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1. KONVEKTCO\1.DATABEHEER\2.JagaNA &amp; JagaES\Jaga NorthAmerica (Canada)\CALCULATIE\2022\"/>
    </mc:Choice>
  </mc:AlternateContent>
  <workbookProtection workbookAlgorithmName="SHA-512" workbookHashValue="UnCORBs0avv0fT/Uke8SOb/i17WT7ZYYj+DW2tqt6IOY0DlwALUKNQ8dfK9Vu0dkTVdOt7Uui1BG/c4r3HHeDA==" workbookSaltValue="SnmQXv8mAkrcp64Lc806Mw==" workbookSpinCount="100000" lockStructure="1"/>
  <bookViews>
    <workbookView xWindow="360" yWindow="75" windowWidth="17055" windowHeight="10830" firstSheet="1" activeTab="4"/>
  </bookViews>
  <sheets>
    <sheet name="Basis" sheetId="6" state="hidden" r:id="rId1"/>
    <sheet name="LowH2O Convectors" sheetId="13" r:id="rId2"/>
    <sheet name="Strada Cont." sheetId="15" r:id="rId3"/>
    <sheet name="PanelPlus" sheetId="16" r:id="rId4"/>
    <sheet name="Briza12" sheetId="5" r:id="rId5"/>
    <sheet name="Clima Canal" sheetId="7" r:id="rId6"/>
    <sheet name="Micro Canal" sheetId="10" r:id="rId7"/>
    <sheet name="Unit Heater" sheetId="12" r:id="rId8"/>
  </sheets>
  <definedNames>
    <definedName name="_xlnm._FilterDatabase" localSheetId="4" hidden="1">Briza12!$A$9:$BH$73</definedName>
    <definedName name="_xlnm._FilterDatabase" localSheetId="5" hidden="1">'Clima Canal'!$A$9:$BL$43</definedName>
    <definedName name="_xlnm._FilterDatabase" localSheetId="1" hidden="1">'LowH2O Convectors'!$A$9:$AV$2784</definedName>
    <definedName name="_xlnm._FilterDatabase" localSheetId="6" hidden="1">'Micro Canal'!$A$9:$M$14</definedName>
    <definedName name="_xlnm._FilterDatabase" localSheetId="3" hidden="1">PanelPlus!$A$9:$AV$711</definedName>
    <definedName name="_xlnm._FilterDatabase" localSheetId="2" hidden="1">'Strada Cont.'!$A$9:$AV$345</definedName>
    <definedName name="_xlnm._FilterDatabase" localSheetId="7" hidden="1">'Unit Heater'!$A$9:$M$19</definedName>
    <definedName name="µ" localSheetId="4">(Briza12!TrH-Briza12!TlH)/(Briza12!TaH-Briza12!TlH)</definedName>
    <definedName name="µ" localSheetId="5">('Clima Canal'!TrH-'Clima Canal'!TlH)/('Clima Canal'!TaH-'Clima Canal'!TlH)</definedName>
    <definedName name="µ" localSheetId="1">('LowH2O Convectors'!TrH-'LowH2O Convectors'!TlH)/('LowH2O Convectors'!TaH-'LowH2O Convectors'!TlH)</definedName>
    <definedName name="µ" localSheetId="6">('Micro Canal'!TrH-'Micro Canal'!TlH)/('Micro Canal'!TaH-'Micro Canal'!TlH)</definedName>
    <definedName name="µ" localSheetId="3">(PanelPlus!TrH-PanelPlus!TlH)/(PanelPlus!TaH-PanelPlus!TlH)</definedName>
    <definedName name="µ" localSheetId="2">('Strada Cont.'!TrH-'Strada Cont.'!TlH)/('Strada Cont.'!TaH-'Strada Cont.'!TlH)</definedName>
    <definedName name="µ" localSheetId="7">('Unit Heater'!TrH-'Unit Heater'!TlH)/('Unit Heater'!TaH-'Unit Heater'!TlH)</definedName>
    <definedName name="_xlnm.Print_Titles" localSheetId="4">Briza12!$7:$9</definedName>
    <definedName name="_xlnm.Print_Titles" localSheetId="5">'Clima Canal'!$7:$9</definedName>
    <definedName name="_xlnm.Print_Titles" localSheetId="1">'LowH2O Convectors'!$7:$9</definedName>
    <definedName name="_xlnm.Print_Titles" localSheetId="6">'Micro Canal'!$7:$9</definedName>
    <definedName name="_xlnm.Print_Titles" localSheetId="3">PanelPlus!$7:$9</definedName>
    <definedName name="_xlnm.Print_Titles" localSheetId="2">'Strada Cont.'!$7:$9</definedName>
    <definedName name="_xlnm.Print_Titles" localSheetId="7">'Unit Heater'!$7:$9</definedName>
    <definedName name="Altitude" localSheetId="4">VLOOKUP(Briza12!$F$3,Basis!$H$4:$I$10,2,TRUE)</definedName>
    <definedName name="Altitude" localSheetId="5">VLOOKUP('Clima Canal'!$F$3,Basis!$H$4:$I$10,2,TRUE)</definedName>
    <definedName name="Altitude" localSheetId="1">VLOOKUP('LowH2O Convectors'!$F$3,Basis!$H$15:$I$18,2,TRUE)</definedName>
    <definedName name="Altitude" localSheetId="6">VLOOKUP('Micro Canal'!$F$3,Basis!$H$4:$I$10,2,TRUE)</definedName>
    <definedName name="Altitude" localSheetId="3">VLOOKUP(PanelPlus!$F$3,Basis!$H$15:$I$18,2,TRUE)</definedName>
    <definedName name="Altitude" localSheetId="2">VLOOKUP('Strada Cont.'!$F$3,Basis!$H$15:$I$18,2,TRUE)</definedName>
    <definedName name="Altitude" localSheetId="7">VLOOKUP('Unit Heater'!$F$3,Basis!$H$4:$I$10,2,TRUE)</definedName>
    <definedName name="cf_H_Q">Basis!$E$16</definedName>
    <definedName name="dT_Heat" localSheetId="3">#N/A</definedName>
    <definedName name="dT_Heat">IF(([0]!TrH-[0]!TlH)/([0]!TaH-[0]!TlH)&gt;0.7,([0]!TaH+[0]!TrH)/2-[0]!TlH,([0]!TaH-[0]!TrH)/LN(([0]!TaH-[0]!TlH)/([0]!TrH-[0]!TlH)))</definedName>
    <definedName name="FanspeedC" localSheetId="4">IF(Briza12!$O$7=100%,1,IF(Briza12!$O$7=80%,2,IF(Briza12!$O$7=60%,3,IF(Briza12!$O$7=40%,4,5))))</definedName>
    <definedName name="FanspeedC" localSheetId="5">IF('Clima Canal'!$O$7=100%,1,IF('Clima Canal'!$O$7=80%,2,IF('Clima Canal'!$O$7=60%,3,IF('Clima Canal'!$O$7=40%,4,5))))</definedName>
    <definedName name="FanspeedH" localSheetId="4">IF(Briza12!$I$7=100%,1,IF(Briza12!$I$7=80%,2,IF(Briza12!$I$7=60%,3,IF(Briza12!$I$7=40%,4,5))))</definedName>
    <definedName name="FanspeedH" localSheetId="5">IF('Clima Canal'!$I$7=100%,1,IF('Clima Canal'!$I$7=80%,2,IF('Clima Canal'!$I$7=60%,3,IF('Clima Canal'!$I$7=40%,4,5))))</definedName>
    <definedName name="FanspeedH" localSheetId="1">IF('LowH2O Convectors'!$I$7=100%,1,IF('LowH2O Convectors'!$I$7=80%,2,IF('LowH2O Convectors'!$I$7=60%,3,IF('LowH2O Convectors'!$I$7=40%,4,5))))</definedName>
    <definedName name="FanspeedH" localSheetId="6">IF('Micro Canal'!$I$7=100%,1,IF('Micro Canal'!$I$7=80%,2,IF('Micro Canal'!$I$7=60%,3,IF('Micro Canal'!$I$7=40%,4,5))))</definedName>
    <definedName name="FanspeedH" localSheetId="3">IF(PanelPlus!$I$7=100%,1,IF(PanelPlus!$I$7=80%,2,IF(PanelPlus!$I$7=60%,3,IF(PanelPlus!$I$7=40%,4,5))))</definedName>
    <definedName name="FanspeedH" localSheetId="2">IF('Strada Cont.'!$I$7=100%,1,IF('Strada Cont.'!$I$7=80%,2,IF('Strada Cont.'!$I$7=60%,3,IF('Strada Cont.'!$I$7=40%,4,5))))</definedName>
    <definedName name="FanspeedH" localSheetId="7">IF('Unit Heater'!$I$7=100%,1,IF('Unit Heater'!$I$7=80%,2,IF('Unit Heater'!$I$7=60%,3,IF('Unit Heater'!$I$7=40%,4,5))))</definedName>
    <definedName name="FanspeedH">IF(#REF!=100%,1,IF(#REF!=80%,2,IF(#REF!=60%,3,IF(#REF!=40%,4,5))))</definedName>
    <definedName name="Glycol" localSheetId="4">VLOOKUP(ROUND(Briza12!$F$4,-1),Basis!$G$24:$J$29,Briza12!$D$4+1,TRUE)</definedName>
    <definedName name="Glycol" localSheetId="5">VLOOKUP(ROUND('Clima Canal'!$F$4,-1),Basis!$G$24:$J$29,'Clima Canal'!$D$4+1,TRUE)</definedName>
    <definedName name="Glycol" localSheetId="1">VLOOKUP(ROUND('LowH2O Convectors'!$F$4,-1),Basis!$G$24:$J$29,'LowH2O Convectors'!$D$4+1,TRUE)</definedName>
    <definedName name="Glycol" localSheetId="6">VLOOKUP(ROUND('Micro Canal'!$F$4,-1),Basis!$G$24:$J$29,'Micro Canal'!$D$4+1,TRUE)</definedName>
    <definedName name="Glycol" localSheetId="3">VLOOKUP(ROUND(PanelPlus!$F$4,-1),Basis!$G$24:$J$29,PanelPlus!$D$4+1,TRUE)</definedName>
    <definedName name="Glycol" localSheetId="2">VLOOKUP(ROUND('Strada Cont.'!$F$4,-1),Basis!$G$24:$J$29,'Strada Cont.'!$D$4+1,TRUE)</definedName>
    <definedName name="Glycol" localSheetId="7">VLOOKUP(ROUND('Unit Heater'!$F$4,-1),Basis!$G$24:$J$29,'Unit Heater'!$D$4+1,TRUE)</definedName>
    <definedName name="N_c" localSheetId="5">INDEX('Clima Canal'!$U1:$Y1,0,'Clima Canal'!FanspeedC)</definedName>
    <definedName name="N_c" localSheetId="1">INDEX('LowH2O Convectors'!$N1:$N1,0,'LowH2O Convectors'!FanspeedC)</definedName>
    <definedName name="N_c" localSheetId="6">INDEX('Micro Canal'!$N1:$R1,0,'Micro Canal'!FanspeedC)</definedName>
    <definedName name="N_c" localSheetId="3">INDEX(PanelPlus!$N1:$N1,0,PanelPlus!FanspeedC)</definedName>
    <definedName name="N_c" localSheetId="2">INDEX('Strada Cont.'!$N1:$N1,0,'Strada Cont.'!FanspeedC)</definedName>
    <definedName name="N_c" localSheetId="7">INDEX('Unit Heater'!$N1:$R1,0,'Unit Heater'!FanspeedC)</definedName>
    <definedName name="N_h" localSheetId="1">INDEX('LowH2O Convectors'!$N1:$N1,0,'LowH2O Convectors'!FanspeedH)</definedName>
    <definedName name="N_h" localSheetId="3">INDEX(PanelPlus!$N1:$N1,0,PanelPlus!FanspeedH)</definedName>
    <definedName name="N_h" localSheetId="2">INDEX('Strada Cont.'!$N1:$N1,0,'Strada Cont.'!FanspeedH)</definedName>
    <definedName name="p_atm" localSheetId="4">Briza12!$X$4</definedName>
    <definedName name="p_atm" localSheetId="5">'Clima Canal'!$X$4</definedName>
    <definedName name="RH" localSheetId="4">Briza12!$O$6</definedName>
    <definedName name="RH" localSheetId="5">'Clima Canal'!$O$6</definedName>
    <definedName name="TaC" localSheetId="4">Briza12!$W$2</definedName>
    <definedName name="TaC" localSheetId="5">'Clima Canal'!$U$2</definedName>
    <definedName name="TaH" localSheetId="4">Briza12!$V$2</definedName>
    <definedName name="TaH" localSheetId="5">'Clima Canal'!$I$2</definedName>
    <definedName name="TaH" localSheetId="1">'LowH2O Convectors'!$I$2</definedName>
    <definedName name="TaH" localSheetId="6">'Micro Canal'!$I$2</definedName>
    <definedName name="TaH" localSheetId="3">PanelPlus!$I$2</definedName>
    <definedName name="TaH" localSheetId="2">'Strada Cont.'!$I$2</definedName>
    <definedName name="TaH" localSheetId="7">'Unit Heater'!$I$2</definedName>
    <definedName name="TaH">#REF!</definedName>
    <definedName name="Td" localSheetId="5">'Clima Canal'!$BE$4</definedName>
    <definedName name="TlC" localSheetId="4">Briza12!$W$4</definedName>
    <definedName name="TlC" localSheetId="5">'Clima Canal'!$U$4</definedName>
    <definedName name="TlH" localSheetId="4">Briza12!$V$4</definedName>
    <definedName name="TlH" localSheetId="5">'Clima Canal'!$I$4</definedName>
    <definedName name="TlH" localSheetId="1">'LowH2O Convectors'!$I$4</definedName>
    <definedName name="TlH" localSheetId="6">'Micro Canal'!$I$4</definedName>
    <definedName name="TlH" localSheetId="3">PanelPlus!$I$4</definedName>
    <definedName name="TlH" localSheetId="2">'Strada Cont.'!$I$4</definedName>
    <definedName name="TlH" localSheetId="7">'Unit Heater'!$I$4</definedName>
    <definedName name="TlH">#REF!</definedName>
    <definedName name="TlK">'Clima Canal'!$O$5</definedName>
    <definedName name="TrC" localSheetId="4">Briza12!$W$3</definedName>
    <definedName name="TrC" localSheetId="5">'Clima Canal'!$U$3</definedName>
    <definedName name="TrH" localSheetId="4">Briza12!$V$3</definedName>
    <definedName name="TrH" localSheetId="5">'Clima Canal'!$I$3</definedName>
    <definedName name="TrH" localSheetId="1">'LowH2O Convectors'!$I$3</definedName>
    <definedName name="TrH" localSheetId="6">'Micro Canal'!$I$3</definedName>
    <definedName name="TrH" localSheetId="3">PanelPlus!$I$3</definedName>
    <definedName name="TrH" localSheetId="2">'Strada Cont.'!$I$3</definedName>
    <definedName name="TrH" localSheetId="7">'Unit Heater'!$I$3</definedName>
    <definedName name="TrH">#REF!</definedName>
    <definedName name="U_C" localSheetId="4">IF(Briza12!$O$7=100%,10,IF(Briza12!$O$7=80%,8,IF(Briza12!$O$7=60%,6,IF(Briza12!$O$7=40%,4,2))))</definedName>
    <definedName name="U_C" localSheetId="5">IF('Clima Canal'!$O$7=100%,10,IF('Clima Canal'!$O$7=80%,8,IF('Clima Canal'!$O$7=60%,6,IF('Clima Canal'!$O$7=40%,4,2))))</definedName>
    <definedName name="U_C" localSheetId="1">IF('LowH2O Convectors'!#REF!=100%,10,IF('LowH2O Convectors'!#REF!=80%,8,IF('LowH2O Convectors'!#REF!=60%,6,IF('LowH2O Convectors'!#REF!=40%,4,2))))</definedName>
    <definedName name="U_C" localSheetId="6">IF('Micro Canal'!#REF!=100%,10,IF('Micro Canal'!#REF!=80%,8,IF('Micro Canal'!#REF!=60%,6,IF('Micro Canal'!#REF!=40%,4,2))))</definedName>
    <definedName name="U_C" localSheetId="3">IF(PanelPlus!#REF!=100%,10,IF(PanelPlus!#REF!=80%,8,IF(PanelPlus!#REF!=60%,6,IF(PanelPlus!#REF!=40%,4,2))))</definedName>
    <definedName name="U_C" localSheetId="2">IF('Strada Cont.'!#REF!=100%,10,IF('Strada Cont.'!#REF!=80%,8,IF('Strada Cont.'!#REF!=60%,6,IF('Strada Cont.'!#REF!=40%,4,2))))</definedName>
    <definedName name="U_C" localSheetId="7">IF('Unit Heater'!#REF!=100%,10,IF('Unit Heater'!#REF!=80%,8,IF('Unit Heater'!#REF!=60%,6,IF('Unit Heater'!#REF!=40%,4,2))))</definedName>
    <definedName name="U_H" localSheetId="4">IF(Briza12!$I$7=100%,10,IF(Briza12!$I$7=80%,8,IF(Briza12!$I$7=60%,6,IF(Briza12!$I$7=40%,4,2))))</definedName>
  </definedNames>
  <calcPr calcId="162913"/>
</workbook>
</file>

<file path=xl/calcChain.xml><?xml version="1.0" encoding="utf-8"?>
<calcChain xmlns="http://schemas.openxmlformats.org/spreadsheetml/2006/main">
  <c r="N35" i="7" l="1"/>
  <c r="O35" i="7" s="1"/>
  <c r="P35" i="7" s="1"/>
  <c r="S35" i="7" s="1"/>
  <c r="M35" i="7"/>
  <c r="K35" i="7"/>
  <c r="J35" i="7"/>
  <c r="H35" i="7"/>
  <c r="I35" i="7" s="1"/>
  <c r="L35" i="7" s="1"/>
  <c r="G35" i="7"/>
  <c r="E35" i="7"/>
  <c r="D35" i="7"/>
  <c r="N26" i="7"/>
  <c r="T26" i="7" s="1"/>
  <c r="M26" i="7"/>
  <c r="K26" i="7"/>
  <c r="J26" i="7"/>
  <c r="H26" i="7"/>
  <c r="I26" i="7" s="1"/>
  <c r="L26" i="7" s="1"/>
  <c r="G26" i="7"/>
  <c r="E26" i="7"/>
  <c r="D26" i="7"/>
  <c r="Q35" i="7" l="1"/>
  <c r="R35" i="7"/>
  <c r="T35" i="7"/>
  <c r="O26" i="7"/>
  <c r="P26" i="7" s="1"/>
  <c r="S26" i="7" s="1"/>
  <c r="Q26" i="7"/>
  <c r="R26" i="7"/>
  <c r="J19" i="12" l="1"/>
  <c r="J18" i="12"/>
  <c r="J17" i="12"/>
  <c r="J16" i="12"/>
  <c r="J15" i="12"/>
  <c r="J14" i="12"/>
  <c r="J13" i="12"/>
  <c r="J12" i="12"/>
  <c r="J11" i="12"/>
  <c r="J10" i="12"/>
  <c r="F102" i="15" l="1"/>
  <c r="G102" i="15" s="1"/>
  <c r="E102" i="15"/>
  <c r="D102" i="15"/>
  <c r="F345" i="15" l="1"/>
  <c r="G345" i="15" s="1"/>
  <c r="E345" i="15"/>
  <c r="D345" i="15"/>
  <c r="F344" i="15"/>
  <c r="G344" i="15" s="1"/>
  <c r="E344" i="15"/>
  <c r="D344" i="15"/>
  <c r="F343" i="15"/>
  <c r="G343" i="15" s="1"/>
  <c r="E343" i="15"/>
  <c r="D343" i="15"/>
  <c r="F342" i="15"/>
  <c r="G342" i="15" s="1"/>
  <c r="E342" i="15"/>
  <c r="D342" i="15"/>
  <c r="F341" i="15"/>
  <c r="G341" i="15" s="1"/>
  <c r="E341" i="15"/>
  <c r="D341" i="15"/>
  <c r="F340" i="15"/>
  <c r="G340" i="15" s="1"/>
  <c r="E340" i="15"/>
  <c r="D340" i="15"/>
  <c r="F339" i="15"/>
  <c r="G339" i="15" s="1"/>
  <c r="E339" i="15"/>
  <c r="D339" i="15"/>
  <c r="F338" i="15"/>
  <c r="G338" i="15" s="1"/>
  <c r="E338" i="15"/>
  <c r="D338" i="15"/>
  <c r="F337" i="15"/>
  <c r="G337" i="15" s="1"/>
  <c r="E337" i="15"/>
  <c r="D337" i="15"/>
  <c r="F336" i="15"/>
  <c r="G336" i="15" s="1"/>
  <c r="E336" i="15"/>
  <c r="D336" i="15"/>
  <c r="F335" i="15"/>
  <c r="G335" i="15" s="1"/>
  <c r="E335" i="15"/>
  <c r="D335" i="15"/>
  <c r="F334" i="15"/>
  <c r="G334" i="15" s="1"/>
  <c r="E334" i="15"/>
  <c r="D334" i="15"/>
  <c r="F333" i="15"/>
  <c r="G333" i="15" s="1"/>
  <c r="E333" i="15"/>
  <c r="D333" i="15"/>
  <c r="F332" i="15"/>
  <c r="G332" i="15" s="1"/>
  <c r="E332" i="15"/>
  <c r="D332" i="15"/>
  <c r="F331" i="15"/>
  <c r="G331" i="15" s="1"/>
  <c r="E331" i="15"/>
  <c r="D331" i="15"/>
  <c r="F330" i="15"/>
  <c r="G330" i="15" s="1"/>
  <c r="E330" i="15"/>
  <c r="D330" i="15"/>
  <c r="F329" i="15"/>
  <c r="G329" i="15" s="1"/>
  <c r="E329" i="15"/>
  <c r="D329" i="15"/>
  <c r="F328" i="15"/>
  <c r="G328" i="15" s="1"/>
  <c r="E328" i="15"/>
  <c r="D328" i="15"/>
  <c r="F327" i="15"/>
  <c r="G327" i="15" s="1"/>
  <c r="E327" i="15"/>
  <c r="D327" i="15"/>
  <c r="F326" i="15"/>
  <c r="G326" i="15" s="1"/>
  <c r="E326" i="15"/>
  <c r="D326" i="15"/>
  <c r="F325" i="15"/>
  <c r="G325" i="15" s="1"/>
  <c r="E325" i="15"/>
  <c r="D325" i="15"/>
  <c r="F324" i="15"/>
  <c r="G324" i="15" s="1"/>
  <c r="E324" i="15"/>
  <c r="D324" i="15"/>
  <c r="F323" i="15"/>
  <c r="G323" i="15" s="1"/>
  <c r="E323" i="15"/>
  <c r="D323" i="15"/>
  <c r="F322" i="15"/>
  <c r="G322" i="15" s="1"/>
  <c r="E322" i="15"/>
  <c r="D322" i="15"/>
  <c r="F321" i="15"/>
  <c r="G321" i="15" s="1"/>
  <c r="E321" i="15"/>
  <c r="D321" i="15"/>
  <c r="F320" i="15"/>
  <c r="G320" i="15" s="1"/>
  <c r="E320" i="15"/>
  <c r="D320" i="15"/>
  <c r="F319" i="15"/>
  <c r="G319" i="15" s="1"/>
  <c r="E319" i="15"/>
  <c r="D319" i="15"/>
  <c r="F318" i="15"/>
  <c r="G318" i="15" s="1"/>
  <c r="E318" i="15"/>
  <c r="D318" i="15"/>
  <c r="F317" i="15"/>
  <c r="G317" i="15" s="1"/>
  <c r="E317" i="15"/>
  <c r="D317" i="15"/>
  <c r="F316" i="15"/>
  <c r="G316" i="15" s="1"/>
  <c r="E316" i="15"/>
  <c r="D316" i="15"/>
  <c r="F315" i="15"/>
  <c r="G315" i="15" s="1"/>
  <c r="E315" i="15"/>
  <c r="D315" i="15"/>
  <c r="F314" i="15"/>
  <c r="G314" i="15" s="1"/>
  <c r="E314" i="15"/>
  <c r="D314" i="15"/>
  <c r="F313" i="15"/>
  <c r="G313" i="15" s="1"/>
  <c r="E313" i="15"/>
  <c r="D313" i="15"/>
  <c r="F312" i="15"/>
  <c r="G312" i="15" s="1"/>
  <c r="E312" i="15"/>
  <c r="D312" i="15"/>
  <c r="F311" i="15"/>
  <c r="G311" i="15" s="1"/>
  <c r="E311" i="15"/>
  <c r="D311" i="15"/>
  <c r="F310" i="15"/>
  <c r="G310" i="15" s="1"/>
  <c r="E310" i="15"/>
  <c r="D310" i="15"/>
  <c r="F309" i="15"/>
  <c r="G309" i="15" s="1"/>
  <c r="E309" i="15"/>
  <c r="D309" i="15"/>
  <c r="F308" i="15"/>
  <c r="G308" i="15" s="1"/>
  <c r="E308" i="15"/>
  <c r="D308" i="15"/>
  <c r="F307" i="15"/>
  <c r="G307" i="15" s="1"/>
  <c r="E307" i="15"/>
  <c r="D307" i="15"/>
  <c r="F306" i="15"/>
  <c r="G306" i="15" s="1"/>
  <c r="E306" i="15"/>
  <c r="D306" i="15"/>
  <c r="F305" i="15"/>
  <c r="G305" i="15" s="1"/>
  <c r="E305" i="15"/>
  <c r="D305" i="15"/>
  <c r="F304" i="15"/>
  <c r="G304" i="15" s="1"/>
  <c r="E304" i="15"/>
  <c r="D304" i="15"/>
  <c r="F303" i="15"/>
  <c r="G303" i="15" s="1"/>
  <c r="E303" i="15"/>
  <c r="D303" i="15"/>
  <c r="F302" i="15"/>
  <c r="G302" i="15" s="1"/>
  <c r="E302" i="15"/>
  <c r="D302" i="15"/>
  <c r="F301" i="15"/>
  <c r="G301" i="15" s="1"/>
  <c r="E301" i="15"/>
  <c r="D301" i="15"/>
  <c r="F300" i="15"/>
  <c r="G300" i="15" s="1"/>
  <c r="E300" i="15"/>
  <c r="D300" i="15"/>
  <c r="F299" i="15"/>
  <c r="G299" i="15" s="1"/>
  <c r="E299" i="15"/>
  <c r="D299" i="15"/>
  <c r="F298" i="15"/>
  <c r="G298" i="15" s="1"/>
  <c r="E298" i="15"/>
  <c r="D298" i="15"/>
  <c r="F297" i="15"/>
  <c r="G297" i="15" s="1"/>
  <c r="E297" i="15"/>
  <c r="D297" i="15"/>
  <c r="F296" i="15"/>
  <c r="G296" i="15" s="1"/>
  <c r="E296" i="15"/>
  <c r="D296" i="15"/>
  <c r="F295" i="15"/>
  <c r="G295" i="15" s="1"/>
  <c r="E295" i="15"/>
  <c r="D295" i="15"/>
  <c r="F294" i="15"/>
  <c r="G294" i="15" s="1"/>
  <c r="E294" i="15"/>
  <c r="D294" i="15"/>
  <c r="F293" i="15"/>
  <c r="G293" i="15" s="1"/>
  <c r="E293" i="15"/>
  <c r="D293" i="15"/>
  <c r="F292" i="15"/>
  <c r="G292" i="15" s="1"/>
  <c r="E292" i="15"/>
  <c r="D292" i="15"/>
  <c r="F291" i="15"/>
  <c r="G291" i="15" s="1"/>
  <c r="E291" i="15"/>
  <c r="D291" i="15"/>
  <c r="F290" i="15"/>
  <c r="G290" i="15" s="1"/>
  <c r="E290" i="15"/>
  <c r="D290" i="15"/>
  <c r="F289" i="15"/>
  <c r="G289" i="15" s="1"/>
  <c r="E289" i="15"/>
  <c r="D289" i="15"/>
  <c r="F288" i="15"/>
  <c r="G288" i="15" s="1"/>
  <c r="E288" i="15"/>
  <c r="D288" i="15"/>
  <c r="F287" i="15"/>
  <c r="G287" i="15" s="1"/>
  <c r="E287" i="15"/>
  <c r="D287" i="15"/>
  <c r="F286" i="15"/>
  <c r="G286" i="15" s="1"/>
  <c r="E286" i="15"/>
  <c r="D286" i="15"/>
  <c r="F285" i="15"/>
  <c r="G285" i="15" s="1"/>
  <c r="E285" i="15"/>
  <c r="D285" i="15"/>
  <c r="F284" i="15"/>
  <c r="G284" i="15" s="1"/>
  <c r="E284" i="15"/>
  <c r="D284" i="15"/>
  <c r="F283" i="15"/>
  <c r="G283" i="15" s="1"/>
  <c r="E283" i="15"/>
  <c r="D283" i="15"/>
  <c r="F282" i="15"/>
  <c r="G282" i="15" s="1"/>
  <c r="E282" i="15"/>
  <c r="D282" i="15"/>
  <c r="F281" i="15"/>
  <c r="G281" i="15" s="1"/>
  <c r="E281" i="15"/>
  <c r="D281" i="15"/>
  <c r="F280" i="15"/>
  <c r="G280" i="15" s="1"/>
  <c r="E280" i="15"/>
  <c r="D280" i="15"/>
  <c r="F279" i="15"/>
  <c r="G279" i="15" s="1"/>
  <c r="E279" i="15"/>
  <c r="D279" i="15"/>
  <c r="F278" i="15"/>
  <c r="G278" i="15" s="1"/>
  <c r="E278" i="15"/>
  <c r="D278" i="15"/>
  <c r="F277" i="15"/>
  <c r="G277" i="15" s="1"/>
  <c r="E277" i="15"/>
  <c r="D277" i="15"/>
  <c r="F276" i="15"/>
  <c r="G276" i="15" s="1"/>
  <c r="E276" i="15"/>
  <c r="D276" i="15"/>
  <c r="F275" i="15"/>
  <c r="G275" i="15" s="1"/>
  <c r="E275" i="15"/>
  <c r="D275" i="15"/>
  <c r="F274" i="15"/>
  <c r="G274" i="15" s="1"/>
  <c r="E274" i="15"/>
  <c r="D274" i="15"/>
  <c r="F273" i="15"/>
  <c r="G273" i="15" s="1"/>
  <c r="E273" i="15"/>
  <c r="D273" i="15"/>
  <c r="F272" i="15"/>
  <c r="G272" i="15" s="1"/>
  <c r="E272" i="15"/>
  <c r="D272" i="15"/>
  <c r="F271" i="15"/>
  <c r="G271" i="15" s="1"/>
  <c r="E271" i="15"/>
  <c r="D271" i="15"/>
  <c r="F270" i="15"/>
  <c r="G270" i="15" s="1"/>
  <c r="E270" i="15"/>
  <c r="D270" i="15"/>
  <c r="F269" i="15"/>
  <c r="G269" i="15" s="1"/>
  <c r="E269" i="15"/>
  <c r="D269" i="15"/>
  <c r="F268" i="15"/>
  <c r="G268" i="15" s="1"/>
  <c r="E268" i="15"/>
  <c r="D268" i="15"/>
  <c r="F267" i="15"/>
  <c r="G267" i="15" s="1"/>
  <c r="E267" i="15"/>
  <c r="D267" i="15"/>
  <c r="F266" i="15"/>
  <c r="G266" i="15" s="1"/>
  <c r="E266" i="15"/>
  <c r="D266" i="15"/>
  <c r="F265" i="15"/>
  <c r="G265" i="15" s="1"/>
  <c r="E265" i="15"/>
  <c r="D265" i="15"/>
  <c r="F264" i="15"/>
  <c r="G264" i="15" s="1"/>
  <c r="E264" i="15"/>
  <c r="D264" i="15"/>
  <c r="F263" i="15"/>
  <c r="G263" i="15" s="1"/>
  <c r="E263" i="15"/>
  <c r="D263" i="15"/>
  <c r="F262" i="15"/>
  <c r="G262" i="15" s="1"/>
  <c r="E262" i="15"/>
  <c r="D262" i="15"/>
  <c r="F261" i="15"/>
  <c r="G261" i="15" s="1"/>
  <c r="E261" i="15"/>
  <c r="D261" i="15"/>
  <c r="F260" i="15"/>
  <c r="G260" i="15" s="1"/>
  <c r="E260" i="15"/>
  <c r="D260" i="15"/>
  <c r="F259" i="15"/>
  <c r="G259" i="15" s="1"/>
  <c r="E259" i="15"/>
  <c r="D259" i="15"/>
  <c r="F258" i="15"/>
  <c r="G258" i="15" s="1"/>
  <c r="E258" i="15"/>
  <c r="D258" i="15"/>
  <c r="F257" i="15"/>
  <c r="G257" i="15" s="1"/>
  <c r="E257" i="15"/>
  <c r="D257" i="15"/>
  <c r="F256" i="15"/>
  <c r="G256" i="15" s="1"/>
  <c r="E256" i="15"/>
  <c r="D256" i="15"/>
  <c r="F255" i="15"/>
  <c r="G255" i="15" s="1"/>
  <c r="E255" i="15"/>
  <c r="D255" i="15"/>
  <c r="F254" i="15"/>
  <c r="G254" i="15" s="1"/>
  <c r="E254" i="15"/>
  <c r="D254" i="15"/>
  <c r="F253" i="15"/>
  <c r="G253" i="15" s="1"/>
  <c r="E253" i="15"/>
  <c r="D253" i="15"/>
  <c r="F252" i="15"/>
  <c r="G252" i="15" s="1"/>
  <c r="E252" i="15"/>
  <c r="D252" i="15"/>
  <c r="F251" i="15"/>
  <c r="G251" i="15" s="1"/>
  <c r="E251" i="15"/>
  <c r="D251" i="15"/>
  <c r="F250" i="15"/>
  <c r="G250" i="15" s="1"/>
  <c r="E250" i="15"/>
  <c r="D250" i="15"/>
  <c r="F249" i="15"/>
  <c r="G249" i="15" s="1"/>
  <c r="E249" i="15"/>
  <c r="D249" i="15"/>
  <c r="F248" i="15"/>
  <c r="G248" i="15" s="1"/>
  <c r="E248" i="15"/>
  <c r="D248" i="15"/>
  <c r="F247" i="15"/>
  <c r="G247" i="15" s="1"/>
  <c r="E247" i="15"/>
  <c r="D247" i="15"/>
  <c r="F246" i="15"/>
  <c r="G246" i="15" s="1"/>
  <c r="E246" i="15"/>
  <c r="D246" i="15"/>
  <c r="F245" i="15"/>
  <c r="G245" i="15" s="1"/>
  <c r="E245" i="15"/>
  <c r="D245" i="15"/>
  <c r="F244" i="15"/>
  <c r="G244" i="15" s="1"/>
  <c r="E244" i="15"/>
  <c r="D244" i="15"/>
  <c r="F243" i="15"/>
  <c r="G243" i="15" s="1"/>
  <c r="E243" i="15"/>
  <c r="D243" i="15"/>
  <c r="F242" i="15"/>
  <c r="G242" i="15" s="1"/>
  <c r="E242" i="15"/>
  <c r="D242" i="15"/>
  <c r="F241" i="15"/>
  <c r="G241" i="15" s="1"/>
  <c r="E241" i="15"/>
  <c r="D241" i="15"/>
  <c r="F240" i="15"/>
  <c r="G240" i="15" s="1"/>
  <c r="E240" i="15"/>
  <c r="D240" i="15"/>
  <c r="F239" i="15"/>
  <c r="G239" i="15" s="1"/>
  <c r="E239" i="15"/>
  <c r="D239" i="15"/>
  <c r="F238" i="15"/>
  <c r="G238" i="15" s="1"/>
  <c r="E238" i="15"/>
  <c r="D238" i="15"/>
  <c r="F237" i="15"/>
  <c r="G237" i="15" s="1"/>
  <c r="E237" i="15"/>
  <c r="D237" i="15"/>
  <c r="F236" i="15"/>
  <c r="G236" i="15" s="1"/>
  <c r="E236" i="15"/>
  <c r="D236" i="15"/>
  <c r="F235" i="15"/>
  <c r="G235" i="15" s="1"/>
  <c r="E235" i="15"/>
  <c r="D235" i="15"/>
  <c r="F234" i="15"/>
  <c r="G234" i="15" s="1"/>
  <c r="E234" i="15"/>
  <c r="D234" i="15"/>
  <c r="F233" i="15"/>
  <c r="G233" i="15" s="1"/>
  <c r="E233" i="15"/>
  <c r="D233" i="15"/>
  <c r="F232" i="15"/>
  <c r="G232" i="15" s="1"/>
  <c r="E232" i="15"/>
  <c r="D232" i="15"/>
  <c r="F231" i="15"/>
  <c r="G231" i="15" s="1"/>
  <c r="E231" i="15"/>
  <c r="D231" i="15"/>
  <c r="F230" i="15"/>
  <c r="G230" i="15" s="1"/>
  <c r="E230" i="15"/>
  <c r="D230" i="15"/>
  <c r="F229" i="15"/>
  <c r="G229" i="15" s="1"/>
  <c r="E229" i="15"/>
  <c r="D229" i="15"/>
  <c r="F228" i="15"/>
  <c r="G228" i="15" s="1"/>
  <c r="E228" i="15"/>
  <c r="D228" i="15"/>
  <c r="F227" i="15"/>
  <c r="G227" i="15" s="1"/>
  <c r="E227" i="15"/>
  <c r="D227" i="15"/>
  <c r="F226" i="15"/>
  <c r="G226" i="15" s="1"/>
  <c r="E226" i="15"/>
  <c r="D226" i="15"/>
  <c r="F225" i="15"/>
  <c r="G225" i="15" s="1"/>
  <c r="E225" i="15"/>
  <c r="D225" i="15"/>
  <c r="F224" i="15"/>
  <c r="G224" i="15" s="1"/>
  <c r="E224" i="15"/>
  <c r="D224" i="15"/>
  <c r="F223" i="15"/>
  <c r="G223" i="15" s="1"/>
  <c r="E223" i="15"/>
  <c r="D223" i="15"/>
  <c r="F222" i="15"/>
  <c r="G222" i="15" s="1"/>
  <c r="E222" i="15"/>
  <c r="D222" i="15"/>
  <c r="F221" i="15"/>
  <c r="G221" i="15" s="1"/>
  <c r="E221" i="15"/>
  <c r="D221" i="15"/>
  <c r="F220" i="15"/>
  <c r="G220" i="15" s="1"/>
  <c r="E220" i="15"/>
  <c r="D220" i="15"/>
  <c r="F219" i="15"/>
  <c r="G219" i="15" s="1"/>
  <c r="E219" i="15"/>
  <c r="D219" i="15"/>
  <c r="F218" i="15"/>
  <c r="G218" i="15" s="1"/>
  <c r="E218" i="15"/>
  <c r="D218" i="15"/>
  <c r="F217" i="15"/>
  <c r="G217" i="15" s="1"/>
  <c r="E217" i="15"/>
  <c r="D217" i="15"/>
  <c r="F216" i="15"/>
  <c r="G216" i="15" s="1"/>
  <c r="E216" i="15"/>
  <c r="D216" i="15"/>
  <c r="F215" i="15"/>
  <c r="G215" i="15" s="1"/>
  <c r="E215" i="15"/>
  <c r="D215" i="15"/>
  <c r="F214" i="15"/>
  <c r="G214" i="15" s="1"/>
  <c r="E214" i="15"/>
  <c r="D214" i="15"/>
  <c r="F213" i="15"/>
  <c r="G213" i="15" s="1"/>
  <c r="E213" i="15"/>
  <c r="D213" i="15"/>
  <c r="F212" i="15"/>
  <c r="G212" i="15" s="1"/>
  <c r="E212" i="15"/>
  <c r="D212" i="15"/>
  <c r="F211" i="15"/>
  <c r="G211" i="15" s="1"/>
  <c r="E211" i="15"/>
  <c r="D211" i="15"/>
  <c r="F210" i="15"/>
  <c r="G210" i="15" s="1"/>
  <c r="E210" i="15"/>
  <c r="D210" i="15"/>
  <c r="F209" i="15"/>
  <c r="G209" i="15" s="1"/>
  <c r="E209" i="15"/>
  <c r="D209" i="15"/>
  <c r="F208" i="15"/>
  <c r="G208" i="15" s="1"/>
  <c r="E208" i="15"/>
  <c r="D208" i="15"/>
  <c r="F207" i="15"/>
  <c r="G207" i="15" s="1"/>
  <c r="E207" i="15"/>
  <c r="D207" i="15"/>
  <c r="F206" i="15"/>
  <c r="G206" i="15" s="1"/>
  <c r="E206" i="15"/>
  <c r="D206" i="15"/>
  <c r="F205" i="15"/>
  <c r="G205" i="15" s="1"/>
  <c r="E205" i="15"/>
  <c r="D205" i="15"/>
  <c r="F204" i="15"/>
  <c r="G204" i="15" s="1"/>
  <c r="E204" i="15"/>
  <c r="D204" i="15"/>
  <c r="F203" i="15"/>
  <c r="G203" i="15" s="1"/>
  <c r="E203" i="15"/>
  <c r="D203" i="15"/>
  <c r="F202" i="15"/>
  <c r="G202" i="15" s="1"/>
  <c r="E202" i="15"/>
  <c r="D202" i="15"/>
  <c r="F201" i="15"/>
  <c r="G201" i="15" s="1"/>
  <c r="E201" i="15"/>
  <c r="D201" i="15"/>
  <c r="F200" i="15"/>
  <c r="G200" i="15" s="1"/>
  <c r="E200" i="15"/>
  <c r="D200" i="15"/>
  <c r="F199" i="15"/>
  <c r="G199" i="15" s="1"/>
  <c r="E199" i="15"/>
  <c r="D199" i="15"/>
  <c r="F198" i="15"/>
  <c r="G198" i="15" s="1"/>
  <c r="E198" i="15"/>
  <c r="D198" i="15"/>
  <c r="F197" i="15"/>
  <c r="G197" i="15" s="1"/>
  <c r="E197" i="15"/>
  <c r="D197" i="15"/>
  <c r="F196" i="15"/>
  <c r="G196" i="15" s="1"/>
  <c r="E196" i="15"/>
  <c r="D196" i="15"/>
  <c r="F195" i="15"/>
  <c r="G195" i="15" s="1"/>
  <c r="E195" i="15"/>
  <c r="D195" i="15"/>
  <c r="F194" i="15"/>
  <c r="G194" i="15" s="1"/>
  <c r="E194" i="15"/>
  <c r="D194" i="15"/>
  <c r="F193" i="15"/>
  <c r="G193" i="15" s="1"/>
  <c r="E193" i="15"/>
  <c r="D193" i="15"/>
  <c r="F192" i="15"/>
  <c r="G192" i="15" s="1"/>
  <c r="E192" i="15"/>
  <c r="D192" i="15"/>
  <c r="F191" i="15"/>
  <c r="G191" i="15" s="1"/>
  <c r="E191" i="15"/>
  <c r="D191" i="15"/>
  <c r="F190" i="15"/>
  <c r="G190" i="15" s="1"/>
  <c r="E190" i="15"/>
  <c r="D190" i="15"/>
  <c r="F189" i="15"/>
  <c r="G189" i="15" s="1"/>
  <c r="E189" i="15"/>
  <c r="D189" i="15"/>
  <c r="F188" i="15"/>
  <c r="G188" i="15" s="1"/>
  <c r="E188" i="15"/>
  <c r="D188" i="15"/>
  <c r="F187" i="15"/>
  <c r="G187" i="15" s="1"/>
  <c r="E187" i="15"/>
  <c r="D187" i="15"/>
  <c r="F186" i="15"/>
  <c r="G186" i="15" s="1"/>
  <c r="E186" i="15"/>
  <c r="D186" i="15"/>
  <c r="F185" i="15"/>
  <c r="G185" i="15" s="1"/>
  <c r="E185" i="15"/>
  <c r="D185" i="15"/>
  <c r="F184" i="15"/>
  <c r="G184" i="15" s="1"/>
  <c r="E184" i="15"/>
  <c r="D184" i="15"/>
  <c r="F183" i="15"/>
  <c r="G183" i="15" s="1"/>
  <c r="E183" i="15"/>
  <c r="D183" i="15"/>
  <c r="F182" i="15"/>
  <c r="G182" i="15" s="1"/>
  <c r="E182" i="15"/>
  <c r="D182" i="15"/>
  <c r="F181" i="15"/>
  <c r="G181" i="15" s="1"/>
  <c r="E181" i="15"/>
  <c r="D181" i="15"/>
  <c r="F180" i="15"/>
  <c r="G180" i="15" s="1"/>
  <c r="E180" i="15"/>
  <c r="D180" i="15"/>
  <c r="F179" i="15"/>
  <c r="G179" i="15" s="1"/>
  <c r="E179" i="15"/>
  <c r="D179" i="15"/>
  <c r="F178" i="15"/>
  <c r="G178" i="15" s="1"/>
  <c r="E178" i="15"/>
  <c r="D178" i="15"/>
  <c r="F177" i="15"/>
  <c r="G177" i="15" s="1"/>
  <c r="E177" i="15"/>
  <c r="D177" i="15"/>
  <c r="F176" i="15"/>
  <c r="G176" i="15" s="1"/>
  <c r="E176" i="15"/>
  <c r="D176" i="15"/>
  <c r="F175" i="15"/>
  <c r="G175" i="15" s="1"/>
  <c r="E175" i="15"/>
  <c r="D175" i="15"/>
  <c r="F174" i="15"/>
  <c r="G174" i="15" s="1"/>
  <c r="E174" i="15"/>
  <c r="D174" i="15"/>
  <c r="F173" i="15"/>
  <c r="G173" i="15" s="1"/>
  <c r="E173" i="15"/>
  <c r="D173" i="15"/>
  <c r="F172" i="15"/>
  <c r="G172" i="15" s="1"/>
  <c r="E172" i="15"/>
  <c r="D172" i="15"/>
  <c r="F171" i="15"/>
  <c r="G171" i="15" s="1"/>
  <c r="E171" i="15"/>
  <c r="D171" i="15"/>
  <c r="F170" i="15"/>
  <c r="G170" i="15" s="1"/>
  <c r="E170" i="15"/>
  <c r="D170" i="15"/>
  <c r="F169" i="15"/>
  <c r="G169" i="15" s="1"/>
  <c r="E169" i="15"/>
  <c r="D169" i="15"/>
  <c r="F168" i="15"/>
  <c r="G168" i="15" s="1"/>
  <c r="E168" i="15"/>
  <c r="D168" i="15"/>
  <c r="F167" i="15"/>
  <c r="G167" i="15" s="1"/>
  <c r="E167" i="15"/>
  <c r="D167" i="15"/>
  <c r="F166" i="15"/>
  <c r="G166" i="15" s="1"/>
  <c r="E166" i="15"/>
  <c r="D166" i="15"/>
  <c r="F165" i="15"/>
  <c r="G165" i="15" s="1"/>
  <c r="E165" i="15"/>
  <c r="D165" i="15"/>
  <c r="F164" i="15"/>
  <c r="G164" i="15" s="1"/>
  <c r="E164" i="15"/>
  <c r="D164" i="15"/>
  <c r="F163" i="15"/>
  <c r="G163" i="15" s="1"/>
  <c r="E163" i="15"/>
  <c r="D163" i="15"/>
  <c r="F162" i="15"/>
  <c r="G162" i="15" s="1"/>
  <c r="E162" i="15"/>
  <c r="D162" i="15"/>
  <c r="F161" i="15"/>
  <c r="G161" i="15" s="1"/>
  <c r="E161" i="15"/>
  <c r="D161" i="15"/>
  <c r="F160" i="15"/>
  <c r="G160" i="15" s="1"/>
  <c r="E160" i="15"/>
  <c r="D160" i="15"/>
  <c r="F159" i="15"/>
  <c r="G159" i="15" s="1"/>
  <c r="E159" i="15"/>
  <c r="D159" i="15"/>
  <c r="F158" i="15"/>
  <c r="G158" i="15" s="1"/>
  <c r="E158" i="15"/>
  <c r="D158" i="15"/>
  <c r="F157" i="15"/>
  <c r="G157" i="15" s="1"/>
  <c r="E157" i="15"/>
  <c r="D157" i="15"/>
  <c r="F156" i="15"/>
  <c r="G156" i="15" s="1"/>
  <c r="E156" i="15"/>
  <c r="D156" i="15"/>
  <c r="F155" i="15"/>
  <c r="G155" i="15" s="1"/>
  <c r="E155" i="15"/>
  <c r="D155" i="15"/>
  <c r="F154" i="15"/>
  <c r="G154" i="15" s="1"/>
  <c r="E154" i="15"/>
  <c r="D154" i="15"/>
  <c r="F153" i="15"/>
  <c r="G153" i="15" s="1"/>
  <c r="E153" i="15"/>
  <c r="D153" i="15"/>
  <c r="F152" i="15"/>
  <c r="G152" i="15" s="1"/>
  <c r="E152" i="15"/>
  <c r="D152" i="15"/>
  <c r="F151" i="15"/>
  <c r="G151" i="15" s="1"/>
  <c r="E151" i="15"/>
  <c r="D151" i="15"/>
  <c r="F150" i="15"/>
  <c r="G150" i="15" s="1"/>
  <c r="E150" i="15"/>
  <c r="D150" i="15"/>
  <c r="F149" i="15"/>
  <c r="G149" i="15" s="1"/>
  <c r="E149" i="15"/>
  <c r="D149" i="15"/>
  <c r="F148" i="15"/>
  <c r="G148" i="15" s="1"/>
  <c r="E148" i="15"/>
  <c r="D148" i="15"/>
  <c r="F147" i="15"/>
  <c r="G147" i="15" s="1"/>
  <c r="E147" i="15"/>
  <c r="D147" i="15"/>
  <c r="F146" i="15"/>
  <c r="G146" i="15" s="1"/>
  <c r="E146" i="15"/>
  <c r="D146" i="15"/>
  <c r="F145" i="15"/>
  <c r="G145" i="15" s="1"/>
  <c r="E145" i="15"/>
  <c r="D145" i="15"/>
  <c r="F144" i="15"/>
  <c r="G144" i="15" s="1"/>
  <c r="E144" i="15"/>
  <c r="D144" i="15"/>
  <c r="F143" i="15"/>
  <c r="G143" i="15" s="1"/>
  <c r="E143" i="15"/>
  <c r="D143" i="15"/>
  <c r="F142" i="15"/>
  <c r="G142" i="15" s="1"/>
  <c r="E142" i="15"/>
  <c r="D142" i="15"/>
  <c r="F141" i="15"/>
  <c r="G141" i="15" s="1"/>
  <c r="E141" i="15"/>
  <c r="D141" i="15"/>
  <c r="F140" i="15"/>
  <c r="G140" i="15" s="1"/>
  <c r="E140" i="15"/>
  <c r="D140" i="15"/>
  <c r="F139" i="15"/>
  <c r="G139" i="15" s="1"/>
  <c r="E139" i="15"/>
  <c r="D139" i="15"/>
  <c r="F138" i="15"/>
  <c r="G138" i="15" s="1"/>
  <c r="E138" i="15"/>
  <c r="D138" i="15"/>
  <c r="F137" i="15"/>
  <c r="G137" i="15" s="1"/>
  <c r="E137" i="15"/>
  <c r="D137" i="15"/>
  <c r="F136" i="15"/>
  <c r="G136" i="15" s="1"/>
  <c r="E136" i="15"/>
  <c r="D136" i="15"/>
  <c r="F135" i="15"/>
  <c r="G135" i="15" s="1"/>
  <c r="E135" i="15"/>
  <c r="D135" i="15"/>
  <c r="F134" i="15"/>
  <c r="G134" i="15" s="1"/>
  <c r="E134" i="15"/>
  <c r="D134" i="15"/>
  <c r="F133" i="15"/>
  <c r="G133" i="15" s="1"/>
  <c r="E133" i="15"/>
  <c r="D133" i="15"/>
  <c r="F132" i="15"/>
  <c r="G132" i="15" s="1"/>
  <c r="E132" i="15"/>
  <c r="D132" i="15"/>
  <c r="F131" i="15"/>
  <c r="G131" i="15" s="1"/>
  <c r="E131" i="15"/>
  <c r="D131" i="15"/>
  <c r="F130" i="15"/>
  <c r="G130" i="15" s="1"/>
  <c r="E130" i="15"/>
  <c r="D130" i="15"/>
  <c r="F129" i="15"/>
  <c r="G129" i="15" s="1"/>
  <c r="E129" i="15"/>
  <c r="D129" i="15"/>
  <c r="F128" i="15"/>
  <c r="G128" i="15" s="1"/>
  <c r="E128" i="15"/>
  <c r="D128" i="15"/>
  <c r="F127" i="15"/>
  <c r="G127" i="15" s="1"/>
  <c r="E127" i="15"/>
  <c r="D127" i="15"/>
  <c r="F126" i="15"/>
  <c r="G126" i="15" s="1"/>
  <c r="E126" i="15"/>
  <c r="D126" i="15"/>
  <c r="F125" i="15"/>
  <c r="G125" i="15" s="1"/>
  <c r="E125" i="15"/>
  <c r="D125" i="15"/>
  <c r="F124" i="15"/>
  <c r="G124" i="15" s="1"/>
  <c r="E124" i="15"/>
  <c r="D124" i="15"/>
  <c r="F123" i="15"/>
  <c r="G123" i="15" s="1"/>
  <c r="E123" i="15"/>
  <c r="D123" i="15"/>
  <c r="F122" i="15"/>
  <c r="G122" i="15" s="1"/>
  <c r="E122" i="15"/>
  <c r="D122" i="15"/>
  <c r="F121" i="15"/>
  <c r="G121" i="15" s="1"/>
  <c r="E121" i="15"/>
  <c r="D121" i="15"/>
  <c r="F120" i="15"/>
  <c r="G120" i="15" s="1"/>
  <c r="E120" i="15"/>
  <c r="D120" i="15"/>
  <c r="F119" i="15"/>
  <c r="G119" i="15" s="1"/>
  <c r="E119" i="15"/>
  <c r="D119" i="15"/>
  <c r="F118" i="15"/>
  <c r="G118" i="15" s="1"/>
  <c r="E118" i="15"/>
  <c r="D118" i="15"/>
  <c r="F117" i="15"/>
  <c r="G117" i="15" s="1"/>
  <c r="E117" i="15"/>
  <c r="D117" i="15"/>
  <c r="F116" i="15"/>
  <c r="G116" i="15" s="1"/>
  <c r="E116" i="15"/>
  <c r="D116" i="15"/>
  <c r="F115" i="15"/>
  <c r="G115" i="15" s="1"/>
  <c r="E115" i="15"/>
  <c r="D115" i="15"/>
  <c r="F114" i="15"/>
  <c r="G114" i="15" s="1"/>
  <c r="E114" i="15"/>
  <c r="D114" i="15"/>
  <c r="F113" i="15"/>
  <c r="G113" i="15" s="1"/>
  <c r="E113" i="15"/>
  <c r="D113" i="15"/>
  <c r="F112" i="15"/>
  <c r="G112" i="15" s="1"/>
  <c r="E112" i="15"/>
  <c r="D112" i="15"/>
  <c r="F111" i="15"/>
  <c r="G111" i="15" s="1"/>
  <c r="E111" i="15"/>
  <c r="D111" i="15"/>
  <c r="F110" i="15"/>
  <c r="G110" i="15" s="1"/>
  <c r="E110" i="15"/>
  <c r="D110" i="15"/>
  <c r="F109" i="15"/>
  <c r="G109" i="15" s="1"/>
  <c r="E109" i="15"/>
  <c r="D109" i="15"/>
  <c r="F108" i="15"/>
  <c r="G108" i="15" s="1"/>
  <c r="E108" i="15"/>
  <c r="D108" i="15"/>
  <c r="F107" i="15"/>
  <c r="G107" i="15" s="1"/>
  <c r="E107" i="15"/>
  <c r="D107" i="15"/>
  <c r="F106" i="15"/>
  <c r="G106" i="15" s="1"/>
  <c r="E106" i="15"/>
  <c r="D106" i="15"/>
  <c r="F105" i="15"/>
  <c r="G105" i="15" s="1"/>
  <c r="E105" i="15"/>
  <c r="D105" i="15"/>
  <c r="F104" i="15"/>
  <c r="G104" i="15" s="1"/>
  <c r="E104" i="15"/>
  <c r="D104" i="15"/>
  <c r="F103" i="15"/>
  <c r="G103" i="15" s="1"/>
  <c r="E103" i="15"/>
  <c r="D103" i="15"/>
  <c r="F101" i="15"/>
  <c r="G101" i="15" s="1"/>
  <c r="E101" i="15"/>
  <c r="D101" i="15"/>
  <c r="F100" i="15"/>
  <c r="G100" i="15" s="1"/>
  <c r="E100" i="15"/>
  <c r="D100" i="15"/>
  <c r="F99" i="15"/>
  <c r="G99" i="15" s="1"/>
  <c r="E99" i="15"/>
  <c r="D99" i="15"/>
  <c r="F98" i="15"/>
  <c r="G98" i="15" s="1"/>
  <c r="E98" i="15"/>
  <c r="D98" i="15"/>
  <c r="F97" i="15"/>
  <c r="G97" i="15" s="1"/>
  <c r="E97" i="15"/>
  <c r="D97" i="15"/>
  <c r="F96" i="15"/>
  <c r="G96" i="15" s="1"/>
  <c r="E96" i="15"/>
  <c r="D96" i="15"/>
  <c r="F95" i="15"/>
  <c r="G95" i="15" s="1"/>
  <c r="E95" i="15"/>
  <c r="D95" i="15"/>
  <c r="F94" i="15"/>
  <c r="G94" i="15" s="1"/>
  <c r="E94" i="15"/>
  <c r="D94" i="15"/>
  <c r="F93" i="15"/>
  <c r="G93" i="15" s="1"/>
  <c r="E93" i="15"/>
  <c r="D93" i="15"/>
  <c r="F92" i="15"/>
  <c r="G92" i="15" s="1"/>
  <c r="E92" i="15"/>
  <c r="D92" i="15"/>
  <c r="F91" i="15"/>
  <c r="G91" i="15" s="1"/>
  <c r="E91" i="15"/>
  <c r="D91" i="15"/>
  <c r="F90" i="15"/>
  <c r="G90" i="15" s="1"/>
  <c r="E90" i="15"/>
  <c r="D90" i="15"/>
  <c r="F89" i="15"/>
  <c r="G89" i="15" s="1"/>
  <c r="E89" i="15"/>
  <c r="D89" i="15"/>
  <c r="F88" i="15"/>
  <c r="G88" i="15" s="1"/>
  <c r="E88" i="15"/>
  <c r="D88" i="15"/>
  <c r="F87" i="15"/>
  <c r="G87" i="15" s="1"/>
  <c r="E87" i="15"/>
  <c r="D87" i="15"/>
  <c r="F86" i="15"/>
  <c r="G86" i="15" s="1"/>
  <c r="E86" i="15"/>
  <c r="D86" i="15"/>
  <c r="F85" i="15"/>
  <c r="G85" i="15" s="1"/>
  <c r="E85" i="15"/>
  <c r="D85" i="15"/>
  <c r="F84" i="15"/>
  <c r="G84" i="15" s="1"/>
  <c r="E84" i="15"/>
  <c r="D84" i="15"/>
  <c r="F83" i="15"/>
  <c r="G83" i="15" s="1"/>
  <c r="E83" i="15"/>
  <c r="D83" i="15"/>
  <c r="F82" i="15"/>
  <c r="G82" i="15" s="1"/>
  <c r="E82" i="15"/>
  <c r="D82" i="15"/>
  <c r="F81" i="15"/>
  <c r="G81" i="15" s="1"/>
  <c r="E81" i="15"/>
  <c r="D81" i="15"/>
  <c r="F80" i="15"/>
  <c r="G80" i="15" s="1"/>
  <c r="E80" i="15"/>
  <c r="D80" i="15"/>
  <c r="F79" i="15"/>
  <c r="G79" i="15" s="1"/>
  <c r="E79" i="15"/>
  <c r="D79" i="15"/>
  <c r="F78" i="15"/>
  <c r="G78" i="15" s="1"/>
  <c r="E78" i="15"/>
  <c r="D78" i="15"/>
  <c r="F77" i="15"/>
  <c r="G77" i="15" s="1"/>
  <c r="E77" i="15"/>
  <c r="D77" i="15"/>
  <c r="F76" i="15"/>
  <c r="G76" i="15" s="1"/>
  <c r="E76" i="15"/>
  <c r="D76" i="15"/>
  <c r="F75" i="15"/>
  <c r="G75" i="15" s="1"/>
  <c r="E75" i="15"/>
  <c r="D75" i="15"/>
  <c r="F74" i="15"/>
  <c r="G74" i="15" s="1"/>
  <c r="E74" i="15"/>
  <c r="D74" i="15"/>
  <c r="F73" i="15"/>
  <c r="G73" i="15" s="1"/>
  <c r="E73" i="15"/>
  <c r="D73" i="15"/>
  <c r="F72" i="15"/>
  <c r="G72" i="15" s="1"/>
  <c r="E72" i="15"/>
  <c r="D72" i="15"/>
  <c r="F71" i="15"/>
  <c r="G71" i="15" s="1"/>
  <c r="E71" i="15"/>
  <c r="D71" i="15"/>
  <c r="F70" i="15"/>
  <c r="G70" i="15" s="1"/>
  <c r="E70" i="15"/>
  <c r="D70" i="15"/>
  <c r="F69" i="15"/>
  <c r="G69" i="15" s="1"/>
  <c r="E69" i="15"/>
  <c r="D69" i="15"/>
  <c r="F68" i="15"/>
  <c r="G68" i="15" s="1"/>
  <c r="E68" i="15"/>
  <c r="D68" i="15"/>
  <c r="F67" i="15"/>
  <c r="G67" i="15" s="1"/>
  <c r="E67" i="15"/>
  <c r="D67" i="15"/>
  <c r="F66" i="15"/>
  <c r="G66" i="15" s="1"/>
  <c r="E66" i="15"/>
  <c r="D66" i="15"/>
  <c r="F65" i="15"/>
  <c r="G65" i="15" s="1"/>
  <c r="E65" i="15"/>
  <c r="D65" i="15"/>
  <c r="F64" i="15"/>
  <c r="G64" i="15" s="1"/>
  <c r="E64" i="15"/>
  <c r="D64" i="15"/>
  <c r="F63" i="15"/>
  <c r="G63" i="15" s="1"/>
  <c r="E63" i="15"/>
  <c r="D63" i="15"/>
  <c r="F62" i="15"/>
  <c r="G62" i="15" s="1"/>
  <c r="E62" i="15"/>
  <c r="D62" i="15"/>
  <c r="F61" i="15"/>
  <c r="G61" i="15" s="1"/>
  <c r="E61" i="15"/>
  <c r="D61" i="15"/>
  <c r="F60" i="15"/>
  <c r="G60" i="15" s="1"/>
  <c r="E60" i="15"/>
  <c r="D60" i="15"/>
  <c r="F59" i="15"/>
  <c r="G59" i="15" s="1"/>
  <c r="E59" i="15"/>
  <c r="D59" i="15"/>
  <c r="F58" i="15"/>
  <c r="G58" i="15" s="1"/>
  <c r="E58" i="15"/>
  <c r="D58" i="15"/>
  <c r="F57" i="15"/>
  <c r="G57" i="15" s="1"/>
  <c r="E57" i="15"/>
  <c r="D57" i="15"/>
  <c r="F56" i="15"/>
  <c r="G56" i="15" s="1"/>
  <c r="E56" i="15"/>
  <c r="D56" i="15"/>
  <c r="F55" i="15"/>
  <c r="G55" i="15" s="1"/>
  <c r="E55" i="15"/>
  <c r="D55" i="15"/>
  <c r="F54" i="15"/>
  <c r="G54" i="15" s="1"/>
  <c r="E54" i="15"/>
  <c r="D54" i="15"/>
  <c r="F53" i="15"/>
  <c r="G53" i="15" s="1"/>
  <c r="E53" i="15"/>
  <c r="D53" i="15"/>
  <c r="F52" i="15"/>
  <c r="G52" i="15" s="1"/>
  <c r="E52" i="15"/>
  <c r="D52" i="15"/>
  <c r="F51" i="15"/>
  <c r="G51" i="15" s="1"/>
  <c r="E51" i="15"/>
  <c r="D51" i="15"/>
  <c r="F50" i="15"/>
  <c r="G50" i="15" s="1"/>
  <c r="E50" i="15"/>
  <c r="D50" i="15"/>
  <c r="F49" i="15"/>
  <c r="G49" i="15" s="1"/>
  <c r="E49" i="15"/>
  <c r="D49" i="15"/>
  <c r="F48" i="15"/>
  <c r="G48" i="15" s="1"/>
  <c r="E48" i="15"/>
  <c r="D48" i="15"/>
  <c r="F47" i="15"/>
  <c r="G47" i="15" s="1"/>
  <c r="E47" i="15"/>
  <c r="D47" i="15"/>
  <c r="F46" i="15"/>
  <c r="G46" i="15" s="1"/>
  <c r="E46" i="15"/>
  <c r="D46" i="15"/>
  <c r="F45" i="15"/>
  <c r="G45" i="15" s="1"/>
  <c r="E45" i="15"/>
  <c r="D45" i="15"/>
  <c r="F44" i="15"/>
  <c r="G44" i="15" s="1"/>
  <c r="E44" i="15"/>
  <c r="D44" i="15"/>
  <c r="F43" i="15"/>
  <c r="G43" i="15" s="1"/>
  <c r="E43" i="15"/>
  <c r="D43" i="15"/>
  <c r="F42" i="15"/>
  <c r="G42" i="15" s="1"/>
  <c r="E42" i="15"/>
  <c r="D42" i="15"/>
  <c r="F41" i="15"/>
  <c r="G41" i="15" s="1"/>
  <c r="E41" i="15"/>
  <c r="D41" i="15"/>
  <c r="F40" i="15"/>
  <c r="G40" i="15" s="1"/>
  <c r="E40" i="15"/>
  <c r="D40" i="15"/>
  <c r="F39" i="15"/>
  <c r="G39" i="15" s="1"/>
  <c r="E39" i="15"/>
  <c r="D39" i="15"/>
  <c r="F38" i="15"/>
  <c r="G38" i="15" s="1"/>
  <c r="E38" i="15"/>
  <c r="D38" i="15"/>
  <c r="F37" i="15"/>
  <c r="G37" i="15" s="1"/>
  <c r="E37" i="15"/>
  <c r="D37" i="15"/>
  <c r="F36" i="15"/>
  <c r="G36" i="15" s="1"/>
  <c r="E36" i="15"/>
  <c r="D36" i="15"/>
  <c r="F35" i="15"/>
  <c r="G35" i="15" s="1"/>
  <c r="E35" i="15"/>
  <c r="D35" i="15"/>
  <c r="F34" i="15"/>
  <c r="G34" i="15" s="1"/>
  <c r="E34" i="15"/>
  <c r="D34" i="15"/>
  <c r="F33" i="15"/>
  <c r="G33" i="15" s="1"/>
  <c r="E33" i="15"/>
  <c r="D33" i="15"/>
  <c r="F32" i="15"/>
  <c r="G32" i="15" s="1"/>
  <c r="E32" i="15"/>
  <c r="D32" i="15"/>
  <c r="F31" i="15"/>
  <c r="G31" i="15" s="1"/>
  <c r="E31" i="15"/>
  <c r="D31" i="15"/>
  <c r="F30" i="15"/>
  <c r="G30" i="15" s="1"/>
  <c r="E30" i="15"/>
  <c r="D30" i="15"/>
  <c r="F29" i="15"/>
  <c r="G29" i="15" s="1"/>
  <c r="E29" i="15"/>
  <c r="D29" i="15"/>
  <c r="F28" i="15"/>
  <c r="G28" i="15" s="1"/>
  <c r="E28" i="15"/>
  <c r="D28" i="15"/>
  <c r="F27" i="15"/>
  <c r="G27" i="15" s="1"/>
  <c r="E27" i="15"/>
  <c r="D27" i="15"/>
  <c r="F26" i="15"/>
  <c r="G26" i="15" s="1"/>
  <c r="E26" i="15"/>
  <c r="D26" i="15"/>
  <c r="F25" i="15"/>
  <c r="G25" i="15" s="1"/>
  <c r="E25" i="15"/>
  <c r="D25" i="15"/>
  <c r="F24" i="15"/>
  <c r="G24" i="15" s="1"/>
  <c r="E24" i="15"/>
  <c r="D24" i="15"/>
  <c r="F23" i="15"/>
  <c r="G23" i="15" s="1"/>
  <c r="E23" i="15"/>
  <c r="D23" i="15"/>
  <c r="F22" i="15"/>
  <c r="G22" i="15" s="1"/>
  <c r="E22" i="15"/>
  <c r="D22" i="15"/>
  <c r="F21" i="15"/>
  <c r="G21" i="15" s="1"/>
  <c r="E21" i="15"/>
  <c r="D21" i="15"/>
  <c r="F20" i="15"/>
  <c r="G20" i="15" s="1"/>
  <c r="E20" i="15"/>
  <c r="D20" i="15"/>
  <c r="F19" i="15"/>
  <c r="G19" i="15" s="1"/>
  <c r="E19" i="15"/>
  <c r="D19" i="15"/>
  <c r="F18" i="15"/>
  <c r="G18" i="15" s="1"/>
  <c r="E18" i="15"/>
  <c r="D18" i="15"/>
  <c r="F17" i="15"/>
  <c r="G17" i="15" s="1"/>
  <c r="E17" i="15"/>
  <c r="D17" i="15"/>
  <c r="F16" i="15"/>
  <c r="G16" i="15" s="1"/>
  <c r="E16" i="15"/>
  <c r="D16" i="15"/>
  <c r="F15" i="15"/>
  <c r="G15" i="15" s="1"/>
  <c r="E15" i="15"/>
  <c r="D15" i="15"/>
  <c r="F14" i="15"/>
  <c r="G14" i="15" s="1"/>
  <c r="E14" i="15"/>
  <c r="D14" i="15"/>
  <c r="F13" i="15"/>
  <c r="G13" i="15" s="1"/>
  <c r="E13" i="15"/>
  <c r="D13" i="15"/>
  <c r="F12" i="15"/>
  <c r="G12" i="15" s="1"/>
  <c r="E12" i="15"/>
  <c r="D12" i="15"/>
  <c r="F11" i="15"/>
  <c r="G11" i="15" s="1"/>
  <c r="E11" i="15"/>
  <c r="D11" i="15"/>
  <c r="F10" i="15"/>
  <c r="E19" i="6" l="1"/>
  <c r="E18" i="6"/>
  <c r="E13" i="6" l="1"/>
  <c r="E12" i="6" l="1"/>
  <c r="X4" i="5" l="1"/>
  <c r="H711" i="16" l="1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5" i="16"/>
  <c r="H684" i="16"/>
  <c r="H683" i="16"/>
  <c r="H682" i="16"/>
  <c r="H681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4" i="16"/>
  <c r="H653" i="16"/>
  <c r="H652" i="16"/>
  <c r="H651" i="16"/>
  <c r="H650" i="16"/>
  <c r="H649" i="16"/>
  <c r="H648" i="16"/>
  <c r="H647" i="16"/>
  <c r="H646" i="16"/>
  <c r="H645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8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H499" i="16"/>
  <c r="H498" i="16"/>
  <c r="H497" i="16"/>
  <c r="H496" i="16"/>
  <c r="H495" i="16"/>
  <c r="H494" i="16"/>
  <c r="H493" i="16"/>
  <c r="H492" i="16"/>
  <c r="H491" i="16"/>
  <c r="H490" i="16"/>
  <c r="H489" i="16"/>
  <c r="H488" i="16"/>
  <c r="H487" i="16"/>
  <c r="H486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9" i="16"/>
  <c r="H458" i="16"/>
  <c r="H457" i="16"/>
  <c r="H456" i="16"/>
  <c r="H455" i="16"/>
  <c r="H454" i="16"/>
  <c r="H453" i="16"/>
  <c r="H452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8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H48" i="16"/>
  <c r="H47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F711" i="16" l="1"/>
  <c r="F710" i="16"/>
  <c r="F709" i="16"/>
  <c r="F708" i="16"/>
  <c r="F707" i="16"/>
  <c r="F706" i="16"/>
  <c r="F705" i="16"/>
  <c r="F704" i="16"/>
  <c r="F703" i="16"/>
  <c r="F702" i="16"/>
  <c r="F701" i="16"/>
  <c r="F700" i="16"/>
  <c r="F699" i="16"/>
  <c r="F698" i="16"/>
  <c r="F697" i="16"/>
  <c r="F696" i="16"/>
  <c r="F695" i="16"/>
  <c r="F694" i="16"/>
  <c r="F693" i="16"/>
  <c r="F692" i="16"/>
  <c r="F691" i="16"/>
  <c r="F690" i="16"/>
  <c r="F689" i="16"/>
  <c r="F688" i="16"/>
  <c r="F687" i="16"/>
  <c r="F686" i="16"/>
  <c r="F685" i="16"/>
  <c r="F684" i="16"/>
  <c r="F683" i="16"/>
  <c r="F682" i="16"/>
  <c r="F681" i="16"/>
  <c r="F680" i="16"/>
  <c r="F679" i="16"/>
  <c r="F678" i="16"/>
  <c r="F677" i="16"/>
  <c r="F676" i="16"/>
  <c r="F675" i="16"/>
  <c r="F674" i="16"/>
  <c r="F673" i="16"/>
  <c r="F672" i="16"/>
  <c r="F671" i="16"/>
  <c r="F670" i="16"/>
  <c r="F669" i="16"/>
  <c r="F668" i="16"/>
  <c r="F667" i="16"/>
  <c r="F666" i="16"/>
  <c r="F665" i="16"/>
  <c r="F664" i="16"/>
  <c r="F663" i="16"/>
  <c r="F662" i="16"/>
  <c r="F661" i="16"/>
  <c r="F660" i="16"/>
  <c r="F659" i="16"/>
  <c r="F658" i="16"/>
  <c r="F657" i="16"/>
  <c r="F656" i="16"/>
  <c r="F655" i="16"/>
  <c r="F654" i="16"/>
  <c r="F653" i="16"/>
  <c r="F652" i="16"/>
  <c r="F651" i="16"/>
  <c r="F650" i="16"/>
  <c r="F649" i="16"/>
  <c r="F648" i="16"/>
  <c r="F647" i="16"/>
  <c r="F646" i="16"/>
  <c r="F645" i="16"/>
  <c r="F644" i="16"/>
  <c r="F643" i="16"/>
  <c r="F642" i="16"/>
  <c r="F641" i="16"/>
  <c r="F640" i="16"/>
  <c r="F639" i="16"/>
  <c r="F638" i="16"/>
  <c r="F637" i="16"/>
  <c r="F636" i="16"/>
  <c r="F635" i="16"/>
  <c r="F634" i="16"/>
  <c r="F633" i="16"/>
  <c r="F632" i="16"/>
  <c r="F631" i="16"/>
  <c r="F630" i="16"/>
  <c r="F629" i="16"/>
  <c r="F628" i="16"/>
  <c r="F627" i="16"/>
  <c r="F626" i="16"/>
  <c r="F625" i="16"/>
  <c r="F624" i="16"/>
  <c r="F623" i="16"/>
  <c r="F622" i="16"/>
  <c r="F621" i="16"/>
  <c r="F620" i="16"/>
  <c r="F619" i="16"/>
  <c r="F618" i="16"/>
  <c r="F617" i="16"/>
  <c r="F616" i="16"/>
  <c r="F615" i="16"/>
  <c r="F614" i="16"/>
  <c r="F613" i="16"/>
  <c r="F612" i="16"/>
  <c r="F611" i="16"/>
  <c r="F610" i="16"/>
  <c r="F609" i="16"/>
  <c r="F608" i="16"/>
  <c r="F607" i="16"/>
  <c r="F606" i="16"/>
  <c r="F605" i="16"/>
  <c r="F604" i="16"/>
  <c r="F603" i="16"/>
  <c r="F602" i="16"/>
  <c r="F601" i="16"/>
  <c r="F600" i="16"/>
  <c r="F599" i="16"/>
  <c r="F598" i="16"/>
  <c r="F597" i="16"/>
  <c r="F596" i="16"/>
  <c r="F595" i="16"/>
  <c r="F594" i="16"/>
  <c r="F593" i="16"/>
  <c r="F592" i="16"/>
  <c r="F591" i="16"/>
  <c r="F590" i="16"/>
  <c r="F589" i="16"/>
  <c r="F588" i="16"/>
  <c r="F587" i="16"/>
  <c r="F586" i="16"/>
  <c r="F585" i="16"/>
  <c r="F584" i="16"/>
  <c r="F583" i="16"/>
  <c r="F582" i="16"/>
  <c r="F581" i="16"/>
  <c r="F580" i="16"/>
  <c r="F579" i="16"/>
  <c r="F578" i="16"/>
  <c r="F577" i="16"/>
  <c r="F576" i="16"/>
  <c r="F575" i="16"/>
  <c r="F574" i="16"/>
  <c r="F573" i="16"/>
  <c r="F572" i="16"/>
  <c r="F571" i="16"/>
  <c r="F570" i="16"/>
  <c r="F569" i="16"/>
  <c r="F568" i="16"/>
  <c r="F567" i="16"/>
  <c r="F566" i="16"/>
  <c r="F565" i="16"/>
  <c r="F564" i="16"/>
  <c r="F563" i="16"/>
  <c r="F562" i="16"/>
  <c r="F561" i="16"/>
  <c r="F560" i="16"/>
  <c r="F559" i="16"/>
  <c r="F558" i="16"/>
  <c r="F557" i="16"/>
  <c r="F556" i="16"/>
  <c r="F555" i="16"/>
  <c r="F554" i="16"/>
  <c r="F553" i="16"/>
  <c r="F552" i="16"/>
  <c r="F551" i="16"/>
  <c r="F550" i="16"/>
  <c r="F549" i="16"/>
  <c r="F548" i="16"/>
  <c r="F547" i="16"/>
  <c r="F546" i="16"/>
  <c r="F545" i="16"/>
  <c r="F544" i="16"/>
  <c r="F543" i="16"/>
  <c r="F542" i="16"/>
  <c r="F541" i="16"/>
  <c r="F540" i="16"/>
  <c r="F539" i="16"/>
  <c r="F538" i="16"/>
  <c r="F537" i="16"/>
  <c r="F536" i="16"/>
  <c r="F535" i="16"/>
  <c r="F534" i="16"/>
  <c r="F533" i="16"/>
  <c r="F532" i="16"/>
  <c r="F531" i="16"/>
  <c r="F530" i="16"/>
  <c r="F529" i="16"/>
  <c r="F528" i="16"/>
  <c r="F527" i="16"/>
  <c r="F526" i="16"/>
  <c r="F525" i="16"/>
  <c r="F524" i="16"/>
  <c r="F523" i="16"/>
  <c r="F522" i="16"/>
  <c r="F521" i="16"/>
  <c r="F520" i="16"/>
  <c r="F519" i="16"/>
  <c r="F518" i="16"/>
  <c r="F517" i="16"/>
  <c r="F516" i="16"/>
  <c r="F515" i="16"/>
  <c r="F514" i="16"/>
  <c r="F513" i="16"/>
  <c r="F512" i="16"/>
  <c r="F511" i="16"/>
  <c r="F510" i="16"/>
  <c r="F509" i="16"/>
  <c r="F508" i="16"/>
  <c r="F507" i="16"/>
  <c r="F506" i="16"/>
  <c r="F505" i="16"/>
  <c r="F504" i="16"/>
  <c r="F503" i="16"/>
  <c r="F502" i="16"/>
  <c r="F501" i="16"/>
  <c r="F500" i="16"/>
  <c r="F499" i="16"/>
  <c r="F498" i="16"/>
  <c r="F497" i="16"/>
  <c r="F496" i="16"/>
  <c r="F495" i="16"/>
  <c r="F494" i="16"/>
  <c r="F493" i="16"/>
  <c r="F492" i="16"/>
  <c r="F491" i="16"/>
  <c r="F490" i="16"/>
  <c r="F489" i="16"/>
  <c r="F488" i="16"/>
  <c r="F487" i="16"/>
  <c r="F486" i="16"/>
  <c r="F485" i="16"/>
  <c r="F484" i="16"/>
  <c r="F483" i="16"/>
  <c r="F482" i="16"/>
  <c r="F481" i="16"/>
  <c r="F480" i="16"/>
  <c r="F479" i="16"/>
  <c r="F478" i="16"/>
  <c r="F477" i="16"/>
  <c r="F476" i="16"/>
  <c r="F475" i="16"/>
  <c r="F474" i="16"/>
  <c r="F473" i="16"/>
  <c r="F472" i="16"/>
  <c r="F471" i="16"/>
  <c r="F470" i="16"/>
  <c r="F469" i="16"/>
  <c r="F468" i="16"/>
  <c r="F467" i="16"/>
  <c r="F466" i="16"/>
  <c r="F465" i="16"/>
  <c r="F464" i="16"/>
  <c r="F463" i="16"/>
  <c r="F462" i="16"/>
  <c r="F461" i="16"/>
  <c r="F460" i="16"/>
  <c r="F459" i="16"/>
  <c r="F458" i="16"/>
  <c r="F457" i="16"/>
  <c r="F456" i="16"/>
  <c r="F455" i="16"/>
  <c r="F454" i="16"/>
  <c r="F453" i="16"/>
  <c r="F452" i="16"/>
  <c r="F451" i="16"/>
  <c r="F450" i="16"/>
  <c r="F449" i="16"/>
  <c r="F448" i="16"/>
  <c r="F447" i="16"/>
  <c r="F446" i="16"/>
  <c r="F445" i="16"/>
  <c r="F444" i="16"/>
  <c r="F443" i="16"/>
  <c r="F442" i="16"/>
  <c r="F441" i="16"/>
  <c r="F440" i="16"/>
  <c r="F439" i="16"/>
  <c r="F438" i="16"/>
  <c r="F437" i="16"/>
  <c r="F436" i="16"/>
  <c r="F435" i="16"/>
  <c r="F434" i="16"/>
  <c r="F433" i="16"/>
  <c r="F432" i="16"/>
  <c r="F431" i="16"/>
  <c r="F430" i="16"/>
  <c r="F429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6" i="16"/>
  <c r="F415" i="16"/>
  <c r="F414" i="16"/>
  <c r="F413" i="16"/>
  <c r="F412" i="16"/>
  <c r="F411" i="16"/>
  <c r="F410" i="16"/>
  <c r="F409" i="16"/>
  <c r="F408" i="16"/>
  <c r="F407" i="16"/>
  <c r="F406" i="16"/>
  <c r="F405" i="16"/>
  <c r="F404" i="16"/>
  <c r="F403" i="16"/>
  <c r="F402" i="16"/>
  <c r="F401" i="16"/>
  <c r="F400" i="16"/>
  <c r="F399" i="16"/>
  <c r="F398" i="16"/>
  <c r="F397" i="16"/>
  <c r="F396" i="16"/>
  <c r="F395" i="16"/>
  <c r="F394" i="16"/>
  <c r="F393" i="16"/>
  <c r="F392" i="16"/>
  <c r="F391" i="16"/>
  <c r="F390" i="16"/>
  <c r="F389" i="16"/>
  <c r="F388" i="16"/>
  <c r="F387" i="16"/>
  <c r="F386" i="16"/>
  <c r="F385" i="16"/>
  <c r="F384" i="16"/>
  <c r="F383" i="16"/>
  <c r="F382" i="16"/>
  <c r="F381" i="16"/>
  <c r="F380" i="16"/>
  <c r="F379" i="16"/>
  <c r="F378" i="16"/>
  <c r="F377" i="16"/>
  <c r="F376" i="16"/>
  <c r="F375" i="16"/>
  <c r="F374" i="16"/>
  <c r="F373" i="16"/>
  <c r="F372" i="16"/>
  <c r="F371" i="16"/>
  <c r="F370" i="16"/>
  <c r="F369" i="16"/>
  <c r="F368" i="16"/>
  <c r="F367" i="16"/>
  <c r="F366" i="16"/>
  <c r="F365" i="16"/>
  <c r="F364" i="16"/>
  <c r="F363" i="16"/>
  <c r="F362" i="16"/>
  <c r="F361" i="16"/>
  <c r="F360" i="16"/>
  <c r="F359" i="16"/>
  <c r="F358" i="16"/>
  <c r="F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7" i="16"/>
  <c r="F336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3" i="16"/>
  <c r="F322" i="16"/>
  <c r="F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F307" i="16"/>
  <c r="F306" i="16"/>
  <c r="F305" i="16"/>
  <c r="F304" i="16"/>
  <c r="F303" i="16"/>
  <c r="F302" i="16"/>
  <c r="F301" i="16"/>
  <c r="F300" i="16"/>
  <c r="F299" i="16"/>
  <c r="F298" i="16"/>
  <c r="F297" i="16"/>
  <c r="F296" i="16"/>
  <c r="F295" i="16"/>
  <c r="F294" i="16"/>
  <c r="F293" i="16"/>
  <c r="F292" i="16"/>
  <c r="F291" i="16"/>
  <c r="F290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F247" i="16"/>
  <c r="F246" i="16"/>
  <c r="F245" i="16"/>
  <c r="F244" i="16"/>
  <c r="F243" i="16"/>
  <c r="F242" i="16"/>
  <c r="F241" i="16"/>
  <c r="F240" i="16"/>
  <c r="F239" i="16"/>
  <c r="F238" i="16"/>
  <c r="F237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L9" i="16" l="1"/>
  <c r="J9" i="16"/>
  <c r="I9" i="16"/>
  <c r="H9" i="16"/>
  <c r="G9" i="16"/>
  <c r="E9" i="16"/>
  <c r="D9" i="16"/>
  <c r="H8" i="16"/>
  <c r="A8" i="16"/>
  <c r="AO5" i="16"/>
  <c r="J5" i="16"/>
  <c r="I5" i="16"/>
  <c r="J4" i="16"/>
  <c r="A4" i="16"/>
  <c r="AA3" i="16"/>
  <c r="AA4" i="16" s="1"/>
  <c r="J3" i="16"/>
  <c r="J2" i="16"/>
  <c r="A1" i="16"/>
  <c r="AA3" i="15" l="1"/>
  <c r="AA4" i="15" s="1"/>
  <c r="H102" i="15" s="1"/>
  <c r="AA3" i="13"/>
  <c r="AA4" i="13" s="1"/>
  <c r="AA3" i="12"/>
  <c r="AA4" i="12" s="1"/>
  <c r="AA3" i="10"/>
  <c r="AA4" i="10" s="1"/>
  <c r="X4" i="7"/>
  <c r="J102" i="15" l="1"/>
  <c r="L102" i="15" s="1"/>
  <c r="I102" i="15"/>
  <c r="H345" i="15"/>
  <c r="H333" i="15"/>
  <c r="H321" i="15"/>
  <c r="H309" i="15"/>
  <c r="H297" i="15"/>
  <c r="H285" i="15"/>
  <c r="H273" i="15"/>
  <c r="H261" i="15"/>
  <c r="H249" i="15"/>
  <c r="H237" i="15"/>
  <c r="H225" i="15"/>
  <c r="H213" i="15"/>
  <c r="H201" i="15"/>
  <c r="H189" i="15"/>
  <c r="H177" i="15"/>
  <c r="H165" i="15"/>
  <c r="H153" i="15"/>
  <c r="H141" i="15"/>
  <c r="H129" i="15"/>
  <c r="H117" i="15"/>
  <c r="H93" i="15"/>
  <c r="H81" i="15"/>
  <c r="H69" i="15"/>
  <c r="H57" i="15"/>
  <c r="H45" i="15"/>
  <c r="H33" i="15"/>
  <c r="H21" i="15"/>
  <c r="H287" i="15"/>
  <c r="H155" i="15"/>
  <c r="H23" i="15"/>
  <c r="H344" i="15"/>
  <c r="H332" i="15"/>
  <c r="H320" i="15"/>
  <c r="H308" i="15"/>
  <c r="H296" i="15"/>
  <c r="H284" i="15"/>
  <c r="H272" i="15"/>
  <c r="H260" i="15"/>
  <c r="H248" i="15"/>
  <c r="H236" i="15"/>
  <c r="H224" i="15"/>
  <c r="H212" i="15"/>
  <c r="H200" i="15"/>
  <c r="H188" i="15"/>
  <c r="H176" i="15"/>
  <c r="H164" i="15"/>
  <c r="H152" i="15"/>
  <c r="H140" i="15"/>
  <c r="H128" i="15"/>
  <c r="H116" i="15"/>
  <c r="H105" i="15"/>
  <c r="H92" i="15"/>
  <c r="H80" i="15"/>
  <c r="H68" i="15"/>
  <c r="H56" i="15"/>
  <c r="H44" i="15"/>
  <c r="H32" i="15"/>
  <c r="H20" i="15"/>
  <c r="H263" i="15"/>
  <c r="H131" i="15"/>
  <c r="H343" i="15"/>
  <c r="H331" i="15"/>
  <c r="H319" i="15"/>
  <c r="H307" i="15"/>
  <c r="H295" i="15"/>
  <c r="H283" i="15"/>
  <c r="H271" i="15"/>
  <c r="H259" i="15"/>
  <c r="H247" i="15"/>
  <c r="H235" i="15"/>
  <c r="H223" i="15"/>
  <c r="H211" i="15"/>
  <c r="H199" i="15"/>
  <c r="H187" i="15"/>
  <c r="H175" i="15"/>
  <c r="H163" i="15"/>
  <c r="H151" i="15"/>
  <c r="H139" i="15"/>
  <c r="H127" i="15"/>
  <c r="H115" i="15"/>
  <c r="H104" i="15"/>
  <c r="H91" i="15"/>
  <c r="H79" i="15"/>
  <c r="H67" i="15"/>
  <c r="H55" i="15"/>
  <c r="H43" i="15"/>
  <c r="H31" i="15"/>
  <c r="H19" i="15"/>
  <c r="H323" i="15"/>
  <c r="H167" i="15"/>
  <c r="H47" i="15"/>
  <c r="H342" i="15"/>
  <c r="H330" i="15"/>
  <c r="H318" i="15"/>
  <c r="H306" i="15"/>
  <c r="H294" i="15"/>
  <c r="H282" i="15"/>
  <c r="H270" i="15"/>
  <c r="H258" i="15"/>
  <c r="H246" i="15"/>
  <c r="H234" i="15"/>
  <c r="H222" i="15"/>
  <c r="H210" i="15"/>
  <c r="H198" i="15"/>
  <c r="H186" i="15"/>
  <c r="H174" i="15"/>
  <c r="H162" i="15"/>
  <c r="H150" i="15"/>
  <c r="H138" i="15"/>
  <c r="H126" i="15"/>
  <c r="H114" i="15"/>
  <c r="H103" i="15"/>
  <c r="H90" i="15"/>
  <c r="H78" i="15"/>
  <c r="H66" i="15"/>
  <c r="H54" i="15"/>
  <c r="H42" i="15"/>
  <c r="H30" i="15"/>
  <c r="H18" i="15"/>
  <c r="H275" i="15"/>
  <c r="H203" i="15"/>
  <c r="H83" i="15"/>
  <c r="H341" i="15"/>
  <c r="H329" i="15"/>
  <c r="H317" i="15"/>
  <c r="H305" i="15"/>
  <c r="H293" i="15"/>
  <c r="H281" i="15"/>
  <c r="H269" i="15"/>
  <c r="H257" i="15"/>
  <c r="H245" i="15"/>
  <c r="H233" i="15"/>
  <c r="H221" i="15"/>
  <c r="H209" i="15"/>
  <c r="H197" i="15"/>
  <c r="H185" i="15"/>
  <c r="H173" i="15"/>
  <c r="H161" i="15"/>
  <c r="H149" i="15"/>
  <c r="H137" i="15"/>
  <c r="H125" i="15"/>
  <c r="H113" i="15"/>
  <c r="H101" i="15"/>
  <c r="H89" i="15"/>
  <c r="H77" i="15"/>
  <c r="H65" i="15"/>
  <c r="H53" i="15"/>
  <c r="H41" i="15"/>
  <c r="H29" i="15"/>
  <c r="H17" i="15"/>
  <c r="H311" i="15"/>
  <c r="H143" i="15"/>
  <c r="H11" i="15"/>
  <c r="H340" i="15"/>
  <c r="H328" i="15"/>
  <c r="H316" i="15"/>
  <c r="H304" i="15"/>
  <c r="H292" i="15"/>
  <c r="H280" i="15"/>
  <c r="H268" i="15"/>
  <c r="H256" i="15"/>
  <c r="H244" i="15"/>
  <c r="H232" i="15"/>
  <c r="H220" i="15"/>
  <c r="H208" i="15"/>
  <c r="H196" i="15"/>
  <c r="H184" i="15"/>
  <c r="H172" i="15"/>
  <c r="H160" i="15"/>
  <c r="H148" i="15"/>
  <c r="H136" i="15"/>
  <c r="H124" i="15"/>
  <c r="H112" i="15"/>
  <c r="H100" i="15"/>
  <c r="H88" i="15"/>
  <c r="H76" i="15"/>
  <c r="H64" i="15"/>
  <c r="H52" i="15"/>
  <c r="H40" i="15"/>
  <c r="H28" i="15"/>
  <c r="H16" i="15"/>
  <c r="H299" i="15"/>
  <c r="H119" i="15"/>
  <c r="H339" i="15"/>
  <c r="H327" i="15"/>
  <c r="H315" i="15"/>
  <c r="H303" i="15"/>
  <c r="H291" i="15"/>
  <c r="H279" i="15"/>
  <c r="H267" i="15"/>
  <c r="H255" i="15"/>
  <c r="H243" i="15"/>
  <c r="H231" i="15"/>
  <c r="H219" i="15"/>
  <c r="H207" i="15"/>
  <c r="H195" i="15"/>
  <c r="H183" i="15"/>
  <c r="H171" i="15"/>
  <c r="H159" i="15"/>
  <c r="H147" i="15"/>
  <c r="H135" i="15"/>
  <c r="H123" i="15"/>
  <c r="H111" i="15"/>
  <c r="H99" i="15"/>
  <c r="H87" i="15"/>
  <c r="H75" i="15"/>
  <c r="H63" i="15"/>
  <c r="H51" i="15"/>
  <c r="H39" i="15"/>
  <c r="H27" i="15"/>
  <c r="H15" i="15"/>
  <c r="H239" i="15"/>
  <c r="H95" i="15"/>
  <c r="H338" i="15"/>
  <c r="H326" i="15"/>
  <c r="H314" i="15"/>
  <c r="H302" i="15"/>
  <c r="H290" i="15"/>
  <c r="H278" i="15"/>
  <c r="H266" i="15"/>
  <c r="H254" i="15"/>
  <c r="H242" i="15"/>
  <c r="H230" i="15"/>
  <c r="H218" i="15"/>
  <c r="H206" i="15"/>
  <c r="H194" i="15"/>
  <c r="H182" i="15"/>
  <c r="H170" i="15"/>
  <c r="H158" i="15"/>
  <c r="H146" i="15"/>
  <c r="H134" i="15"/>
  <c r="H122" i="15"/>
  <c r="H110" i="15"/>
  <c r="H98" i="15"/>
  <c r="H86" i="15"/>
  <c r="H74" i="15"/>
  <c r="H62" i="15"/>
  <c r="H50" i="15"/>
  <c r="H38" i="15"/>
  <c r="H26" i="15"/>
  <c r="H14" i="15"/>
  <c r="H251" i="15"/>
  <c r="H107" i="15"/>
  <c r="H337" i="15"/>
  <c r="H325" i="15"/>
  <c r="H313" i="15"/>
  <c r="H301" i="15"/>
  <c r="H289" i="15"/>
  <c r="H277" i="15"/>
  <c r="H265" i="15"/>
  <c r="H253" i="15"/>
  <c r="H241" i="15"/>
  <c r="H229" i="15"/>
  <c r="H217" i="15"/>
  <c r="H205" i="15"/>
  <c r="H193" i="15"/>
  <c r="H181" i="15"/>
  <c r="H169" i="15"/>
  <c r="H157" i="15"/>
  <c r="H145" i="15"/>
  <c r="H133" i="15"/>
  <c r="H121" i="15"/>
  <c r="H109" i="15"/>
  <c r="H97" i="15"/>
  <c r="H85" i="15"/>
  <c r="H73" i="15"/>
  <c r="H61" i="15"/>
  <c r="H49" i="15"/>
  <c r="H37" i="15"/>
  <c r="H25" i="15"/>
  <c r="H13" i="15"/>
  <c r="H227" i="15"/>
  <c r="H179" i="15"/>
  <c r="H35" i="15"/>
  <c r="H336" i="15"/>
  <c r="H324" i="15"/>
  <c r="H312" i="15"/>
  <c r="H300" i="15"/>
  <c r="H288" i="15"/>
  <c r="H276" i="15"/>
  <c r="H264" i="15"/>
  <c r="H252" i="15"/>
  <c r="H240" i="15"/>
  <c r="H228" i="15"/>
  <c r="H216" i="15"/>
  <c r="H204" i="15"/>
  <c r="H192" i="15"/>
  <c r="H180" i="15"/>
  <c r="H168" i="15"/>
  <c r="H156" i="15"/>
  <c r="H144" i="15"/>
  <c r="H132" i="15"/>
  <c r="H120" i="15"/>
  <c r="H108" i="15"/>
  <c r="H96" i="15"/>
  <c r="H84" i="15"/>
  <c r="H72" i="15"/>
  <c r="H60" i="15"/>
  <c r="H48" i="15"/>
  <c r="H36" i="15"/>
  <c r="H24" i="15"/>
  <c r="H12" i="15"/>
  <c r="H335" i="15"/>
  <c r="H191" i="15"/>
  <c r="H59" i="15"/>
  <c r="H334" i="15"/>
  <c r="H322" i="15"/>
  <c r="H310" i="15"/>
  <c r="H298" i="15"/>
  <c r="H286" i="15"/>
  <c r="H274" i="15"/>
  <c r="H262" i="15"/>
  <c r="H250" i="15"/>
  <c r="H238" i="15"/>
  <c r="H226" i="15"/>
  <c r="H214" i="15"/>
  <c r="H202" i="15"/>
  <c r="H190" i="15"/>
  <c r="H178" i="15"/>
  <c r="H166" i="15"/>
  <c r="H154" i="15"/>
  <c r="H142" i="15"/>
  <c r="H130" i="15"/>
  <c r="H118" i="15"/>
  <c r="H106" i="15"/>
  <c r="H94" i="15"/>
  <c r="H82" i="15"/>
  <c r="H70" i="15"/>
  <c r="H58" i="15"/>
  <c r="H46" i="15"/>
  <c r="H34" i="15"/>
  <c r="H22" i="15"/>
  <c r="H215" i="15"/>
  <c r="H71" i="15"/>
  <c r="AA3" i="7"/>
  <c r="AA4" i="7" s="1"/>
  <c r="I123" i="15" l="1"/>
  <c r="J123" i="15"/>
  <c r="L123" i="15" s="1"/>
  <c r="I130" i="15"/>
  <c r="J130" i="15"/>
  <c r="L130" i="15" s="1"/>
  <c r="J274" i="15"/>
  <c r="L274" i="15" s="1"/>
  <c r="I274" i="15"/>
  <c r="J48" i="15"/>
  <c r="L48" i="15" s="1"/>
  <c r="I48" i="15"/>
  <c r="J192" i="15"/>
  <c r="L192" i="15" s="1"/>
  <c r="I192" i="15"/>
  <c r="J336" i="15"/>
  <c r="L336" i="15" s="1"/>
  <c r="I336" i="15"/>
  <c r="I109" i="15"/>
  <c r="J109" i="15"/>
  <c r="L109" i="15" s="1"/>
  <c r="I253" i="15"/>
  <c r="J253" i="15"/>
  <c r="L253" i="15" s="1"/>
  <c r="I38" i="15"/>
  <c r="J38" i="15"/>
  <c r="L38" i="15" s="1"/>
  <c r="I182" i="15"/>
  <c r="J182" i="15"/>
  <c r="L182" i="15" s="1"/>
  <c r="J326" i="15"/>
  <c r="L326" i="15" s="1"/>
  <c r="I326" i="15"/>
  <c r="J111" i="15"/>
  <c r="L111" i="15" s="1"/>
  <c r="I111" i="15"/>
  <c r="I255" i="15"/>
  <c r="J255" i="15"/>
  <c r="L255" i="15" s="1"/>
  <c r="I40" i="15"/>
  <c r="J40" i="15"/>
  <c r="L40" i="15" s="1"/>
  <c r="J184" i="15"/>
  <c r="L184" i="15" s="1"/>
  <c r="I184" i="15"/>
  <c r="J328" i="15"/>
  <c r="L328" i="15" s="1"/>
  <c r="I328" i="15"/>
  <c r="I101" i="15"/>
  <c r="J101" i="15"/>
  <c r="L101" i="15" s="1"/>
  <c r="I245" i="15"/>
  <c r="J245" i="15"/>
  <c r="L245" i="15" s="1"/>
  <c r="J18" i="15"/>
  <c r="L18" i="15" s="1"/>
  <c r="I18" i="15"/>
  <c r="J162" i="15"/>
  <c r="L162" i="15" s="1"/>
  <c r="I162" i="15"/>
  <c r="J306" i="15"/>
  <c r="L306" i="15" s="1"/>
  <c r="I306" i="15"/>
  <c r="J79" i="15"/>
  <c r="L79" i="15" s="1"/>
  <c r="I79" i="15"/>
  <c r="J223" i="15"/>
  <c r="L223" i="15" s="1"/>
  <c r="I223" i="15"/>
  <c r="I263" i="15"/>
  <c r="J263" i="15"/>
  <c r="L263" i="15" s="1"/>
  <c r="I152" i="15"/>
  <c r="J152" i="15"/>
  <c r="L152" i="15" s="1"/>
  <c r="I296" i="15"/>
  <c r="J296" i="15"/>
  <c r="L296" i="15" s="1"/>
  <c r="J69" i="15"/>
  <c r="L69" i="15" s="1"/>
  <c r="I69" i="15"/>
  <c r="I213" i="15"/>
  <c r="J213" i="15"/>
  <c r="L213" i="15" s="1"/>
  <c r="J60" i="15"/>
  <c r="L60" i="15" s="1"/>
  <c r="I60" i="15"/>
  <c r="I196" i="15"/>
  <c r="J196" i="15"/>
  <c r="L196" i="15" s="1"/>
  <c r="I164" i="15"/>
  <c r="J164" i="15"/>
  <c r="L164" i="15" s="1"/>
  <c r="I215" i="15"/>
  <c r="J215" i="15"/>
  <c r="L215" i="15" s="1"/>
  <c r="J154" i="15"/>
  <c r="L154" i="15" s="1"/>
  <c r="I154" i="15"/>
  <c r="J298" i="15"/>
  <c r="L298" i="15" s="1"/>
  <c r="I298" i="15"/>
  <c r="J72" i="15"/>
  <c r="L72" i="15" s="1"/>
  <c r="I72" i="15"/>
  <c r="I216" i="15"/>
  <c r="J216" i="15"/>
  <c r="L216" i="15" s="1"/>
  <c r="I179" i="15"/>
  <c r="J179" i="15"/>
  <c r="L179" i="15" s="1"/>
  <c r="J133" i="15"/>
  <c r="L133" i="15" s="1"/>
  <c r="I133" i="15"/>
  <c r="I277" i="15"/>
  <c r="J277" i="15"/>
  <c r="L277" i="15" s="1"/>
  <c r="I62" i="15"/>
  <c r="J62" i="15"/>
  <c r="L62" i="15" s="1"/>
  <c r="I206" i="15"/>
  <c r="J206" i="15"/>
  <c r="L206" i="15" s="1"/>
  <c r="I95" i="15"/>
  <c r="J95" i="15"/>
  <c r="L95" i="15" s="1"/>
  <c r="J135" i="15"/>
  <c r="L135" i="15" s="1"/>
  <c r="I135" i="15"/>
  <c r="I279" i="15"/>
  <c r="J279" i="15"/>
  <c r="L279" i="15" s="1"/>
  <c r="J64" i="15"/>
  <c r="L64" i="15" s="1"/>
  <c r="I64" i="15"/>
  <c r="J208" i="15"/>
  <c r="L208" i="15" s="1"/>
  <c r="I208" i="15"/>
  <c r="I11" i="15"/>
  <c r="J11" i="15"/>
  <c r="L11" i="15" s="1"/>
  <c r="I125" i="15"/>
  <c r="J125" i="15"/>
  <c r="L125" i="15" s="1"/>
  <c r="I269" i="15"/>
  <c r="J269" i="15"/>
  <c r="L269" i="15" s="1"/>
  <c r="J42" i="15"/>
  <c r="L42" i="15" s="1"/>
  <c r="I42" i="15"/>
  <c r="I186" i="15"/>
  <c r="J186" i="15"/>
  <c r="L186" i="15" s="1"/>
  <c r="J330" i="15"/>
  <c r="L330" i="15" s="1"/>
  <c r="I330" i="15"/>
  <c r="J104" i="15"/>
  <c r="L104" i="15" s="1"/>
  <c r="I104" i="15"/>
  <c r="J247" i="15"/>
  <c r="L247" i="15" s="1"/>
  <c r="I247" i="15"/>
  <c r="I32" i="15"/>
  <c r="J32" i="15"/>
  <c r="L32" i="15" s="1"/>
  <c r="I176" i="15"/>
  <c r="J176" i="15"/>
  <c r="L176" i="15" s="1"/>
  <c r="J320" i="15"/>
  <c r="L320" i="15" s="1"/>
  <c r="I320" i="15"/>
  <c r="J93" i="15"/>
  <c r="L93" i="15" s="1"/>
  <c r="I93" i="15"/>
  <c r="I237" i="15"/>
  <c r="J237" i="15"/>
  <c r="L237" i="15" s="1"/>
  <c r="J265" i="15"/>
  <c r="L265" i="15" s="1"/>
  <c r="I265" i="15"/>
  <c r="I174" i="15"/>
  <c r="J174" i="15"/>
  <c r="L174" i="15" s="1"/>
  <c r="I310" i="15"/>
  <c r="J310" i="15"/>
  <c r="L310" i="15" s="1"/>
  <c r="J84" i="15"/>
  <c r="L84" i="15" s="1"/>
  <c r="I84" i="15"/>
  <c r="I228" i="15"/>
  <c r="J228" i="15"/>
  <c r="L228" i="15" s="1"/>
  <c r="I227" i="15"/>
  <c r="J227" i="15"/>
  <c r="L227" i="15" s="1"/>
  <c r="J145" i="15"/>
  <c r="L145" i="15" s="1"/>
  <c r="I145" i="15"/>
  <c r="J289" i="15"/>
  <c r="L289" i="15" s="1"/>
  <c r="I289" i="15"/>
  <c r="I74" i="15"/>
  <c r="J74" i="15"/>
  <c r="L74" i="15" s="1"/>
  <c r="I218" i="15"/>
  <c r="J218" i="15"/>
  <c r="L218" i="15" s="1"/>
  <c r="I239" i="15"/>
  <c r="J239" i="15"/>
  <c r="L239" i="15" s="1"/>
  <c r="I147" i="15"/>
  <c r="J147" i="15"/>
  <c r="L147" i="15" s="1"/>
  <c r="J291" i="15"/>
  <c r="L291" i="15" s="1"/>
  <c r="I291" i="15"/>
  <c r="I76" i="15"/>
  <c r="J76" i="15"/>
  <c r="L76" i="15" s="1"/>
  <c r="J220" i="15"/>
  <c r="L220" i="15" s="1"/>
  <c r="I220" i="15"/>
  <c r="I143" i="15"/>
  <c r="J143" i="15"/>
  <c r="L143" i="15" s="1"/>
  <c r="I137" i="15"/>
  <c r="J137" i="15"/>
  <c r="L137" i="15" s="1"/>
  <c r="I281" i="15"/>
  <c r="J281" i="15"/>
  <c r="L281" i="15" s="1"/>
  <c r="J54" i="15"/>
  <c r="L54" i="15" s="1"/>
  <c r="I54" i="15"/>
  <c r="J198" i="15"/>
  <c r="L198" i="15" s="1"/>
  <c r="I198" i="15"/>
  <c r="J342" i="15"/>
  <c r="L342" i="15" s="1"/>
  <c r="I342" i="15"/>
  <c r="I115" i="15"/>
  <c r="J115" i="15"/>
  <c r="L115" i="15" s="1"/>
  <c r="J259" i="15"/>
  <c r="L259" i="15" s="1"/>
  <c r="I259" i="15"/>
  <c r="I44" i="15"/>
  <c r="J44" i="15"/>
  <c r="L44" i="15" s="1"/>
  <c r="I188" i="15"/>
  <c r="J188" i="15"/>
  <c r="L188" i="15" s="1"/>
  <c r="J332" i="15"/>
  <c r="L332" i="15" s="1"/>
  <c r="I332" i="15"/>
  <c r="I249" i="15"/>
  <c r="J249" i="15"/>
  <c r="L249" i="15" s="1"/>
  <c r="I286" i="15"/>
  <c r="J286" i="15"/>
  <c r="L286" i="15" s="1"/>
  <c r="I267" i="15"/>
  <c r="J267" i="15"/>
  <c r="L267" i="15" s="1"/>
  <c r="I91" i="15"/>
  <c r="J91" i="15"/>
  <c r="L91" i="15" s="1"/>
  <c r="J34" i="15"/>
  <c r="L34" i="15" s="1"/>
  <c r="I34" i="15"/>
  <c r="J178" i="15"/>
  <c r="L178" i="15" s="1"/>
  <c r="I178" i="15"/>
  <c r="J322" i="15"/>
  <c r="L322" i="15" s="1"/>
  <c r="I322" i="15"/>
  <c r="I96" i="15"/>
  <c r="J96" i="15"/>
  <c r="L96" i="15" s="1"/>
  <c r="I240" i="15"/>
  <c r="J240" i="15"/>
  <c r="L240" i="15" s="1"/>
  <c r="I13" i="15"/>
  <c r="J13" i="15"/>
  <c r="L13" i="15" s="1"/>
  <c r="I157" i="15"/>
  <c r="J157" i="15"/>
  <c r="L157" i="15" s="1"/>
  <c r="J301" i="15"/>
  <c r="L301" i="15" s="1"/>
  <c r="I301" i="15"/>
  <c r="I86" i="15"/>
  <c r="J86" i="15"/>
  <c r="L86" i="15" s="1"/>
  <c r="I230" i="15"/>
  <c r="J230" i="15"/>
  <c r="L230" i="15" s="1"/>
  <c r="J15" i="15"/>
  <c r="L15" i="15" s="1"/>
  <c r="I15" i="15"/>
  <c r="J159" i="15"/>
  <c r="L159" i="15" s="1"/>
  <c r="I159" i="15"/>
  <c r="J303" i="15"/>
  <c r="L303" i="15" s="1"/>
  <c r="I303" i="15"/>
  <c r="J88" i="15"/>
  <c r="L88" i="15" s="1"/>
  <c r="I88" i="15"/>
  <c r="I232" i="15"/>
  <c r="J232" i="15"/>
  <c r="L232" i="15" s="1"/>
  <c r="J311" i="15"/>
  <c r="L311" i="15" s="1"/>
  <c r="I311" i="15"/>
  <c r="I149" i="15"/>
  <c r="J149" i="15"/>
  <c r="L149" i="15" s="1"/>
  <c r="J293" i="15"/>
  <c r="L293" i="15" s="1"/>
  <c r="I293" i="15"/>
  <c r="J66" i="15"/>
  <c r="L66" i="15" s="1"/>
  <c r="I66" i="15"/>
  <c r="I210" i="15"/>
  <c r="J210" i="15"/>
  <c r="L210" i="15" s="1"/>
  <c r="I47" i="15"/>
  <c r="J47" i="15"/>
  <c r="L47" i="15" s="1"/>
  <c r="J127" i="15"/>
  <c r="L127" i="15" s="1"/>
  <c r="I127" i="15"/>
  <c r="J271" i="15"/>
  <c r="L271" i="15" s="1"/>
  <c r="I271" i="15"/>
  <c r="I56" i="15"/>
  <c r="J56" i="15"/>
  <c r="L56" i="15" s="1"/>
  <c r="I200" i="15"/>
  <c r="J200" i="15"/>
  <c r="L200" i="15" s="1"/>
  <c r="I344" i="15"/>
  <c r="J344" i="15"/>
  <c r="L344" i="15" s="1"/>
  <c r="I117" i="15"/>
  <c r="J117" i="15"/>
  <c r="L117" i="15" s="1"/>
  <c r="I261" i="15"/>
  <c r="J261" i="15"/>
  <c r="L261" i="15" s="1"/>
  <c r="I121" i="15"/>
  <c r="J121" i="15"/>
  <c r="L121" i="15" s="1"/>
  <c r="I257" i="15"/>
  <c r="J257" i="15"/>
  <c r="L257" i="15" s="1"/>
  <c r="J81" i="15"/>
  <c r="L81" i="15" s="1"/>
  <c r="I81" i="15"/>
  <c r="I252" i="15"/>
  <c r="J252" i="15"/>
  <c r="L252" i="15" s="1"/>
  <c r="J25" i="15"/>
  <c r="L25" i="15" s="1"/>
  <c r="I25" i="15"/>
  <c r="J169" i="15"/>
  <c r="L169" i="15" s="1"/>
  <c r="I169" i="15"/>
  <c r="J313" i="15"/>
  <c r="L313" i="15" s="1"/>
  <c r="I313" i="15"/>
  <c r="I98" i="15"/>
  <c r="J98" i="15"/>
  <c r="L98" i="15" s="1"/>
  <c r="I242" i="15"/>
  <c r="J242" i="15"/>
  <c r="L242" i="15" s="1"/>
  <c r="J27" i="15"/>
  <c r="L27" i="15" s="1"/>
  <c r="I27" i="15"/>
  <c r="J171" i="15"/>
  <c r="L171" i="15" s="1"/>
  <c r="I171" i="15"/>
  <c r="J315" i="15"/>
  <c r="L315" i="15" s="1"/>
  <c r="I315" i="15"/>
  <c r="J100" i="15"/>
  <c r="L100" i="15" s="1"/>
  <c r="I100" i="15"/>
  <c r="I244" i="15"/>
  <c r="J244" i="15"/>
  <c r="L244" i="15" s="1"/>
  <c r="I17" i="15"/>
  <c r="J17" i="15"/>
  <c r="L17" i="15" s="1"/>
  <c r="I161" i="15"/>
  <c r="J161" i="15"/>
  <c r="L161" i="15" s="1"/>
  <c r="I305" i="15"/>
  <c r="J305" i="15"/>
  <c r="L305" i="15" s="1"/>
  <c r="J78" i="15"/>
  <c r="L78" i="15" s="1"/>
  <c r="I78" i="15"/>
  <c r="I222" i="15"/>
  <c r="J222" i="15"/>
  <c r="L222" i="15" s="1"/>
  <c r="I167" i="15"/>
  <c r="J167" i="15"/>
  <c r="L167" i="15" s="1"/>
  <c r="J139" i="15"/>
  <c r="L139" i="15" s="1"/>
  <c r="I139" i="15"/>
  <c r="J283" i="15"/>
  <c r="L283" i="15" s="1"/>
  <c r="I283" i="15"/>
  <c r="I68" i="15"/>
  <c r="J68" i="15"/>
  <c r="L68" i="15" s="1"/>
  <c r="I212" i="15"/>
  <c r="J212" i="15"/>
  <c r="L212" i="15" s="1"/>
  <c r="I23" i="15"/>
  <c r="J23" i="15"/>
  <c r="L23" i="15" s="1"/>
  <c r="J129" i="15"/>
  <c r="L129" i="15" s="1"/>
  <c r="I129" i="15"/>
  <c r="I273" i="15"/>
  <c r="J273" i="15"/>
  <c r="L273" i="15" s="1"/>
  <c r="J338" i="15"/>
  <c r="L338" i="15" s="1"/>
  <c r="I338" i="15"/>
  <c r="I225" i="15"/>
  <c r="J225" i="15"/>
  <c r="L225" i="15" s="1"/>
  <c r="J334" i="15"/>
  <c r="L334" i="15" s="1"/>
  <c r="I334" i="15"/>
  <c r="I202" i="15"/>
  <c r="J202" i="15"/>
  <c r="L202" i="15" s="1"/>
  <c r="I59" i="15"/>
  <c r="J59" i="15"/>
  <c r="L59" i="15" s="1"/>
  <c r="J120" i="15"/>
  <c r="L120" i="15" s="1"/>
  <c r="I120" i="15"/>
  <c r="I264" i="15"/>
  <c r="J264" i="15"/>
  <c r="L264" i="15" s="1"/>
  <c r="J37" i="15"/>
  <c r="L37" i="15" s="1"/>
  <c r="I37" i="15"/>
  <c r="J181" i="15"/>
  <c r="L181" i="15" s="1"/>
  <c r="I181" i="15"/>
  <c r="J325" i="15"/>
  <c r="L325" i="15" s="1"/>
  <c r="I325" i="15"/>
  <c r="I110" i="15"/>
  <c r="J110" i="15"/>
  <c r="L110" i="15" s="1"/>
  <c r="I254" i="15"/>
  <c r="J254" i="15"/>
  <c r="L254" i="15" s="1"/>
  <c r="J39" i="15"/>
  <c r="L39" i="15" s="1"/>
  <c r="I39" i="15"/>
  <c r="I183" i="15"/>
  <c r="J183" i="15"/>
  <c r="L183" i="15" s="1"/>
  <c r="I327" i="15"/>
  <c r="J327" i="15"/>
  <c r="L327" i="15" s="1"/>
  <c r="J112" i="15"/>
  <c r="L112" i="15" s="1"/>
  <c r="I112" i="15"/>
  <c r="I256" i="15"/>
  <c r="J256" i="15"/>
  <c r="L256" i="15" s="1"/>
  <c r="I29" i="15"/>
  <c r="J29" i="15"/>
  <c r="L29" i="15" s="1"/>
  <c r="I173" i="15"/>
  <c r="J173" i="15"/>
  <c r="L173" i="15" s="1"/>
  <c r="I317" i="15"/>
  <c r="J317" i="15"/>
  <c r="L317" i="15" s="1"/>
  <c r="J90" i="15"/>
  <c r="L90" i="15" s="1"/>
  <c r="I90" i="15"/>
  <c r="I234" i="15"/>
  <c r="J234" i="15"/>
  <c r="L234" i="15" s="1"/>
  <c r="I323" i="15"/>
  <c r="J323" i="15"/>
  <c r="L323" i="15" s="1"/>
  <c r="I151" i="15"/>
  <c r="J151" i="15"/>
  <c r="L151" i="15" s="1"/>
  <c r="I295" i="15"/>
  <c r="J295" i="15"/>
  <c r="L295" i="15" s="1"/>
  <c r="I80" i="15"/>
  <c r="J80" i="15"/>
  <c r="L80" i="15" s="1"/>
  <c r="I224" i="15"/>
  <c r="J224" i="15"/>
  <c r="L224" i="15" s="1"/>
  <c r="I155" i="15"/>
  <c r="J155" i="15"/>
  <c r="L155" i="15" s="1"/>
  <c r="J141" i="15"/>
  <c r="L141" i="15" s="1"/>
  <c r="I141" i="15"/>
  <c r="J285" i="15"/>
  <c r="L285" i="15" s="1"/>
  <c r="I285" i="15"/>
  <c r="J204" i="15"/>
  <c r="L204" i="15" s="1"/>
  <c r="I204" i="15"/>
  <c r="J340" i="15"/>
  <c r="L340" i="15" s="1"/>
  <c r="I340" i="15"/>
  <c r="J308" i="15"/>
  <c r="L308" i="15" s="1"/>
  <c r="I308" i="15"/>
  <c r="J190" i="15"/>
  <c r="L190" i="15" s="1"/>
  <c r="I190" i="15"/>
  <c r="J70" i="15"/>
  <c r="L70" i="15" s="1"/>
  <c r="I70" i="15"/>
  <c r="I214" i="15"/>
  <c r="J214" i="15"/>
  <c r="L214" i="15" s="1"/>
  <c r="I191" i="15"/>
  <c r="J191" i="15"/>
  <c r="L191" i="15" s="1"/>
  <c r="J132" i="15"/>
  <c r="L132" i="15" s="1"/>
  <c r="I132" i="15"/>
  <c r="I276" i="15"/>
  <c r="J276" i="15"/>
  <c r="L276" i="15" s="1"/>
  <c r="J49" i="15"/>
  <c r="L49" i="15" s="1"/>
  <c r="I49" i="15"/>
  <c r="I193" i="15"/>
  <c r="J193" i="15"/>
  <c r="L193" i="15" s="1"/>
  <c r="J337" i="15"/>
  <c r="L337" i="15" s="1"/>
  <c r="I337" i="15"/>
  <c r="I122" i="15"/>
  <c r="J122" i="15"/>
  <c r="L122" i="15" s="1"/>
  <c r="I266" i="15"/>
  <c r="J266" i="15"/>
  <c r="L266" i="15" s="1"/>
  <c r="J51" i="15"/>
  <c r="L51" i="15" s="1"/>
  <c r="I51" i="15"/>
  <c r="J195" i="15"/>
  <c r="L195" i="15" s="1"/>
  <c r="I195" i="15"/>
  <c r="J339" i="15"/>
  <c r="L339" i="15" s="1"/>
  <c r="I339" i="15"/>
  <c r="J124" i="15"/>
  <c r="L124" i="15" s="1"/>
  <c r="I124" i="15"/>
  <c r="I268" i="15"/>
  <c r="J268" i="15"/>
  <c r="L268" i="15" s="1"/>
  <c r="I41" i="15"/>
  <c r="J41" i="15"/>
  <c r="L41" i="15" s="1"/>
  <c r="I185" i="15"/>
  <c r="J185" i="15"/>
  <c r="L185" i="15" s="1"/>
  <c r="J329" i="15"/>
  <c r="L329" i="15" s="1"/>
  <c r="I329" i="15"/>
  <c r="I103" i="15"/>
  <c r="J103" i="15"/>
  <c r="L103" i="15" s="1"/>
  <c r="I246" i="15"/>
  <c r="J246" i="15"/>
  <c r="L246" i="15" s="1"/>
  <c r="J19" i="15"/>
  <c r="L19" i="15" s="1"/>
  <c r="I19" i="15"/>
  <c r="I163" i="15"/>
  <c r="J163" i="15"/>
  <c r="L163" i="15" s="1"/>
  <c r="I307" i="15"/>
  <c r="J307" i="15"/>
  <c r="L307" i="15" s="1"/>
  <c r="I92" i="15"/>
  <c r="J92" i="15"/>
  <c r="L92" i="15" s="1"/>
  <c r="I236" i="15"/>
  <c r="J236" i="15"/>
  <c r="L236" i="15" s="1"/>
  <c r="I287" i="15"/>
  <c r="J287" i="15"/>
  <c r="L287" i="15" s="1"/>
  <c r="I153" i="15"/>
  <c r="J153" i="15"/>
  <c r="L153" i="15" s="1"/>
  <c r="J297" i="15"/>
  <c r="L297" i="15" s="1"/>
  <c r="I297" i="15"/>
  <c r="I35" i="15"/>
  <c r="J35" i="15"/>
  <c r="L35" i="15" s="1"/>
  <c r="I113" i="15"/>
  <c r="J113" i="15"/>
  <c r="L113" i="15" s="1"/>
  <c r="J235" i="15"/>
  <c r="L235" i="15" s="1"/>
  <c r="I235" i="15"/>
  <c r="I46" i="15"/>
  <c r="J46" i="15"/>
  <c r="L46" i="15" s="1"/>
  <c r="I58" i="15"/>
  <c r="J58" i="15"/>
  <c r="L58" i="15" s="1"/>
  <c r="J226" i="15"/>
  <c r="L226" i="15" s="1"/>
  <c r="I226" i="15"/>
  <c r="J335" i="15"/>
  <c r="L335" i="15" s="1"/>
  <c r="I335" i="15"/>
  <c r="I144" i="15"/>
  <c r="J144" i="15"/>
  <c r="L144" i="15" s="1"/>
  <c r="I288" i="15"/>
  <c r="J288" i="15"/>
  <c r="L288" i="15" s="1"/>
  <c r="J61" i="15"/>
  <c r="L61" i="15" s="1"/>
  <c r="I61" i="15"/>
  <c r="J205" i="15"/>
  <c r="L205" i="15" s="1"/>
  <c r="I205" i="15"/>
  <c r="I107" i="15"/>
  <c r="J107" i="15"/>
  <c r="L107" i="15" s="1"/>
  <c r="I134" i="15"/>
  <c r="J134" i="15"/>
  <c r="L134" i="15" s="1"/>
  <c r="I278" i="15"/>
  <c r="J278" i="15"/>
  <c r="L278" i="15" s="1"/>
  <c r="J63" i="15"/>
  <c r="L63" i="15" s="1"/>
  <c r="I63" i="15"/>
  <c r="I207" i="15"/>
  <c r="J207" i="15"/>
  <c r="L207" i="15" s="1"/>
  <c r="I119" i="15"/>
  <c r="J119" i="15"/>
  <c r="L119" i="15" s="1"/>
  <c r="J136" i="15"/>
  <c r="L136" i="15" s="1"/>
  <c r="I136" i="15"/>
  <c r="I280" i="15"/>
  <c r="J280" i="15"/>
  <c r="L280" i="15" s="1"/>
  <c r="I53" i="15"/>
  <c r="J53" i="15"/>
  <c r="L53" i="15" s="1"/>
  <c r="I197" i="15"/>
  <c r="J197" i="15"/>
  <c r="L197" i="15" s="1"/>
  <c r="J341" i="15"/>
  <c r="L341" i="15" s="1"/>
  <c r="I341" i="15"/>
  <c r="I114" i="15"/>
  <c r="J114" i="15"/>
  <c r="L114" i="15" s="1"/>
  <c r="I258" i="15"/>
  <c r="J258" i="15"/>
  <c r="L258" i="15" s="1"/>
  <c r="J31" i="15"/>
  <c r="L31" i="15" s="1"/>
  <c r="I31" i="15"/>
  <c r="J175" i="15"/>
  <c r="L175" i="15" s="1"/>
  <c r="I175" i="15"/>
  <c r="J319" i="15"/>
  <c r="L319" i="15" s="1"/>
  <c r="I319" i="15"/>
  <c r="I105" i="15"/>
  <c r="J105" i="15"/>
  <c r="L105" i="15" s="1"/>
  <c r="I248" i="15"/>
  <c r="J248" i="15"/>
  <c r="L248" i="15" s="1"/>
  <c r="J21" i="15"/>
  <c r="L21" i="15" s="1"/>
  <c r="I21" i="15"/>
  <c r="J165" i="15"/>
  <c r="L165" i="15" s="1"/>
  <c r="I165" i="15"/>
  <c r="I309" i="15"/>
  <c r="J309" i="15"/>
  <c r="L309" i="15" s="1"/>
  <c r="I71" i="15"/>
  <c r="J71" i="15"/>
  <c r="L71" i="15" s="1"/>
  <c r="I194" i="15"/>
  <c r="J194" i="15"/>
  <c r="L194" i="15" s="1"/>
  <c r="J318" i="15"/>
  <c r="L318" i="15" s="1"/>
  <c r="I318" i="15"/>
  <c r="I166" i="15"/>
  <c r="J166" i="15"/>
  <c r="L166" i="15" s="1"/>
  <c r="I108" i="15"/>
  <c r="J108" i="15"/>
  <c r="L108" i="15" s="1"/>
  <c r="I82" i="15"/>
  <c r="J82" i="15"/>
  <c r="L82" i="15" s="1"/>
  <c r="I94" i="15"/>
  <c r="J94" i="15"/>
  <c r="L94" i="15" s="1"/>
  <c r="J238" i="15"/>
  <c r="L238" i="15" s="1"/>
  <c r="I238" i="15"/>
  <c r="J12" i="15"/>
  <c r="L12" i="15" s="1"/>
  <c r="I12" i="15"/>
  <c r="J156" i="15"/>
  <c r="L156" i="15" s="1"/>
  <c r="I156" i="15"/>
  <c r="J300" i="15"/>
  <c r="L300" i="15" s="1"/>
  <c r="I300" i="15"/>
  <c r="J73" i="15"/>
  <c r="L73" i="15" s="1"/>
  <c r="I73" i="15"/>
  <c r="I217" i="15"/>
  <c r="J217" i="15"/>
  <c r="L217" i="15" s="1"/>
  <c r="I251" i="15"/>
  <c r="J251" i="15"/>
  <c r="L251" i="15" s="1"/>
  <c r="I146" i="15"/>
  <c r="J146" i="15"/>
  <c r="L146" i="15" s="1"/>
  <c r="J290" i="15"/>
  <c r="L290" i="15" s="1"/>
  <c r="I290" i="15"/>
  <c r="J75" i="15"/>
  <c r="L75" i="15" s="1"/>
  <c r="I75" i="15"/>
  <c r="I219" i="15"/>
  <c r="J219" i="15"/>
  <c r="L219" i="15" s="1"/>
  <c r="I299" i="15"/>
  <c r="J299" i="15"/>
  <c r="L299" i="15" s="1"/>
  <c r="J148" i="15"/>
  <c r="L148" i="15" s="1"/>
  <c r="I148" i="15"/>
  <c r="J292" i="15"/>
  <c r="L292" i="15" s="1"/>
  <c r="I292" i="15"/>
  <c r="I65" i="15"/>
  <c r="J65" i="15"/>
  <c r="L65" i="15" s="1"/>
  <c r="I209" i="15"/>
  <c r="J209" i="15"/>
  <c r="L209" i="15" s="1"/>
  <c r="I83" i="15"/>
  <c r="J83" i="15"/>
  <c r="L83" i="15" s="1"/>
  <c r="J126" i="15"/>
  <c r="L126" i="15" s="1"/>
  <c r="I126" i="15"/>
  <c r="I270" i="15"/>
  <c r="J270" i="15"/>
  <c r="L270" i="15" s="1"/>
  <c r="J43" i="15"/>
  <c r="L43" i="15" s="1"/>
  <c r="I43" i="15"/>
  <c r="I187" i="15"/>
  <c r="J187" i="15"/>
  <c r="L187" i="15" s="1"/>
  <c r="J331" i="15"/>
  <c r="L331" i="15" s="1"/>
  <c r="I331" i="15"/>
  <c r="I116" i="15"/>
  <c r="J116" i="15"/>
  <c r="L116" i="15" s="1"/>
  <c r="I260" i="15"/>
  <c r="J260" i="15"/>
  <c r="L260" i="15" s="1"/>
  <c r="J33" i="15"/>
  <c r="L33" i="15" s="1"/>
  <c r="I33" i="15"/>
  <c r="J177" i="15"/>
  <c r="L177" i="15" s="1"/>
  <c r="I177" i="15"/>
  <c r="J321" i="15"/>
  <c r="L321" i="15" s="1"/>
  <c r="I321" i="15"/>
  <c r="J142" i="15"/>
  <c r="L142" i="15" s="1"/>
  <c r="I142" i="15"/>
  <c r="J52" i="15"/>
  <c r="L52" i="15" s="1"/>
  <c r="I52" i="15"/>
  <c r="I20" i="15"/>
  <c r="J20" i="15"/>
  <c r="L20" i="15" s="1"/>
  <c r="J106" i="15"/>
  <c r="L106" i="15" s="1"/>
  <c r="I106" i="15"/>
  <c r="J24" i="15"/>
  <c r="L24" i="15" s="1"/>
  <c r="I24" i="15"/>
  <c r="J168" i="15"/>
  <c r="L168" i="15" s="1"/>
  <c r="I168" i="15"/>
  <c r="J312" i="15"/>
  <c r="L312" i="15" s="1"/>
  <c r="I312" i="15"/>
  <c r="J85" i="15"/>
  <c r="L85" i="15" s="1"/>
  <c r="I85" i="15"/>
  <c r="I229" i="15"/>
  <c r="J229" i="15"/>
  <c r="L229" i="15" s="1"/>
  <c r="I14" i="15"/>
  <c r="J14" i="15"/>
  <c r="L14" i="15" s="1"/>
  <c r="I158" i="15"/>
  <c r="J158" i="15"/>
  <c r="L158" i="15" s="1"/>
  <c r="I302" i="15"/>
  <c r="J302" i="15"/>
  <c r="L302" i="15" s="1"/>
  <c r="J87" i="15"/>
  <c r="L87" i="15" s="1"/>
  <c r="I87" i="15"/>
  <c r="I231" i="15"/>
  <c r="J231" i="15"/>
  <c r="L231" i="15" s="1"/>
  <c r="J16" i="15"/>
  <c r="L16" i="15" s="1"/>
  <c r="I16" i="15"/>
  <c r="I160" i="15"/>
  <c r="J160" i="15"/>
  <c r="L160" i="15" s="1"/>
  <c r="I304" i="15"/>
  <c r="J304" i="15"/>
  <c r="L304" i="15" s="1"/>
  <c r="I77" i="15"/>
  <c r="J77" i="15"/>
  <c r="L77" i="15" s="1"/>
  <c r="I221" i="15"/>
  <c r="J221" i="15"/>
  <c r="L221" i="15" s="1"/>
  <c r="I203" i="15"/>
  <c r="J203" i="15"/>
  <c r="L203" i="15" s="1"/>
  <c r="I138" i="15"/>
  <c r="J138" i="15"/>
  <c r="L138" i="15" s="1"/>
  <c r="J282" i="15"/>
  <c r="L282" i="15" s="1"/>
  <c r="I282" i="15"/>
  <c r="I55" i="15"/>
  <c r="J55" i="15"/>
  <c r="L55" i="15" s="1"/>
  <c r="J199" i="15"/>
  <c r="L199" i="15" s="1"/>
  <c r="I199" i="15"/>
  <c r="J343" i="15"/>
  <c r="L343" i="15" s="1"/>
  <c r="I343" i="15"/>
  <c r="I128" i="15"/>
  <c r="J128" i="15"/>
  <c r="L128" i="15" s="1"/>
  <c r="I272" i="15"/>
  <c r="J272" i="15"/>
  <c r="L272" i="15" s="1"/>
  <c r="J45" i="15"/>
  <c r="L45" i="15" s="1"/>
  <c r="I45" i="15"/>
  <c r="I189" i="15"/>
  <c r="J189" i="15"/>
  <c r="L189" i="15" s="1"/>
  <c r="J333" i="15"/>
  <c r="L333" i="15" s="1"/>
  <c r="I333" i="15"/>
  <c r="I50" i="15"/>
  <c r="J50" i="15"/>
  <c r="L50" i="15" s="1"/>
  <c r="J30" i="15"/>
  <c r="L30" i="15" s="1"/>
  <c r="I30" i="15"/>
  <c r="J22" i="15"/>
  <c r="L22" i="15" s="1"/>
  <c r="I22" i="15"/>
  <c r="J250" i="15"/>
  <c r="L250" i="15" s="1"/>
  <c r="I250" i="15"/>
  <c r="I118" i="15"/>
  <c r="J118" i="15"/>
  <c r="L118" i="15" s="1"/>
  <c r="J262" i="15"/>
  <c r="L262" i="15" s="1"/>
  <c r="I262" i="15"/>
  <c r="J36" i="15"/>
  <c r="L36" i="15" s="1"/>
  <c r="I36" i="15"/>
  <c r="I180" i="15"/>
  <c r="J180" i="15"/>
  <c r="L180" i="15" s="1"/>
  <c r="J324" i="15"/>
  <c r="L324" i="15" s="1"/>
  <c r="I324" i="15"/>
  <c r="J97" i="15"/>
  <c r="L97" i="15" s="1"/>
  <c r="I97" i="15"/>
  <c r="I241" i="15"/>
  <c r="J241" i="15"/>
  <c r="L241" i="15" s="1"/>
  <c r="I26" i="15"/>
  <c r="J26" i="15"/>
  <c r="L26" i="15" s="1"/>
  <c r="I170" i="15"/>
  <c r="J170" i="15"/>
  <c r="L170" i="15" s="1"/>
  <c r="J314" i="15"/>
  <c r="L314" i="15" s="1"/>
  <c r="I314" i="15"/>
  <c r="J99" i="15"/>
  <c r="L99" i="15" s="1"/>
  <c r="I99" i="15"/>
  <c r="I243" i="15"/>
  <c r="J243" i="15"/>
  <c r="L243" i="15" s="1"/>
  <c r="J28" i="15"/>
  <c r="L28" i="15" s="1"/>
  <c r="I28" i="15"/>
  <c r="J172" i="15"/>
  <c r="L172" i="15" s="1"/>
  <c r="I172" i="15"/>
  <c r="J316" i="15"/>
  <c r="L316" i="15" s="1"/>
  <c r="I316" i="15"/>
  <c r="I89" i="15"/>
  <c r="J89" i="15"/>
  <c r="L89" i="15" s="1"/>
  <c r="I233" i="15"/>
  <c r="J233" i="15"/>
  <c r="L233" i="15" s="1"/>
  <c r="I275" i="15"/>
  <c r="J275" i="15"/>
  <c r="L275" i="15" s="1"/>
  <c r="J150" i="15"/>
  <c r="L150" i="15" s="1"/>
  <c r="I150" i="15"/>
  <c r="J294" i="15"/>
  <c r="L294" i="15" s="1"/>
  <c r="I294" i="15"/>
  <c r="J67" i="15"/>
  <c r="L67" i="15" s="1"/>
  <c r="I67" i="15"/>
  <c r="J211" i="15"/>
  <c r="L211" i="15" s="1"/>
  <c r="I211" i="15"/>
  <c r="I131" i="15"/>
  <c r="J131" i="15"/>
  <c r="L131" i="15" s="1"/>
  <c r="I140" i="15"/>
  <c r="J140" i="15"/>
  <c r="L140" i="15" s="1"/>
  <c r="I284" i="15"/>
  <c r="J284" i="15"/>
  <c r="L284" i="15" s="1"/>
  <c r="J57" i="15"/>
  <c r="L57" i="15" s="1"/>
  <c r="I57" i="15"/>
  <c r="J201" i="15"/>
  <c r="L201" i="15" s="1"/>
  <c r="I201" i="15"/>
  <c r="J345" i="15"/>
  <c r="L345" i="15" s="1"/>
  <c r="I345" i="15"/>
  <c r="V3" i="5"/>
  <c r="V4" i="5"/>
  <c r="V2" i="5"/>
  <c r="AA3" i="5"/>
  <c r="AA4" i="5" s="1"/>
  <c r="E17" i="6" l="1"/>
  <c r="V5" i="7" l="1"/>
  <c r="M43" i="7"/>
  <c r="K43" i="7"/>
  <c r="M42" i="7"/>
  <c r="K42" i="7"/>
  <c r="M41" i="7"/>
  <c r="K41" i="7"/>
  <c r="M40" i="7"/>
  <c r="K40" i="7"/>
  <c r="M39" i="7"/>
  <c r="K39" i="7"/>
  <c r="M38" i="7"/>
  <c r="K38" i="7"/>
  <c r="M37" i="7"/>
  <c r="K37" i="7"/>
  <c r="M36" i="7"/>
  <c r="K36" i="7"/>
  <c r="M34" i="7" l="1"/>
  <c r="K34" i="7"/>
  <c r="M33" i="7"/>
  <c r="K33" i="7"/>
  <c r="M32" i="7"/>
  <c r="K32" i="7"/>
  <c r="M31" i="7"/>
  <c r="K31" i="7"/>
  <c r="M30" i="7"/>
  <c r="K30" i="7"/>
  <c r="M29" i="7"/>
  <c r="K29" i="7"/>
  <c r="M28" i="7"/>
  <c r="K28" i="7"/>
  <c r="M27" i="7"/>
  <c r="K27" i="7"/>
  <c r="M25" i="7"/>
  <c r="K25" i="7"/>
  <c r="M24" i="7"/>
  <c r="K24" i="7"/>
  <c r="M23" i="7"/>
  <c r="K23" i="7"/>
  <c r="M22" i="7"/>
  <c r="K22" i="7"/>
  <c r="M21" i="7"/>
  <c r="K21" i="7"/>
  <c r="M20" i="7"/>
  <c r="K20" i="7"/>
  <c r="M19" i="7"/>
  <c r="K19" i="7"/>
  <c r="M18" i="7"/>
  <c r="K18" i="7"/>
  <c r="D8" i="6" l="1"/>
  <c r="C8" i="6"/>
  <c r="D7" i="6" l="1"/>
  <c r="C7" i="6"/>
  <c r="D33" i="6" l="1"/>
  <c r="B33" i="6"/>
  <c r="E16" i="6" l="1"/>
  <c r="E15" i="6" l="1"/>
  <c r="E14" i="6"/>
  <c r="E11" i="6" l="1"/>
  <c r="L9" i="15" l="1"/>
  <c r="J9" i="15"/>
  <c r="I9" i="15"/>
  <c r="H9" i="15"/>
  <c r="G9" i="15"/>
  <c r="E9" i="15"/>
  <c r="D9" i="15"/>
  <c r="H8" i="15"/>
  <c r="A8" i="15"/>
  <c r="AO5" i="15"/>
  <c r="J5" i="15"/>
  <c r="I5" i="15"/>
  <c r="J4" i="15"/>
  <c r="A4" i="15"/>
  <c r="J3" i="15"/>
  <c r="J2" i="15"/>
  <c r="A1" i="15"/>
  <c r="K19" i="12" l="1"/>
  <c r="K18" i="12"/>
  <c r="K17" i="12"/>
  <c r="K16" i="12"/>
  <c r="K15" i="12"/>
  <c r="K14" i="12"/>
  <c r="K13" i="12"/>
  <c r="K12" i="12"/>
  <c r="K11" i="12"/>
  <c r="K10" i="12"/>
  <c r="K14" i="10"/>
  <c r="K13" i="10"/>
  <c r="K12" i="10"/>
  <c r="K11" i="10"/>
  <c r="K10" i="10"/>
  <c r="K17" i="7"/>
  <c r="K16" i="7"/>
  <c r="K15" i="7"/>
  <c r="K14" i="7"/>
  <c r="K13" i="7"/>
  <c r="K12" i="7"/>
  <c r="K11" i="7"/>
  <c r="K10" i="7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A8" i="12" l="1"/>
  <c r="A1" i="12"/>
  <c r="A8" i="10"/>
  <c r="A1" i="10"/>
  <c r="A8" i="7"/>
  <c r="A8" i="5"/>
  <c r="A8" i="13"/>
  <c r="A1" i="7"/>
  <c r="A1" i="5"/>
  <c r="A1" i="13"/>
  <c r="H16" i="6"/>
  <c r="H18" i="6"/>
  <c r="H15" i="6"/>
  <c r="J18" i="6"/>
  <c r="J17" i="6"/>
  <c r="J16" i="6"/>
  <c r="J15" i="6"/>
  <c r="U4" i="7" l="1"/>
  <c r="BE3" i="7" s="1"/>
  <c r="BE4" i="7" s="1"/>
  <c r="U2" i="7"/>
  <c r="U3" i="7"/>
  <c r="E2" i="6"/>
  <c r="H5" i="6"/>
  <c r="H6" i="6"/>
  <c r="H7" i="6"/>
  <c r="H8" i="6"/>
  <c r="H9" i="6"/>
  <c r="H10" i="6"/>
  <c r="E5" i="6"/>
  <c r="E6" i="6"/>
  <c r="E9" i="6"/>
  <c r="E3" i="6"/>
  <c r="E4" i="6"/>
  <c r="E7" i="6"/>
  <c r="I9" i="12"/>
  <c r="I9" i="10"/>
  <c r="P9" i="7"/>
  <c r="I9" i="7"/>
  <c r="P9" i="5"/>
  <c r="I9" i="5"/>
  <c r="J9" i="13"/>
  <c r="E10" i="6"/>
  <c r="L9" i="12"/>
  <c r="L9" i="10"/>
  <c r="S9" i="7"/>
  <c r="L9" i="7"/>
  <c r="S9" i="5"/>
  <c r="L9" i="13"/>
  <c r="L9" i="5"/>
  <c r="D3" i="7"/>
  <c r="J4" i="6"/>
  <c r="J5" i="6"/>
  <c r="J6" i="6"/>
  <c r="J7" i="6"/>
  <c r="J8" i="6"/>
  <c r="J9" i="6"/>
  <c r="J10" i="6"/>
  <c r="D3" i="5"/>
  <c r="O5" i="7"/>
  <c r="N8" i="7"/>
  <c r="W4" i="5"/>
  <c r="W3" i="5"/>
  <c r="W2" i="5"/>
  <c r="O5" i="5"/>
  <c r="N8" i="5"/>
  <c r="E8" i="6"/>
  <c r="O9" i="7"/>
  <c r="N9" i="7"/>
  <c r="O9" i="5"/>
  <c r="N9" i="5"/>
  <c r="H9" i="12"/>
  <c r="H9" i="10"/>
  <c r="H9" i="7"/>
  <c r="H9" i="5"/>
  <c r="H9" i="13"/>
  <c r="I9" i="13"/>
  <c r="G9" i="13"/>
  <c r="E9" i="13"/>
  <c r="D9" i="13"/>
  <c r="H8" i="13"/>
  <c r="AO5" i="13"/>
  <c r="J5" i="13"/>
  <c r="I5" i="13"/>
  <c r="J4" i="13"/>
  <c r="A4" i="13"/>
  <c r="J3" i="13"/>
  <c r="J2" i="13"/>
  <c r="M19" i="12"/>
  <c r="M18" i="12"/>
  <c r="M17" i="12"/>
  <c r="M16" i="12"/>
  <c r="M15" i="12"/>
  <c r="M14" i="12"/>
  <c r="M13" i="12"/>
  <c r="M12" i="12"/>
  <c r="M11" i="12"/>
  <c r="M10" i="12"/>
  <c r="J9" i="12"/>
  <c r="G9" i="12"/>
  <c r="E9" i="12"/>
  <c r="D9" i="12"/>
  <c r="H8" i="12"/>
  <c r="AU5" i="12"/>
  <c r="J5" i="12"/>
  <c r="I5" i="12"/>
  <c r="J4" i="12"/>
  <c r="A4" i="12"/>
  <c r="J3" i="12"/>
  <c r="J2" i="12"/>
  <c r="M14" i="10"/>
  <c r="M13" i="10"/>
  <c r="M12" i="10"/>
  <c r="M11" i="10"/>
  <c r="M10" i="10"/>
  <c r="J9" i="10"/>
  <c r="G9" i="10"/>
  <c r="E9" i="10"/>
  <c r="D9" i="10"/>
  <c r="H8" i="10"/>
  <c r="AU5" i="10"/>
  <c r="J5" i="10"/>
  <c r="I5" i="10"/>
  <c r="J4" i="10"/>
  <c r="A4" i="10"/>
  <c r="J3" i="10"/>
  <c r="J2" i="10"/>
  <c r="M17" i="7"/>
  <c r="M16" i="7"/>
  <c r="M15" i="7"/>
  <c r="M14" i="7"/>
  <c r="M13" i="7"/>
  <c r="M12" i="7"/>
  <c r="M11" i="7"/>
  <c r="M10" i="7"/>
  <c r="Q9" i="7"/>
  <c r="J9" i="7"/>
  <c r="G9" i="7"/>
  <c r="E9" i="7"/>
  <c r="D9" i="7"/>
  <c r="H8" i="7"/>
  <c r="BB5" i="7"/>
  <c r="P5" i="7"/>
  <c r="J5" i="7"/>
  <c r="I5" i="7"/>
  <c r="P4" i="7"/>
  <c r="J4" i="7"/>
  <c r="A4" i="7"/>
  <c r="P3" i="7"/>
  <c r="J3" i="7"/>
  <c r="P2" i="7"/>
  <c r="J2" i="7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Q9" i="5"/>
  <c r="G9" i="5"/>
  <c r="E9" i="5"/>
  <c r="D9" i="5"/>
  <c r="J9" i="5"/>
  <c r="A4" i="5"/>
  <c r="P5" i="5"/>
  <c r="P4" i="5"/>
  <c r="P3" i="5"/>
  <c r="P2" i="5"/>
  <c r="J5" i="5"/>
  <c r="J4" i="5"/>
  <c r="J3" i="5"/>
  <c r="J2" i="5"/>
  <c r="AX5" i="5"/>
  <c r="H8" i="5"/>
  <c r="I5" i="5"/>
  <c r="N13" i="7" l="1"/>
  <c r="O13" i="7" s="1"/>
  <c r="H2781" i="13"/>
  <c r="H2777" i="13"/>
  <c r="H2773" i="13"/>
  <c r="H2769" i="13"/>
  <c r="I2769" i="13" s="1"/>
  <c r="H2765" i="13"/>
  <c r="H2761" i="13"/>
  <c r="H2757" i="13"/>
  <c r="H2753" i="13"/>
  <c r="I2753" i="13" s="1"/>
  <c r="H2749" i="13"/>
  <c r="H2745" i="13"/>
  <c r="H2741" i="13"/>
  <c r="H2737" i="13"/>
  <c r="I2737" i="13" s="1"/>
  <c r="H2733" i="13"/>
  <c r="H2729" i="13"/>
  <c r="H2725" i="13"/>
  <c r="H2721" i="13"/>
  <c r="I2721" i="13" s="1"/>
  <c r="H2717" i="13"/>
  <c r="H2713" i="13"/>
  <c r="H2709" i="13"/>
  <c r="H2705" i="13"/>
  <c r="I2705" i="13" s="1"/>
  <c r="H2701" i="13"/>
  <c r="H2697" i="13"/>
  <c r="H2693" i="13"/>
  <c r="H2689" i="13"/>
  <c r="I2689" i="13" s="1"/>
  <c r="H2685" i="13"/>
  <c r="H2681" i="13"/>
  <c r="H2677" i="13"/>
  <c r="H2673" i="13"/>
  <c r="I2673" i="13" s="1"/>
  <c r="H2669" i="13"/>
  <c r="H2665" i="13"/>
  <c r="H2661" i="13"/>
  <c r="H2657" i="13"/>
  <c r="I2657" i="13" s="1"/>
  <c r="H2653" i="13"/>
  <c r="H2649" i="13"/>
  <c r="H2645" i="13"/>
  <c r="H2641" i="13"/>
  <c r="I2641" i="13" s="1"/>
  <c r="H2637" i="13"/>
  <c r="H2633" i="13"/>
  <c r="H2629" i="13"/>
  <c r="H2625" i="13"/>
  <c r="I2625" i="13" s="1"/>
  <c r="H2621" i="13"/>
  <c r="H2617" i="13"/>
  <c r="H2613" i="13"/>
  <c r="H2609" i="13"/>
  <c r="I2609" i="13" s="1"/>
  <c r="H2605" i="13"/>
  <c r="H2601" i="13"/>
  <c r="H2597" i="13"/>
  <c r="H2593" i="13"/>
  <c r="I2593" i="13" s="1"/>
  <c r="H2589" i="13"/>
  <c r="H2585" i="13"/>
  <c r="H2581" i="13"/>
  <c r="H2577" i="13"/>
  <c r="I2577" i="13" s="1"/>
  <c r="H2573" i="13"/>
  <c r="H2569" i="13"/>
  <c r="H2565" i="13"/>
  <c r="H2561" i="13"/>
  <c r="I2561" i="13" s="1"/>
  <c r="H2557" i="13"/>
  <c r="H2553" i="13"/>
  <c r="H2549" i="13"/>
  <c r="H2545" i="13"/>
  <c r="I2545" i="13" s="1"/>
  <c r="H2541" i="13"/>
  <c r="H2537" i="13"/>
  <c r="H2533" i="13"/>
  <c r="H2529" i="13"/>
  <c r="I2529" i="13" s="1"/>
  <c r="H2525" i="13"/>
  <c r="H2521" i="13"/>
  <c r="H2517" i="13"/>
  <c r="H2513" i="13"/>
  <c r="I2513" i="13" s="1"/>
  <c r="H2509" i="13"/>
  <c r="H2505" i="13"/>
  <c r="H2501" i="13"/>
  <c r="H2497" i="13"/>
  <c r="I2497" i="13" s="1"/>
  <c r="H2493" i="13"/>
  <c r="H2489" i="13"/>
  <c r="H2485" i="13"/>
  <c r="H2481" i="13"/>
  <c r="I2481" i="13" s="1"/>
  <c r="H2477" i="13"/>
  <c r="H2473" i="13"/>
  <c r="H2469" i="13"/>
  <c r="H2465" i="13"/>
  <c r="I2465" i="13" s="1"/>
  <c r="H2461" i="13"/>
  <c r="H2457" i="13"/>
  <c r="H2453" i="13"/>
  <c r="H2449" i="13"/>
  <c r="H2445" i="13"/>
  <c r="H2441" i="13"/>
  <c r="H2437" i="13"/>
  <c r="H2433" i="13"/>
  <c r="I2433" i="13" s="1"/>
  <c r="H2429" i="13"/>
  <c r="H2425" i="13"/>
  <c r="H2421" i="13"/>
  <c r="H2417" i="13"/>
  <c r="I2417" i="13" s="1"/>
  <c r="H2413" i="13"/>
  <c r="H2409" i="13"/>
  <c r="H2405" i="13"/>
  <c r="H2401" i="13"/>
  <c r="I2401" i="13" s="1"/>
  <c r="H2397" i="13"/>
  <c r="H2393" i="13"/>
  <c r="H2389" i="13"/>
  <c r="H2385" i="13"/>
  <c r="I2385" i="13" s="1"/>
  <c r="H2381" i="13"/>
  <c r="H2377" i="13"/>
  <c r="H2373" i="13"/>
  <c r="H2369" i="13"/>
  <c r="I2369" i="13" s="1"/>
  <c r="H2365" i="13"/>
  <c r="H2361" i="13"/>
  <c r="H2357" i="13"/>
  <c r="H2353" i="13"/>
  <c r="I2353" i="13" s="1"/>
  <c r="H2349" i="13"/>
  <c r="H2345" i="13"/>
  <c r="H2341" i="13"/>
  <c r="H2337" i="13"/>
  <c r="I2337" i="13" s="1"/>
  <c r="H2333" i="13"/>
  <c r="H2329" i="13"/>
  <c r="H2325" i="13"/>
  <c r="H2321" i="13"/>
  <c r="I2321" i="13" s="1"/>
  <c r="H2317" i="13"/>
  <c r="H2313" i="13"/>
  <c r="H2309" i="13"/>
  <c r="H2305" i="13"/>
  <c r="I2305" i="13" s="1"/>
  <c r="H2301" i="13"/>
  <c r="H2297" i="13"/>
  <c r="H2293" i="13"/>
  <c r="H2289" i="13"/>
  <c r="I2289" i="13" s="1"/>
  <c r="H2285" i="13"/>
  <c r="H2281" i="13"/>
  <c r="H2277" i="13"/>
  <c r="H2273" i="13"/>
  <c r="I2273" i="13" s="1"/>
  <c r="H2269" i="13"/>
  <c r="H2265" i="13"/>
  <c r="H2261" i="13"/>
  <c r="H2257" i="13"/>
  <c r="I2257" i="13" s="1"/>
  <c r="H2253" i="13"/>
  <c r="H2249" i="13"/>
  <c r="H2245" i="13"/>
  <c r="H2241" i="13"/>
  <c r="I2241" i="13" s="1"/>
  <c r="H2237" i="13"/>
  <c r="H2233" i="13"/>
  <c r="H2229" i="13"/>
  <c r="H2225" i="13"/>
  <c r="I2225" i="13" s="1"/>
  <c r="H2221" i="13"/>
  <c r="H2217" i="13"/>
  <c r="H2213" i="13"/>
  <c r="H2209" i="13"/>
  <c r="I2209" i="13" s="1"/>
  <c r="H2205" i="13"/>
  <c r="H2201" i="13"/>
  <c r="H2197" i="13"/>
  <c r="H2193" i="13"/>
  <c r="I2193" i="13" s="1"/>
  <c r="H2189" i="13"/>
  <c r="H2185" i="13"/>
  <c r="H2181" i="13"/>
  <c r="H2177" i="13"/>
  <c r="I2177" i="13" s="1"/>
  <c r="H2173" i="13"/>
  <c r="H2169" i="13"/>
  <c r="H2165" i="13"/>
  <c r="H2161" i="13"/>
  <c r="I2161" i="13" s="1"/>
  <c r="H2157" i="13"/>
  <c r="H2153" i="13"/>
  <c r="H2149" i="13"/>
  <c r="H2145" i="13"/>
  <c r="I2145" i="13" s="1"/>
  <c r="H2141" i="13"/>
  <c r="H2137" i="13"/>
  <c r="H2133" i="13"/>
  <c r="H2129" i="13"/>
  <c r="I2129" i="13" s="1"/>
  <c r="H2125" i="13"/>
  <c r="H2121" i="13"/>
  <c r="H2117" i="13"/>
  <c r="H2113" i="13"/>
  <c r="I2113" i="13" s="1"/>
  <c r="H2109" i="13"/>
  <c r="H2105" i="13"/>
  <c r="H2101" i="13"/>
  <c r="H2097" i="13"/>
  <c r="I2097" i="13" s="1"/>
  <c r="H2093" i="13"/>
  <c r="H2089" i="13"/>
  <c r="H2085" i="13"/>
  <c r="H2081" i="13"/>
  <c r="I2081" i="13" s="1"/>
  <c r="H2077" i="13"/>
  <c r="H2073" i="13"/>
  <c r="H2069" i="13"/>
  <c r="H2065" i="13"/>
  <c r="I2065" i="13" s="1"/>
  <c r="H2061" i="13"/>
  <c r="H2057" i="13"/>
  <c r="H2053" i="13"/>
  <c r="H2049" i="13"/>
  <c r="I2049" i="13" s="1"/>
  <c r="H2045" i="13"/>
  <c r="H2041" i="13"/>
  <c r="H2037" i="13"/>
  <c r="H2033" i="13"/>
  <c r="I2033" i="13" s="1"/>
  <c r="H2029" i="13"/>
  <c r="H2025" i="13"/>
  <c r="H2021" i="13"/>
  <c r="H2017" i="13"/>
  <c r="I2017" i="13" s="1"/>
  <c r="H2013" i="13"/>
  <c r="H2009" i="13"/>
  <c r="H2005" i="13"/>
  <c r="H2001" i="13"/>
  <c r="I2001" i="13" s="1"/>
  <c r="H1997" i="13"/>
  <c r="H1993" i="13"/>
  <c r="H1989" i="13"/>
  <c r="H1985" i="13"/>
  <c r="I1985" i="13" s="1"/>
  <c r="H1981" i="13"/>
  <c r="H1977" i="13"/>
  <c r="H1973" i="13"/>
  <c r="H1969" i="13"/>
  <c r="I1969" i="13" s="1"/>
  <c r="H1965" i="13"/>
  <c r="H1961" i="13"/>
  <c r="H1957" i="13"/>
  <c r="H1953" i="13"/>
  <c r="I1953" i="13" s="1"/>
  <c r="H1949" i="13"/>
  <c r="H1945" i="13"/>
  <c r="H1941" i="13"/>
  <c r="H1937" i="13"/>
  <c r="I1937" i="13" s="1"/>
  <c r="H1933" i="13"/>
  <c r="H1929" i="13"/>
  <c r="H1925" i="13"/>
  <c r="H1921" i="13"/>
  <c r="I1921" i="13" s="1"/>
  <c r="H1917" i="13"/>
  <c r="H1913" i="13"/>
  <c r="H1909" i="13"/>
  <c r="H1905" i="13"/>
  <c r="I1905" i="13" s="1"/>
  <c r="H1901" i="13"/>
  <c r="H1897" i="13"/>
  <c r="H1893" i="13"/>
  <c r="H1889" i="13"/>
  <c r="I1889" i="13" s="1"/>
  <c r="H1885" i="13"/>
  <c r="H1881" i="13"/>
  <c r="H1877" i="13"/>
  <c r="H1873" i="13"/>
  <c r="I1873" i="13" s="1"/>
  <c r="H1869" i="13"/>
  <c r="H1865" i="13"/>
  <c r="H1861" i="13"/>
  <c r="H1857" i="13"/>
  <c r="I1857" i="13" s="1"/>
  <c r="H1853" i="13"/>
  <c r="H1849" i="13"/>
  <c r="H1845" i="13"/>
  <c r="H1841" i="13"/>
  <c r="I1841" i="13" s="1"/>
  <c r="H1837" i="13"/>
  <c r="H1833" i="13"/>
  <c r="H1829" i="13"/>
  <c r="H1825" i="13"/>
  <c r="I1825" i="13" s="1"/>
  <c r="H1821" i="13"/>
  <c r="H1817" i="13"/>
  <c r="H1813" i="13"/>
  <c r="H1809" i="13"/>
  <c r="I1809" i="13" s="1"/>
  <c r="H1805" i="13"/>
  <c r="H1801" i="13"/>
  <c r="H1797" i="13"/>
  <c r="H1793" i="13"/>
  <c r="I1793" i="13" s="1"/>
  <c r="H1789" i="13"/>
  <c r="H1785" i="13"/>
  <c r="H1781" i="13"/>
  <c r="H1777" i="13"/>
  <c r="I1777" i="13" s="1"/>
  <c r="H1773" i="13"/>
  <c r="H1769" i="13"/>
  <c r="H1765" i="13"/>
  <c r="H1761" i="13"/>
  <c r="I1761" i="13" s="1"/>
  <c r="H1757" i="13"/>
  <c r="H1753" i="13"/>
  <c r="H1749" i="13"/>
  <c r="H1745" i="13"/>
  <c r="I1745" i="13" s="1"/>
  <c r="H1741" i="13"/>
  <c r="H1737" i="13"/>
  <c r="H1733" i="13"/>
  <c r="H1729" i="13"/>
  <c r="I1729" i="13" s="1"/>
  <c r="H1725" i="13"/>
  <c r="H1721" i="13"/>
  <c r="H1717" i="13"/>
  <c r="H1713" i="13"/>
  <c r="I1713" i="13" s="1"/>
  <c r="H1709" i="13"/>
  <c r="H1705" i="13"/>
  <c r="H1701" i="13"/>
  <c r="H1697" i="13"/>
  <c r="I1697" i="13" s="1"/>
  <c r="H1693" i="13"/>
  <c r="H1689" i="13"/>
  <c r="H1685" i="13"/>
  <c r="H1681" i="13"/>
  <c r="I1681" i="13" s="1"/>
  <c r="H1677" i="13"/>
  <c r="H1673" i="13"/>
  <c r="H2784" i="13"/>
  <c r="H2780" i="13"/>
  <c r="H2776" i="13"/>
  <c r="I2776" i="13" s="1"/>
  <c r="H2772" i="13"/>
  <c r="H2768" i="13"/>
  <c r="H2764" i="13"/>
  <c r="H2760" i="13"/>
  <c r="I2760" i="13" s="1"/>
  <c r="H2756" i="13"/>
  <c r="H2752" i="13"/>
  <c r="H2748" i="13"/>
  <c r="H2744" i="13"/>
  <c r="I2744" i="13" s="1"/>
  <c r="H2740" i="13"/>
  <c r="H2736" i="13"/>
  <c r="H2732" i="13"/>
  <c r="H2728" i="13"/>
  <c r="I2728" i="13" s="1"/>
  <c r="H2724" i="13"/>
  <c r="H2720" i="13"/>
  <c r="H2716" i="13"/>
  <c r="H2712" i="13"/>
  <c r="I2712" i="13" s="1"/>
  <c r="H2708" i="13"/>
  <c r="H2704" i="13"/>
  <c r="H2700" i="13"/>
  <c r="H2696" i="13"/>
  <c r="I2696" i="13" s="1"/>
  <c r="H2692" i="13"/>
  <c r="H2688" i="13"/>
  <c r="H2684" i="13"/>
  <c r="H2680" i="13"/>
  <c r="I2680" i="13" s="1"/>
  <c r="H2676" i="13"/>
  <c r="H2672" i="13"/>
  <c r="H2668" i="13"/>
  <c r="H2664" i="13"/>
  <c r="I2664" i="13" s="1"/>
  <c r="H2660" i="13"/>
  <c r="H2656" i="13"/>
  <c r="H2652" i="13"/>
  <c r="H2648" i="13"/>
  <c r="I2648" i="13" s="1"/>
  <c r="H2644" i="13"/>
  <c r="H2640" i="13"/>
  <c r="H2636" i="13"/>
  <c r="H2632" i="13"/>
  <c r="I2632" i="13" s="1"/>
  <c r="H2628" i="13"/>
  <c r="H2624" i="13"/>
  <c r="H2620" i="13"/>
  <c r="H2616" i="13"/>
  <c r="I2616" i="13" s="1"/>
  <c r="H2612" i="13"/>
  <c r="H2608" i="13"/>
  <c r="H2604" i="13"/>
  <c r="H2600" i="13"/>
  <c r="I2600" i="13" s="1"/>
  <c r="H2596" i="13"/>
  <c r="H2592" i="13"/>
  <c r="H2588" i="13"/>
  <c r="H2584" i="13"/>
  <c r="I2584" i="13" s="1"/>
  <c r="H2580" i="13"/>
  <c r="H2576" i="13"/>
  <c r="H2572" i="13"/>
  <c r="H2568" i="13"/>
  <c r="I2568" i="13" s="1"/>
  <c r="H2564" i="13"/>
  <c r="H2560" i="13"/>
  <c r="H2556" i="13"/>
  <c r="H2552" i="13"/>
  <c r="I2552" i="13" s="1"/>
  <c r="H2548" i="13"/>
  <c r="H2544" i="13"/>
  <c r="H2540" i="13"/>
  <c r="H2536" i="13"/>
  <c r="I2536" i="13" s="1"/>
  <c r="H2532" i="13"/>
  <c r="H2528" i="13"/>
  <c r="H2524" i="13"/>
  <c r="H2520" i="13"/>
  <c r="I2520" i="13" s="1"/>
  <c r="H2516" i="13"/>
  <c r="H2512" i="13"/>
  <c r="H2508" i="13"/>
  <c r="H2504" i="13"/>
  <c r="I2504" i="13" s="1"/>
  <c r="H2500" i="13"/>
  <c r="H2496" i="13"/>
  <c r="H2492" i="13"/>
  <c r="H2488" i="13"/>
  <c r="H2484" i="13"/>
  <c r="H2480" i="13"/>
  <c r="H2476" i="13"/>
  <c r="H2472" i="13"/>
  <c r="I2472" i="13" s="1"/>
  <c r="H2468" i="13"/>
  <c r="H2464" i="13"/>
  <c r="H2460" i="13"/>
  <c r="H2456" i="13"/>
  <c r="I2456" i="13" s="1"/>
  <c r="H2452" i="13"/>
  <c r="H2448" i="13"/>
  <c r="H2444" i="13"/>
  <c r="H2440" i="13"/>
  <c r="I2440" i="13" s="1"/>
  <c r="H2436" i="13"/>
  <c r="H2432" i="13"/>
  <c r="H2428" i="13"/>
  <c r="H2424" i="13"/>
  <c r="I2424" i="13" s="1"/>
  <c r="H2420" i="13"/>
  <c r="H2416" i="13"/>
  <c r="H2412" i="13"/>
  <c r="H2408" i="13"/>
  <c r="I2408" i="13" s="1"/>
  <c r="H2404" i="13"/>
  <c r="H2400" i="13"/>
  <c r="H2396" i="13"/>
  <c r="H2392" i="13"/>
  <c r="I2392" i="13" s="1"/>
  <c r="H2388" i="13"/>
  <c r="H2384" i="13"/>
  <c r="H2380" i="13"/>
  <c r="H2376" i="13"/>
  <c r="I2376" i="13" s="1"/>
  <c r="H2372" i="13"/>
  <c r="H2368" i="13"/>
  <c r="H2364" i="13"/>
  <c r="H2360" i="13"/>
  <c r="I2360" i="13" s="1"/>
  <c r="H2356" i="13"/>
  <c r="H2352" i="13"/>
  <c r="H2348" i="13"/>
  <c r="H2344" i="13"/>
  <c r="I2344" i="13" s="1"/>
  <c r="H2340" i="13"/>
  <c r="H2336" i="13"/>
  <c r="H2332" i="13"/>
  <c r="H2328" i="13"/>
  <c r="I2328" i="13" s="1"/>
  <c r="H2324" i="13"/>
  <c r="H2320" i="13"/>
  <c r="H2316" i="13"/>
  <c r="H2312" i="13"/>
  <c r="I2312" i="13" s="1"/>
  <c r="H2308" i="13"/>
  <c r="H2304" i="13"/>
  <c r="H2300" i="13"/>
  <c r="H2296" i="13"/>
  <c r="H2292" i="13"/>
  <c r="H2288" i="13"/>
  <c r="H2284" i="13"/>
  <c r="H2280" i="13"/>
  <c r="I2280" i="13" s="1"/>
  <c r="H2276" i="13"/>
  <c r="H2272" i="13"/>
  <c r="H2268" i="13"/>
  <c r="H2264" i="13"/>
  <c r="I2264" i="13" s="1"/>
  <c r="H2260" i="13"/>
  <c r="H2256" i="13"/>
  <c r="H2252" i="13"/>
  <c r="H2248" i="13"/>
  <c r="I2248" i="13" s="1"/>
  <c r="H2244" i="13"/>
  <c r="H2240" i="13"/>
  <c r="H2236" i="13"/>
  <c r="H2232" i="13"/>
  <c r="I2232" i="13" s="1"/>
  <c r="H2228" i="13"/>
  <c r="H2224" i="13"/>
  <c r="H2220" i="13"/>
  <c r="H2216" i="13"/>
  <c r="I2216" i="13" s="1"/>
  <c r="H2212" i="13"/>
  <c r="H2208" i="13"/>
  <c r="H2204" i="13"/>
  <c r="H2200" i="13"/>
  <c r="I2200" i="13" s="1"/>
  <c r="H2196" i="13"/>
  <c r="H2192" i="13"/>
  <c r="H2188" i="13"/>
  <c r="H2184" i="13"/>
  <c r="I2184" i="13" s="1"/>
  <c r="H2180" i="13"/>
  <c r="H2176" i="13"/>
  <c r="H2172" i="13"/>
  <c r="H2168" i="13"/>
  <c r="I2168" i="13" s="1"/>
  <c r="H2164" i="13"/>
  <c r="H2160" i="13"/>
  <c r="H2156" i="13"/>
  <c r="H2152" i="13"/>
  <c r="I2152" i="13" s="1"/>
  <c r="H2148" i="13"/>
  <c r="H2144" i="13"/>
  <c r="H2140" i="13"/>
  <c r="H2136" i="13"/>
  <c r="I2136" i="13" s="1"/>
  <c r="H2132" i="13"/>
  <c r="H2128" i="13"/>
  <c r="H2124" i="13"/>
  <c r="H2120" i="13"/>
  <c r="H2116" i="13"/>
  <c r="H2112" i="13"/>
  <c r="H2108" i="13"/>
  <c r="H2104" i="13"/>
  <c r="I2104" i="13" s="1"/>
  <c r="H2100" i="13"/>
  <c r="H2096" i="13"/>
  <c r="H2092" i="13"/>
  <c r="H2088" i="13"/>
  <c r="I2088" i="13" s="1"/>
  <c r="H2084" i="13"/>
  <c r="H2080" i="13"/>
  <c r="H2076" i="13"/>
  <c r="H2072" i="13"/>
  <c r="I2072" i="13" s="1"/>
  <c r="H2068" i="13"/>
  <c r="H2064" i="13"/>
  <c r="H2060" i="13"/>
  <c r="H2056" i="13"/>
  <c r="I2056" i="13" s="1"/>
  <c r="H2052" i="13"/>
  <c r="H2048" i="13"/>
  <c r="H2044" i="13"/>
  <c r="H2040" i="13"/>
  <c r="I2040" i="13" s="1"/>
  <c r="H2036" i="13"/>
  <c r="H2032" i="13"/>
  <c r="H2028" i="13"/>
  <c r="H2024" i="13"/>
  <c r="I2024" i="13" s="1"/>
  <c r="H2020" i="13"/>
  <c r="H2016" i="13"/>
  <c r="H2012" i="13"/>
  <c r="H2008" i="13"/>
  <c r="I2008" i="13" s="1"/>
  <c r="H2004" i="13"/>
  <c r="H2000" i="13"/>
  <c r="H1996" i="13"/>
  <c r="H1992" i="13"/>
  <c r="I1992" i="13" s="1"/>
  <c r="H1988" i="13"/>
  <c r="H1984" i="13"/>
  <c r="H1980" i="13"/>
  <c r="H1976" i="13"/>
  <c r="I1976" i="13" s="1"/>
  <c r="H1972" i="13"/>
  <c r="H1968" i="13"/>
  <c r="H1964" i="13"/>
  <c r="H1960" i="13"/>
  <c r="I1960" i="13" s="1"/>
  <c r="H1956" i="13"/>
  <c r="H1952" i="13"/>
  <c r="H1948" i="13"/>
  <c r="H1944" i="13"/>
  <c r="I1944" i="13" s="1"/>
  <c r="H1940" i="13"/>
  <c r="H1936" i="13"/>
  <c r="H1932" i="13"/>
  <c r="H1928" i="13"/>
  <c r="I1928" i="13" s="1"/>
  <c r="H1924" i="13"/>
  <c r="H1920" i="13"/>
  <c r="H1916" i="13"/>
  <c r="H1912" i="13"/>
  <c r="I1912" i="13" s="1"/>
  <c r="H1908" i="13"/>
  <c r="H1904" i="13"/>
  <c r="H1900" i="13"/>
  <c r="H1896" i="13"/>
  <c r="I1896" i="13" s="1"/>
  <c r="H1892" i="13"/>
  <c r="H1888" i="13"/>
  <c r="H1884" i="13"/>
  <c r="H1880" i="13"/>
  <c r="I1880" i="13" s="1"/>
  <c r="H1876" i="13"/>
  <c r="H1872" i="13"/>
  <c r="H1868" i="13"/>
  <c r="H1864" i="13"/>
  <c r="I1864" i="13" s="1"/>
  <c r="H1860" i="13"/>
  <c r="H1856" i="13"/>
  <c r="H1852" i="13"/>
  <c r="H1848" i="13"/>
  <c r="I1848" i="13" s="1"/>
  <c r="H1844" i="13"/>
  <c r="H1840" i="13"/>
  <c r="H1836" i="13"/>
  <c r="H1832" i="13"/>
  <c r="I1832" i="13" s="1"/>
  <c r="H1828" i="13"/>
  <c r="H1824" i="13"/>
  <c r="H1820" i="13"/>
  <c r="H1816" i="13"/>
  <c r="I1816" i="13" s="1"/>
  <c r="H1812" i="13"/>
  <c r="H1808" i="13"/>
  <c r="H1804" i="13"/>
  <c r="H1800" i="13"/>
  <c r="I1800" i="13" s="1"/>
  <c r="H1796" i="13"/>
  <c r="H1792" i="13"/>
  <c r="H1788" i="13"/>
  <c r="H1784" i="13"/>
  <c r="I1784" i="13" s="1"/>
  <c r="H1780" i="13"/>
  <c r="H1776" i="13"/>
  <c r="H1772" i="13"/>
  <c r="H1768" i="13"/>
  <c r="I1768" i="13" s="1"/>
  <c r="H1764" i="13"/>
  <c r="H1760" i="13"/>
  <c r="H1756" i="13"/>
  <c r="H1752" i="13"/>
  <c r="I1752" i="13" s="1"/>
  <c r="H1748" i="13"/>
  <c r="H1744" i="13"/>
  <c r="H1740" i="13"/>
  <c r="H1736" i="13"/>
  <c r="I1736" i="13" s="1"/>
  <c r="H1732" i="13"/>
  <c r="H1728" i="13"/>
  <c r="H1724" i="13"/>
  <c r="H1720" i="13"/>
  <c r="I1720" i="13" s="1"/>
  <c r="H1716" i="13"/>
  <c r="H1712" i="13"/>
  <c r="H1708" i="13"/>
  <c r="H1704" i="13"/>
  <c r="I1704" i="13" s="1"/>
  <c r="H1700" i="13"/>
  <c r="H1696" i="13"/>
  <c r="H1692" i="13"/>
  <c r="H1688" i="13"/>
  <c r="I1688" i="13" s="1"/>
  <c r="H1684" i="13"/>
  <c r="H1680" i="13"/>
  <c r="H1676" i="13"/>
  <c r="H2783" i="13"/>
  <c r="H2779" i="13"/>
  <c r="I2779" i="13" s="1"/>
  <c r="H2775" i="13"/>
  <c r="H2771" i="13"/>
  <c r="H2767" i="13"/>
  <c r="H2763" i="13"/>
  <c r="I2763" i="13" s="1"/>
  <c r="H2759" i="13"/>
  <c r="H2755" i="13"/>
  <c r="H2751" i="13"/>
  <c r="H2747" i="13"/>
  <c r="I2747" i="13" s="1"/>
  <c r="H2743" i="13"/>
  <c r="H2739" i="13"/>
  <c r="H2735" i="13"/>
  <c r="H2731" i="13"/>
  <c r="I2731" i="13" s="1"/>
  <c r="H2727" i="13"/>
  <c r="H2723" i="13"/>
  <c r="H2719" i="13"/>
  <c r="H2715" i="13"/>
  <c r="I2715" i="13" s="1"/>
  <c r="H2711" i="13"/>
  <c r="H2707" i="13"/>
  <c r="H2703" i="13"/>
  <c r="H2699" i="13"/>
  <c r="I2699" i="13" s="1"/>
  <c r="H2695" i="13"/>
  <c r="H2691" i="13"/>
  <c r="H2687" i="13"/>
  <c r="H2683" i="13"/>
  <c r="I2683" i="13" s="1"/>
  <c r="H2679" i="13"/>
  <c r="H2675" i="13"/>
  <c r="H2671" i="13"/>
  <c r="H2667" i="13"/>
  <c r="I2667" i="13" s="1"/>
  <c r="H2663" i="13"/>
  <c r="H2659" i="13"/>
  <c r="H2655" i="13"/>
  <c r="H2651" i="13"/>
  <c r="I2651" i="13" s="1"/>
  <c r="H2647" i="13"/>
  <c r="H2643" i="13"/>
  <c r="H2639" i="13"/>
  <c r="H2635" i="13"/>
  <c r="I2635" i="13" s="1"/>
  <c r="H2631" i="13"/>
  <c r="H2627" i="13"/>
  <c r="H2623" i="13"/>
  <c r="H2619" i="13"/>
  <c r="I2619" i="13" s="1"/>
  <c r="H2615" i="13"/>
  <c r="H2611" i="13"/>
  <c r="H2607" i="13"/>
  <c r="H2603" i="13"/>
  <c r="I2603" i="13" s="1"/>
  <c r="H2599" i="13"/>
  <c r="H2595" i="13"/>
  <c r="H2591" i="13"/>
  <c r="H2587" i="13"/>
  <c r="I2587" i="13" s="1"/>
  <c r="H2583" i="13"/>
  <c r="H2579" i="13"/>
  <c r="H2575" i="13"/>
  <c r="H2571" i="13"/>
  <c r="I2571" i="13" s="1"/>
  <c r="H2567" i="13"/>
  <c r="H2563" i="13"/>
  <c r="H2559" i="13"/>
  <c r="H2555" i="13"/>
  <c r="I2555" i="13" s="1"/>
  <c r="H2551" i="13"/>
  <c r="H2547" i="13"/>
  <c r="H2543" i="13"/>
  <c r="H2539" i="13"/>
  <c r="I2539" i="13" s="1"/>
  <c r="H2535" i="13"/>
  <c r="H2531" i="13"/>
  <c r="H2527" i="13"/>
  <c r="H2523" i="13"/>
  <c r="I2523" i="13" s="1"/>
  <c r="H2519" i="13"/>
  <c r="H2515" i="13"/>
  <c r="H2511" i="13"/>
  <c r="H2507" i="13"/>
  <c r="I2507" i="13" s="1"/>
  <c r="H2503" i="13"/>
  <c r="H2499" i="13"/>
  <c r="H2495" i="13"/>
  <c r="H2491" i="13"/>
  <c r="I2491" i="13" s="1"/>
  <c r="H2487" i="13"/>
  <c r="H2483" i="13"/>
  <c r="H2479" i="13"/>
  <c r="H2475" i="13"/>
  <c r="I2475" i="13" s="1"/>
  <c r="H2471" i="13"/>
  <c r="H2467" i="13"/>
  <c r="H2463" i="13"/>
  <c r="H2459" i="13"/>
  <c r="I2459" i="13" s="1"/>
  <c r="H2455" i="13"/>
  <c r="H2451" i="13"/>
  <c r="H2447" i="13"/>
  <c r="H2443" i="13"/>
  <c r="I2443" i="13" s="1"/>
  <c r="H2439" i="13"/>
  <c r="H2435" i="13"/>
  <c r="H2431" i="13"/>
  <c r="H2427" i="13"/>
  <c r="I2427" i="13" s="1"/>
  <c r="H2423" i="13"/>
  <c r="H2419" i="13"/>
  <c r="H2415" i="13"/>
  <c r="H2411" i="13"/>
  <c r="I2411" i="13" s="1"/>
  <c r="H2407" i="13"/>
  <c r="H2403" i="13"/>
  <c r="H2399" i="13"/>
  <c r="H2395" i="13"/>
  <c r="I2395" i="13" s="1"/>
  <c r="H2391" i="13"/>
  <c r="H2387" i="13"/>
  <c r="H2383" i="13"/>
  <c r="H2379" i="13"/>
  <c r="I2379" i="13" s="1"/>
  <c r="H2375" i="13"/>
  <c r="H2371" i="13"/>
  <c r="H2367" i="13"/>
  <c r="H2363" i="13"/>
  <c r="I2363" i="13" s="1"/>
  <c r="H2359" i="13"/>
  <c r="H2355" i="13"/>
  <c r="H2351" i="13"/>
  <c r="H2347" i="13"/>
  <c r="I2347" i="13" s="1"/>
  <c r="H2343" i="13"/>
  <c r="H2339" i="13"/>
  <c r="H2335" i="13"/>
  <c r="H2331" i="13"/>
  <c r="I2331" i="13" s="1"/>
  <c r="H2327" i="13"/>
  <c r="H2323" i="13"/>
  <c r="H2319" i="13"/>
  <c r="H2315" i="13"/>
  <c r="I2315" i="13" s="1"/>
  <c r="H2311" i="13"/>
  <c r="H2307" i="13"/>
  <c r="H2303" i="13"/>
  <c r="H2299" i="13"/>
  <c r="I2299" i="13" s="1"/>
  <c r="H2295" i="13"/>
  <c r="H2291" i="13"/>
  <c r="H2287" i="13"/>
  <c r="H2283" i="13"/>
  <c r="I2283" i="13" s="1"/>
  <c r="H2279" i="13"/>
  <c r="H2275" i="13"/>
  <c r="H2271" i="13"/>
  <c r="H2267" i="13"/>
  <c r="I2267" i="13" s="1"/>
  <c r="H2263" i="13"/>
  <c r="H2259" i="13"/>
  <c r="H2255" i="13"/>
  <c r="H2251" i="13"/>
  <c r="I2251" i="13" s="1"/>
  <c r="H2247" i="13"/>
  <c r="H2243" i="13"/>
  <c r="H2239" i="13"/>
  <c r="H2235" i="13"/>
  <c r="I2235" i="13" s="1"/>
  <c r="H2231" i="13"/>
  <c r="H2227" i="13"/>
  <c r="H2223" i="13"/>
  <c r="H2219" i="13"/>
  <c r="I2219" i="13" s="1"/>
  <c r="H2215" i="13"/>
  <c r="H2211" i="13"/>
  <c r="H2207" i="13"/>
  <c r="H2203" i="13"/>
  <c r="I2203" i="13" s="1"/>
  <c r="H2199" i="13"/>
  <c r="H2195" i="13"/>
  <c r="H2191" i="13"/>
  <c r="H2187" i="13"/>
  <c r="I2187" i="13" s="1"/>
  <c r="H2183" i="13"/>
  <c r="H2179" i="13"/>
  <c r="H2175" i="13"/>
  <c r="H2171" i="13"/>
  <c r="I2171" i="13" s="1"/>
  <c r="H2167" i="13"/>
  <c r="H2163" i="13"/>
  <c r="H2159" i="13"/>
  <c r="H2155" i="13"/>
  <c r="I2155" i="13" s="1"/>
  <c r="H2151" i="13"/>
  <c r="H2147" i="13"/>
  <c r="H2143" i="13"/>
  <c r="H2139" i="13"/>
  <c r="I2139" i="13" s="1"/>
  <c r="H2135" i="13"/>
  <c r="H2131" i="13"/>
  <c r="H2127" i="13"/>
  <c r="H2123" i="13"/>
  <c r="I2123" i="13" s="1"/>
  <c r="H2119" i="13"/>
  <c r="H2115" i="13"/>
  <c r="H2111" i="13"/>
  <c r="H2107" i="13"/>
  <c r="I2107" i="13" s="1"/>
  <c r="H2103" i="13"/>
  <c r="H2099" i="13"/>
  <c r="H2095" i="13"/>
  <c r="H2091" i="13"/>
  <c r="I2091" i="13" s="1"/>
  <c r="H2087" i="13"/>
  <c r="H2083" i="13"/>
  <c r="H2079" i="13"/>
  <c r="H2075" i="13"/>
  <c r="I2075" i="13" s="1"/>
  <c r="H2071" i="13"/>
  <c r="H2067" i="13"/>
  <c r="H2063" i="13"/>
  <c r="H2059" i="13"/>
  <c r="I2059" i="13" s="1"/>
  <c r="H2055" i="13"/>
  <c r="H2051" i="13"/>
  <c r="H2047" i="13"/>
  <c r="H2043" i="13"/>
  <c r="I2043" i="13" s="1"/>
  <c r="H2039" i="13"/>
  <c r="H2035" i="13"/>
  <c r="H2031" i="13"/>
  <c r="H2027" i="13"/>
  <c r="I2027" i="13" s="1"/>
  <c r="H2023" i="13"/>
  <c r="H2019" i="13"/>
  <c r="H2015" i="13"/>
  <c r="H2011" i="13"/>
  <c r="I2011" i="13" s="1"/>
  <c r="H2007" i="13"/>
  <c r="H2003" i="13"/>
  <c r="H1999" i="13"/>
  <c r="H1995" i="13"/>
  <c r="I1995" i="13" s="1"/>
  <c r="H1991" i="13"/>
  <c r="H1987" i="13"/>
  <c r="H1983" i="13"/>
  <c r="H1979" i="13"/>
  <c r="I1979" i="13" s="1"/>
  <c r="H1975" i="13"/>
  <c r="H1971" i="13"/>
  <c r="H1967" i="13"/>
  <c r="H1963" i="13"/>
  <c r="I1963" i="13" s="1"/>
  <c r="H1959" i="13"/>
  <c r="H1955" i="13"/>
  <c r="H1951" i="13"/>
  <c r="H1947" i="13"/>
  <c r="I1947" i="13" s="1"/>
  <c r="H1943" i="13"/>
  <c r="H1939" i="13"/>
  <c r="H1935" i="13"/>
  <c r="H1931" i="13"/>
  <c r="I1931" i="13" s="1"/>
  <c r="H1927" i="13"/>
  <c r="H1923" i="13"/>
  <c r="H1919" i="13"/>
  <c r="H1915" i="13"/>
  <c r="I1915" i="13" s="1"/>
  <c r="H1911" i="13"/>
  <c r="H1907" i="13"/>
  <c r="H1903" i="13"/>
  <c r="H1899" i="13"/>
  <c r="I1899" i="13" s="1"/>
  <c r="H1895" i="13"/>
  <c r="H1891" i="13"/>
  <c r="H1887" i="13"/>
  <c r="H1883" i="13"/>
  <c r="I1883" i="13" s="1"/>
  <c r="H1879" i="13"/>
  <c r="H1875" i="13"/>
  <c r="H1871" i="13"/>
  <c r="H1867" i="13"/>
  <c r="I1867" i="13" s="1"/>
  <c r="H1863" i="13"/>
  <c r="H1859" i="13"/>
  <c r="H1855" i="13"/>
  <c r="H1851" i="13"/>
  <c r="I1851" i="13" s="1"/>
  <c r="H1847" i="13"/>
  <c r="H1843" i="13"/>
  <c r="H1839" i="13"/>
  <c r="H1835" i="13"/>
  <c r="I1835" i="13" s="1"/>
  <c r="H1831" i="13"/>
  <c r="H1827" i="13"/>
  <c r="H1823" i="13"/>
  <c r="H1819" i="13"/>
  <c r="I1819" i="13" s="1"/>
  <c r="H1815" i="13"/>
  <c r="H1811" i="13"/>
  <c r="H1807" i="13"/>
  <c r="H1803" i="13"/>
  <c r="I1803" i="13" s="1"/>
  <c r="H1799" i="13"/>
  <c r="H1795" i="13"/>
  <c r="H1791" i="13"/>
  <c r="H1787" i="13"/>
  <c r="I1787" i="13" s="1"/>
  <c r="H1783" i="13"/>
  <c r="H1779" i="13"/>
  <c r="H1775" i="13"/>
  <c r="H1771" i="13"/>
  <c r="I1771" i="13" s="1"/>
  <c r="H1767" i="13"/>
  <c r="H1763" i="13"/>
  <c r="H1759" i="13"/>
  <c r="H1755" i="13"/>
  <c r="I1755" i="13" s="1"/>
  <c r="H1751" i="13"/>
  <c r="H1747" i="13"/>
  <c r="H1743" i="13"/>
  <c r="H1739" i="13"/>
  <c r="I1739" i="13" s="1"/>
  <c r="H1735" i="13"/>
  <c r="H1731" i="13"/>
  <c r="H1727" i="13"/>
  <c r="H1723" i="13"/>
  <c r="I1723" i="13" s="1"/>
  <c r="H1719" i="13"/>
  <c r="H1715" i="13"/>
  <c r="H1711" i="13"/>
  <c r="H1707" i="13"/>
  <c r="I1707" i="13" s="1"/>
  <c r="H1703" i="13"/>
  <c r="H1699" i="13"/>
  <c r="H1695" i="13"/>
  <c r="H1691" i="13"/>
  <c r="I1691" i="13" s="1"/>
  <c r="H1687" i="13"/>
  <c r="H1683" i="13"/>
  <c r="H1679" i="13"/>
  <c r="H1675" i="13"/>
  <c r="I1675" i="13" s="1"/>
  <c r="H2782" i="13"/>
  <c r="H2766" i="13"/>
  <c r="H2750" i="13"/>
  <c r="H2734" i="13"/>
  <c r="I2734" i="13" s="1"/>
  <c r="H2718" i="13"/>
  <c r="H2702" i="13"/>
  <c r="H2686" i="13"/>
  <c r="H2670" i="13"/>
  <c r="I2670" i="13" s="1"/>
  <c r="H2654" i="13"/>
  <c r="H2638" i="13"/>
  <c r="H2622" i="13"/>
  <c r="H2606" i="13"/>
  <c r="I2606" i="13" s="1"/>
  <c r="H2590" i="13"/>
  <c r="H2574" i="13"/>
  <c r="H2558" i="13"/>
  <c r="H2542" i="13"/>
  <c r="I2542" i="13" s="1"/>
  <c r="H2526" i="13"/>
  <c r="H2510" i="13"/>
  <c r="H2494" i="13"/>
  <c r="H2478" i="13"/>
  <c r="I2478" i="13" s="1"/>
  <c r="H2462" i="13"/>
  <c r="H2446" i="13"/>
  <c r="H2430" i="13"/>
  <c r="H2414" i="13"/>
  <c r="I2414" i="13" s="1"/>
  <c r="H2398" i="13"/>
  <c r="H2382" i="13"/>
  <c r="H2366" i="13"/>
  <c r="H2350" i="13"/>
  <c r="I2350" i="13" s="1"/>
  <c r="H2334" i="13"/>
  <c r="H2318" i="13"/>
  <c r="H2302" i="13"/>
  <c r="H2286" i="13"/>
  <c r="I2286" i="13" s="1"/>
  <c r="H2270" i="13"/>
  <c r="H2254" i="13"/>
  <c r="H2238" i="13"/>
  <c r="H2222" i="13"/>
  <c r="I2222" i="13" s="1"/>
  <c r="H2206" i="13"/>
  <c r="H2190" i="13"/>
  <c r="H2174" i="13"/>
  <c r="H2158" i="13"/>
  <c r="I2158" i="13" s="1"/>
  <c r="H2142" i="13"/>
  <c r="H2126" i="13"/>
  <c r="H2110" i="13"/>
  <c r="H2094" i="13"/>
  <c r="I2094" i="13" s="1"/>
  <c r="H2078" i="13"/>
  <c r="H2062" i="13"/>
  <c r="H2046" i="13"/>
  <c r="H2030" i="13"/>
  <c r="I2030" i="13" s="1"/>
  <c r="H2014" i="13"/>
  <c r="H1998" i="13"/>
  <c r="H1982" i="13"/>
  <c r="H1966" i="13"/>
  <c r="I1966" i="13" s="1"/>
  <c r="H1950" i="13"/>
  <c r="H1934" i="13"/>
  <c r="H1918" i="13"/>
  <c r="H1902" i="13"/>
  <c r="I1902" i="13" s="1"/>
  <c r="H1886" i="13"/>
  <c r="H1870" i="13"/>
  <c r="H1854" i="13"/>
  <c r="H1838" i="13"/>
  <c r="I1838" i="13" s="1"/>
  <c r="H1822" i="13"/>
  <c r="H1806" i="13"/>
  <c r="H1790" i="13"/>
  <c r="H1774" i="13"/>
  <c r="I1774" i="13" s="1"/>
  <c r="H1758" i="13"/>
  <c r="H1742" i="13"/>
  <c r="H1726" i="13"/>
  <c r="H1710" i="13"/>
  <c r="I1710" i="13" s="1"/>
  <c r="H1694" i="13"/>
  <c r="H1678" i="13"/>
  <c r="H1670" i="13"/>
  <c r="H1666" i="13"/>
  <c r="I1666" i="13" s="1"/>
  <c r="H1662" i="13"/>
  <c r="H1658" i="13"/>
  <c r="H1654" i="13"/>
  <c r="H1650" i="13"/>
  <c r="I1650" i="13" s="1"/>
  <c r="H1646" i="13"/>
  <c r="H1642" i="13"/>
  <c r="H1638" i="13"/>
  <c r="H1634" i="13"/>
  <c r="I1634" i="13" s="1"/>
  <c r="H1630" i="13"/>
  <c r="H1626" i="13"/>
  <c r="H1622" i="13"/>
  <c r="H1618" i="13"/>
  <c r="I1618" i="13" s="1"/>
  <c r="H1614" i="13"/>
  <c r="H1610" i="13"/>
  <c r="H1606" i="13"/>
  <c r="H1602" i="13"/>
  <c r="I1602" i="13" s="1"/>
  <c r="H1598" i="13"/>
  <c r="H1594" i="13"/>
  <c r="H1590" i="13"/>
  <c r="H1586" i="13"/>
  <c r="I1586" i="13" s="1"/>
  <c r="H1582" i="13"/>
  <c r="H1578" i="13"/>
  <c r="H1574" i="13"/>
  <c r="H1570" i="13"/>
  <c r="I1570" i="13" s="1"/>
  <c r="H1566" i="13"/>
  <c r="H1562" i="13"/>
  <c r="H1558" i="13"/>
  <c r="H1554" i="13"/>
  <c r="I1554" i="13" s="1"/>
  <c r="H1550" i="13"/>
  <c r="H1546" i="13"/>
  <c r="H1542" i="13"/>
  <c r="H1538" i="13"/>
  <c r="I1538" i="13" s="1"/>
  <c r="H1534" i="13"/>
  <c r="H1530" i="13"/>
  <c r="H1526" i="13"/>
  <c r="H1522" i="13"/>
  <c r="H1518" i="13"/>
  <c r="H1514" i="13"/>
  <c r="H1510" i="13"/>
  <c r="H1506" i="13"/>
  <c r="I1506" i="13" s="1"/>
  <c r="H1502" i="13"/>
  <c r="H1498" i="13"/>
  <c r="H1494" i="13"/>
  <c r="H1490" i="13"/>
  <c r="I1490" i="13" s="1"/>
  <c r="H1486" i="13"/>
  <c r="H1482" i="13"/>
  <c r="H1478" i="13"/>
  <c r="H1474" i="13"/>
  <c r="I1474" i="13" s="1"/>
  <c r="H1470" i="13"/>
  <c r="H1466" i="13"/>
  <c r="H1462" i="13"/>
  <c r="H1458" i="13"/>
  <c r="I1458" i="13" s="1"/>
  <c r="H1454" i="13"/>
  <c r="H1450" i="13"/>
  <c r="H1446" i="13"/>
  <c r="H1442" i="13"/>
  <c r="I1442" i="13" s="1"/>
  <c r="H1438" i="13"/>
  <c r="H1434" i="13"/>
  <c r="H1430" i="13"/>
  <c r="H1426" i="13"/>
  <c r="I1426" i="13" s="1"/>
  <c r="H1422" i="13"/>
  <c r="H1418" i="13"/>
  <c r="H1414" i="13"/>
  <c r="H1410" i="13"/>
  <c r="I1410" i="13" s="1"/>
  <c r="H1406" i="13"/>
  <c r="H1402" i="13"/>
  <c r="H1398" i="13"/>
  <c r="H1394" i="13"/>
  <c r="I1394" i="13" s="1"/>
  <c r="H1390" i="13"/>
  <c r="H1386" i="13"/>
  <c r="H1382" i="13"/>
  <c r="H1378" i="13"/>
  <c r="I1378" i="13" s="1"/>
  <c r="H1374" i="13"/>
  <c r="H1370" i="13"/>
  <c r="H1366" i="13"/>
  <c r="H1362" i="13"/>
  <c r="I1362" i="13" s="1"/>
  <c r="H1358" i="13"/>
  <c r="H1354" i="13"/>
  <c r="H1350" i="13"/>
  <c r="H1346" i="13"/>
  <c r="I1346" i="13" s="1"/>
  <c r="H1342" i="13"/>
  <c r="H1338" i="13"/>
  <c r="H1334" i="13"/>
  <c r="H1330" i="13"/>
  <c r="I1330" i="13" s="1"/>
  <c r="H1326" i="13"/>
  <c r="H1322" i="13"/>
  <c r="H1318" i="13"/>
  <c r="H1314" i="13"/>
  <c r="I1314" i="13" s="1"/>
  <c r="H1310" i="13"/>
  <c r="H1306" i="13"/>
  <c r="H1302" i="13"/>
  <c r="H1298" i="13"/>
  <c r="I1298" i="13" s="1"/>
  <c r="H1294" i="13"/>
  <c r="H1290" i="13"/>
  <c r="H1286" i="13"/>
  <c r="H1282" i="13"/>
  <c r="I1282" i="13" s="1"/>
  <c r="H1278" i="13"/>
  <c r="H1274" i="13"/>
  <c r="H1270" i="13"/>
  <c r="H1266" i="13"/>
  <c r="H1262" i="13"/>
  <c r="H1258" i="13"/>
  <c r="H1254" i="13"/>
  <c r="H1250" i="13"/>
  <c r="I1250" i="13" s="1"/>
  <c r="H1246" i="13"/>
  <c r="H1242" i="13"/>
  <c r="H1238" i="13"/>
  <c r="H1234" i="13"/>
  <c r="I1234" i="13" s="1"/>
  <c r="H1230" i="13"/>
  <c r="H1226" i="13"/>
  <c r="H1222" i="13"/>
  <c r="H1218" i="13"/>
  <c r="I1218" i="13" s="1"/>
  <c r="H1214" i="13"/>
  <c r="H1210" i="13"/>
  <c r="H1206" i="13"/>
  <c r="H1202" i="13"/>
  <c r="I1202" i="13" s="1"/>
  <c r="H1198" i="13"/>
  <c r="H1194" i="13"/>
  <c r="H1190" i="13"/>
  <c r="H1186" i="13"/>
  <c r="I1186" i="13" s="1"/>
  <c r="H1182" i="13"/>
  <c r="H1178" i="13"/>
  <c r="H1174" i="13"/>
  <c r="H1170" i="13"/>
  <c r="I1170" i="13" s="1"/>
  <c r="H1166" i="13"/>
  <c r="H1162" i="13"/>
  <c r="H1158" i="13"/>
  <c r="H1154" i="13"/>
  <c r="I1154" i="13" s="1"/>
  <c r="H1150" i="13"/>
  <c r="H1146" i="13"/>
  <c r="H1142" i="13"/>
  <c r="H1138" i="13"/>
  <c r="I1138" i="13" s="1"/>
  <c r="H1134" i="13"/>
  <c r="H1130" i="13"/>
  <c r="H1126" i="13"/>
  <c r="H1122" i="13"/>
  <c r="I1122" i="13" s="1"/>
  <c r="H1118" i="13"/>
  <c r="H1114" i="13"/>
  <c r="H1110" i="13"/>
  <c r="H1106" i="13"/>
  <c r="I1106" i="13" s="1"/>
  <c r="H1102" i="13"/>
  <c r="H1098" i="13"/>
  <c r="H1094" i="13"/>
  <c r="H1090" i="13"/>
  <c r="I1090" i="13" s="1"/>
  <c r="H1086" i="13"/>
  <c r="H1082" i="13"/>
  <c r="H1078" i="13"/>
  <c r="H1074" i="13"/>
  <c r="I1074" i="13" s="1"/>
  <c r="H1070" i="13"/>
  <c r="H1066" i="13"/>
  <c r="H1062" i="13"/>
  <c r="H1058" i="13"/>
  <c r="I1058" i="13" s="1"/>
  <c r="H1054" i="13"/>
  <c r="H1050" i="13"/>
  <c r="H1046" i="13"/>
  <c r="H1042" i="13"/>
  <c r="I1042" i="13" s="1"/>
  <c r="H1038" i="13"/>
  <c r="H1034" i="13"/>
  <c r="H1030" i="13"/>
  <c r="H1026" i="13"/>
  <c r="I1026" i="13" s="1"/>
  <c r="H1022" i="13"/>
  <c r="H1018" i="13"/>
  <c r="H1014" i="13"/>
  <c r="H1010" i="13"/>
  <c r="I1010" i="13" s="1"/>
  <c r="H1006" i="13"/>
  <c r="H1002" i="13"/>
  <c r="H998" i="13"/>
  <c r="H994" i="13"/>
  <c r="I994" i="13" s="1"/>
  <c r="H990" i="13"/>
  <c r="H986" i="13"/>
  <c r="H982" i="13"/>
  <c r="H978" i="13"/>
  <c r="I978" i="13" s="1"/>
  <c r="H974" i="13"/>
  <c r="H970" i="13"/>
  <c r="H966" i="13"/>
  <c r="H962" i="13"/>
  <c r="I962" i="13" s="1"/>
  <c r="H958" i="13"/>
  <c r="H954" i="13"/>
  <c r="H950" i="13"/>
  <c r="H946" i="13"/>
  <c r="I946" i="13" s="1"/>
  <c r="H942" i="13"/>
  <c r="H938" i="13"/>
  <c r="H934" i="13"/>
  <c r="H930" i="13"/>
  <c r="I930" i="13" s="1"/>
  <c r="H926" i="13"/>
  <c r="H922" i="13"/>
  <c r="H918" i="13"/>
  <c r="H914" i="13"/>
  <c r="I914" i="13" s="1"/>
  <c r="H910" i="13"/>
  <c r="H906" i="13"/>
  <c r="H902" i="13"/>
  <c r="H898" i="13"/>
  <c r="I898" i="13" s="1"/>
  <c r="H894" i="13"/>
  <c r="H890" i="13"/>
  <c r="H886" i="13"/>
  <c r="H882" i="13"/>
  <c r="I882" i="13" s="1"/>
  <c r="H878" i="13"/>
  <c r="H874" i="13"/>
  <c r="H870" i="13"/>
  <c r="H866" i="13"/>
  <c r="I866" i="13" s="1"/>
  <c r="H862" i="13"/>
  <c r="H858" i="13"/>
  <c r="H854" i="13"/>
  <c r="H850" i="13"/>
  <c r="I850" i="13" s="1"/>
  <c r="H846" i="13"/>
  <c r="H842" i="13"/>
  <c r="H838" i="13"/>
  <c r="H834" i="13"/>
  <c r="I834" i="13" s="1"/>
  <c r="H830" i="13"/>
  <c r="H826" i="13"/>
  <c r="H822" i="13"/>
  <c r="H818" i="13"/>
  <c r="I818" i="13" s="1"/>
  <c r="H814" i="13"/>
  <c r="H810" i="13"/>
  <c r="H806" i="13"/>
  <c r="H802" i="13"/>
  <c r="I802" i="13" s="1"/>
  <c r="H798" i="13"/>
  <c r="H794" i="13"/>
  <c r="H790" i="13"/>
  <c r="H786" i="13"/>
  <c r="I786" i="13" s="1"/>
  <c r="H782" i="13"/>
  <c r="H778" i="13"/>
  <c r="H774" i="13"/>
  <c r="H770" i="13"/>
  <c r="I770" i="13" s="1"/>
  <c r="H766" i="13"/>
  <c r="H762" i="13"/>
  <c r="H758" i="13"/>
  <c r="H754" i="13"/>
  <c r="I754" i="13" s="1"/>
  <c r="H750" i="13"/>
  <c r="H746" i="13"/>
  <c r="H742" i="13"/>
  <c r="H738" i="13"/>
  <c r="I738" i="13" s="1"/>
  <c r="H734" i="13"/>
  <c r="H730" i="13"/>
  <c r="H726" i="13"/>
  <c r="H722" i="13"/>
  <c r="I722" i="13" s="1"/>
  <c r="H718" i="13"/>
  <c r="H714" i="13"/>
  <c r="H710" i="13"/>
  <c r="H706" i="13"/>
  <c r="I706" i="13" s="1"/>
  <c r="H702" i="13"/>
  <c r="H698" i="13"/>
  <c r="H694" i="13"/>
  <c r="H690" i="13"/>
  <c r="I690" i="13" s="1"/>
  <c r="H686" i="13"/>
  <c r="H682" i="13"/>
  <c r="H678" i="13"/>
  <c r="H674" i="13"/>
  <c r="I674" i="13" s="1"/>
  <c r="H670" i="13"/>
  <c r="H666" i="13"/>
  <c r="H662" i="13"/>
  <c r="H658" i="13"/>
  <c r="I658" i="13" s="1"/>
  <c r="H654" i="13"/>
  <c r="H650" i="13"/>
  <c r="H646" i="13"/>
  <c r="H642" i="13"/>
  <c r="I642" i="13" s="1"/>
  <c r="H638" i="13"/>
  <c r="H634" i="13"/>
  <c r="H630" i="13"/>
  <c r="H626" i="13"/>
  <c r="I626" i="13" s="1"/>
  <c r="H622" i="13"/>
  <c r="H618" i="13"/>
  <c r="H614" i="13"/>
  <c r="H610" i="13"/>
  <c r="I610" i="13" s="1"/>
  <c r="H606" i="13"/>
  <c r="H602" i="13"/>
  <c r="H598" i="13"/>
  <c r="H594" i="13"/>
  <c r="I594" i="13" s="1"/>
  <c r="H590" i="13"/>
  <c r="H586" i="13"/>
  <c r="H582" i="13"/>
  <c r="H578" i="13"/>
  <c r="I578" i="13" s="1"/>
  <c r="H574" i="13"/>
  <c r="H570" i="13"/>
  <c r="H566" i="13"/>
  <c r="H562" i="13"/>
  <c r="I562" i="13" s="1"/>
  <c r="H558" i="13"/>
  <c r="H554" i="13"/>
  <c r="H550" i="13"/>
  <c r="H546" i="13"/>
  <c r="I546" i="13" s="1"/>
  <c r="H542" i="13"/>
  <c r="H538" i="13"/>
  <c r="H534" i="13"/>
  <c r="H530" i="13"/>
  <c r="I530" i="13" s="1"/>
  <c r="H526" i="13"/>
  <c r="H522" i="13"/>
  <c r="H518" i="13"/>
  <c r="H514" i="13"/>
  <c r="I514" i="13" s="1"/>
  <c r="H510" i="13"/>
  <c r="H506" i="13"/>
  <c r="H502" i="13"/>
  <c r="H498" i="13"/>
  <c r="I498" i="13" s="1"/>
  <c r="H494" i="13"/>
  <c r="H490" i="13"/>
  <c r="H486" i="13"/>
  <c r="H482" i="13"/>
  <c r="I482" i="13" s="1"/>
  <c r="H478" i="13"/>
  <c r="H474" i="13"/>
  <c r="H470" i="13"/>
  <c r="H466" i="13"/>
  <c r="I466" i="13" s="1"/>
  <c r="H462" i="13"/>
  <c r="H458" i="13"/>
  <c r="H454" i="13"/>
  <c r="H450" i="13"/>
  <c r="I450" i="13" s="1"/>
  <c r="H446" i="13"/>
  <c r="H442" i="13"/>
  <c r="H438" i="13"/>
  <c r="H434" i="13"/>
  <c r="I434" i="13" s="1"/>
  <c r="H430" i="13"/>
  <c r="H426" i="13"/>
  <c r="H422" i="13"/>
  <c r="H418" i="13"/>
  <c r="I418" i="13" s="1"/>
  <c r="H414" i="13"/>
  <c r="H410" i="13"/>
  <c r="H406" i="13"/>
  <c r="H402" i="13"/>
  <c r="I402" i="13" s="1"/>
  <c r="H398" i="13"/>
  <c r="H394" i="13"/>
  <c r="H390" i="13"/>
  <c r="H386" i="13"/>
  <c r="I386" i="13" s="1"/>
  <c r="H382" i="13"/>
  <c r="H378" i="13"/>
  <c r="H374" i="13"/>
  <c r="H370" i="13"/>
  <c r="I370" i="13" s="1"/>
  <c r="H366" i="13"/>
  <c r="H362" i="13"/>
  <c r="H358" i="13"/>
  <c r="H354" i="13"/>
  <c r="I354" i="13" s="1"/>
  <c r="H350" i="13"/>
  <c r="H346" i="13"/>
  <c r="H342" i="13"/>
  <c r="H338" i="13"/>
  <c r="I338" i="13" s="1"/>
  <c r="H334" i="13"/>
  <c r="H330" i="13"/>
  <c r="H326" i="13"/>
  <c r="H322" i="13"/>
  <c r="I322" i="13" s="1"/>
  <c r="H318" i="13"/>
  <c r="H314" i="13"/>
  <c r="H310" i="13"/>
  <c r="H306" i="13"/>
  <c r="I306" i="13" s="1"/>
  <c r="H302" i="13"/>
  <c r="H298" i="13"/>
  <c r="H294" i="13"/>
  <c r="H290" i="13"/>
  <c r="I290" i="13" s="1"/>
  <c r="H286" i="13"/>
  <c r="H282" i="13"/>
  <c r="H278" i="13"/>
  <c r="H274" i="13"/>
  <c r="I274" i="13" s="1"/>
  <c r="H270" i="13"/>
  <c r="H266" i="13"/>
  <c r="H262" i="13"/>
  <c r="H258" i="13"/>
  <c r="I258" i="13" s="1"/>
  <c r="H254" i="13"/>
  <c r="H250" i="13"/>
  <c r="H246" i="13"/>
  <c r="H242" i="13"/>
  <c r="I242" i="13" s="1"/>
  <c r="H238" i="13"/>
  <c r="H234" i="13"/>
  <c r="H230" i="13"/>
  <c r="H226" i="13"/>
  <c r="I226" i="13" s="1"/>
  <c r="H222" i="13"/>
  <c r="H218" i="13"/>
  <c r="H214" i="13"/>
  <c r="H210" i="13"/>
  <c r="I210" i="13" s="1"/>
  <c r="H206" i="13"/>
  <c r="H202" i="13"/>
  <c r="H198" i="13"/>
  <c r="H194" i="13"/>
  <c r="I194" i="13" s="1"/>
  <c r="H190" i="13"/>
  <c r="H186" i="13"/>
  <c r="H182" i="13"/>
  <c r="H178" i="13"/>
  <c r="I178" i="13" s="1"/>
  <c r="H174" i="13"/>
  <c r="H170" i="13"/>
  <c r="H166" i="13"/>
  <c r="H162" i="13"/>
  <c r="I162" i="13" s="1"/>
  <c r="H158" i="13"/>
  <c r="H154" i="13"/>
  <c r="H150" i="13"/>
  <c r="H146" i="13"/>
  <c r="I146" i="13" s="1"/>
  <c r="H142" i="13"/>
  <c r="H138" i="13"/>
  <c r="H134" i="13"/>
  <c r="H130" i="13"/>
  <c r="I130" i="13" s="1"/>
  <c r="H126" i="13"/>
  <c r="H122" i="13"/>
  <c r="H118" i="13"/>
  <c r="H114" i="13"/>
  <c r="I114" i="13" s="1"/>
  <c r="H110" i="13"/>
  <c r="H106" i="13"/>
  <c r="H102" i="13"/>
  <c r="H98" i="13"/>
  <c r="I98" i="13" s="1"/>
  <c r="H94" i="13"/>
  <c r="H90" i="13"/>
  <c r="H86" i="13"/>
  <c r="H82" i="13"/>
  <c r="I82" i="13" s="1"/>
  <c r="H78" i="13"/>
  <c r="H74" i="13"/>
  <c r="H70" i="13"/>
  <c r="H66" i="13"/>
  <c r="I66" i="13" s="1"/>
  <c r="H62" i="13"/>
  <c r="H58" i="13"/>
  <c r="H54" i="13"/>
  <c r="H50" i="13"/>
  <c r="I50" i="13" s="1"/>
  <c r="H46" i="13"/>
  <c r="H42" i="13"/>
  <c r="H38" i="13"/>
  <c r="H34" i="13"/>
  <c r="I34" i="13" s="1"/>
  <c r="H30" i="13"/>
  <c r="H26" i="13"/>
  <c r="H22" i="13"/>
  <c r="H18" i="13"/>
  <c r="I18" i="13" s="1"/>
  <c r="H14" i="13"/>
  <c r="H10" i="13"/>
  <c r="H17" i="12"/>
  <c r="H13" i="12"/>
  <c r="I13" i="12" s="1"/>
  <c r="AS13" i="12" s="1"/>
  <c r="L13" i="12" s="1"/>
  <c r="H11" i="10"/>
  <c r="H2754" i="13"/>
  <c r="H2722" i="13"/>
  <c r="I2722" i="13" s="1"/>
  <c r="H2674" i="13"/>
  <c r="H2610" i="13"/>
  <c r="H2578" i="13"/>
  <c r="H2546" i="13"/>
  <c r="I2546" i="13" s="1"/>
  <c r="H2498" i="13"/>
  <c r="H2450" i="13"/>
  <c r="H2402" i="13"/>
  <c r="H2354" i="13"/>
  <c r="I2354" i="13" s="1"/>
  <c r="H2306" i="13"/>
  <c r="H2258" i="13"/>
  <c r="H2226" i="13"/>
  <c r="H2178" i="13"/>
  <c r="I2178" i="13" s="1"/>
  <c r="H2130" i="13"/>
  <c r="H2082" i="13"/>
  <c r="H2034" i="13"/>
  <c r="H1986" i="13"/>
  <c r="I1986" i="13" s="1"/>
  <c r="H1938" i="13"/>
  <c r="H1906" i="13"/>
  <c r="H1858" i="13"/>
  <c r="H1810" i="13"/>
  <c r="I1810" i="13" s="1"/>
  <c r="H1762" i="13"/>
  <c r="H1730" i="13"/>
  <c r="H1682" i="13"/>
  <c r="H1663" i="13"/>
  <c r="I1663" i="13" s="1"/>
  <c r="H1651" i="13"/>
  <c r="H1643" i="13"/>
  <c r="H1635" i="13"/>
  <c r="H1623" i="13"/>
  <c r="I1623" i="13" s="1"/>
  <c r="H1611" i="13"/>
  <c r="H1599" i="13"/>
  <c r="H1587" i="13"/>
  <c r="H1575" i="13"/>
  <c r="I1575" i="13" s="1"/>
  <c r="H1563" i="13"/>
  <c r="H1551" i="13"/>
  <c r="H1539" i="13"/>
  <c r="H1531" i="13"/>
  <c r="I1531" i="13" s="1"/>
  <c r="H1515" i="13"/>
  <c r="H1507" i="13"/>
  <c r="H1495" i="13"/>
  <c r="H1483" i="13"/>
  <c r="I1483" i="13" s="1"/>
  <c r="H1475" i="13"/>
  <c r="H1467" i="13"/>
  <c r="H1455" i="13"/>
  <c r="H1443" i="13"/>
  <c r="I1443" i="13" s="1"/>
  <c r="H1431" i="13"/>
  <c r="H1423" i="13"/>
  <c r="H1411" i="13"/>
  <c r="H1395" i="13"/>
  <c r="I1395" i="13" s="1"/>
  <c r="H1383" i="13"/>
  <c r="H1371" i="13"/>
  <c r="H1359" i="13"/>
  <c r="H1347" i="13"/>
  <c r="I1347" i="13" s="1"/>
  <c r="H1335" i="13"/>
  <c r="H1323" i="13"/>
  <c r="H1311" i="13"/>
  <c r="H1299" i="13"/>
  <c r="I1299" i="13" s="1"/>
  <c r="H1287" i="13"/>
  <c r="H1271" i="13"/>
  <c r="H1259" i="13"/>
  <c r="H1247" i="13"/>
  <c r="I1247" i="13" s="1"/>
  <c r="H1235" i="13"/>
  <c r="H1223" i="13"/>
  <c r="H1211" i="13"/>
  <c r="H1199" i="13"/>
  <c r="I1199" i="13" s="1"/>
  <c r="H1187" i="13"/>
  <c r="H1179" i="13"/>
  <c r="H1167" i="13"/>
  <c r="H1151" i="13"/>
  <c r="I1151" i="13" s="1"/>
  <c r="H1139" i="13"/>
  <c r="H1131" i="13"/>
  <c r="H1119" i="13"/>
  <c r="H1111" i="13"/>
  <c r="I1111" i="13" s="1"/>
  <c r="H1099" i="13"/>
  <c r="H1087" i="13"/>
  <c r="H1075" i="13"/>
  <c r="H1063" i="13"/>
  <c r="I1063" i="13" s="1"/>
  <c r="H1047" i="13"/>
  <c r="H1035" i="13"/>
  <c r="H1023" i="13"/>
  <c r="H1011" i="13"/>
  <c r="I1011" i="13" s="1"/>
  <c r="H999" i="13"/>
  <c r="H991" i="13"/>
  <c r="H979" i="13"/>
  <c r="H971" i="13"/>
  <c r="I971" i="13" s="1"/>
  <c r="H959" i="13"/>
  <c r="H947" i="13"/>
  <c r="H939" i="13"/>
  <c r="H927" i="13"/>
  <c r="I927" i="13" s="1"/>
  <c r="H911" i="13"/>
  <c r="H899" i="13"/>
  <c r="H887" i="13"/>
  <c r="H871" i="13"/>
  <c r="I871" i="13" s="1"/>
  <c r="H859" i="13"/>
  <c r="H847" i="13"/>
  <c r="H835" i="13"/>
  <c r="H823" i="13"/>
  <c r="I823" i="13" s="1"/>
  <c r="H811" i="13"/>
  <c r="H803" i="13"/>
  <c r="H791" i="13"/>
  <c r="H779" i="13"/>
  <c r="I779" i="13" s="1"/>
  <c r="H767" i="13"/>
  <c r="H755" i="13"/>
  <c r="H747" i="13"/>
  <c r="H735" i="13"/>
  <c r="I735" i="13" s="1"/>
  <c r="H723" i="13"/>
  <c r="H711" i="13"/>
  <c r="H699" i="13"/>
  <c r="H687" i="13"/>
  <c r="I687" i="13" s="1"/>
  <c r="H675" i="13"/>
  <c r="H671" i="13"/>
  <c r="H659" i="13"/>
  <c r="H647" i="13"/>
  <c r="I647" i="13" s="1"/>
  <c r="H639" i="13"/>
  <c r="H627" i="13"/>
  <c r="H615" i="13"/>
  <c r="H607" i="13"/>
  <c r="I607" i="13" s="1"/>
  <c r="H595" i="13"/>
  <c r="H583" i="13"/>
  <c r="H575" i="13"/>
  <c r="H563" i="13"/>
  <c r="I563" i="13" s="1"/>
  <c r="H551" i="13"/>
  <c r="H539" i="13"/>
  <c r="H523" i="13"/>
  <c r="H519" i="13"/>
  <c r="I519" i="13" s="1"/>
  <c r="H507" i="13"/>
  <c r="H495" i="13"/>
  <c r="H487" i="13"/>
  <c r="H475" i="13"/>
  <c r="I475" i="13" s="1"/>
  <c r="H463" i="13"/>
  <c r="H451" i="13"/>
  <c r="H439" i="13"/>
  <c r="H431" i="13"/>
  <c r="I431" i="13" s="1"/>
  <c r="H419" i="13"/>
  <c r="H407" i="13"/>
  <c r="H395" i="13"/>
  <c r="H387" i="13"/>
  <c r="I387" i="13" s="1"/>
  <c r="H375" i="13"/>
  <c r="H359" i="13"/>
  <c r="H351" i="13"/>
  <c r="H339" i="13"/>
  <c r="I339" i="13" s="1"/>
  <c r="H323" i="13"/>
  <c r="H311" i="13"/>
  <c r="H299" i="13"/>
  <c r="H287" i="13"/>
  <c r="I287" i="13" s="1"/>
  <c r="H279" i="13"/>
  <c r="H267" i="13"/>
  <c r="H255" i="13"/>
  <c r="H243" i="13"/>
  <c r="I243" i="13" s="1"/>
  <c r="H231" i="13"/>
  <c r="H219" i="13"/>
  <c r="H203" i="13"/>
  <c r="H191" i="13"/>
  <c r="I191" i="13" s="1"/>
  <c r="H179" i="13"/>
  <c r="H171" i="13"/>
  <c r="H159" i="13"/>
  <c r="H147" i="13"/>
  <c r="I147" i="13" s="1"/>
  <c r="H135" i="13"/>
  <c r="H123" i="13"/>
  <c r="H111" i="13"/>
  <c r="H99" i="13"/>
  <c r="I99" i="13" s="1"/>
  <c r="H87" i="13"/>
  <c r="H75" i="13"/>
  <c r="H67" i="13"/>
  <c r="H55" i="13"/>
  <c r="I55" i="13" s="1"/>
  <c r="H39" i="13"/>
  <c r="H31" i="13"/>
  <c r="H19" i="13"/>
  <c r="H11" i="13"/>
  <c r="I11" i="13" s="1"/>
  <c r="H10" i="12"/>
  <c r="I10" i="12" s="1"/>
  <c r="AS10" i="12" s="1"/>
  <c r="L10" i="12" s="1"/>
  <c r="H2778" i="13"/>
  <c r="H2762" i="13"/>
  <c r="H2746" i="13"/>
  <c r="I2746" i="13" s="1"/>
  <c r="H2730" i="13"/>
  <c r="H2714" i="13"/>
  <c r="H2698" i="13"/>
  <c r="H2682" i="13"/>
  <c r="I2682" i="13" s="1"/>
  <c r="H2666" i="13"/>
  <c r="H2650" i="13"/>
  <c r="H2634" i="13"/>
  <c r="H2618" i="13"/>
  <c r="I2618" i="13" s="1"/>
  <c r="H2602" i="13"/>
  <c r="H2586" i="13"/>
  <c r="H2570" i="13"/>
  <c r="H2554" i="13"/>
  <c r="I2554" i="13" s="1"/>
  <c r="H2538" i="13"/>
  <c r="H2522" i="13"/>
  <c r="H2506" i="13"/>
  <c r="H2490" i="13"/>
  <c r="I2490" i="13" s="1"/>
  <c r="H2474" i="13"/>
  <c r="H2458" i="13"/>
  <c r="H2442" i="13"/>
  <c r="H2426" i="13"/>
  <c r="I2426" i="13" s="1"/>
  <c r="H2410" i="13"/>
  <c r="H2394" i="13"/>
  <c r="H2378" i="13"/>
  <c r="H2362" i="13"/>
  <c r="I2362" i="13" s="1"/>
  <c r="H2346" i="13"/>
  <c r="H2330" i="13"/>
  <c r="H2314" i="13"/>
  <c r="H2298" i="13"/>
  <c r="I2298" i="13" s="1"/>
  <c r="H2282" i="13"/>
  <c r="H2266" i="13"/>
  <c r="H2250" i="13"/>
  <c r="H2234" i="13"/>
  <c r="I2234" i="13" s="1"/>
  <c r="H2218" i="13"/>
  <c r="H2202" i="13"/>
  <c r="H2186" i="13"/>
  <c r="H2170" i="13"/>
  <c r="I2170" i="13" s="1"/>
  <c r="H2154" i="13"/>
  <c r="H2138" i="13"/>
  <c r="H2122" i="13"/>
  <c r="H2106" i="13"/>
  <c r="I2106" i="13" s="1"/>
  <c r="H2090" i="13"/>
  <c r="H2074" i="13"/>
  <c r="H2058" i="13"/>
  <c r="H2042" i="13"/>
  <c r="I2042" i="13" s="1"/>
  <c r="H2026" i="13"/>
  <c r="H2010" i="13"/>
  <c r="H1994" i="13"/>
  <c r="H1978" i="13"/>
  <c r="I1978" i="13" s="1"/>
  <c r="H1962" i="13"/>
  <c r="H1946" i="13"/>
  <c r="H1930" i="13"/>
  <c r="H1914" i="13"/>
  <c r="I1914" i="13" s="1"/>
  <c r="H1898" i="13"/>
  <c r="H1882" i="13"/>
  <c r="H1866" i="13"/>
  <c r="H1850" i="13"/>
  <c r="I1850" i="13" s="1"/>
  <c r="H1834" i="13"/>
  <c r="H1818" i="13"/>
  <c r="H1802" i="13"/>
  <c r="H1786" i="13"/>
  <c r="I1786" i="13" s="1"/>
  <c r="H1770" i="13"/>
  <c r="H1754" i="13"/>
  <c r="H1738" i="13"/>
  <c r="H1722" i="13"/>
  <c r="I1722" i="13" s="1"/>
  <c r="H1706" i="13"/>
  <c r="H1690" i="13"/>
  <c r="H1674" i="13"/>
  <c r="H1669" i="13"/>
  <c r="I1669" i="13" s="1"/>
  <c r="H1665" i="13"/>
  <c r="H1661" i="13"/>
  <c r="H1657" i="13"/>
  <c r="H1653" i="13"/>
  <c r="I1653" i="13" s="1"/>
  <c r="H1649" i="13"/>
  <c r="H1645" i="13"/>
  <c r="H1641" i="13"/>
  <c r="H1637" i="13"/>
  <c r="I1637" i="13" s="1"/>
  <c r="H1633" i="13"/>
  <c r="H1629" i="13"/>
  <c r="H1625" i="13"/>
  <c r="H1621" i="13"/>
  <c r="I1621" i="13" s="1"/>
  <c r="H1617" i="13"/>
  <c r="H1613" i="13"/>
  <c r="H1609" i="13"/>
  <c r="H1605" i="13"/>
  <c r="I1605" i="13" s="1"/>
  <c r="H1601" i="13"/>
  <c r="H1597" i="13"/>
  <c r="H1593" i="13"/>
  <c r="H1589" i="13"/>
  <c r="I1589" i="13" s="1"/>
  <c r="H1585" i="13"/>
  <c r="H1581" i="13"/>
  <c r="H1577" i="13"/>
  <c r="H1573" i="13"/>
  <c r="I1573" i="13" s="1"/>
  <c r="H1569" i="13"/>
  <c r="H1565" i="13"/>
  <c r="H1561" i="13"/>
  <c r="H1557" i="13"/>
  <c r="I1557" i="13" s="1"/>
  <c r="H1553" i="13"/>
  <c r="H1549" i="13"/>
  <c r="H1545" i="13"/>
  <c r="H1541" i="13"/>
  <c r="I1541" i="13" s="1"/>
  <c r="H1537" i="13"/>
  <c r="H1533" i="13"/>
  <c r="H1529" i="13"/>
  <c r="H1525" i="13"/>
  <c r="I1525" i="13" s="1"/>
  <c r="H1521" i="13"/>
  <c r="H1517" i="13"/>
  <c r="H1513" i="13"/>
  <c r="H1509" i="13"/>
  <c r="I1509" i="13" s="1"/>
  <c r="H1505" i="13"/>
  <c r="H1501" i="13"/>
  <c r="H1497" i="13"/>
  <c r="H1493" i="13"/>
  <c r="I1493" i="13" s="1"/>
  <c r="H1489" i="13"/>
  <c r="H1485" i="13"/>
  <c r="H1481" i="13"/>
  <c r="H1477" i="13"/>
  <c r="I1477" i="13" s="1"/>
  <c r="H1473" i="13"/>
  <c r="H1469" i="13"/>
  <c r="H1465" i="13"/>
  <c r="H1461" i="13"/>
  <c r="I1461" i="13" s="1"/>
  <c r="H1457" i="13"/>
  <c r="H1453" i="13"/>
  <c r="H1449" i="13"/>
  <c r="H1445" i="13"/>
  <c r="I1445" i="13" s="1"/>
  <c r="H1441" i="13"/>
  <c r="H1437" i="13"/>
  <c r="H1433" i="13"/>
  <c r="H1429" i="13"/>
  <c r="I1429" i="13" s="1"/>
  <c r="H1425" i="13"/>
  <c r="H1421" i="13"/>
  <c r="H1417" i="13"/>
  <c r="H1413" i="13"/>
  <c r="I1413" i="13" s="1"/>
  <c r="H1409" i="13"/>
  <c r="H1405" i="13"/>
  <c r="H1401" i="13"/>
  <c r="H1397" i="13"/>
  <c r="I1397" i="13" s="1"/>
  <c r="H1393" i="13"/>
  <c r="H1389" i="13"/>
  <c r="H1385" i="13"/>
  <c r="H1381" i="13"/>
  <c r="I1381" i="13" s="1"/>
  <c r="H1377" i="13"/>
  <c r="H1373" i="13"/>
  <c r="H1369" i="13"/>
  <c r="H1365" i="13"/>
  <c r="I1365" i="13" s="1"/>
  <c r="H1361" i="13"/>
  <c r="H1357" i="13"/>
  <c r="H1353" i="13"/>
  <c r="H1349" i="13"/>
  <c r="I1349" i="13" s="1"/>
  <c r="H1345" i="13"/>
  <c r="H1341" i="13"/>
  <c r="H1337" i="13"/>
  <c r="H1333" i="13"/>
  <c r="I1333" i="13" s="1"/>
  <c r="H1329" i="13"/>
  <c r="H1325" i="13"/>
  <c r="H1321" i="13"/>
  <c r="H1317" i="13"/>
  <c r="I1317" i="13" s="1"/>
  <c r="H1313" i="13"/>
  <c r="H1309" i="13"/>
  <c r="H1305" i="13"/>
  <c r="H1301" i="13"/>
  <c r="I1301" i="13" s="1"/>
  <c r="H1297" i="13"/>
  <c r="H1293" i="13"/>
  <c r="H1289" i="13"/>
  <c r="H1285" i="13"/>
  <c r="I1285" i="13" s="1"/>
  <c r="H1281" i="13"/>
  <c r="H1277" i="13"/>
  <c r="H1273" i="13"/>
  <c r="H1269" i="13"/>
  <c r="I1269" i="13" s="1"/>
  <c r="H1265" i="13"/>
  <c r="H1261" i="13"/>
  <c r="H1257" i="13"/>
  <c r="H1253" i="13"/>
  <c r="I1253" i="13" s="1"/>
  <c r="H1249" i="13"/>
  <c r="H1245" i="13"/>
  <c r="H1241" i="13"/>
  <c r="H1237" i="13"/>
  <c r="H1233" i="13"/>
  <c r="H1229" i="13"/>
  <c r="H1225" i="13"/>
  <c r="H1221" i="13"/>
  <c r="I1221" i="13" s="1"/>
  <c r="H1217" i="13"/>
  <c r="H1213" i="13"/>
  <c r="H1209" i="13"/>
  <c r="H1205" i="13"/>
  <c r="I1205" i="13" s="1"/>
  <c r="H1201" i="13"/>
  <c r="H1197" i="13"/>
  <c r="H1193" i="13"/>
  <c r="H1189" i="13"/>
  <c r="I1189" i="13" s="1"/>
  <c r="H1185" i="13"/>
  <c r="H1181" i="13"/>
  <c r="H1177" i="13"/>
  <c r="H1173" i="13"/>
  <c r="I1173" i="13" s="1"/>
  <c r="H1169" i="13"/>
  <c r="H1165" i="13"/>
  <c r="H1161" i="13"/>
  <c r="H1157" i="13"/>
  <c r="I1157" i="13" s="1"/>
  <c r="H1153" i="13"/>
  <c r="H1149" i="13"/>
  <c r="H1145" i="13"/>
  <c r="H1141" i="13"/>
  <c r="I1141" i="13" s="1"/>
  <c r="H1137" i="13"/>
  <c r="H1133" i="13"/>
  <c r="H1129" i="13"/>
  <c r="H1125" i="13"/>
  <c r="I1125" i="13" s="1"/>
  <c r="H1121" i="13"/>
  <c r="H1117" i="13"/>
  <c r="H1113" i="13"/>
  <c r="H1109" i="13"/>
  <c r="I1109" i="13" s="1"/>
  <c r="H1105" i="13"/>
  <c r="H1101" i="13"/>
  <c r="H1097" i="13"/>
  <c r="H1093" i="13"/>
  <c r="I1093" i="13" s="1"/>
  <c r="H1089" i="13"/>
  <c r="H1085" i="13"/>
  <c r="H1081" i="13"/>
  <c r="H1077" i="13"/>
  <c r="I1077" i="13" s="1"/>
  <c r="H1073" i="13"/>
  <c r="H1069" i="13"/>
  <c r="H1065" i="13"/>
  <c r="H1061" i="13"/>
  <c r="I1061" i="13" s="1"/>
  <c r="H1057" i="13"/>
  <c r="H1053" i="13"/>
  <c r="H1049" i="13"/>
  <c r="H1045" i="13"/>
  <c r="I1045" i="13" s="1"/>
  <c r="H1041" i="13"/>
  <c r="H1037" i="13"/>
  <c r="H1033" i="13"/>
  <c r="H1029" i="13"/>
  <c r="I1029" i="13" s="1"/>
  <c r="H1025" i="13"/>
  <c r="H1021" i="13"/>
  <c r="H1017" i="13"/>
  <c r="H1013" i="13"/>
  <c r="I1013" i="13" s="1"/>
  <c r="H1009" i="13"/>
  <c r="H1005" i="13"/>
  <c r="H1001" i="13"/>
  <c r="H997" i="13"/>
  <c r="I997" i="13" s="1"/>
  <c r="H993" i="13"/>
  <c r="H989" i="13"/>
  <c r="H985" i="13"/>
  <c r="H981" i="13"/>
  <c r="I981" i="13" s="1"/>
  <c r="H977" i="13"/>
  <c r="H973" i="13"/>
  <c r="H969" i="13"/>
  <c r="H965" i="13"/>
  <c r="I965" i="13" s="1"/>
  <c r="H961" i="13"/>
  <c r="H957" i="13"/>
  <c r="H953" i="13"/>
  <c r="H949" i="13"/>
  <c r="I949" i="13" s="1"/>
  <c r="H945" i="13"/>
  <c r="H941" i="13"/>
  <c r="H937" i="13"/>
  <c r="H933" i="13"/>
  <c r="I933" i="13" s="1"/>
  <c r="H929" i="13"/>
  <c r="H925" i="13"/>
  <c r="H921" i="13"/>
  <c r="H917" i="13"/>
  <c r="I917" i="13" s="1"/>
  <c r="H913" i="13"/>
  <c r="H909" i="13"/>
  <c r="H905" i="13"/>
  <c r="H901" i="13"/>
  <c r="I901" i="13" s="1"/>
  <c r="H897" i="13"/>
  <c r="H893" i="13"/>
  <c r="H889" i="13"/>
  <c r="H885" i="13"/>
  <c r="I885" i="13" s="1"/>
  <c r="H881" i="13"/>
  <c r="H877" i="13"/>
  <c r="H873" i="13"/>
  <c r="H869" i="13"/>
  <c r="I869" i="13" s="1"/>
  <c r="H865" i="13"/>
  <c r="H861" i="13"/>
  <c r="H857" i="13"/>
  <c r="H853" i="13"/>
  <c r="I853" i="13" s="1"/>
  <c r="H849" i="13"/>
  <c r="H845" i="13"/>
  <c r="H841" i="13"/>
  <c r="H837" i="13"/>
  <c r="I837" i="13" s="1"/>
  <c r="H833" i="13"/>
  <c r="H829" i="13"/>
  <c r="H825" i="13"/>
  <c r="H821" i="13"/>
  <c r="I821" i="13" s="1"/>
  <c r="H817" i="13"/>
  <c r="H813" i="13"/>
  <c r="H809" i="13"/>
  <c r="H805" i="13"/>
  <c r="I805" i="13" s="1"/>
  <c r="H801" i="13"/>
  <c r="H797" i="13"/>
  <c r="H793" i="13"/>
  <c r="H789" i="13"/>
  <c r="I789" i="13" s="1"/>
  <c r="H785" i="13"/>
  <c r="H781" i="13"/>
  <c r="H777" i="13"/>
  <c r="H773" i="13"/>
  <c r="I773" i="13" s="1"/>
  <c r="H769" i="13"/>
  <c r="H765" i="13"/>
  <c r="H761" i="13"/>
  <c r="H757" i="13"/>
  <c r="I757" i="13" s="1"/>
  <c r="H753" i="13"/>
  <c r="H749" i="13"/>
  <c r="H745" i="13"/>
  <c r="H741" i="13"/>
  <c r="I741" i="13" s="1"/>
  <c r="H737" i="13"/>
  <c r="H733" i="13"/>
  <c r="H729" i="13"/>
  <c r="H725" i="13"/>
  <c r="I725" i="13" s="1"/>
  <c r="H721" i="13"/>
  <c r="H717" i="13"/>
  <c r="H713" i="13"/>
  <c r="H709" i="13"/>
  <c r="I709" i="13" s="1"/>
  <c r="H705" i="13"/>
  <c r="H701" i="13"/>
  <c r="H697" i="13"/>
  <c r="H693" i="13"/>
  <c r="I693" i="13" s="1"/>
  <c r="H689" i="13"/>
  <c r="H685" i="13"/>
  <c r="H681" i="13"/>
  <c r="H677" i="13"/>
  <c r="I677" i="13" s="1"/>
  <c r="H673" i="13"/>
  <c r="H669" i="13"/>
  <c r="H665" i="13"/>
  <c r="H661" i="13"/>
  <c r="I661" i="13" s="1"/>
  <c r="H657" i="13"/>
  <c r="H653" i="13"/>
  <c r="H649" i="13"/>
  <c r="H645" i="13"/>
  <c r="I645" i="13" s="1"/>
  <c r="H641" i="13"/>
  <c r="H637" i="13"/>
  <c r="H633" i="13"/>
  <c r="H629" i="13"/>
  <c r="I629" i="13" s="1"/>
  <c r="H625" i="13"/>
  <c r="H621" i="13"/>
  <c r="H617" i="13"/>
  <c r="H613" i="13"/>
  <c r="I613" i="13" s="1"/>
  <c r="H609" i="13"/>
  <c r="H605" i="13"/>
  <c r="H601" i="13"/>
  <c r="H597" i="13"/>
  <c r="I597" i="13" s="1"/>
  <c r="H593" i="13"/>
  <c r="H589" i="13"/>
  <c r="H585" i="13"/>
  <c r="H581" i="13"/>
  <c r="I581" i="13" s="1"/>
  <c r="H577" i="13"/>
  <c r="H573" i="13"/>
  <c r="H569" i="13"/>
  <c r="H565" i="13"/>
  <c r="I565" i="13" s="1"/>
  <c r="H561" i="13"/>
  <c r="H557" i="13"/>
  <c r="H553" i="13"/>
  <c r="H549" i="13"/>
  <c r="I549" i="13" s="1"/>
  <c r="H545" i="13"/>
  <c r="H541" i="13"/>
  <c r="H537" i="13"/>
  <c r="H533" i="13"/>
  <c r="I533" i="13" s="1"/>
  <c r="H529" i="13"/>
  <c r="H525" i="13"/>
  <c r="H521" i="13"/>
  <c r="H517" i="13"/>
  <c r="I517" i="13" s="1"/>
  <c r="H513" i="13"/>
  <c r="H509" i="13"/>
  <c r="H505" i="13"/>
  <c r="H501" i="13"/>
  <c r="I501" i="13" s="1"/>
  <c r="H497" i="13"/>
  <c r="H493" i="13"/>
  <c r="H489" i="13"/>
  <c r="H485" i="13"/>
  <c r="I485" i="13" s="1"/>
  <c r="H481" i="13"/>
  <c r="H477" i="13"/>
  <c r="H473" i="13"/>
  <c r="H469" i="13"/>
  <c r="I469" i="13" s="1"/>
  <c r="H465" i="13"/>
  <c r="H461" i="13"/>
  <c r="H457" i="13"/>
  <c r="H453" i="13"/>
  <c r="I453" i="13" s="1"/>
  <c r="H449" i="13"/>
  <c r="H445" i="13"/>
  <c r="H441" i="13"/>
  <c r="H437" i="13"/>
  <c r="I437" i="13" s="1"/>
  <c r="H433" i="13"/>
  <c r="H429" i="13"/>
  <c r="H425" i="13"/>
  <c r="H421" i="13"/>
  <c r="I421" i="13" s="1"/>
  <c r="H417" i="13"/>
  <c r="H413" i="13"/>
  <c r="H409" i="13"/>
  <c r="H405" i="13"/>
  <c r="I405" i="13" s="1"/>
  <c r="H401" i="13"/>
  <c r="H397" i="13"/>
  <c r="H393" i="13"/>
  <c r="H389" i="13"/>
  <c r="I389" i="13" s="1"/>
  <c r="H385" i="13"/>
  <c r="H381" i="13"/>
  <c r="H377" i="13"/>
  <c r="H373" i="13"/>
  <c r="I373" i="13" s="1"/>
  <c r="H369" i="13"/>
  <c r="H365" i="13"/>
  <c r="H361" i="13"/>
  <c r="H357" i="13"/>
  <c r="I357" i="13" s="1"/>
  <c r="H353" i="13"/>
  <c r="H349" i="13"/>
  <c r="H345" i="13"/>
  <c r="H341" i="13"/>
  <c r="I341" i="13" s="1"/>
  <c r="H337" i="13"/>
  <c r="H333" i="13"/>
  <c r="H329" i="13"/>
  <c r="H325" i="13"/>
  <c r="I325" i="13" s="1"/>
  <c r="H321" i="13"/>
  <c r="H317" i="13"/>
  <c r="H313" i="13"/>
  <c r="H309" i="13"/>
  <c r="I309" i="13" s="1"/>
  <c r="H305" i="13"/>
  <c r="H301" i="13"/>
  <c r="H297" i="13"/>
  <c r="H293" i="13"/>
  <c r="I293" i="13" s="1"/>
  <c r="H289" i="13"/>
  <c r="H285" i="13"/>
  <c r="H281" i="13"/>
  <c r="H277" i="13"/>
  <c r="I277" i="13" s="1"/>
  <c r="H273" i="13"/>
  <c r="H269" i="13"/>
  <c r="H265" i="13"/>
  <c r="H261" i="13"/>
  <c r="I261" i="13" s="1"/>
  <c r="H257" i="13"/>
  <c r="H253" i="13"/>
  <c r="H249" i="13"/>
  <c r="H245" i="13"/>
  <c r="I245" i="13" s="1"/>
  <c r="H241" i="13"/>
  <c r="H237" i="13"/>
  <c r="H233" i="13"/>
  <c r="H229" i="13"/>
  <c r="I229" i="13" s="1"/>
  <c r="H225" i="13"/>
  <c r="H221" i="13"/>
  <c r="H217" i="13"/>
  <c r="H213" i="13"/>
  <c r="I213" i="13" s="1"/>
  <c r="H209" i="13"/>
  <c r="H205" i="13"/>
  <c r="H201" i="13"/>
  <c r="H197" i="13"/>
  <c r="I197" i="13" s="1"/>
  <c r="H193" i="13"/>
  <c r="H189" i="13"/>
  <c r="H185" i="13"/>
  <c r="H181" i="13"/>
  <c r="I181" i="13" s="1"/>
  <c r="H177" i="13"/>
  <c r="H173" i="13"/>
  <c r="H169" i="13"/>
  <c r="H165" i="13"/>
  <c r="I165" i="13" s="1"/>
  <c r="H161" i="13"/>
  <c r="H157" i="13"/>
  <c r="H153" i="13"/>
  <c r="H149" i="13"/>
  <c r="I149" i="13" s="1"/>
  <c r="H145" i="13"/>
  <c r="H141" i="13"/>
  <c r="H137" i="13"/>
  <c r="H133" i="13"/>
  <c r="I133" i="13" s="1"/>
  <c r="H129" i="13"/>
  <c r="H125" i="13"/>
  <c r="H121" i="13"/>
  <c r="H117" i="13"/>
  <c r="I117" i="13" s="1"/>
  <c r="H113" i="13"/>
  <c r="H109" i="13"/>
  <c r="H105" i="13"/>
  <c r="H101" i="13"/>
  <c r="I101" i="13" s="1"/>
  <c r="H97" i="13"/>
  <c r="H93" i="13"/>
  <c r="H89" i="13"/>
  <c r="H85" i="13"/>
  <c r="I85" i="13" s="1"/>
  <c r="H81" i="13"/>
  <c r="H77" i="13"/>
  <c r="H73" i="13"/>
  <c r="H69" i="13"/>
  <c r="I69" i="13" s="1"/>
  <c r="H65" i="13"/>
  <c r="H61" i="13"/>
  <c r="H57" i="13"/>
  <c r="H53" i="13"/>
  <c r="I53" i="13" s="1"/>
  <c r="H49" i="13"/>
  <c r="H45" i="13"/>
  <c r="H41" i="13"/>
  <c r="H37" i="13"/>
  <c r="I37" i="13" s="1"/>
  <c r="H33" i="13"/>
  <c r="H29" i="13"/>
  <c r="H25" i="13"/>
  <c r="H21" i="13"/>
  <c r="I21" i="13" s="1"/>
  <c r="H17" i="13"/>
  <c r="H13" i="13"/>
  <c r="H16" i="12"/>
  <c r="I16" i="12" s="1"/>
  <c r="AS16" i="12" s="1"/>
  <c r="L16" i="12" s="1"/>
  <c r="H12" i="12"/>
  <c r="I12" i="12" s="1"/>
  <c r="AS12" i="12" s="1"/>
  <c r="L12" i="12" s="1"/>
  <c r="H14" i="10"/>
  <c r="H10" i="10"/>
  <c r="H2738" i="13"/>
  <c r="I2738" i="13" s="1"/>
  <c r="H2690" i="13"/>
  <c r="H2642" i="13"/>
  <c r="I2642" i="13" s="1"/>
  <c r="H2594" i="13"/>
  <c r="H2530" i="13"/>
  <c r="I2530" i="13" s="1"/>
  <c r="H2482" i="13"/>
  <c r="H2434" i="13"/>
  <c r="H2386" i="13"/>
  <c r="H2338" i="13"/>
  <c r="I2338" i="13" s="1"/>
  <c r="H2290" i="13"/>
  <c r="H2210" i="13"/>
  <c r="I2210" i="13" s="1"/>
  <c r="H2162" i="13"/>
  <c r="H2098" i="13"/>
  <c r="I2098" i="13" s="1"/>
  <c r="H2050" i="13"/>
  <c r="H2018" i="13"/>
  <c r="I2018" i="13" s="1"/>
  <c r="H1970" i="13"/>
  <c r="H1922" i="13"/>
  <c r="I1922" i="13" s="1"/>
  <c r="H1874" i="13"/>
  <c r="H1826" i="13"/>
  <c r="H1778" i="13"/>
  <c r="H1714" i="13"/>
  <c r="I1714" i="13" s="1"/>
  <c r="H1671" i="13"/>
  <c r="H1659" i="13"/>
  <c r="H1647" i="13"/>
  <c r="H1631" i="13"/>
  <c r="I1631" i="13" s="1"/>
  <c r="H1619" i="13"/>
  <c r="H1607" i="13"/>
  <c r="H1595" i="13"/>
  <c r="H1583" i="13"/>
  <c r="I1583" i="13" s="1"/>
  <c r="H1571" i="13"/>
  <c r="H1559" i="13"/>
  <c r="H1547" i="13"/>
  <c r="H1535" i="13"/>
  <c r="I1535" i="13" s="1"/>
  <c r="H1519" i="13"/>
  <c r="H1503" i="13"/>
  <c r="H1491" i="13"/>
  <c r="H1479" i="13"/>
  <c r="I1479" i="13" s="1"/>
  <c r="H1463" i="13"/>
  <c r="H1451" i="13"/>
  <c r="H1439" i="13"/>
  <c r="H1427" i="13"/>
  <c r="I1427" i="13" s="1"/>
  <c r="H1415" i="13"/>
  <c r="H1399" i="13"/>
  <c r="H1387" i="13"/>
  <c r="H1375" i="13"/>
  <c r="I1375" i="13" s="1"/>
  <c r="H1363" i="13"/>
  <c r="H1351" i="13"/>
  <c r="H1339" i="13"/>
  <c r="H1327" i="13"/>
  <c r="I1327" i="13" s="1"/>
  <c r="H1315" i="13"/>
  <c r="H1303" i="13"/>
  <c r="H1291" i="13"/>
  <c r="H1279" i="13"/>
  <c r="I1279" i="13" s="1"/>
  <c r="H1267" i="13"/>
  <c r="H1255" i="13"/>
  <c r="H1239" i="13"/>
  <c r="H1227" i="13"/>
  <c r="I1227" i="13" s="1"/>
  <c r="H1207" i="13"/>
  <c r="H1191" i="13"/>
  <c r="H1175" i="13"/>
  <c r="H1163" i="13"/>
  <c r="I1163" i="13" s="1"/>
  <c r="H1155" i="13"/>
  <c r="H1147" i="13"/>
  <c r="I1147" i="13" s="1"/>
  <c r="H1135" i="13"/>
  <c r="H1123" i="13"/>
  <c r="I1123" i="13" s="1"/>
  <c r="H1107" i="13"/>
  <c r="H1095" i="13"/>
  <c r="H1079" i="13"/>
  <c r="H1067" i="13"/>
  <c r="I1067" i="13" s="1"/>
  <c r="H1055" i="13"/>
  <c r="H1043" i="13"/>
  <c r="I1043" i="13" s="1"/>
  <c r="H1031" i="13"/>
  <c r="H1015" i="13"/>
  <c r="I1015" i="13" s="1"/>
  <c r="H1003" i="13"/>
  <c r="H987" i="13"/>
  <c r="H975" i="13"/>
  <c r="H963" i="13"/>
  <c r="I963" i="13" s="1"/>
  <c r="H951" i="13"/>
  <c r="H935" i="13"/>
  <c r="H923" i="13"/>
  <c r="H915" i="13"/>
  <c r="I915" i="13" s="1"/>
  <c r="H903" i="13"/>
  <c r="H891" i="13"/>
  <c r="H879" i="13"/>
  <c r="H867" i="13"/>
  <c r="I867" i="13" s="1"/>
  <c r="H855" i="13"/>
  <c r="H843" i="13"/>
  <c r="H827" i="13"/>
  <c r="H815" i="13"/>
  <c r="I815" i="13" s="1"/>
  <c r="H799" i="13"/>
  <c r="H787" i="13"/>
  <c r="H775" i="13"/>
  <c r="H763" i="13"/>
  <c r="I763" i="13" s="1"/>
  <c r="H743" i="13"/>
  <c r="H731" i="13"/>
  <c r="H719" i="13"/>
  <c r="H707" i="13"/>
  <c r="I707" i="13" s="1"/>
  <c r="H695" i="13"/>
  <c r="H683" i="13"/>
  <c r="H667" i="13"/>
  <c r="H651" i="13"/>
  <c r="I651" i="13" s="1"/>
  <c r="H635" i="13"/>
  <c r="H623" i="13"/>
  <c r="I623" i="13" s="1"/>
  <c r="H611" i="13"/>
  <c r="H599" i="13"/>
  <c r="I599" i="13" s="1"/>
  <c r="H587" i="13"/>
  <c r="H571" i="13"/>
  <c r="H555" i="13"/>
  <c r="H543" i="13"/>
  <c r="I543" i="13" s="1"/>
  <c r="H531" i="13"/>
  <c r="H511" i="13"/>
  <c r="I511" i="13" s="1"/>
  <c r="H499" i="13"/>
  <c r="H483" i="13"/>
  <c r="I483" i="13" s="1"/>
  <c r="H471" i="13"/>
  <c r="H455" i="13"/>
  <c r="H443" i="13"/>
  <c r="H427" i="13"/>
  <c r="I427" i="13" s="1"/>
  <c r="H415" i="13"/>
  <c r="H403" i="13"/>
  <c r="H391" i="13"/>
  <c r="H379" i="13"/>
  <c r="I379" i="13" s="1"/>
  <c r="H367" i="13"/>
  <c r="H355" i="13"/>
  <c r="H343" i="13"/>
  <c r="H331" i="13"/>
  <c r="I331" i="13" s="1"/>
  <c r="H315" i="13"/>
  <c r="H303" i="13"/>
  <c r="H291" i="13"/>
  <c r="H275" i="13"/>
  <c r="I275" i="13" s="1"/>
  <c r="H263" i="13"/>
  <c r="H251" i="13"/>
  <c r="H239" i="13"/>
  <c r="H223" i="13"/>
  <c r="I223" i="13" s="1"/>
  <c r="H211" i="13"/>
  <c r="H199" i="13"/>
  <c r="H183" i="13"/>
  <c r="H167" i="13"/>
  <c r="I167" i="13" s="1"/>
  <c r="H155" i="13"/>
  <c r="H143" i="13"/>
  <c r="H131" i="13"/>
  <c r="H119" i="13"/>
  <c r="I119" i="13" s="1"/>
  <c r="H107" i="13"/>
  <c r="H95" i="13"/>
  <c r="H79" i="13"/>
  <c r="H59" i="13"/>
  <c r="I59" i="13" s="1"/>
  <c r="H47" i="13"/>
  <c r="H35" i="13"/>
  <c r="H23" i="13"/>
  <c r="H18" i="12"/>
  <c r="I18" i="12" s="1"/>
  <c r="AS18" i="12" s="1"/>
  <c r="L18" i="12" s="1"/>
  <c r="H10" i="15"/>
  <c r="I10" i="15" s="1"/>
  <c r="H2774" i="13"/>
  <c r="H2758" i="13"/>
  <c r="H2742" i="13"/>
  <c r="H2726" i="13"/>
  <c r="I2726" i="13" s="1"/>
  <c r="H2710" i="13"/>
  <c r="H2694" i="13"/>
  <c r="I2694" i="13" s="1"/>
  <c r="H2678" i="13"/>
  <c r="H2662" i="13"/>
  <c r="I2662" i="13" s="1"/>
  <c r="H2646" i="13"/>
  <c r="H2630" i="13"/>
  <c r="I2630" i="13" s="1"/>
  <c r="H2614" i="13"/>
  <c r="H2598" i="13"/>
  <c r="I2598" i="13" s="1"/>
  <c r="H2582" i="13"/>
  <c r="H2566" i="13"/>
  <c r="I2566" i="13" s="1"/>
  <c r="H2550" i="13"/>
  <c r="H2534" i="13"/>
  <c r="I2534" i="13" s="1"/>
  <c r="H2518" i="13"/>
  <c r="H2502" i="13"/>
  <c r="H2486" i="13"/>
  <c r="H2470" i="13"/>
  <c r="I2470" i="13" s="1"/>
  <c r="H2454" i="13"/>
  <c r="H2438" i="13"/>
  <c r="H2422" i="13"/>
  <c r="H2406" i="13"/>
  <c r="I2406" i="13" s="1"/>
  <c r="H2390" i="13"/>
  <c r="H2374" i="13"/>
  <c r="I2374" i="13" s="1"/>
  <c r="H2358" i="13"/>
  <c r="H2342" i="13"/>
  <c r="I2342" i="13" s="1"/>
  <c r="H2326" i="13"/>
  <c r="H2310" i="13"/>
  <c r="I2310" i="13" s="1"/>
  <c r="H2294" i="13"/>
  <c r="H2278" i="13"/>
  <c r="I2278" i="13" s="1"/>
  <c r="H2262" i="13"/>
  <c r="H2246" i="13"/>
  <c r="H2230" i="13"/>
  <c r="H2214" i="13"/>
  <c r="I2214" i="13" s="1"/>
  <c r="H2198" i="13"/>
  <c r="H2182" i="13"/>
  <c r="I2182" i="13" s="1"/>
  <c r="H2166" i="13"/>
  <c r="H2150" i="13"/>
  <c r="I2150" i="13" s="1"/>
  <c r="H2134" i="13"/>
  <c r="H2118" i="13"/>
  <c r="I2118" i="13" s="1"/>
  <c r="H2102" i="13"/>
  <c r="H2086" i="13"/>
  <c r="I2086" i="13" s="1"/>
  <c r="H2070" i="13"/>
  <c r="H2054" i="13"/>
  <c r="I2054" i="13" s="1"/>
  <c r="H2038" i="13"/>
  <c r="H2022" i="13"/>
  <c r="I2022" i="13" s="1"/>
  <c r="H2006" i="13"/>
  <c r="H1990" i="13"/>
  <c r="I1990" i="13" s="1"/>
  <c r="H1974" i="13"/>
  <c r="H1958" i="13"/>
  <c r="I1958" i="13" s="1"/>
  <c r="H1942" i="13"/>
  <c r="H1926" i="13"/>
  <c r="H1910" i="13"/>
  <c r="H1894" i="13"/>
  <c r="I1894" i="13" s="1"/>
  <c r="H1878" i="13"/>
  <c r="H1862" i="13"/>
  <c r="I1862" i="13" s="1"/>
  <c r="H1846" i="13"/>
  <c r="H1830" i="13"/>
  <c r="I1830" i="13" s="1"/>
  <c r="H1814" i="13"/>
  <c r="H1798" i="13"/>
  <c r="H1782" i="13"/>
  <c r="H1766" i="13"/>
  <c r="I1766" i="13" s="1"/>
  <c r="H1750" i="13"/>
  <c r="H1734" i="13"/>
  <c r="H1718" i="13"/>
  <c r="H1702" i="13"/>
  <c r="I1702" i="13" s="1"/>
  <c r="H1686" i="13"/>
  <c r="H1672" i="13"/>
  <c r="I1672" i="13" s="1"/>
  <c r="H1668" i="13"/>
  <c r="H1664" i="13"/>
  <c r="I1664" i="13" s="1"/>
  <c r="H1660" i="13"/>
  <c r="H1656" i="13"/>
  <c r="H1652" i="13"/>
  <c r="H1648" i="13"/>
  <c r="I1648" i="13" s="1"/>
  <c r="H1644" i="13"/>
  <c r="H1640" i="13"/>
  <c r="I1640" i="13" s="1"/>
  <c r="H1636" i="13"/>
  <c r="H1632" i="13"/>
  <c r="I1632" i="13" s="1"/>
  <c r="H1628" i="13"/>
  <c r="H1624" i="13"/>
  <c r="H1620" i="13"/>
  <c r="H1616" i="13"/>
  <c r="I1616" i="13" s="1"/>
  <c r="H1612" i="13"/>
  <c r="H1608" i="13"/>
  <c r="I1608" i="13" s="1"/>
  <c r="H1604" i="13"/>
  <c r="H1600" i="13"/>
  <c r="I1600" i="13" s="1"/>
  <c r="H1596" i="13"/>
  <c r="H1592" i="13"/>
  <c r="H1588" i="13"/>
  <c r="H1584" i="13"/>
  <c r="I1584" i="13" s="1"/>
  <c r="H1580" i="13"/>
  <c r="H1576" i="13"/>
  <c r="I1576" i="13" s="1"/>
  <c r="H1572" i="13"/>
  <c r="H1568" i="13"/>
  <c r="I1568" i="13" s="1"/>
  <c r="H1564" i="13"/>
  <c r="H1560" i="13"/>
  <c r="H1556" i="13"/>
  <c r="H1552" i="13"/>
  <c r="I1552" i="13" s="1"/>
  <c r="H1548" i="13"/>
  <c r="H1544" i="13"/>
  <c r="I1544" i="13" s="1"/>
  <c r="H1540" i="13"/>
  <c r="H1536" i="13"/>
  <c r="I1536" i="13" s="1"/>
  <c r="H1532" i="13"/>
  <c r="H1528" i="13"/>
  <c r="H1524" i="13"/>
  <c r="H1520" i="13"/>
  <c r="I1520" i="13" s="1"/>
  <c r="H1516" i="13"/>
  <c r="H1512" i="13"/>
  <c r="I1512" i="13" s="1"/>
  <c r="H1508" i="13"/>
  <c r="H1504" i="13"/>
  <c r="I1504" i="13" s="1"/>
  <c r="H1500" i="13"/>
  <c r="H1496" i="13"/>
  <c r="H1492" i="13"/>
  <c r="H1488" i="13"/>
  <c r="I1488" i="13" s="1"/>
  <c r="H1484" i="13"/>
  <c r="H1480" i="13"/>
  <c r="I1480" i="13" s="1"/>
  <c r="H1476" i="13"/>
  <c r="H1472" i="13"/>
  <c r="I1472" i="13" s="1"/>
  <c r="H1468" i="13"/>
  <c r="H1464" i="13"/>
  <c r="H1460" i="13"/>
  <c r="H1456" i="13"/>
  <c r="I1456" i="13" s="1"/>
  <c r="H1452" i="13"/>
  <c r="H1448" i="13"/>
  <c r="I1448" i="13" s="1"/>
  <c r="H1444" i="13"/>
  <c r="H1440" i="13"/>
  <c r="I1440" i="13" s="1"/>
  <c r="H1436" i="13"/>
  <c r="H1432" i="13"/>
  <c r="H1428" i="13"/>
  <c r="H1424" i="13"/>
  <c r="I1424" i="13" s="1"/>
  <c r="H1420" i="13"/>
  <c r="H1416" i="13"/>
  <c r="I1416" i="13" s="1"/>
  <c r="H1412" i="13"/>
  <c r="H1408" i="13"/>
  <c r="I1408" i="13" s="1"/>
  <c r="H1404" i="13"/>
  <c r="H1400" i="13"/>
  <c r="H1396" i="13"/>
  <c r="H1392" i="13"/>
  <c r="I1392" i="13" s="1"/>
  <c r="H1388" i="13"/>
  <c r="H1384" i="13"/>
  <c r="I1384" i="13" s="1"/>
  <c r="H1380" i="13"/>
  <c r="H1376" i="13"/>
  <c r="I1376" i="13" s="1"/>
  <c r="H1372" i="13"/>
  <c r="H1368" i="13"/>
  <c r="I1368" i="13" s="1"/>
  <c r="H1364" i="13"/>
  <c r="H1360" i="13"/>
  <c r="I1360" i="13" s="1"/>
  <c r="H1356" i="13"/>
  <c r="H1352" i="13"/>
  <c r="H1348" i="13"/>
  <c r="H1344" i="13"/>
  <c r="I1344" i="13" s="1"/>
  <c r="H1340" i="13"/>
  <c r="H1336" i="13"/>
  <c r="I1336" i="13" s="1"/>
  <c r="H1332" i="13"/>
  <c r="H1328" i="13"/>
  <c r="I1328" i="13" s="1"/>
  <c r="H1324" i="13"/>
  <c r="H1320" i="13"/>
  <c r="H1316" i="13"/>
  <c r="H1312" i="13"/>
  <c r="I1312" i="13" s="1"/>
  <c r="H1308" i="13"/>
  <c r="H1304" i="13"/>
  <c r="I1304" i="13" s="1"/>
  <c r="H1300" i="13"/>
  <c r="H1296" i="13"/>
  <c r="I1296" i="13" s="1"/>
  <c r="H1292" i="13"/>
  <c r="H1288" i="13"/>
  <c r="I1288" i="13" s="1"/>
  <c r="H1284" i="13"/>
  <c r="H1280" i="13"/>
  <c r="I1280" i="13" s="1"/>
  <c r="H1276" i="13"/>
  <c r="H1272" i="13"/>
  <c r="H1268" i="13"/>
  <c r="H1264" i="13"/>
  <c r="I1264" i="13" s="1"/>
  <c r="H1260" i="13"/>
  <c r="H1256" i="13"/>
  <c r="I1256" i="13" s="1"/>
  <c r="H1252" i="13"/>
  <c r="H1248" i="13"/>
  <c r="I1248" i="13" s="1"/>
  <c r="H1244" i="13"/>
  <c r="H1240" i="13"/>
  <c r="I1240" i="13" s="1"/>
  <c r="H1236" i="13"/>
  <c r="H1232" i="13"/>
  <c r="I1232" i="13" s="1"/>
  <c r="H1228" i="13"/>
  <c r="H1224" i="13"/>
  <c r="H1220" i="13"/>
  <c r="H1216" i="13"/>
  <c r="I1216" i="13" s="1"/>
  <c r="H1212" i="13"/>
  <c r="H1208" i="13"/>
  <c r="H1204" i="13"/>
  <c r="H1200" i="13"/>
  <c r="I1200" i="13" s="1"/>
  <c r="H1196" i="13"/>
  <c r="H1192" i="13"/>
  <c r="I1192" i="13" s="1"/>
  <c r="H1188" i="13"/>
  <c r="H1184" i="13"/>
  <c r="I1184" i="13" s="1"/>
  <c r="H1180" i="13"/>
  <c r="H1176" i="13"/>
  <c r="I1176" i="13" s="1"/>
  <c r="H1172" i="13"/>
  <c r="H1168" i="13"/>
  <c r="I1168" i="13" s="1"/>
  <c r="H1164" i="13"/>
  <c r="H1160" i="13"/>
  <c r="H1156" i="13"/>
  <c r="H1152" i="13"/>
  <c r="I1152" i="13" s="1"/>
  <c r="H1148" i="13"/>
  <c r="H1144" i="13"/>
  <c r="H1140" i="13"/>
  <c r="H1136" i="13"/>
  <c r="I1136" i="13" s="1"/>
  <c r="H1132" i="13"/>
  <c r="H1128" i="13"/>
  <c r="I1128" i="13" s="1"/>
  <c r="H1124" i="13"/>
  <c r="H1120" i="13"/>
  <c r="I1120" i="13" s="1"/>
  <c r="H1116" i="13"/>
  <c r="H1112" i="13"/>
  <c r="I1112" i="13" s="1"/>
  <c r="H1108" i="13"/>
  <c r="H1104" i="13"/>
  <c r="I1104" i="13" s="1"/>
  <c r="H1100" i="13"/>
  <c r="H1096" i="13"/>
  <c r="H1092" i="13"/>
  <c r="H1088" i="13"/>
  <c r="I1088" i="13" s="1"/>
  <c r="H1084" i="13"/>
  <c r="H1080" i="13"/>
  <c r="H1076" i="13"/>
  <c r="H1072" i="13"/>
  <c r="H1068" i="13"/>
  <c r="H1064" i="13"/>
  <c r="I1064" i="13" s="1"/>
  <c r="H1060" i="13"/>
  <c r="H1056" i="13"/>
  <c r="I1056" i="13" s="1"/>
  <c r="H1052" i="13"/>
  <c r="H1048" i="13"/>
  <c r="I1048" i="13" s="1"/>
  <c r="H1044" i="13"/>
  <c r="H1040" i="13"/>
  <c r="I1040" i="13" s="1"/>
  <c r="H1036" i="13"/>
  <c r="H1032" i="13"/>
  <c r="H1028" i="13"/>
  <c r="H1024" i="13"/>
  <c r="I1024" i="13" s="1"/>
  <c r="H1020" i="13"/>
  <c r="H1016" i="13"/>
  <c r="I1016" i="13" s="1"/>
  <c r="H1012" i="13"/>
  <c r="H1008" i="13"/>
  <c r="I1008" i="13" s="1"/>
  <c r="H1004" i="13"/>
  <c r="H1000" i="13"/>
  <c r="H996" i="13"/>
  <c r="H992" i="13"/>
  <c r="I992" i="13" s="1"/>
  <c r="H988" i="13"/>
  <c r="H984" i="13"/>
  <c r="I984" i="13" s="1"/>
  <c r="H980" i="13"/>
  <c r="H976" i="13"/>
  <c r="I976" i="13" s="1"/>
  <c r="H972" i="13"/>
  <c r="H968" i="13"/>
  <c r="I968" i="13" s="1"/>
  <c r="H964" i="13"/>
  <c r="H960" i="13"/>
  <c r="I960" i="13" s="1"/>
  <c r="H956" i="13"/>
  <c r="H952" i="13"/>
  <c r="I952" i="13" s="1"/>
  <c r="H948" i="13"/>
  <c r="H944" i="13"/>
  <c r="I944" i="13" s="1"/>
  <c r="H940" i="13"/>
  <c r="H936" i="13"/>
  <c r="I936" i="13" s="1"/>
  <c r="H932" i="13"/>
  <c r="H928" i="13"/>
  <c r="I928" i="13" s="1"/>
  <c r="H924" i="13"/>
  <c r="H920" i="13"/>
  <c r="I920" i="13" s="1"/>
  <c r="H916" i="13"/>
  <c r="H912" i="13"/>
  <c r="I912" i="13" s="1"/>
  <c r="H908" i="13"/>
  <c r="H904" i="13"/>
  <c r="I904" i="13" s="1"/>
  <c r="H900" i="13"/>
  <c r="H896" i="13"/>
  <c r="I896" i="13" s="1"/>
  <c r="H892" i="13"/>
  <c r="H888" i="13"/>
  <c r="I888" i="13" s="1"/>
  <c r="H884" i="13"/>
  <c r="H880" i="13"/>
  <c r="I880" i="13" s="1"/>
  <c r="H876" i="13"/>
  <c r="H872" i="13"/>
  <c r="H868" i="13"/>
  <c r="H864" i="13"/>
  <c r="I864" i="13" s="1"/>
  <c r="H860" i="13"/>
  <c r="H856" i="13"/>
  <c r="H852" i="13"/>
  <c r="H848" i="13"/>
  <c r="I848" i="13" s="1"/>
  <c r="H844" i="13"/>
  <c r="H840" i="13"/>
  <c r="H836" i="13"/>
  <c r="H832" i="13"/>
  <c r="I832" i="13" s="1"/>
  <c r="H828" i="13"/>
  <c r="H824" i="13"/>
  <c r="H820" i="13"/>
  <c r="H816" i="13"/>
  <c r="I816" i="13" s="1"/>
  <c r="H812" i="13"/>
  <c r="H808" i="13"/>
  <c r="I808" i="13" s="1"/>
  <c r="H804" i="13"/>
  <c r="H800" i="13"/>
  <c r="I800" i="13" s="1"/>
  <c r="H796" i="13"/>
  <c r="H792" i="13"/>
  <c r="I792" i="13" s="1"/>
  <c r="H788" i="13"/>
  <c r="H784" i="13"/>
  <c r="I784" i="13" s="1"/>
  <c r="H780" i="13"/>
  <c r="H776" i="13"/>
  <c r="I776" i="13" s="1"/>
  <c r="H772" i="13"/>
  <c r="H768" i="13"/>
  <c r="I768" i="13" s="1"/>
  <c r="H764" i="13"/>
  <c r="H760" i="13"/>
  <c r="I760" i="13" s="1"/>
  <c r="H756" i="13"/>
  <c r="H752" i="13"/>
  <c r="I752" i="13" s="1"/>
  <c r="H748" i="13"/>
  <c r="H744" i="13"/>
  <c r="H740" i="13"/>
  <c r="H736" i="13"/>
  <c r="I736" i="13" s="1"/>
  <c r="H732" i="13"/>
  <c r="H728" i="13"/>
  <c r="H724" i="13"/>
  <c r="H720" i="13"/>
  <c r="I720" i="13" s="1"/>
  <c r="H716" i="13"/>
  <c r="H712" i="13"/>
  <c r="I712" i="13" s="1"/>
  <c r="H708" i="13"/>
  <c r="H704" i="13"/>
  <c r="I704" i="13" s="1"/>
  <c r="H700" i="13"/>
  <c r="H696" i="13"/>
  <c r="I696" i="13" s="1"/>
  <c r="H692" i="13"/>
  <c r="H688" i="13"/>
  <c r="I688" i="13" s="1"/>
  <c r="H684" i="13"/>
  <c r="H680" i="13"/>
  <c r="I680" i="13" s="1"/>
  <c r="H676" i="13"/>
  <c r="H672" i="13"/>
  <c r="I672" i="13" s="1"/>
  <c r="H668" i="13"/>
  <c r="H664" i="13"/>
  <c r="H660" i="13"/>
  <c r="H656" i="13"/>
  <c r="I656" i="13" s="1"/>
  <c r="H652" i="13"/>
  <c r="H648" i="13"/>
  <c r="I648" i="13" s="1"/>
  <c r="H644" i="13"/>
  <c r="H640" i="13"/>
  <c r="I640" i="13" s="1"/>
  <c r="H636" i="13"/>
  <c r="H632" i="13"/>
  <c r="H628" i="13"/>
  <c r="H624" i="13"/>
  <c r="I624" i="13" s="1"/>
  <c r="H620" i="13"/>
  <c r="H616" i="13"/>
  <c r="I616" i="13" s="1"/>
  <c r="H612" i="13"/>
  <c r="H608" i="13"/>
  <c r="I608" i="13" s="1"/>
  <c r="H604" i="13"/>
  <c r="H600" i="13"/>
  <c r="I600" i="13" s="1"/>
  <c r="H596" i="13"/>
  <c r="H592" i="13"/>
  <c r="I592" i="13" s="1"/>
  <c r="H588" i="13"/>
  <c r="H584" i="13"/>
  <c r="H580" i="13"/>
  <c r="H576" i="13"/>
  <c r="I576" i="13" s="1"/>
  <c r="H572" i="13"/>
  <c r="H568" i="13"/>
  <c r="H564" i="13"/>
  <c r="H560" i="13"/>
  <c r="I560" i="13" s="1"/>
  <c r="H556" i="13"/>
  <c r="H552" i="13"/>
  <c r="I552" i="13" s="1"/>
  <c r="H548" i="13"/>
  <c r="H544" i="13"/>
  <c r="I544" i="13" s="1"/>
  <c r="H540" i="13"/>
  <c r="H536" i="13"/>
  <c r="H532" i="13"/>
  <c r="H528" i="13"/>
  <c r="I528" i="13" s="1"/>
  <c r="H524" i="13"/>
  <c r="H520" i="13"/>
  <c r="I520" i="13" s="1"/>
  <c r="H516" i="13"/>
  <c r="H512" i="13"/>
  <c r="I512" i="13" s="1"/>
  <c r="H508" i="13"/>
  <c r="H504" i="13"/>
  <c r="I504" i="13" s="1"/>
  <c r="H500" i="13"/>
  <c r="H496" i="13"/>
  <c r="I496" i="13" s="1"/>
  <c r="H492" i="13"/>
  <c r="H488" i="13"/>
  <c r="H484" i="13"/>
  <c r="H480" i="13"/>
  <c r="I480" i="13" s="1"/>
  <c r="H476" i="13"/>
  <c r="H472" i="13"/>
  <c r="I472" i="13" s="1"/>
  <c r="H468" i="13"/>
  <c r="H464" i="13"/>
  <c r="I464" i="13" s="1"/>
  <c r="H460" i="13"/>
  <c r="H456" i="13"/>
  <c r="H452" i="13"/>
  <c r="H448" i="13"/>
  <c r="I448" i="13" s="1"/>
  <c r="H444" i="13"/>
  <c r="H440" i="13"/>
  <c r="I440" i="13" s="1"/>
  <c r="H436" i="13"/>
  <c r="H432" i="13"/>
  <c r="I432" i="13" s="1"/>
  <c r="H428" i="13"/>
  <c r="H424" i="13"/>
  <c r="H420" i="13"/>
  <c r="H416" i="13"/>
  <c r="I416" i="13" s="1"/>
  <c r="H412" i="13"/>
  <c r="H408" i="13"/>
  <c r="I408" i="13" s="1"/>
  <c r="H404" i="13"/>
  <c r="H400" i="13"/>
  <c r="I400" i="13" s="1"/>
  <c r="H396" i="13"/>
  <c r="H392" i="13"/>
  <c r="H388" i="13"/>
  <c r="H384" i="13"/>
  <c r="I384" i="13" s="1"/>
  <c r="H380" i="13"/>
  <c r="H376" i="13"/>
  <c r="H372" i="13"/>
  <c r="H368" i="13"/>
  <c r="I368" i="13" s="1"/>
  <c r="H364" i="13"/>
  <c r="H360" i="13"/>
  <c r="I360" i="13" s="1"/>
  <c r="H356" i="13"/>
  <c r="H352" i="13"/>
  <c r="I352" i="13" s="1"/>
  <c r="H348" i="13"/>
  <c r="H344" i="13"/>
  <c r="H340" i="13"/>
  <c r="H336" i="13"/>
  <c r="I336" i="13" s="1"/>
  <c r="H332" i="13"/>
  <c r="H328" i="13"/>
  <c r="I328" i="13" s="1"/>
  <c r="H324" i="13"/>
  <c r="H320" i="13"/>
  <c r="I320" i="13" s="1"/>
  <c r="H316" i="13"/>
  <c r="H312" i="13"/>
  <c r="H308" i="13"/>
  <c r="H304" i="13"/>
  <c r="I304" i="13" s="1"/>
  <c r="H300" i="13"/>
  <c r="H296" i="13"/>
  <c r="I296" i="13" s="1"/>
  <c r="H292" i="13"/>
  <c r="H288" i="13"/>
  <c r="I288" i="13" s="1"/>
  <c r="H284" i="13"/>
  <c r="H280" i="13"/>
  <c r="H276" i="13"/>
  <c r="H272" i="13"/>
  <c r="I272" i="13" s="1"/>
  <c r="H268" i="13"/>
  <c r="H264" i="13"/>
  <c r="H260" i="13"/>
  <c r="H256" i="13"/>
  <c r="I256" i="13" s="1"/>
  <c r="H252" i="13"/>
  <c r="H248" i="13"/>
  <c r="I248" i="13" s="1"/>
  <c r="H244" i="13"/>
  <c r="H240" i="13"/>
  <c r="I240" i="13" s="1"/>
  <c r="H236" i="13"/>
  <c r="H232" i="13"/>
  <c r="I232" i="13" s="1"/>
  <c r="H228" i="13"/>
  <c r="H224" i="13"/>
  <c r="I224" i="13" s="1"/>
  <c r="H220" i="13"/>
  <c r="H216" i="13"/>
  <c r="H212" i="13"/>
  <c r="H208" i="13"/>
  <c r="I208" i="13" s="1"/>
  <c r="H204" i="13"/>
  <c r="H200" i="13"/>
  <c r="I200" i="13" s="1"/>
  <c r="H196" i="13"/>
  <c r="H192" i="13"/>
  <c r="I192" i="13" s="1"/>
  <c r="H188" i="13"/>
  <c r="H184" i="13"/>
  <c r="H180" i="13"/>
  <c r="H176" i="13"/>
  <c r="I176" i="13" s="1"/>
  <c r="H172" i="13"/>
  <c r="H168" i="13"/>
  <c r="H164" i="13"/>
  <c r="H160" i="13"/>
  <c r="I160" i="13" s="1"/>
  <c r="H156" i="13"/>
  <c r="H152" i="13"/>
  <c r="H148" i="13"/>
  <c r="H144" i="13"/>
  <c r="I144" i="13" s="1"/>
  <c r="H140" i="13"/>
  <c r="H136" i="13"/>
  <c r="H132" i="13"/>
  <c r="H128" i="13"/>
  <c r="I128" i="13" s="1"/>
  <c r="H124" i="13"/>
  <c r="H120" i="13"/>
  <c r="I120" i="13" s="1"/>
  <c r="H116" i="13"/>
  <c r="H112" i="13"/>
  <c r="I112" i="13" s="1"/>
  <c r="H108" i="13"/>
  <c r="H104" i="13"/>
  <c r="I104" i="13" s="1"/>
  <c r="H100" i="13"/>
  <c r="H96" i="13"/>
  <c r="I96" i="13" s="1"/>
  <c r="H92" i="13"/>
  <c r="H88" i="13"/>
  <c r="I88" i="13" s="1"/>
  <c r="H84" i="13"/>
  <c r="H80" i="13"/>
  <c r="I80" i="13" s="1"/>
  <c r="H76" i="13"/>
  <c r="H72" i="13"/>
  <c r="I72" i="13" s="1"/>
  <c r="H68" i="13"/>
  <c r="H64" i="13"/>
  <c r="I64" i="13" s="1"/>
  <c r="H60" i="13"/>
  <c r="H56" i="13"/>
  <c r="H52" i="13"/>
  <c r="H48" i="13"/>
  <c r="I48" i="13" s="1"/>
  <c r="H44" i="13"/>
  <c r="H40" i="13"/>
  <c r="I40" i="13" s="1"/>
  <c r="H36" i="13"/>
  <c r="H32" i="13"/>
  <c r="I32" i="13" s="1"/>
  <c r="H28" i="13"/>
  <c r="H24" i="13"/>
  <c r="H20" i="13"/>
  <c r="H16" i="13"/>
  <c r="I16" i="13" s="1"/>
  <c r="H12" i="13"/>
  <c r="H19" i="12"/>
  <c r="I19" i="12" s="1"/>
  <c r="AS19" i="12" s="1"/>
  <c r="L19" i="12" s="1"/>
  <c r="H15" i="12"/>
  <c r="I15" i="12" s="1"/>
  <c r="AS15" i="12" s="1"/>
  <c r="L15" i="12" s="1"/>
  <c r="H11" i="12"/>
  <c r="I11" i="12" s="1"/>
  <c r="AS11" i="12" s="1"/>
  <c r="L11" i="12" s="1"/>
  <c r="H13" i="10"/>
  <c r="H2770" i="13"/>
  <c r="H2706" i="13"/>
  <c r="I2706" i="13" s="1"/>
  <c r="H2658" i="13"/>
  <c r="H2626" i="13"/>
  <c r="I2626" i="13" s="1"/>
  <c r="H2562" i="13"/>
  <c r="H2514" i="13"/>
  <c r="I2514" i="13" s="1"/>
  <c r="H2466" i="13"/>
  <c r="H2418" i="13"/>
  <c r="H2370" i="13"/>
  <c r="H2322" i="13"/>
  <c r="I2322" i="13" s="1"/>
  <c r="H2274" i="13"/>
  <c r="H2242" i="13"/>
  <c r="I2242" i="13" s="1"/>
  <c r="H2194" i="13"/>
  <c r="H2146" i="13"/>
  <c r="I2146" i="13" s="1"/>
  <c r="H2114" i="13"/>
  <c r="H2066" i="13"/>
  <c r="H2002" i="13"/>
  <c r="H1954" i="13"/>
  <c r="I1954" i="13" s="1"/>
  <c r="H1890" i="13"/>
  <c r="H1842" i="13"/>
  <c r="I1842" i="13" s="1"/>
  <c r="H1794" i="13"/>
  <c r="H1746" i="13"/>
  <c r="I1746" i="13" s="1"/>
  <c r="H1698" i="13"/>
  <c r="H1667" i="13"/>
  <c r="I1667" i="13" s="1"/>
  <c r="H1655" i="13"/>
  <c r="H1639" i="13"/>
  <c r="I1639" i="13" s="1"/>
  <c r="H1627" i="13"/>
  <c r="H1615" i="13"/>
  <c r="I1615" i="13" s="1"/>
  <c r="H1603" i="13"/>
  <c r="H1591" i="13"/>
  <c r="I1591" i="13" s="1"/>
  <c r="H1579" i="13"/>
  <c r="H1567" i="13"/>
  <c r="I1567" i="13" s="1"/>
  <c r="H1555" i="13"/>
  <c r="H1543" i="13"/>
  <c r="I1543" i="13" s="1"/>
  <c r="H1527" i="13"/>
  <c r="H1523" i="13"/>
  <c r="H1511" i="13"/>
  <c r="H1499" i="13"/>
  <c r="I1499" i="13" s="1"/>
  <c r="H1487" i="13"/>
  <c r="H1471" i="13"/>
  <c r="H1459" i="13"/>
  <c r="H1447" i="13"/>
  <c r="I1447" i="13" s="1"/>
  <c r="H1435" i="13"/>
  <c r="H1419" i="13"/>
  <c r="H1407" i="13"/>
  <c r="H1403" i="13"/>
  <c r="I1403" i="13" s="1"/>
  <c r="H1391" i="13"/>
  <c r="H1379" i="13"/>
  <c r="I1379" i="13" s="1"/>
  <c r="H1367" i="13"/>
  <c r="H1355" i="13"/>
  <c r="I1355" i="13" s="1"/>
  <c r="H1343" i="13"/>
  <c r="H1331" i="13"/>
  <c r="I1331" i="13" s="1"/>
  <c r="H1319" i="13"/>
  <c r="H1307" i="13"/>
  <c r="I1307" i="13" s="1"/>
  <c r="H1295" i="13"/>
  <c r="H1283" i="13"/>
  <c r="I1283" i="13" s="1"/>
  <c r="H1275" i="13"/>
  <c r="H1263" i="13"/>
  <c r="I1263" i="13" s="1"/>
  <c r="H1251" i="13"/>
  <c r="H1243" i="13"/>
  <c r="H1231" i="13"/>
  <c r="H1219" i="13"/>
  <c r="I1219" i="13" s="1"/>
  <c r="H1215" i="13"/>
  <c r="H1203" i="13"/>
  <c r="I1203" i="13" s="1"/>
  <c r="H1195" i="13"/>
  <c r="H1183" i="13"/>
  <c r="I1183" i="13" s="1"/>
  <c r="H1171" i="13"/>
  <c r="H1159" i="13"/>
  <c r="H1143" i="13"/>
  <c r="H1127" i="13"/>
  <c r="I1127" i="13" s="1"/>
  <c r="H1115" i="13"/>
  <c r="H1103" i="13"/>
  <c r="H1091" i="13"/>
  <c r="H1083" i="13"/>
  <c r="I1083" i="13" s="1"/>
  <c r="H1071" i="13"/>
  <c r="H1059" i="13"/>
  <c r="H1051" i="13"/>
  <c r="H1039" i="13"/>
  <c r="I1039" i="13" s="1"/>
  <c r="H1027" i="13"/>
  <c r="H1019" i="13"/>
  <c r="I1019" i="13" s="1"/>
  <c r="H1007" i="13"/>
  <c r="H995" i="13"/>
  <c r="I995" i="13" s="1"/>
  <c r="H983" i="13"/>
  <c r="H967" i="13"/>
  <c r="I967" i="13" s="1"/>
  <c r="H955" i="13"/>
  <c r="H943" i="13"/>
  <c r="I943" i="13" s="1"/>
  <c r="H931" i="13"/>
  <c r="H919" i="13"/>
  <c r="I919" i="13" s="1"/>
  <c r="H907" i="13"/>
  <c r="H895" i="13"/>
  <c r="I895" i="13" s="1"/>
  <c r="H883" i="13"/>
  <c r="H875" i="13"/>
  <c r="H863" i="13"/>
  <c r="H851" i="13"/>
  <c r="I851" i="13" s="1"/>
  <c r="H839" i="13"/>
  <c r="H831" i="13"/>
  <c r="H819" i="13"/>
  <c r="H807" i="13"/>
  <c r="I807" i="13" s="1"/>
  <c r="H795" i="13"/>
  <c r="H783" i="13"/>
  <c r="I783" i="13" s="1"/>
  <c r="H771" i="13"/>
  <c r="H759" i="13"/>
  <c r="I759" i="13" s="1"/>
  <c r="H751" i="13"/>
  <c r="H739" i="13"/>
  <c r="I739" i="13" s="1"/>
  <c r="H727" i="13"/>
  <c r="H715" i="13"/>
  <c r="I715" i="13" s="1"/>
  <c r="H703" i="13"/>
  <c r="H691" i="13"/>
  <c r="I691" i="13" s="1"/>
  <c r="H679" i="13"/>
  <c r="H663" i="13"/>
  <c r="I663" i="13" s="1"/>
  <c r="H655" i="13"/>
  <c r="H643" i="13"/>
  <c r="H631" i="13"/>
  <c r="H619" i="13"/>
  <c r="I619" i="13" s="1"/>
  <c r="H603" i="13"/>
  <c r="H591" i="13"/>
  <c r="H579" i="13"/>
  <c r="H567" i="13"/>
  <c r="I567" i="13" s="1"/>
  <c r="H559" i="13"/>
  <c r="H547" i="13"/>
  <c r="H535" i="13"/>
  <c r="H527" i="13"/>
  <c r="I527" i="13" s="1"/>
  <c r="H515" i="13"/>
  <c r="H503" i="13"/>
  <c r="H491" i="13"/>
  <c r="H479" i="13"/>
  <c r="I479" i="13" s="1"/>
  <c r="H467" i="13"/>
  <c r="H459" i="13"/>
  <c r="I459" i="13" s="1"/>
  <c r="H447" i="13"/>
  <c r="H435" i="13"/>
  <c r="I435" i="13" s="1"/>
  <c r="H423" i="13"/>
  <c r="H411" i="13"/>
  <c r="H399" i="13"/>
  <c r="H383" i="13"/>
  <c r="I383" i="13" s="1"/>
  <c r="H371" i="13"/>
  <c r="H363" i="13"/>
  <c r="H347" i="13"/>
  <c r="H335" i="13"/>
  <c r="I335" i="13" s="1"/>
  <c r="H327" i="13"/>
  <c r="H319" i="13"/>
  <c r="H307" i="13"/>
  <c r="H295" i="13"/>
  <c r="I295" i="13" s="1"/>
  <c r="H283" i="13"/>
  <c r="H271" i="13"/>
  <c r="I271" i="13" s="1"/>
  <c r="H259" i="13"/>
  <c r="H247" i="13"/>
  <c r="I247" i="13" s="1"/>
  <c r="H235" i="13"/>
  <c r="H227" i="13"/>
  <c r="H215" i="13"/>
  <c r="H207" i="13"/>
  <c r="I207" i="13" s="1"/>
  <c r="H195" i="13"/>
  <c r="H187" i="13"/>
  <c r="I187" i="13" s="1"/>
  <c r="H175" i="13"/>
  <c r="H163" i="13"/>
  <c r="I163" i="13" s="1"/>
  <c r="H151" i="13"/>
  <c r="H139" i="13"/>
  <c r="I139" i="13" s="1"/>
  <c r="H127" i="13"/>
  <c r="H115" i="13"/>
  <c r="I115" i="13" s="1"/>
  <c r="H103" i="13"/>
  <c r="H91" i="13"/>
  <c r="H83" i="13"/>
  <c r="H71" i="13"/>
  <c r="I71" i="13" s="1"/>
  <c r="H63" i="13"/>
  <c r="H51" i="13"/>
  <c r="I51" i="13" s="1"/>
  <c r="H43" i="13"/>
  <c r="H27" i="13"/>
  <c r="I27" i="13" s="1"/>
  <c r="H15" i="13"/>
  <c r="H14" i="12"/>
  <c r="I14" i="12" s="1"/>
  <c r="AS14" i="12" s="1"/>
  <c r="L14" i="12" s="1"/>
  <c r="H12" i="10"/>
  <c r="H43" i="7"/>
  <c r="I43" i="7" s="1"/>
  <c r="L43" i="7" s="1"/>
  <c r="H36" i="7"/>
  <c r="I36" i="7" s="1"/>
  <c r="L36" i="7" s="1"/>
  <c r="H28" i="7"/>
  <c r="I28" i="7" s="1"/>
  <c r="L28" i="7" s="1"/>
  <c r="H13" i="7"/>
  <c r="I13" i="7" s="1"/>
  <c r="L13" i="7" s="1"/>
  <c r="H14" i="7"/>
  <c r="I14" i="7" s="1"/>
  <c r="L14" i="7" s="1"/>
  <c r="H24" i="7"/>
  <c r="I24" i="7" s="1"/>
  <c r="L24" i="7" s="1"/>
  <c r="H42" i="7"/>
  <c r="I42" i="7" s="1"/>
  <c r="L42" i="7" s="1"/>
  <c r="H25" i="7"/>
  <c r="I25" i="7" s="1"/>
  <c r="L25" i="7" s="1"/>
  <c r="H21" i="7"/>
  <c r="I21" i="7" s="1"/>
  <c r="L21" i="7" s="1"/>
  <c r="H17" i="7"/>
  <c r="I17" i="7" s="1"/>
  <c r="L17" i="7" s="1"/>
  <c r="H10" i="7"/>
  <c r="H32" i="7"/>
  <c r="I32" i="7" s="1"/>
  <c r="L32" i="7" s="1"/>
  <c r="H22" i="7"/>
  <c r="I22" i="7" s="1"/>
  <c r="L22" i="7" s="1"/>
  <c r="H11" i="7"/>
  <c r="I11" i="7" s="1"/>
  <c r="L11" i="7" s="1"/>
  <c r="H29" i="7"/>
  <c r="I29" i="7" s="1"/>
  <c r="L29" i="7" s="1"/>
  <c r="H12" i="7"/>
  <c r="I12" i="7" s="1"/>
  <c r="L12" i="7" s="1"/>
  <c r="H30" i="7"/>
  <c r="I30" i="7" s="1"/>
  <c r="L30" i="7" s="1"/>
  <c r="H18" i="7"/>
  <c r="H19" i="7"/>
  <c r="I19" i="7" s="1"/>
  <c r="L19" i="7" s="1"/>
  <c r="H37" i="7"/>
  <c r="I37" i="7" s="1"/>
  <c r="L37" i="7" s="1"/>
  <c r="H31" i="7"/>
  <c r="I31" i="7" s="1"/>
  <c r="L31" i="7" s="1"/>
  <c r="H15" i="7"/>
  <c r="I15" i="7" s="1"/>
  <c r="L15" i="7" s="1"/>
  <c r="H33" i="7"/>
  <c r="I33" i="7" s="1"/>
  <c r="L33" i="7" s="1"/>
  <c r="H16" i="7"/>
  <c r="H34" i="7"/>
  <c r="I34" i="7" s="1"/>
  <c r="L34" i="7" s="1"/>
  <c r="H39" i="7"/>
  <c r="I39" i="7" s="1"/>
  <c r="L39" i="7" s="1"/>
  <c r="H27" i="7"/>
  <c r="I27" i="7" s="1"/>
  <c r="L27" i="7" s="1"/>
  <c r="H23" i="7"/>
  <c r="I23" i="7" s="1"/>
  <c r="L23" i="7" s="1"/>
  <c r="H41" i="7"/>
  <c r="I41" i="7" s="1"/>
  <c r="L41" i="7" s="1"/>
  <c r="H40" i="7"/>
  <c r="I40" i="7" s="1"/>
  <c r="L40" i="7" s="1"/>
  <c r="H20" i="7"/>
  <c r="I20" i="7" s="1"/>
  <c r="L20" i="7" s="1"/>
  <c r="H38" i="7"/>
  <c r="I38" i="7" s="1"/>
  <c r="L38" i="7" s="1"/>
  <c r="H73" i="5"/>
  <c r="I73" i="5" s="1"/>
  <c r="L73" i="5" s="1"/>
  <c r="H22" i="5"/>
  <c r="I22" i="5" s="1"/>
  <c r="H38" i="5"/>
  <c r="I38" i="5" s="1"/>
  <c r="H54" i="5"/>
  <c r="I54" i="5" s="1"/>
  <c r="H70" i="5"/>
  <c r="I70" i="5" s="1"/>
  <c r="L70" i="5" s="1"/>
  <c r="H23" i="5"/>
  <c r="I23" i="5" s="1"/>
  <c r="L23" i="5" s="1"/>
  <c r="H39" i="5"/>
  <c r="I39" i="5" s="1"/>
  <c r="L39" i="5" s="1"/>
  <c r="H55" i="5"/>
  <c r="I55" i="5" s="1"/>
  <c r="H71" i="5"/>
  <c r="I71" i="5" s="1"/>
  <c r="L71" i="5" s="1"/>
  <c r="H24" i="5"/>
  <c r="I24" i="5" s="1"/>
  <c r="L24" i="5" s="1"/>
  <c r="H40" i="5"/>
  <c r="I40" i="5" s="1"/>
  <c r="L40" i="5" s="1"/>
  <c r="H56" i="5"/>
  <c r="I56" i="5" s="1"/>
  <c r="H72" i="5"/>
  <c r="I72" i="5" s="1"/>
  <c r="L72" i="5" s="1"/>
  <c r="H25" i="5"/>
  <c r="I25" i="5" s="1"/>
  <c r="H41" i="5"/>
  <c r="I41" i="5" s="1"/>
  <c r="L41" i="5" s="1"/>
  <c r="H17" i="5"/>
  <c r="I17" i="5" s="1"/>
  <c r="L17" i="5" s="1"/>
  <c r="H26" i="5"/>
  <c r="I26" i="5" s="1"/>
  <c r="L26" i="5" s="1"/>
  <c r="H42" i="5"/>
  <c r="I42" i="5" s="1"/>
  <c r="H58" i="5"/>
  <c r="I58" i="5" s="1"/>
  <c r="L58" i="5" s="1"/>
  <c r="H10" i="5"/>
  <c r="I10" i="5" s="1"/>
  <c r="H27" i="5"/>
  <c r="I27" i="5" s="1"/>
  <c r="L27" i="5" s="1"/>
  <c r="H43" i="5"/>
  <c r="I43" i="5" s="1"/>
  <c r="H59" i="5"/>
  <c r="I59" i="5" s="1"/>
  <c r="H11" i="5"/>
  <c r="I11" i="5" s="1"/>
  <c r="H28" i="5"/>
  <c r="I28" i="5" s="1"/>
  <c r="L28" i="5" s="1"/>
  <c r="H44" i="5"/>
  <c r="I44" i="5" s="1"/>
  <c r="H60" i="5"/>
  <c r="I60" i="5" s="1"/>
  <c r="L60" i="5" s="1"/>
  <c r="H12" i="5"/>
  <c r="I12" i="5" s="1"/>
  <c r="H29" i="5"/>
  <c r="I29" i="5" s="1"/>
  <c r="L29" i="5" s="1"/>
  <c r="H45" i="5"/>
  <c r="I45" i="5" s="1"/>
  <c r="H61" i="5"/>
  <c r="I61" i="5" s="1"/>
  <c r="L61" i="5" s="1"/>
  <c r="H65" i="5"/>
  <c r="I65" i="5" s="1"/>
  <c r="H13" i="5"/>
  <c r="I13" i="5" s="1"/>
  <c r="L13" i="5" s="1"/>
  <c r="H30" i="5"/>
  <c r="I30" i="5" s="1"/>
  <c r="H46" i="5"/>
  <c r="I46" i="5" s="1"/>
  <c r="L46" i="5" s="1"/>
  <c r="H62" i="5"/>
  <c r="I62" i="5" s="1"/>
  <c r="H14" i="5"/>
  <c r="I14" i="5" s="1"/>
  <c r="L14" i="5" s="1"/>
  <c r="H31" i="5"/>
  <c r="I31" i="5" s="1"/>
  <c r="H47" i="5"/>
  <c r="I47" i="5" s="1"/>
  <c r="L47" i="5" s="1"/>
  <c r="H63" i="5"/>
  <c r="I63" i="5" s="1"/>
  <c r="H15" i="5"/>
  <c r="I15" i="5" s="1"/>
  <c r="L15" i="5" s="1"/>
  <c r="H32" i="5"/>
  <c r="I32" i="5" s="1"/>
  <c r="L32" i="5" s="1"/>
  <c r="H48" i="5"/>
  <c r="I48" i="5" s="1"/>
  <c r="L48" i="5" s="1"/>
  <c r="H64" i="5"/>
  <c r="I64" i="5" s="1"/>
  <c r="H16" i="5"/>
  <c r="I16" i="5" s="1"/>
  <c r="L16" i="5" s="1"/>
  <c r="H33" i="5"/>
  <c r="I33" i="5" s="1"/>
  <c r="L33" i="5" s="1"/>
  <c r="H49" i="5"/>
  <c r="I49" i="5" s="1"/>
  <c r="H18" i="5"/>
  <c r="I18" i="5" s="1"/>
  <c r="H34" i="5"/>
  <c r="I34" i="5" s="1"/>
  <c r="L34" i="5" s="1"/>
  <c r="H50" i="5"/>
  <c r="I50" i="5" s="1"/>
  <c r="L50" i="5" s="1"/>
  <c r="H66" i="5"/>
  <c r="I66" i="5" s="1"/>
  <c r="L66" i="5" s="1"/>
  <c r="H19" i="5"/>
  <c r="I19" i="5" s="1"/>
  <c r="H35" i="5"/>
  <c r="I35" i="5" s="1"/>
  <c r="L35" i="5" s="1"/>
  <c r="H51" i="5"/>
  <c r="I51" i="5" s="1"/>
  <c r="H67" i="5"/>
  <c r="I67" i="5" s="1"/>
  <c r="L67" i="5" s="1"/>
  <c r="H20" i="5"/>
  <c r="I20" i="5" s="1"/>
  <c r="H36" i="5"/>
  <c r="I36" i="5" s="1"/>
  <c r="L36" i="5" s="1"/>
  <c r="H52" i="5"/>
  <c r="I52" i="5" s="1"/>
  <c r="H68" i="5"/>
  <c r="I68" i="5" s="1"/>
  <c r="H21" i="5"/>
  <c r="I21" i="5" s="1"/>
  <c r="H37" i="5"/>
  <c r="I37" i="5" s="1"/>
  <c r="L37" i="5" s="1"/>
  <c r="H53" i="5"/>
  <c r="I53" i="5" s="1"/>
  <c r="H69" i="5"/>
  <c r="I69" i="5" s="1"/>
  <c r="H57" i="5"/>
  <c r="I57" i="5" s="1"/>
  <c r="N71" i="5"/>
  <c r="O71" i="5" s="1"/>
  <c r="N67" i="5"/>
  <c r="O67" i="5" s="1"/>
  <c r="N63" i="5"/>
  <c r="O63" i="5" s="1"/>
  <c r="N59" i="5"/>
  <c r="O59" i="5" s="1"/>
  <c r="N55" i="5"/>
  <c r="O55" i="5" s="1"/>
  <c r="N51" i="5"/>
  <c r="O51" i="5" s="1"/>
  <c r="N47" i="5"/>
  <c r="O47" i="5" s="1"/>
  <c r="N43" i="5"/>
  <c r="O43" i="5" s="1"/>
  <c r="N39" i="5"/>
  <c r="O39" i="5" s="1"/>
  <c r="N35" i="5"/>
  <c r="O35" i="5" s="1"/>
  <c r="N31" i="5"/>
  <c r="O31" i="5" s="1"/>
  <c r="N27" i="5"/>
  <c r="O27" i="5" s="1"/>
  <c r="N23" i="5"/>
  <c r="O23" i="5" s="1"/>
  <c r="N19" i="5"/>
  <c r="O19" i="5" s="1"/>
  <c r="N15" i="5"/>
  <c r="O15" i="5" s="1"/>
  <c r="N11" i="5"/>
  <c r="O11" i="5" s="1"/>
  <c r="N18" i="5"/>
  <c r="O18" i="5" s="1"/>
  <c r="N10" i="5"/>
  <c r="O10" i="5" s="1"/>
  <c r="N72" i="5"/>
  <c r="O72" i="5" s="1"/>
  <c r="N60" i="5"/>
  <c r="O60" i="5" s="1"/>
  <c r="N44" i="5"/>
  <c r="O44" i="5" s="1"/>
  <c r="N32" i="5"/>
  <c r="O32" i="5" s="1"/>
  <c r="N20" i="5"/>
  <c r="O20" i="5" s="1"/>
  <c r="N70" i="5"/>
  <c r="O70" i="5" s="1"/>
  <c r="N66" i="5"/>
  <c r="O66" i="5" s="1"/>
  <c r="N62" i="5"/>
  <c r="O62" i="5" s="1"/>
  <c r="N58" i="5"/>
  <c r="O58" i="5" s="1"/>
  <c r="N54" i="5"/>
  <c r="O54" i="5" s="1"/>
  <c r="N50" i="5"/>
  <c r="O50" i="5" s="1"/>
  <c r="N46" i="5"/>
  <c r="O46" i="5" s="1"/>
  <c r="N42" i="5"/>
  <c r="O42" i="5" s="1"/>
  <c r="N38" i="5"/>
  <c r="O38" i="5" s="1"/>
  <c r="N34" i="5"/>
  <c r="O34" i="5" s="1"/>
  <c r="N30" i="5"/>
  <c r="O30" i="5" s="1"/>
  <c r="N26" i="5"/>
  <c r="O26" i="5" s="1"/>
  <c r="N22" i="5"/>
  <c r="O22" i="5" s="1"/>
  <c r="N14" i="5"/>
  <c r="O14" i="5" s="1"/>
  <c r="N64" i="5"/>
  <c r="O64" i="5" s="1"/>
  <c r="N52" i="5"/>
  <c r="O52" i="5" s="1"/>
  <c r="N40" i="5"/>
  <c r="O40" i="5" s="1"/>
  <c r="N28" i="5"/>
  <c r="O28" i="5" s="1"/>
  <c r="N16" i="5"/>
  <c r="O16" i="5" s="1"/>
  <c r="N73" i="5"/>
  <c r="O73" i="5" s="1"/>
  <c r="N69" i="5"/>
  <c r="O69" i="5" s="1"/>
  <c r="N65" i="5"/>
  <c r="O65" i="5" s="1"/>
  <c r="N61" i="5"/>
  <c r="O61" i="5" s="1"/>
  <c r="N57" i="5"/>
  <c r="O57" i="5" s="1"/>
  <c r="N53" i="5"/>
  <c r="O53" i="5" s="1"/>
  <c r="N49" i="5"/>
  <c r="O49" i="5" s="1"/>
  <c r="N45" i="5"/>
  <c r="O45" i="5" s="1"/>
  <c r="N41" i="5"/>
  <c r="O41" i="5" s="1"/>
  <c r="N37" i="5"/>
  <c r="O37" i="5" s="1"/>
  <c r="N33" i="5"/>
  <c r="O33" i="5" s="1"/>
  <c r="N29" i="5"/>
  <c r="O29" i="5" s="1"/>
  <c r="N25" i="5"/>
  <c r="O25" i="5" s="1"/>
  <c r="N21" i="5"/>
  <c r="O21" i="5" s="1"/>
  <c r="N17" i="5"/>
  <c r="O17" i="5" s="1"/>
  <c r="N13" i="5"/>
  <c r="O13" i="5" s="1"/>
  <c r="N68" i="5"/>
  <c r="O68" i="5" s="1"/>
  <c r="N56" i="5"/>
  <c r="O56" i="5" s="1"/>
  <c r="N48" i="5"/>
  <c r="O48" i="5" s="1"/>
  <c r="N36" i="5"/>
  <c r="O36" i="5" s="1"/>
  <c r="N24" i="5"/>
  <c r="O24" i="5" s="1"/>
  <c r="N12" i="5"/>
  <c r="O12" i="5" s="1"/>
  <c r="G711" i="16"/>
  <c r="G707" i="16"/>
  <c r="G703" i="16"/>
  <c r="G699" i="16"/>
  <c r="G695" i="16"/>
  <c r="G691" i="16"/>
  <c r="G687" i="16"/>
  <c r="G683" i="16"/>
  <c r="G679" i="16"/>
  <c r="G675" i="16"/>
  <c r="G671" i="16"/>
  <c r="G667" i="16"/>
  <c r="G663" i="16"/>
  <c r="G659" i="16"/>
  <c r="G655" i="16"/>
  <c r="G651" i="16"/>
  <c r="G647" i="16"/>
  <c r="G643" i="16"/>
  <c r="G639" i="16"/>
  <c r="G635" i="16"/>
  <c r="G631" i="16"/>
  <c r="G626" i="16"/>
  <c r="G618" i="16"/>
  <c r="G610" i="16"/>
  <c r="G602" i="16"/>
  <c r="G594" i="16"/>
  <c r="G586" i="16"/>
  <c r="G578" i="16"/>
  <c r="G570" i="16"/>
  <c r="G562" i="16"/>
  <c r="G554" i="16"/>
  <c r="G546" i="16"/>
  <c r="G538" i="16"/>
  <c r="G530" i="16"/>
  <c r="G522" i="16"/>
  <c r="G514" i="16"/>
  <c r="G506" i="16"/>
  <c r="G498" i="16"/>
  <c r="G490" i="16"/>
  <c r="G482" i="16"/>
  <c r="G710" i="16"/>
  <c r="G706" i="16"/>
  <c r="G702" i="16"/>
  <c r="G698" i="16"/>
  <c r="G694" i="16"/>
  <c r="G690" i="16"/>
  <c r="G686" i="16"/>
  <c r="G682" i="16"/>
  <c r="G678" i="16"/>
  <c r="G674" i="16"/>
  <c r="G670" i="16"/>
  <c r="G666" i="16"/>
  <c r="G662" i="16"/>
  <c r="G658" i="16"/>
  <c r="G654" i="16"/>
  <c r="G650" i="16"/>
  <c r="G646" i="16"/>
  <c r="G642" i="16"/>
  <c r="G638" i="16"/>
  <c r="G634" i="16"/>
  <c r="G630" i="16"/>
  <c r="G624" i="16"/>
  <c r="G616" i="16"/>
  <c r="G608" i="16"/>
  <c r="G600" i="16"/>
  <c r="G592" i="16"/>
  <c r="G584" i="16"/>
  <c r="G576" i="16"/>
  <c r="G568" i="16"/>
  <c r="G560" i="16"/>
  <c r="G552" i="16"/>
  <c r="G544" i="16"/>
  <c r="G536" i="16"/>
  <c r="G528" i="16"/>
  <c r="G520" i="16"/>
  <c r="G512" i="16"/>
  <c r="G504" i="16"/>
  <c r="G496" i="16"/>
  <c r="G488" i="16"/>
  <c r="G480" i="16"/>
  <c r="G472" i="16"/>
  <c r="G464" i="16"/>
  <c r="G456" i="16"/>
  <c r="G448" i="16"/>
  <c r="G440" i="16"/>
  <c r="G432" i="16"/>
  <c r="G424" i="16"/>
  <c r="G416" i="16"/>
  <c r="G408" i="16"/>
  <c r="G400" i="16"/>
  <c r="G392" i="16"/>
  <c r="G384" i="16"/>
  <c r="G376" i="16"/>
  <c r="G368" i="16"/>
  <c r="G356" i="16"/>
  <c r="G344" i="16"/>
  <c r="G332" i="16"/>
  <c r="G320" i="16"/>
  <c r="G308" i="16"/>
  <c r="G296" i="16"/>
  <c r="G284" i="16"/>
  <c r="G272" i="16"/>
  <c r="G260" i="16"/>
  <c r="G248" i="16"/>
  <c r="G236" i="16"/>
  <c r="G224" i="16"/>
  <c r="G212" i="16"/>
  <c r="G200" i="16"/>
  <c r="G188" i="16"/>
  <c r="G176" i="16"/>
  <c r="G164" i="16"/>
  <c r="G152" i="16"/>
  <c r="G140" i="16"/>
  <c r="G128" i="16"/>
  <c r="G116" i="16"/>
  <c r="G106" i="16"/>
  <c r="G94" i="16"/>
  <c r="G82" i="16"/>
  <c r="G70" i="16"/>
  <c r="G58" i="16"/>
  <c r="G46" i="16"/>
  <c r="G34" i="16"/>
  <c r="G22" i="16"/>
  <c r="G10" i="16"/>
  <c r="G619" i="16"/>
  <c r="G709" i="16"/>
  <c r="G701" i="16"/>
  <c r="G693" i="16"/>
  <c r="G685" i="16"/>
  <c r="G677" i="16"/>
  <c r="G669" i="16"/>
  <c r="G661" i="16"/>
  <c r="G653" i="16"/>
  <c r="G645" i="16"/>
  <c r="G637" i="16"/>
  <c r="G629" i="16"/>
  <c r="G614" i="16"/>
  <c r="G598" i="16"/>
  <c r="G582" i="16"/>
  <c r="G566" i="16"/>
  <c r="G550" i="16"/>
  <c r="G534" i="16"/>
  <c r="G518" i="16"/>
  <c r="G502" i="16"/>
  <c r="G486" i="16"/>
  <c r="G474" i="16"/>
  <c r="G462" i="16"/>
  <c r="G452" i="16"/>
  <c r="G442" i="16"/>
  <c r="G430" i="16"/>
  <c r="G420" i="16"/>
  <c r="G410" i="16"/>
  <c r="G398" i="16"/>
  <c r="G388" i="16"/>
  <c r="G378" i="16"/>
  <c r="G365" i="16"/>
  <c r="G350" i="16"/>
  <c r="G335" i="16"/>
  <c r="G317" i="16"/>
  <c r="G302" i="16"/>
  <c r="G287" i="16"/>
  <c r="G269" i="16"/>
  <c r="G254" i="16"/>
  <c r="G239" i="16"/>
  <c r="G221" i="16"/>
  <c r="G206" i="16"/>
  <c r="G191" i="16"/>
  <c r="G173" i="16"/>
  <c r="G158" i="16"/>
  <c r="G143" i="16"/>
  <c r="G125" i="16"/>
  <c r="G110" i="16"/>
  <c r="G97" i="16"/>
  <c r="G79" i="16"/>
  <c r="G64" i="16"/>
  <c r="G49" i="16"/>
  <c r="G31" i="16"/>
  <c r="G16" i="16"/>
  <c r="G621" i="16"/>
  <c r="G611" i="16"/>
  <c r="G603" i="16"/>
  <c r="G595" i="16"/>
  <c r="G587" i="16"/>
  <c r="G579" i="16"/>
  <c r="G571" i="16"/>
  <c r="G563" i="16"/>
  <c r="G555" i="16"/>
  <c r="G547" i="16"/>
  <c r="G539" i="16"/>
  <c r="G531" i="16"/>
  <c r="G523" i="16"/>
  <c r="G515" i="16"/>
  <c r="G507" i="16"/>
  <c r="G499" i="16"/>
  <c r="G491" i="16"/>
  <c r="G483" i="16"/>
  <c r="G475" i="16"/>
  <c r="G467" i="16"/>
  <c r="G459" i="16"/>
  <c r="G451" i="16"/>
  <c r="G443" i="16"/>
  <c r="G435" i="16"/>
  <c r="G427" i="16"/>
  <c r="G419" i="16"/>
  <c r="G411" i="16"/>
  <c r="G403" i="16"/>
  <c r="G395" i="16"/>
  <c r="G387" i="16"/>
  <c r="G379" i="16"/>
  <c r="G371" i="16"/>
  <c r="G708" i="16"/>
  <c r="G700" i="16"/>
  <c r="G692" i="16"/>
  <c r="G684" i="16"/>
  <c r="G676" i="16"/>
  <c r="G668" i="16"/>
  <c r="G660" i="16"/>
  <c r="G652" i="16"/>
  <c r="G644" i="16"/>
  <c r="G636" i="16"/>
  <c r="G628" i="16"/>
  <c r="G612" i="16"/>
  <c r="G596" i="16"/>
  <c r="G580" i="16"/>
  <c r="G564" i="16"/>
  <c r="G548" i="16"/>
  <c r="G532" i="16"/>
  <c r="G516" i="16"/>
  <c r="G500" i="16"/>
  <c r="G484" i="16"/>
  <c r="G470" i="16"/>
  <c r="G460" i="16"/>
  <c r="G450" i="16"/>
  <c r="G438" i="16"/>
  <c r="G428" i="16"/>
  <c r="G418" i="16"/>
  <c r="G406" i="16"/>
  <c r="G396" i="16"/>
  <c r="G386" i="16"/>
  <c r="G374" i="16"/>
  <c r="G362" i="16"/>
  <c r="G347" i="16"/>
  <c r="G329" i="16"/>
  <c r="G314" i="16"/>
  <c r="G299" i="16"/>
  <c r="G281" i="16"/>
  <c r="G266" i="16"/>
  <c r="G251" i="16"/>
  <c r="G233" i="16"/>
  <c r="G218" i="16"/>
  <c r="G203" i="16"/>
  <c r="G185" i="16"/>
  <c r="G170" i="16"/>
  <c r="G155" i="16"/>
  <c r="G137" i="16"/>
  <c r="G122" i="16"/>
  <c r="G109" i="16"/>
  <c r="G91" i="16"/>
  <c r="G76" i="16"/>
  <c r="G61" i="16"/>
  <c r="G43" i="16"/>
  <c r="G28" i="16"/>
  <c r="G13" i="16"/>
  <c r="G617" i="16"/>
  <c r="G609" i="16"/>
  <c r="G601" i="16"/>
  <c r="G593" i="16"/>
  <c r="G585" i="16"/>
  <c r="G577" i="16"/>
  <c r="G569" i="16"/>
  <c r="G561" i="16"/>
  <c r="G553" i="16"/>
  <c r="G545" i="16"/>
  <c r="G537" i="16"/>
  <c r="G529" i="16"/>
  <c r="G521" i="16"/>
  <c r="G513" i="16"/>
  <c r="G505" i="16"/>
  <c r="G497" i="16"/>
  <c r="G489" i="16"/>
  <c r="G481" i="16"/>
  <c r="G473" i="16"/>
  <c r="G465" i="16"/>
  <c r="G457" i="16"/>
  <c r="G449" i="16"/>
  <c r="G441" i="16"/>
  <c r="G433" i="16"/>
  <c r="G425" i="16"/>
  <c r="G417" i="16"/>
  <c r="G409" i="16"/>
  <c r="G401" i="16"/>
  <c r="G393" i="16"/>
  <c r="G705" i="16"/>
  <c r="G697" i="16"/>
  <c r="G689" i="16"/>
  <c r="G681" i="16"/>
  <c r="G673" i="16"/>
  <c r="G665" i="16"/>
  <c r="G657" i="16"/>
  <c r="G649" i="16"/>
  <c r="G641" i="16"/>
  <c r="G633" i="16"/>
  <c r="G622" i="16"/>
  <c r="G606" i="16"/>
  <c r="G590" i="16"/>
  <c r="G574" i="16"/>
  <c r="G558" i="16"/>
  <c r="G542" i="16"/>
  <c r="G526" i="16"/>
  <c r="G510" i="16"/>
  <c r="G494" i="16"/>
  <c r="G478" i="16"/>
  <c r="G468" i="16"/>
  <c r="G458" i="16"/>
  <c r="G446" i="16"/>
  <c r="G436" i="16"/>
  <c r="G426" i="16"/>
  <c r="G414" i="16"/>
  <c r="G404" i="16"/>
  <c r="G394" i="16"/>
  <c r="G382" i="16"/>
  <c r="G372" i="16"/>
  <c r="G359" i="16"/>
  <c r="G341" i="16"/>
  <c r="G326" i="16"/>
  <c r="G311" i="16"/>
  <c r="G293" i="16"/>
  <c r="G278" i="16"/>
  <c r="G263" i="16"/>
  <c r="G245" i="16"/>
  <c r="G230" i="16"/>
  <c r="G215" i="16"/>
  <c r="G197" i="16"/>
  <c r="G182" i="16"/>
  <c r="G167" i="16"/>
  <c r="G149" i="16"/>
  <c r="G134" i="16"/>
  <c r="G119" i="16"/>
  <c r="G103" i="16"/>
  <c r="G88" i="16"/>
  <c r="G73" i="16"/>
  <c r="G55" i="16"/>
  <c r="G40" i="16"/>
  <c r="G25" i="16"/>
  <c r="G625" i="16"/>
  <c r="G615" i="16"/>
  <c r="G607" i="16"/>
  <c r="G599" i="16"/>
  <c r="G591" i="16"/>
  <c r="G583" i="16"/>
  <c r="G575" i="16"/>
  <c r="G567" i="16"/>
  <c r="G559" i="16"/>
  <c r="G551" i="16"/>
  <c r="G543" i="16"/>
  <c r="G535" i="16"/>
  <c r="G527" i="16"/>
  <c r="G519" i="16"/>
  <c r="G511" i="16"/>
  <c r="G503" i="16"/>
  <c r="G495" i="16"/>
  <c r="G487" i="16"/>
  <c r="G704" i="16"/>
  <c r="G672" i="16"/>
  <c r="G640" i="16"/>
  <c r="G588" i="16"/>
  <c r="G524" i="16"/>
  <c r="G466" i="16"/>
  <c r="G422" i="16"/>
  <c r="G380" i="16"/>
  <c r="G323" i="16"/>
  <c r="G257" i="16"/>
  <c r="G194" i="16"/>
  <c r="G131" i="16"/>
  <c r="G67" i="16"/>
  <c r="G623" i="16"/>
  <c r="G589" i="16"/>
  <c r="G557" i="16"/>
  <c r="G525" i="16"/>
  <c r="G493" i="16"/>
  <c r="G471" i="16"/>
  <c r="G455" i="16"/>
  <c r="G439" i="16"/>
  <c r="G423" i="16"/>
  <c r="G407" i="16"/>
  <c r="G391" i="16"/>
  <c r="G381" i="16"/>
  <c r="G369" i="16"/>
  <c r="G357" i="16"/>
  <c r="G345" i="16"/>
  <c r="G333" i="16"/>
  <c r="G321" i="16"/>
  <c r="G309" i="16"/>
  <c r="G297" i="16"/>
  <c r="G285" i="16"/>
  <c r="G273" i="16"/>
  <c r="G261" i="16"/>
  <c r="G249" i="16"/>
  <c r="G237" i="16"/>
  <c r="G225" i="16"/>
  <c r="G213" i="16"/>
  <c r="G201" i="16"/>
  <c r="G189" i="16"/>
  <c r="G177" i="16"/>
  <c r="G165" i="16"/>
  <c r="G153" i="16"/>
  <c r="G141" i="16"/>
  <c r="G129" i="16"/>
  <c r="G117" i="16"/>
  <c r="G104" i="16"/>
  <c r="G92" i="16"/>
  <c r="G80" i="16"/>
  <c r="G68" i="16"/>
  <c r="G56" i="16"/>
  <c r="G44" i="16"/>
  <c r="G32" i="16"/>
  <c r="G20" i="16"/>
  <c r="G364" i="16"/>
  <c r="G352" i="16"/>
  <c r="G340" i="16"/>
  <c r="G328" i="16"/>
  <c r="G316" i="16"/>
  <c r="G304" i="16"/>
  <c r="G292" i="16"/>
  <c r="G280" i="16"/>
  <c r="G268" i="16"/>
  <c r="G256" i="16"/>
  <c r="G244" i="16"/>
  <c r="G232" i="16"/>
  <c r="G220" i="16"/>
  <c r="G208" i="16"/>
  <c r="G196" i="16"/>
  <c r="G184" i="16"/>
  <c r="G172" i="16"/>
  <c r="G160" i="16"/>
  <c r="G148" i="16"/>
  <c r="G136" i="16"/>
  <c r="G124" i="16"/>
  <c r="G112" i="16"/>
  <c r="G99" i="16"/>
  <c r="G87" i="16"/>
  <c r="G75" i="16"/>
  <c r="G63" i="16"/>
  <c r="G51" i="16"/>
  <c r="G39" i="16"/>
  <c r="G27" i="16"/>
  <c r="G15" i="16"/>
  <c r="G696" i="16"/>
  <c r="G664" i="16"/>
  <c r="G632" i="16"/>
  <c r="G572" i="16"/>
  <c r="G508" i="16"/>
  <c r="G454" i="16"/>
  <c r="G412" i="16"/>
  <c r="G370" i="16"/>
  <c r="G305" i="16"/>
  <c r="G242" i="16"/>
  <c r="G179" i="16"/>
  <c r="G113" i="16"/>
  <c r="G52" i="16"/>
  <c r="G613" i="16"/>
  <c r="G581" i="16"/>
  <c r="G549" i="16"/>
  <c r="G517" i="16"/>
  <c r="G485" i="16"/>
  <c r="G469" i="16"/>
  <c r="G453" i="16"/>
  <c r="G437" i="16"/>
  <c r="G421" i="16"/>
  <c r="G405" i="16"/>
  <c r="G389" i="16"/>
  <c r="G377" i="16"/>
  <c r="G366" i="16"/>
  <c r="G354" i="16"/>
  <c r="G342" i="16"/>
  <c r="G330" i="16"/>
  <c r="G318" i="16"/>
  <c r="G306" i="16"/>
  <c r="G294" i="16"/>
  <c r="G282" i="16"/>
  <c r="G270" i="16"/>
  <c r="G258" i="16"/>
  <c r="G246" i="16"/>
  <c r="G234" i="16"/>
  <c r="G222" i="16"/>
  <c r="G210" i="16"/>
  <c r="G198" i="16"/>
  <c r="G186" i="16"/>
  <c r="G174" i="16"/>
  <c r="G162" i="16"/>
  <c r="G150" i="16"/>
  <c r="G138" i="16"/>
  <c r="G126" i="16"/>
  <c r="G114" i="16"/>
  <c r="G101" i="16"/>
  <c r="G89" i="16"/>
  <c r="G77" i="16"/>
  <c r="G65" i="16"/>
  <c r="G53" i="16"/>
  <c r="G41" i="16"/>
  <c r="G29" i="16"/>
  <c r="G17" i="16"/>
  <c r="G361" i="16"/>
  <c r="G349" i="16"/>
  <c r="G337" i="16"/>
  <c r="G325" i="16"/>
  <c r="G313" i="16"/>
  <c r="G301" i="16"/>
  <c r="G289" i="16"/>
  <c r="G277" i="16"/>
  <c r="G265" i="16"/>
  <c r="G253" i="16"/>
  <c r="G241" i="16"/>
  <c r="G229" i="16"/>
  <c r="G217" i="16"/>
  <c r="G205" i="16"/>
  <c r="G193" i="16"/>
  <c r="G181" i="16"/>
  <c r="G169" i="16"/>
  <c r="G157" i="16"/>
  <c r="G145" i="16"/>
  <c r="G133" i="16"/>
  <c r="G121" i="16"/>
  <c r="G108" i="16"/>
  <c r="G96" i="16"/>
  <c r="G84" i="16"/>
  <c r="G72" i="16"/>
  <c r="G60" i="16"/>
  <c r="G48" i="16"/>
  <c r="G36" i="16"/>
  <c r="G24" i="16"/>
  <c r="G12" i="16"/>
  <c r="G688" i="16"/>
  <c r="G656" i="16"/>
  <c r="G620" i="16"/>
  <c r="G556" i="16"/>
  <c r="G492" i="16"/>
  <c r="G444" i="16"/>
  <c r="G402" i="16"/>
  <c r="G353" i="16"/>
  <c r="G290" i="16"/>
  <c r="G227" i="16"/>
  <c r="G161" i="16"/>
  <c r="G100" i="16"/>
  <c r="G37" i="16"/>
  <c r="G605" i="16"/>
  <c r="G573" i="16"/>
  <c r="G541" i="16"/>
  <c r="G509" i="16"/>
  <c r="G479" i="16"/>
  <c r="G463" i="16"/>
  <c r="G447" i="16"/>
  <c r="G431" i="16"/>
  <c r="G415" i="16"/>
  <c r="G399" i="16"/>
  <c r="G385" i="16"/>
  <c r="G375" i="16"/>
  <c r="G363" i="16"/>
  <c r="G351" i="16"/>
  <c r="G339" i="16"/>
  <c r="G327" i="16"/>
  <c r="G315" i="16"/>
  <c r="G303" i="16"/>
  <c r="G291" i="16"/>
  <c r="G279" i="16"/>
  <c r="G267" i="16"/>
  <c r="G255" i="16"/>
  <c r="G243" i="16"/>
  <c r="G231" i="16"/>
  <c r="G219" i="16"/>
  <c r="G207" i="16"/>
  <c r="G195" i="16"/>
  <c r="G183" i="16"/>
  <c r="G171" i="16"/>
  <c r="G159" i="16"/>
  <c r="G147" i="16"/>
  <c r="G135" i="16"/>
  <c r="G123" i="16"/>
  <c r="G111" i="16"/>
  <c r="G98" i="16"/>
  <c r="G86" i="16"/>
  <c r="G74" i="16"/>
  <c r="G62" i="16"/>
  <c r="G50" i="16"/>
  <c r="G38" i="16"/>
  <c r="G26" i="16"/>
  <c r="G14" i="16"/>
  <c r="G358" i="16"/>
  <c r="G346" i="16"/>
  <c r="G334" i="16"/>
  <c r="G322" i="16"/>
  <c r="G310" i="16"/>
  <c r="G298" i="16"/>
  <c r="G286" i="16"/>
  <c r="G274" i="16"/>
  <c r="G262" i="16"/>
  <c r="G250" i="16"/>
  <c r="G238" i="16"/>
  <c r="G226" i="16"/>
  <c r="G214" i="16"/>
  <c r="G202" i="16"/>
  <c r="G190" i="16"/>
  <c r="G178" i="16"/>
  <c r="G166" i="16"/>
  <c r="G154" i="16"/>
  <c r="G142" i="16"/>
  <c r="G130" i="16"/>
  <c r="G118" i="16"/>
  <c r="G105" i="16"/>
  <c r="G93" i="16"/>
  <c r="G81" i="16"/>
  <c r="G69" i="16"/>
  <c r="G57" i="16"/>
  <c r="G45" i="16"/>
  <c r="G33" i="16"/>
  <c r="G21" i="16"/>
  <c r="G367" i="16"/>
  <c r="G680" i="16"/>
  <c r="G476" i="16"/>
  <c r="G275" i="16"/>
  <c r="G19" i="16"/>
  <c r="G501" i="16"/>
  <c r="G429" i="16"/>
  <c r="G373" i="16"/>
  <c r="G324" i="16"/>
  <c r="G276" i="16"/>
  <c r="G228" i="16"/>
  <c r="G180" i="16"/>
  <c r="G132" i="16"/>
  <c r="G83" i="16"/>
  <c r="G35" i="16"/>
  <c r="G343" i="16"/>
  <c r="G295" i="16"/>
  <c r="G247" i="16"/>
  <c r="G199" i="16"/>
  <c r="G151" i="16"/>
  <c r="G102" i="16"/>
  <c r="G54" i="16"/>
  <c r="G627" i="16"/>
  <c r="G648" i="16"/>
  <c r="G434" i="16"/>
  <c r="G209" i="16"/>
  <c r="G597" i="16"/>
  <c r="G477" i="16"/>
  <c r="G413" i="16"/>
  <c r="G360" i="16"/>
  <c r="G312" i="16"/>
  <c r="G264" i="16"/>
  <c r="G216" i="16"/>
  <c r="G168" i="16"/>
  <c r="G120" i="16"/>
  <c r="G71" i="16"/>
  <c r="G23" i="16"/>
  <c r="G331" i="16"/>
  <c r="G283" i="16"/>
  <c r="G235" i="16"/>
  <c r="G187" i="16"/>
  <c r="G139" i="16"/>
  <c r="G90" i="16"/>
  <c r="G42" i="16"/>
  <c r="G338" i="16"/>
  <c r="G85" i="16"/>
  <c r="G445" i="16"/>
  <c r="G336" i="16"/>
  <c r="G240" i="16"/>
  <c r="G144" i="16"/>
  <c r="G47" i="16"/>
  <c r="G307" i="16"/>
  <c r="G211" i="16"/>
  <c r="G115" i="16"/>
  <c r="G18" i="16"/>
  <c r="G604" i="16"/>
  <c r="G390" i="16"/>
  <c r="G146" i="16"/>
  <c r="G565" i="16"/>
  <c r="G461" i="16"/>
  <c r="G397" i="16"/>
  <c r="G348" i="16"/>
  <c r="G300" i="16"/>
  <c r="G252" i="16"/>
  <c r="G204" i="16"/>
  <c r="G156" i="16"/>
  <c r="G107" i="16"/>
  <c r="G59" i="16"/>
  <c r="G11" i="16"/>
  <c r="G319" i="16"/>
  <c r="G271" i="16"/>
  <c r="G223" i="16"/>
  <c r="G175" i="16"/>
  <c r="G127" i="16"/>
  <c r="G78" i="16"/>
  <c r="G30" i="16"/>
  <c r="G540" i="16"/>
  <c r="G533" i="16"/>
  <c r="G383" i="16"/>
  <c r="G288" i="16"/>
  <c r="G192" i="16"/>
  <c r="G95" i="16"/>
  <c r="G355" i="16"/>
  <c r="G259" i="16"/>
  <c r="G163" i="16"/>
  <c r="G66" i="16"/>
  <c r="E711" i="16"/>
  <c r="E709" i="16"/>
  <c r="E707" i="16"/>
  <c r="E705" i="16"/>
  <c r="E703" i="16"/>
  <c r="E701" i="16"/>
  <c r="E699" i="16"/>
  <c r="E697" i="16"/>
  <c r="E695" i="16"/>
  <c r="E693" i="16"/>
  <c r="E691" i="16"/>
  <c r="E689" i="16"/>
  <c r="E687" i="16"/>
  <c r="E685" i="16"/>
  <c r="E683" i="16"/>
  <c r="E681" i="16"/>
  <c r="E679" i="16"/>
  <c r="E677" i="16"/>
  <c r="E675" i="16"/>
  <c r="E673" i="16"/>
  <c r="E671" i="16"/>
  <c r="E669" i="16"/>
  <c r="E667" i="16"/>
  <c r="E665" i="16"/>
  <c r="E663" i="16"/>
  <c r="E661" i="16"/>
  <c r="E659" i="16"/>
  <c r="E657" i="16"/>
  <c r="E655" i="16"/>
  <c r="E653" i="16"/>
  <c r="E651" i="16"/>
  <c r="E649" i="16"/>
  <c r="E647" i="16"/>
  <c r="E645" i="16"/>
  <c r="E643" i="16"/>
  <c r="E641" i="16"/>
  <c r="E639" i="16"/>
  <c r="E637" i="16"/>
  <c r="E635" i="16"/>
  <c r="E633" i="16"/>
  <c r="E631" i="16"/>
  <c r="E629" i="16"/>
  <c r="E627" i="16"/>
  <c r="E625" i="16"/>
  <c r="E623" i="16"/>
  <c r="E621" i="16"/>
  <c r="E619" i="16"/>
  <c r="E617" i="16"/>
  <c r="E615" i="16"/>
  <c r="E613" i="16"/>
  <c r="E611" i="16"/>
  <c r="E609" i="16"/>
  <c r="E607" i="16"/>
  <c r="E605" i="16"/>
  <c r="E603" i="16"/>
  <c r="E601" i="16"/>
  <c r="E599" i="16"/>
  <c r="E597" i="16"/>
  <c r="E595" i="16"/>
  <c r="E593" i="16"/>
  <c r="E591" i="16"/>
  <c r="E589" i="16"/>
  <c r="E587" i="16"/>
  <c r="E585" i="16"/>
  <c r="E583" i="16"/>
  <c r="E581" i="16"/>
  <c r="E579" i="16"/>
  <c r="E577" i="16"/>
  <c r="E575" i="16"/>
  <c r="E573" i="16"/>
  <c r="E571" i="16"/>
  <c r="E569" i="16"/>
  <c r="E567" i="16"/>
  <c r="E565" i="16"/>
  <c r="E563" i="16"/>
  <c r="E561" i="16"/>
  <c r="E559" i="16"/>
  <c r="E557" i="16"/>
  <c r="E555" i="16"/>
  <c r="E553" i="16"/>
  <c r="E551" i="16"/>
  <c r="E549" i="16"/>
  <c r="E547" i="16"/>
  <c r="E545" i="16"/>
  <c r="E543" i="16"/>
  <c r="E541" i="16"/>
  <c r="E539" i="16"/>
  <c r="E537" i="16"/>
  <c r="E535" i="16"/>
  <c r="E533" i="16"/>
  <c r="E531" i="16"/>
  <c r="E529" i="16"/>
  <c r="E527" i="16"/>
  <c r="E525" i="16"/>
  <c r="E523" i="16"/>
  <c r="E521" i="16"/>
  <c r="E519" i="16"/>
  <c r="E517" i="16"/>
  <c r="E515" i="16"/>
  <c r="E513" i="16"/>
  <c r="E511" i="16"/>
  <c r="E509" i="16"/>
  <c r="E507" i="16"/>
  <c r="E505" i="16"/>
  <c r="E503" i="16"/>
  <c r="E501" i="16"/>
  <c r="E499" i="16"/>
  <c r="E497" i="16"/>
  <c r="E495" i="16"/>
  <c r="E493" i="16"/>
  <c r="E491" i="16"/>
  <c r="E489" i="16"/>
  <c r="E487" i="16"/>
  <c r="E485" i="16"/>
  <c r="E483" i="16"/>
  <c r="E481" i="16"/>
  <c r="E479" i="16"/>
  <c r="E477" i="16"/>
  <c r="E475" i="16"/>
  <c r="E473" i="16"/>
  <c r="E471" i="16"/>
  <c r="E469" i="16"/>
  <c r="E467" i="16"/>
  <c r="E465" i="16"/>
  <c r="E463" i="16"/>
  <c r="E461" i="16"/>
  <c r="E459" i="16"/>
  <c r="E457" i="16"/>
  <c r="E455" i="16"/>
  <c r="E453" i="16"/>
  <c r="E451" i="16"/>
  <c r="E449" i="16"/>
  <c r="E447" i="16"/>
  <c r="E445" i="16"/>
  <c r="E443" i="16"/>
  <c r="E441" i="16"/>
  <c r="E439" i="16"/>
  <c r="E437" i="16"/>
  <c r="E435" i="16"/>
  <c r="E433" i="16"/>
  <c r="E431" i="16"/>
  <c r="E429" i="16"/>
  <c r="E427" i="16"/>
  <c r="E425" i="16"/>
  <c r="E423" i="16"/>
  <c r="E421" i="16"/>
  <c r="E419" i="16"/>
  <c r="E417" i="16"/>
  <c r="E415" i="16"/>
  <c r="E413" i="16"/>
  <c r="E411" i="16"/>
  <c r="E409" i="16"/>
  <c r="E407" i="16"/>
  <c r="E405" i="16"/>
  <c r="E403" i="16"/>
  <c r="E401" i="16"/>
  <c r="E399" i="16"/>
  <c r="E397" i="16"/>
  <c r="E395" i="16"/>
  <c r="E393" i="16"/>
  <c r="E391" i="16"/>
  <c r="E389" i="16"/>
  <c r="E387" i="16"/>
  <c r="E385" i="16"/>
  <c r="E383" i="16"/>
  <c r="E381" i="16"/>
  <c r="E379" i="16"/>
  <c r="E377" i="16"/>
  <c r="E375" i="16"/>
  <c r="E373" i="16"/>
  <c r="D711" i="16"/>
  <c r="D709" i="16"/>
  <c r="D707" i="16"/>
  <c r="D705" i="16"/>
  <c r="D703" i="16"/>
  <c r="D701" i="16"/>
  <c r="D699" i="16"/>
  <c r="D697" i="16"/>
  <c r="D695" i="16"/>
  <c r="D693" i="16"/>
  <c r="D691" i="16"/>
  <c r="D689" i="16"/>
  <c r="D687" i="16"/>
  <c r="D685" i="16"/>
  <c r="D683" i="16"/>
  <c r="D681" i="16"/>
  <c r="D679" i="16"/>
  <c r="D677" i="16"/>
  <c r="D675" i="16"/>
  <c r="D673" i="16"/>
  <c r="D671" i="16"/>
  <c r="D669" i="16"/>
  <c r="D667" i="16"/>
  <c r="D665" i="16"/>
  <c r="D663" i="16"/>
  <c r="D661" i="16"/>
  <c r="D659" i="16"/>
  <c r="D657" i="16"/>
  <c r="D655" i="16"/>
  <c r="D653" i="16"/>
  <c r="D651" i="16"/>
  <c r="D649" i="16"/>
  <c r="D647" i="16"/>
  <c r="D645" i="16"/>
  <c r="D643" i="16"/>
  <c r="D641" i="16"/>
  <c r="D639" i="16"/>
  <c r="D637" i="16"/>
  <c r="D635" i="16"/>
  <c r="D633" i="16"/>
  <c r="D631" i="16"/>
  <c r="D629" i="16"/>
  <c r="D627" i="16"/>
  <c r="D625" i="16"/>
  <c r="D623" i="16"/>
  <c r="D621" i="16"/>
  <c r="D619" i="16"/>
  <c r="D617" i="16"/>
  <c r="D615" i="16"/>
  <c r="D613" i="16"/>
  <c r="D611" i="16"/>
  <c r="D609" i="16"/>
  <c r="D607" i="16"/>
  <c r="D605" i="16"/>
  <c r="D603" i="16"/>
  <c r="D601" i="16"/>
  <c r="D599" i="16"/>
  <c r="D597" i="16"/>
  <c r="D595" i="16"/>
  <c r="D593" i="16"/>
  <c r="D591" i="16"/>
  <c r="D589" i="16"/>
  <c r="D587" i="16"/>
  <c r="D585" i="16"/>
  <c r="D583" i="16"/>
  <c r="D581" i="16"/>
  <c r="D579" i="16"/>
  <c r="D577" i="16"/>
  <c r="D575" i="16"/>
  <c r="D573" i="16"/>
  <c r="D571" i="16"/>
  <c r="D569" i="16"/>
  <c r="D567" i="16"/>
  <c r="D565" i="16"/>
  <c r="D563" i="16"/>
  <c r="D561" i="16"/>
  <c r="D559" i="16"/>
  <c r="D557" i="16"/>
  <c r="D555" i="16"/>
  <c r="D553" i="16"/>
  <c r="D551" i="16"/>
  <c r="D549" i="16"/>
  <c r="D547" i="16"/>
  <c r="D545" i="16"/>
  <c r="D543" i="16"/>
  <c r="D541" i="16"/>
  <c r="D539" i="16"/>
  <c r="D537" i="16"/>
  <c r="D535" i="16"/>
  <c r="D533" i="16"/>
  <c r="D531" i="16"/>
  <c r="D529" i="16"/>
  <c r="D527" i="16"/>
  <c r="D525" i="16"/>
  <c r="D523" i="16"/>
  <c r="D521" i="16"/>
  <c r="D519" i="16"/>
  <c r="D517" i="16"/>
  <c r="D515" i="16"/>
  <c r="D513" i="16"/>
  <c r="D511" i="16"/>
  <c r="D509" i="16"/>
  <c r="D507" i="16"/>
  <c r="D505" i="16"/>
  <c r="D503" i="16"/>
  <c r="D501" i="16"/>
  <c r="D499" i="16"/>
  <c r="D497" i="16"/>
  <c r="D495" i="16"/>
  <c r="D493" i="16"/>
  <c r="D491" i="16"/>
  <c r="D489" i="16"/>
  <c r="D487" i="16"/>
  <c r="D485" i="16"/>
  <c r="D483" i="16"/>
  <c r="D481" i="16"/>
  <c r="D479" i="16"/>
  <c r="D477" i="16"/>
  <c r="D475" i="16"/>
  <c r="D473" i="16"/>
  <c r="D471" i="16"/>
  <c r="D469" i="16"/>
  <c r="D467" i="16"/>
  <c r="D465" i="16"/>
  <c r="D463" i="16"/>
  <c r="D461" i="16"/>
  <c r="D459" i="16"/>
  <c r="D457" i="16"/>
  <c r="D455" i="16"/>
  <c r="D453" i="16"/>
  <c r="D451" i="16"/>
  <c r="D449" i="16"/>
  <c r="D447" i="16"/>
  <c r="D445" i="16"/>
  <c r="D443" i="16"/>
  <c r="D441" i="16"/>
  <c r="D439" i="16"/>
  <c r="D437" i="16"/>
  <c r="D435" i="16"/>
  <c r="D433" i="16"/>
  <c r="D431" i="16"/>
  <c r="D429" i="16"/>
  <c r="D427" i="16"/>
  <c r="D425" i="16"/>
  <c r="D423" i="16"/>
  <c r="D421" i="16"/>
  <c r="D419" i="16"/>
  <c r="D417" i="16"/>
  <c r="D415" i="16"/>
  <c r="D413" i="16"/>
  <c r="D411" i="16"/>
  <c r="D409" i="16"/>
  <c r="D407" i="16"/>
  <c r="D405" i="16"/>
  <c r="D403" i="16"/>
  <c r="D401" i="16"/>
  <c r="D399" i="16"/>
  <c r="D397" i="16"/>
  <c r="D395" i="16"/>
  <c r="D393" i="16"/>
  <c r="D391" i="16"/>
  <c r="D389" i="16"/>
  <c r="D387" i="16"/>
  <c r="D385" i="16"/>
  <c r="D383" i="16"/>
  <c r="D381" i="16"/>
  <c r="D379" i="16"/>
  <c r="D377" i="16"/>
  <c r="D375" i="16"/>
  <c r="D373" i="16"/>
  <c r="E710" i="16"/>
  <c r="E708" i="16"/>
  <c r="E706" i="16"/>
  <c r="E704" i="16"/>
  <c r="E702" i="16"/>
  <c r="E700" i="16"/>
  <c r="E698" i="16"/>
  <c r="E696" i="16"/>
  <c r="E694" i="16"/>
  <c r="E692" i="16"/>
  <c r="E690" i="16"/>
  <c r="E688" i="16"/>
  <c r="E686" i="16"/>
  <c r="E684" i="16"/>
  <c r="E682" i="16"/>
  <c r="E680" i="16"/>
  <c r="E678" i="16"/>
  <c r="E676" i="16"/>
  <c r="E674" i="16"/>
  <c r="E672" i="16"/>
  <c r="E670" i="16"/>
  <c r="E668" i="16"/>
  <c r="E666" i="16"/>
  <c r="E664" i="16"/>
  <c r="E662" i="16"/>
  <c r="E660" i="16"/>
  <c r="E658" i="16"/>
  <c r="E656" i="16"/>
  <c r="E654" i="16"/>
  <c r="E652" i="16"/>
  <c r="E650" i="16"/>
  <c r="E648" i="16"/>
  <c r="E646" i="16"/>
  <c r="E644" i="16"/>
  <c r="E642" i="16"/>
  <c r="E640" i="16"/>
  <c r="E638" i="16"/>
  <c r="E636" i="16"/>
  <c r="E634" i="16"/>
  <c r="E632" i="16"/>
  <c r="E630" i="16"/>
  <c r="E628" i="16"/>
  <c r="E626" i="16"/>
  <c r="E624" i="16"/>
  <c r="E622" i="16"/>
  <c r="E620" i="16"/>
  <c r="E618" i="16"/>
  <c r="E616" i="16"/>
  <c r="E614" i="16"/>
  <c r="E612" i="16"/>
  <c r="E610" i="16"/>
  <c r="E608" i="16"/>
  <c r="E606" i="16"/>
  <c r="E604" i="16"/>
  <c r="E602" i="16"/>
  <c r="E600" i="16"/>
  <c r="E598" i="16"/>
  <c r="E596" i="16"/>
  <c r="E594" i="16"/>
  <c r="E592" i="16"/>
  <c r="E590" i="16"/>
  <c r="E588" i="16"/>
  <c r="E586" i="16"/>
  <c r="E584" i="16"/>
  <c r="E582" i="16"/>
  <c r="E580" i="16"/>
  <c r="E578" i="16"/>
  <c r="E576" i="16"/>
  <c r="E574" i="16"/>
  <c r="E572" i="16"/>
  <c r="E570" i="16"/>
  <c r="E568" i="16"/>
  <c r="E566" i="16"/>
  <c r="E564" i="16"/>
  <c r="E562" i="16"/>
  <c r="E560" i="16"/>
  <c r="E558" i="16"/>
  <c r="E556" i="16"/>
  <c r="E554" i="16"/>
  <c r="E552" i="16"/>
  <c r="E550" i="16"/>
  <c r="E548" i="16"/>
  <c r="E546" i="16"/>
  <c r="E544" i="16"/>
  <c r="E542" i="16"/>
  <c r="E540" i="16"/>
  <c r="E538" i="16"/>
  <c r="E536" i="16"/>
  <c r="E534" i="16"/>
  <c r="E532" i="16"/>
  <c r="E530" i="16"/>
  <c r="E528" i="16"/>
  <c r="E526" i="16"/>
  <c r="E524" i="16"/>
  <c r="E522" i="16"/>
  <c r="E520" i="16"/>
  <c r="E518" i="16"/>
  <c r="E516" i="16"/>
  <c r="E514" i="16"/>
  <c r="E512" i="16"/>
  <c r="E510" i="16"/>
  <c r="E508" i="16"/>
  <c r="E506" i="16"/>
  <c r="E504" i="16"/>
  <c r="E502" i="16"/>
  <c r="E500" i="16"/>
  <c r="E498" i="16"/>
  <c r="E496" i="16"/>
  <c r="E494" i="16"/>
  <c r="E492" i="16"/>
  <c r="E490" i="16"/>
  <c r="E488" i="16"/>
  <c r="E486" i="16"/>
  <c r="E484" i="16"/>
  <c r="E482" i="16"/>
  <c r="E480" i="16"/>
  <c r="E478" i="16"/>
  <c r="E476" i="16"/>
  <c r="E474" i="16"/>
  <c r="E472" i="16"/>
  <c r="E470" i="16"/>
  <c r="E468" i="16"/>
  <c r="E466" i="16"/>
  <c r="E464" i="16"/>
  <c r="E462" i="16"/>
  <c r="E460" i="16"/>
  <c r="E458" i="16"/>
  <c r="E456" i="16"/>
  <c r="E454" i="16"/>
  <c r="E452" i="16"/>
  <c r="E450" i="16"/>
  <c r="E448" i="16"/>
  <c r="E446" i="16"/>
  <c r="E444" i="16"/>
  <c r="E442" i="16"/>
  <c r="E440" i="16"/>
  <c r="E438" i="16"/>
  <c r="E436" i="16"/>
  <c r="E434" i="16"/>
  <c r="E432" i="16"/>
  <c r="E430" i="16"/>
  <c r="E428" i="16"/>
  <c r="E426" i="16"/>
  <c r="E424" i="16"/>
  <c r="E422" i="16"/>
  <c r="E420" i="16"/>
  <c r="E418" i="16"/>
  <c r="E416" i="16"/>
  <c r="E414" i="16"/>
  <c r="E412" i="16"/>
  <c r="E410" i="16"/>
  <c r="E408" i="16"/>
  <c r="E406" i="16"/>
  <c r="E404" i="16"/>
  <c r="E402" i="16"/>
  <c r="E400" i="16"/>
  <c r="E398" i="16"/>
  <c r="E396" i="16"/>
  <c r="E394" i="16"/>
  <c r="E392" i="16"/>
  <c r="E390" i="16"/>
  <c r="E388" i="16"/>
  <c r="E386" i="16"/>
  <c r="E384" i="16"/>
  <c r="E382" i="16"/>
  <c r="E380" i="16"/>
  <c r="E378" i="16"/>
  <c r="E376" i="16"/>
  <c r="E374" i="16"/>
  <c r="E372" i="16"/>
  <c r="D710" i="16"/>
  <c r="D702" i="16"/>
  <c r="D694" i="16"/>
  <c r="D686" i="16"/>
  <c r="D678" i="16"/>
  <c r="D670" i="16"/>
  <c r="D662" i="16"/>
  <c r="D654" i="16"/>
  <c r="D646" i="16"/>
  <c r="D638" i="16"/>
  <c r="D630" i="16"/>
  <c r="D622" i="16"/>
  <c r="D614" i="16"/>
  <c r="D606" i="16"/>
  <c r="D598" i="16"/>
  <c r="D590" i="16"/>
  <c r="D582" i="16"/>
  <c r="D574" i="16"/>
  <c r="D566" i="16"/>
  <c r="D558" i="16"/>
  <c r="D550" i="16"/>
  <c r="D542" i="16"/>
  <c r="D534" i="16"/>
  <c r="D526" i="16"/>
  <c r="D518" i="16"/>
  <c r="D510" i="16"/>
  <c r="D502" i="16"/>
  <c r="D494" i="16"/>
  <c r="D486" i="16"/>
  <c r="D478" i="16"/>
  <c r="D470" i="16"/>
  <c r="D462" i="16"/>
  <c r="D454" i="16"/>
  <c r="D446" i="16"/>
  <c r="D438" i="16"/>
  <c r="D430" i="16"/>
  <c r="D422" i="16"/>
  <c r="D414" i="16"/>
  <c r="D406" i="16"/>
  <c r="D398" i="16"/>
  <c r="D390" i="16"/>
  <c r="D382" i="16"/>
  <c r="D374" i="16"/>
  <c r="E370" i="16"/>
  <c r="E368" i="16"/>
  <c r="E366" i="16"/>
  <c r="E364" i="16"/>
  <c r="E362" i="16"/>
  <c r="E360" i="16"/>
  <c r="E358" i="16"/>
  <c r="E356" i="16"/>
  <c r="E354" i="16"/>
  <c r="E352" i="16"/>
  <c r="E350" i="16"/>
  <c r="E348" i="16"/>
  <c r="E346" i="16"/>
  <c r="E344" i="16"/>
  <c r="E342" i="16"/>
  <c r="E340" i="16"/>
  <c r="E338" i="16"/>
  <c r="E336" i="16"/>
  <c r="E334" i="16"/>
  <c r="E332" i="16"/>
  <c r="E330" i="16"/>
  <c r="E328" i="16"/>
  <c r="E326" i="16"/>
  <c r="E324" i="16"/>
  <c r="E322" i="16"/>
  <c r="E320" i="16"/>
  <c r="E318" i="16"/>
  <c r="E316" i="16"/>
  <c r="E314" i="16"/>
  <c r="E312" i="16"/>
  <c r="E310" i="16"/>
  <c r="E308" i="16"/>
  <c r="E306" i="16"/>
  <c r="E304" i="16"/>
  <c r="E302" i="16"/>
  <c r="E300" i="16"/>
  <c r="E298" i="16"/>
  <c r="E296" i="16"/>
  <c r="E294" i="16"/>
  <c r="E292" i="16"/>
  <c r="E290" i="16"/>
  <c r="E288" i="16"/>
  <c r="E286" i="16"/>
  <c r="E284" i="16"/>
  <c r="E282" i="16"/>
  <c r="E280" i="16"/>
  <c r="E278" i="16"/>
  <c r="E276" i="16"/>
  <c r="E274" i="16"/>
  <c r="E272" i="16"/>
  <c r="E270" i="16"/>
  <c r="E268" i="16"/>
  <c r="E266" i="16"/>
  <c r="E264" i="16"/>
  <c r="E262" i="16"/>
  <c r="E260" i="16"/>
  <c r="E258" i="16"/>
  <c r="E256" i="16"/>
  <c r="E254" i="16"/>
  <c r="E252" i="16"/>
  <c r="E250" i="16"/>
  <c r="E248" i="16"/>
  <c r="E246" i="16"/>
  <c r="E244" i="16"/>
  <c r="E242" i="16"/>
  <c r="E240" i="16"/>
  <c r="E238" i="16"/>
  <c r="E236" i="16"/>
  <c r="E234" i="16"/>
  <c r="E232" i="16"/>
  <c r="E230" i="16"/>
  <c r="E228" i="16"/>
  <c r="E226" i="16"/>
  <c r="E224" i="16"/>
  <c r="E222" i="16"/>
  <c r="E220" i="16"/>
  <c r="E218" i="16"/>
  <c r="E216" i="16"/>
  <c r="E214" i="16"/>
  <c r="E212" i="16"/>
  <c r="E210" i="16"/>
  <c r="E208" i="16"/>
  <c r="E206" i="16"/>
  <c r="E204" i="16"/>
  <c r="E202" i="16"/>
  <c r="E200" i="16"/>
  <c r="E198" i="16"/>
  <c r="E196" i="16"/>
  <c r="E194" i="16"/>
  <c r="E192" i="16"/>
  <c r="E190" i="16"/>
  <c r="E188" i="16"/>
  <c r="E186" i="16"/>
  <c r="E184" i="16"/>
  <c r="E182" i="16"/>
  <c r="E180" i="16"/>
  <c r="E178" i="16"/>
  <c r="E176" i="16"/>
  <c r="E174" i="16"/>
  <c r="E172" i="16"/>
  <c r="E170" i="16"/>
  <c r="E168" i="16"/>
  <c r="E166" i="16"/>
  <c r="E164" i="16"/>
  <c r="E162" i="16"/>
  <c r="E160" i="16"/>
  <c r="E158" i="16"/>
  <c r="E156" i="16"/>
  <c r="E154" i="16"/>
  <c r="E152" i="16"/>
  <c r="E150" i="16"/>
  <c r="E148" i="16"/>
  <c r="E146" i="16"/>
  <c r="E144" i="16"/>
  <c r="E142" i="16"/>
  <c r="E140" i="16"/>
  <c r="E138" i="16"/>
  <c r="E136" i="16"/>
  <c r="E134" i="16"/>
  <c r="E132" i="16"/>
  <c r="E130" i="16"/>
  <c r="E128" i="16"/>
  <c r="E126" i="16"/>
  <c r="E124" i="16"/>
  <c r="E122" i="16"/>
  <c r="E120" i="16"/>
  <c r="E118" i="16"/>
  <c r="E116" i="16"/>
  <c r="D708" i="16"/>
  <c r="D700" i="16"/>
  <c r="D692" i="16"/>
  <c r="D684" i="16"/>
  <c r="D676" i="16"/>
  <c r="D668" i="16"/>
  <c r="D660" i="16"/>
  <c r="D652" i="16"/>
  <c r="D644" i="16"/>
  <c r="D636" i="16"/>
  <c r="D628" i="16"/>
  <c r="D620" i="16"/>
  <c r="D612" i="16"/>
  <c r="D604" i="16"/>
  <c r="D596" i="16"/>
  <c r="D588" i="16"/>
  <c r="D580" i="16"/>
  <c r="D572" i="16"/>
  <c r="D564" i="16"/>
  <c r="D556" i="16"/>
  <c r="D548" i="16"/>
  <c r="D540" i="16"/>
  <c r="D532" i="16"/>
  <c r="D524" i="16"/>
  <c r="D516" i="16"/>
  <c r="D508" i="16"/>
  <c r="D500" i="16"/>
  <c r="D492" i="16"/>
  <c r="D484" i="16"/>
  <c r="D476" i="16"/>
  <c r="D468" i="16"/>
  <c r="D460" i="16"/>
  <c r="D452" i="16"/>
  <c r="D444" i="16"/>
  <c r="D436" i="16"/>
  <c r="D428" i="16"/>
  <c r="D420" i="16"/>
  <c r="D412" i="16"/>
  <c r="D404" i="16"/>
  <c r="D396" i="16"/>
  <c r="D388" i="16"/>
  <c r="D380" i="16"/>
  <c r="D372" i="16"/>
  <c r="D370" i="16"/>
  <c r="D368" i="16"/>
  <c r="D366" i="16"/>
  <c r="D364" i="16"/>
  <c r="D362" i="16"/>
  <c r="D360" i="16"/>
  <c r="D358" i="16"/>
  <c r="D356" i="16"/>
  <c r="D354" i="16"/>
  <c r="D352" i="16"/>
  <c r="D350" i="16"/>
  <c r="D348" i="16"/>
  <c r="D346" i="16"/>
  <c r="D344" i="16"/>
  <c r="D342" i="16"/>
  <c r="D340" i="16"/>
  <c r="D338" i="16"/>
  <c r="D336" i="16"/>
  <c r="D334" i="16"/>
  <c r="D332" i="16"/>
  <c r="D330" i="16"/>
  <c r="D328" i="16"/>
  <c r="D326" i="16"/>
  <c r="D324" i="16"/>
  <c r="D322" i="16"/>
  <c r="D320" i="16"/>
  <c r="D318" i="16"/>
  <c r="D316" i="16"/>
  <c r="D314" i="16"/>
  <c r="D312" i="16"/>
  <c r="D310" i="16"/>
  <c r="D308" i="16"/>
  <c r="D306" i="16"/>
  <c r="D304" i="16"/>
  <c r="D302" i="16"/>
  <c r="D300" i="16"/>
  <c r="D298" i="16"/>
  <c r="D296" i="16"/>
  <c r="D294" i="16"/>
  <c r="D292" i="16"/>
  <c r="D290" i="16"/>
  <c r="D288" i="16"/>
  <c r="D286" i="16"/>
  <c r="D284" i="16"/>
  <c r="D282" i="16"/>
  <c r="D280" i="16"/>
  <c r="D278" i="16"/>
  <c r="D276" i="16"/>
  <c r="D274" i="16"/>
  <c r="D272" i="16"/>
  <c r="D270" i="16"/>
  <c r="D268" i="16"/>
  <c r="D266" i="16"/>
  <c r="D264" i="16"/>
  <c r="D262" i="16"/>
  <c r="D260" i="16"/>
  <c r="D258" i="16"/>
  <c r="D256" i="16"/>
  <c r="D254" i="16"/>
  <c r="D252" i="16"/>
  <c r="D250" i="16"/>
  <c r="D248" i="16"/>
  <c r="D246" i="16"/>
  <c r="D244" i="16"/>
  <c r="D242" i="16"/>
  <c r="D240" i="16"/>
  <c r="D238" i="16"/>
  <c r="D236" i="16"/>
  <c r="D234" i="16"/>
  <c r="D232" i="16"/>
  <c r="D230" i="16"/>
  <c r="D228" i="16"/>
  <c r="D226" i="16"/>
  <c r="D224" i="16"/>
  <c r="D222" i="16"/>
  <c r="D220" i="16"/>
  <c r="D218" i="16"/>
  <c r="D216" i="16"/>
  <c r="D214" i="16"/>
  <c r="D212" i="16"/>
  <c r="D210" i="16"/>
  <c r="D208" i="16"/>
  <c r="D206" i="16"/>
  <c r="D204" i="16"/>
  <c r="D202" i="16"/>
  <c r="D200" i="16"/>
  <c r="D198" i="16"/>
  <c r="D196" i="16"/>
  <c r="D194" i="16"/>
  <c r="D192" i="16"/>
  <c r="D190" i="16"/>
  <c r="D188" i="16"/>
  <c r="D186" i="16"/>
  <c r="D184" i="16"/>
  <c r="D182" i="16"/>
  <c r="D180" i="16"/>
  <c r="D178" i="16"/>
  <c r="D176" i="16"/>
  <c r="D174" i="16"/>
  <c r="D172" i="16"/>
  <c r="D170" i="16"/>
  <c r="D168" i="16"/>
  <c r="D166" i="16"/>
  <c r="D164" i="16"/>
  <c r="D162" i="16"/>
  <c r="D160" i="16"/>
  <c r="D158" i="16"/>
  <c r="D156" i="16"/>
  <c r="D154" i="16"/>
  <c r="D152" i="16"/>
  <c r="D150" i="16"/>
  <c r="D148" i="16"/>
  <c r="D146" i="16"/>
  <c r="D144" i="16"/>
  <c r="D142" i="16"/>
  <c r="D140" i="16"/>
  <c r="D138" i="16"/>
  <c r="D136" i="16"/>
  <c r="D134" i="16"/>
  <c r="D132" i="16"/>
  <c r="D130" i="16"/>
  <c r="D128" i="16"/>
  <c r="D126" i="16"/>
  <c r="D124" i="16"/>
  <c r="D122" i="16"/>
  <c r="D120" i="16"/>
  <c r="D118" i="16"/>
  <c r="D116" i="16"/>
  <c r="D706" i="16"/>
  <c r="D698" i="16"/>
  <c r="D690" i="16"/>
  <c r="D682" i="16"/>
  <c r="D674" i="16"/>
  <c r="D666" i="16"/>
  <c r="D658" i="16"/>
  <c r="D650" i="16"/>
  <c r="D642" i="16"/>
  <c r="D634" i="16"/>
  <c r="D626" i="16"/>
  <c r="D618" i="16"/>
  <c r="D610" i="16"/>
  <c r="D602" i="16"/>
  <c r="D594" i="16"/>
  <c r="D586" i="16"/>
  <c r="D578" i="16"/>
  <c r="D570" i="16"/>
  <c r="D562" i="16"/>
  <c r="D554" i="16"/>
  <c r="D546" i="16"/>
  <c r="D538" i="16"/>
  <c r="D530" i="16"/>
  <c r="D522" i="16"/>
  <c r="D514" i="16"/>
  <c r="D506" i="16"/>
  <c r="D498" i="16"/>
  <c r="D490" i="16"/>
  <c r="D482" i="16"/>
  <c r="D474" i="16"/>
  <c r="D466" i="16"/>
  <c r="D458" i="16"/>
  <c r="D450" i="16"/>
  <c r="D442" i="16"/>
  <c r="D434" i="16"/>
  <c r="D426" i="16"/>
  <c r="D418" i="16"/>
  <c r="D410" i="16"/>
  <c r="D402" i="16"/>
  <c r="D394" i="16"/>
  <c r="D386" i="16"/>
  <c r="D378" i="16"/>
  <c r="E371" i="16"/>
  <c r="E369" i="16"/>
  <c r="E367" i="16"/>
  <c r="E365" i="16"/>
  <c r="E363" i="16"/>
  <c r="E361" i="16"/>
  <c r="E359" i="16"/>
  <c r="E357" i="16"/>
  <c r="E355" i="16"/>
  <c r="E353" i="16"/>
  <c r="E351" i="16"/>
  <c r="E349" i="16"/>
  <c r="E347" i="16"/>
  <c r="E345" i="16"/>
  <c r="E343" i="16"/>
  <c r="E341" i="16"/>
  <c r="E339" i="16"/>
  <c r="E337" i="16"/>
  <c r="E335" i="16"/>
  <c r="E333" i="16"/>
  <c r="E331" i="16"/>
  <c r="E329" i="16"/>
  <c r="E327" i="16"/>
  <c r="E325" i="16"/>
  <c r="E323" i="16"/>
  <c r="E321" i="16"/>
  <c r="E319" i="16"/>
  <c r="E317" i="16"/>
  <c r="E315" i="16"/>
  <c r="E313" i="16"/>
  <c r="E311" i="16"/>
  <c r="E309" i="16"/>
  <c r="E307" i="16"/>
  <c r="E305" i="16"/>
  <c r="E303" i="16"/>
  <c r="E301" i="16"/>
  <c r="E299" i="16"/>
  <c r="E297" i="16"/>
  <c r="E295" i="16"/>
  <c r="E293" i="16"/>
  <c r="E291" i="16"/>
  <c r="E289" i="16"/>
  <c r="E287" i="16"/>
  <c r="E285" i="16"/>
  <c r="E283" i="16"/>
  <c r="E281" i="16"/>
  <c r="E279" i="16"/>
  <c r="E277" i="16"/>
  <c r="E275" i="16"/>
  <c r="E273" i="16"/>
  <c r="E271" i="16"/>
  <c r="E269" i="16"/>
  <c r="E267" i="16"/>
  <c r="E265" i="16"/>
  <c r="E263" i="16"/>
  <c r="E261" i="16"/>
  <c r="E259" i="16"/>
  <c r="E257" i="16"/>
  <c r="E255" i="16"/>
  <c r="E253" i="16"/>
  <c r="E251" i="16"/>
  <c r="E249" i="16"/>
  <c r="E247" i="16"/>
  <c r="E245" i="16"/>
  <c r="E243" i="16"/>
  <c r="E241" i="16"/>
  <c r="E239" i="16"/>
  <c r="E237" i="16"/>
  <c r="E235" i="16"/>
  <c r="E233" i="16"/>
  <c r="E231" i="16"/>
  <c r="E229" i="16"/>
  <c r="E227" i="16"/>
  <c r="E225" i="16"/>
  <c r="E223" i="16"/>
  <c r="E221" i="16"/>
  <c r="E219" i="16"/>
  <c r="E217" i="16"/>
  <c r="E215" i="16"/>
  <c r="E213" i="16"/>
  <c r="E211" i="16"/>
  <c r="E209" i="16"/>
  <c r="E207" i="16"/>
  <c r="E205" i="16"/>
  <c r="E203" i="16"/>
  <c r="E201" i="16"/>
  <c r="E199" i="16"/>
  <c r="E197" i="16"/>
  <c r="E195" i="16"/>
  <c r="E193" i="16"/>
  <c r="E191" i="16"/>
  <c r="E189" i="16"/>
  <c r="E187" i="16"/>
  <c r="E185" i="16"/>
  <c r="E183" i="16"/>
  <c r="E181" i="16"/>
  <c r="E179" i="16"/>
  <c r="E177" i="16"/>
  <c r="E175" i="16"/>
  <c r="E173" i="16"/>
  <c r="E171" i="16"/>
  <c r="E169" i="16"/>
  <c r="E167" i="16"/>
  <c r="E165" i="16"/>
  <c r="E163" i="16"/>
  <c r="E161" i="16"/>
  <c r="E159" i="16"/>
  <c r="E157" i="16"/>
  <c r="E155" i="16"/>
  <c r="E153" i="16"/>
  <c r="E151" i="16"/>
  <c r="E149" i="16"/>
  <c r="E147" i="16"/>
  <c r="E145" i="16"/>
  <c r="E143" i="16"/>
  <c r="E141" i="16"/>
  <c r="E139" i="16"/>
  <c r="E137" i="16"/>
  <c r="E135" i="16"/>
  <c r="E133" i="16"/>
  <c r="E131" i="16"/>
  <c r="E129" i="16"/>
  <c r="E127" i="16"/>
  <c r="E125" i="16"/>
  <c r="E123" i="16"/>
  <c r="E121" i="16"/>
  <c r="E119" i="16"/>
  <c r="E117" i="16"/>
  <c r="D704" i="16"/>
  <c r="D672" i="16"/>
  <c r="D640" i="16"/>
  <c r="D608" i="16"/>
  <c r="D576" i="16"/>
  <c r="D544" i="16"/>
  <c r="D512" i="16"/>
  <c r="D480" i="16"/>
  <c r="D448" i="16"/>
  <c r="D416" i="16"/>
  <c r="D384" i="16"/>
  <c r="D367" i="16"/>
  <c r="D359" i="16"/>
  <c r="D351" i="16"/>
  <c r="D343" i="16"/>
  <c r="D335" i="16"/>
  <c r="D327" i="16"/>
  <c r="D319" i="16"/>
  <c r="D311" i="16"/>
  <c r="D303" i="16"/>
  <c r="D295" i="16"/>
  <c r="D287" i="16"/>
  <c r="D279" i="16"/>
  <c r="D271" i="16"/>
  <c r="D263" i="16"/>
  <c r="D255" i="16"/>
  <c r="D247" i="16"/>
  <c r="D239" i="16"/>
  <c r="D231" i="16"/>
  <c r="D223" i="16"/>
  <c r="D215" i="16"/>
  <c r="D207" i="16"/>
  <c r="D199" i="16"/>
  <c r="D191" i="16"/>
  <c r="D183" i="16"/>
  <c r="D175" i="16"/>
  <c r="D167" i="16"/>
  <c r="D159" i="16"/>
  <c r="D151" i="16"/>
  <c r="D143" i="16"/>
  <c r="D135" i="16"/>
  <c r="D127" i="16"/>
  <c r="D119" i="16"/>
  <c r="E114" i="16"/>
  <c r="E112" i="16"/>
  <c r="E110" i="16"/>
  <c r="E108" i="16"/>
  <c r="E106" i="16"/>
  <c r="E104" i="16"/>
  <c r="E102" i="16"/>
  <c r="E100" i="16"/>
  <c r="E98" i="16"/>
  <c r="E96" i="16"/>
  <c r="E94" i="16"/>
  <c r="E92" i="16"/>
  <c r="E90" i="16"/>
  <c r="E88" i="16"/>
  <c r="E86" i="16"/>
  <c r="E84" i="16"/>
  <c r="E82" i="16"/>
  <c r="E80" i="16"/>
  <c r="E78" i="16"/>
  <c r="E76" i="16"/>
  <c r="E74" i="16"/>
  <c r="E72" i="16"/>
  <c r="E70" i="16"/>
  <c r="E68" i="16"/>
  <c r="E66" i="16"/>
  <c r="E64" i="16"/>
  <c r="E62" i="16"/>
  <c r="E60" i="16"/>
  <c r="E58" i="16"/>
  <c r="E56" i="16"/>
  <c r="E54" i="16"/>
  <c r="E52" i="16"/>
  <c r="E50" i="16"/>
  <c r="E48" i="16"/>
  <c r="E46" i="16"/>
  <c r="E44" i="16"/>
  <c r="E42" i="16"/>
  <c r="E40" i="16"/>
  <c r="E38" i="16"/>
  <c r="E36" i="16"/>
  <c r="E34" i="16"/>
  <c r="E32" i="16"/>
  <c r="E30" i="16"/>
  <c r="E28" i="16"/>
  <c r="E26" i="16"/>
  <c r="E24" i="16"/>
  <c r="E22" i="16"/>
  <c r="E20" i="16"/>
  <c r="E18" i="16"/>
  <c r="E16" i="16"/>
  <c r="E14" i="16"/>
  <c r="E12" i="16"/>
  <c r="E10" i="16"/>
  <c r="D424" i="16"/>
  <c r="D321" i="16"/>
  <c r="D297" i="16"/>
  <c r="D273" i="16"/>
  <c r="D249" i="16"/>
  <c r="D225" i="16"/>
  <c r="D201" i="16"/>
  <c r="D177" i="16"/>
  <c r="D153" i="16"/>
  <c r="D129" i="16"/>
  <c r="D113" i="16"/>
  <c r="D107" i="16"/>
  <c r="D101" i="16"/>
  <c r="D95" i="16"/>
  <c r="D89" i="16"/>
  <c r="D83" i="16"/>
  <c r="D77" i="16"/>
  <c r="D71" i="16"/>
  <c r="D67" i="16"/>
  <c r="D61" i="16"/>
  <c r="D55" i="16"/>
  <c r="D49" i="16"/>
  <c r="D43" i="16"/>
  <c r="D37" i="16"/>
  <c r="D31" i="16"/>
  <c r="D25" i="16"/>
  <c r="D19" i="16"/>
  <c r="D13" i="16"/>
  <c r="D696" i="16"/>
  <c r="D664" i="16"/>
  <c r="D632" i="16"/>
  <c r="D600" i="16"/>
  <c r="D568" i="16"/>
  <c r="D536" i="16"/>
  <c r="D504" i="16"/>
  <c r="D472" i="16"/>
  <c r="D440" i="16"/>
  <c r="D408" i="16"/>
  <c r="D376" i="16"/>
  <c r="D365" i="16"/>
  <c r="D357" i="16"/>
  <c r="D349" i="16"/>
  <c r="D341" i="16"/>
  <c r="D333" i="16"/>
  <c r="D325" i="16"/>
  <c r="D317" i="16"/>
  <c r="D309" i="16"/>
  <c r="D301" i="16"/>
  <c r="D293" i="16"/>
  <c r="D285" i="16"/>
  <c r="D277" i="16"/>
  <c r="D269" i="16"/>
  <c r="D261" i="16"/>
  <c r="D253" i="16"/>
  <c r="D245" i="16"/>
  <c r="D237" i="16"/>
  <c r="D229" i="16"/>
  <c r="D221" i="16"/>
  <c r="D213" i="16"/>
  <c r="D205" i="16"/>
  <c r="D197" i="16"/>
  <c r="D189" i="16"/>
  <c r="D181" i="16"/>
  <c r="D173" i="16"/>
  <c r="D165" i="16"/>
  <c r="D157" i="16"/>
  <c r="D149" i="16"/>
  <c r="D141" i="16"/>
  <c r="D133" i="16"/>
  <c r="D125" i="16"/>
  <c r="D117" i="16"/>
  <c r="D114" i="16"/>
  <c r="D112" i="16"/>
  <c r="D110" i="16"/>
  <c r="D108" i="16"/>
  <c r="D106" i="16"/>
  <c r="D104" i="16"/>
  <c r="D102" i="16"/>
  <c r="D100" i="16"/>
  <c r="D98" i="16"/>
  <c r="D96" i="16"/>
  <c r="D94" i="16"/>
  <c r="D92" i="16"/>
  <c r="D90" i="16"/>
  <c r="D88" i="16"/>
  <c r="D86" i="16"/>
  <c r="D84" i="16"/>
  <c r="D82" i="16"/>
  <c r="D80" i="16"/>
  <c r="D78" i="16"/>
  <c r="D76" i="16"/>
  <c r="D74" i="16"/>
  <c r="D72" i="16"/>
  <c r="D70" i="16"/>
  <c r="D68" i="16"/>
  <c r="D66" i="16"/>
  <c r="D64" i="16"/>
  <c r="D62" i="16"/>
  <c r="D60" i="16"/>
  <c r="D58" i="16"/>
  <c r="D56" i="16"/>
  <c r="D54" i="16"/>
  <c r="D52" i="16"/>
  <c r="D50" i="16"/>
  <c r="D48" i="16"/>
  <c r="D46" i="16"/>
  <c r="D44" i="16"/>
  <c r="D42" i="16"/>
  <c r="D40" i="16"/>
  <c r="D38" i="16"/>
  <c r="D36" i="16"/>
  <c r="D34" i="16"/>
  <c r="D32" i="16"/>
  <c r="D30" i="16"/>
  <c r="D28" i="16"/>
  <c r="D26" i="16"/>
  <c r="D24" i="16"/>
  <c r="D22" i="16"/>
  <c r="D20" i="16"/>
  <c r="D18" i="16"/>
  <c r="D16" i="16"/>
  <c r="D14" i="16"/>
  <c r="D12" i="16"/>
  <c r="D10" i="16"/>
  <c r="D680" i="16"/>
  <c r="D616" i="16"/>
  <c r="D520" i="16"/>
  <c r="D456" i="16"/>
  <c r="D369" i="16"/>
  <c r="D353" i="16"/>
  <c r="D337" i="16"/>
  <c r="D313" i="16"/>
  <c r="D289" i="16"/>
  <c r="D265" i="16"/>
  <c r="D241" i="16"/>
  <c r="D217" i="16"/>
  <c r="D193" i="16"/>
  <c r="D169" i="16"/>
  <c r="D145" i="16"/>
  <c r="D115" i="16"/>
  <c r="D109" i="16"/>
  <c r="D103" i="16"/>
  <c r="D97" i="16"/>
  <c r="D91" i="16"/>
  <c r="D85" i="16"/>
  <c r="D79" i="16"/>
  <c r="D73" i="16"/>
  <c r="D65" i="16"/>
  <c r="D59" i="16"/>
  <c r="D53" i="16"/>
  <c r="D45" i="16"/>
  <c r="D39" i="16"/>
  <c r="D33" i="16"/>
  <c r="D27" i="16"/>
  <c r="D21" i="16"/>
  <c r="D15" i="16"/>
  <c r="D688" i="16"/>
  <c r="D656" i="16"/>
  <c r="D624" i="16"/>
  <c r="D592" i="16"/>
  <c r="D560" i="16"/>
  <c r="D528" i="16"/>
  <c r="D496" i="16"/>
  <c r="D464" i="16"/>
  <c r="D432" i="16"/>
  <c r="D400" i="16"/>
  <c r="D371" i="16"/>
  <c r="D363" i="16"/>
  <c r="D355" i="16"/>
  <c r="D347" i="16"/>
  <c r="D339" i="16"/>
  <c r="D331" i="16"/>
  <c r="D323" i="16"/>
  <c r="D315" i="16"/>
  <c r="D307" i="16"/>
  <c r="D299" i="16"/>
  <c r="D291" i="16"/>
  <c r="D283" i="16"/>
  <c r="D275" i="16"/>
  <c r="D267" i="16"/>
  <c r="D259" i="16"/>
  <c r="D251" i="16"/>
  <c r="D243" i="16"/>
  <c r="D235" i="16"/>
  <c r="D227" i="16"/>
  <c r="D219" i="16"/>
  <c r="D211" i="16"/>
  <c r="D203" i="16"/>
  <c r="D195" i="16"/>
  <c r="D187" i="16"/>
  <c r="D179" i="16"/>
  <c r="D171" i="16"/>
  <c r="D163" i="16"/>
  <c r="D155" i="16"/>
  <c r="D147" i="16"/>
  <c r="D139" i="16"/>
  <c r="D131" i="16"/>
  <c r="D123" i="16"/>
  <c r="E115" i="16"/>
  <c r="E113" i="16"/>
  <c r="E111" i="16"/>
  <c r="E109" i="16"/>
  <c r="E107" i="16"/>
  <c r="E105" i="16"/>
  <c r="E103" i="16"/>
  <c r="E101" i="16"/>
  <c r="E99" i="16"/>
  <c r="E97" i="16"/>
  <c r="E95" i="16"/>
  <c r="E93" i="16"/>
  <c r="E91" i="16"/>
  <c r="E89" i="16"/>
  <c r="E87" i="16"/>
  <c r="E85" i="16"/>
  <c r="E83" i="16"/>
  <c r="E81" i="16"/>
  <c r="E79" i="16"/>
  <c r="E77" i="16"/>
  <c r="E75" i="16"/>
  <c r="E73" i="16"/>
  <c r="E71" i="16"/>
  <c r="E69" i="16"/>
  <c r="E67" i="16"/>
  <c r="E65" i="16"/>
  <c r="E63" i="16"/>
  <c r="E61" i="16"/>
  <c r="E59" i="16"/>
  <c r="E57" i="16"/>
  <c r="E55" i="16"/>
  <c r="E53" i="16"/>
  <c r="E51" i="16"/>
  <c r="E49" i="16"/>
  <c r="E47" i="16"/>
  <c r="E45" i="16"/>
  <c r="E43" i="16"/>
  <c r="E41" i="16"/>
  <c r="E39" i="16"/>
  <c r="E37" i="16"/>
  <c r="E35" i="16"/>
  <c r="E33" i="16"/>
  <c r="E31" i="16"/>
  <c r="E29" i="16"/>
  <c r="E27" i="16"/>
  <c r="E25" i="16"/>
  <c r="E23" i="16"/>
  <c r="E21" i="16"/>
  <c r="E19" i="16"/>
  <c r="E17" i="16"/>
  <c r="E15" i="16"/>
  <c r="E13" i="16"/>
  <c r="E11" i="16"/>
  <c r="D648" i="16"/>
  <c r="D584" i="16"/>
  <c r="D552" i="16"/>
  <c r="D488" i="16"/>
  <c r="D392" i="16"/>
  <c r="D361" i="16"/>
  <c r="D345" i="16"/>
  <c r="D329" i="16"/>
  <c r="D305" i="16"/>
  <c r="D281" i="16"/>
  <c r="D257" i="16"/>
  <c r="D233" i="16"/>
  <c r="D209" i="16"/>
  <c r="D185" i="16"/>
  <c r="D161" i="16"/>
  <c r="D137" i="16"/>
  <c r="D121" i="16"/>
  <c r="D111" i="16"/>
  <c r="D105" i="16"/>
  <c r="D99" i="16"/>
  <c r="D93" i="16"/>
  <c r="D87" i="16"/>
  <c r="D81" i="16"/>
  <c r="D75" i="16"/>
  <c r="D69" i="16"/>
  <c r="D63" i="16"/>
  <c r="D57" i="16"/>
  <c r="D51" i="16"/>
  <c r="D47" i="16"/>
  <c r="D41" i="16"/>
  <c r="D35" i="16"/>
  <c r="D29" i="16"/>
  <c r="D23" i="16"/>
  <c r="D17" i="16"/>
  <c r="D11" i="16"/>
  <c r="N12" i="7"/>
  <c r="O12" i="7" s="1"/>
  <c r="N11" i="7"/>
  <c r="O11" i="7" s="1"/>
  <c r="N10" i="7"/>
  <c r="O10" i="7" s="1"/>
  <c r="I16" i="7"/>
  <c r="L16" i="7" s="1"/>
  <c r="I18" i="7"/>
  <c r="L18" i="7" s="1"/>
  <c r="L65" i="5"/>
  <c r="L57" i="5"/>
  <c r="L53" i="5"/>
  <c r="L49" i="5"/>
  <c r="L25" i="5"/>
  <c r="L21" i="5"/>
  <c r="L64" i="5"/>
  <c r="L56" i="5"/>
  <c r="L44" i="5"/>
  <c r="L11" i="5"/>
  <c r="L22" i="5"/>
  <c r="L63" i="5"/>
  <c r="L55" i="5"/>
  <c r="L51" i="5"/>
  <c r="L31" i="5"/>
  <c r="L19" i="5"/>
  <c r="L54" i="5"/>
  <c r="L30" i="5"/>
  <c r="L18" i="5"/>
  <c r="J40" i="7"/>
  <c r="J36" i="7"/>
  <c r="J43" i="7"/>
  <c r="J39" i="7"/>
  <c r="J37" i="7"/>
  <c r="J42" i="7"/>
  <c r="J38" i="7"/>
  <c r="J41" i="7"/>
  <c r="J32" i="7"/>
  <c r="J28" i="7"/>
  <c r="J23" i="7"/>
  <c r="J19" i="7"/>
  <c r="J21" i="7"/>
  <c r="J33" i="7"/>
  <c r="J29" i="7"/>
  <c r="J20" i="7"/>
  <c r="J31" i="7"/>
  <c r="J27" i="7"/>
  <c r="J22" i="7"/>
  <c r="J18" i="7"/>
  <c r="J30" i="7"/>
  <c r="J25" i="7"/>
  <c r="J24" i="7"/>
  <c r="J34" i="7"/>
  <c r="D43" i="7"/>
  <c r="D41" i="7"/>
  <c r="D39" i="7"/>
  <c r="D37" i="7"/>
  <c r="G42" i="7"/>
  <c r="G38" i="7"/>
  <c r="E39" i="7"/>
  <c r="G43" i="7"/>
  <c r="G39" i="7"/>
  <c r="E42" i="7"/>
  <c r="E40" i="7"/>
  <c r="E38" i="7"/>
  <c r="E36" i="7"/>
  <c r="G41" i="7"/>
  <c r="G37" i="7"/>
  <c r="E43" i="7"/>
  <c r="D42" i="7"/>
  <c r="D40" i="7"/>
  <c r="D38" i="7"/>
  <c r="D36" i="7"/>
  <c r="G40" i="7"/>
  <c r="G36" i="7"/>
  <c r="E41" i="7"/>
  <c r="E37" i="7"/>
  <c r="E34" i="7"/>
  <c r="E30" i="7"/>
  <c r="E25" i="7"/>
  <c r="E21" i="7"/>
  <c r="D34" i="7"/>
  <c r="D30" i="7"/>
  <c r="D25" i="7"/>
  <c r="D21" i="7"/>
  <c r="G34" i="7"/>
  <c r="G30" i="7"/>
  <c r="G25" i="7"/>
  <c r="G21" i="7"/>
  <c r="G28" i="7"/>
  <c r="G23" i="7"/>
  <c r="E22" i="7"/>
  <c r="E18" i="7"/>
  <c r="D22" i="7"/>
  <c r="E33" i="7"/>
  <c r="E29" i="7"/>
  <c r="E24" i="7"/>
  <c r="E20" i="7"/>
  <c r="D33" i="7"/>
  <c r="D29" i="7"/>
  <c r="D24" i="7"/>
  <c r="D20" i="7"/>
  <c r="G33" i="7"/>
  <c r="G29" i="7"/>
  <c r="G24" i="7"/>
  <c r="G20" i="7"/>
  <c r="G19" i="7"/>
  <c r="E31" i="7"/>
  <c r="D31" i="7"/>
  <c r="D18" i="7"/>
  <c r="G31" i="7"/>
  <c r="G27" i="7"/>
  <c r="G22" i="7"/>
  <c r="G18" i="7"/>
  <c r="E32" i="7"/>
  <c r="E28" i="7"/>
  <c r="E23" i="7"/>
  <c r="E19" i="7"/>
  <c r="D32" i="7"/>
  <c r="D28" i="7"/>
  <c r="D23" i="7"/>
  <c r="D19" i="7"/>
  <c r="G32" i="7"/>
  <c r="E27" i="7"/>
  <c r="D27" i="7"/>
  <c r="U5" i="7"/>
  <c r="N14" i="7" s="1"/>
  <c r="O14" i="7" s="1"/>
  <c r="L45" i="5"/>
  <c r="L12" i="5"/>
  <c r="I2777" i="13"/>
  <c r="I2772" i="13"/>
  <c r="I2764" i="13"/>
  <c r="I2761" i="13"/>
  <c r="I2756" i="13"/>
  <c r="I2745" i="13"/>
  <c r="I2740" i="13"/>
  <c r="I2732" i="13"/>
  <c r="I2729" i="13"/>
  <c r="I2782" i="13"/>
  <c r="I2774" i="13"/>
  <c r="I2766" i="13"/>
  <c r="I2758" i="13"/>
  <c r="I2755" i="13"/>
  <c r="I2750" i="13"/>
  <c r="I2742" i="13"/>
  <c r="I2784" i="13"/>
  <c r="I2781" i="13"/>
  <c r="I2773" i="13"/>
  <c r="I2768" i="13"/>
  <c r="I2765" i="13"/>
  <c r="I2757" i="13"/>
  <c r="I2752" i="13"/>
  <c r="I2749" i="13"/>
  <c r="I2741" i="13"/>
  <c r="I2736" i="13"/>
  <c r="I2733" i="13"/>
  <c r="I2759" i="13"/>
  <c r="I2719" i="13"/>
  <c r="I2714" i="13"/>
  <c r="I2703" i="13"/>
  <c r="I2698" i="13"/>
  <c r="I2690" i="13"/>
  <c r="I2686" i="13"/>
  <c r="I2675" i="13"/>
  <c r="I2659" i="13"/>
  <c r="I2654" i="13"/>
  <c r="I2643" i="13"/>
  <c r="I2638" i="13"/>
  <c r="I2627" i="13"/>
  <c r="I2622" i="13"/>
  <c r="I2611" i="13"/>
  <c r="I2595" i="13"/>
  <c r="I2590" i="13"/>
  <c r="I2578" i="13"/>
  <c r="I2574" i="13"/>
  <c r="I2570" i="13"/>
  <c r="I2562" i="13"/>
  <c r="I2559" i="13"/>
  <c r="I2551" i="13"/>
  <c r="I2778" i="13"/>
  <c r="I2767" i="13"/>
  <c r="I2735" i="13"/>
  <c r="I2724" i="13"/>
  <c r="I2716" i="13"/>
  <c r="I2713" i="13"/>
  <c r="I2708" i="13"/>
  <c r="I2697" i="13"/>
  <c r="I2681" i="13"/>
  <c r="I2677" i="13"/>
  <c r="I2672" i="13"/>
  <c r="I2669" i="13"/>
  <c r="I2661" i="13"/>
  <c r="I2656" i="13"/>
  <c r="I2645" i="13"/>
  <c r="I2640" i="13"/>
  <c r="I2637" i="13"/>
  <c r="I2629" i="13"/>
  <c r="I2624" i="13"/>
  <c r="I2613" i="13"/>
  <c r="I2608" i="13"/>
  <c r="I2605" i="13"/>
  <c r="I2597" i="13"/>
  <c r="I2592" i="13"/>
  <c r="I2581" i="13"/>
  <c r="I2569" i="13"/>
  <c r="I2564" i="13"/>
  <c r="I2553" i="13"/>
  <c r="I2548" i="13"/>
  <c r="I2775" i="13"/>
  <c r="I2743" i="13"/>
  <c r="I2723" i="13"/>
  <c r="I2710" i="13"/>
  <c r="I2707" i="13"/>
  <c r="I2691" i="13"/>
  <c r="I2688" i="13"/>
  <c r="I2684" i="13"/>
  <c r="I2674" i="13"/>
  <c r="I2666" i="13"/>
  <c r="I2663" i="13"/>
  <c r="I2658" i="13"/>
  <c r="I2650" i="13"/>
  <c r="I2647" i="13"/>
  <c r="I2634" i="13"/>
  <c r="I2631" i="13"/>
  <c r="I2615" i="13"/>
  <c r="I2610" i="13"/>
  <c r="I2602" i="13"/>
  <c r="I2599" i="13"/>
  <c r="I2594" i="13"/>
  <c r="I2586" i="13"/>
  <c r="I2583" i="13"/>
  <c r="I2580" i="13"/>
  <c r="I2576" i="13"/>
  <c r="I2572" i="13"/>
  <c r="I2563" i="13"/>
  <c r="I2550" i="13"/>
  <c r="I2730" i="13"/>
  <c r="I2717" i="13"/>
  <c r="I2660" i="13"/>
  <c r="I2628" i="13"/>
  <c r="I2617" i="13"/>
  <c r="I2596" i="13"/>
  <c r="I2585" i="13"/>
  <c r="I2560" i="13"/>
  <c r="I2549" i="13"/>
  <c r="I2531" i="13"/>
  <c r="I2518" i="13"/>
  <c r="I2515" i="13"/>
  <c r="I2502" i="13"/>
  <c r="I2499" i="13"/>
  <c r="I2486" i="13"/>
  <c r="I2483" i="13"/>
  <c r="I2468" i="13"/>
  <c r="I2458" i="13"/>
  <c r="I2455" i="13"/>
  <c r="I2450" i="13"/>
  <c r="I2442" i="13"/>
  <c r="I2439" i="13"/>
  <c r="I2434" i="13"/>
  <c r="I2423" i="13"/>
  <c r="I2418" i="13"/>
  <c r="I2410" i="13"/>
  <c r="I2407" i="13"/>
  <c r="I2402" i="13"/>
  <c r="I2394" i="13"/>
  <c r="I2391" i="13"/>
  <c r="I2386" i="13"/>
  <c r="I2378" i="13"/>
  <c r="I2375" i="13"/>
  <c r="I2370" i="13"/>
  <c r="I2356" i="13"/>
  <c r="I2339" i="13"/>
  <c r="I2334" i="13"/>
  <c r="I2326" i="13"/>
  <c r="I2323" i="13"/>
  <c r="I2307" i="13"/>
  <c r="I2302" i="13"/>
  <c r="I2294" i="13"/>
  <c r="I2291" i="13"/>
  <c r="I2275" i="13"/>
  <c r="I2270" i="13"/>
  <c r="I2262" i="13"/>
  <c r="I2259" i="13"/>
  <c r="I2252" i="13"/>
  <c r="I2231" i="13"/>
  <c r="I2226" i="13"/>
  <c r="I2223" i="13"/>
  <c r="I2218" i="13"/>
  <c r="I2215" i="13"/>
  <c r="I2202" i="13"/>
  <c r="I2199" i="13"/>
  <c r="I2194" i="13"/>
  <c r="I2191" i="13"/>
  <c r="I2186" i="13"/>
  <c r="I2183" i="13"/>
  <c r="I2167" i="13"/>
  <c r="I2162" i="13"/>
  <c r="I2159" i="13"/>
  <c r="I2154" i="13"/>
  <c r="I2151" i="13"/>
  <c r="I2148" i="13"/>
  <c r="I2140" i="13"/>
  <c r="I2762" i="13"/>
  <c r="I2704" i="13"/>
  <c r="I2693" i="13"/>
  <c r="I2679" i="13"/>
  <c r="I2636" i="13"/>
  <c r="I2604" i="13"/>
  <c r="I2557" i="13"/>
  <c r="I2544" i="13"/>
  <c r="I2541" i="13"/>
  <c r="I2528" i="13"/>
  <c r="I2525" i="13"/>
  <c r="I2517" i="13"/>
  <c r="I2512" i="13"/>
  <c r="I2509" i="13"/>
  <c r="I2496" i="13"/>
  <c r="I2493" i="13"/>
  <c r="I2488" i="13"/>
  <c r="I2485" i="13"/>
  <c r="I2480" i="13"/>
  <c r="I2477" i="13"/>
  <c r="I2471" i="13"/>
  <c r="I2463" i="13"/>
  <c r="I2460" i="13"/>
  <c r="I2457" i="13"/>
  <c r="I2449" i="13"/>
  <c r="I2444" i="13"/>
  <c r="I2441" i="13"/>
  <c r="I2428" i="13"/>
  <c r="I2425" i="13"/>
  <c r="I2412" i="13"/>
  <c r="I2409" i="13"/>
  <c r="I2396" i="13"/>
  <c r="I2393" i="13"/>
  <c r="I2380" i="13"/>
  <c r="I2377" i="13"/>
  <c r="I2359" i="13"/>
  <c r="I2352" i="13"/>
  <c r="I2349" i="13"/>
  <c r="I2336" i="13"/>
  <c r="I2333" i="13"/>
  <c r="I2320" i="13"/>
  <c r="I2317" i="13"/>
  <c r="I2304" i="13"/>
  <c r="I2301" i="13"/>
  <c r="I2296" i="13"/>
  <c r="I2288" i="13"/>
  <c r="I2285" i="13"/>
  <c r="I2272" i="13"/>
  <c r="I2269" i="13"/>
  <c r="I2255" i="13"/>
  <c r="I2247" i="13"/>
  <c r="I2236" i="13"/>
  <c r="I2233" i="13"/>
  <c r="I2228" i="13"/>
  <c r="I2220" i="13"/>
  <c r="I2217" i="13"/>
  <c r="I2204" i="13"/>
  <c r="I2201" i="13"/>
  <c r="I2196" i="13"/>
  <c r="I2188" i="13"/>
  <c r="I2185" i="13"/>
  <c r="I2172" i="13"/>
  <c r="I2169" i="13"/>
  <c r="I2164" i="13"/>
  <c r="I2156" i="13"/>
  <c r="I2153" i="13"/>
  <c r="I2143" i="13"/>
  <c r="I2135" i="13"/>
  <c r="I2701" i="13"/>
  <c r="I2676" i="13"/>
  <c r="I2665" i="13"/>
  <c r="I2644" i="13"/>
  <c r="I2633" i="13"/>
  <c r="I2612" i="13"/>
  <c r="I2579" i="13"/>
  <c r="I2565" i="13"/>
  <c r="I2543" i="13"/>
  <c r="I2535" i="13"/>
  <c r="I2527" i="13"/>
  <c r="I2522" i="13"/>
  <c r="I2519" i="13"/>
  <c r="I2511" i="13"/>
  <c r="I2503" i="13"/>
  <c r="I2498" i="13"/>
  <c r="I2495" i="13"/>
  <c r="I2487" i="13"/>
  <c r="I2482" i="13"/>
  <c r="I2479" i="13"/>
  <c r="I2466" i="13"/>
  <c r="I2462" i="13"/>
  <c r="I2454" i="13"/>
  <c r="I2451" i="13"/>
  <c r="I2446" i="13"/>
  <c r="I2435" i="13"/>
  <c r="I2430" i="13"/>
  <c r="I2422" i="13"/>
  <c r="I2419" i="13"/>
  <c r="I2403" i="13"/>
  <c r="I2398" i="13"/>
  <c r="I2390" i="13"/>
  <c r="I2387" i="13"/>
  <c r="I2382" i="13"/>
  <c r="I2371" i="13"/>
  <c r="I2366" i="13"/>
  <c r="I2358" i="13"/>
  <c r="I2351" i="13"/>
  <c r="I2343" i="13"/>
  <c r="I2335" i="13"/>
  <c r="I2327" i="13"/>
  <c r="I2319" i="13"/>
  <c r="I2311" i="13"/>
  <c r="I2306" i="13"/>
  <c r="I2303" i="13"/>
  <c r="I2295" i="13"/>
  <c r="I2290" i="13"/>
  <c r="I2287" i="13"/>
  <c r="I2279" i="13"/>
  <c r="I2274" i="13"/>
  <c r="I2271" i="13"/>
  <c r="I2263" i="13"/>
  <c r="I2258" i="13"/>
  <c r="I2254" i="13"/>
  <c r="I2246" i="13"/>
  <c r="I2243" i="13"/>
  <c r="I2238" i="13"/>
  <c r="I2227" i="13"/>
  <c r="I2211" i="13"/>
  <c r="I2206" i="13"/>
  <c r="I2198" i="13"/>
  <c r="I2195" i="13"/>
  <c r="I2190" i="13"/>
  <c r="I2179" i="13"/>
  <c r="I2174" i="13"/>
  <c r="I2166" i="13"/>
  <c r="I2163" i="13"/>
  <c r="I2142" i="13"/>
  <c r="I2134" i="13"/>
  <c r="I2687" i="13"/>
  <c r="I2537" i="13"/>
  <c r="I2516" i="13"/>
  <c r="I2484" i="13"/>
  <c r="I2473" i="13"/>
  <c r="I2448" i="13"/>
  <c r="I2416" i="13"/>
  <c r="I2405" i="13"/>
  <c r="I2384" i="13"/>
  <c r="I2361" i="13"/>
  <c r="I2348" i="13"/>
  <c r="I2284" i="13"/>
  <c r="I2249" i="13"/>
  <c r="I2237" i="13"/>
  <c r="I2205" i="13"/>
  <c r="I2173" i="13"/>
  <c r="I2137" i="13"/>
  <c r="I2126" i="13"/>
  <c r="I2122" i="13"/>
  <c r="I2110" i="13"/>
  <c r="I2102" i="13"/>
  <c r="I2090" i="13"/>
  <c r="I2074" i="13"/>
  <c r="I2070" i="13"/>
  <c r="I2057" i="13"/>
  <c r="I2048" i="13"/>
  <c r="I2046" i="13"/>
  <c r="I2044" i="13"/>
  <c r="I2029" i="13"/>
  <c r="I2020" i="13"/>
  <c r="I2014" i="13"/>
  <c r="I2005" i="13"/>
  <c r="I2003" i="13"/>
  <c r="I1988" i="13"/>
  <c r="I1977" i="13"/>
  <c r="I1975" i="13"/>
  <c r="I1973" i="13"/>
  <c r="I1962" i="13"/>
  <c r="I1945" i="13"/>
  <c r="I1936" i="13"/>
  <c r="I1932" i="13"/>
  <c r="I1920" i="13"/>
  <c r="I1918" i="13"/>
  <c r="I1907" i="13"/>
  <c r="I1903" i="13"/>
  <c r="I1892" i="13"/>
  <c r="I1890" i="13"/>
  <c r="I1888" i="13"/>
  <c r="I1879" i="13"/>
  <c r="I1877" i="13"/>
  <c r="I1875" i="13"/>
  <c r="I1866" i="13"/>
  <c r="I1860" i="13"/>
  <c r="I1847" i="13"/>
  <c r="I1834" i="13"/>
  <c r="I2720" i="13"/>
  <c r="I2588" i="13"/>
  <c r="I2524" i="13"/>
  <c r="I2492" i="13"/>
  <c r="I2469" i="13"/>
  <c r="I2445" i="13"/>
  <c r="I2413" i="13"/>
  <c r="I2381" i="13"/>
  <c r="I2345" i="13"/>
  <c r="I2324" i="13"/>
  <c r="I2313" i="13"/>
  <c r="I2292" i="13"/>
  <c r="I2281" i="13"/>
  <c r="I2260" i="13"/>
  <c r="I2245" i="13"/>
  <c r="I2213" i="13"/>
  <c r="I2192" i="13"/>
  <c r="I2181" i="13"/>
  <c r="I2160" i="13"/>
  <c r="I2149" i="13"/>
  <c r="I2133" i="13"/>
  <c r="I2125" i="13"/>
  <c r="I2121" i="13"/>
  <c r="I2117" i="13"/>
  <c r="I2109" i="13"/>
  <c r="I2105" i="13"/>
  <c r="I2101" i="13"/>
  <c r="I2093" i="13"/>
  <c r="I2089" i="13"/>
  <c r="I2085" i="13"/>
  <c r="I2082" i="13"/>
  <c r="I2080" i="13"/>
  <c r="I2078" i="13"/>
  <c r="I2069" i="13"/>
  <c r="I2067" i="13"/>
  <c r="I2063" i="13"/>
  <c r="I2052" i="13"/>
  <c r="I2041" i="13"/>
  <c r="I2039" i="13"/>
  <c r="I2037" i="13"/>
  <c r="I2026" i="13"/>
  <c r="I2009" i="13"/>
  <c r="I2007" i="13"/>
  <c r="I1996" i="13"/>
  <c r="I1994" i="13"/>
  <c r="I1981" i="13"/>
  <c r="I1970" i="13"/>
  <c r="I1968" i="13"/>
  <c r="I1957" i="13"/>
  <c r="I1955" i="13"/>
  <c r="I1951" i="13"/>
  <c r="I1942" i="13"/>
  <c r="I1940" i="13"/>
  <c r="I1935" i="13"/>
  <c r="I1924" i="13"/>
  <c r="I1913" i="13"/>
  <c r="I1909" i="13"/>
  <c r="I1900" i="13"/>
  <c r="I1898" i="13"/>
  <c r="I1887" i="13"/>
  <c r="I1885" i="13"/>
  <c r="I1872" i="13"/>
  <c r="I1870" i="13"/>
  <c r="I1868" i="13"/>
  <c r="I1855" i="13"/>
  <c r="I1853" i="13"/>
  <c r="I1844" i="13"/>
  <c r="I1840" i="13"/>
  <c r="I1837" i="13"/>
  <c r="I1833" i="13"/>
  <c r="I1828" i="13"/>
  <c r="I1826" i="13"/>
  <c r="I2709" i="13"/>
  <c r="I2620" i="13"/>
  <c r="I2575" i="13"/>
  <c r="I2521" i="13"/>
  <c r="I2500" i="13"/>
  <c r="I2489" i="13"/>
  <c r="I2453" i="13"/>
  <c r="I2432" i="13"/>
  <c r="I2421" i="13"/>
  <c r="I2389" i="13"/>
  <c r="I2368" i="13"/>
  <c r="I2332" i="13"/>
  <c r="I2300" i="13"/>
  <c r="I2221" i="13"/>
  <c r="I2189" i="13"/>
  <c r="I2157" i="13"/>
  <c r="I2132" i="13"/>
  <c r="I2128" i="13"/>
  <c r="I2124" i="13"/>
  <c r="I2116" i="13"/>
  <c r="I2112" i="13"/>
  <c r="I2108" i="13"/>
  <c r="I2100" i="13"/>
  <c r="I2096" i="13"/>
  <c r="I2092" i="13"/>
  <c r="I2084" i="13"/>
  <c r="I2073" i="13"/>
  <c r="I2071" i="13"/>
  <c r="I2062" i="13"/>
  <c r="I2060" i="13"/>
  <c r="I2058" i="13"/>
  <c r="I2047" i="13"/>
  <c r="I2045" i="13"/>
  <c r="I2032" i="13"/>
  <c r="I2028" i="13"/>
  <c r="I2019" i="13"/>
  <c r="I2015" i="13"/>
  <c r="I2006" i="13"/>
  <c r="I2002" i="13"/>
  <c r="I2000" i="13"/>
  <c r="I1991" i="13"/>
  <c r="I1972" i="13"/>
  <c r="I1961" i="13"/>
  <c r="I1959" i="13"/>
  <c r="I1950" i="13"/>
  <c r="I1948" i="13"/>
  <c r="I1946" i="13"/>
  <c r="I1934" i="13"/>
  <c r="I1930" i="13"/>
  <c r="I1917" i="13"/>
  <c r="I1908" i="13"/>
  <c r="I1906" i="13"/>
  <c r="I1904" i="13"/>
  <c r="I1893" i="13"/>
  <c r="I1891" i="13"/>
  <c r="I1878" i="13"/>
  <c r="I1876" i="13"/>
  <c r="I1863" i="13"/>
  <c r="I1861" i="13"/>
  <c r="I1852" i="13"/>
  <c r="I1846" i="13"/>
  <c r="I2783" i="13"/>
  <c r="I2508" i="13"/>
  <c r="I2329" i="13"/>
  <c r="I2240" i="13"/>
  <c r="I2079" i="13"/>
  <c r="I2053" i="13"/>
  <c r="I2036" i="13"/>
  <c r="I2010" i="13"/>
  <c r="I1993" i="13"/>
  <c r="I1984" i="13"/>
  <c r="I1967" i="13"/>
  <c r="I1941" i="13"/>
  <c r="I1929" i="13"/>
  <c r="I1895" i="13"/>
  <c r="I1869" i="13"/>
  <c r="I1843" i="13"/>
  <c r="I1831" i="13"/>
  <c r="I1821" i="13"/>
  <c r="I1806" i="13"/>
  <c r="I1804" i="13"/>
  <c r="I1795" i="13"/>
  <c r="I1791" i="13"/>
  <c r="I1782" i="13"/>
  <c r="I1780" i="13"/>
  <c r="I1776" i="13"/>
  <c r="I1767" i="13"/>
  <c r="I1765" i="13"/>
  <c r="I1754" i="13"/>
  <c r="I1750" i="13"/>
  <c r="I1738" i="13"/>
  <c r="I1734" i="13"/>
  <c r="I1718" i="13"/>
  <c r="I1711" i="13"/>
  <c r="I1686" i="13"/>
  <c r="I1676" i="13"/>
  <c r="I1668" i="13"/>
  <c r="I1660" i="13"/>
  <c r="I1656" i="13"/>
  <c r="I1652" i="13"/>
  <c r="I1644" i="13"/>
  <c r="I1636" i="13"/>
  <c r="I1628" i="13"/>
  <c r="I1624" i="13"/>
  <c r="I1620" i="13"/>
  <c r="I1612" i="13"/>
  <c r="I1604" i="13"/>
  <c r="I1596" i="13"/>
  <c r="I1592" i="13"/>
  <c r="I1588" i="13"/>
  <c r="I1580" i="13"/>
  <c r="I1572" i="13"/>
  <c r="I1564" i="13"/>
  <c r="I1560" i="13"/>
  <c r="I1556" i="13"/>
  <c r="I1548" i="13"/>
  <c r="I1540" i="13"/>
  <c r="I1532" i="13"/>
  <c r="I1528" i="13"/>
  <c r="I1524" i="13"/>
  <c r="I1516" i="13"/>
  <c r="I1508" i="13"/>
  <c r="I1500" i="13"/>
  <c r="I1496" i="13"/>
  <c r="I1492" i="13"/>
  <c r="I1484" i="13"/>
  <c r="I1476" i="13"/>
  <c r="I1468" i="13"/>
  <c r="I1464" i="13"/>
  <c r="I1460" i="13"/>
  <c r="I1452" i="13"/>
  <c r="I1444" i="13"/>
  <c r="I1436" i="13"/>
  <c r="I1432" i="13"/>
  <c r="I1428" i="13"/>
  <c r="I1420" i="13"/>
  <c r="I1412" i="13"/>
  <c r="I1404" i="13"/>
  <c r="I1400" i="13"/>
  <c r="I1396" i="13"/>
  <c r="I1388" i="13"/>
  <c r="I1380" i="13"/>
  <c r="I1364" i="13"/>
  <c r="I1356" i="13"/>
  <c r="I1352" i="13"/>
  <c r="I1348" i="13"/>
  <c r="I1340" i="13"/>
  <c r="I1332" i="13"/>
  <c r="I1324" i="13"/>
  <c r="I1320" i="13"/>
  <c r="I1316" i="13"/>
  <c r="I1308" i="13"/>
  <c r="I1300" i="13"/>
  <c r="I1284" i="13"/>
  <c r="I1276" i="13"/>
  <c r="I1272" i="13"/>
  <c r="I1268" i="13"/>
  <c r="I1260" i="13"/>
  <c r="I1252" i="13"/>
  <c r="I1236" i="13"/>
  <c r="I1228" i="13"/>
  <c r="I1224" i="13"/>
  <c r="I1220" i="13"/>
  <c r="I1208" i="13"/>
  <c r="I1204" i="13"/>
  <c r="I1196" i="13"/>
  <c r="I1188" i="13"/>
  <c r="I1172" i="13"/>
  <c r="I1164" i="13"/>
  <c r="I1160" i="13"/>
  <c r="I1156" i="13"/>
  <c r="I1144" i="13"/>
  <c r="I1140" i="13"/>
  <c r="I1132" i="13"/>
  <c r="I1124" i="13"/>
  <c r="I1108" i="13"/>
  <c r="I1100" i="13"/>
  <c r="I1096" i="13"/>
  <c r="I1092" i="13"/>
  <c r="I1080" i="13"/>
  <c r="I1076" i="13"/>
  <c r="I1068" i="13"/>
  <c r="I1060" i="13"/>
  <c r="I1044" i="13"/>
  <c r="I1036" i="13"/>
  <c r="I1032" i="13"/>
  <c r="I1028" i="13"/>
  <c r="I1020" i="13"/>
  <c r="I1012" i="13"/>
  <c r="I1004" i="13"/>
  <c r="I1000" i="13"/>
  <c r="I998" i="13"/>
  <c r="I990" i="13"/>
  <c r="I982" i="13"/>
  <c r="I974" i="13"/>
  <c r="I970" i="13"/>
  <c r="I966" i="13"/>
  <c r="I958" i="13"/>
  <c r="I954" i="13"/>
  <c r="I950" i="13"/>
  <c r="I2540" i="13"/>
  <c r="I2365" i="13"/>
  <c r="I2276" i="13"/>
  <c r="I2229" i="13"/>
  <c r="I2141" i="13"/>
  <c r="I2103" i="13"/>
  <c r="I2087" i="13"/>
  <c r="I2077" i="13"/>
  <c r="I2051" i="13"/>
  <c r="I2025" i="13"/>
  <c r="I1982" i="13"/>
  <c r="I1965" i="13"/>
  <c r="I1956" i="13"/>
  <c r="I1927" i="13"/>
  <c r="I1910" i="13"/>
  <c r="I1901" i="13"/>
  <c r="I1858" i="13"/>
  <c r="I1814" i="13"/>
  <c r="I1812" i="13"/>
  <c r="I1801" i="13"/>
  <c r="I1799" i="13"/>
  <c r="I1788" i="13"/>
  <c r="I1773" i="13"/>
  <c r="I1769" i="13"/>
  <c r="I1760" i="13"/>
  <c r="I1758" i="13"/>
  <c r="I1756" i="13"/>
  <c r="I1747" i="13"/>
  <c r="I1743" i="13"/>
  <c r="I1741" i="13"/>
  <c r="I1737" i="13"/>
  <c r="I1731" i="13"/>
  <c r="I1724" i="13"/>
  <c r="I1715" i="13"/>
  <c r="I1708" i="13"/>
  <c r="I1706" i="13"/>
  <c r="I1699" i="13"/>
  <c r="I1692" i="13"/>
  <c r="I1690" i="13"/>
  <c r="I1685" i="13"/>
  <c r="I1683" i="13"/>
  <c r="I1680" i="13"/>
  <c r="I1659" i="13"/>
  <c r="I1651" i="13"/>
  <c r="I1647" i="13"/>
  <c r="I1643" i="13"/>
  <c r="I1635" i="13"/>
  <c r="I1627" i="13"/>
  <c r="I1619" i="13"/>
  <c r="I1611" i="13"/>
  <c r="I1603" i="13"/>
  <c r="I1599" i="13"/>
  <c r="I1595" i="13"/>
  <c r="I1587" i="13"/>
  <c r="I1579" i="13"/>
  <c r="I1571" i="13"/>
  <c r="I1563" i="13"/>
  <c r="I1551" i="13"/>
  <c r="I1547" i="13"/>
  <c r="I1539" i="13"/>
  <c r="I1523" i="13"/>
  <c r="I1519" i="13"/>
  <c r="I1515" i="13"/>
  <c r="I1507" i="13"/>
  <c r="I1503" i="13"/>
  <c r="I1491" i="13"/>
  <c r="I1487" i="13"/>
  <c r="I1475" i="13"/>
  <c r="I1471" i="13"/>
  <c r="I1467" i="13"/>
  <c r="I1459" i="13"/>
  <c r="I1455" i="13"/>
  <c r="I1451" i="13"/>
  <c r="I1439" i="13"/>
  <c r="I1435" i="13"/>
  <c r="I1423" i="13"/>
  <c r="I1419" i="13"/>
  <c r="I1411" i="13"/>
  <c r="I1407" i="13"/>
  <c r="I1391" i="13"/>
  <c r="I1387" i="13"/>
  <c r="I1371" i="13"/>
  <c r="I1363" i="13"/>
  <c r="I1359" i="13"/>
  <c r="I1343" i="13"/>
  <c r="I1339" i="13"/>
  <c r="I1323" i="13"/>
  <c r="I1315" i="13"/>
  <c r="I1311" i="13"/>
  <c r="I1295" i="13"/>
  <c r="I1291" i="13"/>
  <c r="I1275" i="13"/>
  <c r="I1267" i="13"/>
  <c r="I1259" i="13"/>
  <c r="I1251" i="13"/>
  <c r="I1243" i="13"/>
  <c r="I1235" i="13"/>
  <c r="I1231" i="13"/>
  <c r="I1215" i="13"/>
  <c r="I1211" i="13"/>
  <c r="I1195" i="13"/>
  <c r="I1187" i="13"/>
  <c r="I1179" i="13"/>
  <c r="I1167" i="13"/>
  <c r="I1155" i="13"/>
  <c r="I1139" i="13"/>
  <c r="I1135" i="13"/>
  <c r="I1131" i="13"/>
  <c r="I1119" i="13"/>
  <c r="I1115" i="13"/>
  <c r="I1107" i="13"/>
  <c r="I1103" i="13"/>
  <c r="I1099" i="13"/>
  <c r="I1091" i="13"/>
  <c r="I1087" i="13"/>
  <c r="I1075" i="13"/>
  <c r="I1071" i="13"/>
  <c r="I1059" i="13"/>
  <c r="I1055" i="13"/>
  <c r="I1051" i="13"/>
  <c r="I1035" i="13"/>
  <c r="I1027" i="13"/>
  <c r="I1023" i="13"/>
  <c r="I1007" i="13"/>
  <c r="I1003" i="13"/>
  <c r="I2652" i="13"/>
  <c r="I2397" i="13"/>
  <c r="I2308" i="13"/>
  <c r="I2265" i="13"/>
  <c r="I2176" i="13"/>
  <c r="I2131" i="13"/>
  <c r="I2099" i="13"/>
  <c r="I2083" i="13"/>
  <c r="I2066" i="13"/>
  <c r="I2023" i="13"/>
  <c r="I1997" i="13"/>
  <c r="I1971" i="13"/>
  <c r="I1882" i="13"/>
  <c r="I1839" i="13"/>
  <c r="I1824" i="13"/>
  <c r="I1822" i="13"/>
  <c r="I1818" i="13"/>
  <c r="I1807" i="13"/>
  <c r="I1805" i="13"/>
  <c r="I1796" i="13"/>
  <c r="I1794" i="13"/>
  <c r="I1792" i="13"/>
  <c r="I1781" i="13"/>
  <c r="I1779" i="13"/>
  <c r="I1764" i="13"/>
  <c r="I1762" i="13"/>
  <c r="I1753" i="13"/>
  <c r="I1751" i="13"/>
  <c r="I1749" i="13"/>
  <c r="I1740" i="13"/>
  <c r="I1728" i="13"/>
  <c r="I1726" i="13"/>
  <c r="I1721" i="13"/>
  <c r="I1712" i="13"/>
  <c r="I1705" i="13"/>
  <c r="I1696" i="13"/>
  <c r="I1694" i="13"/>
  <c r="I1689" i="13"/>
  <c r="I1687" i="13"/>
  <c r="I1679" i="13"/>
  <c r="I1674" i="13"/>
  <c r="I1670" i="13"/>
  <c r="I1662" i="13"/>
  <c r="I1658" i="13"/>
  <c r="I1654" i="13"/>
  <c r="I1646" i="13"/>
  <c r="I1642" i="13"/>
  <c r="I1638" i="13"/>
  <c r="I1630" i="13"/>
  <c r="I1626" i="13"/>
  <c r="I1622" i="13"/>
  <c r="I1614" i="13"/>
  <c r="I1610" i="13"/>
  <c r="I1606" i="13"/>
  <c r="I1598" i="13"/>
  <c r="I1594" i="13"/>
  <c r="I1590" i="13"/>
  <c r="I1582" i="13"/>
  <c r="I1578" i="13"/>
  <c r="I1574" i="13"/>
  <c r="I1566" i="13"/>
  <c r="I1562" i="13"/>
  <c r="I1558" i="13"/>
  <c r="I1550" i="13"/>
  <c r="I1546" i="13"/>
  <c r="I1542" i="13"/>
  <c r="I1534" i="13"/>
  <c r="I1530" i="13"/>
  <c r="I1526" i="13"/>
  <c r="I1518" i="13"/>
  <c r="I1514" i="13"/>
  <c r="I1510" i="13"/>
  <c r="I1502" i="13"/>
  <c r="I1498" i="13"/>
  <c r="I1494" i="13"/>
  <c r="I1486" i="13"/>
  <c r="I1482" i="13"/>
  <c r="I1478" i="13"/>
  <c r="I1470" i="13"/>
  <c r="I1466" i="13"/>
  <c r="I1462" i="13"/>
  <c r="I1454" i="13"/>
  <c r="I1450" i="13"/>
  <c r="I1446" i="13"/>
  <c r="I1438" i="13"/>
  <c r="I1434" i="13"/>
  <c r="I1430" i="13"/>
  <c r="I1422" i="13"/>
  <c r="I1418" i="13"/>
  <c r="I1414" i="13"/>
  <c r="I1406" i="13"/>
  <c r="I1402" i="13"/>
  <c r="I1398" i="13"/>
  <c r="I1390" i="13"/>
  <c r="I1386" i="13"/>
  <c r="I1382" i="13"/>
  <c r="I1374" i="13"/>
  <c r="I1370" i="13"/>
  <c r="I1366" i="13"/>
  <c r="I1358" i="13"/>
  <c r="I1354" i="13"/>
  <c r="I1350" i="13"/>
  <c r="I1342" i="13"/>
  <c r="I1338" i="13"/>
  <c r="I1334" i="13"/>
  <c r="I1326" i="13"/>
  <c r="I1322" i="13"/>
  <c r="I1318" i="13"/>
  <c r="I1310" i="13"/>
  <c r="I1306" i="13"/>
  <c r="I1302" i="13"/>
  <c r="I1294" i="13"/>
  <c r="I1290" i="13"/>
  <c r="I1286" i="13"/>
  <c r="I1278" i="13"/>
  <c r="I1274" i="13"/>
  <c r="I1270" i="13"/>
  <c r="I1262" i="13"/>
  <c r="I1258" i="13"/>
  <c r="I1254" i="13"/>
  <c r="I1246" i="13"/>
  <c r="I1242" i="13"/>
  <c r="I1238" i="13"/>
  <c r="I1230" i="13"/>
  <c r="I1226" i="13"/>
  <c r="I1222" i="13"/>
  <c r="I1214" i="13"/>
  <c r="I1210" i="13"/>
  <c r="I1206" i="13"/>
  <c r="I1198" i="13"/>
  <c r="I1194" i="13"/>
  <c r="I1190" i="13"/>
  <c r="I1182" i="13"/>
  <c r="I1178" i="13"/>
  <c r="I1174" i="13"/>
  <c r="I1166" i="13"/>
  <c r="I1162" i="13"/>
  <c r="I1158" i="13"/>
  <c r="I1150" i="13"/>
  <c r="I1146" i="13"/>
  <c r="I1142" i="13"/>
  <c r="I1134" i="13"/>
  <c r="I1130" i="13"/>
  <c r="I1126" i="13"/>
  <c r="I1118" i="13"/>
  <c r="I1114" i="13"/>
  <c r="I1110" i="13"/>
  <c r="I1102" i="13"/>
  <c r="I1098" i="13"/>
  <c r="I1094" i="13"/>
  <c r="I1086" i="13"/>
  <c r="I1082" i="13"/>
  <c r="I1078" i="13"/>
  <c r="I1070" i="13"/>
  <c r="I1066" i="13"/>
  <c r="I1062" i="13"/>
  <c r="I1054" i="13"/>
  <c r="I1050" i="13"/>
  <c r="I1046" i="13"/>
  <c r="I1038" i="13"/>
  <c r="I1034" i="13"/>
  <c r="I1030" i="13"/>
  <c r="I1022" i="13"/>
  <c r="I1018" i="13"/>
  <c r="I1014" i="13"/>
  <c r="I1006" i="13"/>
  <c r="I1002" i="13"/>
  <c r="I999" i="13"/>
  <c r="I993" i="13"/>
  <c r="I991" i="13"/>
  <c r="I987" i="13"/>
  <c r="I985" i="13"/>
  <c r="I983" i="13"/>
  <c r="I979" i="13"/>
  <c r="I977" i="13"/>
  <c r="I975" i="13"/>
  <c r="I969" i="13"/>
  <c r="I961" i="13"/>
  <c r="I959" i="13"/>
  <c r="I955" i="13"/>
  <c r="I953" i="13"/>
  <c r="I951" i="13"/>
  <c r="I947" i="13"/>
  <c r="I2208" i="13"/>
  <c r="I2095" i="13"/>
  <c r="I2055" i="13"/>
  <c r="I2021" i="13"/>
  <c r="I1952" i="13"/>
  <c r="I1845" i="13"/>
  <c r="I1813" i="13"/>
  <c r="I1770" i="13"/>
  <c r="I1744" i="13"/>
  <c r="I1732" i="13"/>
  <c r="I1661" i="13"/>
  <c r="I1645" i="13"/>
  <c r="I1629" i="13"/>
  <c r="I1613" i="13"/>
  <c r="I1597" i="13"/>
  <c r="I1581" i="13"/>
  <c r="I1549" i="13"/>
  <c r="I1533" i="13"/>
  <c r="I1517" i="13"/>
  <c r="I1485" i="13"/>
  <c r="I1469" i="13"/>
  <c r="I1453" i="13"/>
  <c r="I1437" i="13"/>
  <c r="I1421" i="13"/>
  <c r="I1405" i="13"/>
  <c r="I1389" i="13"/>
  <c r="I1357" i="13"/>
  <c r="I1341" i="13"/>
  <c r="I1325" i="13"/>
  <c r="I1309" i="13"/>
  <c r="I1293" i="13"/>
  <c r="I1277" i="13"/>
  <c r="I1261" i="13"/>
  <c r="I1229" i="13"/>
  <c r="I1213" i="13"/>
  <c r="I1197" i="13"/>
  <c r="I1165" i="13"/>
  <c r="I1149" i="13"/>
  <c r="I1133" i="13"/>
  <c r="I1117" i="13"/>
  <c r="I1101" i="13"/>
  <c r="I1085" i="13"/>
  <c r="I1069" i="13"/>
  <c r="I1037" i="13"/>
  <c r="I1021" i="13"/>
  <c r="I1005" i="13"/>
  <c r="I733" i="13"/>
  <c r="I730" i="13"/>
  <c r="I726" i="13"/>
  <c r="I718" i="13"/>
  <c r="I714" i="13"/>
  <c r="I710" i="13"/>
  <c r="I705" i="13"/>
  <c r="I697" i="13"/>
  <c r="I694" i="13"/>
  <c r="I689" i="13"/>
  <c r="I686" i="13"/>
  <c r="I681" i="13"/>
  <c r="I678" i="13"/>
  <c r="I673" i="13"/>
  <c r="I665" i="13"/>
  <c r="I662" i="13"/>
  <c r="I657" i="13"/>
  <c r="I654" i="13"/>
  <c r="I649" i="13"/>
  <c r="I646" i="13"/>
  <c r="I641" i="13"/>
  <c r="I633" i="13"/>
  <c r="I630" i="13"/>
  <c r="I622" i="13"/>
  <c r="I617" i="13"/>
  <c r="I609" i="13"/>
  <c r="I605" i="13"/>
  <c r="I602" i="13"/>
  <c r="I586" i="13"/>
  <c r="I573" i="13"/>
  <c r="I554" i="13"/>
  <c r="I541" i="13"/>
  <c r="I538" i="13"/>
  <c r="I509" i="13"/>
  <c r="I497" i="13"/>
  <c r="I494" i="13"/>
  <c r="I489" i="13"/>
  <c r="I486" i="13"/>
  <c r="I481" i="13"/>
  <c r="I473" i="13"/>
  <c r="I470" i="13"/>
  <c r="I465" i="13"/>
  <c r="I462" i="13"/>
  <c r="I454" i="13"/>
  <c r="I449" i="13"/>
  <c r="I441" i="13"/>
  <c r="I438" i="13"/>
  <c r="I433" i="13"/>
  <c r="I430" i="13"/>
  <c r="I425" i="13"/>
  <c r="I422" i="13"/>
  <c r="I417" i="13"/>
  <c r="I409" i="13"/>
  <c r="I406" i="13"/>
  <c r="I2340" i="13"/>
  <c r="I2012" i="13"/>
  <c r="I1943" i="13"/>
  <c r="I1871" i="13"/>
  <c r="I1811" i="13"/>
  <c r="I1802" i="13"/>
  <c r="I1785" i="13"/>
  <c r="I1742" i="13"/>
  <c r="I1730" i="13"/>
  <c r="I1693" i="13"/>
  <c r="I1673" i="13"/>
  <c r="I1657" i="13"/>
  <c r="I1625" i="13"/>
  <c r="I1609" i="13"/>
  <c r="I1593" i="13"/>
  <c r="I1561" i="13"/>
  <c r="I1545" i="13"/>
  <c r="I1529" i="13"/>
  <c r="I1497" i="13"/>
  <c r="I1481" i="13"/>
  <c r="I1465" i="13"/>
  <c r="I1433" i="13"/>
  <c r="I1417" i="13"/>
  <c r="I1401" i="13"/>
  <c r="I1369" i="13"/>
  <c r="I1353" i="13"/>
  <c r="I1337" i="13"/>
  <c r="I1305" i="13"/>
  <c r="I1289" i="13"/>
  <c r="I1273" i="13"/>
  <c r="I1241" i="13"/>
  <c r="I1225" i="13"/>
  <c r="I1209" i="13"/>
  <c r="I1177" i="13"/>
  <c r="I1161" i="13"/>
  <c r="I1145" i="13"/>
  <c r="I1113" i="13"/>
  <c r="I1097" i="13"/>
  <c r="I1081" i="13"/>
  <c r="I1049" i="13"/>
  <c r="I1033" i="13"/>
  <c r="I1017" i="13"/>
  <c r="I942" i="13"/>
  <c r="I940" i="13"/>
  <c r="I938" i="13"/>
  <c r="I934" i="13"/>
  <c r="I932" i="13"/>
  <c r="I926" i="13"/>
  <c r="I924" i="13"/>
  <c r="I922" i="13"/>
  <c r="I918" i="13"/>
  <c r="I916" i="13"/>
  <c r="I910" i="13"/>
  <c r="I908" i="13"/>
  <c r="I906" i="13"/>
  <c r="I902" i="13"/>
  <c r="I900" i="13"/>
  <c r="I894" i="13"/>
  <c r="I892" i="13"/>
  <c r="I890" i="13"/>
  <c r="I886" i="13"/>
  <c r="I878" i="13"/>
  <c r="I876" i="13"/>
  <c r="I874" i="13"/>
  <c r="I872" i="13"/>
  <c r="I870" i="13"/>
  <c r="I868" i="13"/>
  <c r="I862" i="13"/>
  <c r="I860" i="13"/>
  <c r="I858" i="13"/>
  <c r="I856" i="13"/>
  <c r="I854" i="13"/>
  <c r="I852" i="13"/>
  <c r="I846" i="13"/>
  <c r="I844" i="13"/>
  <c r="I842" i="13"/>
  <c r="I840" i="13"/>
  <c r="I838" i="13"/>
  <c r="I836" i="13"/>
  <c r="I830" i="13"/>
  <c r="I828" i="13"/>
  <c r="I826" i="13"/>
  <c r="I824" i="13"/>
  <c r="I822" i="13"/>
  <c r="I814" i="13"/>
  <c r="I812" i="13"/>
  <c r="I810" i="13"/>
  <c r="I806" i="13"/>
  <c r="I804" i="13"/>
  <c r="I798" i="13"/>
  <c r="I796" i="13"/>
  <c r="I794" i="13"/>
  <c r="I790" i="13"/>
  <c r="I788" i="13"/>
  <c r="I782" i="13"/>
  <c r="I780" i="13"/>
  <c r="I778" i="13"/>
  <c r="I774" i="13"/>
  <c r="I772" i="13"/>
  <c r="I766" i="13"/>
  <c r="I764" i="13"/>
  <c r="I762" i="13"/>
  <c r="I758" i="13"/>
  <c r="I750" i="13"/>
  <c r="I748" i="13"/>
  <c r="I746" i="13"/>
  <c r="I744" i="13"/>
  <c r="I742" i="13"/>
  <c r="I740" i="13"/>
  <c r="I732" i="13"/>
  <c r="I699" i="13"/>
  <c r="I683" i="13"/>
  <c r="I675" i="13"/>
  <c r="I667" i="13"/>
  <c r="I664" i="13"/>
  <c r="I643" i="13"/>
  <c r="I635" i="13"/>
  <c r="I632" i="13"/>
  <c r="I604" i="13"/>
  <c r="I596" i="13"/>
  <c r="I591" i="13"/>
  <c r="I588" i="13"/>
  <c r="I583" i="13"/>
  <c r="I575" i="13"/>
  <c r="I572" i="13"/>
  <c r="I564" i="13"/>
  <c r="I559" i="13"/>
  <c r="I556" i="13"/>
  <c r="I551" i="13"/>
  <c r="I540" i="13"/>
  <c r="I535" i="13"/>
  <c r="I532" i="13"/>
  <c r="I524" i="13"/>
  <c r="I508" i="13"/>
  <c r="I500" i="13"/>
  <c r="I491" i="13"/>
  <c r="I488" i="13"/>
  <c r="I467" i="13"/>
  <c r="I456" i="13"/>
  <c r="I451" i="13"/>
  <c r="I443" i="13"/>
  <c r="I424" i="13"/>
  <c r="I419" i="13"/>
  <c r="I411" i="13"/>
  <c r="I403" i="13"/>
  <c r="I2476" i="13"/>
  <c r="I2297" i="13"/>
  <c r="I2127" i="13"/>
  <c r="I2038" i="13"/>
  <c r="I1933" i="13"/>
  <c r="I1897" i="13"/>
  <c r="I1827" i="13"/>
  <c r="I1817" i="13"/>
  <c r="I1783" i="13"/>
  <c r="I1757" i="13"/>
  <c r="I1709" i="13"/>
  <c r="I1700" i="13"/>
  <c r="I1682" i="13"/>
  <c r="I1237" i="13"/>
  <c r="I729" i="13"/>
  <c r="I721" i="13"/>
  <c r="I717" i="13"/>
  <c r="I713" i="13"/>
  <c r="I701" i="13"/>
  <c r="I698" i="13"/>
  <c r="I682" i="13"/>
  <c r="I669" i="13"/>
  <c r="I666" i="13"/>
  <c r="I653" i="13"/>
  <c r="I650" i="13"/>
  <c r="I637" i="13"/>
  <c r="I634" i="13"/>
  <c r="I621" i="13"/>
  <c r="I618" i="13"/>
  <c r="I615" i="13"/>
  <c r="I611" i="13"/>
  <c r="I601" i="13"/>
  <c r="I598" i="13"/>
  <c r="I593" i="13"/>
  <c r="I590" i="13"/>
  <c r="I585" i="13"/>
  <c r="I582" i="13"/>
  <c r="I577" i="13"/>
  <c r="I574" i="13"/>
  <c r="I569" i="13"/>
  <c r="I566" i="13"/>
  <c r="I561" i="13"/>
  <c r="I558" i="13"/>
  <c r="I553" i="13"/>
  <c r="I550" i="13"/>
  <c r="I545" i="13"/>
  <c r="I542" i="13"/>
  <c r="I537" i="13"/>
  <c r="I534" i="13"/>
  <c r="I529" i="13"/>
  <c r="I526" i="13"/>
  <c r="I521" i="13"/>
  <c r="I513" i="13"/>
  <c r="I510" i="13"/>
  <c r="I507" i="13"/>
  <c r="I503" i="13"/>
  <c r="I499" i="13"/>
  <c r="I490" i="13"/>
  <c r="I474" i="13"/>
  <c r="I461" i="13"/>
  <c r="I458" i="13"/>
  <c r="I445" i="13"/>
  <c r="I442" i="13"/>
  <c r="I429" i="13"/>
  <c r="I426" i="13"/>
  <c r="I410" i="13"/>
  <c r="I2429" i="13"/>
  <c r="I1772" i="13"/>
  <c r="I1735" i="13"/>
  <c r="I1698" i="13"/>
  <c r="I1617" i="13"/>
  <c r="I1553" i="13"/>
  <c r="I1489" i="13"/>
  <c r="I1425" i="13"/>
  <c r="I1361" i="13"/>
  <c r="I1297" i="13"/>
  <c r="I1233" i="13"/>
  <c r="I1169" i="13"/>
  <c r="I1041" i="13"/>
  <c r="I939" i="13"/>
  <c r="I923" i="13"/>
  <c r="I907" i="13"/>
  <c r="I899" i="13"/>
  <c r="I891" i="13"/>
  <c r="I883" i="13"/>
  <c r="I875" i="13"/>
  <c r="I859" i="13"/>
  <c r="I843" i="13"/>
  <c r="I835" i="13"/>
  <c r="I827" i="13"/>
  <c r="I819" i="13"/>
  <c r="I811" i="13"/>
  <c r="I795" i="13"/>
  <c r="I787" i="13"/>
  <c r="I755" i="13"/>
  <c r="I747" i="13"/>
  <c r="I728" i="13"/>
  <c r="I708" i="13"/>
  <c r="I676" i="13"/>
  <c r="I655" i="13"/>
  <c r="I587" i="13"/>
  <c r="I555" i="13"/>
  <c r="I523" i="13"/>
  <c r="I487" i="13"/>
  <c r="I476" i="13"/>
  <c r="I455" i="13"/>
  <c r="I444" i="13"/>
  <c r="I423" i="13"/>
  <c r="I412" i="13"/>
  <c r="I398" i="13"/>
  <c r="I394" i="13"/>
  <c r="I390" i="13"/>
  <c r="I376" i="13"/>
  <c r="I371" i="13"/>
  <c r="I363" i="13"/>
  <c r="I355" i="13"/>
  <c r="I347" i="13"/>
  <c r="I344" i="13"/>
  <c r="I323" i="13"/>
  <c r="I315" i="13"/>
  <c r="I312" i="13"/>
  <c r="I307" i="13"/>
  <c r="I299" i="13"/>
  <c r="I282" i="13"/>
  <c r="I279" i="13"/>
  <c r="I276" i="13"/>
  <c r="I268" i="13"/>
  <c r="I263" i="13"/>
  <c r="I260" i="13"/>
  <c r="I255" i="13"/>
  <c r="I252" i="13"/>
  <c r="I244" i="13"/>
  <c r="I239" i="13"/>
  <c r="I236" i="13"/>
  <c r="I231" i="13"/>
  <c r="I228" i="13"/>
  <c r="I220" i="13"/>
  <c r="I215" i="13"/>
  <c r="I212" i="13"/>
  <c r="I204" i="13"/>
  <c r="I199" i="13"/>
  <c r="I196" i="13"/>
  <c r="I188" i="13"/>
  <c r="I182" i="13"/>
  <c r="I174" i="13"/>
  <c r="I171" i="13"/>
  <c r="I168" i="13"/>
  <c r="I155" i="13"/>
  <c r="I152" i="13"/>
  <c r="I136" i="13"/>
  <c r="I131" i="13"/>
  <c r="I123" i="13"/>
  <c r="I107" i="13"/>
  <c r="I91" i="13"/>
  <c r="I83" i="13"/>
  <c r="I74" i="13"/>
  <c r="I70" i="13"/>
  <c r="I62" i="13"/>
  <c r="I58" i="13"/>
  <c r="I54" i="13"/>
  <c r="I46" i="13"/>
  <c r="I38" i="13"/>
  <c r="I30" i="13"/>
  <c r="I26" i="13"/>
  <c r="I22" i="13"/>
  <c r="I14" i="13"/>
  <c r="I10" i="13"/>
  <c r="I13" i="13"/>
  <c r="I1815" i="13"/>
  <c r="I1505" i="13"/>
  <c r="I1377" i="13"/>
  <c r="I1185" i="13"/>
  <c r="I941" i="13"/>
  <c r="I861" i="13"/>
  <c r="I813" i="13"/>
  <c r="I797" i="13"/>
  <c r="I723" i="13"/>
  <c r="I700" i="13"/>
  <c r="I636" i="13"/>
  <c r="I568" i="13"/>
  <c r="I468" i="13"/>
  <c r="I436" i="13"/>
  <c r="I404" i="13"/>
  <c r="I374" i="13"/>
  <c r="I350" i="13"/>
  <c r="I334" i="13"/>
  <c r="I326" i="13"/>
  <c r="I318" i="13"/>
  <c r="I310" i="13"/>
  <c r="I302" i="13"/>
  <c r="I291" i="13"/>
  <c r="I250" i="13"/>
  <c r="I234" i="13"/>
  <c r="I218" i="13"/>
  <c r="I189" i="13"/>
  <c r="I179" i="13"/>
  <c r="I169" i="13"/>
  <c r="I161" i="13"/>
  <c r="I150" i="13"/>
  <c r="I145" i="13"/>
  <c r="I137" i="13"/>
  <c r="I129" i="13"/>
  <c r="I121" i="13"/>
  <c r="I113" i="13"/>
  <c r="I94" i="13"/>
  <c r="I89" i="13"/>
  <c r="I81" i="13"/>
  <c r="I43" i="13"/>
  <c r="I35" i="13"/>
  <c r="I23" i="13"/>
  <c r="I2253" i="13"/>
  <c r="I1854" i="13"/>
  <c r="I1798" i="13"/>
  <c r="I1725" i="13"/>
  <c r="I1665" i="13"/>
  <c r="I1601" i="13"/>
  <c r="I1537" i="13"/>
  <c r="I1473" i="13"/>
  <c r="I1409" i="13"/>
  <c r="I1345" i="13"/>
  <c r="I1281" i="13"/>
  <c r="I1217" i="13"/>
  <c r="I1153" i="13"/>
  <c r="I1089" i="13"/>
  <c r="I1025" i="13"/>
  <c r="I945" i="13"/>
  <c r="I937" i="13"/>
  <c r="I929" i="13"/>
  <c r="I921" i="13"/>
  <c r="I913" i="13"/>
  <c r="I905" i="13"/>
  <c r="I897" i="13"/>
  <c r="I889" i="13"/>
  <c r="I881" i="13"/>
  <c r="I873" i="13"/>
  <c r="I865" i="13"/>
  <c r="I857" i="13"/>
  <c r="I849" i="13"/>
  <c r="I841" i="13"/>
  <c r="I833" i="13"/>
  <c r="I825" i="13"/>
  <c r="I817" i="13"/>
  <c r="I809" i="13"/>
  <c r="I801" i="13"/>
  <c r="I793" i="13"/>
  <c r="I785" i="13"/>
  <c r="I777" i="13"/>
  <c r="I769" i="13"/>
  <c r="I761" i="13"/>
  <c r="I753" i="13"/>
  <c r="I745" i="13"/>
  <c r="I737" i="13"/>
  <c r="I727" i="13"/>
  <c r="I719" i="13"/>
  <c r="I695" i="13"/>
  <c r="I684" i="13"/>
  <c r="I652" i="13"/>
  <c r="I631" i="13"/>
  <c r="I620" i="13"/>
  <c r="I606" i="13"/>
  <c r="I595" i="13"/>
  <c r="I584" i="13"/>
  <c r="I531" i="13"/>
  <c r="I495" i="13"/>
  <c r="I484" i="13"/>
  <c r="I463" i="13"/>
  <c r="I452" i="13"/>
  <c r="I420" i="13"/>
  <c r="I401" i="13"/>
  <c r="I397" i="13"/>
  <c r="I393" i="13"/>
  <c r="I381" i="13"/>
  <c r="I378" i="13"/>
  <c r="I365" i="13"/>
  <c r="I362" i="13"/>
  <c r="I349" i="13"/>
  <c r="I346" i="13"/>
  <c r="I333" i="13"/>
  <c r="I330" i="13"/>
  <c r="I317" i="13"/>
  <c r="I314" i="13"/>
  <c r="I301" i="13"/>
  <c r="I298" i="13"/>
  <c r="I289" i="13"/>
  <c r="I285" i="13"/>
  <c r="I281" i="13"/>
  <c r="I278" i="13"/>
  <c r="I273" i="13"/>
  <c r="I270" i="13"/>
  <c r="I265" i="13"/>
  <c r="I262" i="13"/>
  <c r="I257" i="13"/>
  <c r="I254" i="13"/>
  <c r="I249" i="13"/>
  <c r="I246" i="13"/>
  <c r="I241" i="13"/>
  <c r="I238" i="13"/>
  <c r="I233" i="13"/>
  <c r="I230" i="13"/>
  <c r="I225" i="13"/>
  <c r="I222" i="13"/>
  <c r="I217" i="13"/>
  <c r="I214" i="13"/>
  <c r="I209" i="13"/>
  <c r="I206" i="13"/>
  <c r="I201" i="13"/>
  <c r="I198" i="13"/>
  <c r="I193" i="13"/>
  <c r="I190" i="13"/>
  <c r="I185" i="13"/>
  <c r="I177" i="13"/>
  <c r="I173" i="13"/>
  <c r="I170" i="13"/>
  <c r="I157" i="13"/>
  <c r="I154" i="13"/>
  <c r="I141" i="13"/>
  <c r="I138" i="13"/>
  <c r="I125" i="13"/>
  <c r="I122" i="13"/>
  <c r="I109" i="13"/>
  <c r="I106" i="13"/>
  <c r="I93" i="13"/>
  <c r="I90" i="13"/>
  <c r="I77" i="13"/>
  <c r="I73" i="13"/>
  <c r="I65" i="13"/>
  <c r="I61" i="13"/>
  <c r="I57" i="13"/>
  <c r="I49" i="13"/>
  <c r="I45" i="13"/>
  <c r="I41" i="13"/>
  <c r="I33" i="13"/>
  <c r="I29" i="13"/>
  <c r="I25" i="13"/>
  <c r="I17" i="13"/>
  <c r="I1923" i="13"/>
  <c r="I1313" i="13"/>
  <c r="I1121" i="13"/>
  <c r="I925" i="13"/>
  <c r="I877" i="13"/>
  <c r="I829" i="13"/>
  <c r="I781" i="13"/>
  <c r="I731" i="13"/>
  <c r="I711" i="13"/>
  <c r="I679" i="13"/>
  <c r="I614" i="13"/>
  <c r="I579" i="13"/>
  <c r="I547" i="13"/>
  <c r="I515" i="13"/>
  <c r="I447" i="13"/>
  <c r="I415" i="13"/>
  <c r="I395" i="13"/>
  <c r="I385" i="13"/>
  <c r="I377" i="13"/>
  <c r="I369" i="13"/>
  <c r="I361" i="13"/>
  <c r="I353" i="13"/>
  <c r="I345" i="13"/>
  <c r="I337" i="13"/>
  <c r="I329" i="13"/>
  <c r="I321" i="13"/>
  <c r="I313" i="13"/>
  <c r="I305" i="13"/>
  <c r="I297" i="13"/>
  <c r="I269" i="13"/>
  <c r="I253" i="13"/>
  <c r="I237" i="13"/>
  <c r="I221" i="13"/>
  <c r="I202" i="13"/>
  <c r="I183" i="13"/>
  <c r="I75" i="13"/>
  <c r="I47" i="13"/>
  <c r="I31" i="13"/>
  <c r="I19" i="13"/>
  <c r="I2111" i="13"/>
  <c r="I1789" i="13"/>
  <c r="I1716" i="13"/>
  <c r="I1678" i="13"/>
  <c r="I1649" i="13"/>
  <c r="I1585" i="13"/>
  <c r="I1521" i="13"/>
  <c r="I1457" i="13"/>
  <c r="I1393" i="13"/>
  <c r="I1329" i="13"/>
  <c r="I1265" i="13"/>
  <c r="I1201" i="13"/>
  <c r="I1137" i="13"/>
  <c r="I1073" i="13"/>
  <c r="I1009" i="13"/>
  <c r="I935" i="13"/>
  <c r="I911" i="13"/>
  <c r="I903" i="13"/>
  <c r="I887" i="13"/>
  <c r="I879" i="13"/>
  <c r="I863" i="13"/>
  <c r="I855" i="13"/>
  <c r="I847" i="13"/>
  <c r="I839" i="13"/>
  <c r="I831" i="13"/>
  <c r="I799" i="13"/>
  <c r="I791" i="13"/>
  <c r="I775" i="13"/>
  <c r="I767" i="13"/>
  <c r="I751" i="13"/>
  <c r="I743" i="13"/>
  <c r="I734" i="13"/>
  <c r="I724" i="13"/>
  <c r="I716" i="13"/>
  <c r="I703" i="13"/>
  <c r="I692" i="13"/>
  <c r="I671" i="13"/>
  <c r="I660" i="13"/>
  <c r="I639" i="13"/>
  <c r="I628" i="13"/>
  <c r="I603" i="13"/>
  <c r="I571" i="13"/>
  <c r="I539" i="13"/>
  <c r="I506" i="13"/>
  <c r="I492" i="13"/>
  <c r="I471" i="13"/>
  <c r="I460" i="13"/>
  <c r="I439" i="13"/>
  <c r="I428" i="13"/>
  <c r="I407" i="13"/>
  <c r="I396" i="13"/>
  <c r="I392" i="13"/>
  <c r="I388" i="13"/>
  <c r="I380" i="13"/>
  <c r="I375" i="13"/>
  <c r="I372" i="13"/>
  <c r="I367" i="13"/>
  <c r="I364" i="13"/>
  <c r="I359" i="13"/>
  <c r="I356" i="13"/>
  <c r="I351" i="13"/>
  <c r="I348" i="13"/>
  <c r="I343" i="13"/>
  <c r="I340" i="13"/>
  <c r="I332" i="13"/>
  <c r="I327" i="13"/>
  <c r="I324" i="13"/>
  <c r="I319" i="13"/>
  <c r="I316" i="13"/>
  <c r="I311" i="13"/>
  <c r="I308" i="13"/>
  <c r="I303" i="13"/>
  <c r="I300" i="13"/>
  <c r="I292" i="13"/>
  <c r="I284" i="13"/>
  <c r="I280" i="13"/>
  <c r="I267" i="13"/>
  <c r="I264" i="13"/>
  <c r="I259" i="13"/>
  <c r="I251" i="13"/>
  <c r="I235" i="13"/>
  <c r="I227" i="13"/>
  <c r="I219" i="13"/>
  <c r="I216" i="13"/>
  <c r="I211" i="13"/>
  <c r="I203" i="13"/>
  <c r="I195" i="13"/>
  <c r="I184" i="13"/>
  <c r="I180" i="13"/>
  <c r="I172" i="13"/>
  <c r="I164" i="13"/>
  <c r="I159" i="13"/>
  <c r="I156" i="13"/>
  <c r="I151" i="13"/>
  <c r="I148" i="13"/>
  <c r="I143" i="13"/>
  <c r="I140" i="13"/>
  <c r="I135" i="13"/>
  <c r="I132" i="13"/>
  <c r="I127" i="13"/>
  <c r="I124" i="13"/>
  <c r="I116" i="13"/>
  <c r="I111" i="13"/>
  <c r="I108" i="13"/>
  <c r="I103" i="13"/>
  <c r="I100" i="13"/>
  <c r="I95" i="13"/>
  <c r="I92" i="13"/>
  <c r="I87" i="13"/>
  <c r="I84" i="13"/>
  <c r="I79" i="13"/>
  <c r="I76" i="13"/>
  <c r="I68" i="13"/>
  <c r="I60" i="13"/>
  <c r="I56" i="13"/>
  <c r="I52" i="13"/>
  <c r="I44" i="13"/>
  <c r="I36" i="13"/>
  <c r="I28" i="13"/>
  <c r="I24" i="13"/>
  <c r="I20" i="13"/>
  <c r="I12" i="13"/>
  <c r="I2064" i="13"/>
  <c r="I1633" i="13"/>
  <c r="I1569" i="13"/>
  <c r="I1441" i="13"/>
  <c r="I1249" i="13"/>
  <c r="I1057" i="13"/>
  <c r="I909" i="13"/>
  <c r="I893" i="13"/>
  <c r="I845" i="13"/>
  <c r="I749" i="13"/>
  <c r="I502" i="13"/>
  <c r="I399" i="13"/>
  <c r="I391" i="13"/>
  <c r="I382" i="13"/>
  <c r="I366" i="13"/>
  <c r="I358" i="13"/>
  <c r="I342" i="13"/>
  <c r="I294" i="13"/>
  <c r="I283" i="13"/>
  <c r="I266" i="13"/>
  <c r="I186" i="13"/>
  <c r="I175" i="13"/>
  <c r="I166" i="13"/>
  <c r="I158" i="13"/>
  <c r="I153" i="13"/>
  <c r="I142" i="13"/>
  <c r="I134" i="13"/>
  <c r="I126" i="13"/>
  <c r="I118" i="13"/>
  <c r="I110" i="13"/>
  <c r="I105" i="13"/>
  <c r="I97" i="13"/>
  <c r="I86" i="13"/>
  <c r="I78" i="13"/>
  <c r="I67" i="13"/>
  <c r="I63" i="13"/>
  <c r="I39" i="13"/>
  <c r="I15" i="13"/>
  <c r="E375" i="13"/>
  <c r="J14" i="10"/>
  <c r="J10" i="10"/>
  <c r="J14" i="7"/>
  <c r="J10" i="7"/>
  <c r="J70" i="5"/>
  <c r="J66" i="5"/>
  <c r="J62" i="5"/>
  <c r="J58" i="5"/>
  <c r="J54" i="5"/>
  <c r="J50" i="5"/>
  <c r="J46" i="5"/>
  <c r="J42" i="5"/>
  <c r="J38" i="5"/>
  <c r="J34" i="5"/>
  <c r="J30" i="5"/>
  <c r="J26" i="5"/>
  <c r="J22" i="5"/>
  <c r="J18" i="5"/>
  <c r="J14" i="5"/>
  <c r="J10" i="5"/>
  <c r="J56" i="5"/>
  <c r="J44" i="5"/>
  <c r="J32" i="5"/>
  <c r="J20" i="5"/>
  <c r="J11" i="10"/>
  <c r="J71" i="5"/>
  <c r="J67" i="5"/>
  <c r="J55" i="5"/>
  <c r="J43" i="5"/>
  <c r="J31" i="5"/>
  <c r="J19" i="5"/>
  <c r="J13" i="10"/>
  <c r="J17" i="7"/>
  <c r="J13" i="7"/>
  <c r="J73" i="5"/>
  <c r="J69" i="5"/>
  <c r="J65" i="5"/>
  <c r="J61" i="5"/>
  <c r="J57" i="5"/>
  <c r="J53" i="5"/>
  <c r="J49" i="5"/>
  <c r="J45" i="5"/>
  <c r="J41" i="5"/>
  <c r="J37" i="5"/>
  <c r="J33" i="5"/>
  <c r="J29" i="5"/>
  <c r="J25" i="5"/>
  <c r="J21" i="5"/>
  <c r="J17" i="5"/>
  <c r="J13" i="5"/>
  <c r="J12" i="10"/>
  <c r="J12" i="7"/>
  <c r="J68" i="5"/>
  <c r="J60" i="5"/>
  <c r="J52" i="5"/>
  <c r="J40" i="5"/>
  <c r="J28" i="5"/>
  <c r="J16" i="5"/>
  <c r="J15" i="7"/>
  <c r="J63" i="5"/>
  <c r="J51" i="5"/>
  <c r="J39" i="5"/>
  <c r="J27" i="5"/>
  <c r="J15" i="5"/>
  <c r="J16" i="7"/>
  <c r="J72" i="5"/>
  <c r="J64" i="5"/>
  <c r="J48" i="5"/>
  <c r="J36" i="5"/>
  <c r="J24" i="5"/>
  <c r="J12" i="5"/>
  <c r="J11" i="7"/>
  <c r="J59" i="5"/>
  <c r="J47" i="5"/>
  <c r="J35" i="5"/>
  <c r="J23" i="5"/>
  <c r="J11" i="5"/>
  <c r="D34" i="5"/>
  <c r="D496" i="13"/>
  <c r="G60" i="5"/>
  <c r="D355" i="13"/>
  <c r="D708" i="13"/>
  <c r="D143" i="13"/>
  <c r="D472" i="13"/>
  <c r="E69" i="5"/>
  <c r="E789" i="13"/>
  <c r="E1126" i="13"/>
  <c r="D10" i="15"/>
  <c r="G10" i="15"/>
  <c r="E10" i="15"/>
  <c r="I12" i="10"/>
  <c r="L12" i="10" s="1"/>
  <c r="L68" i="5"/>
  <c r="I2725" i="13"/>
  <c r="I2668" i="13"/>
  <c r="I2649" i="13"/>
  <c r="L59" i="5"/>
  <c r="L43" i="5"/>
  <c r="I2770" i="13"/>
  <c r="I2754" i="13"/>
  <c r="I2751" i="13"/>
  <c r="I2727" i="13"/>
  <c r="I2711" i="13"/>
  <c r="I2695" i="13"/>
  <c r="I2678" i="13"/>
  <c r="I2646" i="13"/>
  <c r="L62" i="5"/>
  <c r="L42" i="5"/>
  <c r="L38" i="5"/>
  <c r="I2780" i="13"/>
  <c r="I2748" i="13"/>
  <c r="I2700" i="13"/>
  <c r="I2692" i="13"/>
  <c r="I2685" i="13"/>
  <c r="I2653" i="13"/>
  <c r="I2621" i="13"/>
  <c r="I2607" i="13"/>
  <c r="I2591" i="13"/>
  <c r="I2558" i="13"/>
  <c r="I2547" i="13"/>
  <c r="I2526" i="13"/>
  <c r="I2510" i="13"/>
  <c r="I2494" i="13"/>
  <c r="I2464" i="13"/>
  <c r="I2447" i="13"/>
  <c r="I2431" i="13"/>
  <c r="I2415" i="13"/>
  <c r="I2399" i="13"/>
  <c r="I2383" i="13"/>
  <c r="I2367" i="13"/>
  <c r="I2364" i="13"/>
  <c r="I2318" i="13"/>
  <c r="I2256" i="13"/>
  <c r="I2239" i="13"/>
  <c r="L69" i="5"/>
  <c r="I2771" i="13"/>
  <c r="I2739" i="13"/>
  <c r="I2718" i="13"/>
  <c r="I2671" i="13"/>
  <c r="I2639" i="13"/>
  <c r="I2601" i="13"/>
  <c r="I2533" i="13"/>
  <c r="I2501" i="13"/>
  <c r="I2467" i="13"/>
  <c r="I2452" i="13"/>
  <c r="I2436" i="13"/>
  <c r="I2420" i="13"/>
  <c r="I2404" i="13"/>
  <c r="I2388" i="13"/>
  <c r="I2372" i="13"/>
  <c r="I2355" i="13"/>
  <c r="I2341" i="13"/>
  <c r="I2325" i="13"/>
  <c r="I2309" i="13"/>
  <c r="I2293" i="13"/>
  <c r="I2277" i="13"/>
  <c r="I2261" i="13"/>
  <c r="I2244" i="13"/>
  <c r="I2212" i="13"/>
  <c r="I2614" i="13"/>
  <c r="I2582" i="13"/>
  <c r="I2567" i="13"/>
  <c r="I2538" i="13"/>
  <c r="I2506" i="13"/>
  <c r="I2474" i="13"/>
  <c r="I2438" i="13"/>
  <c r="I2346" i="13"/>
  <c r="I2330" i="13"/>
  <c r="I2314" i="13"/>
  <c r="I2282" i="13"/>
  <c r="I2266" i="13"/>
  <c r="I2250" i="13"/>
  <c r="I2230" i="13"/>
  <c r="I2623" i="13"/>
  <c r="I2589" i="13"/>
  <c r="I2532" i="13"/>
  <c r="I2400" i="13"/>
  <c r="I2268" i="13"/>
  <c r="I2138" i="13"/>
  <c r="I2130" i="13"/>
  <c r="I2114" i="13"/>
  <c r="I2702" i="13"/>
  <c r="I2655" i="13"/>
  <c r="I2573" i="13"/>
  <c r="I2461" i="13"/>
  <c r="I2197" i="13"/>
  <c r="I2165" i="13"/>
  <c r="I2050" i="13"/>
  <c r="I2035" i="13"/>
  <c r="I2013" i="13"/>
  <c r="I1998" i="13"/>
  <c r="I1983" i="13"/>
  <c r="I1938" i="13"/>
  <c r="I1926" i="13"/>
  <c r="I1911" i="13"/>
  <c r="I2505" i="13"/>
  <c r="I2437" i="13"/>
  <c r="I2373" i="13"/>
  <c r="I2316" i="13"/>
  <c r="I2207" i="13"/>
  <c r="I2175" i="13"/>
  <c r="I2144" i="13"/>
  <c r="I2120" i="13"/>
  <c r="I2034" i="13"/>
  <c r="I2004" i="13"/>
  <c r="I1989" i="13"/>
  <c r="I1987" i="13"/>
  <c r="I1974" i="13"/>
  <c r="I1919" i="13"/>
  <c r="I2357" i="13"/>
  <c r="I2224" i="13"/>
  <c r="I2180" i="13"/>
  <c r="I2147" i="13"/>
  <c r="I2115" i="13"/>
  <c r="I2068" i="13"/>
  <c r="I1999" i="13"/>
  <c r="I1939" i="13"/>
  <c r="I1849" i="13"/>
  <c r="I1820" i="13"/>
  <c r="I1790" i="13"/>
  <c r="I1719" i="13"/>
  <c r="I1703" i="13"/>
  <c r="I1522" i="13"/>
  <c r="I1266" i="13"/>
  <c r="I2076" i="13"/>
  <c r="I2016" i="13"/>
  <c r="I1964" i="13"/>
  <c r="I1881" i="13"/>
  <c r="I1859" i="13"/>
  <c r="I1759" i="13"/>
  <c r="I1684" i="13"/>
  <c r="I1641" i="13"/>
  <c r="I1577" i="13"/>
  <c r="I1565" i="13"/>
  <c r="I1513" i="13"/>
  <c r="I1501" i="13"/>
  <c r="I1449" i="13"/>
  <c r="I1385" i="13"/>
  <c r="I1373" i="13"/>
  <c r="I1321" i="13"/>
  <c r="I1257" i="13"/>
  <c r="I1245" i="13"/>
  <c r="I1193" i="13"/>
  <c r="I1181" i="13"/>
  <c r="I1129" i="13"/>
  <c r="I1105" i="13"/>
  <c r="I1065" i="13"/>
  <c r="I1053" i="13"/>
  <c r="I2556" i="13"/>
  <c r="I1980" i="13"/>
  <c r="I1925" i="13"/>
  <c r="I1874" i="13"/>
  <c r="I1865" i="13"/>
  <c r="I1836" i="13"/>
  <c r="I1823" i="13"/>
  <c r="I1808" i="13"/>
  <c r="I1778" i="13"/>
  <c r="I1763" i="13"/>
  <c r="I1748" i="13"/>
  <c r="I1727" i="13"/>
  <c r="I1695" i="13"/>
  <c r="I1677" i="13"/>
  <c r="I1372" i="13"/>
  <c r="I1292" i="13"/>
  <c r="I1949" i="13"/>
  <c r="I1856" i="13"/>
  <c r="I1775" i="13"/>
  <c r="I1701" i="13"/>
  <c r="I1671" i="13"/>
  <c r="I1655" i="13"/>
  <c r="I1607" i="13"/>
  <c r="I1559" i="13"/>
  <c r="I1527" i="13"/>
  <c r="I1511" i="13"/>
  <c r="I1495" i="13"/>
  <c r="I1463" i="13"/>
  <c r="I1431" i="13"/>
  <c r="I1415" i="13"/>
  <c r="I1399" i="13"/>
  <c r="I1383" i="13"/>
  <c r="I1367" i="13"/>
  <c r="I1351" i="13"/>
  <c r="I1335" i="13"/>
  <c r="I1319" i="13"/>
  <c r="I1303" i="13"/>
  <c r="I1287" i="13"/>
  <c r="I1271" i="13"/>
  <c r="I1244" i="13"/>
  <c r="I1212" i="13"/>
  <c r="I1180" i="13"/>
  <c r="I1148" i="13"/>
  <c r="I1116" i="13"/>
  <c r="I1084" i="13"/>
  <c r="I1052" i="13"/>
  <c r="I989" i="13"/>
  <c r="I973" i="13"/>
  <c r="I957" i="13"/>
  <c r="I931" i="13"/>
  <c r="I803" i="13"/>
  <c r="I771" i="13"/>
  <c r="I765" i="13"/>
  <c r="I668" i="13"/>
  <c r="I644" i="13"/>
  <c r="I2119" i="13"/>
  <c r="I2031" i="13"/>
  <c r="I1717" i="13"/>
  <c r="I1555" i="13"/>
  <c r="I1171" i="13"/>
  <c r="I1001" i="13"/>
  <c r="I702" i="13"/>
  <c r="I670" i="13"/>
  <c r="I638" i="13"/>
  <c r="I625" i="13"/>
  <c r="I589" i="13"/>
  <c r="I2061" i="13"/>
  <c r="I1886" i="13"/>
  <c r="I1797" i="13"/>
  <c r="I1733" i="13"/>
  <c r="I1884" i="13"/>
  <c r="I1255" i="13"/>
  <c r="I1223" i="13"/>
  <c r="I1191" i="13"/>
  <c r="I685" i="13"/>
  <c r="I548" i="13"/>
  <c r="I516" i="13"/>
  <c r="I42" i="13"/>
  <c r="I986" i="13"/>
  <c r="I996" i="13"/>
  <c r="I988" i="13"/>
  <c r="I980" i="13"/>
  <c r="I972" i="13"/>
  <c r="I964" i="13"/>
  <c r="I956" i="13"/>
  <c r="I948" i="13"/>
  <c r="I884" i="13"/>
  <c r="I820" i="13"/>
  <c r="I756" i="13"/>
  <c r="I612" i="13"/>
  <c r="I518" i="13"/>
  <c r="I493" i="13"/>
  <c r="I477" i="13"/>
  <c r="I413" i="13"/>
  <c r="I205" i="13"/>
  <c r="I102" i="13"/>
  <c r="I1916" i="13"/>
  <c r="I1829" i="13"/>
  <c r="I1239" i="13"/>
  <c r="I1207" i="13"/>
  <c r="I1175" i="13"/>
  <c r="I1159" i="13"/>
  <c r="I1143" i="13"/>
  <c r="I1095" i="13"/>
  <c r="I1079" i="13"/>
  <c r="I1047" i="13"/>
  <c r="I1031" i="13"/>
  <c r="I536" i="13"/>
  <c r="I286" i="13"/>
  <c r="I1072" i="13"/>
  <c r="I570" i="13"/>
  <c r="I505" i="13"/>
  <c r="I522" i="13"/>
  <c r="I659" i="13"/>
  <c r="I627" i="13"/>
  <c r="I580" i="13"/>
  <c r="I557" i="13"/>
  <c r="I525" i="13"/>
  <c r="I478" i="13"/>
  <c r="I457" i="13"/>
  <c r="I446" i="13"/>
  <c r="I414" i="13"/>
  <c r="D70" i="5"/>
  <c r="E11" i="5"/>
  <c r="E43" i="5"/>
  <c r="E16" i="7"/>
  <c r="E10" i="10"/>
  <c r="D232" i="13"/>
  <c r="D91" i="13"/>
  <c r="D444" i="13"/>
  <c r="E757" i="13"/>
  <c r="E111" i="13"/>
  <c r="E464" i="13"/>
  <c r="D233" i="13"/>
  <c r="D31" i="5"/>
  <c r="D16" i="12"/>
  <c r="D675" i="13"/>
  <c r="D28" i="13"/>
  <c r="E200" i="13"/>
  <c r="E948" i="13"/>
  <c r="G54" i="5"/>
  <c r="E28" i="5"/>
  <c r="D178" i="13"/>
  <c r="D63" i="5"/>
  <c r="G65" i="5"/>
  <c r="E58" i="5"/>
  <c r="G10" i="12"/>
  <c r="D411" i="13"/>
  <c r="D623" i="13"/>
  <c r="D219" i="13"/>
  <c r="D695" i="13"/>
  <c r="E288" i="13"/>
  <c r="E643" i="13"/>
  <c r="D49" i="13"/>
  <c r="E780" i="13"/>
  <c r="G16" i="5"/>
  <c r="D39" i="5"/>
  <c r="D71" i="5"/>
  <c r="D44" i="5"/>
  <c r="G26" i="5"/>
  <c r="G70" i="5"/>
  <c r="G47" i="5"/>
  <c r="E18" i="5"/>
  <c r="E59" i="5"/>
  <c r="E44" i="5"/>
  <c r="E21" i="5"/>
  <c r="D15" i="7"/>
  <c r="G12" i="7"/>
  <c r="G14" i="10"/>
  <c r="D13" i="12"/>
  <c r="D56" i="13"/>
  <c r="D164" i="13"/>
  <c r="D343" i="13"/>
  <c r="D432" i="13"/>
  <c r="D608" i="13"/>
  <c r="D696" i="13"/>
  <c r="D95" i="13"/>
  <c r="D112" i="13"/>
  <c r="D290" i="13"/>
  <c r="D376" i="13"/>
  <c r="D555" i="13"/>
  <c r="D644" i="13"/>
  <c r="E737" i="13"/>
  <c r="D87" i="13"/>
  <c r="D431" i="13"/>
  <c r="E32" i="13"/>
  <c r="E132" i="13"/>
  <c r="E311" i="13"/>
  <c r="E400" i="13"/>
  <c r="E575" i="13"/>
  <c r="E664" i="13"/>
  <c r="D165" i="13"/>
  <c r="D254" i="13"/>
  <c r="D581" i="13"/>
  <c r="D28" i="5"/>
  <c r="D47" i="5"/>
  <c r="G21" i="5"/>
  <c r="D56" i="5"/>
  <c r="G69" i="5"/>
  <c r="G31" i="5"/>
  <c r="G28" i="5"/>
  <c r="E70" i="5"/>
  <c r="E22" i="5"/>
  <c r="E60" i="5"/>
  <c r="E37" i="5"/>
  <c r="G13" i="7"/>
  <c r="E12" i="10"/>
  <c r="E12" i="12"/>
  <c r="E19" i="12"/>
  <c r="D100" i="13"/>
  <c r="D275" i="13"/>
  <c r="D364" i="13"/>
  <c r="D543" i="13"/>
  <c r="D632" i="13"/>
  <c r="D34" i="13"/>
  <c r="D223" i="13"/>
  <c r="D312" i="13"/>
  <c r="D487" i="13"/>
  <c r="D576" i="13"/>
  <c r="D712" i="13"/>
  <c r="E771" i="13"/>
  <c r="D308" i="13"/>
  <c r="D651" i="13"/>
  <c r="D163" i="13"/>
  <c r="D520" i="13"/>
  <c r="E833" i="13"/>
  <c r="E64" i="13"/>
  <c r="E243" i="13"/>
  <c r="E332" i="13"/>
  <c r="E511" i="13"/>
  <c r="E596" i="13"/>
  <c r="E820" i="13"/>
  <c r="E1104" i="13"/>
  <c r="D101" i="13"/>
  <c r="D190" i="13"/>
  <c r="D317" i="13"/>
  <c r="D670" i="13"/>
  <c r="E137" i="13"/>
  <c r="D15" i="5"/>
  <c r="E10" i="5"/>
  <c r="D54" i="5"/>
  <c r="D23" i="5"/>
  <c r="D55" i="5"/>
  <c r="D18" i="5"/>
  <c r="D72" i="5"/>
  <c r="G38" i="5"/>
  <c r="G71" i="5"/>
  <c r="G44" i="5"/>
  <c r="E27" i="5"/>
  <c r="E12" i="5"/>
  <c r="E14" i="5"/>
  <c r="E53" i="5"/>
  <c r="D14" i="7"/>
  <c r="D10" i="10"/>
  <c r="D19" i="12"/>
  <c r="G12" i="12"/>
  <c r="D211" i="13"/>
  <c r="D300" i="13"/>
  <c r="D475" i="13"/>
  <c r="D564" i="13"/>
  <c r="E755" i="13"/>
  <c r="D66" i="13"/>
  <c r="D155" i="13"/>
  <c r="D244" i="13"/>
  <c r="D423" i="13"/>
  <c r="D512" i="13"/>
  <c r="D687" i="13"/>
  <c r="D728" i="13"/>
  <c r="E841" i="13"/>
  <c r="D172" i="13"/>
  <c r="D383" i="13"/>
  <c r="D252" i="13"/>
  <c r="D606" i="13"/>
  <c r="E961" i="13"/>
  <c r="E176" i="13"/>
  <c r="E264" i="13"/>
  <c r="E443" i="13"/>
  <c r="E532" i="13"/>
  <c r="E707" i="13"/>
  <c r="E884" i="13"/>
  <c r="D17" i="13"/>
  <c r="D122" i="13"/>
  <c r="D406" i="13"/>
  <c r="E490" i="13"/>
  <c r="D16" i="5"/>
  <c r="D32" i="5"/>
  <c r="D58" i="5"/>
  <c r="G11" i="5"/>
  <c r="G24" i="5"/>
  <c r="D17" i="5"/>
  <c r="D25" i="5"/>
  <c r="D33" i="5"/>
  <c r="D41" i="5"/>
  <c r="D49" i="5"/>
  <c r="D57" i="5"/>
  <c r="D65" i="5"/>
  <c r="D73" i="5"/>
  <c r="G25" i="5"/>
  <c r="D22" i="5"/>
  <c r="D38" i="5"/>
  <c r="D46" i="5"/>
  <c r="D60" i="5"/>
  <c r="G19" i="5"/>
  <c r="G14" i="5"/>
  <c r="G37" i="5"/>
  <c r="G73" i="5"/>
  <c r="G42" i="5"/>
  <c r="G58" i="5"/>
  <c r="G29" i="5"/>
  <c r="G43" i="5"/>
  <c r="G33" i="5"/>
  <c r="G27" i="5"/>
  <c r="G55" i="5"/>
  <c r="G32" i="5"/>
  <c r="G48" i="5"/>
  <c r="G64" i="5"/>
  <c r="E30" i="5"/>
  <c r="E15" i="5"/>
  <c r="E31" i="5"/>
  <c r="E47" i="5"/>
  <c r="E63" i="5"/>
  <c r="E38" i="5"/>
  <c r="E16" i="5"/>
  <c r="E32" i="5"/>
  <c r="E48" i="5"/>
  <c r="E64" i="5"/>
  <c r="E26" i="5"/>
  <c r="E66" i="5"/>
  <c r="E25" i="5"/>
  <c r="E41" i="5"/>
  <c r="E57" i="5"/>
  <c r="E73" i="5"/>
  <c r="E13" i="7"/>
  <c r="E15" i="7"/>
  <c r="D17" i="7"/>
  <c r="G16" i="7"/>
  <c r="G17" i="7"/>
  <c r="D13" i="10"/>
  <c r="E13" i="10"/>
  <c r="D11" i="10"/>
  <c r="D10" i="12"/>
  <c r="E16" i="12"/>
  <c r="E13" i="12"/>
  <c r="E10" i="12"/>
  <c r="D17" i="12"/>
  <c r="G11" i="12"/>
  <c r="G16" i="12"/>
  <c r="G14" i="12"/>
  <c r="D72" i="13"/>
  <c r="D127" i="13"/>
  <c r="D148" i="13"/>
  <c r="D195" i="13"/>
  <c r="D216" i="13"/>
  <c r="D259" i="13"/>
  <c r="D280" i="13"/>
  <c r="D327" i="13"/>
  <c r="D348" i="13"/>
  <c r="D392" i="13"/>
  <c r="D416" i="13"/>
  <c r="D459" i="13"/>
  <c r="D480" i="13"/>
  <c r="D504" i="13"/>
  <c r="D527" i="13"/>
  <c r="D548" i="13"/>
  <c r="D591" i="13"/>
  <c r="D616" i="13"/>
  <c r="D659" i="13"/>
  <c r="D680" i="13"/>
  <c r="D732" i="13"/>
  <c r="E765" i="13"/>
  <c r="E795" i="13"/>
  <c r="D10" i="13"/>
  <c r="D42" i="13"/>
  <c r="D74" i="13"/>
  <c r="D96" i="13"/>
  <c r="D139" i="13"/>
  <c r="D160" i="13"/>
  <c r="D207" i="13"/>
  <c r="D228" i="13"/>
  <c r="D271" i="13"/>
  <c r="D296" i="13"/>
  <c r="D339" i="13"/>
  <c r="D360" i="13"/>
  <c r="D407" i="13"/>
  <c r="D428" i="13"/>
  <c r="D471" i="13"/>
  <c r="D492" i="13"/>
  <c r="D539" i="13"/>
  <c r="D560" i="13"/>
  <c r="D603" i="13"/>
  <c r="D628" i="13"/>
  <c r="D671" i="13"/>
  <c r="D692" i="13"/>
  <c r="D716" i="13"/>
  <c r="E747" i="13"/>
  <c r="E775" i="13"/>
  <c r="D24" i="13"/>
  <c r="D44" i="13"/>
  <c r="D140" i="13"/>
  <c r="D187" i="13"/>
  <c r="D272" i="13"/>
  <c r="D319" i="13"/>
  <c r="D408" i="13"/>
  <c r="D583" i="13"/>
  <c r="D672" i="13"/>
  <c r="E791" i="13"/>
  <c r="D99" i="13"/>
  <c r="D188" i="13"/>
  <c r="D363" i="13"/>
  <c r="D452" i="13"/>
  <c r="D631" i="13"/>
  <c r="E865" i="13"/>
  <c r="E993" i="13"/>
  <c r="E1198" i="13"/>
  <c r="E40" i="13"/>
  <c r="E72" i="13"/>
  <c r="E95" i="13"/>
  <c r="E116" i="13"/>
  <c r="E159" i="13"/>
  <c r="E184" i="13"/>
  <c r="E227" i="13"/>
  <c r="E248" i="13"/>
  <c r="E295" i="13"/>
  <c r="E316" i="13"/>
  <c r="E359" i="13"/>
  <c r="E380" i="13"/>
  <c r="E427" i="13"/>
  <c r="E448" i="13"/>
  <c r="E491" i="13"/>
  <c r="E516" i="13"/>
  <c r="E559" i="13"/>
  <c r="E580" i="13"/>
  <c r="E627" i="13"/>
  <c r="E648" i="13"/>
  <c r="E691" i="13"/>
  <c r="E836" i="13"/>
  <c r="E900" i="13"/>
  <c r="E964" i="13"/>
  <c r="E1008" i="13"/>
  <c r="E1136" i="13"/>
  <c r="D25" i="13"/>
  <c r="D57" i="13"/>
  <c r="D85" i="13"/>
  <c r="D106" i="13"/>
  <c r="D149" i="13"/>
  <c r="D170" i="13"/>
  <c r="D217" i="13"/>
  <c r="D238" i="13"/>
  <c r="D265" i="13"/>
  <c r="D338" i="13"/>
  <c r="D517" i="13"/>
  <c r="D602" i="13"/>
  <c r="E829" i="13"/>
  <c r="E1122" i="13"/>
  <c r="E226" i="13"/>
  <c r="G10" i="5"/>
  <c r="D20" i="5"/>
  <c r="D36" i="5"/>
  <c r="D62" i="5"/>
  <c r="G15" i="5"/>
  <c r="D11" i="5"/>
  <c r="D19" i="5"/>
  <c r="D27" i="5"/>
  <c r="D35" i="5"/>
  <c r="D43" i="5"/>
  <c r="D51" i="5"/>
  <c r="D59" i="5"/>
  <c r="D67" i="5"/>
  <c r="G13" i="5"/>
  <c r="D12" i="5"/>
  <c r="D26" i="5"/>
  <c r="D40" i="5"/>
  <c r="D48" i="5"/>
  <c r="D64" i="5"/>
  <c r="G12" i="5"/>
  <c r="G18" i="5"/>
  <c r="G49" i="5"/>
  <c r="G30" i="5"/>
  <c r="G46" i="5"/>
  <c r="G62" i="5"/>
  <c r="G41" i="5"/>
  <c r="G51" i="5"/>
  <c r="G45" i="5"/>
  <c r="G35" i="5"/>
  <c r="G63" i="5"/>
  <c r="G36" i="5"/>
  <c r="G52" i="5"/>
  <c r="G68" i="5"/>
  <c r="E42" i="5"/>
  <c r="E19" i="5"/>
  <c r="E35" i="5"/>
  <c r="E51" i="5"/>
  <c r="E67" i="5"/>
  <c r="E50" i="5"/>
  <c r="E20" i="5"/>
  <c r="E36" i="5"/>
  <c r="E52" i="5"/>
  <c r="E68" i="5"/>
  <c r="E34" i="5"/>
  <c r="E13" i="5"/>
  <c r="E29" i="5"/>
  <c r="E45" i="5"/>
  <c r="E61" i="5"/>
  <c r="E17" i="7"/>
  <c r="D16" i="7"/>
  <c r="E12" i="7"/>
  <c r="G14" i="7"/>
  <c r="G10" i="7"/>
  <c r="E11" i="10"/>
  <c r="G12" i="10"/>
  <c r="D14" i="10"/>
  <c r="E14" i="10"/>
  <c r="D14" i="12"/>
  <c r="D11" i="12"/>
  <c r="E17" i="12"/>
  <c r="E14" i="12"/>
  <c r="E11" i="12"/>
  <c r="G15" i="12"/>
  <c r="G13" i="12"/>
  <c r="G18" i="12"/>
  <c r="D79" i="13"/>
  <c r="D111" i="13"/>
  <c r="D132" i="13"/>
  <c r="D176" i="13"/>
  <c r="D200" i="13"/>
  <c r="D243" i="13"/>
  <c r="D264" i="13"/>
  <c r="D288" i="13"/>
  <c r="D311" i="13"/>
  <c r="D332" i="13"/>
  <c r="D375" i="13"/>
  <c r="D400" i="13"/>
  <c r="D443" i="13"/>
  <c r="D464" i="13"/>
  <c r="D511" i="13"/>
  <c r="D532" i="13"/>
  <c r="D575" i="13"/>
  <c r="D596" i="13"/>
  <c r="D643" i="13"/>
  <c r="D664" i="13"/>
  <c r="D707" i="13"/>
  <c r="E741" i="13"/>
  <c r="E769" i="13"/>
  <c r="D32" i="13"/>
  <c r="D18" i="13"/>
  <c r="D50" i="13"/>
  <c r="D80" i="13"/>
  <c r="D123" i="13"/>
  <c r="D144" i="13"/>
  <c r="D191" i="13"/>
  <c r="D212" i="13"/>
  <c r="D255" i="13"/>
  <c r="D276" i="13"/>
  <c r="D323" i="13"/>
  <c r="D344" i="13"/>
  <c r="D387" i="13"/>
  <c r="D412" i="13"/>
  <c r="D455" i="13"/>
  <c r="D476" i="13"/>
  <c r="D498" i="13"/>
  <c r="D523" i="13"/>
  <c r="D544" i="13"/>
  <c r="D587" i="13"/>
  <c r="D610" i="13"/>
  <c r="D655" i="13"/>
  <c r="D676" i="13"/>
  <c r="D720" i="13"/>
  <c r="E751" i="13"/>
  <c r="E785" i="13"/>
  <c r="D64" i="13"/>
  <c r="D60" i="13"/>
  <c r="D108" i="13"/>
  <c r="D151" i="13"/>
  <c r="D240" i="13"/>
  <c r="D284" i="13"/>
  <c r="D340" i="13"/>
  <c r="D519" i="13"/>
  <c r="D604" i="13"/>
  <c r="D14" i="13"/>
  <c r="D120" i="13"/>
  <c r="D299" i="13"/>
  <c r="D384" i="13"/>
  <c r="D563" i="13"/>
  <c r="D652" i="13"/>
  <c r="E759" i="13"/>
  <c r="E889" i="13"/>
  <c r="E16" i="13"/>
  <c r="E48" i="13"/>
  <c r="E79" i="13"/>
  <c r="E100" i="13"/>
  <c r="E143" i="13"/>
  <c r="E164" i="13"/>
  <c r="E211" i="13"/>
  <c r="E232" i="13"/>
  <c r="E275" i="13"/>
  <c r="E300" i="13"/>
  <c r="E343" i="13"/>
  <c r="E364" i="13"/>
  <c r="E411" i="13"/>
  <c r="E432" i="13"/>
  <c r="E475" i="13"/>
  <c r="E496" i="13"/>
  <c r="E543" i="13"/>
  <c r="E564" i="13"/>
  <c r="E608" i="13"/>
  <c r="E632" i="13"/>
  <c r="E675" i="13"/>
  <c r="E696" i="13"/>
  <c r="E852" i="13"/>
  <c r="E916" i="13"/>
  <c r="E980" i="13"/>
  <c r="E1040" i="13"/>
  <c r="E1168" i="13"/>
  <c r="D33" i="13"/>
  <c r="D65" i="13"/>
  <c r="D90" i="13"/>
  <c r="D133" i="13"/>
  <c r="D154" i="13"/>
  <c r="D177" i="13"/>
  <c r="D201" i="13"/>
  <c r="D222" i="13"/>
  <c r="D449" i="13"/>
  <c r="D538" i="13"/>
  <c r="E893" i="13"/>
  <c r="E863" i="13"/>
  <c r="E669" i="13"/>
  <c r="D10" i="5"/>
  <c r="D24" i="5"/>
  <c r="D50" i="5"/>
  <c r="D66" i="5"/>
  <c r="G23" i="5"/>
  <c r="D13" i="5"/>
  <c r="D21" i="5"/>
  <c r="D29" i="5"/>
  <c r="D37" i="5"/>
  <c r="D45" i="5"/>
  <c r="D53" i="5"/>
  <c r="D61" i="5"/>
  <c r="D69" i="5"/>
  <c r="G17" i="5"/>
  <c r="D14" i="5"/>
  <c r="D30" i="5"/>
  <c r="D42" i="5"/>
  <c r="D52" i="5"/>
  <c r="D68" i="5"/>
  <c r="G20" i="5"/>
  <c r="G22" i="5"/>
  <c r="G61" i="5"/>
  <c r="G34" i="5"/>
  <c r="G50" i="5"/>
  <c r="G66" i="5"/>
  <c r="G57" i="5"/>
  <c r="G59" i="5"/>
  <c r="G53" i="5"/>
  <c r="G39" i="5"/>
  <c r="G67" i="5"/>
  <c r="G40" i="5"/>
  <c r="G56" i="5"/>
  <c r="G72" i="5"/>
  <c r="E54" i="5"/>
  <c r="E23" i="5"/>
  <c r="E39" i="5"/>
  <c r="E55" i="5"/>
  <c r="E71" i="5"/>
  <c r="E62" i="5"/>
  <c r="E24" i="5"/>
  <c r="E40" i="5"/>
  <c r="E56" i="5"/>
  <c r="E72" i="5"/>
  <c r="E46" i="5"/>
  <c r="E17" i="5"/>
  <c r="E33" i="5"/>
  <c r="E49" i="5"/>
  <c r="E65" i="5"/>
  <c r="E14" i="7"/>
  <c r="E11" i="7"/>
  <c r="E10" i="7"/>
  <c r="G11" i="7"/>
  <c r="G15" i="7"/>
  <c r="G11" i="10"/>
  <c r="D12" i="10"/>
  <c r="G13" i="10"/>
  <c r="G10" i="10"/>
  <c r="D18" i="12"/>
  <c r="D15" i="12"/>
  <c r="D12" i="12"/>
  <c r="E18" i="12"/>
  <c r="E15" i="12"/>
  <c r="G19" i="12"/>
  <c r="G17" i="12"/>
  <c r="D40" i="13"/>
  <c r="D116" i="13"/>
  <c r="D159" i="13"/>
  <c r="D184" i="13"/>
  <c r="D227" i="13"/>
  <c r="D248" i="13"/>
  <c r="D295" i="13"/>
  <c r="D316" i="13"/>
  <c r="D359" i="13"/>
  <c r="D380" i="13"/>
  <c r="D427" i="13"/>
  <c r="D448" i="13"/>
  <c r="D491" i="13"/>
  <c r="D516" i="13"/>
  <c r="D559" i="13"/>
  <c r="D580" i="13"/>
  <c r="D627" i="13"/>
  <c r="D648" i="13"/>
  <c r="D691" i="13"/>
  <c r="E745" i="13"/>
  <c r="E779" i="13"/>
  <c r="D48" i="13"/>
  <c r="D26" i="13"/>
  <c r="D58" i="13"/>
  <c r="D107" i="13"/>
  <c r="D128" i="13"/>
  <c r="D171" i="13"/>
  <c r="D196" i="13"/>
  <c r="D239" i="13"/>
  <c r="D260" i="13"/>
  <c r="D282" i="13"/>
  <c r="D307" i="13"/>
  <c r="D328" i="13"/>
  <c r="D371" i="13"/>
  <c r="D394" i="13"/>
  <c r="D439" i="13"/>
  <c r="D460" i="13"/>
  <c r="D506" i="13"/>
  <c r="D528" i="13"/>
  <c r="D571" i="13"/>
  <c r="D592" i="13"/>
  <c r="D639" i="13"/>
  <c r="D660" i="13"/>
  <c r="D703" i="13"/>
  <c r="D724" i="13"/>
  <c r="D734" i="13"/>
  <c r="E761" i="13"/>
  <c r="E797" i="13"/>
  <c r="D12" i="13"/>
  <c r="D76" i="13"/>
  <c r="D119" i="13"/>
  <c r="D208" i="13"/>
  <c r="D251" i="13"/>
  <c r="D451" i="13"/>
  <c r="D540" i="13"/>
  <c r="D46" i="13"/>
  <c r="D231" i="13"/>
  <c r="D320" i="13"/>
  <c r="D495" i="13"/>
  <c r="D584" i="13"/>
  <c r="D719" i="13"/>
  <c r="E787" i="13"/>
  <c r="E929" i="13"/>
  <c r="E1062" i="13"/>
  <c r="E24" i="13"/>
  <c r="E56" i="13"/>
  <c r="E84" i="13"/>
  <c r="E127" i="13"/>
  <c r="E148" i="13"/>
  <c r="E195" i="13"/>
  <c r="E216" i="13"/>
  <c r="E259" i="13"/>
  <c r="E280" i="13"/>
  <c r="E327" i="13"/>
  <c r="E348" i="13"/>
  <c r="E392" i="13"/>
  <c r="E416" i="13"/>
  <c r="E459" i="13"/>
  <c r="E480" i="13"/>
  <c r="E504" i="13"/>
  <c r="E527" i="13"/>
  <c r="E548" i="13"/>
  <c r="E591" i="13"/>
  <c r="E616" i="13"/>
  <c r="E659" i="13"/>
  <c r="E680" i="13"/>
  <c r="E732" i="13"/>
  <c r="E802" i="13"/>
  <c r="E868" i="13"/>
  <c r="E932" i="13"/>
  <c r="E996" i="13"/>
  <c r="E1072" i="13"/>
  <c r="E1200" i="13"/>
  <c r="D41" i="13"/>
  <c r="D73" i="13"/>
  <c r="D117" i="13"/>
  <c r="D138" i="13"/>
  <c r="D185" i="13"/>
  <c r="D206" i="13"/>
  <c r="D249" i="13"/>
  <c r="D381" i="13"/>
  <c r="D470" i="13"/>
  <c r="D649" i="13"/>
  <c r="E748" i="13"/>
  <c r="E957" i="13"/>
  <c r="E39" i="13"/>
  <c r="E405" i="13"/>
  <c r="D1697" i="13"/>
  <c r="D1480" i="13"/>
  <c r="E1901" i="13"/>
  <c r="E1829" i="13"/>
  <c r="E1760" i="13"/>
  <c r="E1685" i="13"/>
  <c r="D2419" i="13"/>
  <c r="D1386" i="13"/>
  <c r="D1298" i="13"/>
  <c r="D1264" i="13"/>
  <c r="D1232" i="13"/>
  <c r="D1200" i="13"/>
  <c r="D1168" i="13"/>
  <c r="D1136" i="13"/>
  <c r="D1104" i="13"/>
  <c r="D1072" i="13"/>
  <c r="D1040" i="13"/>
  <c r="D1008" i="13"/>
  <c r="D996" i="13"/>
  <c r="D980" i="13"/>
  <c r="D964" i="13"/>
  <c r="D948" i="13"/>
  <c r="D932" i="13"/>
  <c r="D916" i="13"/>
  <c r="D900" i="13"/>
  <c r="D884" i="13"/>
  <c r="D868" i="13"/>
  <c r="D852" i="13"/>
  <c r="D836" i="13"/>
  <c r="D820" i="13"/>
  <c r="D804" i="13"/>
  <c r="D788" i="13"/>
  <c r="D772" i="13"/>
  <c r="D756" i="13"/>
  <c r="D740" i="13"/>
  <c r="D1953" i="13"/>
  <c r="D1881" i="13"/>
  <c r="D1739" i="13"/>
  <c r="E1415" i="13"/>
  <c r="E1383" i="13"/>
  <c r="E1351" i="13"/>
  <c r="E1319" i="13"/>
  <c r="E1287" i="13"/>
  <c r="E1255" i="13"/>
  <c r="E1223" i="13"/>
  <c r="E1191" i="13"/>
  <c r="E1159" i="13"/>
  <c r="E1127" i="13"/>
  <c r="E1095" i="13"/>
  <c r="E1063" i="13"/>
  <c r="E1031" i="13"/>
  <c r="D2519" i="13"/>
  <c r="D2166" i="13"/>
  <c r="D1927" i="13"/>
  <c r="D1858" i="13"/>
  <c r="D1786" i="13"/>
  <c r="D1663" i="13"/>
  <c r="D1411" i="13"/>
  <c r="D2415" i="13"/>
  <c r="D1958" i="13"/>
  <c r="E1884" i="13"/>
  <c r="E1812" i="13"/>
  <c r="E1743" i="13"/>
  <c r="D1692" i="13"/>
  <c r="D1354" i="13"/>
  <c r="D1288" i="13"/>
  <c r="D1256" i="13"/>
  <c r="D1224" i="13"/>
  <c r="D1192" i="13"/>
  <c r="D1160" i="13"/>
  <c r="D1128" i="13"/>
  <c r="D1096" i="13"/>
  <c r="D1064" i="13"/>
  <c r="D1032" i="13"/>
  <c r="D1000" i="13"/>
  <c r="D992" i="13"/>
  <c r="D976" i="13"/>
  <c r="D960" i="13"/>
  <c r="D944" i="13"/>
  <c r="D928" i="13"/>
  <c r="D912" i="13"/>
  <c r="D896" i="13"/>
  <c r="D880" i="13"/>
  <c r="D864" i="13"/>
  <c r="D848" i="13"/>
  <c r="D832" i="13"/>
  <c r="D816" i="13"/>
  <c r="D800" i="13"/>
  <c r="D784" i="13"/>
  <c r="D768" i="13"/>
  <c r="D752" i="13"/>
  <c r="D736" i="13"/>
  <c r="D2171" i="13"/>
  <c r="D1935" i="13"/>
  <c r="E1407" i="13"/>
  <c r="E1375" i="13"/>
  <c r="E1343" i="13"/>
  <c r="E1311" i="13"/>
  <c r="E1279" i="13"/>
  <c r="E1247" i="13"/>
  <c r="E1215" i="13"/>
  <c r="E1183" i="13"/>
  <c r="E1151" i="13"/>
  <c r="E1119" i="13"/>
  <c r="E1087" i="13"/>
  <c r="E1055" i="13"/>
  <c r="E1023" i="13"/>
  <c r="D2430" i="13"/>
  <c r="D2060" i="13"/>
  <c r="D1910" i="13"/>
  <c r="D1841" i="13"/>
  <c r="D1769" i="13"/>
  <c r="D1423" i="13"/>
  <c r="D1407" i="13"/>
  <c r="D1608" i="13"/>
  <c r="D2226" i="13"/>
  <c r="E1939" i="13"/>
  <c r="E1867" i="13"/>
  <c r="E1722" i="13"/>
  <c r="D1639" i="13"/>
  <c r="D1330" i="13"/>
  <c r="D1280" i="13"/>
  <c r="D1248" i="13"/>
  <c r="D1216" i="13"/>
  <c r="D1184" i="13"/>
  <c r="D1152" i="13"/>
  <c r="D1120" i="13"/>
  <c r="D1088" i="13"/>
  <c r="D1056" i="13"/>
  <c r="D1024" i="13"/>
  <c r="D988" i="13"/>
  <c r="D972" i="13"/>
  <c r="D956" i="13"/>
  <c r="D940" i="13"/>
  <c r="D924" i="13"/>
  <c r="D908" i="13"/>
  <c r="D892" i="13"/>
  <c r="D876" i="13"/>
  <c r="D860" i="13"/>
  <c r="D844" i="13"/>
  <c r="D828" i="13"/>
  <c r="D812" i="13"/>
  <c r="D796" i="13"/>
  <c r="D780" i="13"/>
  <c r="D764" i="13"/>
  <c r="D748" i="13"/>
  <c r="D2435" i="13"/>
  <c r="D1915" i="13"/>
  <c r="D1774" i="13"/>
  <c r="D1700" i="13"/>
  <c r="E1399" i="13"/>
  <c r="E1367" i="13"/>
  <c r="E1335" i="13"/>
  <c r="E1303" i="13"/>
  <c r="E1271" i="13"/>
  <c r="E1239" i="13"/>
  <c r="E1207" i="13"/>
  <c r="E1175" i="13"/>
  <c r="E1143" i="13"/>
  <c r="E1111" i="13"/>
  <c r="E1079" i="13"/>
  <c r="E1047" i="13"/>
  <c r="E1015" i="13"/>
  <c r="D1991" i="13"/>
  <c r="D1419" i="13"/>
  <c r="D1403" i="13"/>
  <c r="D1839" i="13"/>
  <c r="D1240" i="13"/>
  <c r="D1112" i="13"/>
  <c r="D952" i="13"/>
  <c r="D888" i="13"/>
  <c r="D824" i="13"/>
  <c r="D760" i="13"/>
  <c r="D1898" i="13"/>
  <c r="E1423" i="13"/>
  <c r="E1295" i="13"/>
  <c r="E1167" i="13"/>
  <c r="E1039" i="13"/>
  <c r="D2254" i="13"/>
  <c r="D1731" i="13"/>
  <c r="D1401" i="13"/>
  <c r="D1393" i="13"/>
  <c r="D1385" i="13"/>
  <c r="D1377" i="13"/>
  <c r="D1369" i="13"/>
  <c r="D1361" i="13"/>
  <c r="D1353" i="13"/>
  <c r="D1345" i="13"/>
  <c r="D1337" i="13"/>
  <c r="D1329" i="13"/>
  <c r="D1321" i="13"/>
  <c r="D1313" i="13"/>
  <c r="D1305" i="13"/>
  <c r="D1297" i="13"/>
  <c r="D1289" i="13"/>
  <c r="D1281" i="13"/>
  <c r="D1273" i="13"/>
  <c r="D1265" i="13"/>
  <c r="D1257" i="13"/>
  <c r="D1249" i="13"/>
  <c r="D1241" i="13"/>
  <c r="D1233" i="13"/>
  <c r="D1225" i="13"/>
  <c r="D1217" i="13"/>
  <c r="D1209" i="13"/>
  <c r="D1201" i="13"/>
  <c r="D1193" i="13"/>
  <c r="D1185" i="13"/>
  <c r="D1177" i="13"/>
  <c r="D1169" i="13"/>
  <c r="D1161" i="13"/>
  <c r="D1153" i="13"/>
  <c r="D1145" i="13"/>
  <c r="D1137" i="13"/>
  <c r="D1129" i="13"/>
  <c r="D1121" i="13"/>
  <c r="D1113" i="13"/>
  <c r="D1105" i="13"/>
  <c r="D1097" i="13"/>
  <c r="D1089" i="13"/>
  <c r="D1081" i="13"/>
  <c r="D1073" i="13"/>
  <c r="D1065" i="13"/>
  <c r="D1057" i="13"/>
  <c r="D1049" i="13"/>
  <c r="D1041" i="13"/>
  <c r="D1033" i="13"/>
  <c r="D1025" i="13"/>
  <c r="D1017" i="13"/>
  <c r="D1009" i="13"/>
  <c r="D1001" i="13"/>
  <c r="D1544" i="13"/>
  <c r="D1418" i="13"/>
  <c r="D1208" i="13"/>
  <c r="D1080" i="13"/>
  <c r="D936" i="13"/>
  <c r="D872" i="13"/>
  <c r="D808" i="13"/>
  <c r="D744" i="13"/>
  <c r="D1826" i="13"/>
  <c r="E1391" i="13"/>
  <c r="E1263" i="13"/>
  <c r="E1135" i="13"/>
  <c r="E1007" i="13"/>
  <c r="D1399" i="13"/>
  <c r="D1391" i="13"/>
  <c r="D1383" i="13"/>
  <c r="D1375" i="13"/>
  <c r="D1367" i="13"/>
  <c r="D1359" i="13"/>
  <c r="D1351" i="13"/>
  <c r="D1343" i="13"/>
  <c r="D1335" i="13"/>
  <c r="D1327" i="13"/>
  <c r="D1319" i="13"/>
  <c r="D1311" i="13"/>
  <c r="D1303" i="13"/>
  <c r="D1295" i="13"/>
  <c r="D1287" i="13"/>
  <c r="D1279" i="13"/>
  <c r="D1271" i="13"/>
  <c r="D1263" i="13"/>
  <c r="D1255" i="13"/>
  <c r="D1247" i="13"/>
  <c r="D1239" i="13"/>
  <c r="D1231" i="13"/>
  <c r="D1223" i="13"/>
  <c r="D1215" i="13"/>
  <c r="D1207" i="13"/>
  <c r="D1199" i="13"/>
  <c r="D1191" i="13"/>
  <c r="D1183" i="13"/>
  <c r="D1175" i="13"/>
  <c r="D1167" i="13"/>
  <c r="D1159" i="13"/>
  <c r="D1151" i="13"/>
  <c r="D1143" i="13"/>
  <c r="D1135" i="13"/>
  <c r="D1127" i="13"/>
  <c r="D1119" i="13"/>
  <c r="D1111" i="13"/>
  <c r="D1103" i="13"/>
  <c r="D1095" i="13"/>
  <c r="D1087" i="13"/>
  <c r="D1079" i="13"/>
  <c r="D1071" i="13"/>
  <c r="D1063" i="13"/>
  <c r="D1055" i="13"/>
  <c r="D1047" i="13"/>
  <c r="D1039" i="13"/>
  <c r="D1031" i="13"/>
  <c r="D1023" i="13"/>
  <c r="D1015" i="13"/>
  <c r="D1007" i="13"/>
  <c r="D2104" i="13"/>
  <c r="D1314" i="13"/>
  <c r="D1176" i="13"/>
  <c r="D1048" i="13"/>
  <c r="D984" i="13"/>
  <c r="D920" i="13"/>
  <c r="D856" i="13"/>
  <c r="D792" i="13"/>
  <c r="D2346" i="13"/>
  <c r="D1757" i="13"/>
  <c r="E1359" i="13"/>
  <c r="E1231" i="13"/>
  <c r="E1103" i="13"/>
  <c r="D1397" i="13"/>
  <c r="D1389" i="13"/>
  <c r="D1381" i="13"/>
  <c r="D1373" i="13"/>
  <c r="D1365" i="13"/>
  <c r="D1357" i="13"/>
  <c r="D1349" i="13"/>
  <c r="D1341" i="13"/>
  <c r="D1333" i="13"/>
  <c r="D1325" i="13"/>
  <c r="D1317" i="13"/>
  <c r="D1309" i="13"/>
  <c r="D1301" i="13"/>
  <c r="D1293" i="13"/>
  <c r="D1285" i="13"/>
  <c r="D1277" i="13"/>
  <c r="D1269" i="13"/>
  <c r="D1261" i="13"/>
  <c r="D1253" i="13"/>
  <c r="D1245" i="13"/>
  <c r="D1237" i="13"/>
  <c r="D1229" i="13"/>
  <c r="D1221" i="13"/>
  <c r="D1213" i="13"/>
  <c r="D1205" i="13"/>
  <c r="D1197" i="13"/>
  <c r="D1189" i="13"/>
  <c r="D1181" i="13"/>
  <c r="D1173" i="13"/>
  <c r="D1165" i="13"/>
  <c r="D1157" i="13"/>
  <c r="D1149" i="13"/>
  <c r="D1141" i="13"/>
  <c r="D1133" i="13"/>
  <c r="D1125" i="13"/>
  <c r="D1117" i="13"/>
  <c r="D1109" i="13"/>
  <c r="D1101" i="13"/>
  <c r="D1093" i="13"/>
  <c r="D1085" i="13"/>
  <c r="D1077" i="13"/>
  <c r="D1069" i="13"/>
  <c r="D1061" i="13"/>
  <c r="D1053" i="13"/>
  <c r="D1045" i="13"/>
  <c r="D1037" i="13"/>
  <c r="D1029" i="13"/>
  <c r="D1021" i="13"/>
  <c r="D1013" i="13"/>
  <c r="D1005" i="13"/>
  <c r="D1016" i="13"/>
  <c r="D776" i="13"/>
  <c r="E1199" i="13"/>
  <c r="D1415" i="13"/>
  <c r="D1371" i="13"/>
  <c r="D1339" i="13"/>
  <c r="D1307" i="13"/>
  <c r="D1275" i="13"/>
  <c r="D1243" i="13"/>
  <c r="D1211" i="13"/>
  <c r="D1179" i="13"/>
  <c r="D1147" i="13"/>
  <c r="D1115" i="13"/>
  <c r="D1083" i="13"/>
  <c r="D1051" i="13"/>
  <c r="D1019" i="13"/>
  <c r="D2403" i="13"/>
  <c r="D2314" i="13"/>
  <c r="D2134" i="13"/>
  <c r="D1942" i="13"/>
  <c r="D1887" i="13"/>
  <c r="D1870" i="13"/>
  <c r="D1853" i="13"/>
  <c r="D1833" i="13"/>
  <c r="D1815" i="13"/>
  <c r="D1798" i="13"/>
  <c r="D1746" i="13"/>
  <c r="D1725" i="13"/>
  <c r="D1707" i="13"/>
  <c r="D1623" i="13"/>
  <c r="E1431" i="13"/>
  <c r="E1427" i="13"/>
  <c r="E1422" i="13"/>
  <c r="E1414" i="13"/>
  <c r="E1406" i="13"/>
  <c r="E1398" i="13"/>
  <c r="E1390" i="13"/>
  <c r="E1382" i="13"/>
  <c r="E1374" i="13"/>
  <c r="E1366" i="13"/>
  <c r="E1358" i="13"/>
  <c r="E1350" i="13"/>
  <c r="E1342" i="13"/>
  <c r="E1334" i="13"/>
  <c r="E1326" i="13"/>
  <c r="E1318" i="13"/>
  <c r="E1310" i="13"/>
  <c r="E1302" i="13"/>
  <c r="E1294" i="13"/>
  <c r="E1286" i="13"/>
  <c r="E1278" i="13"/>
  <c r="E1270" i="13"/>
  <c r="E1262" i="13"/>
  <c r="E1254" i="13"/>
  <c r="E1246" i="13"/>
  <c r="E1238" i="13"/>
  <c r="E1230" i="13"/>
  <c r="E1222" i="13"/>
  <c r="E1214" i="13"/>
  <c r="E1206" i="13"/>
  <c r="E1188" i="13"/>
  <c r="E1156" i="13"/>
  <c r="E1124" i="13"/>
  <c r="E1092" i="13"/>
  <c r="E1060" i="13"/>
  <c r="E1028" i="13"/>
  <c r="E990" i="13"/>
  <c r="E974" i="13"/>
  <c r="E958" i="13"/>
  <c r="E942" i="13"/>
  <c r="E926" i="13"/>
  <c r="E910" i="13"/>
  <c r="E894" i="13"/>
  <c r="E878" i="13"/>
  <c r="E862" i="13"/>
  <c r="E846" i="13"/>
  <c r="E830" i="13"/>
  <c r="E814" i="13"/>
  <c r="E796" i="13"/>
  <c r="E733" i="13"/>
  <c r="E702" i="13"/>
  <c r="D968" i="13"/>
  <c r="E1071" i="13"/>
  <c r="D1395" i="13"/>
  <c r="D1363" i="13"/>
  <c r="D1331" i="13"/>
  <c r="D1299" i="13"/>
  <c r="D1267" i="13"/>
  <c r="D1235" i="13"/>
  <c r="D1203" i="13"/>
  <c r="D1171" i="13"/>
  <c r="D1139" i="13"/>
  <c r="D1107" i="13"/>
  <c r="D1075" i="13"/>
  <c r="D1043" i="13"/>
  <c r="D1011" i="13"/>
  <c r="D2470" i="13"/>
  <c r="D2382" i="13"/>
  <c r="D2203" i="13"/>
  <c r="D2102" i="13"/>
  <c r="D1955" i="13"/>
  <c r="D1938" i="13"/>
  <c r="D1900" i="13"/>
  <c r="D1883" i="13"/>
  <c r="D1828" i="13"/>
  <c r="D1811" i="13"/>
  <c r="D1759" i="13"/>
  <c r="D1742" i="13"/>
  <c r="D1684" i="13"/>
  <c r="E1434" i="13"/>
  <c r="E1430" i="13"/>
  <c r="E1426" i="13"/>
  <c r="E1420" i="13"/>
  <c r="E1412" i="13"/>
  <c r="E1404" i="13"/>
  <c r="E1396" i="13"/>
  <c r="E1388" i="13"/>
  <c r="E1380" i="13"/>
  <c r="E1372" i="13"/>
  <c r="E1364" i="13"/>
  <c r="E1356" i="13"/>
  <c r="E1348" i="13"/>
  <c r="E1340" i="13"/>
  <c r="E1332" i="13"/>
  <c r="E1324" i="13"/>
  <c r="E1316" i="13"/>
  <c r="E1308" i="13"/>
  <c r="E1300" i="13"/>
  <c r="E1292" i="13"/>
  <c r="E1284" i="13"/>
  <c r="E1276" i="13"/>
  <c r="E1268" i="13"/>
  <c r="E1260" i="13"/>
  <c r="E1252" i="13"/>
  <c r="E1244" i="13"/>
  <c r="E1236" i="13"/>
  <c r="E1228" i="13"/>
  <c r="E1220" i="13"/>
  <c r="E1212" i="13"/>
  <c r="E1204" i="13"/>
  <c r="E1180" i="13"/>
  <c r="E1148" i="13"/>
  <c r="E1116" i="13"/>
  <c r="E1084" i="13"/>
  <c r="E1052" i="13"/>
  <c r="E1020" i="13"/>
  <c r="E984" i="13"/>
  <c r="E968" i="13"/>
  <c r="E952" i="13"/>
  <c r="E936" i="13"/>
  <c r="E920" i="13"/>
  <c r="E904" i="13"/>
  <c r="E888" i="13"/>
  <c r="E872" i="13"/>
  <c r="E856" i="13"/>
  <c r="E840" i="13"/>
  <c r="E824" i="13"/>
  <c r="E808" i="13"/>
  <c r="E794" i="13"/>
  <c r="E706" i="13"/>
  <c r="E701" i="13"/>
  <c r="D1272" i="13"/>
  <c r="D904" i="13"/>
  <c r="D1682" i="13"/>
  <c r="D1387" i="13"/>
  <c r="D1355" i="13"/>
  <c r="D1323" i="13"/>
  <c r="D1291" i="13"/>
  <c r="D1259" i="13"/>
  <c r="D1227" i="13"/>
  <c r="D1195" i="13"/>
  <c r="D1163" i="13"/>
  <c r="D1131" i="13"/>
  <c r="D1099" i="13"/>
  <c r="D1067" i="13"/>
  <c r="D1035" i="13"/>
  <c r="D1003" i="13"/>
  <c r="D2446" i="13"/>
  <c r="D2358" i="13"/>
  <c r="D2271" i="13"/>
  <c r="D2182" i="13"/>
  <c r="D2073" i="13"/>
  <c r="D2004" i="13"/>
  <c r="D1951" i="13"/>
  <c r="D1931" i="13"/>
  <c r="D1913" i="13"/>
  <c r="D1896" i="13"/>
  <c r="D1844" i="13"/>
  <c r="D1789" i="13"/>
  <c r="D1772" i="13"/>
  <c r="D1755" i="13"/>
  <c r="D1735" i="13"/>
  <c r="D1716" i="13"/>
  <c r="D1698" i="13"/>
  <c r="D1678" i="13"/>
  <c r="E1433" i="13"/>
  <c r="E1429" i="13"/>
  <c r="E1425" i="13"/>
  <c r="E1418" i="13"/>
  <c r="E1410" i="13"/>
  <c r="E1402" i="13"/>
  <c r="E1394" i="13"/>
  <c r="E1386" i="13"/>
  <c r="E1378" i="13"/>
  <c r="E1370" i="13"/>
  <c r="E1362" i="13"/>
  <c r="E1354" i="13"/>
  <c r="E1346" i="13"/>
  <c r="E1338" i="13"/>
  <c r="E1330" i="13"/>
  <c r="E1322" i="13"/>
  <c r="E1314" i="13"/>
  <c r="E1306" i="13"/>
  <c r="E1298" i="13"/>
  <c r="E1290" i="13"/>
  <c r="E1282" i="13"/>
  <c r="E1274" i="13"/>
  <c r="E1266" i="13"/>
  <c r="E1258" i="13"/>
  <c r="E1250" i="13"/>
  <c r="E1242" i="13"/>
  <c r="E1234" i="13"/>
  <c r="E1226" i="13"/>
  <c r="E1218" i="13"/>
  <c r="E1210" i="13"/>
  <c r="E1202" i="13"/>
  <c r="E1172" i="13"/>
  <c r="E1140" i="13"/>
  <c r="E1108" i="13"/>
  <c r="E1076" i="13"/>
  <c r="E1044" i="13"/>
  <c r="E1012" i="13"/>
  <c r="E998" i="13"/>
  <c r="E982" i="13"/>
  <c r="E966" i="13"/>
  <c r="E950" i="13"/>
  <c r="E934" i="13"/>
  <c r="E918" i="13"/>
  <c r="E902" i="13"/>
  <c r="E886" i="13"/>
  <c r="E870" i="13"/>
  <c r="E854" i="13"/>
  <c r="E838" i="13"/>
  <c r="E822" i="13"/>
  <c r="E806" i="13"/>
  <c r="E730" i="13"/>
  <c r="E726" i="13"/>
  <c r="E722" i="13"/>
  <c r="E718" i="13"/>
  <c r="E714" i="13"/>
  <c r="E710" i="13"/>
  <c r="E705" i="13"/>
  <c r="D1144" i="13"/>
  <c r="D1803" i="13"/>
  <c r="D1283" i="13"/>
  <c r="D1155" i="13"/>
  <c r="D1027" i="13"/>
  <c r="D2514" i="13"/>
  <c r="D1926" i="13"/>
  <c r="D1857" i="13"/>
  <c r="D1785" i="13"/>
  <c r="E1424" i="13"/>
  <c r="E1392" i="13"/>
  <c r="E1360" i="13"/>
  <c r="E1328" i="13"/>
  <c r="E1296" i="13"/>
  <c r="E1264" i="13"/>
  <c r="E1232" i="13"/>
  <c r="E1196" i="13"/>
  <c r="E1068" i="13"/>
  <c r="E992" i="13"/>
  <c r="E928" i="13"/>
  <c r="E864" i="13"/>
  <c r="E804" i="13"/>
  <c r="E735" i="13"/>
  <c r="E725" i="13"/>
  <c r="E694" i="13"/>
  <c r="E689" i="13"/>
  <c r="E678" i="13"/>
  <c r="E673" i="13"/>
  <c r="E662" i="13"/>
  <c r="E657" i="13"/>
  <c r="E646" i="13"/>
  <c r="E641" i="13"/>
  <c r="E630" i="13"/>
  <c r="E625" i="13"/>
  <c r="E613" i="13"/>
  <c r="E605" i="13"/>
  <c r="E594" i="13"/>
  <c r="E589" i="13"/>
  <c r="E578" i="13"/>
  <c r="E573" i="13"/>
  <c r="E562" i="13"/>
  <c r="E557" i="13"/>
  <c r="E546" i="13"/>
  <c r="E541" i="13"/>
  <c r="E530" i="13"/>
  <c r="E525" i="13"/>
  <c r="E514" i="13"/>
  <c r="E509" i="13"/>
  <c r="E501" i="13"/>
  <c r="E494" i="13"/>
  <c r="E489" i="13"/>
  <c r="E478" i="13"/>
  <c r="E473" i="13"/>
  <c r="E462" i="13"/>
  <c r="E457" i="13"/>
  <c r="E446" i="13"/>
  <c r="E441" i="13"/>
  <c r="E430" i="13"/>
  <c r="E425" i="13"/>
  <c r="E414" i="13"/>
  <c r="E409" i="13"/>
  <c r="E397" i="13"/>
  <c r="E389" i="13"/>
  <c r="E378" i="13"/>
  <c r="E373" i="13"/>
  <c r="E362" i="13"/>
  <c r="E357" i="13"/>
  <c r="E346" i="13"/>
  <c r="E341" i="13"/>
  <c r="E330" i="13"/>
  <c r="E325" i="13"/>
  <c r="E314" i="13"/>
  <c r="E309" i="13"/>
  <c r="E298" i="13"/>
  <c r="E293" i="13"/>
  <c r="E285" i="13"/>
  <c r="E278" i="13"/>
  <c r="E273" i="13"/>
  <c r="E262" i="13"/>
  <c r="E257" i="13"/>
  <c r="E246" i="13"/>
  <c r="E241" i="13"/>
  <c r="E230" i="13"/>
  <c r="E225" i="13"/>
  <c r="E214" i="13"/>
  <c r="E209" i="13"/>
  <c r="E198" i="13"/>
  <c r="E193" i="13"/>
  <c r="E181" i="13"/>
  <c r="E173" i="13"/>
  <c r="E162" i="13"/>
  <c r="E157" i="13"/>
  <c r="E146" i="13"/>
  <c r="E141" i="13"/>
  <c r="E130" i="13"/>
  <c r="E125" i="13"/>
  <c r="E114" i="13"/>
  <c r="E109" i="13"/>
  <c r="E98" i="13"/>
  <c r="E93" i="13"/>
  <c r="E82" i="13"/>
  <c r="E77" i="13"/>
  <c r="E69" i="13"/>
  <c r="E61" i="13"/>
  <c r="E53" i="13"/>
  <c r="E45" i="13"/>
  <c r="E37" i="13"/>
  <c r="E29" i="13"/>
  <c r="E21" i="13"/>
  <c r="E13" i="13"/>
  <c r="E1158" i="13"/>
  <c r="E1102" i="13"/>
  <c r="E1038" i="13"/>
  <c r="E975" i="13"/>
  <c r="E945" i="13"/>
  <c r="E911" i="13"/>
  <c r="D840" i="13"/>
  <c r="D1379" i="13"/>
  <c r="D1251" i="13"/>
  <c r="D1123" i="13"/>
  <c r="D2056" i="13"/>
  <c r="D1909" i="13"/>
  <c r="D1840" i="13"/>
  <c r="D1693" i="13"/>
  <c r="D1649" i="13"/>
  <c r="E1416" i="13"/>
  <c r="E1384" i="13"/>
  <c r="E1352" i="13"/>
  <c r="E1320" i="13"/>
  <c r="E1288" i="13"/>
  <c r="E1256" i="13"/>
  <c r="E1224" i="13"/>
  <c r="E1164" i="13"/>
  <c r="E1036" i="13"/>
  <c r="E976" i="13"/>
  <c r="E912" i="13"/>
  <c r="E848" i="13"/>
  <c r="E721" i="13"/>
  <c r="E698" i="13"/>
  <c r="E693" i="13"/>
  <c r="E682" i="13"/>
  <c r="E677" i="13"/>
  <c r="E666" i="13"/>
  <c r="E661" i="13"/>
  <c r="E650" i="13"/>
  <c r="E645" i="13"/>
  <c r="E634" i="13"/>
  <c r="E629" i="13"/>
  <c r="E618" i="13"/>
  <c r="E611" i="13"/>
  <c r="E598" i="13"/>
  <c r="E593" i="13"/>
  <c r="E582" i="13"/>
  <c r="E577" i="13"/>
  <c r="E566" i="13"/>
  <c r="E561" i="13"/>
  <c r="E550" i="13"/>
  <c r="E545" i="13"/>
  <c r="E534" i="13"/>
  <c r="E529" i="13"/>
  <c r="E518" i="13"/>
  <c r="E513" i="13"/>
  <c r="E507" i="13"/>
  <c r="E499" i="13"/>
  <c r="E493" i="13"/>
  <c r="E482" i="13"/>
  <c r="E477" i="13"/>
  <c r="E466" i="13"/>
  <c r="E461" i="13"/>
  <c r="E450" i="13"/>
  <c r="E445" i="13"/>
  <c r="E434" i="13"/>
  <c r="E429" i="13"/>
  <c r="E418" i="13"/>
  <c r="E413" i="13"/>
  <c r="E402" i="13"/>
  <c r="E395" i="13"/>
  <c r="E382" i="13"/>
  <c r="E377" i="13"/>
  <c r="E366" i="13"/>
  <c r="E361" i="13"/>
  <c r="E350" i="13"/>
  <c r="E345" i="13"/>
  <c r="E334" i="13"/>
  <c r="E329" i="13"/>
  <c r="E318" i="13"/>
  <c r="E313" i="13"/>
  <c r="E302" i="13"/>
  <c r="E297" i="13"/>
  <c r="E291" i="13"/>
  <c r="E283" i="13"/>
  <c r="E277" i="13"/>
  <c r="E266" i="13"/>
  <c r="E261" i="13"/>
  <c r="E250" i="13"/>
  <c r="E245" i="13"/>
  <c r="E234" i="13"/>
  <c r="E229" i="13"/>
  <c r="E218" i="13"/>
  <c r="E213" i="13"/>
  <c r="E202" i="13"/>
  <c r="E197" i="13"/>
  <c r="E186" i="13"/>
  <c r="E179" i="13"/>
  <c r="E166" i="13"/>
  <c r="E161" i="13"/>
  <c r="E150" i="13"/>
  <c r="E145" i="13"/>
  <c r="E134" i="13"/>
  <c r="E129" i="13"/>
  <c r="E118" i="13"/>
  <c r="E113" i="13"/>
  <c r="E102" i="13"/>
  <c r="E97" i="13"/>
  <c r="E86" i="13"/>
  <c r="E81" i="13"/>
  <c r="E75" i="13"/>
  <c r="E67" i="13"/>
  <c r="E59" i="13"/>
  <c r="E51" i="13"/>
  <c r="E43" i="13"/>
  <c r="E35" i="13"/>
  <c r="E27" i="13"/>
  <c r="E19" i="13"/>
  <c r="E11" i="13"/>
  <c r="E1150" i="13"/>
  <c r="E1086" i="13"/>
  <c r="E1022" i="13"/>
  <c r="E969" i="13"/>
  <c r="E937" i="13"/>
  <c r="E1327" i="13"/>
  <c r="D1347" i="13"/>
  <c r="D1219" i="13"/>
  <c r="D1091" i="13"/>
  <c r="D2335" i="13"/>
  <c r="D1987" i="13"/>
  <c r="E1432" i="13"/>
  <c r="E1408" i="13"/>
  <c r="E1376" i="13"/>
  <c r="E1344" i="13"/>
  <c r="E1312" i="13"/>
  <c r="E1280" i="13"/>
  <c r="E1248" i="13"/>
  <c r="E1216" i="13"/>
  <c r="E1132" i="13"/>
  <c r="E1004" i="13"/>
  <c r="E960" i="13"/>
  <c r="E896" i="13"/>
  <c r="E832" i="13"/>
  <c r="E717" i="13"/>
  <c r="E697" i="13"/>
  <c r="E686" i="13"/>
  <c r="E681" i="13"/>
  <c r="E670" i="13"/>
  <c r="E665" i="13"/>
  <c r="E654" i="13"/>
  <c r="E649" i="13"/>
  <c r="E638" i="13"/>
  <c r="E633" i="13"/>
  <c r="E622" i="13"/>
  <c r="E617" i="13"/>
  <c r="E609" i="13"/>
  <c r="E602" i="13"/>
  <c r="E597" i="13"/>
  <c r="E586" i="13"/>
  <c r="E581" i="13"/>
  <c r="E570" i="13"/>
  <c r="E565" i="13"/>
  <c r="E554" i="13"/>
  <c r="E549" i="13"/>
  <c r="E538" i="13"/>
  <c r="E533" i="13"/>
  <c r="E522" i="13"/>
  <c r="E517" i="13"/>
  <c r="E505" i="13"/>
  <c r="E497" i="13"/>
  <c r="E486" i="13"/>
  <c r="E481" i="13"/>
  <c r="E470" i="13"/>
  <c r="E465" i="13"/>
  <c r="E454" i="13"/>
  <c r="E449" i="13"/>
  <c r="E438" i="13"/>
  <c r="E433" i="13"/>
  <c r="E422" i="13"/>
  <c r="E417" i="13"/>
  <c r="E406" i="13"/>
  <c r="E401" i="13"/>
  <c r="E393" i="13"/>
  <c r="E386" i="13"/>
  <c r="E381" i="13"/>
  <c r="E370" i="13"/>
  <c r="E365" i="13"/>
  <c r="E354" i="13"/>
  <c r="E349" i="13"/>
  <c r="E338" i="13"/>
  <c r="E333" i="13"/>
  <c r="E322" i="13"/>
  <c r="E317" i="13"/>
  <c r="E306" i="13"/>
  <c r="E301" i="13"/>
  <c r="E289" i="13"/>
  <c r="E281" i="13"/>
  <c r="E270" i="13"/>
  <c r="E265" i="13"/>
  <c r="E254" i="13"/>
  <c r="E249" i="13"/>
  <c r="E238" i="13"/>
  <c r="E233" i="13"/>
  <c r="E222" i="13"/>
  <c r="E217" i="13"/>
  <c r="E206" i="13"/>
  <c r="E201" i="13"/>
  <c r="E190" i="13"/>
  <c r="E185" i="13"/>
  <c r="E177" i="13"/>
  <c r="E170" i="13"/>
  <c r="E165" i="13"/>
  <c r="E154" i="13"/>
  <c r="E149" i="13"/>
  <c r="E138" i="13"/>
  <c r="E133" i="13"/>
  <c r="E122" i="13"/>
  <c r="E117" i="13"/>
  <c r="E106" i="13"/>
  <c r="E101" i="13"/>
  <c r="E90" i="13"/>
  <c r="E85" i="13"/>
  <c r="E73" i="13"/>
  <c r="E65" i="13"/>
  <c r="E57" i="13"/>
  <c r="E49" i="13"/>
  <c r="E41" i="13"/>
  <c r="E33" i="13"/>
  <c r="E25" i="13"/>
  <c r="E17" i="13"/>
  <c r="E1190" i="13"/>
  <c r="E1134" i="13"/>
  <c r="E1070" i="13"/>
  <c r="E1006" i="13"/>
  <c r="E991" i="13"/>
  <c r="E959" i="13"/>
  <c r="E927" i="13"/>
  <c r="D2246" i="13"/>
  <c r="D1730" i="13"/>
  <c r="E1368" i="13"/>
  <c r="E1240" i="13"/>
  <c r="E944" i="13"/>
  <c r="E685" i="13"/>
  <c r="E642" i="13"/>
  <c r="E621" i="13"/>
  <c r="E574" i="13"/>
  <c r="E553" i="13"/>
  <c r="E510" i="13"/>
  <c r="E485" i="13"/>
  <c r="E442" i="13"/>
  <c r="E421" i="13"/>
  <c r="E399" i="13"/>
  <c r="E374" i="13"/>
  <c r="E353" i="13"/>
  <c r="E310" i="13"/>
  <c r="E287" i="13"/>
  <c r="E242" i="13"/>
  <c r="E221" i="13"/>
  <c r="E175" i="13"/>
  <c r="E153" i="13"/>
  <c r="E110" i="13"/>
  <c r="E89" i="13"/>
  <c r="E63" i="13"/>
  <c r="E31" i="13"/>
  <c r="E1118" i="13"/>
  <c r="E953" i="13"/>
  <c r="E897" i="13"/>
  <c r="E855" i="13"/>
  <c r="E815" i="13"/>
  <c r="E1178" i="13"/>
  <c r="E1146" i="13"/>
  <c r="E1114" i="13"/>
  <c r="E1082" i="13"/>
  <c r="E1050" i="13"/>
  <c r="E1018" i="13"/>
  <c r="E987" i="13"/>
  <c r="E971" i="13"/>
  <c r="E955" i="13"/>
  <c r="E939" i="13"/>
  <c r="E923" i="13"/>
  <c r="E907" i="13"/>
  <c r="E891" i="13"/>
  <c r="E875" i="13"/>
  <c r="E859" i="13"/>
  <c r="E843" i="13"/>
  <c r="E827" i="13"/>
  <c r="E811" i="13"/>
  <c r="E793" i="13"/>
  <c r="E786" i="13"/>
  <c r="E778" i="13"/>
  <c r="E770" i="13"/>
  <c r="E762" i="13"/>
  <c r="E754" i="13"/>
  <c r="E746" i="13"/>
  <c r="E738" i="13"/>
  <c r="D706" i="13"/>
  <c r="D701" i="13"/>
  <c r="D690" i="13"/>
  <c r="D685" i="13"/>
  <c r="D674" i="13"/>
  <c r="D669" i="13"/>
  <c r="D658" i="13"/>
  <c r="D653" i="13"/>
  <c r="D642" i="13"/>
  <c r="D637" i="13"/>
  <c r="D626" i="13"/>
  <c r="D621" i="13"/>
  <c r="D615" i="13"/>
  <c r="D607" i="13"/>
  <c r="D601" i="13"/>
  <c r="D590" i="13"/>
  <c r="D585" i="13"/>
  <c r="D574" i="13"/>
  <c r="D569" i="13"/>
  <c r="D558" i="13"/>
  <c r="D553" i="13"/>
  <c r="D542" i="13"/>
  <c r="D537" i="13"/>
  <c r="D526" i="13"/>
  <c r="D521" i="13"/>
  <c r="D510" i="13"/>
  <c r="D503" i="13"/>
  <c r="D490" i="13"/>
  <c r="D485" i="13"/>
  <c r="D474" i="13"/>
  <c r="D469" i="13"/>
  <c r="D458" i="13"/>
  <c r="D453" i="13"/>
  <c r="D442" i="13"/>
  <c r="D437" i="13"/>
  <c r="D426" i="13"/>
  <c r="D421" i="13"/>
  <c r="D410" i="13"/>
  <c r="D405" i="13"/>
  <c r="D399" i="13"/>
  <c r="D391" i="13"/>
  <c r="D385" i="13"/>
  <c r="D374" i="13"/>
  <c r="D369" i="13"/>
  <c r="D358" i="13"/>
  <c r="D353" i="13"/>
  <c r="D342" i="13"/>
  <c r="D337" i="13"/>
  <c r="D326" i="13"/>
  <c r="D321" i="13"/>
  <c r="D310" i="13"/>
  <c r="D305" i="13"/>
  <c r="D294" i="13"/>
  <c r="D287" i="13"/>
  <c r="D274" i="13"/>
  <c r="D269" i="13"/>
  <c r="D258" i="13"/>
  <c r="D1315" i="13"/>
  <c r="E1336" i="13"/>
  <c r="E1208" i="13"/>
  <c r="E880" i="13"/>
  <c r="E709" i="13"/>
  <c r="E658" i="13"/>
  <c r="E637" i="13"/>
  <c r="E615" i="13"/>
  <c r="E590" i="13"/>
  <c r="E569" i="13"/>
  <c r="E526" i="13"/>
  <c r="E503" i="13"/>
  <c r="E458" i="13"/>
  <c r="E437" i="13"/>
  <c r="E391" i="13"/>
  <c r="E369" i="13"/>
  <c r="E326" i="13"/>
  <c r="E305" i="13"/>
  <c r="E258" i="13"/>
  <c r="E237" i="13"/>
  <c r="E194" i="13"/>
  <c r="E169" i="13"/>
  <c r="E126" i="13"/>
  <c r="E105" i="13"/>
  <c r="E55" i="13"/>
  <c r="E23" i="13"/>
  <c r="E1054" i="13"/>
  <c r="E921" i="13"/>
  <c r="E879" i="13"/>
  <c r="E849" i="13"/>
  <c r="E809" i="13"/>
  <c r="E1170" i="13"/>
  <c r="E1138" i="13"/>
  <c r="E1106" i="13"/>
  <c r="E1074" i="13"/>
  <c r="E1042" i="13"/>
  <c r="E1010" i="13"/>
  <c r="E997" i="13"/>
  <c r="E981" i="13"/>
  <c r="E965" i="13"/>
  <c r="E949" i="13"/>
  <c r="E933" i="13"/>
  <c r="E917" i="13"/>
  <c r="E901" i="13"/>
  <c r="E885" i="13"/>
  <c r="E869" i="13"/>
  <c r="E853" i="13"/>
  <c r="E837" i="13"/>
  <c r="E821" i="13"/>
  <c r="E805" i="13"/>
  <c r="E792" i="13"/>
  <c r="E784" i="13"/>
  <c r="E776" i="13"/>
  <c r="E768" i="13"/>
  <c r="E760" i="13"/>
  <c r="E752" i="13"/>
  <c r="E744" i="13"/>
  <c r="E736" i="13"/>
  <c r="D730" i="13"/>
  <c r="D726" i="13"/>
  <c r="D722" i="13"/>
  <c r="D718" i="13"/>
  <c r="D714" i="13"/>
  <c r="D710" i="13"/>
  <c r="D705" i="13"/>
  <c r="D694" i="13"/>
  <c r="D689" i="13"/>
  <c r="D678" i="13"/>
  <c r="D673" i="13"/>
  <c r="D662" i="13"/>
  <c r="D657" i="13"/>
  <c r="D646" i="13"/>
  <c r="D641" i="13"/>
  <c r="D630" i="13"/>
  <c r="D625" i="13"/>
  <c r="D613" i="13"/>
  <c r="D605" i="13"/>
  <c r="D594" i="13"/>
  <c r="D589" i="13"/>
  <c r="D578" i="13"/>
  <c r="D573" i="13"/>
  <c r="D562" i="13"/>
  <c r="D557" i="13"/>
  <c r="D546" i="13"/>
  <c r="D541" i="13"/>
  <c r="D530" i="13"/>
  <c r="D525" i="13"/>
  <c r="D514" i="13"/>
  <c r="D509" i="13"/>
  <c r="D501" i="13"/>
  <c r="D494" i="13"/>
  <c r="D489" i="13"/>
  <c r="D478" i="13"/>
  <c r="D473" i="13"/>
  <c r="D462" i="13"/>
  <c r="D457" i="13"/>
  <c r="D446" i="13"/>
  <c r="D441" i="13"/>
  <c r="D430" i="13"/>
  <c r="D425" i="13"/>
  <c r="D414" i="13"/>
  <c r="D409" i="13"/>
  <c r="D397" i="13"/>
  <c r="D389" i="13"/>
  <c r="D378" i="13"/>
  <c r="D373" i="13"/>
  <c r="D362" i="13"/>
  <c r="D357" i="13"/>
  <c r="D346" i="13"/>
  <c r="D341" i="13"/>
  <c r="D330" i="13"/>
  <c r="D325" i="13"/>
  <c r="D314" i="13"/>
  <c r="D309" i="13"/>
  <c r="D298" i="13"/>
  <c r="D293" i="13"/>
  <c r="D285" i="13"/>
  <c r="D1187" i="13"/>
  <c r="E1428" i="13"/>
  <c r="E1304" i="13"/>
  <c r="E1100" i="13"/>
  <c r="E816" i="13"/>
  <c r="E729" i="13"/>
  <c r="E674" i="13"/>
  <c r="E653" i="13"/>
  <c r="E607" i="13"/>
  <c r="E585" i="13"/>
  <c r="E542" i="13"/>
  <c r="E521" i="13"/>
  <c r="E474" i="13"/>
  <c r="E453" i="13"/>
  <c r="E410" i="13"/>
  <c r="E385" i="13"/>
  <c r="E342" i="13"/>
  <c r="E321" i="13"/>
  <c r="E274" i="13"/>
  <c r="E253" i="13"/>
  <c r="E210" i="13"/>
  <c r="E189" i="13"/>
  <c r="E142" i="13"/>
  <c r="E121" i="13"/>
  <c r="E78" i="13"/>
  <c r="E47" i="13"/>
  <c r="E15" i="13"/>
  <c r="E905" i="13"/>
  <c r="E873" i="13"/>
  <c r="E831" i="13"/>
  <c r="E1194" i="13"/>
  <c r="E1162" i="13"/>
  <c r="E1130" i="13"/>
  <c r="E1098" i="13"/>
  <c r="E1066" i="13"/>
  <c r="E1034" i="13"/>
  <c r="E1002" i="13"/>
  <c r="E995" i="13"/>
  <c r="E979" i="13"/>
  <c r="E963" i="13"/>
  <c r="E947" i="13"/>
  <c r="E931" i="13"/>
  <c r="E915" i="13"/>
  <c r="E899" i="13"/>
  <c r="E883" i="13"/>
  <c r="E867" i="13"/>
  <c r="E851" i="13"/>
  <c r="E835" i="13"/>
  <c r="E819" i="13"/>
  <c r="E803" i="13"/>
  <c r="E790" i="13"/>
  <c r="E782" i="13"/>
  <c r="E774" i="13"/>
  <c r="E766" i="13"/>
  <c r="E758" i="13"/>
  <c r="E750" i="13"/>
  <c r="E742" i="13"/>
  <c r="D735" i="13"/>
  <c r="D729" i="13"/>
  <c r="D725" i="13"/>
  <c r="D721" i="13"/>
  <c r="D717" i="13"/>
  <c r="D713" i="13"/>
  <c r="D709" i="13"/>
  <c r="D698" i="13"/>
  <c r="D693" i="13"/>
  <c r="D682" i="13"/>
  <c r="D677" i="13"/>
  <c r="D666" i="13"/>
  <c r="D661" i="13"/>
  <c r="D650" i="13"/>
  <c r="D645" i="13"/>
  <c r="D634" i="13"/>
  <c r="D629" i="13"/>
  <c r="D618" i="13"/>
  <c r="D611" i="13"/>
  <c r="D598" i="13"/>
  <c r="D593" i="13"/>
  <c r="D582" i="13"/>
  <c r="D577" i="13"/>
  <c r="D566" i="13"/>
  <c r="D561" i="13"/>
  <c r="D550" i="13"/>
  <c r="D545" i="13"/>
  <c r="D534" i="13"/>
  <c r="D529" i="13"/>
  <c r="D518" i="13"/>
  <c r="D513" i="13"/>
  <c r="D507" i="13"/>
  <c r="D499" i="13"/>
  <c r="D493" i="13"/>
  <c r="D482" i="13"/>
  <c r="D477" i="13"/>
  <c r="D466" i="13"/>
  <c r="D461" i="13"/>
  <c r="D450" i="13"/>
  <c r="D445" i="13"/>
  <c r="D434" i="13"/>
  <c r="D429" i="13"/>
  <c r="D418" i="13"/>
  <c r="D413" i="13"/>
  <c r="D402" i="13"/>
  <c r="D395" i="13"/>
  <c r="D382" i="13"/>
  <c r="D377" i="13"/>
  <c r="D366" i="13"/>
  <c r="D361" i="13"/>
  <c r="D350" i="13"/>
  <c r="D345" i="13"/>
  <c r="D334" i="13"/>
  <c r="D329" i="13"/>
  <c r="D318" i="13"/>
  <c r="D313" i="13"/>
  <c r="D302" i="13"/>
  <c r="D297" i="13"/>
  <c r="D291" i="13"/>
  <c r="D283" i="13"/>
  <c r="D277" i="13"/>
  <c r="D266" i="13"/>
  <c r="D261" i="13"/>
  <c r="D1059" i="13"/>
  <c r="D1802" i="13"/>
  <c r="E558" i="13"/>
  <c r="E469" i="13"/>
  <c r="E294" i="13"/>
  <c r="E205" i="13"/>
  <c r="E1174" i="13"/>
  <c r="E825" i="13"/>
  <c r="E1090" i="13"/>
  <c r="E941" i="13"/>
  <c r="E877" i="13"/>
  <c r="E813" i="13"/>
  <c r="E772" i="13"/>
  <c r="E740" i="13"/>
  <c r="D686" i="13"/>
  <c r="D665" i="13"/>
  <c r="D622" i="13"/>
  <c r="D597" i="13"/>
  <c r="D554" i="13"/>
  <c r="D533" i="13"/>
  <c r="D486" i="13"/>
  <c r="D465" i="13"/>
  <c r="D422" i="13"/>
  <c r="D401" i="13"/>
  <c r="D354" i="13"/>
  <c r="D333" i="13"/>
  <c r="D289" i="13"/>
  <c r="D273" i="13"/>
  <c r="D262" i="13"/>
  <c r="D253" i="13"/>
  <c r="D242" i="13"/>
  <c r="D237" i="13"/>
  <c r="D226" i="13"/>
  <c r="D221" i="13"/>
  <c r="D210" i="13"/>
  <c r="D205" i="13"/>
  <c r="D194" i="13"/>
  <c r="D189" i="13"/>
  <c r="D183" i="13"/>
  <c r="D175" i="13"/>
  <c r="D169" i="13"/>
  <c r="D158" i="13"/>
  <c r="D153" i="13"/>
  <c r="D142" i="13"/>
  <c r="D137" i="13"/>
  <c r="D126" i="13"/>
  <c r="D121" i="13"/>
  <c r="D110" i="13"/>
  <c r="D105" i="13"/>
  <c r="D94" i="13"/>
  <c r="D89" i="13"/>
  <c r="D78" i="13"/>
  <c r="D71" i="13"/>
  <c r="D63" i="13"/>
  <c r="D55" i="13"/>
  <c r="D47" i="13"/>
  <c r="D39" i="13"/>
  <c r="D31" i="13"/>
  <c r="D23" i="13"/>
  <c r="D15" i="13"/>
  <c r="E1192" i="13"/>
  <c r="E1160" i="13"/>
  <c r="E1128" i="13"/>
  <c r="E1096" i="13"/>
  <c r="E1064" i="13"/>
  <c r="E1032" i="13"/>
  <c r="E1000" i="13"/>
  <c r="E994" i="13"/>
  <c r="E978" i="13"/>
  <c r="E962" i="13"/>
  <c r="E946" i="13"/>
  <c r="E930" i="13"/>
  <c r="E914" i="13"/>
  <c r="E898" i="13"/>
  <c r="E882" i="13"/>
  <c r="E866" i="13"/>
  <c r="E850" i="13"/>
  <c r="E834" i="13"/>
  <c r="E818" i="13"/>
  <c r="E800" i="13"/>
  <c r="E731" i="13"/>
  <c r="E727" i="13"/>
  <c r="E723" i="13"/>
  <c r="E719" i="13"/>
  <c r="E715" i="13"/>
  <c r="E711" i="13"/>
  <c r="E700" i="13"/>
  <c r="E695" i="13"/>
  <c r="E684" i="13"/>
  <c r="E679" i="13"/>
  <c r="E668" i="13"/>
  <c r="E663" i="13"/>
  <c r="E652" i="13"/>
  <c r="E647" i="13"/>
  <c r="E636" i="13"/>
  <c r="E631" i="13"/>
  <c r="E620" i="13"/>
  <c r="E614" i="13"/>
  <c r="E606" i="13"/>
  <c r="E600" i="13"/>
  <c r="E595" i="13"/>
  <c r="E584" i="13"/>
  <c r="E579" i="13"/>
  <c r="E568" i="13"/>
  <c r="E563" i="13"/>
  <c r="E552" i="13"/>
  <c r="E547" i="13"/>
  <c r="E536" i="13"/>
  <c r="E531" i="13"/>
  <c r="E520" i="13"/>
  <c r="E515" i="13"/>
  <c r="E502" i="13"/>
  <c r="E495" i="13"/>
  <c r="E484" i="13"/>
  <c r="E479" i="13"/>
  <c r="E468" i="13"/>
  <c r="E463" i="13"/>
  <c r="E452" i="13"/>
  <c r="E447" i="13"/>
  <c r="E436" i="13"/>
  <c r="E431" i="13"/>
  <c r="E420" i="13"/>
  <c r="E415" i="13"/>
  <c r="E404" i="13"/>
  <c r="E398" i="13"/>
  <c r="E390" i="13"/>
  <c r="E384" i="13"/>
  <c r="E379" i="13"/>
  <c r="E368" i="13"/>
  <c r="E363" i="13"/>
  <c r="E352" i="13"/>
  <c r="E347" i="13"/>
  <c r="E336" i="13"/>
  <c r="E331" i="13"/>
  <c r="E320" i="13"/>
  <c r="E315" i="13"/>
  <c r="E304" i="13"/>
  <c r="E299" i="13"/>
  <c r="E286" i="13"/>
  <c r="E279" i="13"/>
  <c r="E268" i="13"/>
  <c r="E263" i="13"/>
  <c r="E252" i="13"/>
  <c r="E247" i="13"/>
  <c r="E236" i="13"/>
  <c r="E231" i="13"/>
  <c r="E220" i="13"/>
  <c r="E215" i="13"/>
  <c r="E204" i="13"/>
  <c r="E199" i="13"/>
  <c r="E188" i="13"/>
  <c r="E182" i="13"/>
  <c r="E174" i="13"/>
  <c r="E168" i="13"/>
  <c r="E163" i="13"/>
  <c r="E152" i="13"/>
  <c r="E147" i="13"/>
  <c r="E136" i="13"/>
  <c r="E131" i="13"/>
  <c r="E120" i="13"/>
  <c r="E115" i="13"/>
  <c r="E104" i="13"/>
  <c r="E99" i="13"/>
  <c r="E88" i="13"/>
  <c r="E83" i="13"/>
  <c r="E70" i="13"/>
  <c r="E62" i="13"/>
  <c r="E54" i="13"/>
  <c r="E46" i="13"/>
  <c r="E38" i="13"/>
  <c r="E30" i="13"/>
  <c r="E22" i="13"/>
  <c r="E14" i="13"/>
  <c r="E1182" i="13"/>
  <c r="E1110" i="13"/>
  <c r="E1046" i="13"/>
  <c r="E983" i="13"/>
  <c r="E951" i="13"/>
  <c r="E919" i="13"/>
  <c r="E887" i="13"/>
  <c r="E857" i="13"/>
  <c r="E823" i="13"/>
  <c r="E783" i="13"/>
  <c r="E749" i="13"/>
  <c r="D731" i="13"/>
  <c r="D715" i="13"/>
  <c r="D711" i="13"/>
  <c r="D668" i="13"/>
  <c r="D647" i="13"/>
  <c r="D600" i="13"/>
  <c r="D579" i="13"/>
  <c r="D536" i="13"/>
  <c r="D515" i="13"/>
  <c r="D468" i="13"/>
  <c r="D447" i="13"/>
  <c r="D404" i="13"/>
  <c r="D379" i="13"/>
  <c r="D336" i="13"/>
  <c r="D315" i="13"/>
  <c r="D268" i="13"/>
  <c r="D247" i="13"/>
  <c r="D204" i="13"/>
  <c r="D182" i="13"/>
  <c r="D136" i="13"/>
  <c r="D115" i="13"/>
  <c r="D70" i="13"/>
  <c r="D38" i="13"/>
  <c r="D84" i="13"/>
  <c r="E781" i="13"/>
  <c r="E753" i="13"/>
  <c r="D688" i="13"/>
  <c r="D667" i="13"/>
  <c r="D624" i="13"/>
  <c r="D599" i="13"/>
  <c r="D556" i="13"/>
  <c r="D535" i="13"/>
  <c r="D488" i="13"/>
  <c r="D467" i="13"/>
  <c r="D424" i="13"/>
  <c r="D403" i="13"/>
  <c r="D356" i="13"/>
  <c r="D335" i="13"/>
  <c r="D292" i="13"/>
  <c r="D267" i="13"/>
  <c r="D224" i="13"/>
  <c r="D203" i="13"/>
  <c r="D180" i="13"/>
  <c r="D156" i="13"/>
  <c r="D135" i="13"/>
  <c r="D92" i="13"/>
  <c r="D68" i="13"/>
  <c r="D36" i="13"/>
  <c r="E1400" i="13"/>
  <c r="E713" i="13"/>
  <c r="E626" i="13"/>
  <c r="E537" i="13"/>
  <c r="E358" i="13"/>
  <c r="E269" i="13"/>
  <c r="E183" i="13"/>
  <c r="E94" i="13"/>
  <c r="E985" i="13"/>
  <c r="E1186" i="13"/>
  <c r="E1058" i="13"/>
  <c r="E989" i="13"/>
  <c r="E925" i="13"/>
  <c r="E861" i="13"/>
  <c r="E801" i="13"/>
  <c r="E764" i="13"/>
  <c r="D733" i="13"/>
  <c r="D702" i="13"/>
  <c r="D681" i="13"/>
  <c r="D638" i="13"/>
  <c r="D617" i="13"/>
  <c r="D570" i="13"/>
  <c r="D549" i="13"/>
  <c r="D505" i="13"/>
  <c r="D481" i="13"/>
  <c r="D438" i="13"/>
  <c r="D417" i="13"/>
  <c r="D393" i="13"/>
  <c r="D370" i="13"/>
  <c r="D349" i="13"/>
  <c r="D306" i="13"/>
  <c r="D281" i="13"/>
  <c r="D270" i="13"/>
  <c r="D246" i="13"/>
  <c r="D241" i="13"/>
  <c r="D230" i="13"/>
  <c r="D225" i="13"/>
  <c r="D214" i="13"/>
  <c r="D209" i="13"/>
  <c r="D198" i="13"/>
  <c r="D193" i="13"/>
  <c r="D181" i="13"/>
  <c r="D173" i="13"/>
  <c r="D162" i="13"/>
  <c r="D157" i="13"/>
  <c r="D146" i="13"/>
  <c r="D141" i="13"/>
  <c r="D130" i="13"/>
  <c r="D125" i="13"/>
  <c r="D114" i="13"/>
  <c r="D109" i="13"/>
  <c r="D98" i="13"/>
  <c r="D93" i="13"/>
  <c r="D82" i="13"/>
  <c r="D77" i="13"/>
  <c r="D69" i="13"/>
  <c r="D61" i="13"/>
  <c r="D53" i="13"/>
  <c r="D45" i="13"/>
  <c r="D37" i="13"/>
  <c r="D29" i="13"/>
  <c r="D21" i="13"/>
  <c r="D13" i="13"/>
  <c r="E1184" i="13"/>
  <c r="E1152" i="13"/>
  <c r="E1120" i="13"/>
  <c r="E1088" i="13"/>
  <c r="E1056" i="13"/>
  <c r="E1024" i="13"/>
  <c r="E988" i="13"/>
  <c r="E972" i="13"/>
  <c r="E956" i="13"/>
  <c r="E940" i="13"/>
  <c r="E924" i="13"/>
  <c r="E908" i="13"/>
  <c r="E892" i="13"/>
  <c r="E876" i="13"/>
  <c r="E860" i="13"/>
  <c r="E844" i="13"/>
  <c r="E828" i="13"/>
  <c r="E812" i="13"/>
  <c r="E798" i="13"/>
  <c r="E704" i="13"/>
  <c r="E699" i="13"/>
  <c r="E688" i="13"/>
  <c r="E683" i="13"/>
  <c r="E672" i="13"/>
  <c r="E667" i="13"/>
  <c r="E656" i="13"/>
  <c r="E651" i="13"/>
  <c r="E640" i="13"/>
  <c r="E635" i="13"/>
  <c r="E624" i="13"/>
  <c r="E619" i="13"/>
  <c r="E612" i="13"/>
  <c r="E604" i="13"/>
  <c r="E599" i="13"/>
  <c r="E588" i="13"/>
  <c r="E583" i="13"/>
  <c r="E572" i="13"/>
  <c r="E567" i="13"/>
  <c r="E556" i="13"/>
  <c r="E551" i="13"/>
  <c r="E540" i="13"/>
  <c r="E535" i="13"/>
  <c r="E524" i="13"/>
  <c r="E519" i="13"/>
  <c r="E508" i="13"/>
  <c r="E500" i="13"/>
  <c r="E488" i="13"/>
  <c r="E483" i="13"/>
  <c r="E472" i="13"/>
  <c r="E467" i="13"/>
  <c r="E456" i="13"/>
  <c r="E451" i="13"/>
  <c r="E440" i="13"/>
  <c r="E435" i="13"/>
  <c r="E424" i="13"/>
  <c r="E419" i="13"/>
  <c r="E408" i="13"/>
  <c r="E403" i="13"/>
  <c r="E396" i="13"/>
  <c r="E388" i="13"/>
  <c r="E383" i="13"/>
  <c r="E372" i="13"/>
  <c r="E367" i="13"/>
  <c r="E356" i="13"/>
  <c r="E351" i="13"/>
  <c r="E340" i="13"/>
  <c r="E335" i="13"/>
  <c r="E324" i="13"/>
  <c r="E319" i="13"/>
  <c r="E308" i="13"/>
  <c r="E303" i="13"/>
  <c r="E292" i="13"/>
  <c r="E284" i="13"/>
  <c r="E272" i="13"/>
  <c r="E267" i="13"/>
  <c r="E256" i="13"/>
  <c r="E251" i="13"/>
  <c r="E240" i="13"/>
  <c r="E235" i="13"/>
  <c r="E224" i="13"/>
  <c r="E219" i="13"/>
  <c r="E208" i="13"/>
  <c r="E203" i="13"/>
  <c r="E192" i="13"/>
  <c r="E187" i="13"/>
  <c r="E180" i="13"/>
  <c r="E172" i="13"/>
  <c r="E167" i="13"/>
  <c r="E156" i="13"/>
  <c r="E151" i="13"/>
  <c r="E140" i="13"/>
  <c r="E135" i="13"/>
  <c r="E124" i="13"/>
  <c r="E119" i="13"/>
  <c r="E108" i="13"/>
  <c r="E103" i="13"/>
  <c r="E92" i="13"/>
  <c r="E87" i="13"/>
  <c r="E76" i="13"/>
  <c r="E68" i="13"/>
  <c r="E60" i="13"/>
  <c r="E52" i="13"/>
  <c r="E44" i="13"/>
  <c r="E36" i="13"/>
  <c r="E28" i="13"/>
  <c r="E20" i="13"/>
  <c r="E12" i="13"/>
  <c r="E1166" i="13"/>
  <c r="E1094" i="13"/>
  <c r="E1030" i="13"/>
  <c r="E977" i="13"/>
  <c r="E943" i="13"/>
  <c r="E913" i="13"/>
  <c r="E881" i="13"/>
  <c r="E847" i="13"/>
  <c r="E817" i="13"/>
  <c r="E773" i="13"/>
  <c r="E739" i="13"/>
  <c r="D727" i="13"/>
  <c r="D684" i="13"/>
  <c r="D663" i="13"/>
  <c r="D620" i="13"/>
  <c r="D595" i="13"/>
  <c r="D552" i="13"/>
  <c r="D531" i="13"/>
  <c r="D484" i="13"/>
  <c r="D463" i="13"/>
  <c r="D420" i="13"/>
  <c r="D398" i="13"/>
  <c r="D352" i="13"/>
  <c r="D331" i="13"/>
  <c r="D286" i="13"/>
  <c r="D263" i="13"/>
  <c r="D220" i="13"/>
  <c r="D199" i="13"/>
  <c r="D174" i="13"/>
  <c r="D152" i="13"/>
  <c r="D131" i="13"/>
  <c r="D88" i="13"/>
  <c r="D62" i="13"/>
  <c r="D30" i="13"/>
  <c r="D16" i="13"/>
  <c r="E777" i="13"/>
  <c r="E743" i="13"/>
  <c r="D704" i="13"/>
  <c r="D683" i="13"/>
  <c r="D640" i="13"/>
  <c r="D619" i="13"/>
  <c r="D572" i="13"/>
  <c r="D551" i="13"/>
  <c r="D508" i="13"/>
  <c r="D483" i="13"/>
  <c r="D440" i="13"/>
  <c r="D419" i="13"/>
  <c r="D396" i="13"/>
  <c r="D372" i="13"/>
  <c r="D351" i="13"/>
  <c r="E1272" i="13"/>
  <c r="E690" i="13"/>
  <c r="E601" i="13"/>
  <c r="E426" i="13"/>
  <c r="E337" i="13"/>
  <c r="E158" i="13"/>
  <c r="E71" i="13"/>
  <c r="E903" i="13"/>
  <c r="E1154" i="13"/>
  <c r="E1026" i="13"/>
  <c r="E973" i="13"/>
  <c r="E909" i="13"/>
  <c r="E845" i="13"/>
  <c r="E788" i="13"/>
  <c r="E756" i="13"/>
  <c r="D697" i="13"/>
  <c r="D654" i="13"/>
  <c r="D633" i="13"/>
  <c r="D609" i="13"/>
  <c r="D586" i="13"/>
  <c r="D565" i="13"/>
  <c r="D522" i="13"/>
  <c r="D497" i="13"/>
  <c r="D454" i="13"/>
  <c r="D433" i="13"/>
  <c r="D386" i="13"/>
  <c r="D365" i="13"/>
  <c r="D322" i="13"/>
  <c r="D301" i="13"/>
  <c r="D278" i="13"/>
  <c r="D257" i="13"/>
  <c r="D250" i="13"/>
  <c r="D245" i="13"/>
  <c r="D234" i="13"/>
  <c r="D229" i="13"/>
  <c r="D218" i="13"/>
  <c r="D213" i="13"/>
  <c r="D202" i="13"/>
  <c r="D197" i="13"/>
  <c r="D186" i="13"/>
  <c r="D179" i="13"/>
  <c r="D166" i="13"/>
  <c r="D161" i="13"/>
  <c r="D150" i="13"/>
  <c r="D145" i="13"/>
  <c r="D134" i="13"/>
  <c r="D129" i="13"/>
  <c r="D118" i="13"/>
  <c r="D113" i="13"/>
  <c r="D102" i="13"/>
  <c r="D97" i="13"/>
  <c r="D86" i="13"/>
  <c r="D81" i="13"/>
  <c r="D75" i="13"/>
  <c r="D67" i="13"/>
  <c r="D59" i="13"/>
  <c r="D51" i="13"/>
  <c r="D43" i="13"/>
  <c r="D35" i="13"/>
  <c r="D27" i="13"/>
  <c r="D19" i="13"/>
  <c r="D11" i="13"/>
  <c r="E1176" i="13"/>
  <c r="E1144" i="13"/>
  <c r="E1112" i="13"/>
  <c r="E1080" i="13"/>
  <c r="E1048" i="13"/>
  <c r="E1016" i="13"/>
  <c r="E986" i="13"/>
  <c r="E970" i="13"/>
  <c r="E954" i="13"/>
  <c r="E938" i="13"/>
  <c r="E922" i="13"/>
  <c r="E906" i="13"/>
  <c r="E890" i="13"/>
  <c r="E874" i="13"/>
  <c r="E858" i="13"/>
  <c r="E842" i="13"/>
  <c r="E826" i="13"/>
  <c r="E810" i="13"/>
  <c r="E734" i="13"/>
  <c r="E728" i="13"/>
  <c r="E724" i="13"/>
  <c r="E720" i="13"/>
  <c r="E716" i="13"/>
  <c r="E712" i="13"/>
  <c r="E708" i="13"/>
  <c r="E703" i="13"/>
  <c r="E692" i="13"/>
  <c r="E687" i="13"/>
  <c r="E676" i="13"/>
  <c r="E671" i="13"/>
  <c r="E660" i="13"/>
  <c r="E655" i="13"/>
  <c r="E644" i="13"/>
  <c r="E639" i="13"/>
  <c r="E628" i="13"/>
  <c r="E623" i="13"/>
  <c r="E610" i="13"/>
  <c r="E603" i="13"/>
  <c r="E592" i="13"/>
  <c r="E587" i="13"/>
  <c r="E576" i="13"/>
  <c r="E571" i="13"/>
  <c r="E560" i="13"/>
  <c r="E555" i="13"/>
  <c r="E544" i="13"/>
  <c r="E539" i="13"/>
  <c r="E528" i="13"/>
  <c r="E523" i="13"/>
  <c r="E512" i="13"/>
  <c r="E506" i="13"/>
  <c r="E498" i="13"/>
  <c r="E492" i="13"/>
  <c r="E487" i="13"/>
  <c r="E476" i="13"/>
  <c r="E471" i="13"/>
  <c r="E460" i="13"/>
  <c r="E455" i="13"/>
  <c r="E444" i="13"/>
  <c r="E439" i="13"/>
  <c r="E428" i="13"/>
  <c r="E423" i="13"/>
  <c r="E412" i="13"/>
  <c r="E407" i="13"/>
  <c r="E394" i="13"/>
  <c r="E387" i="13"/>
  <c r="E376" i="13"/>
  <c r="E371" i="13"/>
  <c r="E360" i="13"/>
  <c r="E355" i="13"/>
  <c r="E344" i="13"/>
  <c r="E339" i="13"/>
  <c r="E328" i="13"/>
  <c r="E323" i="13"/>
  <c r="E312" i="13"/>
  <c r="E307" i="13"/>
  <c r="E296" i="13"/>
  <c r="E290" i="13"/>
  <c r="E282" i="13"/>
  <c r="E276" i="13"/>
  <c r="E271" i="13"/>
  <c r="E260" i="13"/>
  <c r="E255" i="13"/>
  <c r="E244" i="13"/>
  <c r="E239" i="13"/>
  <c r="E228" i="13"/>
  <c r="E223" i="13"/>
  <c r="E212" i="13"/>
  <c r="E207" i="13"/>
  <c r="E196" i="13"/>
  <c r="E191" i="13"/>
  <c r="E178" i="13"/>
  <c r="E171" i="13"/>
  <c r="E160" i="13"/>
  <c r="E155" i="13"/>
  <c r="E144" i="13"/>
  <c r="E139" i="13"/>
  <c r="E128" i="13"/>
  <c r="E123" i="13"/>
  <c r="E112" i="13"/>
  <c r="E107" i="13"/>
  <c r="E96" i="13"/>
  <c r="E91" i="13"/>
  <c r="E80" i="13"/>
  <c r="E74" i="13"/>
  <c r="E66" i="13"/>
  <c r="E58" i="13"/>
  <c r="E50" i="13"/>
  <c r="E42" i="13"/>
  <c r="E34" i="13"/>
  <c r="E26" i="13"/>
  <c r="E18" i="13"/>
  <c r="E10" i="13"/>
  <c r="E1142" i="13"/>
  <c r="E1078" i="13"/>
  <c r="E1014" i="13"/>
  <c r="E999" i="13"/>
  <c r="E967" i="13"/>
  <c r="E935" i="13"/>
  <c r="E895" i="13"/>
  <c r="E871" i="13"/>
  <c r="E839" i="13"/>
  <c r="E807" i="13"/>
  <c r="E763" i="13"/>
  <c r="D723" i="13"/>
  <c r="D700" i="13"/>
  <c r="D679" i="13"/>
  <c r="D636" i="13"/>
  <c r="D614" i="13"/>
  <c r="D568" i="13"/>
  <c r="D547" i="13"/>
  <c r="D502" i="13"/>
  <c r="D479" i="13"/>
  <c r="D436" i="13"/>
  <c r="D415" i="13"/>
  <c r="D390" i="13"/>
  <c r="D368" i="13"/>
  <c r="D347" i="13"/>
  <c r="D304" i="13"/>
  <c r="D279" i="13"/>
  <c r="D236" i="13"/>
  <c r="D215" i="13"/>
  <c r="D168" i="13"/>
  <c r="D147" i="13"/>
  <c r="D104" i="13"/>
  <c r="D83" i="13"/>
  <c r="D54" i="13"/>
  <c r="D22" i="13"/>
  <c r="E799" i="13"/>
  <c r="E767" i="13"/>
  <c r="D699" i="13"/>
  <c r="D656" i="13"/>
  <c r="D635" i="13"/>
  <c r="D612" i="13"/>
  <c r="D588" i="13"/>
  <c r="D567" i="13"/>
  <c r="D524" i="13"/>
  <c r="D500" i="13"/>
  <c r="D456" i="13"/>
  <c r="D435" i="13"/>
  <c r="D388" i="13"/>
  <c r="D367" i="13"/>
  <c r="D324" i="13"/>
  <c r="D303" i="13"/>
  <c r="D256" i="13"/>
  <c r="D235" i="13"/>
  <c r="D192" i="13"/>
  <c r="D167" i="13"/>
  <c r="D124" i="13"/>
  <c r="D103" i="13"/>
  <c r="D52" i="13"/>
  <c r="D20" i="13"/>
  <c r="G1090" i="13"/>
  <c r="G398" i="13"/>
  <c r="G109" i="13"/>
  <c r="G575" i="13"/>
  <c r="E2719" i="13"/>
  <c r="E2630" i="13"/>
  <c r="D2762" i="13"/>
  <c r="G160" i="13"/>
  <c r="E2728" i="13"/>
  <c r="E2552" i="13"/>
  <c r="E2452" i="13"/>
  <c r="E2409" i="13"/>
  <c r="E2320" i="13"/>
  <c r="E2277" i="13"/>
  <c r="E2188" i="13"/>
  <c r="E2143" i="13"/>
  <c r="E2081" i="13"/>
  <c r="E2012" i="13"/>
  <c r="D2614" i="13"/>
  <c r="D2516" i="13"/>
  <c r="D2473" i="13"/>
  <c r="D2361" i="13"/>
  <c r="D2332" i="13"/>
  <c r="D2289" i="13"/>
  <c r="D2268" i="13"/>
  <c r="D2221" i="13"/>
  <c r="D2200" i="13"/>
  <c r="D2168" i="13"/>
  <c r="D2157" i="13"/>
  <c r="D2145" i="13"/>
  <c r="D2129" i="13"/>
  <c r="D2113" i="13"/>
  <c r="D2097" i="13"/>
  <c r="D2082" i="13"/>
  <c r="D2065" i="13"/>
  <c r="D2039" i="13"/>
  <c r="D2022" i="13"/>
  <c r="D2013" i="13"/>
  <c r="D1996" i="13"/>
  <c r="D1979" i="13"/>
  <c r="D1970" i="13"/>
  <c r="D2662" i="13"/>
  <c r="D2619" i="13"/>
  <c r="E2597" i="13"/>
  <c r="E2586" i="13"/>
  <c r="E2572" i="13"/>
  <c r="E2550" i="13"/>
  <c r="E2539" i="13"/>
  <c r="E2518" i="13"/>
  <c r="E2507" i="13"/>
  <c r="E2486" i="13"/>
  <c r="E2475" i="13"/>
  <c r="E2450" i="13"/>
  <c r="E2439" i="13"/>
  <c r="E2418" i="13"/>
  <c r="E2407" i="13"/>
  <c r="E2386" i="13"/>
  <c r="E2375" i="13"/>
  <c r="G1144" i="13"/>
  <c r="G1122" i="13"/>
  <c r="G220" i="13"/>
  <c r="G534" i="13"/>
  <c r="G337" i="13"/>
  <c r="E2698" i="13"/>
  <c r="G43" i="13"/>
  <c r="D2670" i="13"/>
  <c r="E2488" i="13"/>
  <c r="E2441" i="13"/>
  <c r="E2352" i="13"/>
  <c r="E2309" i="13"/>
  <c r="E2220" i="13"/>
  <c r="E2177" i="13"/>
  <c r="E2127" i="13"/>
  <c r="E2038" i="13"/>
  <c r="E1969" i="13"/>
  <c r="D2548" i="13"/>
  <c r="D2505" i="13"/>
  <c r="D2416" i="13"/>
  <c r="D2384" i="13"/>
  <c r="D2352" i="13"/>
  <c r="D2305" i="13"/>
  <c r="D2284" i="13"/>
  <c r="D2237" i="13"/>
  <c r="D2216" i="13"/>
  <c r="D2164" i="13"/>
  <c r="D2153" i="13"/>
  <c r="D2139" i="13"/>
  <c r="D2123" i="13"/>
  <c r="D2107" i="13"/>
  <c r="D2091" i="13"/>
  <c r="D2079" i="13"/>
  <c r="D2053" i="13"/>
  <c r="D2036" i="13"/>
  <c r="D2027" i="13"/>
  <c r="D2010" i="13"/>
  <c r="D1993" i="13"/>
  <c r="D1984" i="13"/>
  <c r="D1967" i="13"/>
  <c r="D2646" i="13"/>
  <c r="E2582" i="13"/>
  <c r="E2567" i="13"/>
  <c r="E2546" i="13"/>
  <c r="E2535" i="13"/>
  <c r="E2514" i="13"/>
  <c r="E2503" i="13"/>
  <c r="E2482" i="13"/>
  <c r="E2470" i="13"/>
  <c r="G554" i="13"/>
  <c r="G472" i="13"/>
  <c r="G316" i="13"/>
  <c r="G158" i="13"/>
  <c r="G18" i="13"/>
  <c r="G104" i="13"/>
  <c r="D2719" i="13"/>
  <c r="E2683" i="13"/>
  <c r="E2601" i="13"/>
  <c r="E2520" i="13"/>
  <c r="E2477" i="13"/>
  <c r="E2388" i="13"/>
  <c r="E2341" i="13"/>
  <c r="E2255" i="13"/>
  <c r="E2209" i="13"/>
  <c r="E2111" i="13"/>
  <c r="E2064" i="13"/>
  <c r="E1995" i="13"/>
  <c r="D2584" i="13"/>
  <c r="D2537" i="13"/>
  <c r="D2448" i="13"/>
  <c r="D2405" i="13"/>
  <c r="D2377" i="13"/>
  <c r="D2344" i="13"/>
  <c r="D2321" i="13"/>
  <c r="D2300" i="13"/>
  <c r="D2257" i="13"/>
  <c r="D2232" i="13"/>
  <c r="D2189" i="13"/>
  <c r="D2173" i="13"/>
  <c r="D2152" i="13"/>
  <c r="D2137" i="13"/>
  <c r="D2121" i="13"/>
  <c r="D2105" i="13"/>
  <c r="D2089" i="13"/>
  <c r="D2078" i="13"/>
  <c r="D2069" i="13"/>
  <c r="D2052" i="13"/>
  <c r="D2035" i="13"/>
  <c r="D2026" i="13"/>
  <c r="D2009" i="13"/>
  <c r="D1983" i="13"/>
  <c r="D1966" i="13"/>
  <c r="D1957" i="13"/>
  <c r="E2608" i="13"/>
  <c r="E2591" i="13"/>
  <c r="E2580" i="13"/>
  <c r="E2566" i="13"/>
  <c r="E2555" i="13"/>
  <c r="E2534" i="13"/>
  <c r="E2523" i="13"/>
  <c r="E2502" i="13"/>
  <c r="E2491" i="13"/>
  <c r="E2468" i="13"/>
  <c r="E2455" i="13"/>
  <c r="E2434" i="13"/>
  <c r="E2423" i="13"/>
  <c r="E2402" i="13"/>
  <c r="E2391" i="13"/>
  <c r="E2749" i="13"/>
  <c r="E2463" i="13"/>
  <c r="E2288" i="13"/>
  <c r="E2095" i="13"/>
  <c r="D2437" i="13"/>
  <c r="D2316" i="13"/>
  <c r="D2099" i="13"/>
  <c r="D2023" i="13"/>
  <c r="D2667" i="13"/>
  <c r="E2574" i="13"/>
  <c r="E2530" i="13"/>
  <c r="E2487" i="13"/>
  <c r="E2446" i="13"/>
  <c r="E2403" i="13"/>
  <c r="E2382" i="13"/>
  <c r="E2366" i="13"/>
  <c r="E2351" i="13"/>
  <c r="E2330" i="13"/>
  <c r="E2319" i="13"/>
  <c r="E2298" i="13"/>
  <c r="E2287" i="13"/>
  <c r="E2266" i="13"/>
  <c r="E2254" i="13"/>
  <c r="E2230" i="13"/>
  <c r="E2219" i="13"/>
  <c r="E2198" i="13"/>
  <c r="E2187" i="13"/>
  <c r="E2166" i="13"/>
  <c r="E2155" i="13"/>
  <c r="E2142" i="13"/>
  <c r="E2126" i="13"/>
  <c r="E2110" i="13"/>
  <c r="E2094" i="13"/>
  <c r="E2072" i="13"/>
  <c r="E2046" i="13"/>
  <c r="E2029" i="13"/>
  <c r="E2020" i="13"/>
  <c r="E2003" i="13"/>
  <c r="E1986" i="13"/>
  <c r="E1977" i="13"/>
  <c r="E1960" i="13"/>
  <c r="D2650" i="13"/>
  <c r="D2594" i="13"/>
  <c r="D2583" i="13"/>
  <c r="D2558" i="13"/>
  <c r="D2550" i="13"/>
  <c r="D2539" i="13"/>
  <c r="D2534" i="13"/>
  <c r="D2523" i="13"/>
  <c r="D2507" i="13"/>
  <c r="D2486" i="13"/>
  <c r="D2439" i="13"/>
  <c r="D2418" i="13"/>
  <c r="D2375" i="13"/>
  <c r="D2350" i="13"/>
  <c r="D2307" i="13"/>
  <c r="D2286" i="13"/>
  <c r="G285" i="13"/>
  <c r="E2651" i="13"/>
  <c r="E2660" i="13"/>
  <c r="E2420" i="13"/>
  <c r="E2241" i="13"/>
  <c r="E2055" i="13"/>
  <c r="D2569" i="13"/>
  <c r="D2205" i="13"/>
  <c r="D2147" i="13"/>
  <c r="D2083" i="13"/>
  <c r="D2049" i="13"/>
  <c r="D1980" i="13"/>
  <c r="E2562" i="13"/>
  <c r="E2519" i="13"/>
  <c r="E2419" i="13"/>
  <c r="E2398" i="13"/>
  <c r="E2364" i="13"/>
  <c r="E2350" i="13"/>
  <c r="E2339" i="13"/>
  <c r="E2318" i="13"/>
  <c r="E2307" i="13"/>
  <c r="E2286" i="13"/>
  <c r="E2275" i="13"/>
  <c r="E2252" i="13"/>
  <c r="E2239" i="13"/>
  <c r="E2218" i="13"/>
  <c r="E2207" i="13"/>
  <c r="E2186" i="13"/>
  <c r="E2175" i="13"/>
  <c r="E2154" i="13"/>
  <c r="E2140" i="13"/>
  <c r="E2124" i="13"/>
  <c r="E2108" i="13"/>
  <c r="E2092" i="13"/>
  <c r="E2071" i="13"/>
  <c r="D2783" i="13"/>
  <c r="E2575" i="13"/>
  <c r="E2377" i="13"/>
  <c r="E2021" i="13"/>
  <c r="D2369" i="13"/>
  <c r="D2273" i="13"/>
  <c r="D2184" i="13"/>
  <c r="D2131" i="13"/>
  <c r="D2040" i="13"/>
  <c r="D1971" i="13"/>
  <c r="E2600" i="13"/>
  <c r="E2551" i="13"/>
  <c r="E2462" i="13"/>
  <c r="E2435" i="13"/>
  <c r="E2414" i="13"/>
  <c r="E2371" i="13"/>
  <c r="E2358" i="13"/>
  <c r="E2346" i="13"/>
  <c r="E2335" i="13"/>
  <c r="E2314" i="13"/>
  <c r="E2303" i="13"/>
  <c r="E2282" i="13"/>
  <c r="E2271" i="13"/>
  <c r="E2246" i="13"/>
  <c r="E2235" i="13"/>
  <c r="E2214" i="13"/>
  <c r="E2203" i="13"/>
  <c r="E2182" i="13"/>
  <c r="E2171" i="13"/>
  <c r="D2748" i="13"/>
  <c r="E2156" i="13"/>
  <c r="D2249" i="13"/>
  <c r="E2302" i="13"/>
  <c r="E2259" i="13"/>
  <c r="E2170" i="13"/>
  <c r="E2134" i="13"/>
  <c r="E2102" i="13"/>
  <c r="E2076" i="13"/>
  <c r="E2062" i="13"/>
  <c r="E2028" i="13"/>
  <c r="E2016" i="13"/>
  <c r="E2006" i="13"/>
  <c r="E1972" i="13"/>
  <c r="E1959" i="13"/>
  <c r="D2599" i="13"/>
  <c r="D2582" i="13"/>
  <c r="D2563" i="13"/>
  <c r="D2551" i="13"/>
  <c r="D2543" i="13"/>
  <c r="D2530" i="13"/>
  <c r="D2522" i="13"/>
  <c r="D2468" i="13"/>
  <c r="D2434" i="13"/>
  <c r="D2407" i="13"/>
  <c r="D2318" i="13"/>
  <c r="D2291" i="13"/>
  <c r="D2239" i="13"/>
  <c r="D2218" i="13"/>
  <c r="D2175" i="13"/>
  <c r="D2154" i="13"/>
  <c r="D2124" i="13"/>
  <c r="D2092" i="13"/>
  <c r="D2072" i="13"/>
  <c r="D2020" i="13"/>
  <c r="D2003" i="13"/>
  <c r="D1986" i="13"/>
  <c r="E1950" i="13"/>
  <c r="E1946" i="13"/>
  <c r="E1930" i="13"/>
  <c r="E1921" i="13"/>
  <c r="E1917" i="13"/>
  <c r="E1908" i="13"/>
  <c r="E1904" i="13"/>
  <c r="E1891" i="13"/>
  <c r="E1878" i="13"/>
  <c r="E1874" i="13"/>
  <c r="E1865" i="13"/>
  <c r="E1861" i="13"/>
  <c r="E1852" i="13"/>
  <c r="E1848" i="13"/>
  <c r="E1832" i="13"/>
  <c r="E1823" i="13"/>
  <c r="E1819" i="13"/>
  <c r="D2698" i="13"/>
  <c r="D2169" i="13"/>
  <c r="D1997" i="13"/>
  <c r="E2498" i="13"/>
  <c r="E2387" i="13"/>
  <c r="E2334" i="13"/>
  <c r="E2291" i="13"/>
  <c r="E2202" i="13"/>
  <c r="E2159" i="13"/>
  <c r="E2132" i="13"/>
  <c r="E2100" i="13"/>
  <c r="E2075" i="13"/>
  <c r="E2059" i="13"/>
  <c r="E2015" i="13"/>
  <c r="E2002" i="13"/>
  <c r="E1990" i="13"/>
  <c r="D2671" i="13"/>
  <c r="D2623" i="13"/>
  <c r="D2576" i="13"/>
  <c r="D2562" i="13"/>
  <c r="D2542" i="13"/>
  <c r="D2535" i="13"/>
  <c r="D2527" i="13"/>
  <c r="D2518" i="13"/>
  <c r="D2491" i="13"/>
  <c r="D2455" i="13"/>
  <c r="D2402" i="13"/>
  <c r="D2370" i="13"/>
  <c r="D2339" i="13"/>
  <c r="D2259" i="13"/>
  <c r="D2234" i="13"/>
  <c r="D2191" i="13"/>
  <c r="D2170" i="13"/>
  <c r="D2148" i="13"/>
  <c r="D2116" i="13"/>
  <c r="D2084" i="13"/>
  <c r="D2033" i="13"/>
  <c r="D2016" i="13"/>
  <c r="D1964" i="13"/>
  <c r="E1949" i="13"/>
  <c r="E1945" i="13"/>
  <c r="E1936" i="13"/>
  <c r="E1920" i="13"/>
  <c r="E1916" i="13"/>
  <c r="E1907" i="13"/>
  <c r="E1903" i="13"/>
  <c r="E1894" i="13"/>
  <c r="E1890" i="13"/>
  <c r="E1877" i="13"/>
  <c r="E1864" i="13"/>
  <c r="E1860" i="13"/>
  <c r="E1851" i="13"/>
  <c r="E1847" i="13"/>
  <c r="E1838" i="13"/>
  <c r="E2509" i="13"/>
  <c r="D2484" i="13"/>
  <c r="D2115" i="13"/>
  <c r="E2451" i="13"/>
  <c r="E2370" i="13"/>
  <c r="E2323" i="13"/>
  <c r="E2234" i="13"/>
  <c r="E2191" i="13"/>
  <c r="E2150" i="13"/>
  <c r="E2118" i="13"/>
  <c r="E2086" i="13"/>
  <c r="E2058" i="13"/>
  <c r="E2045" i="13"/>
  <c r="E2033" i="13"/>
  <c r="E1989" i="13"/>
  <c r="E1976" i="13"/>
  <c r="E1964" i="13"/>
  <c r="D2666" i="13"/>
  <c r="D2610" i="13"/>
  <c r="D2574" i="13"/>
  <c r="D2547" i="13"/>
  <c r="D2526" i="13"/>
  <c r="D2450" i="13"/>
  <c r="D2423" i="13"/>
  <c r="D2391" i="13"/>
  <c r="D2364" i="13"/>
  <c r="D2334" i="13"/>
  <c r="D2302" i="13"/>
  <c r="D2275" i="13"/>
  <c r="D2252" i="13"/>
  <c r="D2207" i="13"/>
  <c r="D2186" i="13"/>
  <c r="D2140" i="13"/>
  <c r="D2108" i="13"/>
  <c r="D2046" i="13"/>
  <c r="D2029" i="13"/>
  <c r="D1977" i="13"/>
  <c r="D1960" i="13"/>
  <c r="E1948" i="13"/>
  <c r="E1944" i="13"/>
  <c r="E1934" i="13"/>
  <c r="E1919" i="13"/>
  <c r="E1906" i="13"/>
  <c r="E1902" i="13"/>
  <c r="E1893" i="13"/>
  <c r="E1889" i="13"/>
  <c r="E1880" i="13"/>
  <c r="E1876" i="13"/>
  <c r="E1863" i="13"/>
  <c r="E1850" i="13"/>
  <c r="E1846" i="13"/>
  <c r="E1836" i="13"/>
  <c r="E1821" i="13"/>
  <c r="E2430" i="13"/>
  <c r="E2223" i="13"/>
  <c r="E2084" i="13"/>
  <c r="E2032" i="13"/>
  <c r="D2602" i="13"/>
  <c r="D2546" i="13"/>
  <c r="D2502" i="13"/>
  <c r="D2386" i="13"/>
  <c r="D2270" i="13"/>
  <c r="D2076" i="13"/>
  <c r="E1932" i="13"/>
  <c r="E1879" i="13"/>
  <c r="E1862" i="13"/>
  <c r="E1824" i="13"/>
  <c r="E1809" i="13"/>
  <c r="E1805" i="13"/>
  <c r="E1796" i="13"/>
  <c r="E1792" i="13"/>
  <c r="E1779" i="13"/>
  <c r="E1766" i="13"/>
  <c r="E1762" i="13"/>
  <c r="E1753" i="13"/>
  <c r="E1749" i="13"/>
  <c r="E1740" i="13"/>
  <c r="E1728" i="13"/>
  <c r="E1719" i="13"/>
  <c r="E1710" i="13"/>
  <c r="E1705" i="13"/>
  <c r="E1696" i="13"/>
  <c r="E1687" i="13"/>
  <c r="E1673" i="13"/>
  <c r="E1669" i="13"/>
  <c r="E1665" i="13"/>
  <c r="E1660" i="13"/>
  <c r="E1656" i="13"/>
  <c r="E1652" i="13"/>
  <c r="E1647" i="13"/>
  <c r="E1643" i="13"/>
  <c r="E1638" i="13"/>
  <c r="E1634" i="13"/>
  <c r="E1629" i="13"/>
  <c r="E1625" i="13"/>
  <c r="E1620" i="13"/>
  <c r="E1616" i="13"/>
  <c r="E1611" i="13"/>
  <c r="E1607" i="13"/>
  <c r="E1603" i="13"/>
  <c r="E1599" i="13"/>
  <c r="E1595" i="13"/>
  <c r="E1591" i="13"/>
  <c r="E1587" i="13"/>
  <c r="E1583" i="13"/>
  <c r="E1579" i="13"/>
  <c r="E1575" i="13"/>
  <c r="E1571" i="13"/>
  <c r="E1567" i="13"/>
  <c r="E1563" i="13"/>
  <c r="E1559" i="13"/>
  <c r="E1555" i="13"/>
  <c r="E1551" i="13"/>
  <c r="E1547" i="13"/>
  <c r="E1543" i="13"/>
  <c r="E1539" i="13"/>
  <c r="E1535" i="13"/>
  <c r="E1531" i="13"/>
  <c r="E1527" i="13"/>
  <c r="E1523" i="13"/>
  <c r="E1519" i="13"/>
  <c r="E1515" i="13"/>
  <c r="E1511" i="13"/>
  <c r="E1507" i="13"/>
  <c r="E1503" i="13"/>
  <c r="E1499" i="13"/>
  <c r="E1495" i="13"/>
  <c r="E1491" i="13"/>
  <c r="E1487" i="13"/>
  <c r="E1483" i="13"/>
  <c r="E1479" i="13"/>
  <c r="E1475" i="13"/>
  <c r="E1471" i="13"/>
  <c r="E1467" i="13"/>
  <c r="E1463" i="13"/>
  <c r="E1459" i="13"/>
  <c r="E1455" i="13"/>
  <c r="E1451" i="13"/>
  <c r="E1447" i="13"/>
  <c r="E1443" i="13"/>
  <c r="E1439" i="13"/>
  <c r="E1435" i="13"/>
  <c r="D2479" i="13"/>
  <c r="D2454" i="13"/>
  <c r="D2411" i="13"/>
  <c r="D2390" i="13"/>
  <c r="D2343" i="13"/>
  <c r="D2322" i="13"/>
  <c r="D2279" i="13"/>
  <c r="D2258" i="13"/>
  <c r="D2211" i="13"/>
  <c r="D2190" i="13"/>
  <c r="D2146" i="13"/>
  <c r="D2114" i="13"/>
  <c r="D2062" i="13"/>
  <c r="D2045" i="13"/>
  <c r="D2028" i="13"/>
  <c r="D1976" i="13"/>
  <c r="D1959" i="13"/>
  <c r="D1948" i="13"/>
  <c r="D1944" i="13"/>
  <c r="D1934" i="13"/>
  <c r="D1919" i="13"/>
  <c r="D1906" i="13"/>
  <c r="D1902" i="13"/>
  <c r="D1893" i="13"/>
  <c r="D1889" i="13"/>
  <c r="D1880" i="13"/>
  <c r="D1876" i="13"/>
  <c r="D2337" i="13"/>
  <c r="E2356" i="13"/>
  <c r="E2019" i="13"/>
  <c r="E1973" i="13"/>
  <c r="D2587" i="13"/>
  <c r="D2538" i="13"/>
  <c r="D2475" i="13"/>
  <c r="D2356" i="13"/>
  <c r="D2159" i="13"/>
  <c r="D2059" i="13"/>
  <c r="D1990" i="13"/>
  <c r="E1947" i="13"/>
  <c r="E1892" i="13"/>
  <c r="E1875" i="13"/>
  <c r="E1822" i="13"/>
  <c r="E1808" i="13"/>
  <c r="E1804" i="13"/>
  <c r="E1795" i="13"/>
  <c r="E1791" i="13"/>
  <c r="E1782" i="13"/>
  <c r="E1778" i="13"/>
  <c r="E1765" i="13"/>
  <c r="E1752" i="13"/>
  <c r="E1748" i="13"/>
  <c r="E1738" i="13"/>
  <c r="E1727" i="13"/>
  <c r="E1718" i="13"/>
  <c r="E1713" i="13"/>
  <c r="E1704" i="13"/>
  <c r="E1695" i="13"/>
  <c r="E1686" i="13"/>
  <c r="E1681" i="13"/>
  <c r="E1676" i="13"/>
  <c r="E1672" i="13"/>
  <c r="E1668" i="13"/>
  <c r="E1664" i="13"/>
  <c r="E1659" i="13"/>
  <c r="E1655" i="13"/>
  <c r="E1651" i="13"/>
  <c r="E1646" i="13"/>
  <c r="E1642" i="13"/>
  <c r="E1637" i="13"/>
  <c r="E1632" i="13"/>
  <c r="E1628" i="13"/>
  <c r="E1624" i="13"/>
  <c r="E1619" i="13"/>
  <c r="E1615" i="13"/>
  <c r="E1610" i="13"/>
  <c r="E1606" i="13"/>
  <c r="E1602" i="13"/>
  <c r="E1598" i="13"/>
  <c r="E1594" i="13"/>
  <c r="E1590" i="13"/>
  <c r="E1586" i="13"/>
  <c r="E1582" i="13"/>
  <c r="E1578" i="13"/>
  <c r="E1574" i="13"/>
  <c r="E1570" i="13"/>
  <c r="E1566" i="13"/>
  <c r="E1562" i="13"/>
  <c r="E1558" i="13"/>
  <c r="E1554" i="13"/>
  <c r="E1550" i="13"/>
  <c r="E1546" i="13"/>
  <c r="E1542" i="13"/>
  <c r="E1538" i="13"/>
  <c r="E1534" i="13"/>
  <c r="E1530" i="13"/>
  <c r="E1526" i="13"/>
  <c r="E1522" i="13"/>
  <c r="E1518" i="13"/>
  <c r="E1514" i="13"/>
  <c r="E1510" i="13"/>
  <c r="E1506" i="13"/>
  <c r="E1502" i="13"/>
  <c r="E1498" i="13"/>
  <c r="E1494" i="13"/>
  <c r="E1490" i="13"/>
  <c r="E1486" i="13"/>
  <c r="E1482" i="13"/>
  <c r="E1478" i="13"/>
  <c r="E1474" i="13"/>
  <c r="E1470" i="13"/>
  <c r="E1466" i="13"/>
  <c r="E1462" i="13"/>
  <c r="E1458" i="13"/>
  <c r="E1454" i="13"/>
  <c r="E1450" i="13"/>
  <c r="E1446" i="13"/>
  <c r="E1442" i="13"/>
  <c r="E1438" i="13"/>
  <c r="D2495" i="13"/>
  <c r="D2474" i="13"/>
  <c r="D2427" i="13"/>
  <c r="D2406" i="13"/>
  <c r="D2362" i="13"/>
  <c r="D2338" i="13"/>
  <c r="D2295" i="13"/>
  <c r="D2274" i="13"/>
  <c r="D2250" i="13"/>
  <c r="D2227" i="13"/>
  <c r="D2206" i="13"/>
  <c r="D2163" i="13"/>
  <c r="D2138" i="13"/>
  <c r="D2106" i="13"/>
  <c r="D2075" i="13"/>
  <c r="D2058" i="13"/>
  <c r="D2006" i="13"/>
  <c r="D1989" i="13"/>
  <c r="D1972" i="13"/>
  <c r="D1947" i="13"/>
  <c r="D1932" i="13"/>
  <c r="D1922" i="13"/>
  <c r="D1918" i="13"/>
  <c r="D1905" i="13"/>
  <c r="D1892" i="13"/>
  <c r="D1888" i="13"/>
  <c r="D1879" i="13"/>
  <c r="D2066" i="13"/>
  <c r="E2148" i="13"/>
  <c r="E1963" i="13"/>
  <c r="D2567" i="13"/>
  <c r="D2531" i="13"/>
  <c r="D2323" i="13"/>
  <c r="D2223" i="13"/>
  <c r="D2132" i="13"/>
  <c r="D2042" i="13"/>
  <c r="D1973" i="13"/>
  <c r="E1922" i="13"/>
  <c r="E1905" i="13"/>
  <c r="E1888" i="13"/>
  <c r="E1834" i="13"/>
  <c r="E1820" i="13"/>
  <c r="E1807" i="13"/>
  <c r="E1794" i="13"/>
  <c r="E1790" i="13"/>
  <c r="E1781" i="13"/>
  <c r="E1777" i="13"/>
  <c r="E1768" i="13"/>
  <c r="E1764" i="13"/>
  <c r="E1751" i="13"/>
  <c r="E1736" i="13"/>
  <c r="E1726" i="13"/>
  <c r="E1721" i="13"/>
  <c r="E1712" i="13"/>
  <c r="E1703" i="13"/>
  <c r="E1694" i="13"/>
  <c r="E1689" i="13"/>
  <c r="E1679" i="13"/>
  <c r="E1675" i="13"/>
  <c r="E1671" i="13"/>
  <c r="E1667" i="13"/>
  <c r="E1662" i="13"/>
  <c r="E1658" i="13"/>
  <c r="E1654" i="13"/>
  <c r="E1650" i="13"/>
  <c r="E1645" i="13"/>
  <c r="E1641" i="13"/>
  <c r="E1636" i="13"/>
  <c r="E1631" i="13"/>
  <c r="E1627" i="13"/>
  <c r="E1622" i="13"/>
  <c r="E1618" i="13"/>
  <c r="E1614" i="13"/>
  <c r="E1609" i="13"/>
  <c r="E1605" i="13"/>
  <c r="E1601" i="13"/>
  <c r="E1597" i="13"/>
  <c r="E1593" i="13"/>
  <c r="E1589" i="13"/>
  <c r="E1585" i="13"/>
  <c r="E1581" i="13"/>
  <c r="E1577" i="13"/>
  <c r="E1573" i="13"/>
  <c r="E1569" i="13"/>
  <c r="E1565" i="13"/>
  <c r="E1561" i="13"/>
  <c r="E1557" i="13"/>
  <c r="E1553" i="13"/>
  <c r="E1549" i="13"/>
  <c r="E1545" i="13"/>
  <c r="E1541" i="13"/>
  <c r="E1537" i="13"/>
  <c r="E1533" i="13"/>
  <c r="E1529" i="13"/>
  <c r="E1525" i="13"/>
  <c r="E1521" i="13"/>
  <c r="E1517" i="13"/>
  <c r="E1513" i="13"/>
  <c r="E1509" i="13"/>
  <c r="E1505" i="13"/>
  <c r="E1501" i="13"/>
  <c r="E1497" i="13"/>
  <c r="E1493" i="13"/>
  <c r="E1489" i="13"/>
  <c r="E1485" i="13"/>
  <c r="E1481" i="13"/>
  <c r="E1477" i="13"/>
  <c r="E1473" i="13"/>
  <c r="E1469" i="13"/>
  <c r="E1465" i="13"/>
  <c r="E1461" i="13"/>
  <c r="E1457" i="13"/>
  <c r="E1453" i="13"/>
  <c r="E1449" i="13"/>
  <c r="E1445" i="13"/>
  <c r="E1441" i="13"/>
  <c r="E1437" i="13"/>
  <c r="D2511" i="13"/>
  <c r="D2490" i="13"/>
  <c r="D2466" i="13"/>
  <c r="D2443" i="13"/>
  <c r="D2422" i="13"/>
  <c r="D2379" i="13"/>
  <c r="D2354" i="13"/>
  <c r="D2311" i="13"/>
  <c r="D2290" i="13"/>
  <c r="D2243" i="13"/>
  <c r="D2222" i="13"/>
  <c r="D2179" i="13"/>
  <c r="D2158" i="13"/>
  <c r="D2130" i="13"/>
  <c r="D2098" i="13"/>
  <c r="D2071" i="13"/>
  <c r="D2019" i="13"/>
  <c r="D2002" i="13"/>
  <c r="D1950" i="13"/>
  <c r="D1946" i="13"/>
  <c r="D1930" i="13"/>
  <c r="D1921" i="13"/>
  <c r="D1917" i="13"/>
  <c r="D1908" i="13"/>
  <c r="D1904" i="13"/>
  <c r="D1891" i="13"/>
  <c r="D1878" i="13"/>
  <c r="D1874" i="13"/>
  <c r="D1865" i="13"/>
  <c r="E2587" i="13"/>
  <c r="E1767" i="13"/>
  <c r="E1750" i="13"/>
  <c r="E1729" i="13"/>
  <c r="E1711" i="13"/>
  <c r="E1674" i="13"/>
  <c r="E1657" i="13"/>
  <c r="E1640" i="13"/>
  <c r="E1621" i="13"/>
  <c r="E1604" i="13"/>
  <c r="E1588" i="13"/>
  <c r="E1572" i="13"/>
  <c r="E1556" i="13"/>
  <c r="E1540" i="13"/>
  <c r="E1524" i="13"/>
  <c r="E1508" i="13"/>
  <c r="E1492" i="13"/>
  <c r="E1476" i="13"/>
  <c r="E1460" i="13"/>
  <c r="E1444" i="13"/>
  <c r="D2395" i="13"/>
  <c r="D2306" i="13"/>
  <c r="D2122" i="13"/>
  <c r="D2032" i="13"/>
  <c r="D1963" i="13"/>
  <c r="D1920" i="13"/>
  <c r="D1903" i="13"/>
  <c r="D1864" i="13"/>
  <c r="D1860" i="13"/>
  <c r="D1851" i="13"/>
  <c r="D1847" i="13"/>
  <c r="D1838" i="13"/>
  <c r="D1822" i="13"/>
  <c r="D1818" i="13"/>
  <c r="D1809" i="13"/>
  <c r="D1805" i="13"/>
  <c r="D1796" i="13"/>
  <c r="D1792" i="13"/>
  <c r="D1779" i="13"/>
  <c r="D1766" i="13"/>
  <c r="D1762" i="13"/>
  <c r="D1753" i="13"/>
  <c r="D1749" i="13"/>
  <c r="D1740" i="13"/>
  <c r="D1728" i="13"/>
  <c r="D1719" i="13"/>
  <c r="D1710" i="13"/>
  <c r="D1705" i="13"/>
  <c r="D1696" i="13"/>
  <c r="D1687" i="13"/>
  <c r="D1673" i="13"/>
  <c r="D1669" i="13"/>
  <c r="D1665" i="13"/>
  <c r="D1660" i="13"/>
  <c r="D1656" i="13"/>
  <c r="D1652" i="13"/>
  <c r="D1647" i="13"/>
  <c r="D1643" i="13"/>
  <c r="D1638" i="13"/>
  <c r="D1634" i="13"/>
  <c r="D1629" i="13"/>
  <c r="D1625" i="13"/>
  <c r="D1620" i="13"/>
  <c r="D1616" i="13"/>
  <c r="D1611" i="13"/>
  <c r="D1607" i="13"/>
  <c r="D1603" i="13"/>
  <c r="D1599" i="13"/>
  <c r="D1595" i="13"/>
  <c r="D1591" i="13"/>
  <c r="D1587" i="13"/>
  <c r="D1583" i="13"/>
  <c r="D1579" i="13"/>
  <c r="D1575" i="13"/>
  <c r="D1571" i="13"/>
  <c r="D1567" i="13"/>
  <c r="D1563" i="13"/>
  <c r="D1559" i="13"/>
  <c r="D1555" i="13"/>
  <c r="D1551" i="13"/>
  <c r="D1547" i="13"/>
  <c r="D1543" i="13"/>
  <c r="D1539" i="13"/>
  <c r="D1535" i="13"/>
  <c r="D1531" i="13"/>
  <c r="D1527" i="13"/>
  <c r="D1523" i="13"/>
  <c r="D1519" i="13"/>
  <c r="D1515" i="13"/>
  <c r="D1511" i="13"/>
  <c r="D1507" i="13"/>
  <c r="D1503" i="13"/>
  <c r="D1499" i="13"/>
  <c r="D1495" i="13"/>
  <c r="D1491" i="13"/>
  <c r="D1487" i="13"/>
  <c r="D1483" i="13"/>
  <c r="D1479" i="13"/>
  <c r="D1475" i="13"/>
  <c r="D1471" i="13"/>
  <c r="D1467" i="13"/>
  <c r="D1463" i="13"/>
  <c r="D1459" i="13"/>
  <c r="D1455" i="13"/>
  <c r="D1451" i="13"/>
  <c r="D1447" i="13"/>
  <c r="D1443" i="13"/>
  <c r="D1439" i="13"/>
  <c r="D2499" i="13"/>
  <c r="D2478" i="13"/>
  <c r="D2431" i="13"/>
  <c r="D2410" i="13"/>
  <c r="D2367" i="13"/>
  <c r="D2342" i="13"/>
  <c r="D2299" i="13"/>
  <c r="D2278" i="13"/>
  <c r="D2256" i="13"/>
  <c r="D2231" i="13"/>
  <c r="D2210" i="13"/>
  <c r="E2270" i="13"/>
  <c r="E1818" i="13"/>
  <c r="E1780" i="13"/>
  <c r="E1763" i="13"/>
  <c r="E1688" i="13"/>
  <c r="E1670" i="13"/>
  <c r="E1653" i="13"/>
  <c r="E1635" i="13"/>
  <c r="E1617" i="13"/>
  <c r="E1600" i="13"/>
  <c r="E1584" i="13"/>
  <c r="E1568" i="13"/>
  <c r="E1552" i="13"/>
  <c r="E1536" i="13"/>
  <c r="E1520" i="13"/>
  <c r="E1504" i="13"/>
  <c r="E1488" i="13"/>
  <c r="E1472" i="13"/>
  <c r="E1456" i="13"/>
  <c r="E1440" i="13"/>
  <c r="D2459" i="13"/>
  <c r="D2374" i="13"/>
  <c r="D2195" i="13"/>
  <c r="D2090" i="13"/>
  <c r="D2015" i="13"/>
  <c r="D1936" i="13"/>
  <c r="D1916" i="13"/>
  <c r="D1863" i="13"/>
  <c r="D1850" i="13"/>
  <c r="D1846" i="13"/>
  <c r="D1836" i="13"/>
  <c r="D1821" i="13"/>
  <c r="D1808" i="13"/>
  <c r="D1804" i="13"/>
  <c r="D1795" i="13"/>
  <c r="D1791" i="13"/>
  <c r="D1782" i="13"/>
  <c r="D1778" i="13"/>
  <c r="D1765" i="13"/>
  <c r="D1752" i="13"/>
  <c r="D1748" i="13"/>
  <c r="D1738" i="13"/>
  <c r="D1727" i="13"/>
  <c r="D1718" i="13"/>
  <c r="D1713" i="13"/>
  <c r="D1704" i="13"/>
  <c r="D1695" i="13"/>
  <c r="D1686" i="13"/>
  <c r="D1681" i="13"/>
  <c r="D1676" i="13"/>
  <c r="D1672" i="13"/>
  <c r="D1668" i="13"/>
  <c r="D1664" i="13"/>
  <c r="D1659" i="13"/>
  <c r="D1655" i="13"/>
  <c r="D1651" i="13"/>
  <c r="D1646" i="13"/>
  <c r="D1642" i="13"/>
  <c r="D1637" i="13"/>
  <c r="D1632" i="13"/>
  <c r="D1628" i="13"/>
  <c r="D1624" i="13"/>
  <c r="D1619" i="13"/>
  <c r="D1615" i="13"/>
  <c r="D1610" i="13"/>
  <c r="D1606" i="13"/>
  <c r="D1602" i="13"/>
  <c r="D1598" i="13"/>
  <c r="D1594" i="13"/>
  <c r="D1590" i="13"/>
  <c r="D1586" i="13"/>
  <c r="D1582" i="13"/>
  <c r="D1578" i="13"/>
  <c r="D1574" i="13"/>
  <c r="D1570" i="13"/>
  <c r="D1566" i="13"/>
  <c r="D1562" i="13"/>
  <c r="D1558" i="13"/>
  <c r="D1554" i="13"/>
  <c r="D1550" i="13"/>
  <c r="D1546" i="13"/>
  <c r="D1542" i="13"/>
  <c r="D1538" i="13"/>
  <c r="D1534" i="13"/>
  <c r="D1530" i="13"/>
  <c r="D1526" i="13"/>
  <c r="D1522" i="13"/>
  <c r="D1518" i="13"/>
  <c r="D1514" i="13"/>
  <c r="D1510" i="13"/>
  <c r="D1506" i="13"/>
  <c r="D1502" i="13"/>
  <c r="D1498" i="13"/>
  <c r="D1494" i="13"/>
  <c r="D1490" i="13"/>
  <c r="D1486" i="13"/>
  <c r="D1482" i="13"/>
  <c r="D1478" i="13"/>
  <c r="D1474" i="13"/>
  <c r="D1470" i="13"/>
  <c r="D1466" i="13"/>
  <c r="D1462" i="13"/>
  <c r="D1458" i="13"/>
  <c r="D1454" i="13"/>
  <c r="D1450" i="13"/>
  <c r="D1446" i="13"/>
  <c r="D1442" i="13"/>
  <c r="D1438" i="13"/>
  <c r="D2515" i="13"/>
  <c r="D2494" i="13"/>
  <c r="D2472" i="13"/>
  <c r="D2447" i="13"/>
  <c r="D2426" i="13"/>
  <c r="E2116" i="13"/>
  <c r="D2202" i="13"/>
  <c r="E1866" i="13"/>
  <c r="E1810" i="13"/>
  <c r="E1793" i="13"/>
  <c r="E1776" i="13"/>
  <c r="E1720" i="13"/>
  <c r="E1702" i="13"/>
  <c r="E1666" i="13"/>
  <c r="E1648" i="13"/>
  <c r="E1630" i="13"/>
  <c r="E1612" i="13"/>
  <c r="E1596" i="13"/>
  <c r="E1580" i="13"/>
  <c r="E1564" i="13"/>
  <c r="E1548" i="13"/>
  <c r="E1532" i="13"/>
  <c r="E1516" i="13"/>
  <c r="E1500" i="13"/>
  <c r="E1484" i="13"/>
  <c r="E1468" i="13"/>
  <c r="E1452" i="13"/>
  <c r="E1436" i="13"/>
  <c r="D2438" i="13"/>
  <c r="D2263" i="13"/>
  <c r="D2174" i="13"/>
  <c r="D1949" i="13"/>
  <c r="D1894" i="13"/>
  <c r="D1877" i="13"/>
  <c r="D1862" i="13"/>
  <c r="D1849" i="13"/>
  <c r="D1834" i="13"/>
  <c r="D1824" i="13"/>
  <c r="D1820" i="13"/>
  <c r="D1807" i="13"/>
  <c r="D1794" i="13"/>
  <c r="D1790" i="13"/>
  <c r="D1781" i="13"/>
  <c r="D1777" i="13"/>
  <c r="D1768" i="13"/>
  <c r="D1764" i="13"/>
  <c r="D1751" i="13"/>
  <c r="D1736" i="13"/>
  <c r="D1726" i="13"/>
  <c r="D1721" i="13"/>
  <c r="D1712" i="13"/>
  <c r="D1703" i="13"/>
  <c r="D1694" i="13"/>
  <c r="D1689" i="13"/>
  <c r="D1679" i="13"/>
  <c r="D1675" i="13"/>
  <c r="D1671" i="13"/>
  <c r="D1667" i="13"/>
  <c r="D1662" i="13"/>
  <c r="D1658" i="13"/>
  <c r="D1654" i="13"/>
  <c r="D1650" i="13"/>
  <c r="D1645" i="13"/>
  <c r="D1641" i="13"/>
  <c r="D1636" i="13"/>
  <c r="D1631" i="13"/>
  <c r="D1627" i="13"/>
  <c r="D1622" i="13"/>
  <c r="D1618" i="13"/>
  <c r="D1614" i="13"/>
  <c r="D1609" i="13"/>
  <c r="D1605" i="13"/>
  <c r="D1601" i="13"/>
  <c r="D1597" i="13"/>
  <c r="D1593" i="13"/>
  <c r="D1589" i="13"/>
  <c r="D1585" i="13"/>
  <c r="D1581" i="13"/>
  <c r="D1577" i="13"/>
  <c r="D1573" i="13"/>
  <c r="D1569" i="13"/>
  <c r="D1565" i="13"/>
  <c r="D1561" i="13"/>
  <c r="D1557" i="13"/>
  <c r="D1553" i="13"/>
  <c r="D1549" i="13"/>
  <c r="D1545" i="13"/>
  <c r="D1541" i="13"/>
  <c r="D1537" i="13"/>
  <c r="D1533" i="13"/>
  <c r="D1529" i="13"/>
  <c r="D1525" i="13"/>
  <c r="D1521" i="13"/>
  <c r="D1517" i="13"/>
  <c r="D1513" i="13"/>
  <c r="D1509" i="13"/>
  <c r="D1505" i="13"/>
  <c r="D1501" i="13"/>
  <c r="D1497" i="13"/>
  <c r="D1493" i="13"/>
  <c r="D1489" i="13"/>
  <c r="D1485" i="13"/>
  <c r="D1481" i="13"/>
  <c r="D1477" i="13"/>
  <c r="D1473" i="13"/>
  <c r="D1469" i="13"/>
  <c r="D1465" i="13"/>
  <c r="D1461" i="13"/>
  <c r="D1457" i="13"/>
  <c r="D1453" i="13"/>
  <c r="D1449" i="13"/>
  <c r="D1445" i="13"/>
  <c r="D1441" i="13"/>
  <c r="D1437" i="13"/>
  <c r="D2510" i="13"/>
  <c r="D2464" i="13"/>
  <c r="D2442" i="13"/>
  <c r="D2399" i="13"/>
  <c r="D2378" i="13"/>
  <c r="D2331" i="13"/>
  <c r="D2310" i="13"/>
  <c r="D2267" i="13"/>
  <c r="D2242" i="13"/>
  <c r="D2199" i="13"/>
  <c r="E2042" i="13"/>
  <c r="E1849" i="13"/>
  <c r="E1754" i="13"/>
  <c r="E1677" i="13"/>
  <c r="E1661" i="13"/>
  <c r="E1592" i="13"/>
  <c r="E1528" i="13"/>
  <c r="E1464" i="13"/>
  <c r="D2327" i="13"/>
  <c r="D1890" i="13"/>
  <c r="D1819" i="13"/>
  <c r="D1767" i="13"/>
  <c r="D1750" i="13"/>
  <c r="D1729" i="13"/>
  <c r="D1711" i="13"/>
  <c r="D1674" i="13"/>
  <c r="D1657" i="13"/>
  <c r="D1640" i="13"/>
  <c r="D1621" i="13"/>
  <c r="D1604" i="13"/>
  <c r="D1588" i="13"/>
  <c r="D1572" i="13"/>
  <c r="D1556" i="13"/>
  <c r="D1540" i="13"/>
  <c r="D1524" i="13"/>
  <c r="D1508" i="13"/>
  <c r="D1492" i="13"/>
  <c r="D1476" i="13"/>
  <c r="D1460" i="13"/>
  <c r="D1444" i="13"/>
  <c r="D2483" i="13"/>
  <c r="D2394" i="13"/>
  <c r="D2347" i="13"/>
  <c r="D2262" i="13"/>
  <c r="D2215" i="13"/>
  <c r="D2178" i="13"/>
  <c r="D2128" i="13"/>
  <c r="D2096" i="13"/>
  <c r="D2074" i="13"/>
  <c r="D2057" i="13"/>
  <c r="D2005" i="13"/>
  <c r="D1988" i="13"/>
  <c r="E1955" i="13"/>
  <c r="E1951" i="13"/>
  <c r="E1942" i="13"/>
  <c r="E1938" i="13"/>
  <c r="E1931" i="13"/>
  <c r="E1926" i="13"/>
  <c r="E1913" i="13"/>
  <c r="E1909" i="13"/>
  <c r="E1900" i="13"/>
  <c r="E1896" i="13"/>
  <c r="E1887" i="13"/>
  <c r="E1883" i="13"/>
  <c r="E1870" i="13"/>
  <c r="E1857" i="13"/>
  <c r="E1853" i="13"/>
  <c r="E1844" i="13"/>
  <c r="E1840" i="13"/>
  <c r="E1833" i="13"/>
  <c r="E1828" i="13"/>
  <c r="E1815" i="13"/>
  <c r="E1811" i="13"/>
  <c r="E1802" i="13"/>
  <c r="E1798" i="13"/>
  <c r="E1789" i="13"/>
  <c r="E1785" i="13"/>
  <c r="E1772" i="13"/>
  <c r="E1759" i="13"/>
  <c r="E1755" i="13"/>
  <c r="E1746" i="13"/>
  <c r="E1742" i="13"/>
  <c r="E1735" i="13"/>
  <c r="E1730" i="13"/>
  <c r="E1725" i="13"/>
  <c r="E1716" i="13"/>
  <c r="E1707" i="13"/>
  <c r="E1698" i="13"/>
  <c r="E1693" i="13"/>
  <c r="E1684" i="13"/>
  <c r="E1678" i="13"/>
  <c r="E1649" i="13"/>
  <c r="D2487" i="13"/>
  <c r="D2398" i="13"/>
  <c r="D2219" i="13"/>
  <c r="D2126" i="13"/>
  <c r="D2034" i="13"/>
  <c r="D1941" i="13"/>
  <c r="D1886" i="13"/>
  <c r="D1869" i="13"/>
  <c r="D1831" i="13"/>
  <c r="D1814" i="13"/>
  <c r="D1797" i="13"/>
  <c r="D1745" i="13"/>
  <c r="D1724" i="13"/>
  <c r="D1706" i="13"/>
  <c r="E1613" i="13"/>
  <c r="D1432" i="13"/>
  <c r="D1428" i="13"/>
  <c r="D1424" i="13"/>
  <c r="D1416" i="13"/>
  <c r="D1408" i="13"/>
  <c r="D1400" i="13"/>
  <c r="D1392" i="13"/>
  <c r="D1384" i="13"/>
  <c r="D1376" i="13"/>
  <c r="D1368" i="13"/>
  <c r="D1360" i="13"/>
  <c r="D1352" i="13"/>
  <c r="D1344" i="13"/>
  <c r="D1336" i="13"/>
  <c r="D1328" i="13"/>
  <c r="D1320" i="13"/>
  <c r="D1312" i="13"/>
  <c r="D1304" i="13"/>
  <c r="D1296" i="13"/>
  <c r="E1806" i="13"/>
  <c r="E1734" i="13"/>
  <c r="E1644" i="13"/>
  <c r="E1576" i="13"/>
  <c r="E1512" i="13"/>
  <c r="E1448" i="13"/>
  <c r="D2238" i="13"/>
  <c r="D1945" i="13"/>
  <c r="D1875" i="13"/>
  <c r="D1852" i="13"/>
  <c r="D1832" i="13"/>
  <c r="D1780" i="13"/>
  <c r="D1763" i="13"/>
  <c r="D1688" i="13"/>
  <c r="D1670" i="13"/>
  <c r="D1653" i="13"/>
  <c r="D1635" i="13"/>
  <c r="D1617" i="13"/>
  <c r="D1600" i="13"/>
  <c r="D1584" i="13"/>
  <c r="D1568" i="13"/>
  <c r="D1552" i="13"/>
  <c r="D1536" i="13"/>
  <c r="D1520" i="13"/>
  <c r="D1504" i="13"/>
  <c r="D1488" i="13"/>
  <c r="D1472" i="13"/>
  <c r="D1456" i="13"/>
  <c r="D1440" i="13"/>
  <c r="D2458" i="13"/>
  <c r="D2383" i="13"/>
  <c r="D2294" i="13"/>
  <c r="D2248" i="13"/>
  <c r="D2151" i="13"/>
  <c r="D2120" i="13"/>
  <c r="D2088" i="13"/>
  <c r="D2070" i="13"/>
  <c r="D2018" i="13"/>
  <c r="D2001" i="13"/>
  <c r="E1954" i="13"/>
  <c r="E1941" i="13"/>
  <c r="E1937" i="13"/>
  <c r="E1929" i="13"/>
  <c r="E1925" i="13"/>
  <c r="E1912" i="13"/>
  <c r="E1899" i="13"/>
  <c r="E1895" i="13"/>
  <c r="E1886" i="13"/>
  <c r="E1882" i="13"/>
  <c r="E1873" i="13"/>
  <c r="E1869" i="13"/>
  <c r="E1856" i="13"/>
  <c r="E1843" i="13"/>
  <c r="E1839" i="13"/>
  <c r="E1831" i="13"/>
  <c r="E1827" i="13"/>
  <c r="E1814" i="13"/>
  <c r="E1801" i="13"/>
  <c r="E1797" i="13"/>
  <c r="E1788" i="13"/>
  <c r="E1784" i="13"/>
  <c r="E1775" i="13"/>
  <c r="E1771" i="13"/>
  <c r="E1758" i="13"/>
  <c r="E1745" i="13"/>
  <c r="E1741" i="13"/>
  <c r="E1733" i="13"/>
  <c r="E1724" i="13"/>
  <c r="E1715" i="13"/>
  <c r="E1706" i="13"/>
  <c r="E1701" i="13"/>
  <c r="E1692" i="13"/>
  <c r="E1683" i="13"/>
  <c r="E1639" i="13"/>
  <c r="D2462" i="13"/>
  <c r="D2287" i="13"/>
  <c r="D2198" i="13"/>
  <c r="D2094" i="13"/>
  <c r="D2017" i="13"/>
  <c r="D1954" i="13"/>
  <c r="D1937" i="13"/>
  <c r="D1899" i="13"/>
  <c r="D1882" i="13"/>
  <c r="D1827" i="13"/>
  <c r="D1775" i="13"/>
  <c r="D1758" i="13"/>
  <c r="D1741" i="13"/>
  <c r="D1701" i="13"/>
  <c r="D1683" i="13"/>
  <c r="D1435" i="13"/>
  <c r="D1431" i="13"/>
  <c r="D1427" i="13"/>
  <c r="D1422" i="13"/>
  <c r="D1414" i="13"/>
  <c r="D1406" i="13"/>
  <c r="D1398" i="13"/>
  <c r="D1390" i="13"/>
  <c r="D1382" i="13"/>
  <c r="D1374" i="13"/>
  <c r="D1366" i="13"/>
  <c r="D1358" i="13"/>
  <c r="D1350" i="13"/>
  <c r="D1342" i="13"/>
  <c r="D2100" i="13"/>
  <c r="E1626" i="13"/>
  <c r="E1560" i="13"/>
  <c r="E1496" i="13"/>
  <c r="D2506" i="13"/>
  <c r="D1866" i="13"/>
  <c r="D1848" i="13"/>
  <c r="D1810" i="13"/>
  <c r="D1793" i="13"/>
  <c r="D1776" i="13"/>
  <c r="D1720" i="13"/>
  <c r="D1702" i="13"/>
  <c r="D1666" i="13"/>
  <c r="D1648" i="13"/>
  <c r="D1630" i="13"/>
  <c r="D1612" i="13"/>
  <c r="D1596" i="13"/>
  <c r="D1580" i="13"/>
  <c r="D1564" i="13"/>
  <c r="D1548" i="13"/>
  <c r="D1532" i="13"/>
  <c r="D1516" i="13"/>
  <c r="D1500" i="13"/>
  <c r="D1484" i="13"/>
  <c r="D1468" i="13"/>
  <c r="D1452" i="13"/>
  <c r="D1436" i="13"/>
  <c r="D2326" i="13"/>
  <c r="D2283" i="13"/>
  <c r="D2194" i="13"/>
  <c r="D2167" i="13"/>
  <c r="D2144" i="13"/>
  <c r="D2112" i="13"/>
  <c r="D2048" i="13"/>
  <c r="D2031" i="13"/>
  <c r="D2014" i="13"/>
  <c r="D1962" i="13"/>
  <c r="E1953" i="13"/>
  <c r="E1940" i="13"/>
  <c r="E1935" i="13"/>
  <c r="E1928" i="13"/>
  <c r="E1924" i="13"/>
  <c r="E1915" i="13"/>
  <c r="E1911" i="13"/>
  <c r="E1898" i="13"/>
  <c r="E1885" i="13"/>
  <c r="E1881" i="13"/>
  <c r="E1872" i="13"/>
  <c r="E1868" i="13"/>
  <c r="E1859" i="13"/>
  <c r="E1855" i="13"/>
  <c r="E1842" i="13"/>
  <c r="E1837" i="13"/>
  <c r="E1830" i="13"/>
  <c r="E1826" i="13"/>
  <c r="E1817" i="13"/>
  <c r="E1813" i="13"/>
  <c r="E1800" i="13"/>
  <c r="E1787" i="13"/>
  <c r="E1783" i="13"/>
  <c r="E1774" i="13"/>
  <c r="E1770" i="13"/>
  <c r="E1761" i="13"/>
  <c r="E1757" i="13"/>
  <c r="E1744" i="13"/>
  <c r="E1739" i="13"/>
  <c r="E1732" i="13"/>
  <c r="E1723" i="13"/>
  <c r="E1714" i="13"/>
  <c r="E1709" i="13"/>
  <c r="E1700" i="13"/>
  <c r="E1691" i="13"/>
  <c r="E1682" i="13"/>
  <c r="E1633" i="13"/>
  <c r="D2351" i="13"/>
  <c r="D2266" i="13"/>
  <c r="D2000" i="13"/>
  <c r="D1929" i="13"/>
  <c r="D1912" i="13"/>
  <c r="D1895" i="13"/>
  <c r="D1843" i="13"/>
  <c r="D1788" i="13"/>
  <c r="D1771" i="13"/>
  <c r="D1733" i="13"/>
  <c r="D1715" i="13"/>
  <c r="D1434" i="13"/>
  <c r="D1430" i="13"/>
  <c r="D1426" i="13"/>
  <c r="D1420" i="13"/>
  <c r="D1412" i="13"/>
  <c r="D1404" i="13"/>
  <c r="D1396" i="13"/>
  <c r="D1388" i="13"/>
  <c r="D1380" i="13"/>
  <c r="D1372" i="13"/>
  <c r="D1364" i="13"/>
  <c r="D1356" i="13"/>
  <c r="D1348" i="13"/>
  <c r="D1340" i="13"/>
  <c r="D1332" i="13"/>
  <c r="D1324" i="13"/>
  <c r="D1316" i="13"/>
  <c r="D1308" i="13"/>
  <c r="D1300" i="13"/>
  <c r="D1405" i="13"/>
  <c r="D1413" i="13"/>
  <c r="D1421" i="13"/>
  <c r="D1680" i="13"/>
  <c r="D1699" i="13"/>
  <c r="D1717" i="13"/>
  <c r="D1737" i="13"/>
  <c r="D1756" i="13"/>
  <c r="D1773" i="13"/>
  <c r="D1825" i="13"/>
  <c r="D1845" i="13"/>
  <c r="D1897" i="13"/>
  <c r="D1914" i="13"/>
  <c r="D1933" i="13"/>
  <c r="D1952" i="13"/>
  <c r="D2187" i="13"/>
  <c r="D2366" i="13"/>
  <c r="D2451" i="13"/>
  <c r="E1001" i="13"/>
  <c r="E1009" i="13"/>
  <c r="E1017" i="13"/>
  <c r="E1025" i="13"/>
  <c r="E1033" i="13"/>
  <c r="E1041" i="13"/>
  <c r="E1049" i="13"/>
  <c r="E1057" i="13"/>
  <c r="E1065" i="13"/>
  <c r="E1073" i="13"/>
  <c r="E1081" i="13"/>
  <c r="E1089" i="13"/>
  <c r="E1097" i="13"/>
  <c r="E1105" i="13"/>
  <c r="E1113" i="13"/>
  <c r="E1121" i="13"/>
  <c r="E1129" i="13"/>
  <c r="E1137" i="13"/>
  <c r="E1145" i="13"/>
  <c r="E1153" i="13"/>
  <c r="E1161" i="13"/>
  <c r="E1169" i="13"/>
  <c r="E1177" i="13"/>
  <c r="E1185" i="13"/>
  <c r="E1193" i="13"/>
  <c r="E1201" i="13"/>
  <c r="E1209" i="13"/>
  <c r="E1217" i="13"/>
  <c r="E1225" i="13"/>
  <c r="E1233" i="13"/>
  <c r="E1241" i="13"/>
  <c r="E1249" i="13"/>
  <c r="E1257" i="13"/>
  <c r="E1265" i="13"/>
  <c r="E1273" i="13"/>
  <c r="E1281" i="13"/>
  <c r="E1289" i="13"/>
  <c r="E1297" i="13"/>
  <c r="E1305" i="13"/>
  <c r="E1313" i="13"/>
  <c r="E1321" i="13"/>
  <c r="E1329" i="13"/>
  <c r="E1337" i="13"/>
  <c r="E1345" i="13"/>
  <c r="E1353" i="13"/>
  <c r="E1361" i="13"/>
  <c r="E1369" i="13"/>
  <c r="E1377" i="13"/>
  <c r="E1385" i="13"/>
  <c r="E1393" i="13"/>
  <c r="E1401" i="13"/>
  <c r="E1409" i="13"/>
  <c r="E1417" i="13"/>
  <c r="D1613" i="13"/>
  <c r="D1723" i="13"/>
  <c r="D1744" i="13"/>
  <c r="D1761" i="13"/>
  <c r="D1813" i="13"/>
  <c r="D1830" i="13"/>
  <c r="D1868" i="13"/>
  <c r="D1885" i="13"/>
  <c r="D1940" i="13"/>
  <c r="D1961" i="13"/>
  <c r="D2030" i="13"/>
  <c r="D2086" i="13"/>
  <c r="D2282" i="13"/>
  <c r="D2371" i="13"/>
  <c r="D737" i="13"/>
  <c r="D741" i="13"/>
  <c r="D745" i="13"/>
  <c r="D749" i="13"/>
  <c r="D753" i="13"/>
  <c r="D757" i="13"/>
  <c r="D761" i="13"/>
  <c r="D765" i="13"/>
  <c r="D769" i="13"/>
  <c r="D773" i="13"/>
  <c r="D777" i="13"/>
  <c r="D781" i="13"/>
  <c r="D785" i="13"/>
  <c r="D789" i="13"/>
  <c r="D793" i="13"/>
  <c r="D797" i="13"/>
  <c r="D801" i="13"/>
  <c r="D805" i="13"/>
  <c r="D809" i="13"/>
  <c r="D813" i="13"/>
  <c r="D817" i="13"/>
  <c r="D821" i="13"/>
  <c r="D825" i="13"/>
  <c r="D829" i="13"/>
  <c r="D833" i="13"/>
  <c r="D837" i="13"/>
  <c r="D841" i="13"/>
  <c r="D845" i="13"/>
  <c r="D849" i="13"/>
  <c r="D853" i="13"/>
  <c r="D857" i="13"/>
  <c r="D861" i="13"/>
  <c r="D865" i="13"/>
  <c r="D869" i="13"/>
  <c r="D873" i="13"/>
  <c r="D877" i="13"/>
  <c r="D881" i="13"/>
  <c r="D885" i="13"/>
  <c r="D889" i="13"/>
  <c r="D893" i="13"/>
  <c r="D897" i="13"/>
  <c r="D901" i="13"/>
  <c r="D905" i="13"/>
  <c r="D909" i="13"/>
  <c r="D913" i="13"/>
  <c r="D917" i="13"/>
  <c r="D921" i="13"/>
  <c r="D925" i="13"/>
  <c r="D929" i="13"/>
  <c r="D933" i="13"/>
  <c r="D937" i="13"/>
  <c r="D941" i="13"/>
  <c r="D945" i="13"/>
  <c r="D949" i="13"/>
  <c r="D953" i="13"/>
  <c r="D957" i="13"/>
  <c r="D961" i="13"/>
  <c r="D965" i="13"/>
  <c r="D969" i="13"/>
  <c r="D973" i="13"/>
  <c r="D977" i="13"/>
  <c r="D981" i="13"/>
  <c r="D985" i="13"/>
  <c r="D989" i="13"/>
  <c r="D993" i="13"/>
  <c r="D997" i="13"/>
  <c r="D1002" i="13"/>
  <c r="D1010" i="13"/>
  <c r="D1018" i="13"/>
  <c r="D1026" i="13"/>
  <c r="D1034" i="13"/>
  <c r="D1042" i="13"/>
  <c r="D1050" i="13"/>
  <c r="D1058" i="13"/>
  <c r="D1066" i="13"/>
  <c r="D1074" i="13"/>
  <c r="D1082" i="13"/>
  <c r="D1090" i="13"/>
  <c r="D1098" i="13"/>
  <c r="D1106" i="13"/>
  <c r="D1114" i="13"/>
  <c r="D1122" i="13"/>
  <c r="D1130" i="13"/>
  <c r="D1138" i="13"/>
  <c r="D1146" i="13"/>
  <c r="D1154" i="13"/>
  <c r="D1162" i="13"/>
  <c r="D1170" i="13"/>
  <c r="D1178" i="13"/>
  <c r="D1186" i="13"/>
  <c r="D1194" i="13"/>
  <c r="D1202" i="13"/>
  <c r="D1210" i="13"/>
  <c r="D1218" i="13"/>
  <c r="D1226" i="13"/>
  <c r="D1234" i="13"/>
  <c r="D1242" i="13"/>
  <c r="D1250" i="13"/>
  <c r="D1258" i="13"/>
  <c r="D1266" i="13"/>
  <c r="D1274" i="13"/>
  <c r="D1282" i="13"/>
  <c r="D1290" i="13"/>
  <c r="D1302" i="13"/>
  <c r="D1318" i="13"/>
  <c r="D1334" i="13"/>
  <c r="D1362" i="13"/>
  <c r="D1394" i="13"/>
  <c r="D1425" i="13"/>
  <c r="D1784" i="13"/>
  <c r="D1856" i="13"/>
  <c r="D1925" i="13"/>
  <c r="D2155" i="13"/>
  <c r="E1690" i="13"/>
  <c r="E1708" i="13"/>
  <c r="E1747" i="13"/>
  <c r="E1799" i="13"/>
  <c r="E1816" i="13"/>
  <c r="E1835" i="13"/>
  <c r="E1854" i="13"/>
  <c r="E1871" i="13"/>
  <c r="E1923" i="13"/>
  <c r="E1943" i="13"/>
  <c r="D1975" i="13"/>
  <c r="D2044" i="13"/>
  <c r="D2136" i="13"/>
  <c r="D1496" i="13"/>
  <c r="D1560" i="13"/>
  <c r="D1626" i="13"/>
  <c r="D1861" i="13"/>
  <c r="E1480" i="13"/>
  <c r="E1697" i="13"/>
  <c r="D1685" i="13"/>
  <c r="D1722" i="13"/>
  <c r="D1743" i="13"/>
  <c r="D1760" i="13"/>
  <c r="D1812" i="13"/>
  <c r="D1829" i="13"/>
  <c r="D1867" i="13"/>
  <c r="D1884" i="13"/>
  <c r="D1901" i="13"/>
  <c r="D1939" i="13"/>
  <c r="D2110" i="13"/>
  <c r="D2298" i="13"/>
  <c r="D2387" i="13"/>
  <c r="E1003" i="13"/>
  <c r="E1011" i="13"/>
  <c r="E1019" i="13"/>
  <c r="E1027" i="13"/>
  <c r="E1035" i="13"/>
  <c r="E1043" i="13"/>
  <c r="E1051" i="13"/>
  <c r="E1059" i="13"/>
  <c r="E1067" i="13"/>
  <c r="E1075" i="13"/>
  <c r="E1083" i="13"/>
  <c r="E1091" i="13"/>
  <c r="E1099" i="13"/>
  <c r="E1107" i="13"/>
  <c r="E1115" i="13"/>
  <c r="E1123" i="13"/>
  <c r="E1131" i="13"/>
  <c r="E1139" i="13"/>
  <c r="E1147" i="13"/>
  <c r="E1155" i="13"/>
  <c r="E1163" i="13"/>
  <c r="E1171" i="13"/>
  <c r="E1179" i="13"/>
  <c r="E1187" i="13"/>
  <c r="E1195" i="13"/>
  <c r="E1203" i="13"/>
  <c r="E1211" i="13"/>
  <c r="E1219" i="13"/>
  <c r="E1227" i="13"/>
  <c r="E1235" i="13"/>
  <c r="E1243" i="13"/>
  <c r="E1251" i="13"/>
  <c r="E1259" i="13"/>
  <c r="E1267" i="13"/>
  <c r="E1275" i="13"/>
  <c r="E1283" i="13"/>
  <c r="E1291" i="13"/>
  <c r="E1299" i="13"/>
  <c r="E1307" i="13"/>
  <c r="E1315" i="13"/>
  <c r="E1323" i="13"/>
  <c r="E1331" i="13"/>
  <c r="E1339" i="13"/>
  <c r="E1347" i="13"/>
  <c r="E1355" i="13"/>
  <c r="E1363" i="13"/>
  <c r="E1371" i="13"/>
  <c r="E1379" i="13"/>
  <c r="E1387" i="13"/>
  <c r="E1395" i="13"/>
  <c r="E1403" i="13"/>
  <c r="E1411" i="13"/>
  <c r="E1419" i="13"/>
  <c r="D1633" i="13"/>
  <c r="D1691" i="13"/>
  <c r="D1709" i="13"/>
  <c r="D1783" i="13"/>
  <c r="D1800" i="13"/>
  <c r="D1817" i="13"/>
  <c r="D1837" i="13"/>
  <c r="D1855" i="13"/>
  <c r="D1872" i="13"/>
  <c r="D1924" i="13"/>
  <c r="D1978" i="13"/>
  <c r="D2047" i="13"/>
  <c r="D2118" i="13"/>
  <c r="D2214" i="13"/>
  <c r="D2303" i="13"/>
  <c r="D2482" i="13"/>
  <c r="D738" i="13"/>
  <c r="D742" i="13"/>
  <c r="D746" i="13"/>
  <c r="D750" i="13"/>
  <c r="D754" i="13"/>
  <c r="D758" i="13"/>
  <c r="D762" i="13"/>
  <c r="D766" i="13"/>
  <c r="D770" i="13"/>
  <c r="D774" i="13"/>
  <c r="D778" i="13"/>
  <c r="D782" i="13"/>
  <c r="D786" i="13"/>
  <c r="D790" i="13"/>
  <c r="D794" i="13"/>
  <c r="D798" i="13"/>
  <c r="D802" i="13"/>
  <c r="D806" i="13"/>
  <c r="D810" i="13"/>
  <c r="D814" i="13"/>
  <c r="D818" i="13"/>
  <c r="D822" i="13"/>
  <c r="D826" i="13"/>
  <c r="D830" i="13"/>
  <c r="D834" i="13"/>
  <c r="D838" i="13"/>
  <c r="D842" i="13"/>
  <c r="D846" i="13"/>
  <c r="D850" i="13"/>
  <c r="D854" i="13"/>
  <c r="D858" i="13"/>
  <c r="D862" i="13"/>
  <c r="D866" i="13"/>
  <c r="D870" i="13"/>
  <c r="D874" i="13"/>
  <c r="D878" i="13"/>
  <c r="D882" i="13"/>
  <c r="D886" i="13"/>
  <c r="D890" i="13"/>
  <c r="D894" i="13"/>
  <c r="D898" i="13"/>
  <c r="D902" i="13"/>
  <c r="D906" i="13"/>
  <c r="D910" i="13"/>
  <c r="D914" i="13"/>
  <c r="D918" i="13"/>
  <c r="D922" i="13"/>
  <c r="D926" i="13"/>
  <c r="D930" i="13"/>
  <c r="D934" i="13"/>
  <c r="D938" i="13"/>
  <c r="D942" i="13"/>
  <c r="D946" i="13"/>
  <c r="D950" i="13"/>
  <c r="D954" i="13"/>
  <c r="D958" i="13"/>
  <c r="D962" i="13"/>
  <c r="D966" i="13"/>
  <c r="D970" i="13"/>
  <c r="D974" i="13"/>
  <c r="D978" i="13"/>
  <c r="D982" i="13"/>
  <c r="D986" i="13"/>
  <c r="D990" i="13"/>
  <c r="D994" i="13"/>
  <c r="D998" i="13"/>
  <c r="D1004" i="13"/>
  <c r="D1012" i="13"/>
  <c r="D1020" i="13"/>
  <c r="D1028" i="13"/>
  <c r="D1036" i="13"/>
  <c r="D1044" i="13"/>
  <c r="D1052" i="13"/>
  <c r="D1060" i="13"/>
  <c r="D1068" i="13"/>
  <c r="D1076" i="13"/>
  <c r="D1084" i="13"/>
  <c r="D1092" i="13"/>
  <c r="D1100" i="13"/>
  <c r="D1108" i="13"/>
  <c r="D1116" i="13"/>
  <c r="D1124" i="13"/>
  <c r="D1132" i="13"/>
  <c r="D1140" i="13"/>
  <c r="D1148" i="13"/>
  <c r="D1156" i="13"/>
  <c r="D1164" i="13"/>
  <c r="D1172" i="13"/>
  <c r="D1180" i="13"/>
  <c r="D1188" i="13"/>
  <c r="D1196" i="13"/>
  <c r="D1204" i="13"/>
  <c r="D1212" i="13"/>
  <c r="D1220" i="13"/>
  <c r="D1228" i="13"/>
  <c r="D1236" i="13"/>
  <c r="D1244" i="13"/>
  <c r="D1252" i="13"/>
  <c r="D1260" i="13"/>
  <c r="D1268" i="13"/>
  <c r="D1276" i="13"/>
  <c r="D1284" i="13"/>
  <c r="D1292" i="13"/>
  <c r="D1306" i="13"/>
  <c r="D1322" i="13"/>
  <c r="D1338" i="13"/>
  <c r="D1370" i="13"/>
  <c r="D1402" i="13"/>
  <c r="D1429" i="13"/>
  <c r="D1801" i="13"/>
  <c r="D1873" i="13"/>
  <c r="E1663" i="13"/>
  <c r="E1731" i="13"/>
  <c r="E1769" i="13"/>
  <c r="E1786" i="13"/>
  <c r="E1803" i="13"/>
  <c r="E1841" i="13"/>
  <c r="E1858" i="13"/>
  <c r="E1910" i="13"/>
  <c r="E1927" i="13"/>
  <c r="D1992" i="13"/>
  <c r="D2061" i="13"/>
  <c r="D2162" i="13"/>
  <c r="D2315" i="13"/>
  <c r="D1448" i="13"/>
  <c r="D1512" i="13"/>
  <c r="D1576" i="13"/>
  <c r="D1644" i="13"/>
  <c r="D1734" i="13"/>
  <c r="D1806" i="13"/>
  <c r="D1907" i="13"/>
  <c r="E1544" i="13"/>
  <c r="D1409" i="13"/>
  <c r="D1417" i="13"/>
  <c r="E1623" i="13"/>
  <c r="D1690" i="13"/>
  <c r="D1708" i="13"/>
  <c r="D1747" i="13"/>
  <c r="D1799" i="13"/>
  <c r="D1816" i="13"/>
  <c r="D1835" i="13"/>
  <c r="D1854" i="13"/>
  <c r="D1871" i="13"/>
  <c r="D1923" i="13"/>
  <c r="D1943" i="13"/>
  <c r="D1974" i="13"/>
  <c r="D2043" i="13"/>
  <c r="D2142" i="13"/>
  <c r="D2230" i="13"/>
  <c r="D2319" i="13"/>
  <c r="D2498" i="13"/>
  <c r="E1005" i="13"/>
  <c r="E1013" i="13"/>
  <c r="E1021" i="13"/>
  <c r="E1029" i="13"/>
  <c r="E1037" i="13"/>
  <c r="E1045" i="13"/>
  <c r="E1053" i="13"/>
  <c r="E1061" i="13"/>
  <c r="E1069" i="13"/>
  <c r="E1077" i="13"/>
  <c r="E1085" i="13"/>
  <c r="E1093" i="13"/>
  <c r="E1101" i="13"/>
  <c r="E1109" i="13"/>
  <c r="E1117" i="13"/>
  <c r="E1125" i="13"/>
  <c r="E1133" i="13"/>
  <c r="E1141" i="13"/>
  <c r="E1149" i="13"/>
  <c r="E1157" i="13"/>
  <c r="E1165" i="13"/>
  <c r="E1173" i="13"/>
  <c r="E1181" i="13"/>
  <c r="E1189" i="13"/>
  <c r="E1197" i="13"/>
  <c r="E1205" i="13"/>
  <c r="E1213" i="13"/>
  <c r="E1221" i="13"/>
  <c r="E1229" i="13"/>
  <c r="E1237" i="13"/>
  <c r="E1245" i="13"/>
  <c r="E1253" i="13"/>
  <c r="E1261" i="13"/>
  <c r="E1269" i="13"/>
  <c r="E1277" i="13"/>
  <c r="E1285" i="13"/>
  <c r="E1293" i="13"/>
  <c r="E1301" i="13"/>
  <c r="E1309" i="13"/>
  <c r="E1317" i="13"/>
  <c r="E1325" i="13"/>
  <c r="E1333" i="13"/>
  <c r="E1341" i="13"/>
  <c r="E1349" i="13"/>
  <c r="E1357" i="13"/>
  <c r="E1365" i="13"/>
  <c r="E1373" i="13"/>
  <c r="E1381" i="13"/>
  <c r="E1389" i="13"/>
  <c r="E1397" i="13"/>
  <c r="E1405" i="13"/>
  <c r="E1413" i="13"/>
  <c r="E1421" i="13"/>
  <c r="D1714" i="13"/>
  <c r="D1732" i="13"/>
  <c r="D1770" i="13"/>
  <c r="D1787" i="13"/>
  <c r="D1842" i="13"/>
  <c r="D1859" i="13"/>
  <c r="D1911" i="13"/>
  <c r="D1928" i="13"/>
  <c r="D2150" i="13"/>
  <c r="D2235" i="13"/>
  <c r="D2414" i="13"/>
  <c r="D2503" i="13"/>
  <c r="D739" i="13"/>
  <c r="D743" i="13"/>
  <c r="D747" i="13"/>
  <c r="D751" i="13"/>
  <c r="D755" i="13"/>
  <c r="D759" i="13"/>
  <c r="D763" i="13"/>
  <c r="D767" i="13"/>
  <c r="D771" i="13"/>
  <c r="D775" i="13"/>
  <c r="D779" i="13"/>
  <c r="D783" i="13"/>
  <c r="D787" i="13"/>
  <c r="D791" i="13"/>
  <c r="D795" i="13"/>
  <c r="D799" i="13"/>
  <c r="D803" i="13"/>
  <c r="D807" i="13"/>
  <c r="D811" i="13"/>
  <c r="D815" i="13"/>
  <c r="D819" i="13"/>
  <c r="D823" i="13"/>
  <c r="D827" i="13"/>
  <c r="D831" i="13"/>
  <c r="D835" i="13"/>
  <c r="D839" i="13"/>
  <c r="D843" i="13"/>
  <c r="D847" i="13"/>
  <c r="D851" i="13"/>
  <c r="D855" i="13"/>
  <c r="D859" i="13"/>
  <c r="D863" i="13"/>
  <c r="D867" i="13"/>
  <c r="D871" i="13"/>
  <c r="D875" i="13"/>
  <c r="D879" i="13"/>
  <c r="D883" i="13"/>
  <c r="D887" i="13"/>
  <c r="D891" i="13"/>
  <c r="D895" i="13"/>
  <c r="D899" i="13"/>
  <c r="D903" i="13"/>
  <c r="D907" i="13"/>
  <c r="D911" i="13"/>
  <c r="D915" i="13"/>
  <c r="D919" i="13"/>
  <c r="D923" i="13"/>
  <c r="D927" i="13"/>
  <c r="D931" i="13"/>
  <c r="D935" i="13"/>
  <c r="D939" i="13"/>
  <c r="D943" i="13"/>
  <c r="D947" i="13"/>
  <c r="D951" i="13"/>
  <c r="D955" i="13"/>
  <c r="D959" i="13"/>
  <c r="D963" i="13"/>
  <c r="D967" i="13"/>
  <c r="D971" i="13"/>
  <c r="D975" i="13"/>
  <c r="D979" i="13"/>
  <c r="D983" i="13"/>
  <c r="D987" i="13"/>
  <c r="D991" i="13"/>
  <c r="D995" i="13"/>
  <c r="D999" i="13"/>
  <c r="D1006" i="13"/>
  <c r="D1014" i="13"/>
  <c r="D1022" i="13"/>
  <c r="D1030" i="13"/>
  <c r="D1038" i="13"/>
  <c r="D1046" i="13"/>
  <c r="D1054" i="13"/>
  <c r="D1062" i="13"/>
  <c r="D1070" i="13"/>
  <c r="D1078" i="13"/>
  <c r="D1086" i="13"/>
  <c r="D1094" i="13"/>
  <c r="D1102" i="13"/>
  <c r="D1110" i="13"/>
  <c r="D1118" i="13"/>
  <c r="D1126" i="13"/>
  <c r="D1134" i="13"/>
  <c r="D1142" i="13"/>
  <c r="D1150" i="13"/>
  <c r="D1158" i="13"/>
  <c r="D1166" i="13"/>
  <c r="D1174" i="13"/>
  <c r="D1182" i="13"/>
  <c r="D1190" i="13"/>
  <c r="D1198" i="13"/>
  <c r="D1206" i="13"/>
  <c r="D1214" i="13"/>
  <c r="D1222" i="13"/>
  <c r="D1230" i="13"/>
  <c r="D1238" i="13"/>
  <c r="D1246" i="13"/>
  <c r="D1254" i="13"/>
  <c r="D1262" i="13"/>
  <c r="D1270" i="13"/>
  <c r="D1278" i="13"/>
  <c r="D1286" i="13"/>
  <c r="D1294" i="13"/>
  <c r="D1310" i="13"/>
  <c r="D1326" i="13"/>
  <c r="D1346" i="13"/>
  <c r="D1378" i="13"/>
  <c r="D1410" i="13"/>
  <c r="D1433" i="13"/>
  <c r="D2330" i="13"/>
  <c r="E1680" i="13"/>
  <c r="E1699" i="13"/>
  <c r="E1717" i="13"/>
  <c r="E1737" i="13"/>
  <c r="E1756" i="13"/>
  <c r="E1773" i="13"/>
  <c r="E1825" i="13"/>
  <c r="E1845" i="13"/>
  <c r="E1897" i="13"/>
  <c r="E1914" i="13"/>
  <c r="E1933" i="13"/>
  <c r="E1952" i="13"/>
  <c r="D2183" i="13"/>
  <c r="D2360" i="13"/>
  <c r="D1464" i="13"/>
  <c r="D1528" i="13"/>
  <c r="D1592" i="13"/>
  <c r="D1661" i="13"/>
  <c r="D1677" i="13"/>
  <c r="D1754" i="13"/>
  <c r="D1823" i="13"/>
  <c r="E1608" i="13"/>
  <c r="E1918" i="13"/>
  <c r="G2782" i="13"/>
  <c r="G2771" i="13"/>
  <c r="G2750" i="13"/>
  <c r="G2739" i="13"/>
  <c r="G2718" i="13"/>
  <c r="G2707" i="13"/>
  <c r="G2684" i="13"/>
  <c r="G2671" i="13"/>
  <c r="G2650" i="13"/>
  <c r="G2639" i="13"/>
  <c r="G2618" i="13"/>
  <c r="G2607" i="13"/>
  <c r="G2586" i="13"/>
  <c r="G2572" i="13"/>
  <c r="G2784" i="13"/>
  <c r="G2773" i="13"/>
  <c r="G2752" i="13"/>
  <c r="G2741" i="13"/>
  <c r="G2720" i="13"/>
  <c r="G2709" i="13"/>
  <c r="G2687" i="13"/>
  <c r="G2673" i="13"/>
  <c r="G2652" i="13"/>
  <c r="G2641" i="13"/>
  <c r="G2620" i="13"/>
  <c r="G2609" i="13"/>
  <c r="G2588" i="13"/>
  <c r="G2575" i="13"/>
  <c r="G2552" i="13"/>
  <c r="G2775" i="13"/>
  <c r="G2754" i="13"/>
  <c r="G2743" i="13"/>
  <c r="G2722" i="13"/>
  <c r="G2711" i="13"/>
  <c r="G2690" i="13"/>
  <c r="G2675" i="13"/>
  <c r="G2654" i="13"/>
  <c r="G2643" i="13"/>
  <c r="G2622" i="13"/>
  <c r="G2611" i="13"/>
  <c r="G2590" i="13"/>
  <c r="G2779" i="13"/>
  <c r="G2758" i="13"/>
  <c r="G2747" i="13"/>
  <c r="G2726" i="13"/>
  <c r="G2715" i="13"/>
  <c r="G2694" i="13"/>
  <c r="G2680" i="13"/>
  <c r="G2658" i="13"/>
  <c r="G2647" i="13"/>
  <c r="G2626" i="13"/>
  <c r="G2615" i="13"/>
  <c r="G2594" i="13"/>
  <c r="G2583" i="13"/>
  <c r="G2558" i="13"/>
  <c r="G2781" i="13"/>
  <c r="G2760" i="13"/>
  <c r="G2749" i="13"/>
  <c r="G2728" i="13"/>
  <c r="G2717" i="13"/>
  <c r="G2696" i="13"/>
  <c r="G2683" i="13"/>
  <c r="G2660" i="13"/>
  <c r="G2649" i="13"/>
  <c r="G2628" i="13"/>
  <c r="G2617" i="13"/>
  <c r="G2596" i="13"/>
  <c r="G2585" i="13"/>
  <c r="G2571" i="13"/>
  <c r="G2560" i="13"/>
  <c r="G2783" i="13"/>
  <c r="G2762" i="13"/>
  <c r="G2751" i="13"/>
  <c r="G2730" i="13"/>
  <c r="G2719" i="13"/>
  <c r="G2698" i="13"/>
  <c r="G2686" i="13"/>
  <c r="G2662" i="13"/>
  <c r="G2651" i="13"/>
  <c r="G2630" i="13"/>
  <c r="G2619" i="13"/>
  <c r="G2598" i="13"/>
  <c r="G2587" i="13"/>
  <c r="G2766" i="13"/>
  <c r="G2755" i="13"/>
  <c r="G2734" i="13"/>
  <c r="G2723" i="13"/>
  <c r="G2702" i="13"/>
  <c r="G2691" i="13"/>
  <c r="G2666" i="13"/>
  <c r="G2655" i="13"/>
  <c r="G2634" i="13"/>
  <c r="G2623" i="13"/>
  <c r="G2602" i="13"/>
  <c r="G2591" i="13"/>
  <c r="G2580" i="13"/>
  <c r="G2566" i="13"/>
  <c r="G2555" i="13"/>
  <c r="G2768" i="13"/>
  <c r="G2757" i="13"/>
  <c r="G2774" i="13"/>
  <c r="G2731" i="13"/>
  <c r="G2688" i="13"/>
  <c r="G2642" i="13"/>
  <c r="G2599" i="13"/>
  <c r="G2744" i="13"/>
  <c r="G2701" i="13"/>
  <c r="G2676" i="13"/>
  <c r="G2633" i="13"/>
  <c r="G2612" i="13"/>
  <c r="G2565" i="13"/>
  <c r="G2778" i="13"/>
  <c r="G2735" i="13"/>
  <c r="G2714" i="13"/>
  <c r="G2667" i="13"/>
  <c r="G2646" i="13"/>
  <c r="G2603" i="13"/>
  <c r="G2582" i="13"/>
  <c r="G2567" i="13"/>
  <c r="G2761" i="13"/>
  <c r="G2672" i="13"/>
  <c r="G2629" i="13"/>
  <c r="G2551" i="13"/>
  <c r="G2530" i="13"/>
  <c r="G2519" i="13"/>
  <c r="G2498" i="13"/>
  <c r="G2487" i="13"/>
  <c r="G2462" i="13"/>
  <c r="G2451" i="13"/>
  <c r="G2430" i="13"/>
  <c r="G2419" i="13"/>
  <c r="G2398" i="13"/>
  <c r="G2387" i="13"/>
  <c r="G2769" i="13"/>
  <c r="G2681" i="13"/>
  <c r="G2637" i="13"/>
  <c r="G2556" i="13"/>
  <c r="G2532" i="13"/>
  <c r="G2521" i="13"/>
  <c r="G2500" i="13"/>
  <c r="G2489" i="13"/>
  <c r="G2465" i="13"/>
  <c r="G2453" i="13"/>
  <c r="G2432" i="13"/>
  <c r="G2421" i="13"/>
  <c r="G2400" i="13"/>
  <c r="G2389" i="13"/>
  <c r="G2777" i="13"/>
  <c r="G2692" i="13"/>
  <c r="G2645" i="13"/>
  <c r="G2559" i="13"/>
  <c r="G2534" i="13"/>
  <c r="G2523" i="13"/>
  <c r="G2502" i="13"/>
  <c r="G2491" i="13"/>
  <c r="G2468" i="13"/>
  <c r="G2455" i="13"/>
  <c r="G2541" i="13"/>
  <c r="G2452" i="13"/>
  <c r="G2425" i="13"/>
  <c r="G2404" i="13"/>
  <c r="G2357" i="13"/>
  <c r="G2345" i="13"/>
  <c r="G2324" i="13"/>
  <c r="G2313" i="13"/>
  <c r="G2292" i="13"/>
  <c r="G2281" i="13"/>
  <c r="G2260" i="13"/>
  <c r="G2245" i="13"/>
  <c r="G2224" i="13"/>
  <c r="G2621" i="13"/>
  <c r="G2528" i="13"/>
  <c r="G2485" i="13"/>
  <c r="G2439" i="13"/>
  <c r="G2418" i="13"/>
  <c r="G2378" i="13"/>
  <c r="G2367" i="13"/>
  <c r="G2342" i="13"/>
  <c r="G2331" i="13"/>
  <c r="G2310" i="13"/>
  <c r="G2299" i="13"/>
  <c r="G2278" i="13"/>
  <c r="G2267" i="13"/>
  <c r="G2256" i="13"/>
  <c r="G2242" i="13"/>
  <c r="G2231" i="13"/>
  <c r="G2600" i="13"/>
  <c r="G2480" i="13"/>
  <c r="G2415" i="13"/>
  <c r="G2351" i="13"/>
  <c r="G2330" i="13"/>
  <c r="G2287" i="13"/>
  <c r="G2266" i="13"/>
  <c r="G2220" i="13"/>
  <c r="G2198" i="13"/>
  <c r="G2187" i="13"/>
  <c r="G2166" i="13"/>
  <c r="G2155" i="13"/>
  <c r="G2142" i="13"/>
  <c r="G2126" i="13"/>
  <c r="G2110" i="13"/>
  <c r="G2094" i="13"/>
  <c r="G2653" i="13"/>
  <c r="G2493" i="13"/>
  <c r="G2380" i="13"/>
  <c r="G2355" i="13"/>
  <c r="G2333" i="13"/>
  <c r="G2312" i="13"/>
  <c r="G2269" i="13"/>
  <c r="G2244" i="13"/>
  <c r="G2200" i="13"/>
  <c r="G2189" i="13"/>
  <c r="G2168" i="13"/>
  <c r="G2763" i="13"/>
  <c r="G2674" i="13"/>
  <c r="G2631" i="13"/>
  <c r="G2776" i="13"/>
  <c r="G2736" i="13"/>
  <c r="G2693" i="13"/>
  <c r="G2668" i="13"/>
  <c r="G2625" i="13"/>
  <c r="G2604" i="13"/>
  <c r="G2557" i="13"/>
  <c r="G2770" i="13"/>
  <c r="G2727" i="13"/>
  <c r="G2706" i="13"/>
  <c r="G2682" i="13"/>
  <c r="G2659" i="13"/>
  <c r="G2638" i="13"/>
  <c r="G2595" i="13"/>
  <c r="G2578" i="13"/>
  <c r="G2708" i="13"/>
  <c r="G2661" i="13"/>
  <c r="G2573" i="13"/>
  <c r="G2538" i="13"/>
  <c r="G2527" i="13"/>
  <c r="G2506" i="13"/>
  <c r="G2495" i="13"/>
  <c r="G2474" i="13"/>
  <c r="G2459" i="13"/>
  <c r="G2438" i="13"/>
  <c r="G2427" i="13"/>
  <c r="G2406" i="13"/>
  <c r="G2395" i="13"/>
  <c r="G2716" i="13"/>
  <c r="G2669" i="13"/>
  <c r="G2584" i="13"/>
  <c r="G2540" i="13"/>
  <c r="G2529" i="13"/>
  <c r="G2508" i="13"/>
  <c r="G2497" i="13"/>
  <c r="G2476" i="13"/>
  <c r="G2461" i="13"/>
  <c r="G2440" i="13"/>
  <c r="G2429" i="13"/>
  <c r="G2408" i="13"/>
  <c r="G2397" i="13"/>
  <c r="G2724" i="13"/>
  <c r="G2677" i="13"/>
  <c r="G2592" i="13"/>
  <c r="G2554" i="13"/>
  <c r="G2542" i="13"/>
  <c r="G2531" i="13"/>
  <c r="G2510" i="13"/>
  <c r="G2499" i="13"/>
  <c r="G2478" i="13"/>
  <c r="G2464" i="13"/>
  <c r="G2442" i="13"/>
  <c r="G2632" i="13"/>
  <c r="G2488" i="13"/>
  <c r="G2441" i="13"/>
  <c r="G2420" i="13"/>
  <c r="G2368" i="13"/>
  <c r="G2353" i="13"/>
  <c r="G2332" i="13"/>
  <c r="G2321" i="13"/>
  <c r="G2300" i="13"/>
  <c r="G2289" i="13"/>
  <c r="G2268" i="13"/>
  <c r="G2257" i="13"/>
  <c r="G2232" i="13"/>
  <c r="G2753" i="13"/>
  <c r="G2577" i="13"/>
  <c r="G2517" i="13"/>
  <c r="G2434" i="13"/>
  <c r="G2391" i="13"/>
  <c r="G2375" i="13"/>
  <c r="G2364" i="13"/>
  <c r="G2350" i="13"/>
  <c r="G2339" i="13"/>
  <c r="G2318" i="13"/>
  <c r="G2307" i="13"/>
  <c r="G2286" i="13"/>
  <c r="G2275" i="13"/>
  <c r="G2252" i="13"/>
  <c r="G2239" i="13"/>
  <c r="G2218" i="13"/>
  <c r="G2544" i="13"/>
  <c r="G2371" i="13"/>
  <c r="G2346" i="13"/>
  <c r="G2303" i="13"/>
  <c r="G2282" i="13"/>
  <c r="G2235" i="13"/>
  <c r="G2710" i="13"/>
  <c r="G2663" i="13"/>
  <c r="G2576" i="13"/>
  <c r="G2765" i="13"/>
  <c r="G2733" i="13"/>
  <c r="G2712" i="13"/>
  <c r="G2665" i="13"/>
  <c r="G2644" i="13"/>
  <c r="G2601" i="13"/>
  <c r="G2579" i="13"/>
  <c r="G2767" i="13"/>
  <c r="G2746" i="13"/>
  <c r="G2703" i="13"/>
  <c r="G2678" i="13"/>
  <c r="G2635" i="13"/>
  <c r="G2614" i="13"/>
  <c r="G2574" i="13"/>
  <c r="G2740" i="13"/>
  <c r="G2697" i="13"/>
  <c r="G2608" i="13"/>
  <c r="G2562" i="13"/>
  <c r="G2546" i="13"/>
  <c r="G2535" i="13"/>
  <c r="G2514" i="13"/>
  <c r="G2503" i="13"/>
  <c r="G2482" i="13"/>
  <c r="G2470" i="13"/>
  <c r="G2446" i="13"/>
  <c r="G2435" i="13"/>
  <c r="G2414" i="13"/>
  <c r="G2403" i="13"/>
  <c r="G2382" i="13"/>
  <c r="G2748" i="13"/>
  <c r="G2705" i="13"/>
  <c r="G2616" i="13"/>
  <c r="G2569" i="13"/>
  <c r="G2548" i="13"/>
  <c r="G2537" i="13"/>
  <c r="G2516" i="13"/>
  <c r="G2505" i="13"/>
  <c r="G2484" i="13"/>
  <c r="G2473" i="13"/>
  <c r="G2448" i="13"/>
  <c r="G2437" i="13"/>
  <c r="G2416" i="13"/>
  <c r="G2405" i="13"/>
  <c r="G2384" i="13"/>
  <c r="G2756" i="13"/>
  <c r="G2713" i="13"/>
  <c r="G2624" i="13"/>
  <c r="G2581" i="13"/>
  <c r="G2550" i="13"/>
  <c r="G2539" i="13"/>
  <c r="G2518" i="13"/>
  <c r="G2507" i="13"/>
  <c r="G2725" i="13"/>
  <c r="G2636" i="13"/>
  <c r="G2695" i="13"/>
  <c r="G2606" i="13"/>
  <c r="G2729" i="13"/>
  <c r="G2511" i="13"/>
  <c r="G2466" i="13"/>
  <c r="G2422" i="13"/>
  <c r="G2780" i="13"/>
  <c r="G2605" i="13"/>
  <c r="G2524" i="13"/>
  <c r="G2481" i="13"/>
  <c r="G2392" i="13"/>
  <c r="G2656" i="13"/>
  <c r="G2494" i="13"/>
  <c r="G2472" i="13"/>
  <c r="G2447" i="13"/>
  <c r="G2553" i="13"/>
  <c r="G2463" i="13"/>
  <c r="G2409" i="13"/>
  <c r="G2373" i="13"/>
  <c r="G2348" i="13"/>
  <c r="G2305" i="13"/>
  <c r="G2284" i="13"/>
  <c r="G2237" i="13"/>
  <c r="G2664" i="13"/>
  <c r="G2496" i="13"/>
  <c r="G2423" i="13"/>
  <c r="G2356" i="13"/>
  <c r="G2334" i="13"/>
  <c r="G2291" i="13"/>
  <c r="G2270" i="13"/>
  <c r="G2223" i="13"/>
  <c r="G2501" i="13"/>
  <c r="G2383" i="13"/>
  <c r="G2335" i="13"/>
  <c r="G2246" i="13"/>
  <c r="G2211" i="13"/>
  <c r="G2195" i="13"/>
  <c r="G2182" i="13"/>
  <c r="G2134" i="13"/>
  <c r="G2114" i="13"/>
  <c r="G2090" i="13"/>
  <c r="G2536" i="13"/>
  <c r="G2433" i="13"/>
  <c r="G2344" i="13"/>
  <c r="G2317" i="13"/>
  <c r="G2285" i="13"/>
  <c r="G2228" i="13"/>
  <c r="G2208" i="13"/>
  <c r="G2181" i="13"/>
  <c r="G2165" i="13"/>
  <c r="G2141" i="13"/>
  <c r="G2125" i="13"/>
  <c r="G2109" i="13"/>
  <c r="G2093" i="13"/>
  <c r="G2379" i="13"/>
  <c r="G2354" i="13"/>
  <c r="G2311" i="13"/>
  <c r="G2290" i="13"/>
  <c r="G2243" i="13"/>
  <c r="G2222" i="13"/>
  <c r="G2210" i="13"/>
  <c r="G2199" i="13"/>
  <c r="G2178" i="13"/>
  <c r="G2167" i="13"/>
  <c r="G2144" i="13"/>
  <c r="G2128" i="13"/>
  <c r="G2112" i="13"/>
  <c r="G2096" i="13"/>
  <c r="G2700" i="13"/>
  <c r="G2359" i="13"/>
  <c r="G2272" i="13"/>
  <c r="G2201" i="13"/>
  <c r="G2099" i="13"/>
  <c r="G2077" i="13"/>
  <c r="G2068" i="13"/>
  <c r="G2051" i="13"/>
  <c r="G2025" i="13"/>
  <c r="G2008" i="13"/>
  <c r="G1999" i="13"/>
  <c r="G1982" i="13"/>
  <c r="G1965" i="13"/>
  <c r="G1956" i="13"/>
  <c r="G1939" i="13"/>
  <c r="G1927" i="13"/>
  <c r="G2241" i="13"/>
  <c r="G2188" i="13"/>
  <c r="G2143" i="13"/>
  <c r="G2074" i="13"/>
  <c r="G2057" i="13"/>
  <c r="G2048" i="13"/>
  <c r="G2031" i="13"/>
  <c r="G2014" i="13"/>
  <c r="G2005" i="13"/>
  <c r="G1988" i="13"/>
  <c r="G1962" i="13"/>
  <c r="G1945" i="13"/>
  <c r="G1936" i="13"/>
  <c r="G1916" i="13"/>
  <c r="G1907" i="13"/>
  <c r="G1890" i="13"/>
  <c r="G1864" i="13"/>
  <c r="G1847" i="13"/>
  <c r="G1838" i="13"/>
  <c r="G1818" i="13"/>
  <c r="G1809" i="13"/>
  <c r="G1792" i="13"/>
  <c r="G2261" i="13"/>
  <c r="G2196" i="13"/>
  <c r="G2153" i="13"/>
  <c r="G2091" i="13"/>
  <c r="G2067" i="13"/>
  <c r="G2050" i="13"/>
  <c r="G2041" i="13"/>
  <c r="G2610" i="13"/>
  <c r="G2704" i="13"/>
  <c r="G2759" i="13"/>
  <c r="G2670" i="13"/>
  <c r="G2685" i="13"/>
  <c r="G2543" i="13"/>
  <c r="G2454" i="13"/>
  <c r="G2411" i="13"/>
  <c r="G2737" i="13"/>
  <c r="G2561" i="13"/>
  <c r="G2513" i="13"/>
  <c r="G2469" i="13"/>
  <c r="G2424" i="13"/>
  <c r="G2381" i="13"/>
  <c r="G2613" i="13"/>
  <c r="G2526" i="13"/>
  <c r="G2486" i="13"/>
  <c r="G2764" i="13"/>
  <c r="G2520" i="13"/>
  <c r="G2436" i="13"/>
  <c r="G2393" i="13"/>
  <c r="G2365" i="13"/>
  <c r="G2340" i="13"/>
  <c r="G2297" i="13"/>
  <c r="G2276" i="13"/>
  <c r="G2253" i="13"/>
  <c r="G2229" i="13"/>
  <c r="G2549" i="13"/>
  <c r="G2460" i="13"/>
  <c r="G2407" i="13"/>
  <c r="G2347" i="13"/>
  <c r="G2326" i="13"/>
  <c r="G2283" i="13"/>
  <c r="G2262" i="13"/>
  <c r="G2366" i="13"/>
  <c r="G2319" i="13"/>
  <c r="G2230" i="13"/>
  <c r="G2206" i="13"/>
  <c r="G2179" i="13"/>
  <c r="G2163" i="13"/>
  <c r="G2150" i="13"/>
  <c r="G2130" i="13"/>
  <c r="G2106" i="13"/>
  <c r="G2086" i="13"/>
  <c r="G2412" i="13"/>
  <c r="G2369" i="13"/>
  <c r="G2280" i="13"/>
  <c r="G2251" i="13"/>
  <c r="G2219" i="13"/>
  <c r="G2205" i="13"/>
  <c r="G2192" i="13"/>
  <c r="G2176" i="13"/>
  <c r="G2152" i="13"/>
  <c r="G2137" i="13"/>
  <c r="G2121" i="13"/>
  <c r="G2105" i="13"/>
  <c r="G2089" i="13"/>
  <c r="G2467" i="13"/>
  <c r="G2410" i="13"/>
  <c r="G2374" i="13"/>
  <c r="G2327" i="13"/>
  <c r="G2306" i="13"/>
  <c r="G2263" i="13"/>
  <c r="G2238" i="13"/>
  <c r="G2207" i="13"/>
  <c r="G2186" i="13"/>
  <c r="G2175" i="13"/>
  <c r="G2154" i="13"/>
  <c r="G2140" i="13"/>
  <c r="G2124" i="13"/>
  <c r="G2108" i="13"/>
  <c r="G2092" i="13"/>
  <c r="G2504" i="13"/>
  <c r="G2336" i="13"/>
  <c r="G2247" i="13"/>
  <c r="G2147" i="13"/>
  <c r="G2083" i="13"/>
  <c r="G2066" i="13"/>
  <c r="G2049" i="13"/>
  <c r="G2040" i="13"/>
  <c r="G2023" i="13"/>
  <c r="G1997" i="13"/>
  <c r="G1980" i="13"/>
  <c r="G1971" i="13"/>
  <c r="G1954" i="13"/>
  <c r="G1937" i="13"/>
  <c r="G1925" i="13"/>
  <c r="G2417" i="13"/>
  <c r="G2309" i="13"/>
  <c r="G2221" i="13"/>
  <c r="G2177" i="13"/>
  <c r="G2127" i="13"/>
  <c r="G2072" i="13"/>
  <c r="G2046" i="13"/>
  <c r="G2029" i="13"/>
  <c r="G2020" i="13"/>
  <c r="G2003" i="13"/>
  <c r="G1986" i="13"/>
  <c r="G1977" i="13"/>
  <c r="G1960" i="13"/>
  <c r="G1932" i="13"/>
  <c r="G1922" i="13"/>
  <c r="G1905" i="13"/>
  <c r="G1888" i="13"/>
  <c r="G1879" i="13"/>
  <c r="G1862" i="13"/>
  <c r="G1834" i="13"/>
  <c r="G1824" i="13"/>
  <c r="G1807" i="13"/>
  <c r="G1790" i="13"/>
  <c r="G2457" i="13"/>
  <c r="G2325" i="13"/>
  <c r="G2236" i="13"/>
  <c r="G2185" i="13"/>
  <c r="G2139" i="13"/>
  <c r="G2082" i="13"/>
  <c r="G2065" i="13"/>
  <c r="G2742" i="13"/>
  <c r="G2563" i="13"/>
  <c r="G2679" i="13"/>
  <c r="G2593" i="13"/>
  <c r="G2738" i="13"/>
  <c r="G2570" i="13"/>
  <c r="G2640" i="13"/>
  <c r="G2490" i="13"/>
  <c r="G2443" i="13"/>
  <c r="G2545" i="13"/>
  <c r="G2456" i="13"/>
  <c r="G2413" i="13"/>
  <c r="G2745" i="13"/>
  <c r="G2515" i="13"/>
  <c r="G2483" i="13"/>
  <c r="G2458" i="13"/>
  <c r="G2721" i="13"/>
  <c r="G2509" i="13"/>
  <c r="G2388" i="13"/>
  <c r="G2361" i="13"/>
  <c r="G2337" i="13"/>
  <c r="G2316" i="13"/>
  <c r="G2273" i="13"/>
  <c r="G2249" i="13"/>
  <c r="G2449" i="13"/>
  <c r="G2402" i="13"/>
  <c r="G2370" i="13"/>
  <c r="G2323" i="13"/>
  <c r="G2302" i="13"/>
  <c r="G2259" i="13"/>
  <c r="G2234" i="13"/>
  <c r="G2689" i="13"/>
  <c r="G2426" i="13"/>
  <c r="G2358" i="13"/>
  <c r="G2314" i="13"/>
  <c r="G2271" i="13"/>
  <c r="G2203" i="13"/>
  <c r="G2190" i="13"/>
  <c r="G2174" i="13"/>
  <c r="G2146" i="13"/>
  <c r="G2122" i="13"/>
  <c r="G2102" i="13"/>
  <c r="G2471" i="13"/>
  <c r="G2401" i="13"/>
  <c r="G2363" i="13"/>
  <c r="G2328" i="13"/>
  <c r="G2301" i="13"/>
  <c r="G2216" i="13"/>
  <c r="G2173" i="13"/>
  <c r="G2160" i="13"/>
  <c r="G2149" i="13"/>
  <c r="G2133" i="13"/>
  <c r="G2117" i="13"/>
  <c r="G2101" i="13"/>
  <c r="G2085" i="13"/>
  <c r="G2533" i="13"/>
  <c r="G2444" i="13"/>
  <c r="G2399" i="13"/>
  <c r="G2343" i="13"/>
  <c r="G2322" i="13"/>
  <c r="G2279" i="13"/>
  <c r="G2258" i="13"/>
  <c r="G2215" i="13"/>
  <c r="G2194" i="13"/>
  <c r="G2183" i="13"/>
  <c r="G2162" i="13"/>
  <c r="G2151" i="13"/>
  <c r="G2136" i="13"/>
  <c r="G2120" i="13"/>
  <c r="G2104" i="13"/>
  <c r="G2088" i="13"/>
  <c r="G2428" i="13"/>
  <c r="G2225" i="13"/>
  <c r="G2180" i="13"/>
  <c r="G2131" i="13"/>
  <c r="G2081" i="13"/>
  <c r="G2064" i="13"/>
  <c r="G2055" i="13"/>
  <c r="G2038" i="13"/>
  <c r="G2021" i="13"/>
  <c r="G2012" i="13"/>
  <c r="G1995" i="13"/>
  <c r="G1969" i="13"/>
  <c r="G1952" i="13"/>
  <c r="G1943" i="13"/>
  <c r="G1933" i="13"/>
  <c r="G1923" i="13"/>
  <c r="G2377" i="13"/>
  <c r="G2288" i="13"/>
  <c r="G2209" i="13"/>
  <c r="G2111" i="13"/>
  <c r="G2070" i="13"/>
  <c r="G2061" i="13"/>
  <c r="G2044" i="13"/>
  <c r="G2018" i="13"/>
  <c r="G2001" i="13"/>
  <c r="G1992" i="13"/>
  <c r="G1975" i="13"/>
  <c r="G1958" i="13"/>
  <c r="G1949" i="13"/>
  <c r="G1920" i="13"/>
  <c r="G1903" i="13"/>
  <c r="G1894" i="13"/>
  <c r="G1877" i="13"/>
  <c r="G2657" i="13"/>
  <c r="G2772" i="13"/>
  <c r="G2492" i="13"/>
  <c r="G2547" i="13"/>
  <c r="G2589" i="13"/>
  <c r="G2265" i="13"/>
  <c r="G2315" i="13"/>
  <c r="G2226" i="13"/>
  <c r="G2298" i="13"/>
  <c r="G2118" i="13"/>
  <c r="G2264" i="13"/>
  <c r="G2184" i="13"/>
  <c r="G2129" i="13"/>
  <c r="G2512" i="13"/>
  <c r="G2338" i="13"/>
  <c r="G2250" i="13"/>
  <c r="G2191" i="13"/>
  <c r="G2148" i="13"/>
  <c r="G2084" i="13"/>
  <c r="G2169" i="13"/>
  <c r="G2027" i="13"/>
  <c r="G1993" i="13"/>
  <c r="G2156" i="13"/>
  <c r="G2059" i="13"/>
  <c r="G1990" i="13"/>
  <c r="G1918" i="13"/>
  <c r="G1860" i="13"/>
  <c r="G1822" i="13"/>
  <c r="G1805" i="13"/>
  <c r="G2304" i="13"/>
  <c r="G2080" i="13"/>
  <c r="G2063" i="13"/>
  <c r="G2052" i="13"/>
  <c r="G2039" i="13"/>
  <c r="G2022" i="13"/>
  <c r="G2013" i="13"/>
  <c r="G1996" i="13"/>
  <c r="G1979" i="13"/>
  <c r="G1970" i="13"/>
  <c r="G1953" i="13"/>
  <c r="G1935" i="13"/>
  <c r="G1924" i="13"/>
  <c r="G1915" i="13"/>
  <c r="G1898" i="13"/>
  <c r="G1881" i="13"/>
  <c r="G1872" i="13"/>
  <c r="G1855" i="13"/>
  <c r="G2193" i="13"/>
  <c r="G2032" i="13"/>
  <c r="G1963" i="13"/>
  <c r="G1906" i="13"/>
  <c r="G1889" i="13"/>
  <c r="G1843" i="13"/>
  <c r="G1828" i="13"/>
  <c r="G1783" i="13"/>
  <c r="G1774" i="13"/>
  <c r="G1757" i="13"/>
  <c r="G1739" i="13"/>
  <c r="G1709" i="13"/>
  <c r="G1700" i="13"/>
  <c r="G1691" i="13"/>
  <c r="G1682" i="13"/>
  <c r="G1633" i="13"/>
  <c r="G2030" i="13"/>
  <c r="G1961" i="13"/>
  <c r="G1871" i="13"/>
  <c r="G1854" i="13"/>
  <c r="G1842" i="13"/>
  <c r="G1816" i="13"/>
  <c r="G1793" i="13"/>
  <c r="G1782" i="13"/>
  <c r="G1765" i="13"/>
  <c r="G1748" i="13"/>
  <c r="G1738" i="13"/>
  <c r="G1727" i="13"/>
  <c r="G1718" i="13"/>
  <c r="G1681" i="13"/>
  <c r="G1672" i="13"/>
  <c r="G1664" i="13"/>
  <c r="G1655" i="13"/>
  <c r="G1646" i="13"/>
  <c r="G1637" i="13"/>
  <c r="G1628" i="13"/>
  <c r="G1619" i="13"/>
  <c r="G1610" i="13"/>
  <c r="G1602" i="13"/>
  <c r="G1594" i="13"/>
  <c r="G1586" i="13"/>
  <c r="G1578" i="13"/>
  <c r="G1570" i="13"/>
  <c r="G1562" i="13"/>
  <c r="G2045" i="13"/>
  <c r="G1976" i="13"/>
  <c r="G1878" i="13"/>
  <c r="G1861" i="13"/>
  <c r="G1833" i="13"/>
  <c r="G1821" i="13"/>
  <c r="G1798" i="13"/>
  <c r="G1769" i="13"/>
  <c r="G1760" i="13"/>
  <c r="G2568" i="13"/>
  <c r="G2597" i="13"/>
  <c r="G2390" i="13"/>
  <c r="G2445" i="13"/>
  <c r="G2477" i="13"/>
  <c r="G2329" i="13"/>
  <c r="G2240" i="13"/>
  <c r="G2386" i="13"/>
  <c r="G2294" i="13"/>
  <c r="G2254" i="13"/>
  <c r="G2171" i="13"/>
  <c r="G2098" i="13"/>
  <c r="G2349" i="13"/>
  <c r="G2233" i="13"/>
  <c r="G2113" i="13"/>
  <c r="G2431" i="13"/>
  <c r="G2227" i="13"/>
  <c r="G2132" i="13"/>
  <c r="G2385" i="13"/>
  <c r="G2115" i="13"/>
  <c r="G2053" i="13"/>
  <c r="G1984" i="13"/>
  <c r="G2352" i="13"/>
  <c r="G2095" i="13"/>
  <c r="G2016" i="13"/>
  <c r="G1947" i="13"/>
  <c r="G1875" i="13"/>
  <c r="G1820" i="13"/>
  <c r="G2164" i="13"/>
  <c r="G2078" i="13"/>
  <c r="G2037" i="13"/>
  <c r="G2011" i="13"/>
  <c r="G1994" i="13"/>
  <c r="G1985" i="13"/>
  <c r="G1968" i="13"/>
  <c r="G1951" i="13"/>
  <c r="G1942" i="13"/>
  <c r="G1931" i="13"/>
  <c r="G1913" i="13"/>
  <c r="G1896" i="13"/>
  <c r="G1887" i="13"/>
  <c r="G1870" i="13"/>
  <c r="G2525" i="13"/>
  <c r="G2058" i="13"/>
  <c r="G1989" i="13"/>
  <c r="G1919" i="13"/>
  <c r="G1902" i="13"/>
  <c r="G1840" i="13"/>
  <c r="G1814" i="13"/>
  <c r="G1802" i="13"/>
  <c r="G1791" i="13"/>
  <c r="G1772" i="13"/>
  <c r="G1755" i="13"/>
  <c r="G1746" i="13"/>
  <c r="G1735" i="13"/>
  <c r="G1725" i="13"/>
  <c r="G1716" i="13"/>
  <c r="G1707" i="13"/>
  <c r="G1698" i="13"/>
  <c r="G1678" i="13"/>
  <c r="G2135" i="13"/>
  <c r="G2056" i="13"/>
  <c r="G1987" i="13"/>
  <c r="G1901" i="13"/>
  <c r="G1884" i="13"/>
  <c r="G1867" i="13"/>
  <c r="G1825" i="13"/>
  <c r="G1813" i="13"/>
  <c r="G1780" i="13"/>
  <c r="G1763" i="13"/>
  <c r="G1754" i="13"/>
  <c r="G1734" i="13"/>
  <c r="G1697" i="13"/>
  <c r="G1688" i="13"/>
  <c r="G1677" i="13"/>
  <c r="G1670" i="13"/>
  <c r="G1661" i="13"/>
  <c r="G1653" i="13"/>
  <c r="G1644" i="13"/>
  <c r="G1635" i="13"/>
  <c r="G1626" i="13"/>
  <c r="G1617" i="13"/>
  <c r="G1608" i="13"/>
  <c r="G1600" i="13"/>
  <c r="G1592" i="13"/>
  <c r="G1584" i="13"/>
  <c r="G1576" i="13"/>
  <c r="G1568" i="13"/>
  <c r="G1560" i="13"/>
  <c r="G2071" i="13"/>
  <c r="G2002" i="13"/>
  <c r="G1930" i="13"/>
  <c r="G1908" i="13"/>
  <c r="G1891" i="13"/>
  <c r="G1874" i="13"/>
  <c r="G1844" i="13"/>
  <c r="G1795" i="13"/>
  <c r="G1784" i="13"/>
  <c r="G1775" i="13"/>
  <c r="G1758" i="13"/>
  <c r="G2699" i="13"/>
  <c r="G2522" i="13"/>
  <c r="G2648" i="13"/>
  <c r="G2475" i="13"/>
  <c r="G2308" i="13"/>
  <c r="G2360" i="13"/>
  <c r="G2394" i="13"/>
  <c r="G2214" i="13"/>
  <c r="G2158" i="13"/>
  <c r="G2564" i="13"/>
  <c r="G2213" i="13"/>
  <c r="G2157" i="13"/>
  <c r="G2097" i="13"/>
  <c r="G2295" i="13"/>
  <c r="G2170" i="13"/>
  <c r="G2116" i="13"/>
  <c r="G2293" i="13"/>
  <c r="G2079" i="13"/>
  <c r="G2010" i="13"/>
  <c r="G1941" i="13"/>
  <c r="G2076" i="13"/>
  <c r="G2042" i="13"/>
  <c r="G1973" i="13"/>
  <c r="G1851" i="13"/>
  <c r="G1796" i="13"/>
  <c r="G2217" i="13"/>
  <c r="G2123" i="13"/>
  <c r="G2035" i="13"/>
  <c r="G2026" i="13"/>
  <c r="G2009" i="13"/>
  <c r="G1983" i="13"/>
  <c r="G1966" i="13"/>
  <c r="G1957" i="13"/>
  <c r="G1940" i="13"/>
  <c r="G1928" i="13"/>
  <c r="G1911" i="13"/>
  <c r="G1885" i="13"/>
  <c r="G1868" i="13"/>
  <c r="G1859" i="13"/>
  <c r="G2341" i="13"/>
  <c r="G2087" i="13"/>
  <c r="G2015" i="13"/>
  <c r="G1946" i="13"/>
  <c r="G1880" i="13"/>
  <c r="G1863" i="13"/>
  <c r="G1836" i="13"/>
  <c r="G1811" i="13"/>
  <c r="G1788" i="13"/>
  <c r="G1770" i="13"/>
  <c r="G1761" i="13"/>
  <c r="G1744" i="13"/>
  <c r="G1732" i="13"/>
  <c r="G1723" i="13"/>
  <c r="G1714" i="13"/>
  <c r="G2320" i="13"/>
  <c r="G2047" i="13"/>
  <c r="G1978" i="13"/>
  <c r="G1944" i="13"/>
  <c r="G1914" i="13"/>
  <c r="G1897" i="13"/>
  <c r="G1848" i="13"/>
  <c r="G1835" i="13"/>
  <c r="G1810" i="13"/>
  <c r="G1799" i="13"/>
  <c r="G1787" i="13"/>
  <c r="G1778" i="13"/>
  <c r="G1752" i="13"/>
  <c r="G1713" i="13"/>
  <c r="G2296" i="13"/>
  <c r="G2362" i="13"/>
  <c r="G2100" i="13"/>
  <c r="G2007" i="13"/>
  <c r="G1938" i="13"/>
  <c r="G1900" i="13"/>
  <c r="G1846" i="13"/>
  <c r="G1797" i="13"/>
  <c r="G1759" i="13"/>
  <c r="G1684" i="13"/>
  <c r="G1819" i="13"/>
  <c r="G1776" i="13"/>
  <c r="G1704" i="13"/>
  <c r="G1686" i="13"/>
  <c r="G1668" i="13"/>
  <c r="G1651" i="13"/>
  <c r="G1632" i="13"/>
  <c r="G1615" i="13"/>
  <c r="G1598" i="13"/>
  <c r="G1582" i="13"/>
  <c r="G1566" i="13"/>
  <c r="G2172" i="13"/>
  <c r="G2028" i="13"/>
  <c r="G1959" i="13"/>
  <c r="G1904" i="13"/>
  <c r="G1815" i="13"/>
  <c r="G1773" i="13"/>
  <c r="G1756" i="13"/>
  <c r="G1747" i="13"/>
  <c r="G1737" i="13"/>
  <c r="G1717" i="13"/>
  <c r="G1708" i="13"/>
  <c r="G1699" i="13"/>
  <c r="G1690" i="13"/>
  <c r="G1680" i="13"/>
  <c r="G1623" i="13"/>
  <c r="G2043" i="13"/>
  <c r="G1912" i="13"/>
  <c r="G1721" i="13"/>
  <c r="G1667" i="13"/>
  <c r="G1631" i="13"/>
  <c r="G1575" i="13"/>
  <c r="G1417" i="13"/>
  <c r="G1401" i="13"/>
  <c r="G1385" i="13"/>
  <c r="G1369" i="13"/>
  <c r="G1353" i="13"/>
  <c r="G1337" i="13"/>
  <c r="G1321" i="13"/>
  <c r="G1305" i="13"/>
  <c r="G1289" i="13"/>
  <c r="G1273" i="13"/>
  <c r="G1257" i="13"/>
  <c r="G1241" i="13"/>
  <c r="G1225" i="13"/>
  <c r="G1209" i="13"/>
  <c r="G1193" i="13"/>
  <c r="G1177" i="13"/>
  <c r="G1161" i="13"/>
  <c r="G1145" i="13"/>
  <c r="G1129" i="13"/>
  <c r="G1113" i="13"/>
  <c r="G1097" i="13"/>
  <c r="G1081" i="13"/>
  <c r="G1065" i="13"/>
  <c r="G1049" i="13"/>
  <c r="G1033" i="13"/>
  <c r="G1017" i="13"/>
  <c r="G1001" i="13"/>
  <c r="G1856" i="13"/>
  <c r="G1806" i="13"/>
  <c r="G1766" i="13"/>
  <c r="G1728" i="13"/>
  <c r="G1673" i="13"/>
  <c r="G1638" i="13"/>
  <c r="G1611" i="13"/>
  <c r="G1595" i="13"/>
  <c r="G1569" i="13"/>
  <c r="G1552" i="13"/>
  <c r="G1544" i="13"/>
  <c r="G1536" i="13"/>
  <c r="G1528" i="13"/>
  <c r="G1520" i="13"/>
  <c r="G1512" i="13"/>
  <c r="G1504" i="13"/>
  <c r="G1496" i="13"/>
  <c r="G1488" i="13"/>
  <c r="G1480" i="13"/>
  <c r="G1472" i="13"/>
  <c r="G1464" i="13"/>
  <c r="G1456" i="13"/>
  <c r="G1448" i="13"/>
  <c r="G1440" i="13"/>
  <c r="G1432" i="13"/>
  <c r="G1424" i="13"/>
  <c r="G1408" i="13"/>
  <c r="G1392" i="13"/>
  <c r="G1376" i="13"/>
  <c r="G1360" i="13"/>
  <c r="G1344" i="13"/>
  <c r="G1328" i="13"/>
  <c r="G1312" i="13"/>
  <c r="G1296" i="13"/>
  <c r="G1280" i="13"/>
  <c r="G1264" i="13"/>
  <c r="G1248" i="13"/>
  <c r="G1232" i="13"/>
  <c r="G1216" i="13"/>
  <c r="G1200" i="13"/>
  <c r="G1184" i="13"/>
  <c r="G1168" i="13"/>
  <c r="G1152" i="13"/>
  <c r="G1136" i="13"/>
  <c r="G1120" i="13"/>
  <c r="G1104" i="13"/>
  <c r="G1088" i="13"/>
  <c r="G1072" i="13"/>
  <c r="G1056" i="13"/>
  <c r="G1040" i="13"/>
  <c r="G1024" i="13"/>
  <c r="G1008" i="13"/>
  <c r="G996" i="13"/>
  <c r="G988" i="13"/>
  <c r="G980" i="13"/>
  <c r="G972" i="13"/>
  <c r="G964" i="13"/>
  <c r="G956" i="13"/>
  <c r="G948" i="13"/>
  <c r="G2197" i="13"/>
  <c r="G2274" i="13"/>
  <c r="G2212" i="13"/>
  <c r="G1967" i="13"/>
  <c r="G2033" i="13"/>
  <c r="G1892" i="13"/>
  <c r="G2107" i="13"/>
  <c r="G1998" i="13"/>
  <c r="G1926" i="13"/>
  <c r="G1857" i="13"/>
  <c r="G2006" i="13"/>
  <c r="G1893" i="13"/>
  <c r="G1831" i="13"/>
  <c r="G1785" i="13"/>
  <c r="G2073" i="13"/>
  <c r="G1934" i="13"/>
  <c r="G1858" i="13"/>
  <c r="G1767" i="13"/>
  <c r="G1729" i="13"/>
  <c r="G1702" i="13"/>
  <c r="G1666" i="13"/>
  <c r="G1648" i="13"/>
  <c r="G1630" i="13"/>
  <c r="G1612" i="13"/>
  <c r="G1596" i="13"/>
  <c r="G1580" i="13"/>
  <c r="G1564" i="13"/>
  <c r="G2119" i="13"/>
  <c r="G2019" i="13"/>
  <c r="G1950" i="13"/>
  <c r="G1865" i="13"/>
  <c r="G1839" i="13"/>
  <c r="G1789" i="13"/>
  <c r="G1771" i="13"/>
  <c r="G1745" i="13"/>
  <c r="G1733" i="13"/>
  <c r="G1724" i="13"/>
  <c r="G1715" i="13"/>
  <c r="G1706" i="13"/>
  <c r="G1895" i="13"/>
  <c r="G1832" i="13"/>
  <c r="G1786" i="13"/>
  <c r="G1751" i="13"/>
  <c r="G1712" i="13"/>
  <c r="G1658" i="13"/>
  <c r="G1622" i="13"/>
  <c r="G1567" i="13"/>
  <c r="G1413" i="13"/>
  <c r="G1397" i="13"/>
  <c r="G1381" i="13"/>
  <c r="G1365" i="13"/>
  <c r="G1349" i="13"/>
  <c r="G1333" i="13"/>
  <c r="G1317" i="13"/>
  <c r="G1301" i="13"/>
  <c r="G1285" i="13"/>
  <c r="G1269" i="13"/>
  <c r="G1253" i="13"/>
  <c r="G1237" i="13"/>
  <c r="G1221" i="13"/>
  <c r="G1205" i="13"/>
  <c r="G1189" i="13"/>
  <c r="G1173" i="13"/>
  <c r="G1157" i="13"/>
  <c r="G1141" i="13"/>
  <c r="G1125" i="13"/>
  <c r="G1109" i="13"/>
  <c r="G1093" i="13"/>
  <c r="G1077" i="13"/>
  <c r="G1061" i="13"/>
  <c r="G1045" i="13"/>
  <c r="G1029" i="13"/>
  <c r="G1013" i="13"/>
  <c r="G2034" i="13"/>
  <c r="G1719" i="13"/>
  <c r="G1665" i="13"/>
  <c r="G1629" i="13"/>
  <c r="G1607" i="13"/>
  <c r="G1591" i="13"/>
  <c r="G1561" i="13"/>
  <c r="G1550" i="13"/>
  <c r="G1542" i="13"/>
  <c r="G1534" i="13"/>
  <c r="G1526" i="13"/>
  <c r="G1518" i="13"/>
  <c r="G1510" i="13"/>
  <c r="G1502" i="13"/>
  <c r="G1494" i="13"/>
  <c r="G1486" i="13"/>
  <c r="G1478" i="13"/>
  <c r="G1470" i="13"/>
  <c r="G1462" i="13"/>
  <c r="G1454" i="13"/>
  <c r="G1446" i="13"/>
  <c r="G1438" i="13"/>
  <c r="G1430" i="13"/>
  <c r="G1420" i="13"/>
  <c r="G1404" i="13"/>
  <c r="G1388" i="13"/>
  <c r="G1372" i="13"/>
  <c r="G1356" i="13"/>
  <c r="G1340" i="13"/>
  <c r="G1324" i="13"/>
  <c r="G1308" i="13"/>
  <c r="G1292" i="13"/>
  <c r="G1276" i="13"/>
  <c r="G1260" i="13"/>
  <c r="G1244" i="13"/>
  <c r="G1228" i="13"/>
  <c r="G1212" i="13"/>
  <c r="G1196" i="13"/>
  <c r="G1180" i="13"/>
  <c r="G1164" i="13"/>
  <c r="G1148" i="13"/>
  <c r="G1132" i="13"/>
  <c r="G1116" i="13"/>
  <c r="G1100" i="13"/>
  <c r="G1084" i="13"/>
  <c r="G1068" i="13"/>
  <c r="G1052" i="13"/>
  <c r="G1036" i="13"/>
  <c r="G1020" i="13"/>
  <c r="G1004" i="13"/>
  <c r="G2627" i="13"/>
  <c r="G2450" i="13"/>
  <c r="G2138" i="13"/>
  <c r="G2145" i="13"/>
  <c r="G2202" i="13"/>
  <c r="G1929" i="13"/>
  <c r="G1866" i="13"/>
  <c r="G1794" i="13"/>
  <c r="G2069" i="13"/>
  <c r="G2024" i="13"/>
  <c r="G1955" i="13"/>
  <c r="G1883" i="13"/>
  <c r="G2255" i="13"/>
  <c r="G1972" i="13"/>
  <c r="G1876" i="13"/>
  <c r="G1742" i="13"/>
  <c r="G1910" i="13"/>
  <c r="G1845" i="13"/>
  <c r="G1720" i="13"/>
  <c r="G1695" i="13"/>
  <c r="G1676" i="13"/>
  <c r="G1659" i="13"/>
  <c r="G1642" i="13"/>
  <c r="G1624" i="13"/>
  <c r="G1606" i="13"/>
  <c r="G1590" i="13"/>
  <c r="G1574" i="13"/>
  <c r="G1558" i="13"/>
  <c r="G2062" i="13"/>
  <c r="G1921" i="13"/>
  <c r="G1853" i="13"/>
  <c r="G1827" i="13"/>
  <c r="G1804" i="13"/>
  <c r="G1743" i="13"/>
  <c r="G1731" i="13"/>
  <c r="G1722" i="13"/>
  <c r="G1685" i="13"/>
  <c r="G1663" i="13"/>
  <c r="G2103" i="13"/>
  <c r="G1974" i="13"/>
  <c r="G1777" i="13"/>
  <c r="G1703" i="13"/>
  <c r="G1650" i="13"/>
  <c r="G1613" i="13"/>
  <c r="G1559" i="13"/>
  <c r="G1409" i="13"/>
  <c r="G1393" i="13"/>
  <c r="G1377" i="13"/>
  <c r="G1361" i="13"/>
  <c r="G1345" i="13"/>
  <c r="G1329" i="13"/>
  <c r="G1313" i="13"/>
  <c r="G1297" i="13"/>
  <c r="G1281" i="13"/>
  <c r="G1265" i="13"/>
  <c r="G1249" i="13"/>
  <c r="G1233" i="13"/>
  <c r="G1217" i="13"/>
  <c r="G1201" i="13"/>
  <c r="G1185" i="13"/>
  <c r="G1169" i="13"/>
  <c r="G1153" i="13"/>
  <c r="G1137" i="13"/>
  <c r="G1121" i="13"/>
  <c r="G1105" i="13"/>
  <c r="G1089" i="13"/>
  <c r="G1073" i="13"/>
  <c r="G1057" i="13"/>
  <c r="G1041" i="13"/>
  <c r="G1025" i="13"/>
  <c r="G1009" i="13"/>
  <c r="G2000" i="13"/>
  <c r="G1829" i="13"/>
  <c r="G1749" i="13"/>
  <c r="G1710" i="13"/>
  <c r="G1656" i="13"/>
  <c r="G1620" i="13"/>
  <c r="G1603" i="13"/>
  <c r="G1585" i="13"/>
  <c r="G1556" i="13"/>
  <c r="G1548" i="13"/>
  <c r="G1540" i="13"/>
  <c r="G1532" i="13"/>
  <c r="G1524" i="13"/>
  <c r="G1516" i="13"/>
  <c r="G1508" i="13"/>
  <c r="G1500" i="13"/>
  <c r="G1492" i="13"/>
  <c r="G1484" i="13"/>
  <c r="G1476" i="13"/>
  <c r="G1468" i="13"/>
  <c r="G1460" i="13"/>
  <c r="G1452" i="13"/>
  <c r="G1444" i="13"/>
  <c r="G1436" i="13"/>
  <c r="G1428" i="13"/>
  <c r="G1416" i="13"/>
  <c r="G1400" i="13"/>
  <c r="G1384" i="13"/>
  <c r="G1368" i="13"/>
  <c r="G1352" i="13"/>
  <c r="G1336" i="13"/>
  <c r="G1320" i="13"/>
  <c r="G1304" i="13"/>
  <c r="G1288" i="13"/>
  <c r="G1272" i="13"/>
  <c r="G1256" i="13"/>
  <c r="G1240" i="13"/>
  <c r="G1224" i="13"/>
  <c r="G1208" i="13"/>
  <c r="G1192" i="13"/>
  <c r="G1176" i="13"/>
  <c r="G1160" i="13"/>
  <c r="G2054" i="13"/>
  <c r="G1909" i="13"/>
  <c r="G1693" i="13"/>
  <c r="G1711" i="13"/>
  <c r="G1621" i="13"/>
  <c r="G2396" i="13"/>
  <c r="G1692" i="13"/>
  <c r="G1639" i="13"/>
  <c r="G1421" i="13"/>
  <c r="G1357" i="13"/>
  <c r="G1293" i="13"/>
  <c r="G1229" i="13"/>
  <c r="G1165" i="13"/>
  <c r="G1101" i="13"/>
  <c r="G1037" i="13"/>
  <c r="G2277" i="13"/>
  <c r="G1577" i="13"/>
  <c r="G1530" i="13"/>
  <c r="G1498" i="13"/>
  <c r="G1466" i="13"/>
  <c r="G1434" i="13"/>
  <c r="G1380" i="13"/>
  <c r="G1316" i="13"/>
  <c r="G1252" i="13"/>
  <c r="G1188" i="13"/>
  <c r="G1140" i="13"/>
  <c r="G1108" i="13"/>
  <c r="G1076" i="13"/>
  <c r="G1044" i="13"/>
  <c r="G1012" i="13"/>
  <c r="G994" i="13"/>
  <c r="G984" i="13"/>
  <c r="G974" i="13"/>
  <c r="G962" i="13"/>
  <c r="G952" i="13"/>
  <c r="G942" i="13"/>
  <c r="G934" i="13"/>
  <c r="G926" i="13"/>
  <c r="G918" i="13"/>
  <c r="G910" i="13"/>
  <c r="G902" i="13"/>
  <c r="G894" i="13"/>
  <c r="G886" i="13"/>
  <c r="G878" i="13"/>
  <c r="G2060" i="13"/>
  <c r="G1852" i="13"/>
  <c r="G1803" i="13"/>
  <c r="G1764" i="13"/>
  <c r="G1726" i="13"/>
  <c r="G1689" i="13"/>
  <c r="G1671" i="13"/>
  <c r="G1636" i="13"/>
  <c r="G1571" i="13"/>
  <c r="G1415" i="13"/>
  <c r="G1399" i="13"/>
  <c r="G1383" i="13"/>
  <c r="G1367" i="13"/>
  <c r="G1351" i="13"/>
  <c r="G1335" i="13"/>
  <c r="G1319" i="13"/>
  <c r="G1303" i="13"/>
  <c r="G1287" i="13"/>
  <c r="G1271" i="13"/>
  <c r="G1255" i="13"/>
  <c r="G1239" i="13"/>
  <c r="G1223" i="13"/>
  <c r="G1207" i="13"/>
  <c r="G1191" i="13"/>
  <c r="G1175" i="13"/>
  <c r="G1159" i="13"/>
  <c r="G1143" i="13"/>
  <c r="G1127" i="13"/>
  <c r="G1111" i="13"/>
  <c r="G1095" i="13"/>
  <c r="G1079" i="13"/>
  <c r="G1063" i="13"/>
  <c r="G1047" i="13"/>
  <c r="G1031" i="13"/>
  <c r="G1015" i="13"/>
  <c r="G2161" i="13"/>
  <c r="G1800" i="13"/>
  <c r="G1593" i="13"/>
  <c r="G1535" i="13"/>
  <c r="G1503" i="13"/>
  <c r="G1471" i="13"/>
  <c r="G1439" i="13"/>
  <c r="G1390" i="13"/>
  <c r="G1326" i="13"/>
  <c r="G1262" i="13"/>
  <c r="G1198" i="13"/>
  <c r="G1134" i="13"/>
  <c r="G1070" i="13"/>
  <c r="G1006" i="13"/>
  <c r="G991" i="13"/>
  <c r="G959" i="13"/>
  <c r="G927" i="13"/>
  <c r="G895" i="13"/>
  <c r="G873" i="13"/>
  <c r="G865" i="13"/>
  <c r="G857" i="13"/>
  <c r="G849" i="13"/>
  <c r="G841" i="13"/>
  <c r="G833" i="13"/>
  <c r="G825" i="13"/>
  <c r="G817" i="13"/>
  <c r="G809" i="13"/>
  <c r="G801" i="13"/>
  <c r="G793" i="13"/>
  <c r="G785" i="13"/>
  <c r="G777" i="13"/>
  <c r="G769" i="13"/>
  <c r="G761" i="13"/>
  <c r="G753" i="13"/>
  <c r="G745" i="13"/>
  <c r="G737" i="13"/>
  <c r="G1589" i="13"/>
  <c r="G1533" i="13"/>
  <c r="G1501" i="13"/>
  <c r="G1469" i="13"/>
  <c r="G1437" i="13"/>
  <c r="G1386" i="13"/>
  <c r="G1322" i="13"/>
  <c r="G1258" i="13"/>
  <c r="G1194" i="13"/>
  <c r="G1130" i="13"/>
  <c r="G1066" i="13"/>
  <c r="G1002" i="13"/>
  <c r="G995" i="13"/>
  <c r="G963" i="13"/>
  <c r="G931" i="13"/>
  <c r="G899" i="13"/>
  <c r="G1823" i="13"/>
  <c r="G1601" i="13"/>
  <c r="G1539" i="13"/>
  <c r="G1507" i="13"/>
  <c r="G1475" i="13"/>
  <c r="G1443" i="13"/>
  <c r="G1398" i="13"/>
  <c r="G1334" i="13"/>
  <c r="G1270" i="13"/>
  <c r="G1206" i="13"/>
  <c r="G1142" i="13"/>
  <c r="G1078" i="13"/>
  <c r="G1014" i="13"/>
  <c r="G999" i="13"/>
  <c r="G967" i="13"/>
  <c r="G935" i="13"/>
  <c r="G903" i="13"/>
  <c r="G877" i="13"/>
  <c r="G868" i="13"/>
  <c r="G860" i="13"/>
  <c r="G852" i="13"/>
  <c r="G844" i="13"/>
  <c r="G836" i="13"/>
  <c r="G828" i="13"/>
  <c r="G820" i="13"/>
  <c r="G812" i="13"/>
  <c r="G804" i="13"/>
  <c r="G796" i="13"/>
  <c r="G788" i="13"/>
  <c r="G780" i="13"/>
  <c r="G772" i="13"/>
  <c r="G764" i="13"/>
  <c r="G756" i="13"/>
  <c r="G748" i="13"/>
  <c r="G740" i="13"/>
  <c r="G1481" i="13"/>
  <c r="G1282" i="13"/>
  <c r="G1026" i="13"/>
  <c r="G917" i="13"/>
  <c r="G729" i="13"/>
  <c r="G721" i="13"/>
  <c r="G713" i="13"/>
  <c r="G709" i="13"/>
  <c r="G698" i="13"/>
  <c r="G677" i="13"/>
  <c r="G666" i="13"/>
  <c r="G1643" i="13"/>
  <c r="G1473" i="13"/>
  <c r="G1266" i="13"/>
  <c r="G1010" i="13"/>
  <c r="G891" i="13"/>
  <c r="G731" i="13"/>
  <c r="G723" i="13"/>
  <c r="G715" i="13"/>
  <c r="G711" i="13"/>
  <c r="G700" i="13"/>
  <c r="G679" i="13"/>
  <c r="G668" i="13"/>
  <c r="G647" i="13"/>
  <c r="G636" i="13"/>
  <c r="G614" i="13"/>
  <c r="G600" i="13"/>
  <c r="G579" i="13"/>
  <c r="G568" i="13"/>
  <c r="G547" i="13"/>
  <c r="G536" i="13"/>
  <c r="G515" i="13"/>
  <c r="G502" i="13"/>
  <c r="G479" i="13"/>
  <c r="G468" i="13"/>
  <c r="G1497" i="13"/>
  <c r="G1314" i="13"/>
  <c r="G1058" i="13"/>
  <c r="G907" i="13"/>
  <c r="G734" i="13"/>
  <c r="G726" i="13"/>
  <c r="G718" i="13"/>
  <c r="G705" i="13"/>
  <c r="G694" i="13"/>
  <c r="G673" i="13"/>
  <c r="G662" i="13"/>
  <c r="G641" i="13"/>
  <c r="G630" i="13"/>
  <c r="G605" i="13"/>
  <c r="G594" i="13"/>
  <c r="G573" i="13"/>
  <c r="G562" i="13"/>
  <c r="G541" i="13"/>
  <c r="G530" i="13"/>
  <c r="G509" i="13"/>
  <c r="G494" i="13"/>
  <c r="G473" i="13"/>
  <c r="G462" i="13"/>
  <c r="G1489" i="13"/>
  <c r="G1298" i="13"/>
  <c r="G1042" i="13"/>
  <c r="G923" i="13"/>
  <c r="G2479" i="13"/>
  <c r="G2732" i="13"/>
  <c r="G1964" i="13"/>
  <c r="G1808" i="13"/>
  <c r="G1830" i="13"/>
  <c r="G1674" i="13"/>
  <c r="G1604" i="13"/>
  <c r="G1850" i="13"/>
  <c r="G1683" i="13"/>
  <c r="G1768" i="13"/>
  <c r="G1675" i="13"/>
  <c r="G1405" i="13"/>
  <c r="G1341" i="13"/>
  <c r="G1277" i="13"/>
  <c r="G1213" i="13"/>
  <c r="G1149" i="13"/>
  <c r="G1085" i="13"/>
  <c r="G1021" i="13"/>
  <c r="G1740" i="13"/>
  <c r="G1647" i="13"/>
  <c r="G1554" i="13"/>
  <c r="G1522" i="13"/>
  <c r="G1490" i="13"/>
  <c r="G1458" i="13"/>
  <c r="G1426" i="13"/>
  <c r="G1364" i="13"/>
  <c r="G1300" i="13"/>
  <c r="G1236" i="13"/>
  <c r="G1172" i="13"/>
  <c r="G1128" i="13"/>
  <c r="G1096" i="13"/>
  <c r="G1064" i="13"/>
  <c r="G1032" i="13"/>
  <c r="G1000" i="13"/>
  <c r="G992" i="13"/>
  <c r="G982" i="13"/>
  <c r="G970" i="13"/>
  <c r="G960" i="13"/>
  <c r="G950" i="13"/>
  <c r="G940" i="13"/>
  <c r="G932" i="13"/>
  <c r="G924" i="13"/>
  <c r="G916" i="13"/>
  <c r="G908" i="13"/>
  <c r="G900" i="13"/>
  <c r="G892" i="13"/>
  <c r="G884" i="13"/>
  <c r="G876" i="13"/>
  <c r="G1841" i="13"/>
  <c r="G1679" i="13"/>
  <c r="G1662" i="13"/>
  <c r="G1627" i="13"/>
  <c r="G1563" i="13"/>
  <c r="G1411" i="13"/>
  <c r="G1395" i="13"/>
  <c r="G1379" i="13"/>
  <c r="G1363" i="13"/>
  <c r="G1347" i="13"/>
  <c r="G1331" i="13"/>
  <c r="G1315" i="13"/>
  <c r="G1299" i="13"/>
  <c r="G1283" i="13"/>
  <c r="G1267" i="13"/>
  <c r="G1251" i="13"/>
  <c r="G1235" i="13"/>
  <c r="G1219" i="13"/>
  <c r="G1203" i="13"/>
  <c r="G1187" i="13"/>
  <c r="G1171" i="13"/>
  <c r="G1155" i="13"/>
  <c r="G1139" i="13"/>
  <c r="G1123" i="13"/>
  <c r="G1107" i="13"/>
  <c r="G1091" i="13"/>
  <c r="G1075" i="13"/>
  <c r="G1059" i="13"/>
  <c r="G1043" i="13"/>
  <c r="G1027" i="13"/>
  <c r="G1011" i="13"/>
  <c r="G1762" i="13"/>
  <c r="G1669" i="13"/>
  <c r="G1581" i="13"/>
  <c r="G1527" i="13"/>
  <c r="G1495" i="13"/>
  <c r="G1463" i="13"/>
  <c r="G1431" i="13"/>
  <c r="G1374" i="13"/>
  <c r="G1310" i="13"/>
  <c r="G1246" i="13"/>
  <c r="G1182" i="13"/>
  <c r="G1118" i="13"/>
  <c r="G1054" i="13"/>
  <c r="G985" i="13"/>
  <c r="G953" i="13"/>
  <c r="G921" i="13"/>
  <c r="G889" i="13"/>
  <c r="G871" i="13"/>
  <c r="G863" i="13"/>
  <c r="G855" i="13"/>
  <c r="G847" i="13"/>
  <c r="G839" i="13"/>
  <c r="G831" i="13"/>
  <c r="G823" i="13"/>
  <c r="G815" i="13"/>
  <c r="G807" i="13"/>
  <c r="G799" i="13"/>
  <c r="G791" i="13"/>
  <c r="G783" i="13"/>
  <c r="G775" i="13"/>
  <c r="G767" i="13"/>
  <c r="G759" i="13"/>
  <c r="G751" i="13"/>
  <c r="G743" i="13"/>
  <c r="G2017" i="13"/>
  <c r="G1753" i="13"/>
  <c r="G1660" i="13"/>
  <c r="G1557" i="13"/>
  <c r="G1525" i="13"/>
  <c r="G1493" i="13"/>
  <c r="G1461" i="13"/>
  <c r="G1429" i="13"/>
  <c r="G1370" i="13"/>
  <c r="G1306" i="13"/>
  <c r="G1242" i="13"/>
  <c r="G1178" i="13"/>
  <c r="G1114" i="13"/>
  <c r="G1050" i="13"/>
  <c r="G989" i="13"/>
  <c r="G957" i="13"/>
  <c r="G925" i="13"/>
  <c r="G893" i="13"/>
  <c r="G732" i="13"/>
  <c r="G1779" i="13"/>
  <c r="G1565" i="13"/>
  <c r="G1531" i="13"/>
  <c r="G1499" i="13"/>
  <c r="G1467" i="13"/>
  <c r="G1435" i="13"/>
  <c r="G1382" i="13"/>
  <c r="G1318" i="13"/>
  <c r="G1254" i="13"/>
  <c r="G1190" i="13"/>
  <c r="G1126" i="13"/>
  <c r="G1062" i="13"/>
  <c r="G993" i="13"/>
  <c r="G961" i="13"/>
  <c r="G929" i="13"/>
  <c r="G897" i="13"/>
  <c r="G875" i="13"/>
  <c r="G866" i="13"/>
  <c r="G858" i="13"/>
  <c r="G850" i="13"/>
  <c r="G842" i="13"/>
  <c r="G834" i="13"/>
  <c r="G826" i="13"/>
  <c r="G818" i="13"/>
  <c r="G810" i="13"/>
  <c r="G802" i="13"/>
  <c r="G794" i="13"/>
  <c r="G786" i="13"/>
  <c r="G778" i="13"/>
  <c r="G770" i="13"/>
  <c r="G762" i="13"/>
  <c r="G754" i="13"/>
  <c r="G746" i="13"/>
  <c r="G738" i="13"/>
  <c r="G1449" i="13"/>
  <c r="G1218" i="13"/>
  <c r="G706" i="13"/>
  <c r="G685" i="13"/>
  <c r="G674" i="13"/>
  <c r="G653" i="13"/>
  <c r="G1573" i="13"/>
  <c r="G1441" i="13"/>
  <c r="G1202" i="13"/>
  <c r="G997" i="13"/>
  <c r="G728" i="13"/>
  <c r="G720" i="13"/>
  <c r="G712" i="13"/>
  <c r="G708" i="13"/>
  <c r="G687" i="13"/>
  <c r="G676" i="13"/>
  <c r="G655" i="13"/>
  <c r="G644" i="13"/>
  <c r="G623" i="13"/>
  <c r="G610" i="13"/>
  <c r="G587" i="13"/>
  <c r="G576" i="13"/>
  <c r="G555" i="13"/>
  <c r="G544" i="13"/>
  <c r="G523" i="13"/>
  <c r="G512" i="13"/>
  <c r="G498" i="13"/>
  <c r="G487" i="13"/>
  <c r="G476" i="13"/>
  <c r="G455" i="13"/>
  <c r="G1696" i="13"/>
  <c r="G1465" i="13"/>
  <c r="G1250" i="13"/>
  <c r="G885" i="13"/>
  <c r="G2376" i="13"/>
  <c r="G2159" i="13"/>
  <c r="G1849" i="13"/>
  <c r="G1981" i="13"/>
  <c r="G2075" i="13"/>
  <c r="G1649" i="13"/>
  <c r="G1657" i="13"/>
  <c r="G1588" i="13"/>
  <c r="G1641" i="13"/>
  <c r="G1389" i="13"/>
  <c r="G1325" i="13"/>
  <c r="G1261" i="13"/>
  <c r="G1197" i="13"/>
  <c r="G1133" i="13"/>
  <c r="G1069" i="13"/>
  <c r="G1005" i="13"/>
  <c r="G1873" i="13"/>
  <c r="G1616" i="13"/>
  <c r="G1546" i="13"/>
  <c r="G1514" i="13"/>
  <c r="G1482" i="13"/>
  <c r="G1450" i="13"/>
  <c r="G1412" i="13"/>
  <c r="G1348" i="13"/>
  <c r="G1284" i="13"/>
  <c r="G1220" i="13"/>
  <c r="G1156" i="13"/>
  <c r="G1124" i="13"/>
  <c r="G1092" i="13"/>
  <c r="G1060" i="13"/>
  <c r="G1028" i="13"/>
  <c r="G990" i="13"/>
  <c r="G978" i="13"/>
  <c r="G968" i="13"/>
  <c r="G958" i="13"/>
  <c r="G946" i="13"/>
  <c r="G938" i="13"/>
  <c r="G930" i="13"/>
  <c r="G922" i="13"/>
  <c r="G914" i="13"/>
  <c r="G906" i="13"/>
  <c r="G898" i="13"/>
  <c r="G890" i="13"/>
  <c r="G882" i="13"/>
  <c r="G874" i="13"/>
  <c r="G1991" i="13"/>
  <c r="G1886" i="13"/>
  <c r="G1826" i="13"/>
  <c r="G1781" i="13"/>
  <c r="G1654" i="13"/>
  <c r="G1587" i="13"/>
  <c r="G1423" i="13"/>
  <c r="G1407" i="13"/>
  <c r="G1391" i="13"/>
  <c r="G1375" i="13"/>
  <c r="G1359" i="13"/>
  <c r="G1343" i="13"/>
  <c r="G1327" i="13"/>
  <c r="G1311" i="13"/>
  <c r="G1295" i="13"/>
  <c r="G1279" i="13"/>
  <c r="G1263" i="13"/>
  <c r="G1247" i="13"/>
  <c r="G1231" i="13"/>
  <c r="G1215" i="13"/>
  <c r="G1199" i="13"/>
  <c r="G1183" i="13"/>
  <c r="G1167" i="13"/>
  <c r="G1151" i="13"/>
  <c r="G1135" i="13"/>
  <c r="G1119" i="13"/>
  <c r="G1103" i="13"/>
  <c r="G1087" i="13"/>
  <c r="G1071" i="13"/>
  <c r="G1055" i="13"/>
  <c r="G1039" i="13"/>
  <c r="G1023" i="13"/>
  <c r="G1007" i="13"/>
  <c r="G1634" i="13"/>
  <c r="G1551" i="13"/>
  <c r="G1519" i="13"/>
  <c r="G1487" i="13"/>
  <c r="G1455" i="13"/>
  <c r="G1422" i="13"/>
  <c r="G1358" i="13"/>
  <c r="G1294" i="13"/>
  <c r="G1230" i="13"/>
  <c r="G1166" i="13"/>
  <c r="G1102" i="13"/>
  <c r="G1038" i="13"/>
  <c r="G975" i="13"/>
  <c r="G943" i="13"/>
  <c r="G911" i="13"/>
  <c r="G881" i="13"/>
  <c r="G869" i="13"/>
  <c r="G861" i="13"/>
  <c r="G853" i="13"/>
  <c r="G845" i="13"/>
  <c r="G837" i="13"/>
  <c r="G829" i="13"/>
  <c r="G821" i="13"/>
  <c r="G813" i="13"/>
  <c r="G805" i="13"/>
  <c r="G797" i="13"/>
  <c r="G789" i="13"/>
  <c r="G781" i="13"/>
  <c r="G773" i="13"/>
  <c r="G765" i="13"/>
  <c r="G757" i="13"/>
  <c r="G749" i="13"/>
  <c r="G741" i="13"/>
  <c r="G1899" i="13"/>
  <c r="G1625" i="13"/>
  <c r="G1549" i="13"/>
  <c r="G1517" i="13"/>
  <c r="G1485" i="13"/>
  <c r="G1453" i="13"/>
  <c r="G1418" i="13"/>
  <c r="G1354" i="13"/>
  <c r="G1290" i="13"/>
  <c r="G1226" i="13"/>
  <c r="G1162" i="13"/>
  <c r="G1098" i="13"/>
  <c r="G1034" i="13"/>
  <c r="G979" i="13"/>
  <c r="G947" i="13"/>
  <c r="G915" i="13"/>
  <c r="G1652" i="13"/>
  <c r="G1555" i="13"/>
  <c r="G1523" i="13"/>
  <c r="G1491" i="13"/>
  <c r="G1459" i="13"/>
  <c r="G1427" i="13"/>
  <c r="G1366" i="13"/>
  <c r="G1302" i="13"/>
  <c r="G1238" i="13"/>
  <c r="G1174" i="13"/>
  <c r="G1110" i="13"/>
  <c r="G1046" i="13"/>
  <c r="G983" i="13"/>
  <c r="G951" i="13"/>
  <c r="G919" i="13"/>
  <c r="G887" i="13"/>
  <c r="G872" i="13"/>
  <c r="G864" i="13"/>
  <c r="G856" i="13"/>
  <c r="G848" i="13"/>
  <c r="G840" i="13"/>
  <c r="G832" i="13"/>
  <c r="G824" i="13"/>
  <c r="G816" i="13"/>
  <c r="G808" i="13"/>
  <c r="G800" i="13"/>
  <c r="G792" i="13"/>
  <c r="G784" i="13"/>
  <c r="G776" i="13"/>
  <c r="G768" i="13"/>
  <c r="G760" i="13"/>
  <c r="G752" i="13"/>
  <c r="G744" i="13"/>
  <c r="G736" i="13"/>
  <c r="G1545" i="13"/>
  <c r="G1410" i="13"/>
  <c r="G1154" i="13"/>
  <c r="G981" i="13"/>
  <c r="G725" i="13"/>
  <c r="G717" i="13"/>
  <c r="G693" i="13"/>
  <c r="G682" i="13"/>
  <c r="G661" i="13"/>
  <c r="G1948" i="13"/>
  <c r="G1537" i="13"/>
  <c r="G1394" i="13"/>
  <c r="G1138" i="13"/>
  <c r="G955" i="13"/>
  <c r="G727" i="13"/>
  <c r="G719" i="13"/>
  <c r="G695" i="13"/>
  <c r="G684" i="13"/>
  <c r="G663" i="13"/>
  <c r="G652" i="13"/>
  <c r="G631" i="13"/>
  <c r="G620" i="13"/>
  <c r="G606" i="13"/>
  <c r="G595" i="13"/>
  <c r="G584" i="13"/>
  <c r="G563" i="13"/>
  <c r="G552" i="13"/>
  <c r="G531" i="13"/>
  <c r="G520" i="13"/>
  <c r="G495" i="13"/>
  <c r="G484" i="13"/>
  <c r="G463" i="13"/>
  <c r="G452" i="13"/>
  <c r="G1614" i="13"/>
  <c r="G1433" i="13"/>
  <c r="G1186" i="13"/>
  <c r="G971" i="13"/>
  <c r="G1750" i="13"/>
  <c r="G1917" i="13"/>
  <c r="G1583" i="13"/>
  <c r="G1181" i="13"/>
  <c r="G1817" i="13"/>
  <c r="G1506" i="13"/>
  <c r="G1332" i="13"/>
  <c r="G1112" i="13"/>
  <c r="G976" i="13"/>
  <c r="G936" i="13"/>
  <c r="G904" i="13"/>
  <c r="G2204" i="13"/>
  <c r="G1403" i="13"/>
  <c r="G1339" i="13"/>
  <c r="G1275" i="13"/>
  <c r="G1211" i="13"/>
  <c r="G1147" i="13"/>
  <c r="G1083" i="13"/>
  <c r="G1019" i="13"/>
  <c r="G1543" i="13"/>
  <c r="G1406" i="13"/>
  <c r="G1150" i="13"/>
  <c r="G969" i="13"/>
  <c r="G867" i="13"/>
  <c r="G835" i="13"/>
  <c r="G803" i="13"/>
  <c r="G771" i="13"/>
  <c r="G739" i="13"/>
  <c r="G1541" i="13"/>
  <c r="G1402" i="13"/>
  <c r="G1146" i="13"/>
  <c r="G973" i="13"/>
  <c r="G1618" i="13"/>
  <c r="G1451" i="13"/>
  <c r="G1222" i="13"/>
  <c r="G883" i="13"/>
  <c r="G846" i="13"/>
  <c r="G814" i="13"/>
  <c r="G782" i="13"/>
  <c r="G750" i="13"/>
  <c r="G939" i="13"/>
  <c r="G1505" i="13"/>
  <c r="G716" i="13"/>
  <c r="G671" i="13"/>
  <c r="G628" i="13"/>
  <c r="G539" i="13"/>
  <c r="G492" i="13"/>
  <c r="G949" i="13"/>
  <c r="G730" i="13"/>
  <c r="G714" i="13"/>
  <c r="G710" i="13"/>
  <c r="G697" i="13"/>
  <c r="G681" i="13"/>
  <c r="G654" i="13"/>
  <c r="G638" i="13"/>
  <c r="G625" i="13"/>
  <c r="G609" i="13"/>
  <c r="G578" i="13"/>
  <c r="G565" i="13"/>
  <c r="G549" i="13"/>
  <c r="G522" i="13"/>
  <c r="G505" i="13"/>
  <c r="G489" i="13"/>
  <c r="G1553" i="13"/>
  <c r="G1362" i="13"/>
  <c r="G626" i="13"/>
  <c r="G601" i="13"/>
  <c r="G558" i="13"/>
  <c r="G537" i="13"/>
  <c r="G490" i="13"/>
  <c r="G469" i="13"/>
  <c r="G450" i="13"/>
  <c r="G439" i="13"/>
  <c r="G428" i="13"/>
  <c r="G407" i="13"/>
  <c r="G394" i="13"/>
  <c r="G371" i="13"/>
  <c r="G360" i="13"/>
  <c r="G339" i="13"/>
  <c r="G328" i="13"/>
  <c r="G307" i="13"/>
  <c r="G296" i="13"/>
  <c r="G282" i="13"/>
  <c r="G271" i="13"/>
  <c r="G260" i="13"/>
  <c r="G239" i="13"/>
  <c r="G228" i="13"/>
  <c r="G207" i="13"/>
  <c r="G196" i="13"/>
  <c r="G171" i="13"/>
  <c r="G683" i="13"/>
  <c r="G624" i="13"/>
  <c r="G599" i="13"/>
  <c r="G556" i="13"/>
  <c r="G535" i="13"/>
  <c r="G488" i="13"/>
  <c r="G467" i="13"/>
  <c r="G449" i="13"/>
  <c r="G438" i="13"/>
  <c r="G417" i="13"/>
  <c r="G406" i="13"/>
  <c r="G393" i="13"/>
  <c r="G381" i="13"/>
  <c r="G370" i="13"/>
  <c r="G349" i="13"/>
  <c r="G338" i="13"/>
  <c r="G317" i="13"/>
  <c r="G306" i="13"/>
  <c r="G281" i="13"/>
  <c r="G270" i="13"/>
  <c r="G249" i="13"/>
  <c r="G238" i="13"/>
  <c r="G217" i="13"/>
  <c r="G206" i="13"/>
  <c r="G185" i="13"/>
  <c r="G170" i="13"/>
  <c r="G149" i="13"/>
  <c r="G138" i="13"/>
  <c r="G117" i="13"/>
  <c r="G106" i="13"/>
  <c r="G85" i="13"/>
  <c r="G73" i="13"/>
  <c r="G57" i="13"/>
  <c r="G41" i="13"/>
  <c r="G25" i="13"/>
  <c r="G618" i="13"/>
  <c r="G593" i="13"/>
  <c r="G550" i="13"/>
  <c r="G529" i="13"/>
  <c r="G507" i="13"/>
  <c r="G482" i="13"/>
  <c r="G461" i="13"/>
  <c r="G435" i="13"/>
  <c r="G424" i="13"/>
  <c r="G403" i="13"/>
  <c r="G388" i="13"/>
  <c r="G367" i="13"/>
  <c r="G356" i="13"/>
  <c r="G335" i="13"/>
  <c r="G324" i="13"/>
  <c r="G303" i="13"/>
  <c r="G292" i="13"/>
  <c r="G267" i="13"/>
  <c r="G256" i="13"/>
  <c r="G235" i="13"/>
  <c r="G224" i="13"/>
  <c r="G203" i="13"/>
  <c r="G192" i="13"/>
  <c r="G180" i="13"/>
  <c r="G167" i="13"/>
  <c r="G156" i="13"/>
  <c r="G135" i="13"/>
  <c r="G124" i="13"/>
  <c r="G103" i="13"/>
  <c r="G92" i="13"/>
  <c r="G68" i="13"/>
  <c r="G52" i="13"/>
  <c r="G36" i="13"/>
  <c r="G667" i="13"/>
  <c r="G616" i="13"/>
  <c r="G591" i="13"/>
  <c r="G548" i="13"/>
  <c r="G527" i="13"/>
  <c r="G504" i="13"/>
  <c r="G480" i="13"/>
  <c r="G459" i="13"/>
  <c r="G445" i="13"/>
  <c r="G434" i="13"/>
  <c r="G413" i="13"/>
  <c r="G402" i="13"/>
  <c r="G377" i="13"/>
  <c r="G366" i="13"/>
  <c r="G345" i="13"/>
  <c r="G334" i="13"/>
  <c r="G313" i="13"/>
  <c r="G302" i="13"/>
  <c r="G291" i="13"/>
  <c r="G277" i="13"/>
  <c r="G266" i="13"/>
  <c r="G245" i="13"/>
  <c r="G234" i="13"/>
  <c r="G213" i="13"/>
  <c r="G202" i="13"/>
  <c r="G179" i="13"/>
  <c r="G166" i="13"/>
  <c r="G145" i="13"/>
  <c r="G134" i="13"/>
  <c r="G147" i="13"/>
  <c r="G112" i="13"/>
  <c r="G91" i="13"/>
  <c r="G66" i="13"/>
  <c r="G34" i="13"/>
  <c r="D2784" i="13"/>
  <c r="D2773" i="13"/>
  <c r="D2768" i="13"/>
  <c r="D2757" i="13"/>
  <c r="D2752" i="13"/>
  <c r="D2741" i="13"/>
  <c r="D2736" i="13"/>
  <c r="D2725" i="13"/>
  <c r="D2720" i="13"/>
  <c r="D2709" i="13"/>
  <c r="D2704" i="13"/>
  <c r="D2693" i="13"/>
  <c r="D2687" i="13"/>
  <c r="D2679" i="13"/>
  <c r="D2673" i="13"/>
  <c r="D2668" i="13"/>
  <c r="D2657" i="13"/>
  <c r="D2652" i="13"/>
  <c r="D2641" i="13"/>
  <c r="D2636" i="13"/>
  <c r="D2625" i="13"/>
  <c r="D2620" i="13"/>
  <c r="D2609" i="13"/>
  <c r="D2604" i="13"/>
  <c r="G155" i="13"/>
  <c r="G94" i="13"/>
  <c r="G71" i="13"/>
  <c r="G39" i="13"/>
  <c r="G12" i="13"/>
  <c r="E2775" i="13"/>
  <c r="E2770" i="13"/>
  <c r="E2759" i="13"/>
  <c r="E2754" i="13"/>
  <c r="E2743" i="13"/>
  <c r="E2738" i="13"/>
  <c r="G2248" i="13"/>
  <c r="G1801" i="13"/>
  <c r="G1373" i="13"/>
  <c r="G1117" i="13"/>
  <c r="G1474" i="13"/>
  <c r="G1268" i="13"/>
  <c r="G1080" i="13"/>
  <c r="G966" i="13"/>
  <c r="G928" i="13"/>
  <c r="G896" i="13"/>
  <c r="G1736" i="13"/>
  <c r="G1645" i="13"/>
  <c r="G1387" i="13"/>
  <c r="G1323" i="13"/>
  <c r="G1259" i="13"/>
  <c r="G1195" i="13"/>
  <c r="G1131" i="13"/>
  <c r="G1067" i="13"/>
  <c r="G1003" i="13"/>
  <c r="G1511" i="13"/>
  <c r="G1342" i="13"/>
  <c r="G1086" i="13"/>
  <c r="G937" i="13"/>
  <c r="G859" i="13"/>
  <c r="G827" i="13"/>
  <c r="G795" i="13"/>
  <c r="G763" i="13"/>
  <c r="G1837" i="13"/>
  <c r="G1509" i="13"/>
  <c r="G1338" i="13"/>
  <c r="G1082" i="13"/>
  <c r="G941" i="13"/>
  <c r="G1547" i="13"/>
  <c r="G1414" i="13"/>
  <c r="G1158" i="13"/>
  <c r="G977" i="13"/>
  <c r="G870" i="13"/>
  <c r="G838" i="13"/>
  <c r="G806" i="13"/>
  <c r="G774" i="13"/>
  <c r="G742" i="13"/>
  <c r="G1513" i="13"/>
  <c r="G669" i="13"/>
  <c r="G1330" i="13"/>
  <c r="G703" i="13"/>
  <c r="G660" i="13"/>
  <c r="G571" i="13"/>
  <c r="G528" i="13"/>
  <c r="G1529" i="13"/>
  <c r="G678" i="13"/>
  <c r="G665" i="13"/>
  <c r="G649" i="13"/>
  <c r="G622" i="13"/>
  <c r="G602" i="13"/>
  <c r="G589" i="13"/>
  <c r="G546" i="13"/>
  <c r="G533" i="13"/>
  <c r="G517" i="13"/>
  <c r="G501" i="13"/>
  <c r="G486" i="13"/>
  <c r="G470" i="13"/>
  <c r="G457" i="13"/>
  <c r="G1521" i="13"/>
  <c r="G1234" i="13"/>
  <c r="G987" i="13"/>
  <c r="G675" i="13"/>
  <c r="G642" i="13"/>
  <c r="G621" i="13"/>
  <c r="G574" i="13"/>
  <c r="G553" i="13"/>
  <c r="G510" i="13"/>
  <c r="G485" i="13"/>
  <c r="G447" i="13"/>
  <c r="G436" i="13"/>
  <c r="G415" i="13"/>
  <c r="G404" i="13"/>
  <c r="G390" i="13"/>
  <c r="G379" i="13"/>
  <c r="G368" i="13"/>
  <c r="G347" i="13"/>
  <c r="G336" i="13"/>
  <c r="G315" i="13"/>
  <c r="G304" i="13"/>
  <c r="G279" i="13"/>
  <c r="G268" i="13"/>
  <c r="G247" i="13"/>
  <c r="G236" i="13"/>
  <c r="G215" i="13"/>
  <c r="G204" i="13"/>
  <c r="G182" i="13"/>
  <c r="G733" i="13"/>
  <c r="G672" i="13"/>
  <c r="G640" i="13"/>
  <c r="G619" i="13"/>
  <c r="G572" i="13"/>
  <c r="G551" i="13"/>
  <c r="G508" i="13"/>
  <c r="G483" i="13"/>
  <c r="G446" i="13"/>
  <c r="G425" i="13"/>
  <c r="G414" i="13"/>
  <c r="G389" i="13"/>
  <c r="G378" i="13"/>
  <c r="G357" i="13"/>
  <c r="G346" i="13"/>
  <c r="G325" i="13"/>
  <c r="G314" i="13"/>
  <c r="G293" i="13"/>
  <c r="G278" i="13"/>
  <c r="G257" i="13"/>
  <c r="G246" i="13"/>
  <c r="G225" i="13"/>
  <c r="G214" i="13"/>
  <c r="G193" i="13"/>
  <c r="G181" i="13"/>
  <c r="G157" i="13"/>
  <c r="G146" i="13"/>
  <c r="G125" i="13"/>
  <c r="G114" i="13"/>
  <c r="G93" i="13"/>
  <c r="G82" i="13"/>
  <c r="G69" i="13"/>
  <c r="G53" i="13"/>
  <c r="G37" i="13"/>
  <c r="G21" i="13"/>
  <c r="G659" i="13"/>
  <c r="G634" i="13"/>
  <c r="G611" i="13"/>
  <c r="G566" i="13"/>
  <c r="G545" i="13"/>
  <c r="G499" i="13"/>
  <c r="G477" i="13"/>
  <c r="G443" i="13"/>
  <c r="G432" i="13"/>
  <c r="G411" i="13"/>
  <c r="G400" i="13"/>
  <c r="G375" i="13"/>
  <c r="G364" i="13"/>
  <c r="G343" i="13"/>
  <c r="G332" i="13"/>
  <c r="G311" i="13"/>
  <c r="G300" i="13"/>
  <c r="G288" i="13"/>
  <c r="G275" i="13"/>
  <c r="G264" i="13"/>
  <c r="G243" i="13"/>
  <c r="G232" i="13"/>
  <c r="G211" i="13"/>
  <c r="G200" i="13"/>
  <c r="G176" i="13"/>
  <c r="G164" i="13"/>
  <c r="G143" i="13"/>
  <c r="G132" i="13"/>
  <c r="G111" i="13"/>
  <c r="G100" i="13"/>
  <c r="G79" i="13"/>
  <c r="G64" i="13"/>
  <c r="G48" i="13"/>
  <c r="G32" i="13"/>
  <c r="G699" i="13"/>
  <c r="G656" i="13"/>
  <c r="G632" i="13"/>
  <c r="G608" i="13"/>
  <c r="G564" i="13"/>
  <c r="G543" i="13"/>
  <c r="G496" i="13"/>
  <c r="G475" i="13"/>
  <c r="G454" i="13"/>
  <c r="G442" i="13"/>
  <c r="G421" i="13"/>
  <c r="G410" i="13"/>
  <c r="G399" i="13"/>
  <c r="G385" i="13"/>
  <c r="G374" i="13"/>
  <c r="G353" i="13"/>
  <c r="G342" i="13"/>
  <c r="G321" i="13"/>
  <c r="G310" i="13"/>
  <c r="G287" i="13"/>
  <c r="G274" i="13"/>
  <c r="G253" i="13"/>
  <c r="G242" i="13"/>
  <c r="G221" i="13"/>
  <c r="G210" i="13"/>
  <c r="G189" i="13"/>
  <c r="G175" i="13"/>
  <c r="G153" i="13"/>
  <c r="G142" i="13"/>
  <c r="G121" i="13"/>
  <c r="G136" i="13"/>
  <c r="G107" i="13"/>
  <c r="G58" i="13"/>
  <c r="G26" i="13"/>
  <c r="D2777" i="13"/>
  <c r="D2772" i="13"/>
  <c r="D2761" i="13"/>
  <c r="D2756" i="13"/>
  <c r="D2745" i="13"/>
  <c r="D2740" i="13"/>
  <c r="D2729" i="13"/>
  <c r="D2724" i="13"/>
  <c r="D2713" i="13"/>
  <c r="D2708" i="13"/>
  <c r="D2697" i="13"/>
  <c r="D2692" i="13"/>
  <c r="D2685" i="13"/>
  <c r="D2677" i="13"/>
  <c r="D2672" i="13"/>
  <c r="D2661" i="13"/>
  <c r="D2656" i="13"/>
  <c r="D2645" i="13"/>
  <c r="D2640" i="13"/>
  <c r="D2629" i="13"/>
  <c r="D2624" i="13"/>
  <c r="D2613" i="13"/>
  <c r="D2608" i="13"/>
  <c r="D2597" i="13"/>
  <c r="G144" i="13"/>
  <c r="G110" i="13"/>
  <c r="G89" i="13"/>
  <c r="G63" i="13"/>
  <c r="G31" i="13"/>
  <c r="E2779" i="13"/>
  <c r="E2774" i="13"/>
  <c r="E2763" i="13"/>
  <c r="E2758" i="13"/>
  <c r="E2747" i="13"/>
  <c r="E2742" i="13"/>
  <c r="G2036" i="13"/>
  <c r="G1730" i="13"/>
  <c r="G1640" i="13"/>
  <c r="G1741" i="13"/>
  <c r="G1309" i="13"/>
  <c r="G1053" i="13"/>
  <c r="G1599" i="13"/>
  <c r="G1442" i="13"/>
  <c r="G1204" i="13"/>
  <c r="G1048" i="13"/>
  <c r="G998" i="13"/>
  <c r="G954" i="13"/>
  <c r="G920" i="13"/>
  <c r="G888" i="13"/>
  <c r="G1869" i="13"/>
  <c r="G1579" i="13"/>
  <c r="G1371" i="13"/>
  <c r="G1307" i="13"/>
  <c r="G1243" i="13"/>
  <c r="G1179" i="13"/>
  <c r="G1115" i="13"/>
  <c r="G1051" i="13"/>
  <c r="G1687" i="13"/>
  <c r="G1479" i="13"/>
  <c r="G1278" i="13"/>
  <c r="G1022" i="13"/>
  <c r="G905" i="13"/>
  <c r="G851" i="13"/>
  <c r="G819" i="13"/>
  <c r="G787" i="13"/>
  <c r="G755" i="13"/>
  <c r="G1477" i="13"/>
  <c r="G1274" i="13"/>
  <c r="G1018" i="13"/>
  <c r="G909" i="13"/>
  <c r="G1882" i="13"/>
  <c r="G1515" i="13"/>
  <c r="G1350" i="13"/>
  <c r="G1094" i="13"/>
  <c r="G945" i="13"/>
  <c r="G862" i="13"/>
  <c r="G830" i="13"/>
  <c r="G798" i="13"/>
  <c r="G766" i="13"/>
  <c r="G735" i="13"/>
  <c r="G1346" i="13"/>
  <c r="G701" i="13"/>
  <c r="G658" i="13"/>
  <c r="G1074" i="13"/>
  <c r="G692" i="13"/>
  <c r="G603" i="13"/>
  <c r="G560" i="13"/>
  <c r="G471" i="13"/>
  <c r="G1378" i="13"/>
  <c r="G722" i="13"/>
  <c r="G702" i="13"/>
  <c r="G689" i="13"/>
  <c r="G646" i="13"/>
  <c r="G633" i="13"/>
  <c r="G617" i="13"/>
  <c r="G586" i="13"/>
  <c r="G570" i="13"/>
  <c r="G557" i="13"/>
  <c r="G514" i="13"/>
  <c r="G497" i="13"/>
  <c r="G481" i="13"/>
  <c r="G1812" i="13"/>
  <c r="G1457" i="13"/>
  <c r="G1170" i="13"/>
  <c r="G965" i="13"/>
  <c r="G707" i="13"/>
  <c r="G664" i="13"/>
  <c r="G637" i="13"/>
  <c r="G615" i="13"/>
  <c r="G590" i="13"/>
  <c r="G569" i="13"/>
  <c r="G526" i="13"/>
  <c r="G503" i="13"/>
  <c r="G458" i="13"/>
  <c r="G444" i="13"/>
  <c r="G423" i="13"/>
  <c r="G412" i="13"/>
  <c r="G387" i="13"/>
  <c r="G376" i="13"/>
  <c r="G355" i="13"/>
  <c r="G344" i="13"/>
  <c r="G323" i="13"/>
  <c r="G312" i="13"/>
  <c r="G290" i="13"/>
  <c r="G276" i="13"/>
  <c r="G255" i="13"/>
  <c r="G244" i="13"/>
  <c r="G223" i="13"/>
  <c r="G212" i="13"/>
  <c r="G191" i="13"/>
  <c r="G178" i="13"/>
  <c r="G704" i="13"/>
  <c r="G635" i="13"/>
  <c r="G612" i="13"/>
  <c r="G588" i="13"/>
  <c r="G567" i="13"/>
  <c r="G524" i="13"/>
  <c r="G500" i="13"/>
  <c r="G456" i="13"/>
  <c r="G433" i="13"/>
  <c r="G422" i="13"/>
  <c r="G401" i="13"/>
  <c r="G386" i="13"/>
  <c r="G365" i="13"/>
  <c r="G354" i="13"/>
  <c r="G333" i="13"/>
  <c r="G322" i="13"/>
  <c r="G301" i="13"/>
  <c r="G289" i="13"/>
  <c r="G265" i="13"/>
  <c r="G254" i="13"/>
  <c r="G233" i="13"/>
  <c r="G222" i="13"/>
  <c r="G201" i="13"/>
  <c r="G190" i="13"/>
  <c r="G177" i="13"/>
  <c r="G165" i="13"/>
  <c r="G154" i="13"/>
  <c r="G133" i="13"/>
  <c r="G122" i="13"/>
  <c r="G101" i="13"/>
  <c r="G90" i="13"/>
  <c r="G65" i="13"/>
  <c r="G49" i="13"/>
  <c r="G33" i="13"/>
  <c r="G17" i="13"/>
  <c r="G691" i="13"/>
  <c r="G650" i="13"/>
  <c r="G629" i="13"/>
  <c r="G582" i="13"/>
  <c r="G561" i="13"/>
  <c r="G518" i="13"/>
  <c r="G493" i="13"/>
  <c r="G440" i="13"/>
  <c r="G419" i="13"/>
  <c r="G408" i="13"/>
  <c r="G396" i="13"/>
  <c r="G383" i="13"/>
  <c r="G372" i="13"/>
  <c r="G351" i="13"/>
  <c r="G340" i="13"/>
  <c r="G319" i="13"/>
  <c r="G308" i="13"/>
  <c r="G284" i="13"/>
  <c r="G272" i="13"/>
  <c r="G251" i="13"/>
  <c r="G240" i="13"/>
  <c r="G219" i="13"/>
  <c r="G208" i="13"/>
  <c r="G187" i="13"/>
  <c r="G172" i="13"/>
  <c r="G151" i="13"/>
  <c r="G140" i="13"/>
  <c r="G119" i="13"/>
  <c r="G108" i="13"/>
  <c r="G87" i="13"/>
  <c r="G76" i="13"/>
  <c r="G60" i="13"/>
  <c r="G44" i="13"/>
  <c r="G28" i="13"/>
  <c r="G688" i="13"/>
  <c r="G648" i="13"/>
  <c r="G627" i="13"/>
  <c r="G580" i="13"/>
  <c r="G559" i="13"/>
  <c r="G516" i="13"/>
  <c r="G491" i="13"/>
  <c r="G451" i="13"/>
  <c r="G429" i="13"/>
  <c r="G418" i="13"/>
  <c r="G395" i="13"/>
  <c r="G382" i="13"/>
  <c r="G361" i="13"/>
  <c r="G350" i="13"/>
  <c r="G329" i="13"/>
  <c r="G318" i="13"/>
  <c r="G297" i="13"/>
  <c r="G283" i="13"/>
  <c r="G261" i="13"/>
  <c r="G250" i="13"/>
  <c r="G229" i="13"/>
  <c r="G218" i="13"/>
  <c r="G197" i="13"/>
  <c r="G186" i="13"/>
  <c r="G161" i="13"/>
  <c r="G150" i="13"/>
  <c r="G129" i="13"/>
  <c r="G168" i="13"/>
  <c r="G80" i="13"/>
  <c r="G50" i="13"/>
  <c r="G19" i="13"/>
  <c r="D2781" i="13"/>
  <c r="D2776" i="13"/>
  <c r="D2765" i="13"/>
  <c r="D2760" i="13"/>
  <c r="D2749" i="13"/>
  <c r="D2744" i="13"/>
  <c r="D2733" i="13"/>
  <c r="D2728" i="13"/>
  <c r="D2717" i="13"/>
  <c r="D2712" i="13"/>
  <c r="D2701" i="13"/>
  <c r="D2696" i="13"/>
  <c r="D2683" i="13"/>
  <c r="D2676" i="13"/>
  <c r="D2665" i="13"/>
  <c r="D2660" i="13"/>
  <c r="D2649" i="13"/>
  <c r="G1701" i="13"/>
  <c r="G1016" i="13"/>
  <c r="G880" i="13"/>
  <c r="G1355" i="13"/>
  <c r="G1099" i="13"/>
  <c r="G1447" i="13"/>
  <c r="G843" i="13"/>
  <c r="G1605" i="13"/>
  <c r="G1030" i="13"/>
  <c r="G790" i="13"/>
  <c r="G657" i="13"/>
  <c r="G597" i="13"/>
  <c r="G538" i="13"/>
  <c r="G478" i="13"/>
  <c r="G1106" i="13"/>
  <c r="G696" i="13"/>
  <c r="G585" i="13"/>
  <c r="G431" i="13"/>
  <c r="G384" i="13"/>
  <c r="G299" i="13"/>
  <c r="G252" i="13"/>
  <c r="G540" i="13"/>
  <c r="G453" i="13"/>
  <c r="G409" i="13"/>
  <c r="G362" i="13"/>
  <c r="G273" i="13"/>
  <c r="G230" i="13"/>
  <c r="G141" i="13"/>
  <c r="G98" i="13"/>
  <c r="G45" i="13"/>
  <c r="G598" i="13"/>
  <c r="G513" i="13"/>
  <c r="G392" i="13"/>
  <c r="G348" i="13"/>
  <c r="G259" i="13"/>
  <c r="G216" i="13"/>
  <c r="G127" i="13"/>
  <c r="G84" i="13"/>
  <c r="G24" i="13"/>
  <c r="G643" i="13"/>
  <c r="G464" i="13"/>
  <c r="G369" i="13"/>
  <c r="G326" i="13"/>
  <c r="G237" i="13"/>
  <c r="G194" i="13"/>
  <c r="G14" i="13"/>
  <c r="D2764" i="13"/>
  <c r="D2721" i="13"/>
  <c r="D2700" i="13"/>
  <c r="D2653" i="13"/>
  <c r="D2628" i="13"/>
  <c r="D2617" i="13"/>
  <c r="D2596" i="13"/>
  <c r="G105" i="13"/>
  <c r="G55" i="13"/>
  <c r="E2783" i="13"/>
  <c r="E2762" i="13"/>
  <c r="E2751" i="13"/>
  <c r="E2734" i="13"/>
  <c r="E2723" i="13"/>
  <c r="E2718" i="13"/>
  <c r="E2707" i="13"/>
  <c r="E2702" i="13"/>
  <c r="E2691" i="13"/>
  <c r="E2684" i="13"/>
  <c r="E2671" i="13"/>
  <c r="E2666" i="13"/>
  <c r="E2655" i="13"/>
  <c r="E2650" i="13"/>
  <c r="E2639" i="13"/>
  <c r="E2634" i="13"/>
  <c r="E2623" i="13"/>
  <c r="E2618" i="13"/>
  <c r="E2607" i="13"/>
  <c r="E2602" i="13"/>
  <c r="G163" i="13"/>
  <c r="G120" i="13"/>
  <c r="G99" i="13"/>
  <c r="G46" i="13"/>
  <c r="G16" i="13"/>
  <c r="D2782" i="13"/>
  <c r="D2771" i="13"/>
  <c r="D2766" i="13"/>
  <c r="D2755" i="13"/>
  <c r="D2750" i="13"/>
  <c r="D2739" i="13"/>
  <c r="D2734" i="13"/>
  <c r="D2723" i="13"/>
  <c r="D2718" i="13"/>
  <c r="D2707" i="13"/>
  <c r="D2702" i="13"/>
  <c r="D2691" i="13"/>
  <c r="D2684" i="13"/>
  <c r="G113" i="13"/>
  <c r="G67" i="13"/>
  <c r="G35" i="13"/>
  <c r="G10" i="13"/>
  <c r="E2780" i="13"/>
  <c r="E2769" i="13"/>
  <c r="E2764" i="13"/>
  <c r="E2753" i="13"/>
  <c r="E2748" i="13"/>
  <c r="E2737" i="13"/>
  <c r="E2732" i="13"/>
  <c r="E2721" i="13"/>
  <c r="E2716" i="13"/>
  <c r="E2705" i="13"/>
  <c r="E2700" i="13"/>
  <c r="E2689" i="13"/>
  <c r="E2681" i="13"/>
  <c r="E2669" i="13"/>
  <c r="E2664" i="13"/>
  <c r="E2653" i="13"/>
  <c r="E2648" i="13"/>
  <c r="E2637" i="13"/>
  <c r="E2632" i="13"/>
  <c r="E2621" i="13"/>
  <c r="D2643" i="13"/>
  <c r="D2622" i="13"/>
  <c r="E2609" i="13"/>
  <c r="E2592" i="13"/>
  <c r="E2581" i="13"/>
  <c r="E2573" i="13"/>
  <c r="E2561" i="13"/>
  <c r="E2556" i="13"/>
  <c r="E2545" i="13"/>
  <c r="E2540" i="13"/>
  <c r="G2372" i="13"/>
  <c r="G1694" i="13"/>
  <c r="G1538" i="13"/>
  <c r="G986" i="13"/>
  <c r="G1291" i="13"/>
  <c r="G1035" i="13"/>
  <c r="G1214" i="13"/>
  <c r="G811" i="13"/>
  <c r="G1445" i="13"/>
  <c r="G1705" i="13"/>
  <c r="G913" i="13"/>
  <c r="G758" i="13"/>
  <c r="G933" i="13"/>
  <c r="G506" i="13"/>
  <c r="G581" i="13"/>
  <c r="G525" i="13"/>
  <c r="G465" i="13"/>
  <c r="G901" i="13"/>
  <c r="G474" i="13"/>
  <c r="G420" i="13"/>
  <c r="G331" i="13"/>
  <c r="G286" i="13"/>
  <c r="G199" i="13"/>
  <c r="G604" i="13"/>
  <c r="G519" i="13"/>
  <c r="G441" i="13"/>
  <c r="G397" i="13"/>
  <c r="G309" i="13"/>
  <c r="G262" i="13"/>
  <c r="G173" i="13"/>
  <c r="G130" i="13"/>
  <c r="G29" i="13"/>
  <c r="G680" i="13"/>
  <c r="G577" i="13"/>
  <c r="G427" i="13"/>
  <c r="G380" i="13"/>
  <c r="G295" i="13"/>
  <c r="G248" i="13"/>
  <c r="G159" i="13"/>
  <c r="G116" i="13"/>
  <c r="G72" i="13"/>
  <c r="G532" i="13"/>
  <c r="G405" i="13"/>
  <c r="G358" i="13"/>
  <c r="G269" i="13"/>
  <c r="G226" i="13"/>
  <c r="G183" i="13"/>
  <c r="G137" i="13"/>
  <c r="G96" i="13"/>
  <c r="D2780" i="13"/>
  <c r="D2737" i="13"/>
  <c r="D2716" i="13"/>
  <c r="D2669" i="13"/>
  <c r="D2648" i="13"/>
  <c r="D2637" i="13"/>
  <c r="D2616" i="13"/>
  <c r="D2605" i="13"/>
  <c r="G47" i="13"/>
  <c r="E2782" i="13"/>
  <c r="E2771" i="13"/>
  <c r="E2750" i="13"/>
  <c r="E2739" i="13"/>
  <c r="E2727" i="13"/>
  <c r="E2722" i="13"/>
  <c r="E2711" i="13"/>
  <c r="E2706" i="13"/>
  <c r="E2695" i="13"/>
  <c r="E2690" i="13"/>
  <c r="E2682" i="13"/>
  <c r="E2675" i="13"/>
  <c r="E2670" i="13"/>
  <c r="E2659" i="13"/>
  <c r="E2654" i="13"/>
  <c r="E2643" i="13"/>
  <c r="E2638" i="13"/>
  <c r="E2627" i="13"/>
  <c r="E2622" i="13"/>
  <c r="E2611" i="13"/>
  <c r="E2606" i="13"/>
  <c r="G152" i="13"/>
  <c r="G115" i="13"/>
  <c r="G70" i="13"/>
  <c r="G38" i="13"/>
  <c r="G11" i="13"/>
  <c r="D2775" i="13"/>
  <c r="D2770" i="13"/>
  <c r="D2759" i="13"/>
  <c r="D2754" i="13"/>
  <c r="D2743" i="13"/>
  <c r="D2738" i="13"/>
  <c r="D2727" i="13"/>
  <c r="D2722" i="13"/>
  <c r="D2711" i="13"/>
  <c r="D2706" i="13"/>
  <c r="D2695" i="13"/>
  <c r="D2690" i="13"/>
  <c r="D2682" i="13"/>
  <c r="D2675" i="13"/>
  <c r="G139" i="13"/>
  <c r="G86" i="13"/>
  <c r="G59" i="13"/>
  <c r="G27" i="13"/>
  <c r="E2784" i="13"/>
  <c r="E2773" i="13"/>
  <c r="E2768" i="13"/>
  <c r="E2757" i="13"/>
  <c r="E2752" i="13"/>
  <c r="E2741" i="13"/>
  <c r="E2736" i="13"/>
  <c r="E2725" i="13"/>
  <c r="E2720" i="13"/>
  <c r="E2709" i="13"/>
  <c r="E2704" i="13"/>
  <c r="E2693" i="13"/>
  <c r="E2687" i="13"/>
  <c r="E2679" i="13"/>
  <c r="E2673" i="13"/>
  <c r="E2668" i="13"/>
  <c r="E2657" i="13"/>
  <c r="E2652" i="13"/>
  <c r="E2641" i="13"/>
  <c r="E2636" i="13"/>
  <c r="E2625" i="13"/>
  <c r="E2620" i="13"/>
  <c r="D2659" i="13"/>
  <c r="D2638" i="13"/>
  <c r="E2617" i="13"/>
  <c r="E2585" i="13"/>
  <c r="E2579" i="13"/>
  <c r="E2571" i="13"/>
  <c r="E2565" i="13"/>
  <c r="E2560" i="13"/>
  <c r="E2549" i="13"/>
  <c r="E2544" i="13"/>
  <c r="E2533" i="13"/>
  <c r="E2528" i="13"/>
  <c r="E2517" i="13"/>
  <c r="E2512" i="13"/>
  <c r="E2501" i="13"/>
  <c r="E2496" i="13"/>
  <c r="E2485" i="13"/>
  <c r="E2480" i="13"/>
  <c r="E2467" i="13"/>
  <c r="E2460" i="13"/>
  <c r="E2449" i="13"/>
  <c r="E2444" i="13"/>
  <c r="E2433" i="13"/>
  <c r="E2428" i="13"/>
  <c r="E2417" i="13"/>
  <c r="E2412" i="13"/>
  <c r="E2401" i="13"/>
  <c r="E2396" i="13"/>
  <c r="E2385" i="13"/>
  <c r="E2380" i="13"/>
  <c r="E2369" i="13"/>
  <c r="E2363" i="13"/>
  <c r="E2355" i="13"/>
  <c r="E2349" i="13"/>
  <c r="E2344" i="13"/>
  <c r="E2333" i="13"/>
  <c r="E2328" i="13"/>
  <c r="E2317" i="13"/>
  <c r="E2312" i="13"/>
  <c r="E2301" i="13"/>
  <c r="E2296" i="13"/>
  <c r="E2285" i="13"/>
  <c r="E2280" i="13"/>
  <c r="E2269" i="13"/>
  <c r="E2264" i="13"/>
  <c r="E2251" i="13"/>
  <c r="E2244" i="13"/>
  <c r="E2233" i="13"/>
  <c r="E2228" i="13"/>
  <c r="E2217" i="13"/>
  <c r="E2212" i="13"/>
  <c r="E2201" i="13"/>
  <c r="E2196" i="13"/>
  <c r="E2185" i="13"/>
  <c r="E2180" i="13"/>
  <c r="E2169" i="13"/>
  <c r="E2164" i="13"/>
  <c r="E2153" i="13"/>
  <c r="E2147" i="13"/>
  <c r="E2139" i="13"/>
  <c r="E2131" i="13"/>
  <c r="E2123" i="13"/>
  <c r="E2115" i="13"/>
  <c r="E2107" i="13"/>
  <c r="E2099" i="13"/>
  <c r="E2091" i="13"/>
  <c r="E2083" i="13"/>
  <c r="E2079" i="13"/>
  <c r="E2066" i="13"/>
  <c r="E2053" i="13"/>
  <c r="E2049" i="13"/>
  <c r="E2040" i="13"/>
  <c r="E2036" i="13"/>
  <c r="E2027" i="13"/>
  <c r="E2023" i="13"/>
  <c r="E2010" i="13"/>
  <c r="E1997" i="13"/>
  <c r="E1993" i="13"/>
  <c r="E1984" i="13"/>
  <c r="E1980" i="13"/>
  <c r="E1971" i="13"/>
  <c r="E1967" i="13"/>
  <c r="D2663" i="13"/>
  <c r="D2642" i="13"/>
  <c r="D2598" i="13"/>
  <c r="D2592" i="13"/>
  <c r="D2581" i="13"/>
  <c r="D2573" i="13"/>
  <c r="D2561" i="13"/>
  <c r="D2556" i="13"/>
  <c r="D2545" i="13"/>
  <c r="D2540" i="13"/>
  <c r="D2529" i="13"/>
  <c r="D2524" i="13"/>
  <c r="D2513" i="13"/>
  <c r="D2508" i="13"/>
  <c r="D2497" i="13"/>
  <c r="D2492" i="13"/>
  <c r="D2481" i="13"/>
  <c r="D2476" i="13"/>
  <c r="D2469" i="13"/>
  <c r="D2461" i="13"/>
  <c r="D2456" i="13"/>
  <c r="D2445" i="13"/>
  <c r="D2440" i="13"/>
  <c r="D2429" i="13"/>
  <c r="D2424" i="13"/>
  <c r="D2413" i="13"/>
  <c r="D2408" i="13"/>
  <c r="D2397" i="13"/>
  <c r="D2392" i="13"/>
  <c r="D2381" i="13"/>
  <c r="D2376" i="13"/>
  <c r="D2365" i="13"/>
  <c r="D2357" i="13"/>
  <c r="D2345" i="13"/>
  <c r="D2340" i="13"/>
  <c r="G2004" i="13"/>
  <c r="G1245" i="13"/>
  <c r="G1396" i="13"/>
  <c r="G944" i="13"/>
  <c r="G1227" i="13"/>
  <c r="G779" i="13"/>
  <c r="G1210" i="13"/>
  <c r="G1483" i="13"/>
  <c r="G854" i="13"/>
  <c r="G639" i="13"/>
  <c r="G460" i="13"/>
  <c r="G686" i="13"/>
  <c r="G1597" i="13"/>
  <c r="G542" i="13"/>
  <c r="G363" i="13"/>
  <c r="G320" i="13"/>
  <c r="G231" i="13"/>
  <c r="G188" i="13"/>
  <c r="G583" i="13"/>
  <c r="G430" i="13"/>
  <c r="G341" i="13"/>
  <c r="G298" i="13"/>
  <c r="G209" i="13"/>
  <c r="G162" i="13"/>
  <c r="G77" i="13"/>
  <c r="G13" i="13"/>
  <c r="G645" i="13"/>
  <c r="G466" i="13"/>
  <c r="G416" i="13"/>
  <c r="G327" i="13"/>
  <c r="G280" i="13"/>
  <c r="G195" i="13"/>
  <c r="G148" i="13"/>
  <c r="G56" i="13"/>
  <c r="G596" i="13"/>
  <c r="G511" i="13"/>
  <c r="G437" i="13"/>
  <c r="G391" i="13"/>
  <c r="G305" i="13"/>
  <c r="G258" i="13"/>
  <c r="G169" i="13"/>
  <c r="G126" i="13"/>
  <c r="G74" i="13"/>
  <c r="D2753" i="13"/>
  <c r="D2732" i="13"/>
  <c r="D2689" i="13"/>
  <c r="D2664" i="13"/>
  <c r="D2644" i="13"/>
  <c r="D2633" i="13"/>
  <c r="D2612" i="13"/>
  <c r="D2601" i="13"/>
  <c r="G23" i="13"/>
  <c r="E2778" i="13"/>
  <c r="E2767" i="13"/>
  <c r="E2746" i="13"/>
  <c r="E2731" i="13"/>
  <c r="E2726" i="13"/>
  <c r="E2715" i="13"/>
  <c r="E2710" i="13"/>
  <c r="E2699" i="13"/>
  <c r="E2694" i="13"/>
  <c r="E2688" i="13"/>
  <c r="E2680" i="13"/>
  <c r="E2674" i="13"/>
  <c r="E2663" i="13"/>
  <c r="E2658" i="13"/>
  <c r="E2647" i="13"/>
  <c r="E2642" i="13"/>
  <c r="E2631" i="13"/>
  <c r="E2626" i="13"/>
  <c r="E2615" i="13"/>
  <c r="E2610" i="13"/>
  <c r="E2599" i="13"/>
  <c r="G88" i="13"/>
  <c r="G62" i="13"/>
  <c r="G30" i="13"/>
  <c r="D2779" i="13"/>
  <c r="D2774" i="13"/>
  <c r="D2763" i="13"/>
  <c r="D2758" i="13"/>
  <c r="D2747" i="13"/>
  <c r="D2742" i="13"/>
  <c r="D2731" i="13"/>
  <c r="D2726" i="13"/>
  <c r="D2715" i="13"/>
  <c r="D2710" i="13"/>
  <c r="D2699" i="13"/>
  <c r="D2694" i="13"/>
  <c r="D2688" i="13"/>
  <c r="D2680" i="13"/>
  <c r="D2674" i="13"/>
  <c r="G128" i="13"/>
  <c r="G102" i="13"/>
  <c r="G81" i="13"/>
  <c r="G51" i="13"/>
  <c r="G20" i="13"/>
  <c r="E2777" i="13"/>
  <c r="E2772" i="13"/>
  <c r="E2761" i="13"/>
  <c r="E2756" i="13"/>
  <c r="E2745" i="13"/>
  <c r="E2740" i="13"/>
  <c r="E2729" i="13"/>
  <c r="E2724" i="13"/>
  <c r="E2713" i="13"/>
  <c r="E2708" i="13"/>
  <c r="E2697" i="13"/>
  <c r="E2692" i="13"/>
  <c r="E2685" i="13"/>
  <c r="E2677" i="13"/>
  <c r="E2672" i="13"/>
  <c r="E2661" i="13"/>
  <c r="E2656" i="13"/>
  <c r="E2645" i="13"/>
  <c r="E2640" i="13"/>
  <c r="E2629" i="13"/>
  <c r="E2624" i="13"/>
  <c r="D2654" i="13"/>
  <c r="E2604" i="13"/>
  <c r="E2589" i="13"/>
  <c r="E2584" i="13"/>
  <c r="E2577" i="13"/>
  <c r="E2569" i="13"/>
  <c r="E2564" i="13"/>
  <c r="E2553" i="13"/>
  <c r="E2548" i="13"/>
  <c r="E2537" i="13"/>
  <c r="E2532" i="13"/>
  <c r="E2521" i="13"/>
  <c r="E2516" i="13"/>
  <c r="E2505" i="13"/>
  <c r="E2500" i="13"/>
  <c r="E2489" i="13"/>
  <c r="E2484" i="13"/>
  <c r="E2473" i="13"/>
  <c r="E2465" i="13"/>
  <c r="E2453" i="13"/>
  <c r="E2448" i="13"/>
  <c r="E2437" i="13"/>
  <c r="E2432" i="13"/>
  <c r="E2421" i="13"/>
  <c r="E2416" i="13"/>
  <c r="E2405" i="13"/>
  <c r="E2400" i="13"/>
  <c r="E2389" i="13"/>
  <c r="E2384" i="13"/>
  <c r="E2373" i="13"/>
  <c r="E2368" i="13"/>
  <c r="E2361" i="13"/>
  <c r="E2353" i="13"/>
  <c r="E2348" i="13"/>
  <c r="E2337" i="13"/>
  <c r="E2332" i="13"/>
  <c r="E2321" i="13"/>
  <c r="E2316" i="13"/>
  <c r="E2305" i="13"/>
  <c r="E2300" i="13"/>
  <c r="E2289" i="13"/>
  <c r="E2284" i="13"/>
  <c r="E2273" i="13"/>
  <c r="E2268" i="13"/>
  <c r="E2257" i="13"/>
  <c r="E2249" i="13"/>
  <c r="E2237" i="13"/>
  <c r="E2232" i="13"/>
  <c r="E2221" i="13"/>
  <c r="E2216" i="13"/>
  <c r="E2205" i="13"/>
  <c r="E2200" i="13"/>
  <c r="E2189" i="13"/>
  <c r="E2184" i="13"/>
  <c r="E2173" i="13"/>
  <c r="E2168" i="13"/>
  <c r="E2157" i="13"/>
  <c r="E2152" i="13"/>
  <c r="E2145" i="13"/>
  <c r="E2137" i="13"/>
  <c r="E2129" i="13"/>
  <c r="E2121" i="13"/>
  <c r="E2113" i="13"/>
  <c r="E2105" i="13"/>
  <c r="E2097" i="13"/>
  <c r="E2089" i="13"/>
  <c r="E2082" i="13"/>
  <c r="E2078" i="13"/>
  <c r="E2069" i="13"/>
  <c r="E2065" i="13"/>
  <c r="E2052" i="13"/>
  <c r="E2039" i="13"/>
  <c r="E2035" i="13"/>
  <c r="E2026" i="13"/>
  <c r="E2022" i="13"/>
  <c r="E2013" i="13"/>
  <c r="E2009" i="13"/>
  <c r="E1996" i="13"/>
  <c r="E1983" i="13"/>
  <c r="E1979" i="13"/>
  <c r="E1970" i="13"/>
  <c r="E1966" i="13"/>
  <c r="E1957" i="13"/>
  <c r="D2658" i="13"/>
  <c r="D2606" i="13"/>
  <c r="E2596" i="13"/>
  <c r="D2585" i="13"/>
  <c r="D2579" i="13"/>
  <c r="D2571" i="13"/>
  <c r="D2565" i="13"/>
  <c r="D2560" i="13"/>
  <c r="D2549" i="13"/>
  <c r="D2544" i="13"/>
  <c r="D2533" i="13"/>
  <c r="D2528" i="13"/>
  <c r="D2517" i="13"/>
  <c r="D2512" i="13"/>
  <c r="D2501" i="13"/>
  <c r="D2496" i="13"/>
  <c r="D2485" i="13"/>
  <c r="D2480" i="13"/>
  <c r="D2467" i="13"/>
  <c r="D2460" i="13"/>
  <c r="D2449" i="13"/>
  <c r="D2444" i="13"/>
  <c r="D2433" i="13"/>
  <c r="D2428" i="13"/>
  <c r="D2417" i="13"/>
  <c r="D2412" i="13"/>
  <c r="D2180" i="13"/>
  <c r="D2185" i="13"/>
  <c r="D2196" i="13"/>
  <c r="D2201" i="13"/>
  <c r="D2212" i="13"/>
  <c r="D2217" i="13"/>
  <c r="D2228" i="13"/>
  <c r="D2233" i="13"/>
  <c r="D2244" i="13"/>
  <c r="D2251" i="13"/>
  <c r="D2264" i="13"/>
  <c r="D2269" i="13"/>
  <c r="D2280" i="13"/>
  <c r="D2285" i="13"/>
  <c r="D2296" i="13"/>
  <c r="D2301" i="13"/>
  <c r="D2312" i="13"/>
  <c r="D2317" i="13"/>
  <c r="D2328" i="13"/>
  <c r="D2333" i="13"/>
  <c r="D2353" i="13"/>
  <c r="D2363" i="13"/>
  <c r="D2372" i="13"/>
  <c r="D2385" i="13"/>
  <c r="D2393" i="13"/>
  <c r="D2400" i="13"/>
  <c r="D2409" i="13"/>
  <c r="D2420" i="13"/>
  <c r="D2441" i="13"/>
  <c r="D2452" i="13"/>
  <c r="D2463" i="13"/>
  <c r="D2477" i="13"/>
  <c r="D2488" i="13"/>
  <c r="D2509" i="13"/>
  <c r="D2520" i="13"/>
  <c r="D2541" i="13"/>
  <c r="D2552" i="13"/>
  <c r="D2575" i="13"/>
  <c r="D2588" i="13"/>
  <c r="D2626" i="13"/>
  <c r="E1981" i="13"/>
  <c r="E1998" i="13"/>
  <c r="E2007" i="13"/>
  <c r="E2024" i="13"/>
  <c r="E2041" i="13"/>
  <c r="E2050" i="13"/>
  <c r="E2067" i="13"/>
  <c r="E2085" i="13"/>
  <c r="E2101" i="13"/>
  <c r="E2117" i="13"/>
  <c r="E2133" i="13"/>
  <c r="E2149" i="13"/>
  <c r="E2160" i="13"/>
  <c r="E2181" i="13"/>
  <c r="E2192" i="13"/>
  <c r="E2213" i="13"/>
  <c r="E2224" i="13"/>
  <c r="E2245" i="13"/>
  <c r="E2260" i="13"/>
  <c r="E2281" i="13"/>
  <c r="E2292" i="13"/>
  <c r="E2313" i="13"/>
  <c r="E2324" i="13"/>
  <c r="E2345" i="13"/>
  <c r="E2357" i="13"/>
  <c r="E2381" i="13"/>
  <c r="E2392" i="13"/>
  <c r="E2413" i="13"/>
  <c r="E2424" i="13"/>
  <c r="E2445" i="13"/>
  <c r="E2456" i="13"/>
  <c r="E2469" i="13"/>
  <c r="E2481" i="13"/>
  <c r="E2492" i="13"/>
  <c r="E2513" i="13"/>
  <c r="E2524" i="13"/>
  <c r="E2536" i="13"/>
  <c r="E2557" i="13"/>
  <c r="E2612" i="13"/>
  <c r="E2644" i="13"/>
  <c r="E2665" i="13"/>
  <c r="E2712" i="13"/>
  <c r="E2733" i="13"/>
  <c r="E2776" i="13"/>
  <c r="G75" i="13"/>
  <c r="D2678" i="13"/>
  <c r="D2703" i="13"/>
  <c r="D2746" i="13"/>
  <c r="D2767" i="13"/>
  <c r="G22" i="13"/>
  <c r="G131" i="13"/>
  <c r="E2614" i="13"/>
  <c r="E2635" i="13"/>
  <c r="E2678" i="13"/>
  <c r="E2703" i="13"/>
  <c r="E2755" i="13"/>
  <c r="G78" i="13"/>
  <c r="D2621" i="13"/>
  <c r="D2681" i="13"/>
  <c r="D2769" i="13"/>
  <c r="G205" i="13"/>
  <c r="G184" i="13"/>
  <c r="G359" i="13"/>
  <c r="G330" i="13"/>
  <c r="G263" i="13"/>
  <c r="G613" i="13"/>
  <c r="G592" i="13"/>
  <c r="G822" i="13"/>
  <c r="G747" i="13"/>
  <c r="G1163" i="13"/>
  <c r="D2554" i="13"/>
  <c r="D2559" i="13"/>
  <c r="D2570" i="13"/>
  <c r="D2578" i="13"/>
  <c r="D2590" i="13"/>
  <c r="D2595" i="13"/>
  <c r="D2615" i="13"/>
  <c r="D2634" i="13"/>
  <c r="D2655" i="13"/>
  <c r="E1961" i="13"/>
  <c r="E1974" i="13"/>
  <c r="E1978" i="13"/>
  <c r="E1987" i="13"/>
  <c r="E1991" i="13"/>
  <c r="E2000" i="13"/>
  <c r="E2004" i="13"/>
  <c r="E2017" i="13"/>
  <c r="E2030" i="13"/>
  <c r="E2034" i="13"/>
  <c r="E2043" i="13"/>
  <c r="E2047" i="13"/>
  <c r="E2056" i="13"/>
  <c r="E2060" i="13"/>
  <c r="E2073" i="13"/>
  <c r="E2088" i="13"/>
  <c r="E2096" i="13"/>
  <c r="E2104" i="13"/>
  <c r="E2112" i="13"/>
  <c r="E2120" i="13"/>
  <c r="E2128" i="13"/>
  <c r="E2136" i="13"/>
  <c r="E2144" i="13"/>
  <c r="E2151" i="13"/>
  <c r="E2162" i="13"/>
  <c r="E2167" i="13"/>
  <c r="E2178" i="13"/>
  <c r="E2183" i="13"/>
  <c r="E2194" i="13"/>
  <c r="E2199" i="13"/>
  <c r="E2210" i="13"/>
  <c r="E2215" i="13"/>
  <c r="E2226" i="13"/>
  <c r="E2231" i="13"/>
  <c r="E2242" i="13"/>
  <c r="E2248" i="13"/>
  <c r="E2256" i="13"/>
  <c r="E2262" i="13"/>
  <c r="E2267" i="13"/>
  <c r="E2278" i="13"/>
  <c r="E2283" i="13"/>
  <c r="E2294" i="13"/>
  <c r="E2299" i="13"/>
  <c r="E2310" i="13"/>
  <c r="E2315" i="13"/>
  <c r="E2326" i="13"/>
  <c r="E2331" i="13"/>
  <c r="E2342" i="13"/>
  <c r="E2347" i="13"/>
  <c r="E2360" i="13"/>
  <c r="E2367" i="13"/>
  <c r="E2378" i="13"/>
  <c r="E2383" i="13"/>
  <c r="E2394" i="13"/>
  <c r="E2399" i="13"/>
  <c r="E2410" i="13"/>
  <c r="E2415" i="13"/>
  <c r="E2426" i="13"/>
  <c r="E2431" i="13"/>
  <c r="E2442" i="13"/>
  <c r="E2447" i="13"/>
  <c r="E2458" i="13"/>
  <c r="E2464" i="13"/>
  <c r="E2472" i="13"/>
  <c r="E2478" i="13"/>
  <c r="E2483" i="13"/>
  <c r="E2494" i="13"/>
  <c r="E2499" i="13"/>
  <c r="E2510" i="13"/>
  <c r="E2515" i="13"/>
  <c r="E2526" i="13"/>
  <c r="E2531" i="13"/>
  <c r="E2542" i="13"/>
  <c r="E2547" i="13"/>
  <c r="E2558" i="13"/>
  <c r="E2563" i="13"/>
  <c r="E2576" i="13"/>
  <c r="E2583" i="13"/>
  <c r="E2594" i="13"/>
  <c r="E2613" i="13"/>
  <c r="D2630" i="13"/>
  <c r="D2651" i="13"/>
  <c r="D1968" i="13"/>
  <c r="D1981" i="13"/>
  <c r="D1985" i="13"/>
  <c r="D1994" i="13"/>
  <c r="D1998" i="13"/>
  <c r="D2007" i="13"/>
  <c r="D2011" i="13"/>
  <c r="D2024" i="13"/>
  <c r="D2037" i="13"/>
  <c r="D2041" i="13"/>
  <c r="D2050" i="13"/>
  <c r="D2054" i="13"/>
  <c r="D2063" i="13"/>
  <c r="D2067" i="13"/>
  <c r="D2080" i="13"/>
  <c r="D2085" i="13"/>
  <c r="D2093" i="13"/>
  <c r="D2101" i="13"/>
  <c r="D2109" i="13"/>
  <c r="D2117" i="13"/>
  <c r="D2125" i="13"/>
  <c r="D2133" i="13"/>
  <c r="D2141" i="13"/>
  <c r="D2149" i="13"/>
  <c r="D2160" i="13"/>
  <c r="D2165" i="13"/>
  <c r="D2176" i="13"/>
  <c r="D2181" i="13"/>
  <c r="D2192" i="13"/>
  <c r="D2197" i="13"/>
  <c r="D2208" i="13"/>
  <c r="D2213" i="13"/>
  <c r="D2224" i="13"/>
  <c r="D2229" i="13"/>
  <c r="D2240" i="13"/>
  <c r="D2245" i="13"/>
  <c r="D2253" i="13"/>
  <c r="D2260" i="13"/>
  <c r="D2265" i="13"/>
  <c r="D2276" i="13"/>
  <c r="D2281" i="13"/>
  <c r="D2292" i="13"/>
  <c r="D2297" i="13"/>
  <c r="D2308" i="13"/>
  <c r="D2313" i="13"/>
  <c r="D2324" i="13"/>
  <c r="D2329" i="13"/>
  <c r="D2341" i="13"/>
  <c r="D2348" i="13"/>
  <c r="D2355" i="13"/>
  <c r="D2373" i="13"/>
  <c r="D2380" i="13"/>
  <c r="D2388" i="13"/>
  <c r="D2401" i="13"/>
  <c r="D2421" i="13"/>
  <c r="D2432" i="13"/>
  <c r="D2453" i="13"/>
  <c r="D2465" i="13"/>
  <c r="D2489" i="13"/>
  <c r="D2500" i="13"/>
  <c r="D2521" i="13"/>
  <c r="D2532" i="13"/>
  <c r="D2553" i="13"/>
  <c r="D2564" i="13"/>
  <c r="D2577" i="13"/>
  <c r="D2589" i="13"/>
  <c r="D2603" i="13"/>
  <c r="D2631" i="13"/>
  <c r="E1956" i="13"/>
  <c r="E1965" i="13"/>
  <c r="E1982" i="13"/>
  <c r="E1999" i="13"/>
  <c r="E2008" i="13"/>
  <c r="E2025" i="13"/>
  <c r="E2051" i="13"/>
  <c r="E2068" i="13"/>
  <c r="E2077" i="13"/>
  <c r="E2087" i="13"/>
  <c r="E2103" i="13"/>
  <c r="E2119" i="13"/>
  <c r="E2135" i="13"/>
  <c r="E2161" i="13"/>
  <c r="E2172" i="13"/>
  <c r="E2193" i="13"/>
  <c r="E2204" i="13"/>
  <c r="E2225" i="13"/>
  <c r="E2236" i="13"/>
  <c r="E2247" i="13"/>
  <c r="E2261" i="13"/>
  <c r="E2272" i="13"/>
  <c r="E2293" i="13"/>
  <c r="E2304" i="13"/>
  <c r="E2325" i="13"/>
  <c r="E2336" i="13"/>
  <c r="E2359" i="13"/>
  <c r="E2372" i="13"/>
  <c r="E2393" i="13"/>
  <c r="E2404" i="13"/>
  <c r="E2425" i="13"/>
  <c r="E2436" i="13"/>
  <c r="E2457" i="13"/>
  <c r="E2471" i="13"/>
  <c r="E2493" i="13"/>
  <c r="E2504" i="13"/>
  <c r="E2525" i="13"/>
  <c r="E2541" i="13"/>
  <c r="E2588" i="13"/>
  <c r="D2627" i="13"/>
  <c r="E2628" i="13"/>
  <c r="E2649" i="13"/>
  <c r="E2696" i="13"/>
  <c r="E2717" i="13"/>
  <c r="E2760" i="13"/>
  <c r="E2781" i="13"/>
  <c r="G97" i="13"/>
  <c r="D2686" i="13"/>
  <c r="D2730" i="13"/>
  <c r="D2751" i="13"/>
  <c r="G54" i="13"/>
  <c r="E2598" i="13"/>
  <c r="E2619" i="13"/>
  <c r="E2662" i="13"/>
  <c r="E2686" i="13"/>
  <c r="E2730" i="13"/>
  <c r="E2766" i="13"/>
  <c r="G123" i="13"/>
  <c r="D2632" i="13"/>
  <c r="D2705" i="13"/>
  <c r="G42" i="13"/>
  <c r="G426" i="13"/>
  <c r="G40" i="13"/>
  <c r="G227" i="13"/>
  <c r="G198" i="13"/>
  <c r="G373" i="13"/>
  <c r="G651" i="13"/>
  <c r="G521" i="13"/>
  <c r="G1425" i="13"/>
  <c r="G670" i="13"/>
  <c r="G724" i="13"/>
  <c r="G1286" i="13"/>
  <c r="G879" i="13"/>
  <c r="G1419" i="13"/>
  <c r="G1572" i="13"/>
  <c r="D2555" i="13"/>
  <c r="D2566" i="13"/>
  <c r="D2572" i="13"/>
  <c r="D2580" i="13"/>
  <c r="D2586" i="13"/>
  <c r="D2591" i="13"/>
  <c r="D2607" i="13"/>
  <c r="D2618" i="13"/>
  <c r="D2639" i="13"/>
  <c r="E1958" i="13"/>
  <c r="E1962" i="13"/>
  <c r="E1975" i="13"/>
  <c r="E1988" i="13"/>
  <c r="E1992" i="13"/>
  <c r="E2001" i="13"/>
  <c r="E2005" i="13"/>
  <c r="E2014" i="13"/>
  <c r="E2018" i="13"/>
  <c r="E2031" i="13"/>
  <c r="E2044" i="13"/>
  <c r="E2048" i="13"/>
  <c r="E2057" i="13"/>
  <c r="E2061" i="13"/>
  <c r="E2070" i="13"/>
  <c r="E2074" i="13"/>
  <c r="E2090" i="13"/>
  <c r="E2098" i="13"/>
  <c r="E2106" i="13"/>
  <c r="E2114" i="13"/>
  <c r="E2122" i="13"/>
  <c r="E2130" i="13"/>
  <c r="E2138" i="13"/>
  <c r="E2146" i="13"/>
  <c r="E2158" i="13"/>
  <c r="E2163" i="13"/>
  <c r="E2174" i="13"/>
  <c r="E2179" i="13"/>
  <c r="E2190" i="13"/>
  <c r="E2195" i="13"/>
  <c r="E2206" i="13"/>
  <c r="E2211" i="13"/>
  <c r="E2222" i="13"/>
  <c r="E2227" i="13"/>
  <c r="E2238" i="13"/>
  <c r="E2243" i="13"/>
  <c r="E2250" i="13"/>
  <c r="E2258" i="13"/>
  <c r="E2263" i="13"/>
  <c r="E2274" i="13"/>
  <c r="E2279" i="13"/>
  <c r="E2290" i="13"/>
  <c r="E2295" i="13"/>
  <c r="E2306" i="13"/>
  <c r="E2311" i="13"/>
  <c r="E2322" i="13"/>
  <c r="E2327" i="13"/>
  <c r="E2338" i="13"/>
  <c r="E2343" i="13"/>
  <c r="E2354" i="13"/>
  <c r="E2362" i="13"/>
  <c r="E2374" i="13"/>
  <c r="E2379" i="13"/>
  <c r="E2390" i="13"/>
  <c r="E2395" i="13"/>
  <c r="E2406" i="13"/>
  <c r="E2411" i="13"/>
  <c r="E2422" i="13"/>
  <c r="E2427" i="13"/>
  <c r="E2438" i="13"/>
  <c r="E2443" i="13"/>
  <c r="E2454" i="13"/>
  <c r="E2459" i="13"/>
  <c r="E2466" i="13"/>
  <c r="E2474" i="13"/>
  <c r="E2479" i="13"/>
  <c r="E2490" i="13"/>
  <c r="E2495" i="13"/>
  <c r="E2506" i="13"/>
  <c r="E2511" i="13"/>
  <c r="E2522" i="13"/>
  <c r="E2527" i="13"/>
  <c r="E2538" i="13"/>
  <c r="E2543" i="13"/>
  <c r="E2554" i="13"/>
  <c r="E2559" i="13"/>
  <c r="E2570" i="13"/>
  <c r="E2578" i="13"/>
  <c r="E2590" i="13"/>
  <c r="E2595" i="13"/>
  <c r="E2605" i="13"/>
  <c r="E2616" i="13"/>
  <c r="D2635" i="13"/>
  <c r="D1956" i="13"/>
  <c r="D1965" i="13"/>
  <c r="D1969" i="13"/>
  <c r="D1982" i="13"/>
  <c r="D1995" i="13"/>
  <c r="D1999" i="13"/>
  <c r="D2008" i="13"/>
  <c r="D2012" i="13"/>
  <c r="D2021" i="13"/>
  <c r="D2025" i="13"/>
  <c r="D2038" i="13"/>
  <c r="D2051" i="13"/>
  <c r="D2055" i="13"/>
  <c r="D2064" i="13"/>
  <c r="D2068" i="13"/>
  <c r="D2077" i="13"/>
  <c r="D2081" i="13"/>
  <c r="D2087" i="13"/>
  <c r="D2095" i="13"/>
  <c r="D2103" i="13"/>
  <c r="D2111" i="13"/>
  <c r="D2119" i="13"/>
  <c r="D2127" i="13"/>
  <c r="D2135" i="13"/>
  <c r="D2143" i="13"/>
  <c r="D2156" i="13"/>
  <c r="D2161" i="13"/>
  <c r="D2172" i="13"/>
  <c r="D2177" i="13"/>
  <c r="D2188" i="13"/>
  <c r="D2193" i="13"/>
  <c r="D2204" i="13"/>
  <c r="D2209" i="13"/>
  <c r="D2220" i="13"/>
  <c r="D2225" i="13"/>
  <c r="D2236" i="13"/>
  <c r="D2241" i="13"/>
  <c r="D2247" i="13"/>
  <c r="D2255" i="13"/>
  <c r="D2261" i="13"/>
  <c r="D2272" i="13"/>
  <c r="D2277" i="13"/>
  <c r="D2288" i="13"/>
  <c r="D2293" i="13"/>
  <c r="D2304" i="13"/>
  <c r="D2309" i="13"/>
  <c r="D2320" i="13"/>
  <c r="D2325" i="13"/>
  <c r="D2336" i="13"/>
  <c r="D2349" i="13"/>
  <c r="D2359" i="13"/>
  <c r="D2368" i="13"/>
  <c r="D2389" i="13"/>
  <c r="D2396" i="13"/>
  <c r="D2404" i="13"/>
  <c r="D2425" i="13"/>
  <c r="D2436" i="13"/>
  <c r="D2457" i="13"/>
  <c r="D2471" i="13"/>
  <c r="D2493" i="13"/>
  <c r="D2504" i="13"/>
  <c r="D2525" i="13"/>
  <c r="D2536" i="13"/>
  <c r="D2557" i="13"/>
  <c r="D2568" i="13"/>
  <c r="D2593" i="13"/>
  <c r="D2611" i="13"/>
  <c r="D2647" i="13"/>
  <c r="E1968" i="13"/>
  <c r="E1985" i="13"/>
  <c r="E1994" i="13"/>
  <c r="E2011" i="13"/>
  <c r="E2037" i="13"/>
  <c r="E2054" i="13"/>
  <c r="E2063" i="13"/>
  <c r="E2080" i="13"/>
  <c r="E2093" i="13"/>
  <c r="E2109" i="13"/>
  <c r="E2125" i="13"/>
  <c r="E2141" i="13"/>
  <c r="E2165" i="13"/>
  <c r="E2176" i="13"/>
  <c r="E2197" i="13"/>
  <c r="E2208" i="13"/>
  <c r="E2229" i="13"/>
  <c r="E2240" i="13"/>
  <c r="E2253" i="13"/>
  <c r="E2265" i="13"/>
  <c r="E2276" i="13"/>
  <c r="E2297" i="13"/>
  <c r="E2308" i="13"/>
  <c r="E2329" i="13"/>
  <c r="E2340" i="13"/>
  <c r="E2365" i="13"/>
  <c r="E2376" i="13"/>
  <c r="E2397" i="13"/>
  <c r="E2408" i="13"/>
  <c r="E2429" i="13"/>
  <c r="E2440" i="13"/>
  <c r="E2461" i="13"/>
  <c r="E2476" i="13"/>
  <c r="E2497" i="13"/>
  <c r="E2508" i="13"/>
  <c r="E2529" i="13"/>
  <c r="E2568" i="13"/>
  <c r="E2593" i="13"/>
  <c r="E2633" i="13"/>
  <c r="E2676" i="13"/>
  <c r="E2701" i="13"/>
  <c r="E2744" i="13"/>
  <c r="E2765" i="13"/>
  <c r="G15" i="13"/>
  <c r="G118" i="13"/>
  <c r="D2714" i="13"/>
  <c r="D2735" i="13"/>
  <c r="D2778" i="13"/>
  <c r="G83" i="13"/>
  <c r="E2603" i="13"/>
  <c r="E2646" i="13"/>
  <c r="E2667" i="13"/>
  <c r="E2714" i="13"/>
  <c r="E2735" i="13"/>
  <c r="D2600" i="13"/>
  <c r="G294" i="13"/>
  <c r="G95" i="13"/>
  <c r="G448" i="13"/>
  <c r="G61" i="13"/>
  <c r="G241" i="13"/>
  <c r="G174" i="13"/>
  <c r="G352" i="13"/>
  <c r="G607" i="13"/>
  <c r="G690" i="13"/>
  <c r="G1609" i="13"/>
  <c r="G912" i="13"/>
  <c r="L10" i="5"/>
  <c r="L52" i="5"/>
  <c r="L20" i="5"/>
  <c r="I11" i="10"/>
  <c r="L11" i="10" s="1"/>
  <c r="I17" i="12"/>
  <c r="AS17" i="12" s="1"/>
  <c r="L17" i="12" s="1"/>
  <c r="I14" i="10"/>
  <c r="L14" i="10" s="1"/>
  <c r="I10" i="10"/>
  <c r="L10" i="10" s="1"/>
  <c r="I13" i="10"/>
  <c r="L13" i="10" s="1"/>
  <c r="I10" i="7"/>
  <c r="L10" i="7" s="1"/>
  <c r="T10" i="7" l="1"/>
  <c r="Q10" i="7"/>
  <c r="R10" i="7" s="1"/>
  <c r="I271" i="16"/>
  <c r="J271" i="16"/>
  <c r="L271" i="16" s="1"/>
  <c r="J193" i="16"/>
  <c r="L193" i="16" s="1"/>
  <c r="I193" i="16"/>
  <c r="J451" i="16"/>
  <c r="L451" i="16" s="1"/>
  <c r="I451" i="16"/>
  <c r="J659" i="16"/>
  <c r="L659" i="16" s="1"/>
  <c r="I659" i="16"/>
  <c r="I141" i="16"/>
  <c r="J141" i="16"/>
  <c r="L141" i="16" s="1"/>
  <c r="J194" i="16"/>
  <c r="L194" i="16" s="1"/>
  <c r="I194" i="16"/>
  <c r="I211" i="16"/>
  <c r="J211" i="16"/>
  <c r="L211" i="16" s="1"/>
  <c r="J390" i="16"/>
  <c r="L390" i="16" s="1"/>
  <c r="I390" i="16"/>
  <c r="J566" i="16"/>
  <c r="L566" i="16" s="1"/>
  <c r="I566" i="16"/>
  <c r="I341" i="16"/>
  <c r="J341" i="16"/>
  <c r="L341" i="16" s="1"/>
  <c r="I533" i="16"/>
  <c r="J533" i="16"/>
  <c r="L533" i="16" s="1"/>
  <c r="J232" i="16"/>
  <c r="L232" i="16" s="1"/>
  <c r="I232" i="16"/>
  <c r="I456" i="16"/>
  <c r="J456" i="16"/>
  <c r="L456" i="16" s="1"/>
  <c r="J47" i="16"/>
  <c r="L47" i="16" s="1"/>
  <c r="I47" i="16"/>
  <c r="J182" i="16"/>
  <c r="L182" i="16" s="1"/>
  <c r="I182" i="16"/>
  <c r="J439" i="16"/>
  <c r="L439" i="16" s="1"/>
  <c r="I439" i="16"/>
  <c r="J503" i="16"/>
  <c r="L503" i="16" s="1"/>
  <c r="I503" i="16"/>
  <c r="J567" i="16"/>
  <c r="L567" i="16" s="1"/>
  <c r="I567" i="16"/>
  <c r="J631" i="16"/>
  <c r="L631" i="16" s="1"/>
  <c r="I631" i="16"/>
  <c r="J695" i="16"/>
  <c r="L695" i="16" s="1"/>
  <c r="I695" i="16"/>
  <c r="I49" i="16"/>
  <c r="J49" i="16"/>
  <c r="L49" i="16" s="1"/>
  <c r="I113" i="16"/>
  <c r="J113" i="16"/>
  <c r="L113" i="16" s="1"/>
  <c r="I174" i="16"/>
  <c r="J174" i="16"/>
  <c r="L174" i="16" s="1"/>
  <c r="I285" i="16"/>
  <c r="J285" i="16"/>
  <c r="L285" i="16" s="1"/>
  <c r="J147" i="16"/>
  <c r="L147" i="16" s="1"/>
  <c r="I147" i="16"/>
  <c r="I36" i="16"/>
  <c r="J36" i="16"/>
  <c r="L36" i="16" s="1"/>
  <c r="I100" i="16"/>
  <c r="J100" i="16"/>
  <c r="L100" i="16" s="1"/>
  <c r="J166" i="16"/>
  <c r="L166" i="16" s="1"/>
  <c r="I166" i="16"/>
  <c r="I225" i="16"/>
  <c r="J225" i="16"/>
  <c r="L225" i="16" s="1"/>
  <c r="I257" i="16"/>
  <c r="J257" i="16"/>
  <c r="L257" i="16" s="1"/>
  <c r="J314" i="16"/>
  <c r="L314" i="16" s="1"/>
  <c r="I314" i="16"/>
  <c r="J378" i="16"/>
  <c r="L378" i="16" s="1"/>
  <c r="I378" i="16"/>
  <c r="J442" i="16"/>
  <c r="L442" i="16" s="1"/>
  <c r="I442" i="16"/>
  <c r="J506" i="16"/>
  <c r="L506" i="16" s="1"/>
  <c r="I506" i="16"/>
  <c r="J570" i="16"/>
  <c r="L570" i="16" s="1"/>
  <c r="I570" i="16"/>
  <c r="J634" i="16"/>
  <c r="L634" i="16" s="1"/>
  <c r="I634" i="16"/>
  <c r="J698" i="16"/>
  <c r="L698" i="16" s="1"/>
  <c r="I698" i="16"/>
  <c r="I345" i="16"/>
  <c r="J345" i="16"/>
  <c r="L345" i="16" s="1"/>
  <c r="I409" i="16"/>
  <c r="J409" i="16"/>
  <c r="L409" i="16" s="1"/>
  <c r="I473" i="16"/>
  <c r="J473" i="16"/>
  <c r="L473" i="16" s="1"/>
  <c r="I537" i="16"/>
  <c r="J537" i="16"/>
  <c r="L537" i="16" s="1"/>
  <c r="I601" i="16"/>
  <c r="J601" i="16"/>
  <c r="L601" i="16" s="1"/>
  <c r="I665" i="16"/>
  <c r="J665" i="16"/>
  <c r="L665" i="16" s="1"/>
  <c r="J236" i="16"/>
  <c r="L236" i="16" s="1"/>
  <c r="I236" i="16"/>
  <c r="J300" i="16"/>
  <c r="L300" i="16" s="1"/>
  <c r="I300" i="16"/>
  <c r="J364" i="16"/>
  <c r="L364" i="16" s="1"/>
  <c r="I364" i="16"/>
  <c r="J428" i="16"/>
  <c r="L428" i="16" s="1"/>
  <c r="I428" i="16"/>
  <c r="J492" i="16"/>
  <c r="L492" i="16" s="1"/>
  <c r="I492" i="16"/>
  <c r="J556" i="16"/>
  <c r="L556" i="16" s="1"/>
  <c r="I556" i="16"/>
  <c r="J620" i="16"/>
  <c r="L620" i="16" s="1"/>
  <c r="I620" i="16"/>
  <c r="J684" i="16"/>
  <c r="L684" i="16" s="1"/>
  <c r="I684" i="16"/>
  <c r="J202" i="16"/>
  <c r="L202" i="16" s="1"/>
  <c r="I202" i="16"/>
  <c r="J146" i="16"/>
  <c r="L146" i="16" s="1"/>
  <c r="I146" i="16"/>
  <c r="J355" i="16"/>
  <c r="L355" i="16" s="1"/>
  <c r="I355" i="16"/>
  <c r="J531" i="16"/>
  <c r="L531" i="16" s="1"/>
  <c r="I531" i="16"/>
  <c r="J218" i="16"/>
  <c r="L218" i="16" s="1"/>
  <c r="I218" i="16"/>
  <c r="I265" i="16"/>
  <c r="J265" i="16"/>
  <c r="L265" i="16" s="1"/>
  <c r="I80" i="16"/>
  <c r="J80" i="16"/>
  <c r="L80" i="16" s="1"/>
  <c r="I239" i="16"/>
  <c r="J239" i="16"/>
  <c r="L239" i="16" s="1"/>
  <c r="J422" i="16"/>
  <c r="L422" i="16" s="1"/>
  <c r="I422" i="16"/>
  <c r="J646" i="16"/>
  <c r="L646" i="16" s="1"/>
  <c r="I646" i="16"/>
  <c r="I421" i="16"/>
  <c r="J421" i="16"/>
  <c r="L421" i="16" s="1"/>
  <c r="I613" i="16"/>
  <c r="J613" i="16"/>
  <c r="L613" i="16" s="1"/>
  <c r="J312" i="16"/>
  <c r="L312" i="16" s="1"/>
  <c r="I312" i="16"/>
  <c r="I488" i="16"/>
  <c r="J488" i="16"/>
  <c r="L488" i="16" s="1"/>
  <c r="I648" i="16"/>
  <c r="J648" i="16"/>
  <c r="L648" i="16" s="1"/>
  <c r="I275" i="16"/>
  <c r="J275" i="16"/>
  <c r="L275" i="16" s="1"/>
  <c r="J150" i="16"/>
  <c r="L150" i="16" s="1"/>
  <c r="I150" i="16"/>
  <c r="J359" i="16"/>
  <c r="L359" i="16" s="1"/>
  <c r="I359" i="16"/>
  <c r="J63" i="16"/>
  <c r="L63" i="16" s="1"/>
  <c r="I63" i="16"/>
  <c r="J169" i="16"/>
  <c r="L169" i="16" s="1"/>
  <c r="I169" i="16"/>
  <c r="J26" i="16"/>
  <c r="L26" i="16" s="1"/>
  <c r="I26" i="16"/>
  <c r="J90" i="16"/>
  <c r="L90" i="16" s="1"/>
  <c r="I90" i="16"/>
  <c r="J154" i="16"/>
  <c r="L154" i="16" s="1"/>
  <c r="I154" i="16"/>
  <c r="J217" i="16"/>
  <c r="L217" i="16" s="1"/>
  <c r="I217" i="16"/>
  <c r="J315" i="16"/>
  <c r="L315" i="16" s="1"/>
  <c r="I315" i="16"/>
  <c r="J379" i="16"/>
  <c r="L379" i="16" s="1"/>
  <c r="I379" i="16"/>
  <c r="J443" i="16"/>
  <c r="L443" i="16" s="1"/>
  <c r="I443" i="16"/>
  <c r="J507" i="16"/>
  <c r="L507" i="16" s="1"/>
  <c r="I507" i="16"/>
  <c r="J571" i="16"/>
  <c r="L571" i="16" s="1"/>
  <c r="I571" i="16"/>
  <c r="J635" i="16"/>
  <c r="L635" i="16" s="1"/>
  <c r="I635" i="16"/>
  <c r="J699" i="16"/>
  <c r="L699" i="16" s="1"/>
  <c r="I699" i="16"/>
  <c r="I53" i="16"/>
  <c r="J53" i="16"/>
  <c r="L53" i="16" s="1"/>
  <c r="I117" i="16"/>
  <c r="J117" i="16"/>
  <c r="L117" i="16" s="1"/>
  <c r="I181" i="16"/>
  <c r="J181" i="16"/>
  <c r="L181" i="16" s="1"/>
  <c r="I289" i="16"/>
  <c r="J289" i="16"/>
  <c r="L289" i="16" s="1"/>
  <c r="J172" i="16"/>
  <c r="L172" i="16" s="1"/>
  <c r="I172" i="16"/>
  <c r="I40" i="16"/>
  <c r="J40" i="16"/>
  <c r="L40" i="16" s="1"/>
  <c r="I104" i="16"/>
  <c r="J104" i="16"/>
  <c r="L104" i="16" s="1"/>
  <c r="I170" i="16"/>
  <c r="J170" i="16"/>
  <c r="L170" i="16" s="1"/>
  <c r="J227" i="16"/>
  <c r="L227" i="16" s="1"/>
  <c r="I227" i="16"/>
  <c r="I259" i="16"/>
  <c r="J259" i="16"/>
  <c r="L259" i="16" s="1"/>
  <c r="J318" i="16"/>
  <c r="L318" i="16" s="1"/>
  <c r="I318" i="16"/>
  <c r="J382" i="16"/>
  <c r="L382" i="16" s="1"/>
  <c r="I382" i="16"/>
  <c r="J446" i="16"/>
  <c r="L446" i="16" s="1"/>
  <c r="I446" i="16"/>
  <c r="J510" i="16"/>
  <c r="L510" i="16" s="1"/>
  <c r="I510" i="16"/>
  <c r="J574" i="16"/>
  <c r="L574" i="16" s="1"/>
  <c r="I574" i="16"/>
  <c r="J638" i="16"/>
  <c r="L638" i="16" s="1"/>
  <c r="I638" i="16"/>
  <c r="J702" i="16"/>
  <c r="L702" i="16" s="1"/>
  <c r="I702" i="16"/>
  <c r="I349" i="16"/>
  <c r="J349" i="16"/>
  <c r="L349" i="16" s="1"/>
  <c r="I413" i="16"/>
  <c r="J413" i="16"/>
  <c r="L413" i="16" s="1"/>
  <c r="I477" i="16"/>
  <c r="J477" i="16"/>
  <c r="L477" i="16" s="1"/>
  <c r="I541" i="16"/>
  <c r="J541" i="16"/>
  <c r="L541" i="16" s="1"/>
  <c r="I605" i="16"/>
  <c r="J605" i="16"/>
  <c r="L605" i="16" s="1"/>
  <c r="I669" i="16"/>
  <c r="J669" i="16"/>
  <c r="L669" i="16" s="1"/>
  <c r="J240" i="16"/>
  <c r="L240" i="16" s="1"/>
  <c r="I240" i="16"/>
  <c r="J304" i="16"/>
  <c r="L304" i="16" s="1"/>
  <c r="I304" i="16"/>
  <c r="J368" i="16"/>
  <c r="L368" i="16" s="1"/>
  <c r="I368" i="16"/>
  <c r="J432" i="16"/>
  <c r="L432" i="16" s="1"/>
  <c r="I432" i="16"/>
  <c r="J496" i="16"/>
  <c r="L496" i="16" s="1"/>
  <c r="I496" i="16"/>
  <c r="J560" i="16"/>
  <c r="L560" i="16" s="1"/>
  <c r="I560" i="16"/>
  <c r="J624" i="16"/>
  <c r="L624" i="16" s="1"/>
  <c r="I624" i="16"/>
  <c r="J688" i="16"/>
  <c r="L688" i="16" s="1"/>
  <c r="I688" i="16"/>
  <c r="I287" i="16"/>
  <c r="J287" i="16"/>
  <c r="L287" i="16" s="1"/>
  <c r="J209" i="16"/>
  <c r="L209" i="16" s="1"/>
  <c r="I209" i="16"/>
  <c r="J419" i="16"/>
  <c r="L419" i="16" s="1"/>
  <c r="I419" i="16"/>
  <c r="J595" i="16"/>
  <c r="L595" i="16" s="1"/>
  <c r="I595" i="16"/>
  <c r="I61" i="16"/>
  <c r="J61" i="16"/>
  <c r="L61" i="16" s="1"/>
  <c r="J23" i="16"/>
  <c r="L23" i="16" s="1"/>
  <c r="I23" i="16"/>
  <c r="I112" i="16"/>
  <c r="J112" i="16"/>
  <c r="L112" i="16" s="1"/>
  <c r="J255" i="16"/>
  <c r="L255" i="16" s="1"/>
  <c r="I255" i="16"/>
  <c r="J406" i="16"/>
  <c r="L406" i="16" s="1"/>
  <c r="I406" i="16"/>
  <c r="J582" i="16"/>
  <c r="L582" i="16" s="1"/>
  <c r="I582" i="16"/>
  <c r="I357" i="16"/>
  <c r="J357" i="16"/>
  <c r="L357" i="16" s="1"/>
  <c r="I549" i="16"/>
  <c r="J549" i="16"/>
  <c r="L549" i="16" s="1"/>
  <c r="J248" i="16"/>
  <c r="L248" i="16" s="1"/>
  <c r="I248" i="16"/>
  <c r="J424" i="16"/>
  <c r="L424" i="16" s="1"/>
  <c r="I424" i="16"/>
  <c r="J600" i="16"/>
  <c r="L600" i="16" s="1"/>
  <c r="I600" i="16"/>
  <c r="J111" i="16"/>
  <c r="L111" i="16" s="1"/>
  <c r="I111" i="16"/>
  <c r="J86" i="16"/>
  <c r="L86" i="16" s="1"/>
  <c r="I86" i="16"/>
  <c r="J246" i="16"/>
  <c r="L246" i="16" s="1"/>
  <c r="I246" i="16"/>
  <c r="J15" i="16"/>
  <c r="L15" i="16" s="1"/>
  <c r="I15" i="16"/>
  <c r="J135" i="16"/>
  <c r="L135" i="16" s="1"/>
  <c r="I135" i="16"/>
  <c r="I283" i="16"/>
  <c r="J283" i="16"/>
  <c r="L283" i="16" s="1"/>
  <c r="J62" i="16"/>
  <c r="L62" i="16" s="1"/>
  <c r="I62" i="16"/>
  <c r="J126" i="16"/>
  <c r="L126" i="16" s="1"/>
  <c r="I126" i="16"/>
  <c r="J189" i="16"/>
  <c r="L189" i="16" s="1"/>
  <c r="I189" i="16"/>
  <c r="J254" i="16"/>
  <c r="L254" i="16" s="1"/>
  <c r="I254" i="16"/>
  <c r="J351" i="16"/>
  <c r="L351" i="16" s="1"/>
  <c r="I351" i="16"/>
  <c r="J415" i="16"/>
  <c r="L415" i="16" s="1"/>
  <c r="I415" i="16"/>
  <c r="J479" i="16"/>
  <c r="L479" i="16" s="1"/>
  <c r="I479" i="16"/>
  <c r="J543" i="16"/>
  <c r="L543" i="16" s="1"/>
  <c r="I543" i="16"/>
  <c r="J607" i="16"/>
  <c r="L607" i="16" s="1"/>
  <c r="I607" i="16"/>
  <c r="J671" i="16"/>
  <c r="L671" i="16" s="1"/>
  <c r="I671" i="16"/>
  <c r="I21" i="16"/>
  <c r="J21" i="16"/>
  <c r="L21" i="16" s="1"/>
  <c r="I89" i="16"/>
  <c r="J89" i="16"/>
  <c r="L89" i="16" s="1"/>
  <c r="I153" i="16"/>
  <c r="J153" i="16"/>
  <c r="L153" i="16" s="1"/>
  <c r="I216" i="16"/>
  <c r="J216" i="16"/>
  <c r="L216" i="16" s="1"/>
  <c r="J91" i="16"/>
  <c r="L91" i="16" s="1"/>
  <c r="I91" i="16"/>
  <c r="I12" i="16"/>
  <c r="J12" i="16"/>
  <c r="L12" i="16" s="1"/>
  <c r="I76" i="16"/>
  <c r="J76" i="16"/>
  <c r="L76" i="16" s="1"/>
  <c r="I140" i="16"/>
  <c r="J140" i="16"/>
  <c r="L140" i="16" s="1"/>
  <c r="I207" i="16"/>
  <c r="J207" i="16"/>
  <c r="L207" i="16" s="1"/>
  <c r="I245" i="16"/>
  <c r="J245" i="16"/>
  <c r="L245" i="16" s="1"/>
  <c r="J290" i="16"/>
  <c r="L290" i="16" s="1"/>
  <c r="I290" i="16"/>
  <c r="J354" i="16"/>
  <c r="L354" i="16" s="1"/>
  <c r="I354" i="16"/>
  <c r="J418" i="16"/>
  <c r="L418" i="16" s="1"/>
  <c r="I418" i="16"/>
  <c r="J482" i="16"/>
  <c r="L482" i="16" s="1"/>
  <c r="I482" i="16"/>
  <c r="J546" i="16"/>
  <c r="L546" i="16" s="1"/>
  <c r="I546" i="16"/>
  <c r="J610" i="16"/>
  <c r="L610" i="16" s="1"/>
  <c r="I610" i="16"/>
  <c r="J674" i="16"/>
  <c r="L674" i="16" s="1"/>
  <c r="I674" i="16"/>
  <c r="I321" i="16"/>
  <c r="J321" i="16"/>
  <c r="L321" i="16" s="1"/>
  <c r="I385" i="16"/>
  <c r="J385" i="16"/>
  <c r="L385" i="16" s="1"/>
  <c r="I449" i="16"/>
  <c r="J449" i="16"/>
  <c r="L449" i="16" s="1"/>
  <c r="I513" i="16"/>
  <c r="J513" i="16"/>
  <c r="L513" i="16" s="1"/>
  <c r="I577" i="16"/>
  <c r="J577" i="16"/>
  <c r="L577" i="16" s="1"/>
  <c r="I641" i="16"/>
  <c r="J641" i="16"/>
  <c r="L641" i="16" s="1"/>
  <c r="I705" i="16"/>
  <c r="J705" i="16"/>
  <c r="L705" i="16" s="1"/>
  <c r="J276" i="16"/>
  <c r="L276" i="16" s="1"/>
  <c r="I276" i="16"/>
  <c r="J340" i="16"/>
  <c r="L340" i="16" s="1"/>
  <c r="I340" i="16"/>
  <c r="J404" i="16"/>
  <c r="L404" i="16" s="1"/>
  <c r="I404" i="16"/>
  <c r="J468" i="16"/>
  <c r="L468" i="16" s="1"/>
  <c r="I468" i="16"/>
  <c r="J532" i="16"/>
  <c r="L532" i="16" s="1"/>
  <c r="I532" i="16"/>
  <c r="J596" i="16"/>
  <c r="L596" i="16" s="1"/>
  <c r="I596" i="16"/>
  <c r="J660" i="16"/>
  <c r="L660" i="16" s="1"/>
  <c r="I660" i="16"/>
  <c r="J34" i="16"/>
  <c r="L34" i="16" s="1"/>
  <c r="I34" i="16"/>
  <c r="J242" i="16"/>
  <c r="L242" i="16" s="1"/>
  <c r="I242" i="16"/>
  <c r="J499" i="16"/>
  <c r="L499" i="16" s="1"/>
  <c r="I499" i="16"/>
  <c r="J707" i="16"/>
  <c r="L707" i="16" s="1"/>
  <c r="I707" i="16"/>
  <c r="I188" i="16"/>
  <c r="J188" i="16"/>
  <c r="L188" i="16" s="1"/>
  <c r="I48" i="16"/>
  <c r="J48" i="16"/>
  <c r="L48" i="16" s="1"/>
  <c r="I247" i="16"/>
  <c r="J247" i="16"/>
  <c r="L247" i="16" s="1"/>
  <c r="J438" i="16"/>
  <c r="L438" i="16" s="1"/>
  <c r="I438" i="16"/>
  <c r="J614" i="16"/>
  <c r="L614" i="16" s="1"/>
  <c r="I614" i="16"/>
  <c r="I389" i="16"/>
  <c r="J389" i="16"/>
  <c r="L389" i="16" s="1"/>
  <c r="I581" i="16"/>
  <c r="J581" i="16"/>
  <c r="L581" i="16" s="1"/>
  <c r="J280" i="16"/>
  <c r="L280" i="16" s="1"/>
  <c r="I280" i="16"/>
  <c r="J504" i="16"/>
  <c r="L504" i="16" s="1"/>
  <c r="I504" i="16"/>
  <c r="J206" i="16"/>
  <c r="L206" i="16" s="1"/>
  <c r="I206" i="16"/>
  <c r="J262" i="16"/>
  <c r="L262" i="16" s="1"/>
  <c r="I262" i="16"/>
  <c r="J455" i="16"/>
  <c r="L455" i="16" s="1"/>
  <c r="I455" i="16"/>
  <c r="J519" i="16"/>
  <c r="L519" i="16" s="1"/>
  <c r="I519" i="16"/>
  <c r="J583" i="16"/>
  <c r="L583" i="16" s="1"/>
  <c r="I583" i="16"/>
  <c r="J647" i="16"/>
  <c r="L647" i="16" s="1"/>
  <c r="I647" i="16"/>
  <c r="J711" i="16"/>
  <c r="L711" i="16" s="1"/>
  <c r="I711" i="16"/>
  <c r="I65" i="16"/>
  <c r="J65" i="16"/>
  <c r="L65" i="16" s="1"/>
  <c r="I129" i="16"/>
  <c r="J129" i="16"/>
  <c r="L129" i="16" s="1"/>
  <c r="I192" i="16"/>
  <c r="J192" i="16"/>
  <c r="L192" i="16" s="1"/>
  <c r="J51" i="16"/>
  <c r="L51" i="16" s="1"/>
  <c r="I51" i="16"/>
  <c r="J183" i="16"/>
  <c r="L183" i="16" s="1"/>
  <c r="I183" i="16"/>
  <c r="J52" i="16"/>
  <c r="L52" i="16" s="1"/>
  <c r="I52" i="16"/>
  <c r="J116" i="16"/>
  <c r="L116" i="16" s="1"/>
  <c r="I116" i="16"/>
  <c r="I180" i="16"/>
  <c r="J180" i="16"/>
  <c r="L180" i="16" s="1"/>
  <c r="I233" i="16"/>
  <c r="J233" i="16"/>
  <c r="L233" i="16" s="1"/>
  <c r="J266" i="16"/>
  <c r="L266" i="16" s="1"/>
  <c r="I266" i="16"/>
  <c r="J330" i="16"/>
  <c r="L330" i="16" s="1"/>
  <c r="I330" i="16"/>
  <c r="J394" i="16"/>
  <c r="L394" i="16" s="1"/>
  <c r="I394" i="16"/>
  <c r="J458" i="16"/>
  <c r="L458" i="16" s="1"/>
  <c r="I458" i="16"/>
  <c r="J522" i="16"/>
  <c r="L522" i="16" s="1"/>
  <c r="I522" i="16"/>
  <c r="J586" i="16"/>
  <c r="L586" i="16" s="1"/>
  <c r="I586" i="16"/>
  <c r="J650" i="16"/>
  <c r="L650" i="16" s="1"/>
  <c r="I650" i="16"/>
  <c r="I297" i="16"/>
  <c r="J297" i="16"/>
  <c r="L297" i="16" s="1"/>
  <c r="I361" i="16"/>
  <c r="J361" i="16"/>
  <c r="L361" i="16" s="1"/>
  <c r="I425" i="16"/>
  <c r="J425" i="16"/>
  <c r="L425" i="16" s="1"/>
  <c r="I489" i="16"/>
  <c r="J489" i="16"/>
  <c r="L489" i="16" s="1"/>
  <c r="I553" i="16"/>
  <c r="J553" i="16"/>
  <c r="L553" i="16" s="1"/>
  <c r="I617" i="16"/>
  <c r="J617" i="16"/>
  <c r="L617" i="16" s="1"/>
  <c r="I681" i="16"/>
  <c r="J681" i="16"/>
  <c r="L681" i="16" s="1"/>
  <c r="J252" i="16"/>
  <c r="L252" i="16" s="1"/>
  <c r="I252" i="16"/>
  <c r="J316" i="16"/>
  <c r="L316" i="16" s="1"/>
  <c r="I316" i="16"/>
  <c r="J380" i="16"/>
  <c r="L380" i="16" s="1"/>
  <c r="I380" i="16"/>
  <c r="J444" i="16"/>
  <c r="L444" i="16" s="1"/>
  <c r="I444" i="16"/>
  <c r="J508" i="16"/>
  <c r="L508" i="16" s="1"/>
  <c r="I508" i="16"/>
  <c r="J572" i="16"/>
  <c r="L572" i="16" s="1"/>
  <c r="I572" i="16"/>
  <c r="J636" i="16"/>
  <c r="L636" i="16" s="1"/>
  <c r="I636" i="16"/>
  <c r="J700" i="16"/>
  <c r="L700" i="16" s="1"/>
  <c r="I700" i="16"/>
  <c r="J18" i="16"/>
  <c r="L18" i="16" s="1"/>
  <c r="I18" i="16"/>
  <c r="J178" i="16"/>
  <c r="L178" i="16" s="1"/>
  <c r="I178" i="16"/>
  <c r="J403" i="16"/>
  <c r="L403" i="16" s="1"/>
  <c r="I403" i="16"/>
  <c r="J579" i="16"/>
  <c r="L579" i="16" s="1"/>
  <c r="I579" i="16"/>
  <c r="I77" i="16"/>
  <c r="J77" i="16"/>
  <c r="L77" i="16" s="1"/>
  <c r="J67" i="16"/>
  <c r="L67" i="16" s="1"/>
  <c r="I67" i="16"/>
  <c r="J128" i="16"/>
  <c r="L128" i="16" s="1"/>
  <c r="I128" i="16"/>
  <c r="J263" i="16"/>
  <c r="L263" i="16" s="1"/>
  <c r="I263" i="16"/>
  <c r="J486" i="16"/>
  <c r="L486" i="16" s="1"/>
  <c r="I486" i="16"/>
  <c r="J694" i="16"/>
  <c r="L694" i="16" s="1"/>
  <c r="I694" i="16"/>
  <c r="I469" i="16"/>
  <c r="J469" i="16"/>
  <c r="L469" i="16" s="1"/>
  <c r="I661" i="16"/>
  <c r="J661" i="16"/>
  <c r="L661" i="16" s="1"/>
  <c r="J360" i="16"/>
  <c r="L360" i="16" s="1"/>
  <c r="I360" i="16"/>
  <c r="J536" i="16"/>
  <c r="L536" i="16" s="1"/>
  <c r="I536" i="16"/>
  <c r="J696" i="16"/>
  <c r="L696" i="16" s="1"/>
  <c r="I696" i="16"/>
  <c r="J22" i="16"/>
  <c r="L22" i="16" s="1"/>
  <c r="I22" i="16"/>
  <c r="J197" i="16"/>
  <c r="L197" i="16" s="1"/>
  <c r="I197" i="16"/>
  <c r="J407" i="16"/>
  <c r="L407" i="16" s="1"/>
  <c r="I407" i="16"/>
  <c r="J95" i="16"/>
  <c r="L95" i="16" s="1"/>
  <c r="I95" i="16"/>
  <c r="J210" i="16"/>
  <c r="L210" i="16" s="1"/>
  <c r="I210" i="16"/>
  <c r="J42" i="16"/>
  <c r="L42" i="16" s="1"/>
  <c r="I42" i="16"/>
  <c r="J106" i="16"/>
  <c r="L106" i="16" s="1"/>
  <c r="I106" i="16"/>
  <c r="J168" i="16"/>
  <c r="L168" i="16" s="1"/>
  <c r="I168" i="16"/>
  <c r="J234" i="16"/>
  <c r="L234" i="16" s="1"/>
  <c r="I234" i="16"/>
  <c r="J331" i="16"/>
  <c r="L331" i="16" s="1"/>
  <c r="I331" i="16"/>
  <c r="J395" i="16"/>
  <c r="L395" i="16" s="1"/>
  <c r="I395" i="16"/>
  <c r="J459" i="16"/>
  <c r="L459" i="16" s="1"/>
  <c r="I459" i="16"/>
  <c r="J523" i="16"/>
  <c r="L523" i="16" s="1"/>
  <c r="I523" i="16"/>
  <c r="J587" i="16"/>
  <c r="L587" i="16" s="1"/>
  <c r="I587" i="16"/>
  <c r="J651" i="16"/>
  <c r="L651" i="16" s="1"/>
  <c r="I651" i="16"/>
  <c r="J27" i="16"/>
  <c r="L27" i="16" s="1"/>
  <c r="I27" i="16"/>
  <c r="I69" i="16"/>
  <c r="J69" i="16"/>
  <c r="L69" i="16" s="1"/>
  <c r="I133" i="16"/>
  <c r="J133" i="16"/>
  <c r="L133" i="16" s="1"/>
  <c r="I196" i="16"/>
  <c r="J196" i="16"/>
  <c r="L196" i="16" s="1"/>
  <c r="J55" i="16"/>
  <c r="L55" i="16" s="1"/>
  <c r="I55" i="16"/>
  <c r="J186" i="16"/>
  <c r="L186" i="16" s="1"/>
  <c r="I186" i="16"/>
  <c r="J56" i="16"/>
  <c r="L56" i="16" s="1"/>
  <c r="I56" i="16"/>
  <c r="J120" i="16"/>
  <c r="L120" i="16" s="1"/>
  <c r="I120" i="16"/>
  <c r="J187" i="16"/>
  <c r="L187" i="16" s="1"/>
  <c r="I187" i="16"/>
  <c r="J235" i="16"/>
  <c r="L235" i="16" s="1"/>
  <c r="I235" i="16"/>
  <c r="J270" i="16"/>
  <c r="L270" i="16" s="1"/>
  <c r="I270" i="16"/>
  <c r="J334" i="16"/>
  <c r="L334" i="16" s="1"/>
  <c r="I334" i="16"/>
  <c r="J398" i="16"/>
  <c r="L398" i="16" s="1"/>
  <c r="I398" i="16"/>
  <c r="J462" i="16"/>
  <c r="L462" i="16" s="1"/>
  <c r="I462" i="16"/>
  <c r="J526" i="16"/>
  <c r="L526" i="16" s="1"/>
  <c r="I526" i="16"/>
  <c r="J590" i="16"/>
  <c r="L590" i="16" s="1"/>
  <c r="I590" i="16"/>
  <c r="J654" i="16"/>
  <c r="L654" i="16" s="1"/>
  <c r="I654" i="16"/>
  <c r="I301" i="16"/>
  <c r="J301" i="16"/>
  <c r="L301" i="16" s="1"/>
  <c r="I365" i="16"/>
  <c r="J365" i="16"/>
  <c r="L365" i="16" s="1"/>
  <c r="I429" i="16"/>
  <c r="J429" i="16"/>
  <c r="L429" i="16" s="1"/>
  <c r="I493" i="16"/>
  <c r="J493" i="16"/>
  <c r="L493" i="16" s="1"/>
  <c r="I557" i="16"/>
  <c r="J557" i="16"/>
  <c r="L557" i="16" s="1"/>
  <c r="I621" i="16"/>
  <c r="J621" i="16"/>
  <c r="L621" i="16" s="1"/>
  <c r="I685" i="16"/>
  <c r="J685" i="16"/>
  <c r="L685" i="16" s="1"/>
  <c r="J256" i="16"/>
  <c r="L256" i="16" s="1"/>
  <c r="I256" i="16"/>
  <c r="J320" i="16"/>
  <c r="L320" i="16" s="1"/>
  <c r="I320" i="16"/>
  <c r="J384" i="16"/>
  <c r="L384" i="16" s="1"/>
  <c r="I384" i="16"/>
  <c r="J448" i="16"/>
  <c r="L448" i="16" s="1"/>
  <c r="I448" i="16"/>
  <c r="J512" i="16"/>
  <c r="L512" i="16" s="1"/>
  <c r="I512" i="16"/>
  <c r="J576" i="16"/>
  <c r="L576" i="16" s="1"/>
  <c r="I576" i="16"/>
  <c r="J640" i="16"/>
  <c r="L640" i="16" s="1"/>
  <c r="I640" i="16"/>
  <c r="J704" i="16"/>
  <c r="L704" i="16" s="1"/>
  <c r="I704" i="16"/>
  <c r="J50" i="16"/>
  <c r="L50" i="16" s="1"/>
  <c r="I50" i="16"/>
  <c r="J258" i="16"/>
  <c r="L258" i="16" s="1"/>
  <c r="I258" i="16"/>
  <c r="J467" i="16"/>
  <c r="L467" i="16" s="1"/>
  <c r="I467" i="16"/>
  <c r="J627" i="16"/>
  <c r="L627" i="16" s="1"/>
  <c r="I627" i="16"/>
  <c r="I109" i="16"/>
  <c r="J109" i="16"/>
  <c r="L109" i="16" s="1"/>
  <c r="J127" i="16"/>
  <c r="L127" i="16" s="1"/>
  <c r="I127" i="16"/>
  <c r="I163" i="16"/>
  <c r="J163" i="16"/>
  <c r="L163" i="16" s="1"/>
  <c r="J294" i="16"/>
  <c r="L294" i="16" s="1"/>
  <c r="I294" i="16"/>
  <c r="J454" i="16"/>
  <c r="L454" i="16" s="1"/>
  <c r="I454" i="16"/>
  <c r="J630" i="16"/>
  <c r="L630" i="16" s="1"/>
  <c r="I630" i="16"/>
  <c r="I405" i="16"/>
  <c r="J405" i="16"/>
  <c r="L405" i="16" s="1"/>
  <c r="I597" i="16"/>
  <c r="J597" i="16"/>
  <c r="L597" i="16" s="1"/>
  <c r="J296" i="16"/>
  <c r="L296" i="16" s="1"/>
  <c r="I296" i="16"/>
  <c r="J472" i="16"/>
  <c r="L472" i="16" s="1"/>
  <c r="I472" i="16"/>
  <c r="J632" i="16"/>
  <c r="L632" i="16" s="1"/>
  <c r="I632" i="16"/>
  <c r="J162" i="16"/>
  <c r="L162" i="16" s="1"/>
  <c r="I162" i="16"/>
  <c r="J134" i="16"/>
  <c r="L134" i="16" s="1"/>
  <c r="I134" i="16"/>
  <c r="J327" i="16"/>
  <c r="L327" i="16" s="1"/>
  <c r="I327" i="16"/>
  <c r="J39" i="16"/>
  <c r="L39" i="16" s="1"/>
  <c r="I39" i="16"/>
  <c r="J155" i="16"/>
  <c r="L155" i="16" s="1"/>
  <c r="I155" i="16"/>
  <c r="J14" i="16"/>
  <c r="L14" i="16" s="1"/>
  <c r="I14" i="16"/>
  <c r="J78" i="16"/>
  <c r="L78" i="16" s="1"/>
  <c r="I78" i="16"/>
  <c r="J142" i="16"/>
  <c r="L142" i="16" s="1"/>
  <c r="I142" i="16"/>
  <c r="J205" i="16"/>
  <c r="L205" i="16" s="1"/>
  <c r="I205" i="16"/>
  <c r="J303" i="16"/>
  <c r="L303" i="16" s="1"/>
  <c r="I303" i="16"/>
  <c r="J367" i="16"/>
  <c r="L367" i="16" s="1"/>
  <c r="I367" i="16"/>
  <c r="J431" i="16"/>
  <c r="L431" i="16" s="1"/>
  <c r="I431" i="16"/>
  <c r="J495" i="16"/>
  <c r="L495" i="16" s="1"/>
  <c r="I495" i="16"/>
  <c r="J559" i="16"/>
  <c r="L559" i="16" s="1"/>
  <c r="I559" i="16"/>
  <c r="J623" i="16"/>
  <c r="L623" i="16" s="1"/>
  <c r="I623" i="16"/>
  <c r="J687" i="16"/>
  <c r="L687" i="16" s="1"/>
  <c r="I687" i="16"/>
  <c r="I41" i="16"/>
  <c r="J41" i="16"/>
  <c r="L41" i="16" s="1"/>
  <c r="I105" i="16"/>
  <c r="J105" i="16"/>
  <c r="L105" i="16" s="1"/>
  <c r="I167" i="16"/>
  <c r="J167" i="16"/>
  <c r="L167" i="16" s="1"/>
  <c r="I277" i="16"/>
  <c r="J277" i="16"/>
  <c r="L277" i="16" s="1"/>
  <c r="J123" i="16"/>
  <c r="L123" i="16" s="1"/>
  <c r="I123" i="16"/>
  <c r="I28" i="16"/>
  <c r="J28" i="16"/>
  <c r="L28" i="16" s="1"/>
  <c r="I92" i="16"/>
  <c r="J92" i="16"/>
  <c r="L92" i="16" s="1"/>
  <c r="I156" i="16"/>
  <c r="J156" i="16"/>
  <c r="L156" i="16" s="1"/>
  <c r="I221" i="16"/>
  <c r="J221" i="16"/>
  <c r="L221" i="16" s="1"/>
  <c r="I253" i="16"/>
  <c r="J253" i="16"/>
  <c r="L253" i="16" s="1"/>
  <c r="J306" i="16"/>
  <c r="L306" i="16" s="1"/>
  <c r="I306" i="16"/>
  <c r="J370" i="16"/>
  <c r="L370" i="16" s="1"/>
  <c r="I370" i="16"/>
  <c r="J434" i="16"/>
  <c r="L434" i="16" s="1"/>
  <c r="I434" i="16"/>
  <c r="J498" i="16"/>
  <c r="L498" i="16" s="1"/>
  <c r="I498" i="16"/>
  <c r="J562" i="16"/>
  <c r="L562" i="16" s="1"/>
  <c r="I562" i="16"/>
  <c r="J626" i="16"/>
  <c r="L626" i="16" s="1"/>
  <c r="I626" i="16"/>
  <c r="J690" i="16"/>
  <c r="L690" i="16" s="1"/>
  <c r="I690" i="16"/>
  <c r="I337" i="16"/>
  <c r="J337" i="16"/>
  <c r="L337" i="16" s="1"/>
  <c r="I401" i="16"/>
  <c r="J401" i="16"/>
  <c r="L401" i="16" s="1"/>
  <c r="I465" i="16"/>
  <c r="J465" i="16"/>
  <c r="L465" i="16" s="1"/>
  <c r="I529" i="16"/>
  <c r="J529" i="16"/>
  <c r="L529" i="16" s="1"/>
  <c r="I593" i="16"/>
  <c r="J593" i="16"/>
  <c r="L593" i="16" s="1"/>
  <c r="I657" i="16"/>
  <c r="J657" i="16"/>
  <c r="L657" i="16" s="1"/>
  <c r="J228" i="16"/>
  <c r="L228" i="16" s="1"/>
  <c r="I228" i="16"/>
  <c r="J292" i="16"/>
  <c r="L292" i="16" s="1"/>
  <c r="I292" i="16"/>
  <c r="J356" i="16"/>
  <c r="L356" i="16" s="1"/>
  <c r="I356" i="16"/>
  <c r="J420" i="16"/>
  <c r="L420" i="16" s="1"/>
  <c r="I420" i="16"/>
  <c r="J484" i="16"/>
  <c r="L484" i="16" s="1"/>
  <c r="I484" i="16"/>
  <c r="J548" i="16"/>
  <c r="L548" i="16" s="1"/>
  <c r="I548" i="16"/>
  <c r="J612" i="16"/>
  <c r="L612" i="16" s="1"/>
  <c r="I612" i="16"/>
  <c r="J676" i="16"/>
  <c r="L676" i="16" s="1"/>
  <c r="I676" i="16"/>
  <c r="J43" i="16"/>
  <c r="L43" i="16" s="1"/>
  <c r="I43" i="16"/>
  <c r="J82" i="16"/>
  <c r="L82" i="16" s="1"/>
  <c r="I82" i="16"/>
  <c r="J323" i="16"/>
  <c r="L323" i="16" s="1"/>
  <c r="I323" i="16"/>
  <c r="J547" i="16"/>
  <c r="L547" i="16" s="1"/>
  <c r="I547" i="16"/>
  <c r="I45" i="16"/>
  <c r="J45" i="16"/>
  <c r="L45" i="16" s="1"/>
  <c r="I281" i="16"/>
  <c r="J281" i="16"/>
  <c r="L281" i="16" s="1"/>
  <c r="I96" i="16"/>
  <c r="J96" i="16"/>
  <c r="L96" i="16" s="1"/>
  <c r="J278" i="16"/>
  <c r="L278" i="16" s="1"/>
  <c r="I278" i="16"/>
  <c r="J470" i="16"/>
  <c r="L470" i="16" s="1"/>
  <c r="I470" i="16"/>
  <c r="J662" i="16"/>
  <c r="L662" i="16" s="1"/>
  <c r="I662" i="16"/>
  <c r="I437" i="16"/>
  <c r="J437" i="16"/>
  <c r="L437" i="16" s="1"/>
  <c r="I629" i="16"/>
  <c r="J629" i="16"/>
  <c r="L629" i="16" s="1"/>
  <c r="J328" i="16"/>
  <c r="L328" i="16" s="1"/>
  <c r="I328" i="16"/>
  <c r="I552" i="16"/>
  <c r="J552" i="16"/>
  <c r="L552" i="16" s="1"/>
  <c r="J38" i="16"/>
  <c r="L38" i="16" s="1"/>
  <c r="I38" i="16"/>
  <c r="J343" i="16"/>
  <c r="L343" i="16" s="1"/>
  <c r="I343" i="16"/>
  <c r="J471" i="16"/>
  <c r="L471" i="16" s="1"/>
  <c r="I471" i="16"/>
  <c r="J535" i="16"/>
  <c r="L535" i="16" s="1"/>
  <c r="I535" i="16"/>
  <c r="J599" i="16"/>
  <c r="L599" i="16" s="1"/>
  <c r="I599" i="16"/>
  <c r="J663" i="16"/>
  <c r="L663" i="16" s="1"/>
  <c r="I663" i="16"/>
  <c r="I13" i="16"/>
  <c r="J13" i="16"/>
  <c r="L13" i="16" s="1"/>
  <c r="I81" i="16"/>
  <c r="J81" i="16"/>
  <c r="L81" i="16" s="1"/>
  <c r="I145" i="16"/>
  <c r="J145" i="16"/>
  <c r="L145" i="16" s="1"/>
  <c r="I208" i="16"/>
  <c r="J208" i="16"/>
  <c r="L208" i="16" s="1"/>
  <c r="J71" i="16"/>
  <c r="L71" i="16" s="1"/>
  <c r="I71" i="16"/>
  <c r="I291" i="16"/>
  <c r="J291" i="16"/>
  <c r="L291" i="16" s="1"/>
  <c r="J68" i="16"/>
  <c r="L68" i="16" s="1"/>
  <c r="I68" i="16"/>
  <c r="I132" i="16"/>
  <c r="J132" i="16"/>
  <c r="L132" i="16" s="1"/>
  <c r="I199" i="16"/>
  <c r="J199" i="16"/>
  <c r="L199" i="16" s="1"/>
  <c r="I241" i="16"/>
  <c r="J241" i="16"/>
  <c r="L241" i="16" s="1"/>
  <c r="J282" i="16"/>
  <c r="L282" i="16" s="1"/>
  <c r="I282" i="16"/>
  <c r="J346" i="16"/>
  <c r="L346" i="16" s="1"/>
  <c r="I346" i="16"/>
  <c r="J410" i="16"/>
  <c r="L410" i="16" s="1"/>
  <c r="I410" i="16"/>
  <c r="J474" i="16"/>
  <c r="L474" i="16" s="1"/>
  <c r="I474" i="16"/>
  <c r="J538" i="16"/>
  <c r="L538" i="16" s="1"/>
  <c r="I538" i="16"/>
  <c r="J602" i="16"/>
  <c r="L602" i="16" s="1"/>
  <c r="I602" i="16"/>
  <c r="J666" i="16"/>
  <c r="L666" i="16" s="1"/>
  <c r="I666" i="16"/>
  <c r="I313" i="16"/>
  <c r="J313" i="16"/>
  <c r="L313" i="16" s="1"/>
  <c r="I377" i="16"/>
  <c r="J377" i="16"/>
  <c r="L377" i="16" s="1"/>
  <c r="I441" i="16"/>
  <c r="J441" i="16"/>
  <c r="L441" i="16" s="1"/>
  <c r="I505" i="16"/>
  <c r="J505" i="16"/>
  <c r="L505" i="16" s="1"/>
  <c r="I569" i="16"/>
  <c r="J569" i="16"/>
  <c r="L569" i="16" s="1"/>
  <c r="I633" i="16"/>
  <c r="J633" i="16"/>
  <c r="L633" i="16" s="1"/>
  <c r="I697" i="16"/>
  <c r="J697" i="16"/>
  <c r="L697" i="16" s="1"/>
  <c r="J268" i="16"/>
  <c r="L268" i="16" s="1"/>
  <c r="I268" i="16"/>
  <c r="J332" i="16"/>
  <c r="L332" i="16" s="1"/>
  <c r="I332" i="16"/>
  <c r="J396" i="16"/>
  <c r="L396" i="16" s="1"/>
  <c r="I396" i="16"/>
  <c r="J460" i="16"/>
  <c r="L460" i="16" s="1"/>
  <c r="I460" i="16"/>
  <c r="J524" i="16"/>
  <c r="L524" i="16" s="1"/>
  <c r="I524" i="16"/>
  <c r="J588" i="16"/>
  <c r="L588" i="16" s="1"/>
  <c r="I588" i="16"/>
  <c r="J652" i="16"/>
  <c r="L652" i="16" s="1"/>
  <c r="I652" i="16"/>
  <c r="J19" i="16"/>
  <c r="L19" i="16" s="1"/>
  <c r="I19" i="16"/>
  <c r="J66" i="16"/>
  <c r="L66" i="16" s="1"/>
  <c r="I66" i="16"/>
  <c r="J226" i="16"/>
  <c r="L226" i="16" s="1"/>
  <c r="I226" i="16"/>
  <c r="J435" i="16"/>
  <c r="L435" i="16" s="1"/>
  <c r="I435" i="16"/>
  <c r="J643" i="16"/>
  <c r="L643" i="16" s="1"/>
  <c r="I643" i="16"/>
  <c r="I125" i="16"/>
  <c r="J125" i="16"/>
  <c r="L125" i="16" s="1"/>
  <c r="J179" i="16"/>
  <c r="L179" i="16" s="1"/>
  <c r="I179" i="16"/>
  <c r="I177" i="16"/>
  <c r="J177" i="16"/>
  <c r="L177" i="16" s="1"/>
  <c r="J310" i="16"/>
  <c r="L310" i="16" s="1"/>
  <c r="I310" i="16"/>
  <c r="J534" i="16"/>
  <c r="L534" i="16" s="1"/>
  <c r="I534" i="16"/>
  <c r="I325" i="16"/>
  <c r="J325" i="16"/>
  <c r="L325" i="16" s="1"/>
  <c r="I501" i="16"/>
  <c r="J501" i="16"/>
  <c r="L501" i="16" s="1"/>
  <c r="I709" i="16"/>
  <c r="J709" i="16"/>
  <c r="L709" i="16" s="1"/>
  <c r="J408" i="16"/>
  <c r="L408" i="16" s="1"/>
  <c r="I408" i="16"/>
  <c r="J584" i="16"/>
  <c r="L584" i="16" s="1"/>
  <c r="I584" i="16"/>
  <c r="J83" i="16"/>
  <c r="L83" i="16" s="1"/>
  <c r="I83" i="16"/>
  <c r="J70" i="16"/>
  <c r="L70" i="16" s="1"/>
  <c r="I70" i="16"/>
  <c r="J230" i="16"/>
  <c r="L230" i="16" s="1"/>
  <c r="I230" i="16"/>
  <c r="J11" i="16"/>
  <c r="L11" i="16" s="1"/>
  <c r="I11" i="16"/>
  <c r="J131" i="16"/>
  <c r="L131" i="16" s="1"/>
  <c r="I131" i="16"/>
  <c r="I279" i="16"/>
  <c r="J279" i="16"/>
  <c r="L279" i="16" s="1"/>
  <c r="J58" i="16"/>
  <c r="L58" i="16" s="1"/>
  <c r="I58" i="16"/>
  <c r="J122" i="16"/>
  <c r="L122" i="16" s="1"/>
  <c r="I122" i="16"/>
  <c r="J185" i="16"/>
  <c r="L185" i="16" s="1"/>
  <c r="I185" i="16"/>
  <c r="J250" i="16"/>
  <c r="L250" i="16" s="1"/>
  <c r="I250" i="16"/>
  <c r="J347" i="16"/>
  <c r="L347" i="16" s="1"/>
  <c r="I347" i="16"/>
  <c r="J411" i="16"/>
  <c r="L411" i="16" s="1"/>
  <c r="I411" i="16"/>
  <c r="J475" i="16"/>
  <c r="L475" i="16" s="1"/>
  <c r="I475" i="16"/>
  <c r="J539" i="16"/>
  <c r="L539" i="16" s="1"/>
  <c r="I539" i="16"/>
  <c r="J603" i="16"/>
  <c r="L603" i="16" s="1"/>
  <c r="I603" i="16"/>
  <c r="J667" i="16"/>
  <c r="L667" i="16" s="1"/>
  <c r="I667" i="16"/>
  <c r="I17" i="16"/>
  <c r="J17" i="16"/>
  <c r="L17" i="16" s="1"/>
  <c r="I85" i="16"/>
  <c r="J85" i="16"/>
  <c r="L85" i="16" s="1"/>
  <c r="I149" i="16"/>
  <c r="J149" i="16"/>
  <c r="L149" i="16" s="1"/>
  <c r="I212" i="16"/>
  <c r="J212" i="16"/>
  <c r="L212" i="16" s="1"/>
  <c r="J87" i="16"/>
  <c r="L87" i="16" s="1"/>
  <c r="I87" i="16"/>
  <c r="I33" i="16"/>
  <c r="J33" i="16"/>
  <c r="L33" i="16" s="1"/>
  <c r="J72" i="16"/>
  <c r="L72" i="16" s="1"/>
  <c r="I72" i="16"/>
  <c r="I136" i="16"/>
  <c r="J136" i="16"/>
  <c r="L136" i="16" s="1"/>
  <c r="I203" i="16"/>
  <c r="J203" i="16"/>
  <c r="L203" i="16" s="1"/>
  <c r="J243" i="16"/>
  <c r="L243" i="16" s="1"/>
  <c r="I243" i="16"/>
  <c r="J286" i="16"/>
  <c r="L286" i="16" s="1"/>
  <c r="I286" i="16"/>
  <c r="J350" i="16"/>
  <c r="L350" i="16" s="1"/>
  <c r="I350" i="16"/>
  <c r="J414" i="16"/>
  <c r="L414" i="16" s="1"/>
  <c r="I414" i="16"/>
  <c r="J478" i="16"/>
  <c r="L478" i="16" s="1"/>
  <c r="I478" i="16"/>
  <c r="J542" i="16"/>
  <c r="L542" i="16" s="1"/>
  <c r="I542" i="16"/>
  <c r="J606" i="16"/>
  <c r="L606" i="16" s="1"/>
  <c r="I606" i="16"/>
  <c r="J670" i="16"/>
  <c r="L670" i="16" s="1"/>
  <c r="I670" i="16"/>
  <c r="I317" i="16"/>
  <c r="J317" i="16"/>
  <c r="L317" i="16" s="1"/>
  <c r="I381" i="16"/>
  <c r="J381" i="16"/>
  <c r="L381" i="16" s="1"/>
  <c r="I445" i="16"/>
  <c r="J445" i="16"/>
  <c r="L445" i="16" s="1"/>
  <c r="I509" i="16"/>
  <c r="J509" i="16"/>
  <c r="L509" i="16" s="1"/>
  <c r="I573" i="16"/>
  <c r="J573" i="16"/>
  <c r="L573" i="16" s="1"/>
  <c r="I637" i="16"/>
  <c r="J637" i="16"/>
  <c r="L637" i="16" s="1"/>
  <c r="I701" i="16"/>
  <c r="J701" i="16"/>
  <c r="L701" i="16" s="1"/>
  <c r="J272" i="16"/>
  <c r="L272" i="16" s="1"/>
  <c r="I272" i="16"/>
  <c r="J336" i="16"/>
  <c r="L336" i="16" s="1"/>
  <c r="I336" i="16"/>
  <c r="J400" i="16"/>
  <c r="L400" i="16" s="1"/>
  <c r="I400" i="16"/>
  <c r="J464" i="16"/>
  <c r="L464" i="16" s="1"/>
  <c r="I464" i="16"/>
  <c r="J528" i="16"/>
  <c r="L528" i="16" s="1"/>
  <c r="I528" i="16"/>
  <c r="J592" i="16"/>
  <c r="L592" i="16" s="1"/>
  <c r="I592" i="16"/>
  <c r="J656" i="16"/>
  <c r="L656" i="16" s="1"/>
  <c r="I656" i="16"/>
  <c r="J79" i="16"/>
  <c r="L79" i="16" s="1"/>
  <c r="I79" i="16"/>
  <c r="J98" i="16"/>
  <c r="L98" i="16" s="1"/>
  <c r="I98" i="16"/>
  <c r="J339" i="16"/>
  <c r="L339" i="16" s="1"/>
  <c r="I339" i="16"/>
  <c r="J515" i="16"/>
  <c r="L515" i="16" s="1"/>
  <c r="I515" i="16"/>
  <c r="J675" i="16"/>
  <c r="L675" i="16" s="1"/>
  <c r="I675" i="16"/>
  <c r="I171" i="16"/>
  <c r="J171" i="16"/>
  <c r="L171" i="16" s="1"/>
  <c r="I16" i="16"/>
  <c r="J16" i="16"/>
  <c r="L16" i="16" s="1"/>
  <c r="I195" i="16"/>
  <c r="J195" i="16"/>
  <c r="L195" i="16" s="1"/>
  <c r="J342" i="16"/>
  <c r="L342" i="16" s="1"/>
  <c r="I342" i="16"/>
  <c r="J502" i="16"/>
  <c r="L502" i="16" s="1"/>
  <c r="I502" i="16"/>
  <c r="J678" i="16"/>
  <c r="L678" i="16" s="1"/>
  <c r="I678" i="16"/>
  <c r="I453" i="16"/>
  <c r="J453" i="16"/>
  <c r="L453" i="16" s="1"/>
  <c r="I645" i="16"/>
  <c r="J645" i="16"/>
  <c r="L645" i="16" s="1"/>
  <c r="J344" i="16"/>
  <c r="L344" i="16" s="1"/>
  <c r="I344" i="16"/>
  <c r="J520" i="16"/>
  <c r="L520" i="16" s="1"/>
  <c r="I520" i="16"/>
  <c r="J680" i="16"/>
  <c r="L680" i="16" s="1"/>
  <c r="I680" i="16"/>
  <c r="I295" i="16"/>
  <c r="J295" i="16"/>
  <c r="L295" i="16" s="1"/>
  <c r="J165" i="16"/>
  <c r="L165" i="16" s="1"/>
  <c r="I165" i="16"/>
  <c r="J375" i="16"/>
  <c r="L375" i="16" s="1"/>
  <c r="I375" i="16"/>
  <c r="J75" i="16"/>
  <c r="L75" i="16" s="1"/>
  <c r="I75" i="16"/>
  <c r="J198" i="16"/>
  <c r="L198" i="16" s="1"/>
  <c r="I198" i="16"/>
  <c r="J30" i="16"/>
  <c r="L30" i="16" s="1"/>
  <c r="I30" i="16"/>
  <c r="J94" i="16"/>
  <c r="L94" i="16" s="1"/>
  <c r="I94" i="16"/>
  <c r="J158" i="16"/>
  <c r="L158" i="16" s="1"/>
  <c r="I158" i="16"/>
  <c r="J222" i="16"/>
  <c r="L222" i="16" s="1"/>
  <c r="I222" i="16"/>
  <c r="J319" i="16"/>
  <c r="L319" i="16" s="1"/>
  <c r="I319" i="16"/>
  <c r="J383" i="16"/>
  <c r="L383" i="16" s="1"/>
  <c r="I383" i="16"/>
  <c r="J447" i="16"/>
  <c r="L447" i="16" s="1"/>
  <c r="I447" i="16"/>
  <c r="J511" i="16"/>
  <c r="L511" i="16" s="1"/>
  <c r="I511" i="16"/>
  <c r="J575" i="16"/>
  <c r="L575" i="16" s="1"/>
  <c r="I575" i="16"/>
  <c r="J639" i="16"/>
  <c r="L639" i="16" s="1"/>
  <c r="I639" i="16"/>
  <c r="J703" i="16"/>
  <c r="L703" i="16" s="1"/>
  <c r="I703" i="16"/>
  <c r="I57" i="16"/>
  <c r="J57" i="16"/>
  <c r="L57" i="16" s="1"/>
  <c r="I121" i="16"/>
  <c r="J121" i="16"/>
  <c r="L121" i="16" s="1"/>
  <c r="I184" i="16"/>
  <c r="J184" i="16"/>
  <c r="L184" i="16" s="1"/>
  <c r="I293" i="16"/>
  <c r="J293" i="16"/>
  <c r="L293" i="16" s="1"/>
  <c r="J176" i="16"/>
  <c r="L176" i="16" s="1"/>
  <c r="I176" i="16"/>
  <c r="I44" i="16"/>
  <c r="J44" i="16"/>
  <c r="L44" i="16" s="1"/>
  <c r="J108" i="16"/>
  <c r="L108" i="16" s="1"/>
  <c r="I108" i="16"/>
  <c r="J173" i="16"/>
  <c r="L173" i="16" s="1"/>
  <c r="I173" i="16"/>
  <c r="I229" i="16"/>
  <c r="J229" i="16"/>
  <c r="L229" i="16" s="1"/>
  <c r="I261" i="16"/>
  <c r="J261" i="16"/>
  <c r="L261" i="16" s="1"/>
  <c r="J322" i="16"/>
  <c r="L322" i="16" s="1"/>
  <c r="I322" i="16"/>
  <c r="J386" i="16"/>
  <c r="L386" i="16" s="1"/>
  <c r="I386" i="16"/>
  <c r="J450" i="16"/>
  <c r="L450" i="16" s="1"/>
  <c r="I450" i="16"/>
  <c r="J514" i="16"/>
  <c r="L514" i="16" s="1"/>
  <c r="I514" i="16"/>
  <c r="J578" i="16"/>
  <c r="L578" i="16" s="1"/>
  <c r="I578" i="16"/>
  <c r="J642" i="16"/>
  <c r="L642" i="16" s="1"/>
  <c r="I642" i="16"/>
  <c r="J706" i="16"/>
  <c r="L706" i="16" s="1"/>
  <c r="I706" i="16"/>
  <c r="I353" i="16"/>
  <c r="J353" i="16"/>
  <c r="L353" i="16" s="1"/>
  <c r="I417" i="16"/>
  <c r="J417" i="16"/>
  <c r="L417" i="16" s="1"/>
  <c r="I481" i="16"/>
  <c r="J481" i="16"/>
  <c r="L481" i="16" s="1"/>
  <c r="I545" i="16"/>
  <c r="J545" i="16"/>
  <c r="L545" i="16" s="1"/>
  <c r="I609" i="16"/>
  <c r="J609" i="16"/>
  <c r="L609" i="16" s="1"/>
  <c r="I673" i="16"/>
  <c r="J673" i="16"/>
  <c r="L673" i="16" s="1"/>
  <c r="J244" i="16"/>
  <c r="L244" i="16" s="1"/>
  <c r="I244" i="16"/>
  <c r="J308" i="16"/>
  <c r="L308" i="16" s="1"/>
  <c r="I308" i="16"/>
  <c r="J372" i="16"/>
  <c r="L372" i="16" s="1"/>
  <c r="I372" i="16"/>
  <c r="J436" i="16"/>
  <c r="L436" i="16" s="1"/>
  <c r="I436" i="16"/>
  <c r="J500" i="16"/>
  <c r="L500" i="16" s="1"/>
  <c r="I500" i="16"/>
  <c r="J564" i="16"/>
  <c r="L564" i="16" s="1"/>
  <c r="I564" i="16"/>
  <c r="J628" i="16"/>
  <c r="L628" i="16" s="1"/>
  <c r="I628" i="16"/>
  <c r="J692" i="16"/>
  <c r="L692" i="16" s="1"/>
  <c r="I692" i="16"/>
  <c r="J139" i="16"/>
  <c r="L139" i="16" s="1"/>
  <c r="I139" i="16"/>
  <c r="J130" i="16"/>
  <c r="L130" i="16" s="1"/>
  <c r="I130" i="16"/>
  <c r="J387" i="16"/>
  <c r="L387" i="16" s="1"/>
  <c r="I387" i="16"/>
  <c r="J611" i="16"/>
  <c r="L611" i="16" s="1"/>
  <c r="I611" i="16"/>
  <c r="I93" i="16"/>
  <c r="J93" i="16"/>
  <c r="L93" i="16" s="1"/>
  <c r="J107" i="16"/>
  <c r="L107" i="16" s="1"/>
  <c r="I107" i="16"/>
  <c r="I144" i="16"/>
  <c r="J144" i="16"/>
  <c r="L144" i="16" s="1"/>
  <c r="J326" i="16"/>
  <c r="L326" i="16" s="1"/>
  <c r="I326" i="16"/>
  <c r="J518" i="16"/>
  <c r="L518" i="16" s="1"/>
  <c r="I518" i="16"/>
  <c r="I309" i="16"/>
  <c r="J309" i="16"/>
  <c r="L309" i="16" s="1"/>
  <c r="I485" i="16"/>
  <c r="J485" i="16"/>
  <c r="L485" i="16" s="1"/>
  <c r="I677" i="16"/>
  <c r="J677" i="16"/>
  <c r="L677" i="16" s="1"/>
  <c r="I392" i="16"/>
  <c r="J392" i="16"/>
  <c r="L392" i="16" s="1"/>
  <c r="J664" i="16"/>
  <c r="L664" i="16" s="1"/>
  <c r="I664" i="16"/>
  <c r="J102" i="16"/>
  <c r="L102" i="16" s="1"/>
  <c r="I102" i="16"/>
  <c r="J391" i="16"/>
  <c r="L391" i="16" s="1"/>
  <c r="I391" i="16"/>
  <c r="J487" i="16"/>
  <c r="L487" i="16" s="1"/>
  <c r="I487" i="16"/>
  <c r="J551" i="16"/>
  <c r="L551" i="16" s="1"/>
  <c r="I551" i="16"/>
  <c r="J615" i="16"/>
  <c r="L615" i="16" s="1"/>
  <c r="I615" i="16"/>
  <c r="J679" i="16"/>
  <c r="L679" i="16" s="1"/>
  <c r="I679" i="16"/>
  <c r="I29" i="16"/>
  <c r="J29" i="16"/>
  <c r="L29" i="16" s="1"/>
  <c r="I97" i="16"/>
  <c r="J97" i="16"/>
  <c r="L97" i="16" s="1"/>
  <c r="I160" i="16"/>
  <c r="J160" i="16"/>
  <c r="L160" i="16" s="1"/>
  <c r="I269" i="16"/>
  <c r="J269" i="16"/>
  <c r="L269" i="16" s="1"/>
  <c r="J115" i="16"/>
  <c r="L115" i="16" s="1"/>
  <c r="I115" i="16"/>
  <c r="I20" i="16"/>
  <c r="J20" i="16"/>
  <c r="L20" i="16" s="1"/>
  <c r="I84" i="16"/>
  <c r="J84" i="16"/>
  <c r="L84" i="16" s="1"/>
  <c r="J148" i="16"/>
  <c r="L148" i="16" s="1"/>
  <c r="I148" i="16"/>
  <c r="J215" i="16"/>
  <c r="L215" i="16" s="1"/>
  <c r="I215" i="16"/>
  <c r="I249" i="16"/>
  <c r="J249" i="16"/>
  <c r="L249" i="16" s="1"/>
  <c r="J298" i="16"/>
  <c r="L298" i="16" s="1"/>
  <c r="I298" i="16"/>
  <c r="J362" i="16"/>
  <c r="L362" i="16" s="1"/>
  <c r="I362" i="16"/>
  <c r="J426" i="16"/>
  <c r="L426" i="16" s="1"/>
  <c r="I426" i="16"/>
  <c r="J490" i="16"/>
  <c r="L490" i="16" s="1"/>
  <c r="I490" i="16"/>
  <c r="J554" i="16"/>
  <c r="L554" i="16" s="1"/>
  <c r="I554" i="16"/>
  <c r="J618" i="16"/>
  <c r="L618" i="16" s="1"/>
  <c r="I618" i="16"/>
  <c r="J682" i="16"/>
  <c r="L682" i="16" s="1"/>
  <c r="I682" i="16"/>
  <c r="I329" i="16"/>
  <c r="J329" i="16"/>
  <c r="L329" i="16" s="1"/>
  <c r="I393" i="16"/>
  <c r="J393" i="16"/>
  <c r="L393" i="16" s="1"/>
  <c r="I457" i="16"/>
  <c r="J457" i="16"/>
  <c r="L457" i="16" s="1"/>
  <c r="I521" i="16"/>
  <c r="J521" i="16"/>
  <c r="L521" i="16" s="1"/>
  <c r="I585" i="16"/>
  <c r="J585" i="16"/>
  <c r="L585" i="16" s="1"/>
  <c r="I649" i="16"/>
  <c r="J649" i="16"/>
  <c r="L649" i="16" s="1"/>
  <c r="J220" i="16"/>
  <c r="L220" i="16" s="1"/>
  <c r="I220" i="16"/>
  <c r="J284" i="16"/>
  <c r="L284" i="16" s="1"/>
  <c r="I284" i="16"/>
  <c r="J348" i="16"/>
  <c r="L348" i="16" s="1"/>
  <c r="I348" i="16"/>
  <c r="J412" i="16"/>
  <c r="L412" i="16" s="1"/>
  <c r="I412" i="16"/>
  <c r="J476" i="16"/>
  <c r="L476" i="16" s="1"/>
  <c r="I476" i="16"/>
  <c r="J540" i="16"/>
  <c r="L540" i="16" s="1"/>
  <c r="I540" i="16"/>
  <c r="J604" i="16"/>
  <c r="L604" i="16" s="1"/>
  <c r="I604" i="16"/>
  <c r="J668" i="16"/>
  <c r="L668" i="16" s="1"/>
  <c r="I668" i="16"/>
  <c r="J103" i="16"/>
  <c r="L103" i="16" s="1"/>
  <c r="I103" i="16"/>
  <c r="J114" i="16"/>
  <c r="L114" i="16" s="1"/>
  <c r="I114" i="16"/>
  <c r="J307" i="16"/>
  <c r="L307" i="16" s="1"/>
  <c r="I307" i="16"/>
  <c r="J483" i="16"/>
  <c r="L483" i="16" s="1"/>
  <c r="I483" i="16"/>
  <c r="J691" i="16"/>
  <c r="L691" i="16" s="1"/>
  <c r="I691" i="16"/>
  <c r="I157" i="16"/>
  <c r="J157" i="16"/>
  <c r="L157" i="16" s="1"/>
  <c r="I32" i="16"/>
  <c r="J32" i="16"/>
  <c r="L32" i="16" s="1"/>
  <c r="J223" i="16"/>
  <c r="L223" i="16" s="1"/>
  <c r="I223" i="16"/>
  <c r="J358" i="16"/>
  <c r="L358" i="16" s="1"/>
  <c r="I358" i="16"/>
  <c r="J598" i="16"/>
  <c r="L598" i="16" s="1"/>
  <c r="I598" i="16"/>
  <c r="I373" i="16"/>
  <c r="J373" i="16"/>
  <c r="L373" i="16" s="1"/>
  <c r="I565" i="16"/>
  <c r="J565" i="16"/>
  <c r="L565" i="16" s="1"/>
  <c r="J264" i="16"/>
  <c r="L264" i="16" s="1"/>
  <c r="I264" i="16"/>
  <c r="J440" i="16"/>
  <c r="L440" i="16" s="1"/>
  <c r="I440" i="16"/>
  <c r="I616" i="16"/>
  <c r="J616" i="16"/>
  <c r="L616" i="16" s="1"/>
  <c r="J143" i="16"/>
  <c r="L143" i="16" s="1"/>
  <c r="I143" i="16"/>
  <c r="J118" i="16"/>
  <c r="L118" i="16" s="1"/>
  <c r="I118" i="16"/>
  <c r="J311" i="16"/>
  <c r="L311" i="16" s="1"/>
  <c r="I311" i="16"/>
  <c r="J35" i="16"/>
  <c r="L35" i="16" s="1"/>
  <c r="I35" i="16"/>
  <c r="J151" i="16"/>
  <c r="L151" i="16" s="1"/>
  <c r="I151" i="16"/>
  <c r="J10" i="16"/>
  <c r="L10" i="16" s="1"/>
  <c r="I10" i="16"/>
  <c r="J74" i="16"/>
  <c r="L74" i="16" s="1"/>
  <c r="I74" i="16"/>
  <c r="J138" i="16"/>
  <c r="L138" i="16" s="1"/>
  <c r="I138" i="16"/>
  <c r="J201" i="16"/>
  <c r="L201" i="16" s="1"/>
  <c r="I201" i="16"/>
  <c r="J299" i="16"/>
  <c r="L299" i="16" s="1"/>
  <c r="I299" i="16"/>
  <c r="J363" i="16"/>
  <c r="L363" i="16" s="1"/>
  <c r="I363" i="16"/>
  <c r="J427" i="16"/>
  <c r="L427" i="16" s="1"/>
  <c r="I427" i="16"/>
  <c r="J491" i="16"/>
  <c r="L491" i="16" s="1"/>
  <c r="I491" i="16"/>
  <c r="J555" i="16"/>
  <c r="L555" i="16" s="1"/>
  <c r="I555" i="16"/>
  <c r="J619" i="16"/>
  <c r="L619" i="16" s="1"/>
  <c r="I619" i="16"/>
  <c r="J683" i="16"/>
  <c r="L683" i="16" s="1"/>
  <c r="I683" i="16"/>
  <c r="I37" i="16"/>
  <c r="J37" i="16"/>
  <c r="L37" i="16" s="1"/>
  <c r="I101" i="16"/>
  <c r="J101" i="16"/>
  <c r="L101" i="16" s="1"/>
  <c r="I164" i="16"/>
  <c r="J164" i="16"/>
  <c r="L164" i="16" s="1"/>
  <c r="I273" i="16"/>
  <c r="J273" i="16"/>
  <c r="L273" i="16" s="1"/>
  <c r="J119" i="16"/>
  <c r="L119" i="16" s="1"/>
  <c r="I119" i="16"/>
  <c r="J24" i="16"/>
  <c r="L24" i="16" s="1"/>
  <c r="I24" i="16"/>
  <c r="I88" i="16"/>
  <c r="J88" i="16"/>
  <c r="L88" i="16" s="1"/>
  <c r="I152" i="16"/>
  <c r="J152" i="16"/>
  <c r="L152" i="16" s="1"/>
  <c r="J219" i="16"/>
  <c r="L219" i="16" s="1"/>
  <c r="I219" i="16"/>
  <c r="I251" i="16"/>
  <c r="J251" i="16"/>
  <c r="L251" i="16" s="1"/>
  <c r="J302" i="16"/>
  <c r="L302" i="16" s="1"/>
  <c r="I302" i="16"/>
  <c r="J366" i="16"/>
  <c r="L366" i="16" s="1"/>
  <c r="I366" i="16"/>
  <c r="J430" i="16"/>
  <c r="L430" i="16" s="1"/>
  <c r="I430" i="16"/>
  <c r="J494" i="16"/>
  <c r="L494" i="16" s="1"/>
  <c r="I494" i="16"/>
  <c r="J558" i="16"/>
  <c r="L558" i="16" s="1"/>
  <c r="I558" i="16"/>
  <c r="J622" i="16"/>
  <c r="L622" i="16" s="1"/>
  <c r="I622" i="16"/>
  <c r="J686" i="16"/>
  <c r="L686" i="16" s="1"/>
  <c r="I686" i="16"/>
  <c r="I333" i="16"/>
  <c r="J333" i="16"/>
  <c r="L333" i="16" s="1"/>
  <c r="I397" i="16"/>
  <c r="J397" i="16"/>
  <c r="L397" i="16" s="1"/>
  <c r="I461" i="16"/>
  <c r="J461" i="16"/>
  <c r="L461" i="16" s="1"/>
  <c r="I525" i="16"/>
  <c r="J525" i="16"/>
  <c r="L525" i="16" s="1"/>
  <c r="I589" i="16"/>
  <c r="J589" i="16"/>
  <c r="L589" i="16" s="1"/>
  <c r="I653" i="16"/>
  <c r="J653" i="16"/>
  <c r="L653" i="16" s="1"/>
  <c r="J224" i="16"/>
  <c r="L224" i="16" s="1"/>
  <c r="I224" i="16"/>
  <c r="J288" i="16"/>
  <c r="L288" i="16" s="1"/>
  <c r="I288" i="16"/>
  <c r="J352" i="16"/>
  <c r="L352" i="16" s="1"/>
  <c r="I352" i="16"/>
  <c r="J416" i="16"/>
  <c r="L416" i="16" s="1"/>
  <c r="I416" i="16"/>
  <c r="J480" i="16"/>
  <c r="L480" i="16" s="1"/>
  <c r="I480" i="16"/>
  <c r="J544" i="16"/>
  <c r="L544" i="16" s="1"/>
  <c r="I544" i="16"/>
  <c r="J608" i="16"/>
  <c r="L608" i="16" s="1"/>
  <c r="I608" i="16"/>
  <c r="J672" i="16"/>
  <c r="L672" i="16" s="1"/>
  <c r="I672" i="16"/>
  <c r="J159" i="16"/>
  <c r="L159" i="16" s="1"/>
  <c r="I159" i="16"/>
  <c r="J161" i="16"/>
  <c r="L161" i="16" s="1"/>
  <c r="I161" i="16"/>
  <c r="J371" i="16"/>
  <c r="L371" i="16" s="1"/>
  <c r="I371" i="16"/>
  <c r="J563" i="16"/>
  <c r="L563" i="16" s="1"/>
  <c r="I563" i="16"/>
  <c r="I25" i="16"/>
  <c r="J25" i="16"/>
  <c r="L25" i="16" s="1"/>
  <c r="I204" i="16"/>
  <c r="J204" i="16"/>
  <c r="L204" i="16" s="1"/>
  <c r="I64" i="16"/>
  <c r="J64" i="16"/>
  <c r="L64" i="16" s="1"/>
  <c r="I231" i="16"/>
  <c r="J231" i="16"/>
  <c r="L231" i="16" s="1"/>
  <c r="J374" i="16"/>
  <c r="L374" i="16" s="1"/>
  <c r="I374" i="16"/>
  <c r="J550" i="16"/>
  <c r="L550" i="16" s="1"/>
  <c r="I550" i="16"/>
  <c r="J710" i="16"/>
  <c r="L710" i="16" s="1"/>
  <c r="I710" i="16"/>
  <c r="I517" i="16"/>
  <c r="J517" i="16"/>
  <c r="L517" i="16" s="1"/>
  <c r="I693" i="16"/>
  <c r="J693" i="16"/>
  <c r="L693" i="16" s="1"/>
  <c r="J376" i="16"/>
  <c r="L376" i="16" s="1"/>
  <c r="I376" i="16"/>
  <c r="J568" i="16"/>
  <c r="L568" i="16" s="1"/>
  <c r="I568" i="16"/>
  <c r="J31" i="16"/>
  <c r="L31" i="16" s="1"/>
  <c r="I31" i="16"/>
  <c r="J54" i="16"/>
  <c r="L54" i="16" s="1"/>
  <c r="I54" i="16"/>
  <c r="J213" i="16"/>
  <c r="L213" i="16" s="1"/>
  <c r="I213" i="16"/>
  <c r="J423" i="16"/>
  <c r="L423" i="16" s="1"/>
  <c r="I423" i="16"/>
  <c r="J99" i="16"/>
  <c r="L99" i="16" s="1"/>
  <c r="I99" i="16"/>
  <c r="I267" i="16"/>
  <c r="J267" i="16"/>
  <c r="L267" i="16" s="1"/>
  <c r="J46" i="16"/>
  <c r="L46" i="16" s="1"/>
  <c r="I46" i="16"/>
  <c r="J110" i="16"/>
  <c r="L110" i="16" s="1"/>
  <c r="I110" i="16"/>
  <c r="J175" i="16"/>
  <c r="L175" i="16" s="1"/>
  <c r="I175" i="16"/>
  <c r="J238" i="16"/>
  <c r="L238" i="16" s="1"/>
  <c r="I238" i="16"/>
  <c r="J335" i="16"/>
  <c r="L335" i="16" s="1"/>
  <c r="I335" i="16"/>
  <c r="J399" i="16"/>
  <c r="L399" i="16" s="1"/>
  <c r="I399" i="16"/>
  <c r="J463" i="16"/>
  <c r="L463" i="16" s="1"/>
  <c r="I463" i="16"/>
  <c r="J527" i="16"/>
  <c r="L527" i="16" s="1"/>
  <c r="I527" i="16"/>
  <c r="J591" i="16"/>
  <c r="L591" i="16" s="1"/>
  <c r="I591" i="16"/>
  <c r="J655" i="16"/>
  <c r="L655" i="16" s="1"/>
  <c r="I655" i="16"/>
  <c r="J214" i="16"/>
  <c r="L214" i="16" s="1"/>
  <c r="I214" i="16"/>
  <c r="I73" i="16"/>
  <c r="J73" i="16"/>
  <c r="L73" i="16" s="1"/>
  <c r="I137" i="16"/>
  <c r="J137" i="16"/>
  <c r="L137" i="16" s="1"/>
  <c r="I200" i="16"/>
  <c r="J200" i="16"/>
  <c r="L200" i="16" s="1"/>
  <c r="J59" i="16"/>
  <c r="L59" i="16" s="1"/>
  <c r="I59" i="16"/>
  <c r="J190" i="16"/>
  <c r="L190" i="16" s="1"/>
  <c r="I190" i="16"/>
  <c r="J60" i="16"/>
  <c r="L60" i="16" s="1"/>
  <c r="I60" i="16"/>
  <c r="J124" i="16"/>
  <c r="L124" i="16" s="1"/>
  <c r="I124" i="16"/>
  <c r="J191" i="16"/>
  <c r="L191" i="16" s="1"/>
  <c r="I191" i="16"/>
  <c r="I237" i="16"/>
  <c r="J237" i="16"/>
  <c r="L237" i="16" s="1"/>
  <c r="J274" i="16"/>
  <c r="L274" i="16" s="1"/>
  <c r="I274" i="16"/>
  <c r="J338" i="16"/>
  <c r="L338" i="16" s="1"/>
  <c r="I338" i="16"/>
  <c r="J402" i="16"/>
  <c r="L402" i="16" s="1"/>
  <c r="I402" i="16"/>
  <c r="J466" i="16"/>
  <c r="L466" i="16" s="1"/>
  <c r="I466" i="16"/>
  <c r="J530" i="16"/>
  <c r="L530" i="16" s="1"/>
  <c r="I530" i="16"/>
  <c r="J594" i="16"/>
  <c r="L594" i="16" s="1"/>
  <c r="I594" i="16"/>
  <c r="J658" i="16"/>
  <c r="L658" i="16" s="1"/>
  <c r="I658" i="16"/>
  <c r="I305" i="16"/>
  <c r="J305" i="16"/>
  <c r="L305" i="16" s="1"/>
  <c r="I369" i="16"/>
  <c r="J369" i="16"/>
  <c r="L369" i="16" s="1"/>
  <c r="I433" i="16"/>
  <c r="J433" i="16"/>
  <c r="L433" i="16" s="1"/>
  <c r="I497" i="16"/>
  <c r="J497" i="16"/>
  <c r="L497" i="16" s="1"/>
  <c r="I561" i="16"/>
  <c r="J561" i="16"/>
  <c r="L561" i="16" s="1"/>
  <c r="I625" i="16"/>
  <c r="J625" i="16"/>
  <c r="L625" i="16" s="1"/>
  <c r="I689" i="16"/>
  <c r="J689" i="16"/>
  <c r="L689" i="16" s="1"/>
  <c r="J260" i="16"/>
  <c r="L260" i="16" s="1"/>
  <c r="I260" i="16"/>
  <c r="J324" i="16"/>
  <c r="L324" i="16" s="1"/>
  <c r="I324" i="16"/>
  <c r="J388" i="16"/>
  <c r="L388" i="16" s="1"/>
  <c r="I388" i="16"/>
  <c r="J452" i="16"/>
  <c r="L452" i="16" s="1"/>
  <c r="I452" i="16"/>
  <c r="J516" i="16"/>
  <c r="L516" i="16" s="1"/>
  <c r="I516" i="16"/>
  <c r="J580" i="16"/>
  <c r="L580" i="16" s="1"/>
  <c r="I580" i="16"/>
  <c r="J644" i="16"/>
  <c r="L644" i="16" s="1"/>
  <c r="I644" i="16"/>
  <c r="J708" i="16"/>
  <c r="L708" i="16" s="1"/>
  <c r="I708" i="16"/>
  <c r="N40" i="7"/>
  <c r="O40" i="7" s="1"/>
  <c r="N36" i="7"/>
  <c r="O36" i="7" s="1"/>
  <c r="N31" i="7"/>
  <c r="O31" i="7" s="1"/>
  <c r="N27" i="7"/>
  <c r="O27" i="7" s="1"/>
  <c r="N22" i="7"/>
  <c r="O22" i="7" s="1"/>
  <c r="N18" i="7"/>
  <c r="O18" i="7" s="1"/>
  <c r="N17" i="7"/>
  <c r="O17" i="7" s="1"/>
  <c r="N41" i="7"/>
  <c r="O41" i="7" s="1"/>
  <c r="N32" i="7"/>
  <c r="O32" i="7" s="1"/>
  <c r="N23" i="7"/>
  <c r="O23" i="7" s="1"/>
  <c r="N43" i="7"/>
  <c r="O43" i="7" s="1"/>
  <c r="N39" i="7"/>
  <c r="O39" i="7" s="1"/>
  <c r="N34" i="7"/>
  <c r="O34" i="7" s="1"/>
  <c r="N30" i="7"/>
  <c r="O30" i="7" s="1"/>
  <c r="N25" i="7"/>
  <c r="O25" i="7" s="1"/>
  <c r="N21" i="7"/>
  <c r="O21" i="7" s="1"/>
  <c r="N16" i="7"/>
  <c r="N42" i="7"/>
  <c r="O42" i="7" s="1"/>
  <c r="N38" i="7"/>
  <c r="O38" i="7" s="1"/>
  <c r="N33" i="7"/>
  <c r="O33" i="7" s="1"/>
  <c r="N29" i="7"/>
  <c r="O29" i="7" s="1"/>
  <c r="N24" i="7"/>
  <c r="O24" i="7" s="1"/>
  <c r="N20" i="7"/>
  <c r="O20" i="7" s="1"/>
  <c r="N15" i="7"/>
  <c r="N37" i="7"/>
  <c r="O37" i="7" s="1"/>
  <c r="N28" i="7"/>
  <c r="O28" i="7" s="1"/>
  <c r="N19" i="7"/>
  <c r="O19" i="7" s="1"/>
  <c r="P13" i="7"/>
  <c r="S13" i="7" s="1"/>
  <c r="P10" i="7"/>
  <c r="S10" i="7" s="1"/>
  <c r="R14" i="7"/>
  <c r="R65" i="5"/>
  <c r="Q65" i="5"/>
  <c r="R69" i="5"/>
  <c r="Q69" i="5"/>
  <c r="R54" i="5"/>
  <c r="Q54" i="5"/>
  <c r="R30" i="5"/>
  <c r="Q30" i="5"/>
  <c r="R14" i="5"/>
  <c r="Q14" i="5"/>
  <c r="R11" i="5"/>
  <c r="Q11" i="5"/>
  <c r="R23" i="5"/>
  <c r="Q23" i="5"/>
  <c r="R27" i="5"/>
  <c r="Q27" i="5"/>
  <c r="Q37" i="5"/>
  <c r="R37" i="5"/>
  <c r="R72" i="5"/>
  <c r="Q72" i="5"/>
  <c r="R19" i="5"/>
  <c r="Q19" i="5"/>
  <c r="R47" i="5"/>
  <c r="Q47" i="5"/>
  <c r="Q33" i="5"/>
  <c r="R33" i="5"/>
  <c r="Q25" i="5"/>
  <c r="R25" i="5"/>
  <c r="R51" i="5"/>
  <c r="Q51" i="5"/>
  <c r="Q21" i="5"/>
  <c r="R21" i="5"/>
  <c r="Q45" i="5"/>
  <c r="R45" i="5"/>
  <c r="R24" i="5"/>
  <c r="Q24" i="5"/>
  <c r="R57" i="5"/>
  <c r="Q57" i="5"/>
  <c r="R44" i="5"/>
  <c r="Q44" i="5"/>
  <c r="R53" i="5"/>
  <c r="Q53" i="5"/>
  <c r="R16" i="5"/>
  <c r="Q16" i="5"/>
  <c r="R62" i="5"/>
  <c r="Q62" i="5"/>
  <c r="R48" i="5"/>
  <c r="Q48" i="5"/>
  <c r="R73" i="5"/>
  <c r="Q73" i="5"/>
  <c r="R15" i="5"/>
  <c r="Q15" i="5"/>
  <c r="R22" i="5"/>
  <c r="Q22" i="5"/>
  <c r="R20" i="5"/>
  <c r="Q20" i="5"/>
  <c r="R64" i="5"/>
  <c r="Q64" i="5"/>
  <c r="R71" i="5"/>
  <c r="Q71" i="5"/>
  <c r="R58" i="5"/>
  <c r="Q58" i="5"/>
  <c r="R61" i="5"/>
  <c r="Q61" i="5"/>
  <c r="R46" i="5"/>
  <c r="Q46" i="5"/>
  <c r="R56" i="5"/>
  <c r="Q56" i="5"/>
  <c r="R60" i="5"/>
  <c r="Q60" i="5"/>
  <c r="R66" i="5"/>
  <c r="Q66" i="5"/>
  <c r="R32" i="5"/>
  <c r="Q32" i="5"/>
  <c r="R59" i="5"/>
  <c r="Q59" i="5"/>
  <c r="Q41" i="5"/>
  <c r="R41" i="5"/>
  <c r="R36" i="5"/>
  <c r="Q36" i="5"/>
  <c r="Q29" i="5"/>
  <c r="R29" i="5"/>
  <c r="R50" i="5"/>
  <c r="Q50" i="5"/>
  <c r="R43" i="5"/>
  <c r="Q43" i="5"/>
  <c r="R67" i="5"/>
  <c r="Q67" i="5"/>
  <c r="R28" i="5"/>
  <c r="Q28" i="5"/>
  <c r="R52" i="5"/>
  <c r="Q52" i="5"/>
  <c r="Q17" i="5"/>
  <c r="R17" i="5"/>
  <c r="R40" i="5"/>
  <c r="Q40" i="5"/>
  <c r="R13" i="5"/>
  <c r="Q13" i="5"/>
  <c r="R34" i="5"/>
  <c r="Q34" i="5"/>
  <c r="R63" i="5"/>
  <c r="Q63" i="5"/>
  <c r="R10" i="5"/>
  <c r="Q10" i="5"/>
  <c r="R70" i="5"/>
  <c r="Q70" i="5"/>
  <c r="R68" i="5"/>
  <c r="Q68" i="5"/>
  <c r="R42" i="5"/>
  <c r="Q42" i="5"/>
  <c r="Q49" i="5"/>
  <c r="R49" i="5"/>
  <c r="R55" i="5"/>
  <c r="Q55" i="5"/>
  <c r="R26" i="5"/>
  <c r="Q26" i="5"/>
  <c r="R18" i="5"/>
  <c r="Q18" i="5"/>
  <c r="R31" i="5"/>
  <c r="Q31" i="5"/>
  <c r="R35" i="5"/>
  <c r="Q35" i="5"/>
  <c r="R38" i="5"/>
  <c r="Q38" i="5"/>
  <c r="R39" i="5"/>
  <c r="Q39" i="5"/>
  <c r="R12" i="5"/>
  <c r="Q12" i="5"/>
  <c r="J10" i="15"/>
  <c r="L10" i="15" s="1"/>
  <c r="Q11" i="7"/>
  <c r="R11" i="7"/>
  <c r="P11" i="7"/>
  <c r="S11" i="7" s="1"/>
  <c r="T11" i="7"/>
  <c r="P12" i="7"/>
  <c r="S12" i="7" s="1"/>
  <c r="T12" i="7"/>
  <c r="T41" i="5"/>
  <c r="T36" i="5"/>
  <c r="T29" i="5"/>
  <c r="T50" i="5"/>
  <c r="T35" i="5"/>
  <c r="T38" i="5"/>
  <c r="T39" i="5"/>
  <c r="T12" i="5"/>
  <c r="P17" i="5"/>
  <c r="S17" i="5" s="1"/>
  <c r="T17" i="5"/>
  <c r="T14" i="5"/>
  <c r="T15" i="5"/>
  <c r="T11" i="5"/>
  <c r="T40" i="5"/>
  <c r="T24" i="5"/>
  <c r="T57" i="5"/>
  <c r="T44" i="5"/>
  <c r="T53" i="5"/>
  <c r="T16" i="5"/>
  <c r="T43" i="5"/>
  <c r="T62" i="5"/>
  <c r="T68" i="5"/>
  <c r="T55" i="5"/>
  <c r="T18" i="5"/>
  <c r="T31" i="5"/>
  <c r="T23" i="5"/>
  <c r="T27" i="5"/>
  <c r="T37" i="5"/>
  <c r="T69" i="5"/>
  <c r="T67" i="5"/>
  <c r="T48" i="5"/>
  <c r="T28" i="5"/>
  <c r="T54" i="5"/>
  <c r="T52" i="5"/>
  <c r="T73" i="5"/>
  <c r="T30" i="5"/>
  <c r="J54" i="13"/>
  <c r="L54" i="13" s="1"/>
  <c r="J191" i="13"/>
  <c r="L191" i="13" s="1"/>
  <c r="J220" i="13"/>
  <c r="L220" i="13" s="1"/>
  <c r="J282" i="13"/>
  <c r="L282" i="13" s="1"/>
  <c r="J315" i="13"/>
  <c r="L315" i="13" s="1"/>
  <c r="J347" i="13"/>
  <c r="L347" i="13" s="1"/>
  <c r="J379" i="13"/>
  <c r="L379" i="13" s="1"/>
  <c r="J563" i="13"/>
  <c r="L563" i="13" s="1"/>
  <c r="J695" i="13"/>
  <c r="L695" i="13" s="1"/>
  <c r="J745" i="13"/>
  <c r="L745" i="13" s="1"/>
  <c r="J841" i="13"/>
  <c r="L841" i="13" s="1"/>
  <c r="J945" i="13"/>
  <c r="L945" i="13" s="1"/>
  <c r="J1577" i="13"/>
  <c r="L1577" i="13" s="1"/>
  <c r="J15" i="13"/>
  <c r="L15" i="13" s="1"/>
  <c r="J31" i="13"/>
  <c r="L31" i="13" s="1"/>
  <c r="J47" i="13"/>
  <c r="L47" i="13" s="1"/>
  <c r="J63" i="13"/>
  <c r="L63" i="13" s="1"/>
  <c r="J78" i="13"/>
  <c r="L78" i="13" s="1"/>
  <c r="J89" i="13"/>
  <c r="L89" i="13" s="1"/>
  <c r="J110" i="13"/>
  <c r="L110" i="13" s="1"/>
  <c r="J121" i="13"/>
  <c r="L121" i="13" s="1"/>
  <c r="J142" i="13"/>
  <c r="L142" i="13" s="1"/>
  <c r="J153" i="13"/>
  <c r="L153" i="13" s="1"/>
  <c r="J175" i="13"/>
  <c r="L175" i="13" s="1"/>
  <c r="J189" i="13"/>
  <c r="L189" i="13" s="1"/>
  <c r="J210" i="13"/>
  <c r="L210" i="13" s="1"/>
  <c r="J221" i="13"/>
  <c r="L221" i="13" s="1"/>
  <c r="J242" i="13"/>
  <c r="L242" i="13" s="1"/>
  <c r="J253" i="13"/>
  <c r="L253" i="13" s="1"/>
  <c r="J274" i="13"/>
  <c r="L274" i="13" s="1"/>
  <c r="J287" i="13"/>
  <c r="L287" i="13" s="1"/>
  <c r="J310" i="13"/>
  <c r="L310" i="13" s="1"/>
  <c r="J321" i="13"/>
  <c r="L321" i="13" s="1"/>
  <c r="J342" i="13"/>
  <c r="L342" i="13" s="1"/>
  <c r="J353" i="13"/>
  <c r="L353" i="13" s="1"/>
  <c r="J374" i="13"/>
  <c r="L374" i="13" s="1"/>
  <c r="J385" i="13"/>
  <c r="L385" i="13" s="1"/>
  <c r="J399" i="13"/>
  <c r="L399" i="13" s="1"/>
  <c r="J423" i="13"/>
  <c r="L423" i="13" s="1"/>
  <c r="J512" i="13"/>
  <c r="L512" i="13" s="1"/>
  <c r="J555" i="13"/>
  <c r="L555" i="13" s="1"/>
  <c r="J644" i="13"/>
  <c r="L644" i="13" s="1"/>
  <c r="J687" i="13"/>
  <c r="L687" i="13" s="1"/>
  <c r="J728" i="13"/>
  <c r="L728" i="13" s="1"/>
  <c r="J739" i="13"/>
  <c r="L739" i="13" s="1"/>
  <c r="J771" i="13"/>
  <c r="L771" i="13" s="1"/>
  <c r="J803" i="13"/>
  <c r="L803" i="13" s="1"/>
  <c r="J835" i="13"/>
  <c r="L835" i="13" s="1"/>
  <c r="J867" i="13"/>
  <c r="L867" i="13" s="1"/>
  <c r="J899" i="13"/>
  <c r="L899" i="13" s="1"/>
  <c r="J931" i="13"/>
  <c r="L931" i="13" s="1"/>
  <c r="J1209" i="13"/>
  <c r="L1209" i="13" s="1"/>
  <c r="J1465" i="13"/>
  <c r="L1465" i="13" s="1"/>
  <c r="J14" i="13"/>
  <c r="L14" i="13" s="1"/>
  <c r="J62" i="13"/>
  <c r="L62" i="13" s="1"/>
  <c r="J99" i="13"/>
  <c r="L99" i="13" s="1"/>
  <c r="J131" i="13"/>
  <c r="L131" i="13" s="1"/>
  <c r="J163" i="13"/>
  <c r="L163" i="13" s="1"/>
  <c r="J196" i="13"/>
  <c r="L196" i="13" s="1"/>
  <c r="J231" i="13"/>
  <c r="L231" i="13" s="1"/>
  <c r="J263" i="13"/>
  <c r="L263" i="13" s="1"/>
  <c r="J336" i="13"/>
  <c r="L336" i="13" s="1"/>
  <c r="J371" i="13"/>
  <c r="L371" i="13" s="1"/>
  <c r="J420" i="13"/>
  <c r="L420" i="13" s="1"/>
  <c r="J552" i="13"/>
  <c r="L552" i="13" s="1"/>
  <c r="J825" i="13"/>
  <c r="L825" i="13" s="1"/>
  <c r="J913" i="13"/>
  <c r="L913" i="13" s="1"/>
  <c r="J1321" i="13"/>
  <c r="L1321" i="13" s="1"/>
  <c r="J1785" i="13"/>
  <c r="L1785" i="13" s="1"/>
  <c r="J20" i="13"/>
  <c r="L20" i="13" s="1"/>
  <c r="J36" i="13"/>
  <c r="L36" i="13" s="1"/>
  <c r="J52" i="13"/>
  <c r="L52" i="13" s="1"/>
  <c r="J68" i="13"/>
  <c r="L68" i="13" s="1"/>
  <c r="J92" i="13"/>
  <c r="L92" i="13" s="1"/>
  <c r="J103" i="13"/>
  <c r="L103" i="13" s="1"/>
  <c r="J124" i="13"/>
  <c r="L124" i="13" s="1"/>
  <c r="J135" i="13"/>
  <c r="L135" i="13" s="1"/>
  <c r="J156" i="13"/>
  <c r="L156" i="13" s="1"/>
  <c r="J167" i="13"/>
  <c r="L167" i="13" s="1"/>
  <c r="J180" i="13"/>
  <c r="L180" i="13" s="1"/>
  <c r="J192" i="13"/>
  <c r="L192" i="13" s="1"/>
  <c r="J203" i="13"/>
  <c r="L203" i="13" s="1"/>
  <c r="J224" i="13"/>
  <c r="L224" i="13" s="1"/>
  <c r="J235" i="13"/>
  <c r="L235" i="13" s="1"/>
  <c r="J256" i="13"/>
  <c r="L256" i="13" s="1"/>
  <c r="J267" i="13"/>
  <c r="L267" i="13" s="1"/>
  <c r="J292" i="13"/>
  <c r="L292" i="13" s="1"/>
  <c r="J303" i="13"/>
  <c r="L303" i="13" s="1"/>
  <c r="J324" i="13"/>
  <c r="L324" i="13" s="1"/>
  <c r="J335" i="13"/>
  <c r="L335" i="13" s="1"/>
  <c r="J356" i="13"/>
  <c r="L356" i="13" s="1"/>
  <c r="J367" i="13"/>
  <c r="L367" i="13" s="1"/>
  <c r="J388" i="13"/>
  <c r="L388" i="13" s="1"/>
  <c r="J403" i="13"/>
  <c r="L403" i="13" s="1"/>
  <c r="J436" i="13"/>
  <c r="L436" i="13" s="1"/>
  <c r="J479" i="13"/>
  <c r="L479" i="13" s="1"/>
  <c r="J568" i="13"/>
  <c r="L568" i="13" s="1"/>
  <c r="J614" i="13"/>
  <c r="L614" i="13" s="1"/>
  <c r="J700" i="13"/>
  <c r="L700" i="13" s="1"/>
  <c r="J749" i="13"/>
  <c r="L749" i="13" s="1"/>
  <c r="J781" i="13"/>
  <c r="L781" i="13" s="1"/>
  <c r="J813" i="13"/>
  <c r="L813" i="13" s="1"/>
  <c r="J845" i="13"/>
  <c r="L845" i="13" s="1"/>
  <c r="J877" i="13"/>
  <c r="L877" i="13" s="1"/>
  <c r="J909" i="13"/>
  <c r="L909" i="13" s="1"/>
  <c r="J941" i="13"/>
  <c r="L941" i="13" s="1"/>
  <c r="J1033" i="13"/>
  <c r="L1033" i="13" s="1"/>
  <c r="J1289" i="13"/>
  <c r="L1289" i="13" s="1"/>
  <c r="J1545" i="13"/>
  <c r="L1545" i="13" s="1"/>
  <c r="J1693" i="13"/>
  <c r="L1693" i="13" s="1"/>
  <c r="J22" i="13"/>
  <c r="L22" i="13" s="1"/>
  <c r="J70" i="13"/>
  <c r="L70" i="13" s="1"/>
  <c r="J104" i="13"/>
  <c r="L104" i="13" s="1"/>
  <c r="J136" i="13"/>
  <c r="L136" i="13" s="1"/>
  <c r="J171" i="13"/>
  <c r="L171" i="13" s="1"/>
  <c r="J244" i="13"/>
  <c r="L244" i="13" s="1"/>
  <c r="J276" i="13"/>
  <c r="L276" i="13" s="1"/>
  <c r="J312" i="13"/>
  <c r="L312" i="13" s="1"/>
  <c r="J684" i="13"/>
  <c r="L684" i="13" s="1"/>
  <c r="J737" i="13"/>
  <c r="L737" i="13" s="1"/>
  <c r="J833" i="13"/>
  <c r="L833" i="13" s="1"/>
  <c r="J929" i="13"/>
  <c r="L929" i="13" s="1"/>
  <c r="J1449" i="13"/>
  <c r="L1449" i="13" s="1"/>
  <c r="J13" i="13"/>
  <c r="L13" i="13" s="1"/>
  <c r="J29" i="13"/>
  <c r="L29" i="13" s="1"/>
  <c r="J45" i="13"/>
  <c r="L45" i="13" s="1"/>
  <c r="J61" i="13"/>
  <c r="L61" i="13" s="1"/>
  <c r="J77" i="13"/>
  <c r="L77" i="13" s="1"/>
  <c r="J98" i="13"/>
  <c r="L98" i="13" s="1"/>
  <c r="J109" i="13"/>
  <c r="L109" i="13" s="1"/>
  <c r="J130" i="13"/>
  <c r="L130" i="13" s="1"/>
  <c r="J141" i="13"/>
  <c r="L141" i="13" s="1"/>
  <c r="J162" i="13"/>
  <c r="L162" i="13" s="1"/>
  <c r="J173" i="13"/>
  <c r="L173" i="13" s="1"/>
  <c r="J198" i="13"/>
  <c r="L198" i="13" s="1"/>
  <c r="J209" i="13"/>
  <c r="L209" i="13" s="1"/>
  <c r="J230" i="13"/>
  <c r="L230" i="13" s="1"/>
  <c r="J241" i="13"/>
  <c r="L241" i="13" s="1"/>
  <c r="J262" i="13"/>
  <c r="L262" i="13" s="1"/>
  <c r="J273" i="13"/>
  <c r="L273" i="13" s="1"/>
  <c r="J285" i="13"/>
  <c r="L285" i="13" s="1"/>
  <c r="J298" i="13"/>
  <c r="L298" i="13" s="1"/>
  <c r="J309" i="13"/>
  <c r="L309" i="13" s="1"/>
  <c r="J330" i="13"/>
  <c r="L330" i="13" s="1"/>
  <c r="J341" i="13"/>
  <c r="L341" i="13" s="1"/>
  <c r="J362" i="13"/>
  <c r="L362" i="13" s="1"/>
  <c r="J373" i="13"/>
  <c r="L373" i="13" s="1"/>
  <c r="J397" i="13"/>
  <c r="L397" i="13" s="1"/>
  <c r="J460" i="13"/>
  <c r="L460" i="13" s="1"/>
  <c r="J506" i="13"/>
  <c r="L506" i="13" s="1"/>
  <c r="J592" i="13"/>
  <c r="L592" i="13" s="1"/>
  <c r="J639" i="13"/>
  <c r="L639" i="13" s="1"/>
  <c r="J724" i="13"/>
  <c r="L724" i="13" s="1"/>
  <c r="J734" i="13"/>
  <c r="L734" i="13" s="1"/>
  <c r="J767" i="13"/>
  <c r="L767" i="13" s="1"/>
  <c r="J799" i="13"/>
  <c r="L799" i="13" s="1"/>
  <c r="J831" i="13"/>
  <c r="L831" i="13" s="1"/>
  <c r="J863" i="13"/>
  <c r="L863" i="13" s="1"/>
  <c r="J895" i="13"/>
  <c r="L895" i="13" s="1"/>
  <c r="J927" i="13"/>
  <c r="L927" i="13" s="1"/>
  <c r="J1177" i="13"/>
  <c r="L1177" i="13" s="1"/>
  <c r="J1433" i="13"/>
  <c r="L1433" i="13" s="1"/>
  <c r="J426" i="13"/>
  <c r="L426" i="13" s="1"/>
  <c r="J437" i="13"/>
  <c r="L437" i="13" s="1"/>
  <c r="J458" i="13"/>
  <c r="L458" i="13" s="1"/>
  <c r="J469" i="13"/>
  <c r="L469" i="13" s="1"/>
  <c r="J490" i="13"/>
  <c r="L490" i="13" s="1"/>
  <c r="J503" i="13"/>
  <c r="L503" i="13" s="1"/>
  <c r="J526" i="13"/>
  <c r="L526" i="13" s="1"/>
  <c r="J537" i="13"/>
  <c r="L537" i="13" s="1"/>
  <c r="J558" i="13"/>
  <c r="L558" i="13" s="1"/>
  <c r="J569" i="13"/>
  <c r="L569" i="13" s="1"/>
  <c r="J590" i="13"/>
  <c r="L590" i="13" s="1"/>
  <c r="J601" i="13"/>
  <c r="L601" i="13" s="1"/>
  <c r="J615" i="13"/>
  <c r="L615" i="13" s="1"/>
  <c r="J626" i="13"/>
  <c r="L626" i="13" s="1"/>
  <c r="J637" i="13"/>
  <c r="L637" i="13" s="1"/>
  <c r="J658" i="13"/>
  <c r="L658" i="13" s="1"/>
  <c r="J669" i="13"/>
  <c r="L669" i="13" s="1"/>
  <c r="J690" i="13"/>
  <c r="L690" i="13" s="1"/>
  <c r="J701" i="13"/>
  <c r="L701" i="13" s="1"/>
  <c r="J1037" i="13"/>
  <c r="L1037" i="13" s="1"/>
  <c r="J1101" i="13"/>
  <c r="L1101" i="13" s="1"/>
  <c r="J1165" i="13"/>
  <c r="L1165" i="13" s="1"/>
  <c r="J1229" i="13"/>
  <c r="L1229" i="13" s="1"/>
  <c r="J1293" i="13"/>
  <c r="L1293" i="13" s="1"/>
  <c r="J1357" i="13"/>
  <c r="L1357" i="13" s="1"/>
  <c r="J1421" i="13"/>
  <c r="L1421" i="13" s="1"/>
  <c r="J1485" i="13"/>
  <c r="L1485" i="13" s="1"/>
  <c r="J1549" i="13"/>
  <c r="L1549" i="13" s="1"/>
  <c r="J1613" i="13"/>
  <c r="L1613" i="13" s="1"/>
  <c r="J1732" i="13"/>
  <c r="L1732" i="13" s="1"/>
  <c r="J1770" i="13"/>
  <c r="L1770" i="13" s="1"/>
  <c r="J1865" i="13"/>
  <c r="L1865" i="13" s="1"/>
  <c r="J2006" i="13"/>
  <c r="L2006" i="13" s="1"/>
  <c r="J424" i="13"/>
  <c r="L424" i="13" s="1"/>
  <c r="J435" i="13"/>
  <c r="L435" i="13" s="1"/>
  <c r="J456" i="13"/>
  <c r="L456" i="13" s="1"/>
  <c r="J467" i="13"/>
  <c r="L467" i="13" s="1"/>
  <c r="J488" i="13"/>
  <c r="L488" i="13" s="1"/>
  <c r="J500" i="13"/>
  <c r="L500" i="13" s="1"/>
  <c r="J524" i="13"/>
  <c r="L524" i="13" s="1"/>
  <c r="J535" i="13"/>
  <c r="L535" i="13" s="1"/>
  <c r="J556" i="13"/>
  <c r="L556" i="13" s="1"/>
  <c r="J567" i="13"/>
  <c r="L567" i="13" s="1"/>
  <c r="J588" i="13"/>
  <c r="L588" i="13" s="1"/>
  <c r="J599" i="13"/>
  <c r="L599" i="13" s="1"/>
  <c r="J612" i="13"/>
  <c r="L612" i="13" s="1"/>
  <c r="J624" i="13"/>
  <c r="L624" i="13" s="1"/>
  <c r="J635" i="13"/>
  <c r="L635" i="13" s="1"/>
  <c r="J656" i="13"/>
  <c r="L656" i="13" s="1"/>
  <c r="J667" i="13"/>
  <c r="L667" i="13" s="1"/>
  <c r="J688" i="13"/>
  <c r="L688" i="13" s="1"/>
  <c r="J699" i="13"/>
  <c r="L699" i="13" s="1"/>
  <c r="J740" i="13"/>
  <c r="L740" i="13" s="1"/>
  <c r="J748" i="13"/>
  <c r="L748" i="13" s="1"/>
  <c r="J756" i="13"/>
  <c r="L756" i="13" s="1"/>
  <c r="J764" i="13"/>
  <c r="L764" i="13" s="1"/>
  <c r="J772" i="13"/>
  <c r="L772" i="13" s="1"/>
  <c r="J780" i="13"/>
  <c r="L780" i="13" s="1"/>
  <c r="J788" i="13"/>
  <c r="L788" i="13" s="1"/>
  <c r="J796" i="13"/>
  <c r="L796" i="13" s="1"/>
  <c r="J804" i="13"/>
  <c r="L804" i="13" s="1"/>
  <c r="J812" i="13"/>
  <c r="L812" i="13" s="1"/>
  <c r="J820" i="13"/>
  <c r="L820" i="13" s="1"/>
  <c r="J828" i="13"/>
  <c r="L828" i="13" s="1"/>
  <c r="J836" i="13"/>
  <c r="L836" i="13" s="1"/>
  <c r="J844" i="13"/>
  <c r="L844" i="13" s="1"/>
  <c r="J852" i="13"/>
  <c r="L852" i="13" s="1"/>
  <c r="J860" i="13"/>
  <c r="L860" i="13" s="1"/>
  <c r="J868" i="13"/>
  <c r="L868" i="13" s="1"/>
  <c r="J876" i="13"/>
  <c r="L876" i="13" s="1"/>
  <c r="J884" i="13"/>
  <c r="L884" i="13" s="1"/>
  <c r="J892" i="13"/>
  <c r="L892" i="13" s="1"/>
  <c r="J900" i="13"/>
  <c r="L900" i="13" s="1"/>
  <c r="J908" i="13"/>
  <c r="L908" i="13" s="1"/>
  <c r="J916" i="13"/>
  <c r="L916" i="13" s="1"/>
  <c r="J924" i="13"/>
  <c r="L924" i="13" s="1"/>
  <c r="J932" i="13"/>
  <c r="L932" i="13" s="1"/>
  <c r="J940" i="13"/>
  <c r="L940" i="13" s="1"/>
  <c r="J948" i="13"/>
  <c r="L948" i="13" s="1"/>
  <c r="J1025" i="13"/>
  <c r="L1025" i="13" s="1"/>
  <c r="J1089" i="13"/>
  <c r="L1089" i="13" s="1"/>
  <c r="J1153" i="13"/>
  <c r="L1153" i="13" s="1"/>
  <c r="J1217" i="13"/>
  <c r="L1217" i="13" s="1"/>
  <c r="J1281" i="13"/>
  <c r="L1281" i="13" s="1"/>
  <c r="J1345" i="13"/>
  <c r="L1345" i="13" s="1"/>
  <c r="J1409" i="13"/>
  <c r="L1409" i="13" s="1"/>
  <c r="J1473" i="13"/>
  <c r="L1473" i="13" s="1"/>
  <c r="J1537" i="13"/>
  <c r="L1537" i="13" s="1"/>
  <c r="J1601" i="13"/>
  <c r="L1601" i="13" s="1"/>
  <c r="J1665" i="13"/>
  <c r="L1665" i="13" s="1"/>
  <c r="J1725" i="13"/>
  <c r="L1725" i="13" s="1"/>
  <c r="J1798" i="13"/>
  <c r="L1798" i="13" s="1"/>
  <c r="J409" i="13"/>
  <c r="L409" i="13" s="1"/>
  <c r="J430" i="13"/>
  <c r="L430" i="13" s="1"/>
  <c r="J441" i="13"/>
  <c r="L441" i="13" s="1"/>
  <c r="J462" i="13"/>
  <c r="L462" i="13" s="1"/>
  <c r="J473" i="13"/>
  <c r="L473" i="13" s="1"/>
  <c r="J494" i="13"/>
  <c r="L494" i="13" s="1"/>
  <c r="J509" i="13"/>
  <c r="L509" i="13" s="1"/>
  <c r="J530" i="13"/>
  <c r="L530" i="13" s="1"/>
  <c r="J541" i="13"/>
  <c r="L541" i="13" s="1"/>
  <c r="J562" i="13"/>
  <c r="L562" i="13" s="1"/>
  <c r="J573" i="13"/>
  <c r="L573" i="13" s="1"/>
  <c r="J594" i="13"/>
  <c r="L594" i="13" s="1"/>
  <c r="J605" i="13"/>
  <c r="L605" i="13" s="1"/>
  <c r="J630" i="13"/>
  <c r="L630" i="13" s="1"/>
  <c r="J641" i="13"/>
  <c r="L641" i="13" s="1"/>
  <c r="J662" i="13"/>
  <c r="L662" i="13" s="1"/>
  <c r="J673" i="13"/>
  <c r="L673" i="13" s="1"/>
  <c r="J694" i="13"/>
  <c r="L694" i="13" s="1"/>
  <c r="J705" i="13"/>
  <c r="L705" i="13" s="1"/>
  <c r="J718" i="13"/>
  <c r="L718" i="13" s="1"/>
  <c r="J726" i="13"/>
  <c r="L726" i="13" s="1"/>
  <c r="J1061" i="13"/>
  <c r="L1061" i="13" s="1"/>
  <c r="J1125" i="13"/>
  <c r="L1125" i="13" s="1"/>
  <c r="J1189" i="13"/>
  <c r="L1189" i="13" s="1"/>
  <c r="J1253" i="13"/>
  <c r="L1253" i="13" s="1"/>
  <c r="J1317" i="13"/>
  <c r="L1317" i="13" s="1"/>
  <c r="J1381" i="13"/>
  <c r="L1381" i="13" s="1"/>
  <c r="J1445" i="13"/>
  <c r="L1445" i="13" s="1"/>
  <c r="J1509" i="13"/>
  <c r="L1509" i="13" s="1"/>
  <c r="J1573" i="13"/>
  <c r="L1573" i="13" s="1"/>
  <c r="J1637" i="13"/>
  <c r="L1637" i="13" s="1"/>
  <c r="J1709" i="13"/>
  <c r="L1709" i="13" s="1"/>
  <c r="J1783" i="13"/>
  <c r="L1783" i="13" s="1"/>
  <c r="J1817" i="13"/>
  <c r="L1817" i="13" s="1"/>
  <c r="J1917" i="13"/>
  <c r="L1917" i="13" s="1"/>
  <c r="J2058" i="13"/>
  <c r="L2058" i="13" s="1"/>
  <c r="J957" i="13"/>
  <c r="L957" i="13" s="1"/>
  <c r="J965" i="13"/>
  <c r="L965" i="13" s="1"/>
  <c r="J973" i="13"/>
  <c r="L973" i="13" s="1"/>
  <c r="J981" i="13"/>
  <c r="L981" i="13" s="1"/>
  <c r="J989" i="13"/>
  <c r="L989" i="13" s="1"/>
  <c r="J997" i="13"/>
  <c r="L997" i="13" s="1"/>
  <c r="J1010" i="13"/>
  <c r="L1010" i="13" s="1"/>
  <c r="J1026" i="13"/>
  <c r="L1026" i="13" s="1"/>
  <c r="J1042" i="13"/>
  <c r="L1042" i="13" s="1"/>
  <c r="J1058" i="13"/>
  <c r="L1058" i="13" s="1"/>
  <c r="J1074" i="13"/>
  <c r="L1074" i="13" s="1"/>
  <c r="J1090" i="13"/>
  <c r="L1090" i="13" s="1"/>
  <c r="J1106" i="13"/>
  <c r="L1106" i="13" s="1"/>
  <c r="J1122" i="13"/>
  <c r="L1122" i="13" s="1"/>
  <c r="J1138" i="13"/>
  <c r="L1138" i="13" s="1"/>
  <c r="J1154" i="13"/>
  <c r="L1154" i="13" s="1"/>
  <c r="J1170" i="13"/>
  <c r="L1170" i="13" s="1"/>
  <c r="J1186" i="13"/>
  <c r="L1186" i="13" s="1"/>
  <c r="J1202" i="13"/>
  <c r="L1202" i="13" s="1"/>
  <c r="J1218" i="13"/>
  <c r="L1218" i="13" s="1"/>
  <c r="J1234" i="13"/>
  <c r="L1234" i="13" s="1"/>
  <c r="J1250" i="13"/>
  <c r="L1250" i="13" s="1"/>
  <c r="J1266" i="13"/>
  <c r="L1266" i="13" s="1"/>
  <c r="J1282" i="13"/>
  <c r="L1282" i="13" s="1"/>
  <c r="J1298" i="13"/>
  <c r="L1298" i="13" s="1"/>
  <c r="J1314" i="13"/>
  <c r="L1314" i="13" s="1"/>
  <c r="J1330" i="13"/>
  <c r="L1330" i="13" s="1"/>
  <c r="J1346" i="13"/>
  <c r="L1346" i="13" s="1"/>
  <c r="J1362" i="13"/>
  <c r="L1362" i="13" s="1"/>
  <c r="J1378" i="13"/>
  <c r="L1378" i="13" s="1"/>
  <c r="J1394" i="13"/>
  <c r="L1394" i="13" s="1"/>
  <c r="J1410" i="13"/>
  <c r="L1410" i="13" s="1"/>
  <c r="J1426" i="13"/>
  <c r="L1426" i="13" s="1"/>
  <c r="J1442" i="13"/>
  <c r="L1442" i="13" s="1"/>
  <c r="J1458" i="13"/>
  <c r="L1458" i="13" s="1"/>
  <c r="J1474" i="13"/>
  <c r="L1474" i="13" s="1"/>
  <c r="J1490" i="13"/>
  <c r="L1490" i="13" s="1"/>
  <c r="J1506" i="13"/>
  <c r="L1506" i="13" s="1"/>
  <c r="J1522" i="13"/>
  <c r="L1522" i="13" s="1"/>
  <c r="J1538" i="13"/>
  <c r="L1538" i="13" s="1"/>
  <c r="J1554" i="13"/>
  <c r="L1554" i="13" s="1"/>
  <c r="J1570" i="13"/>
  <c r="L1570" i="13" s="1"/>
  <c r="J1586" i="13"/>
  <c r="L1586" i="13" s="1"/>
  <c r="J1602" i="13"/>
  <c r="L1602" i="13" s="1"/>
  <c r="J1618" i="13"/>
  <c r="L1618" i="13" s="1"/>
  <c r="J1634" i="13"/>
  <c r="L1634" i="13" s="1"/>
  <c r="J1650" i="13"/>
  <c r="L1650" i="13" s="1"/>
  <c r="J1666" i="13"/>
  <c r="L1666" i="13" s="1"/>
  <c r="J1679" i="13"/>
  <c r="L1679" i="13" s="1"/>
  <c r="J1689" i="13"/>
  <c r="L1689" i="13" s="1"/>
  <c r="J1726" i="13"/>
  <c r="L1726" i="13" s="1"/>
  <c r="J1736" i="13"/>
  <c r="L1736" i="13" s="1"/>
  <c r="J1764" i="13"/>
  <c r="L1764" i="13" s="1"/>
  <c r="J1781" i="13"/>
  <c r="L1781" i="13" s="1"/>
  <c r="J1790" i="13"/>
  <c r="L1790" i="13" s="1"/>
  <c r="J1807" i="13"/>
  <c r="L1807" i="13" s="1"/>
  <c r="J1824" i="13"/>
  <c r="L1824" i="13" s="1"/>
  <c r="J1876" i="13"/>
  <c r="L1876" i="13" s="1"/>
  <c r="J1948" i="13"/>
  <c r="L1948" i="13" s="1"/>
  <c r="J2017" i="13"/>
  <c r="L2017" i="13" s="1"/>
  <c r="J2088" i="13"/>
  <c r="L2088" i="13" s="1"/>
  <c r="J2179" i="13"/>
  <c r="L2179" i="13" s="1"/>
  <c r="J2354" i="13"/>
  <c r="L2354" i="13" s="1"/>
  <c r="J1007" i="13"/>
  <c r="L1007" i="13" s="1"/>
  <c r="J1023" i="13"/>
  <c r="L1023" i="13" s="1"/>
  <c r="J1039" i="13"/>
  <c r="L1039" i="13" s="1"/>
  <c r="J1055" i="13"/>
  <c r="L1055" i="13" s="1"/>
  <c r="J1071" i="13"/>
  <c r="L1071" i="13" s="1"/>
  <c r="J1087" i="13"/>
  <c r="L1087" i="13" s="1"/>
  <c r="J1103" i="13"/>
  <c r="L1103" i="13" s="1"/>
  <c r="J1119" i="13"/>
  <c r="L1119" i="13" s="1"/>
  <c r="J1135" i="13"/>
  <c r="L1135" i="13" s="1"/>
  <c r="J1151" i="13"/>
  <c r="L1151" i="13" s="1"/>
  <c r="J1167" i="13"/>
  <c r="L1167" i="13" s="1"/>
  <c r="J1183" i="13"/>
  <c r="L1183" i="13" s="1"/>
  <c r="J1199" i="13"/>
  <c r="L1199" i="13" s="1"/>
  <c r="J1215" i="13"/>
  <c r="L1215" i="13" s="1"/>
  <c r="J1231" i="13"/>
  <c r="L1231" i="13" s="1"/>
  <c r="J1247" i="13"/>
  <c r="L1247" i="13" s="1"/>
  <c r="J1263" i="13"/>
  <c r="L1263" i="13" s="1"/>
  <c r="J1279" i="13"/>
  <c r="L1279" i="13" s="1"/>
  <c r="J1295" i="13"/>
  <c r="L1295" i="13" s="1"/>
  <c r="J1311" i="13"/>
  <c r="L1311" i="13" s="1"/>
  <c r="J1327" i="13"/>
  <c r="L1327" i="13" s="1"/>
  <c r="J1343" i="13"/>
  <c r="L1343" i="13" s="1"/>
  <c r="J1359" i="13"/>
  <c r="L1359" i="13" s="1"/>
  <c r="J1375" i="13"/>
  <c r="L1375" i="13" s="1"/>
  <c r="J1391" i="13"/>
  <c r="L1391" i="13" s="1"/>
  <c r="J1407" i="13"/>
  <c r="L1407" i="13" s="1"/>
  <c r="J1423" i="13"/>
  <c r="L1423" i="13" s="1"/>
  <c r="J1439" i="13"/>
  <c r="L1439" i="13" s="1"/>
  <c r="J1455" i="13"/>
  <c r="L1455" i="13" s="1"/>
  <c r="J1471" i="13"/>
  <c r="L1471" i="13" s="1"/>
  <c r="J1487" i="13"/>
  <c r="L1487" i="13" s="1"/>
  <c r="J1503" i="13"/>
  <c r="L1503" i="13" s="1"/>
  <c r="J1519" i="13"/>
  <c r="L1519" i="13" s="1"/>
  <c r="J1535" i="13"/>
  <c r="L1535" i="13" s="1"/>
  <c r="J1551" i="13"/>
  <c r="L1551" i="13" s="1"/>
  <c r="J1567" i="13"/>
  <c r="L1567" i="13" s="1"/>
  <c r="J1583" i="13"/>
  <c r="L1583" i="13" s="1"/>
  <c r="J1599" i="13"/>
  <c r="L1599" i="13" s="1"/>
  <c r="J1615" i="13"/>
  <c r="L1615" i="13" s="1"/>
  <c r="J1631" i="13"/>
  <c r="L1631" i="13" s="1"/>
  <c r="J1647" i="13"/>
  <c r="L1647" i="13" s="1"/>
  <c r="J1663" i="13"/>
  <c r="L1663" i="13" s="1"/>
  <c r="J1706" i="13"/>
  <c r="L1706" i="13" s="1"/>
  <c r="J1715" i="13"/>
  <c r="L1715" i="13" s="1"/>
  <c r="J1724" i="13"/>
  <c r="L1724" i="13" s="1"/>
  <c r="J1733" i="13"/>
  <c r="L1733" i="13" s="1"/>
  <c r="J1745" i="13"/>
  <c r="L1745" i="13" s="1"/>
  <c r="J1771" i="13"/>
  <c r="L1771" i="13" s="1"/>
  <c r="J1788" i="13"/>
  <c r="L1788" i="13" s="1"/>
  <c r="J1797" i="13"/>
  <c r="L1797" i="13" s="1"/>
  <c r="J1814" i="13"/>
  <c r="L1814" i="13" s="1"/>
  <c r="J1832" i="13"/>
  <c r="L1832" i="13" s="1"/>
  <c r="J1904" i="13"/>
  <c r="L1904" i="13" s="1"/>
  <c r="J1976" i="13"/>
  <c r="L1976" i="13" s="1"/>
  <c r="J2045" i="13"/>
  <c r="L2045" i="13" s="1"/>
  <c r="J2146" i="13"/>
  <c r="L2146" i="13" s="1"/>
  <c r="J2322" i="13"/>
  <c r="L2322" i="13" s="1"/>
  <c r="J954" i="13"/>
  <c r="L954" i="13" s="1"/>
  <c r="J962" i="13"/>
  <c r="L962" i="13" s="1"/>
  <c r="J970" i="13"/>
  <c r="L970" i="13" s="1"/>
  <c r="J978" i="13"/>
  <c r="L978" i="13" s="1"/>
  <c r="J986" i="13"/>
  <c r="L986" i="13" s="1"/>
  <c r="J994" i="13"/>
  <c r="L994" i="13" s="1"/>
  <c r="J1004" i="13"/>
  <c r="L1004" i="13" s="1"/>
  <c r="J1020" i="13"/>
  <c r="L1020" i="13" s="1"/>
  <c r="J1036" i="13"/>
  <c r="L1036" i="13" s="1"/>
  <c r="J1052" i="13"/>
  <c r="L1052" i="13" s="1"/>
  <c r="J1068" i="13"/>
  <c r="L1068" i="13" s="1"/>
  <c r="J1084" i="13"/>
  <c r="L1084" i="13" s="1"/>
  <c r="J1100" i="13"/>
  <c r="L1100" i="13" s="1"/>
  <c r="J1116" i="13"/>
  <c r="L1116" i="13" s="1"/>
  <c r="J1132" i="13"/>
  <c r="L1132" i="13" s="1"/>
  <c r="J1148" i="13"/>
  <c r="L1148" i="13" s="1"/>
  <c r="J1164" i="13"/>
  <c r="L1164" i="13" s="1"/>
  <c r="J1180" i="13"/>
  <c r="L1180" i="13" s="1"/>
  <c r="J1196" i="13"/>
  <c r="L1196" i="13" s="1"/>
  <c r="J1212" i="13"/>
  <c r="L1212" i="13" s="1"/>
  <c r="J1228" i="13"/>
  <c r="L1228" i="13" s="1"/>
  <c r="J1244" i="13"/>
  <c r="L1244" i="13" s="1"/>
  <c r="J1260" i="13"/>
  <c r="L1260" i="13" s="1"/>
  <c r="J1276" i="13"/>
  <c r="L1276" i="13" s="1"/>
  <c r="J1292" i="13"/>
  <c r="L1292" i="13" s="1"/>
  <c r="J1308" i="13"/>
  <c r="L1308" i="13" s="1"/>
  <c r="J1324" i="13"/>
  <c r="L1324" i="13" s="1"/>
  <c r="J1340" i="13"/>
  <c r="L1340" i="13" s="1"/>
  <c r="J1356" i="13"/>
  <c r="L1356" i="13" s="1"/>
  <c r="J1372" i="13"/>
  <c r="L1372" i="13" s="1"/>
  <c r="J1388" i="13"/>
  <c r="L1388" i="13" s="1"/>
  <c r="J1404" i="13"/>
  <c r="L1404" i="13" s="1"/>
  <c r="J1420" i="13"/>
  <c r="L1420" i="13" s="1"/>
  <c r="J1436" i="13"/>
  <c r="L1436" i="13" s="1"/>
  <c r="J1452" i="13"/>
  <c r="L1452" i="13" s="1"/>
  <c r="J1468" i="13"/>
  <c r="L1468" i="13" s="1"/>
  <c r="J1484" i="13"/>
  <c r="L1484" i="13" s="1"/>
  <c r="J1500" i="13"/>
  <c r="L1500" i="13" s="1"/>
  <c r="J1516" i="13"/>
  <c r="L1516" i="13" s="1"/>
  <c r="J1532" i="13"/>
  <c r="L1532" i="13" s="1"/>
  <c r="J1548" i="13"/>
  <c r="L1548" i="13" s="1"/>
  <c r="J1564" i="13"/>
  <c r="L1564" i="13" s="1"/>
  <c r="J1580" i="13"/>
  <c r="L1580" i="13" s="1"/>
  <c r="J1596" i="13"/>
  <c r="L1596" i="13" s="1"/>
  <c r="J1612" i="13"/>
  <c r="L1612" i="13" s="1"/>
  <c r="J1628" i="13"/>
  <c r="L1628" i="13" s="1"/>
  <c r="J1644" i="13"/>
  <c r="L1644" i="13" s="1"/>
  <c r="J1660" i="13"/>
  <c r="L1660" i="13" s="1"/>
  <c r="J1676" i="13"/>
  <c r="L1676" i="13" s="1"/>
  <c r="J1686" i="13"/>
  <c r="L1686" i="13" s="1"/>
  <c r="J1695" i="13"/>
  <c r="L1695" i="13" s="1"/>
  <c r="J1704" i="13"/>
  <c r="L1704" i="13" s="1"/>
  <c r="J1713" i="13"/>
  <c r="L1713" i="13" s="1"/>
  <c r="J1752" i="13"/>
  <c r="L1752" i="13" s="1"/>
  <c r="J1778" i="13"/>
  <c r="L1778" i="13" s="1"/>
  <c r="J1795" i="13"/>
  <c r="L1795" i="13" s="1"/>
  <c r="J1804" i="13"/>
  <c r="L1804" i="13" s="1"/>
  <c r="J1821" i="13"/>
  <c r="L1821" i="13" s="1"/>
  <c r="J1863" i="13"/>
  <c r="L1863" i="13" s="1"/>
  <c r="J1934" i="13"/>
  <c r="L1934" i="13" s="1"/>
  <c r="J2004" i="13"/>
  <c r="L2004" i="13" s="1"/>
  <c r="J2073" i="13"/>
  <c r="L2073" i="13" s="1"/>
  <c r="J2128" i="13"/>
  <c r="L2128" i="13" s="1"/>
  <c r="J2290" i="13"/>
  <c r="L2290" i="13" s="1"/>
  <c r="J2466" i="13"/>
  <c r="L2466" i="13" s="1"/>
  <c r="J1833" i="13"/>
  <c r="L1833" i="13" s="1"/>
  <c r="J1844" i="13"/>
  <c r="L1844" i="13" s="1"/>
  <c r="J1853" i="13"/>
  <c r="L1853" i="13" s="1"/>
  <c r="J1870" i="13"/>
  <c r="L1870" i="13" s="1"/>
  <c r="J1887" i="13"/>
  <c r="L1887" i="13" s="1"/>
  <c r="J1896" i="13"/>
  <c r="L1896" i="13" s="1"/>
  <c r="J1913" i="13"/>
  <c r="L1913" i="13" s="1"/>
  <c r="J1931" i="13"/>
  <c r="L1931" i="13" s="1"/>
  <c r="J1942" i="13"/>
  <c r="L1942" i="13" s="1"/>
  <c r="J1951" i="13"/>
  <c r="L1951" i="13" s="1"/>
  <c r="J1968" i="13"/>
  <c r="L1968" i="13" s="1"/>
  <c r="J1985" i="13"/>
  <c r="L1985" i="13" s="1"/>
  <c r="J1994" i="13"/>
  <c r="L1994" i="13" s="1"/>
  <c r="J2011" i="13"/>
  <c r="L2011" i="13" s="1"/>
  <c r="J2037" i="13"/>
  <c r="L2037" i="13" s="1"/>
  <c r="J2054" i="13"/>
  <c r="L2054" i="13" s="1"/>
  <c r="J2063" i="13"/>
  <c r="L2063" i="13" s="1"/>
  <c r="J2080" i="13"/>
  <c r="L2080" i="13" s="1"/>
  <c r="J2093" i="13"/>
  <c r="L2093" i="13" s="1"/>
  <c r="J2109" i="13"/>
  <c r="L2109" i="13" s="1"/>
  <c r="J2125" i="13"/>
  <c r="L2125" i="13" s="1"/>
  <c r="J2150" i="13"/>
  <c r="L2150" i="13" s="1"/>
  <c r="J2235" i="13"/>
  <c r="L2235" i="13" s="1"/>
  <c r="J2282" i="13"/>
  <c r="L2282" i="13" s="1"/>
  <c r="J2371" i="13"/>
  <c r="L2371" i="13" s="1"/>
  <c r="J2414" i="13"/>
  <c r="L2414" i="13" s="1"/>
  <c r="J2503" i="13"/>
  <c r="L2503" i="13" s="1"/>
  <c r="J2546" i="13"/>
  <c r="L2546" i="13" s="1"/>
  <c r="J1849" i="13"/>
  <c r="L1849" i="13" s="1"/>
  <c r="J1866" i="13"/>
  <c r="L1866" i="13" s="1"/>
  <c r="J1875" i="13"/>
  <c r="L1875" i="13" s="1"/>
  <c r="J1892" i="13"/>
  <c r="L1892" i="13" s="1"/>
  <c r="J1918" i="13"/>
  <c r="L1918" i="13" s="1"/>
  <c r="J1947" i="13"/>
  <c r="L1947" i="13" s="1"/>
  <c r="J1964" i="13"/>
  <c r="L1964" i="13" s="1"/>
  <c r="J1973" i="13"/>
  <c r="L1973" i="13" s="1"/>
  <c r="J1990" i="13"/>
  <c r="L1990" i="13" s="1"/>
  <c r="J2016" i="13"/>
  <c r="L2016" i="13" s="1"/>
  <c r="J2033" i="13"/>
  <c r="L2033" i="13" s="1"/>
  <c r="J2042" i="13"/>
  <c r="L2042" i="13" s="1"/>
  <c r="J2059" i="13"/>
  <c r="L2059" i="13" s="1"/>
  <c r="J2076" i="13"/>
  <c r="L2076" i="13" s="1"/>
  <c r="J2086" i="13"/>
  <c r="L2086" i="13" s="1"/>
  <c r="J2102" i="13"/>
  <c r="L2102" i="13" s="1"/>
  <c r="J2118" i="13"/>
  <c r="L2118" i="13" s="1"/>
  <c r="J2134" i="13"/>
  <c r="L2134" i="13" s="1"/>
  <c r="J2174" i="13"/>
  <c r="L2174" i="13" s="1"/>
  <c r="J2263" i="13"/>
  <c r="L2263" i="13" s="1"/>
  <c r="J2306" i="13"/>
  <c r="L2306" i="13" s="1"/>
  <c r="J2395" i="13"/>
  <c r="L2395" i="13" s="1"/>
  <c r="J2438" i="13"/>
  <c r="L2438" i="13" s="1"/>
  <c r="J2527" i="13"/>
  <c r="L2527" i="13" s="1"/>
  <c r="J2632" i="13"/>
  <c r="L2632" i="13" s="1"/>
  <c r="J1831" i="13"/>
  <c r="L1831" i="13" s="1"/>
  <c r="J1843" i="13"/>
  <c r="L1843" i="13" s="1"/>
  <c r="J1869" i="13"/>
  <c r="L1869" i="13" s="1"/>
  <c r="J1886" i="13"/>
  <c r="L1886" i="13" s="1"/>
  <c r="J1895" i="13"/>
  <c r="L1895" i="13" s="1"/>
  <c r="J1912" i="13"/>
  <c r="L1912" i="13" s="1"/>
  <c r="J1929" i="13"/>
  <c r="L1929" i="13" s="1"/>
  <c r="J1941" i="13"/>
  <c r="L1941" i="13" s="1"/>
  <c r="J1967" i="13"/>
  <c r="L1967" i="13" s="1"/>
  <c r="J1984" i="13"/>
  <c r="L1984" i="13" s="1"/>
  <c r="J1993" i="13"/>
  <c r="L1993" i="13" s="1"/>
  <c r="J2010" i="13"/>
  <c r="L2010" i="13" s="1"/>
  <c r="J2027" i="13"/>
  <c r="L2027" i="13" s="1"/>
  <c r="J2036" i="13"/>
  <c r="L2036" i="13" s="1"/>
  <c r="J2053" i="13"/>
  <c r="L2053" i="13" s="1"/>
  <c r="J2079" i="13"/>
  <c r="L2079" i="13" s="1"/>
  <c r="J2091" i="13"/>
  <c r="L2091" i="13" s="1"/>
  <c r="J2107" i="13"/>
  <c r="L2107" i="13" s="1"/>
  <c r="J2123" i="13"/>
  <c r="L2123" i="13" s="1"/>
  <c r="J2142" i="13"/>
  <c r="L2142" i="13" s="1"/>
  <c r="J2187" i="13"/>
  <c r="L2187" i="13" s="1"/>
  <c r="J2230" i="13"/>
  <c r="L2230" i="13" s="1"/>
  <c r="J2319" i="13"/>
  <c r="L2319" i="13" s="1"/>
  <c r="J2366" i="13"/>
  <c r="L2366" i="13" s="1"/>
  <c r="J2451" i="13"/>
  <c r="L2451" i="13" s="1"/>
  <c r="J2498" i="13"/>
  <c r="L2498" i="13" s="1"/>
  <c r="J2689" i="13"/>
  <c r="L2689" i="13" s="1"/>
  <c r="J2143" i="13"/>
  <c r="L2143" i="13" s="1"/>
  <c r="J2156" i="13"/>
  <c r="L2156" i="13" s="1"/>
  <c r="J2177" i="13"/>
  <c r="L2177" i="13" s="1"/>
  <c r="J2188" i="13"/>
  <c r="L2188" i="13" s="1"/>
  <c r="J2209" i="13"/>
  <c r="L2209" i="13" s="1"/>
  <c r="J2220" i="13"/>
  <c r="L2220" i="13" s="1"/>
  <c r="J2241" i="13"/>
  <c r="L2241" i="13" s="1"/>
  <c r="J2255" i="13"/>
  <c r="L2255" i="13" s="1"/>
  <c r="J2277" i="13"/>
  <c r="L2277" i="13" s="1"/>
  <c r="J2288" i="13"/>
  <c r="L2288" i="13" s="1"/>
  <c r="J2309" i="13"/>
  <c r="L2309" i="13" s="1"/>
  <c r="J2320" i="13"/>
  <c r="L2320" i="13" s="1"/>
  <c r="J2341" i="13"/>
  <c r="L2341" i="13" s="1"/>
  <c r="J2352" i="13"/>
  <c r="L2352" i="13" s="1"/>
  <c r="J2377" i="13"/>
  <c r="L2377" i="13" s="1"/>
  <c r="J2388" i="13"/>
  <c r="L2388" i="13" s="1"/>
  <c r="J2409" i="13"/>
  <c r="L2409" i="13" s="1"/>
  <c r="J2420" i="13"/>
  <c r="L2420" i="13" s="1"/>
  <c r="J2441" i="13"/>
  <c r="L2441" i="13" s="1"/>
  <c r="J2452" i="13"/>
  <c r="L2452" i="13" s="1"/>
  <c r="J2463" i="13"/>
  <c r="L2463" i="13" s="1"/>
  <c r="J2477" i="13"/>
  <c r="L2477" i="13" s="1"/>
  <c r="J2488" i="13"/>
  <c r="L2488" i="13" s="1"/>
  <c r="J2509" i="13"/>
  <c r="L2509" i="13" s="1"/>
  <c r="J2520" i="13"/>
  <c r="L2520" i="13" s="1"/>
  <c r="J2541" i="13"/>
  <c r="L2541" i="13" s="1"/>
  <c r="J2556" i="13"/>
  <c r="L2556" i="13" s="1"/>
  <c r="J2645" i="13"/>
  <c r="L2645" i="13" s="1"/>
  <c r="J2692" i="13"/>
  <c r="L2692" i="13" s="1"/>
  <c r="J2777" i="13"/>
  <c r="L2777" i="13" s="1"/>
  <c r="J2151" i="13"/>
  <c r="L2151" i="13" s="1"/>
  <c r="J2162" i="13"/>
  <c r="L2162" i="13" s="1"/>
  <c r="J2183" i="13"/>
  <c r="L2183" i="13" s="1"/>
  <c r="J2194" i="13"/>
  <c r="L2194" i="13" s="1"/>
  <c r="J2215" i="13"/>
  <c r="L2215" i="13" s="1"/>
  <c r="J2226" i="13"/>
  <c r="L2226" i="13" s="1"/>
  <c r="J2248" i="13"/>
  <c r="L2248" i="13" s="1"/>
  <c r="J2262" i="13"/>
  <c r="L2262" i="13" s="1"/>
  <c r="J2283" i="13"/>
  <c r="L2283" i="13" s="1"/>
  <c r="J2294" i="13"/>
  <c r="L2294" i="13" s="1"/>
  <c r="J2315" i="13"/>
  <c r="L2315" i="13" s="1"/>
  <c r="J2326" i="13"/>
  <c r="L2326" i="13" s="1"/>
  <c r="J2347" i="13"/>
  <c r="L2347" i="13" s="1"/>
  <c r="J2360" i="13"/>
  <c r="L2360" i="13" s="1"/>
  <c r="J2383" i="13"/>
  <c r="L2383" i="13" s="1"/>
  <c r="J2394" i="13"/>
  <c r="L2394" i="13" s="1"/>
  <c r="J2415" i="13"/>
  <c r="L2415" i="13" s="1"/>
  <c r="J2426" i="13"/>
  <c r="L2426" i="13" s="1"/>
  <c r="J2447" i="13"/>
  <c r="L2447" i="13" s="1"/>
  <c r="J2458" i="13"/>
  <c r="L2458" i="13" s="1"/>
  <c r="J2472" i="13"/>
  <c r="L2472" i="13" s="1"/>
  <c r="J2483" i="13"/>
  <c r="L2483" i="13" s="1"/>
  <c r="J2494" i="13"/>
  <c r="L2494" i="13" s="1"/>
  <c r="J2515" i="13"/>
  <c r="L2515" i="13" s="1"/>
  <c r="J2526" i="13"/>
  <c r="L2526" i="13" s="1"/>
  <c r="J2547" i="13"/>
  <c r="L2547" i="13" s="1"/>
  <c r="J2584" i="13"/>
  <c r="L2584" i="13" s="1"/>
  <c r="J2669" i="13"/>
  <c r="L2669" i="13" s="1"/>
  <c r="J2716" i="13"/>
  <c r="L2716" i="13" s="1"/>
  <c r="J2145" i="13"/>
  <c r="L2145" i="13" s="1"/>
  <c r="J2157" i="13"/>
  <c r="L2157" i="13" s="1"/>
  <c r="J2168" i="13"/>
  <c r="L2168" i="13" s="1"/>
  <c r="J2189" i="13"/>
  <c r="L2189" i="13" s="1"/>
  <c r="J2200" i="13"/>
  <c r="L2200" i="13" s="1"/>
  <c r="J2221" i="13"/>
  <c r="L2221" i="13" s="1"/>
  <c r="J2232" i="13"/>
  <c r="L2232" i="13" s="1"/>
  <c r="J2257" i="13"/>
  <c r="L2257" i="13" s="1"/>
  <c r="J2268" i="13"/>
  <c r="L2268" i="13" s="1"/>
  <c r="J2289" i="13"/>
  <c r="L2289" i="13" s="1"/>
  <c r="J2300" i="13"/>
  <c r="L2300" i="13" s="1"/>
  <c r="J2321" i="13"/>
  <c r="L2321" i="13" s="1"/>
  <c r="J2332" i="13"/>
  <c r="L2332" i="13" s="1"/>
  <c r="J2353" i="13"/>
  <c r="L2353" i="13" s="1"/>
  <c r="J2368" i="13"/>
  <c r="L2368" i="13" s="1"/>
  <c r="J2389" i="13"/>
  <c r="L2389" i="13" s="1"/>
  <c r="J2400" i="13"/>
  <c r="L2400" i="13" s="1"/>
  <c r="J2421" i="13"/>
  <c r="L2421" i="13" s="1"/>
  <c r="J2432" i="13"/>
  <c r="L2432" i="13" s="1"/>
  <c r="J2453" i="13"/>
  <c r="L2453" i="13" s="1"/>
  <c r="J2465" i="13"/>
  <c r="L2465" i="13" s="1"/>
  <c r="J2489" i="13"/>
  <c r="L2489" i="13" s="1"/>
  <c r="J2500" i="13"/>
  <c r="L2500" i="13" s="1"/>
  <c r="J2521" i="13"/>
  <c r="L2521" i="13" s="1"/>
  <c r="J2532" i="13"/>
  <c r="L2532" i="13" s="1"/>
  <c r="J2561" i="13"/>
  <c r="L2561" i="13" s="1"/>
  <c r="J2608" i="13"/>
  <c r="L2608" i="13" s="1"/>
  <c r="J2697" i="13"/>
  <c r="L2697" i="13" s="1"/>
  <c r="J2740" i="13"/>
  <c r="L2740" i="13" s="1"/>
  <c r="J2559" i="13"/>
  <c r="L2559" i="13" s="1"/>
  <c r="J2570" i="13"/>
  <c r="L2570" i="13" s="1"/>
  <c r="J2595" i="13"/>
  <c r="L2595" i="13" s="1"/>
  <c r="J2606" i="13"/>
  <c r="L2606" i="13" s="1"/>
  <c r="J2627" i="13"/>
  <c r="L2627" i="13" s="1"/>
  <c r="J2638" i="13"/>
  <c r="L2638" i="13" s="1"/>
  <c r="J2659" i="13"/>
  <c r="L2659" i="13" s="1"/>
  <c r="J2670" i="13"/>
  <c r="L2670" i="13" s="1"/>
  <c r="J2682" i="13"/>
  <c r="L2682" i="13" s="1"/>
  <c r="J2695" i="13"/>
  <c r="L2695" i="13" s="1"/>
  <c r="J2706" i="13"/>
  <c r="L2706" i="13" s="1"/>
  <c r="J2727" i="13"/>
  <c r="L2727" i="13" s="1"/>
  <c r="J2738" i="13"/>
  <c r="L2738" i="13" s="1"/>
  <c r="J2759" i="13"/>
  <c r="L2759" i="13" s="1"/>
  <c r="J2770" i="13"/>
  <c r="L2770" i="13" s="1"/>
  <c r="J2557" i="13"/>
  <c r="L2557" i="13" s="1"/>
  <c r="J2568" i="13"/>
  <c r="L2568" i="13" s="1"/>
  <c r="J2593" i="13"/>
  <c r="L2593" i="13" s="1"/>
  <c r="J2604" i="13"/>
  <c r="L2604" i="13" s="1"/>
  <c r="J2625" i="13"/>
  <c r="L2625" i="13" s="1"/>
  <c r="J2636" i="13"/>
  <c r="L2636" i="13" s="1"/>
  <c r="J2657" i="13"/>
  <c r="L2657" i="13" s="1"/>
  <c r="J2668" i="13"/>
  <c r="L2668" i="13" s="1"/>
  <c r="J2679" i="13"/>
  <c r="L2679" i="13" s="1"/>
  <c r="J2693" i="13"/>
  <c r="L2693" i="13" s="1"/>
  <c r="J2704" i="13"/>
  <c r="L2704" i="13" s="1"/>
  <c r="J2725" i="13"/>
  <c r="L2725" i="13" s="1"/>
  <c r="J2736" i="13"/>
  <c r="L2736" i="13" s="1"/>
  <c r="J2757" i="13"/>
  <c r="L2757" i="13" s="1"/>
  <c r="J2768" i="13"/>
  <c r="L2768" i="13" s="1"/>
  <c r="J2555" i="13"/>
  <c r="L2555" i="13" s="1"/>
  <c r="J2566" i="13"/>
  <c r="L2566" i="13" s="1"/>
  <c r="J2580" i="13"/>
  <c r="L2580" i="13" s="1"/>
  <c r="J2591" i="13"/>
  <c r="L2591" i="13" s="1"/>
  <c r="J2602" i="13"/>
  <c r="L2602" i="13" s="1"/>
  <c r="J2623" i="13"/>
  <c r="L2623" i="13" s="1"/>
  <c r="J2634" i="13"/>
  <c r="L2634" i="13" s="1"/>
  <c r="J2655" i="13"/>
  <c r="L2655" i="13" s="1"/>
  <c r="J2666" i="13"/>
  <c r="L2666" i="13" s="1"/>
  <c r="J2691" i="13"/>
  <c r="L2691" i="13" s="1"/>
  <c r="J2702" i="13"/>
  <c r="L2702" i="13" s="1"/>
  <c r="J2723" i="13"/>
  <c r="L2723" i="13" s="1"/>
  <c r="J2734" i="13"/>
  <c r="L2734" i="13" s="1"/>
  <c r="J2755" i="13"/>
  <c r="L2755" i="13" s="1"/>
  <c r="J2766" i="13"/>
  <c r="L2766" i="13" s="1"/>
  <c r="T22" i="5"/>
  <c r="T20" i="5"/>
  <c r="T64" i="5"/>
  <c r="T72" i="5"/>
  <c r="T19" i="5"/>
  <c r="T47" i="5"/>
  <c r="T33" i="5"/>
  <c r="T25" i="5"/>
  <c r="T51" i="5"/>
  <c r="T21" i="5"/>
  <c r="T45" i="5"/>
  <c r="J18" i="13"/>
  <c r="L18" i="13" s="1"/>
  <c r="J66" i="13"/>
  <c r="L66" i="13" s="1"/>
  <c r="J199" i="13"/>
  <c r="L199" i="13" s="1"/>
  <c r="J228" i="13"/>
  <c r="L228" i="13" s="1"/>
  <c r="J323" i="13"/>
  <c r="L323" i="13" s="1"/>
  <c r="J387" i="13"/>
  <c r="L387" i="13" s="1"/>
  <c r="J463" i="13"/>
  <c r="L463" i="13" s="1"/>
  <c r="J595" i="13"/>
  <c r="L595" i="13" s="1"/>
  <c r="J769" i="13"/>
  <c r="L769" i="13" s="1"/>
  <c r="J881" i="13"/>
  <c r="L881" i="13" s="1"/>
  <c r="J1001" i="13"/>
  <c r="L1001" i="13" s="1"/>
  <c r="J19" i="13"/>
  <c r="L19" i="13" s="1"/>
  <c r="J35" i="13"/>
  <c r="L35" i="13" s="1"/>
  <c r="J51" i="13"/>
  <c r="L51" i="13" s="1"/>
  <c r="J67" i="13"/>
  <c r="L67" i="13" s="1"/>
  <c r="J81" i="13"/>
  <c r="L81" i="13" s="1"/>
  <c r="J102" i="13"/>
  <c r="L102" i="13" s="1"/>
  <c r="J113" i="13"/>
  <c r="L113" i="13" s="1"/>
  <c r="J134" i="13"/>
  <c r="L134" i="13" s="1"/>
  <c r="J145" i="13"/>
  <c r="L145" i="13" s="1"/>
  <c r="J166" i="13"/>
  <c r="L166" i="13" s="1"/>
  <c r="J179" i="13"/>
  <c r="L179" i="13" s="1"/>
  <c r="J202" i="13"/>
  <c r="L202" i="13" s="1"/>
  <c r="J213" i="13"/>
  <c r="L213" i="13" s="1"/>
  <c r="J234" i="13"/>
  <c r="L234" i="13" s="1"/>
  <c r="J245" i="13"/>
  <c r="L245" i="13" s="1"/>
  <c r="J266" i="13"/>
  <c r="L266" i="13" s="1"/>
  <c r="J277" i="13"/>
  <c r="L277" i="13" s="1"/>
  <c r="J291" i="13"/>
  <c r="L291" i="13" s="1"/>
  <c r="J302" i="13"/>
  <c r="L302" i="13" s="1"/>
  <c r="J313" i="13"/>
  <c r="L313" i="13" s="1"/>
  <c r="J334" i="13"/>
  <c r="L334" i="13" s="1"/>
  <c r="J345" i="13"/>
  <c r="L345" i="13" s="1"/>
  <c r="J366" i="13"/>
  <c r="L366" i="13" s="1"/>
  <c r="J377" i="13"/>
  <c r="L377" i="13" s="1"/>
  <c r="J402" i="13"/>
  <c r="L402" i="13" s="1"/>
  <c r="J476" i="13"/>
  <c r="L476" i="13" s="1"/>
  <c r="J523" i="13"/>
  <c r="L523" i="13" s="1"/>
  <c r="J610" i="13"/>
  <c r="L610" i="13" s="1"/>
  <c r="J655" i="13"/>
  <c r="L655" i="13" s="1"/>
  <c r="J747" i="13"/>
  <c r="L747" i="13" s="1"/>
  <c r="J779" i="13"/>
  <c r="L779" i="13" s="1"/>
  <c r="J811" i="13"/>
  <c r="L811" i="13" s="1"/>
  <c r="J843" i="13"/>
  <c r="L843" i="13" s="1"/>
  <c r="J875" i="13"/>
  <c r="L875" i="13" s="1"/>
  <c r="J907" i="13"/>
  <c r="L907" i="13" s="1"/>
  <c r="J939" i="13"/>
  <c r="L939" i="13" s="1"/>
  <c r="J1017" i="13"/>
  <c r="L1017" i="13" s="1"/>
  <c r="J1273" i="13"/>
  <c r="L1273" i="13" s="1"/>
  <c r="J1529" i="13"/>
  <c r="L1529" i="13" s="1"/>
  <c r="J1684" i="13"/>
  <c r="L1684" i="13" s="1"/>
  <c r="J1828" i="13"/>
  <c r="L1828" i="13" s="1"/>
  <c r="J26" i="13"/>
  <c r="L26" i="13" s="1"/>
  <c r="J74" i="13"/>
  <c r="L74" i="13" s="1"/>
  <c r="J107" i="13"/>
  <c r="L107" i="13" s="1"/>
  <c r="J139" i="13"/>
  <c r="L139" i="13" s="1"/>
  <c r="J168" i="13"/>
  <c r="L168" i="13" s="1"/>
  <c r="J207" i="13"/>
  <c r="L207" i="13" s="1"/>
  <c r="J239" i="13"/>
  <c r="L239" i="13" s="1"/>
  <c r="J271" i="13"/>
  <c r="L271" i="13" s="1"/>
  <c r="J344" i="13"/>
  <c r="L344" i="13" s="1"/>
  <c r="J452" i="13"/>
  <c r="L452" i="13" s="1"/>
  <c r="J584" i="13"/>
  <c r="L584" i="13" s="1"/>
  <c r="J761" i="13"/>
  <c r="L761" i="13" s="1"/>
  <c r="J849" i="13"/>
  <c r="L849" i="13" s="1"/>
  <c r="J937" i="13"/>
  <c r="L937" i="13" s="1"/>
  <c r="J1513" i="13"/>
  <c r="L1513" i="13" s="1"/>
  <c r="J24" i="13"/>
  <c r="L24" i="13" s="1"/>
  <c r="J40" i="13"/>
  <c r="L40" i="13" s="1"/>
  <c r="J56" i="13"/>
  <c r="L56" i="13" s="1"/>
  <c r="J72" i="13"/>
  <c r="L72" i="13" s="1"/>
  <c r="J84" i="13"/>
  <c r="L84" i="13" s="1"/>
  <c r="J95" i="13"/>
  <c r="L95" i="13" s="1"/>
  <c r="J116" i="13"/>
  <c r="L116" i="13" s="1"/>
  <c r="J127" i="13"/>
  <c r="L127" i="13" s="1"/>
  <c r="J148" i="13"/>
  <c r="L148" i="13" s="1"/>
  <c r="J159" i="13"/>
  <c r="L159" i="13" s="1"/>
  <c r="J184" i="13"/>
  <c r="L184" i="13" s="1"/>
  <c r="J195" i="13"/>
  <c r="L195" i="13" s="1"/>
  <c r="J216" i="13"/>
  <c r="L216" i="13" s="1"/>
  <c r="J227" i="13"/>
  <c r="L227" i="13" s="1"/>
  <c r="J248" i="13"/>
  <c r="L248" i="13" s="1"/>
  <c r="J259" i="13"/>
  <c r="L259" i="13" s="1"/>
  <c r="J280" i="13"/>
  <c r="L280" i="13" s="1"/>
  <c r="J295" i="13"/>
  <c r="L295" i="13" s="1"/>
  <c r="J316" i="13"/>
  <c r="L316" i="13" s="1"/>
  <c r="J327" i="13"/>
  <c r="L327" i="13" s="1"/>
  <c r="J348" i="13"/>
  <c r="L348" i="13" s="1"/>
  <c r="J359" i="13"/>
  <c r="L359" i="13" s="1"/>
  <c r="J380" i="13"/>
  <c r="L380" i="13" s="1"/>
  <c r="J392" i="13"/>
  <c r="L392" i="13" s="1"/>
  <c r="J447" i="13"/>
  <c r="L447" i="13" s="1"/>
  <c r="J536" i="13"/>
  <c r="L536" i="13" s="1"/>
  <c r="J579" i="13"/>
  <c r="L579" i="13" s="1"/>
  <c r="J668" i="13"/>
  <c r="L668" i="13" s="1"/>
  <c r="J711" i="13"/>
  <c r="L711" i="13" s="1"/>
  <c r="J715" i="13"/>
  <c r="L715" i="13" s="1"/>
  <c r="J757" i="13"/>
  <c r="L757" i="13" s="1"/>
  <c r="J789" i="13"/>
  <c r="L789" i="13" s="1"/>
  <c r="J821" i="13"/>
  <c r="L821" i="13" s="1"/>
  <c r="J853" i="13"/>
  <c r="L853" i="13" s="1"/>
  <c r="J885" i="13"/>
  <c r="L885" i="13" s="1"/>
  <c r="J917" i="13"/>
  <c r="L917" i="13" s="1"/>
  <c r="J949" i="13"/>
  <c r="L949" i="13" s="1"/>
  <c r="J1097" i="13"/>
  <c r="L1097" i="13" s="1"/>
  <c r="J1353" i="13"/>
  <c r="L1353" i="13" s="1"/>
  <c r="J1609" i="13"/>
  <c r="L1609" i="13" s="1"/>
  <c r="J1730" i="13"/>
  <c r="L1730" i="13" s="1"/>
  <c r="J30" i="13"/>
  <c r="L30" i="13" s="1"/>
  <c r="J80" i="13"/>
  <c r="L80" i="13" s="1"/>
  <c r="J112" i="13"/>
  <c r="L112" i="13" s="1"/>
  <c r="J182" i="13"/>
  <c r="L182" i="13" s="1"/>
  <c r="J252" i="13"/>
  <c r="L252" i="13" s="1"/>
  <c r="J286" i="13"/>
  <c r="L286" i="13" s="1"/>
  <c r="J376" i="13"/>
  <c r="L376" i="13" s="1"/>
  <c r="J431" i="13"/>
  <c r="L431" i="13" s="1"/>
  <c r="J753" i="13"/>
  <c r="L753" i="13" s="1"/>
  <c r="J857" i="13"/>
  <c r="L857" i="13" s="1"/>
  <c r="J1641" i="13"/>
  <c r="L1641" i="13" s="1"/>
  <c r="J17" i="13"/>
  <c r="L17" i="13" s="1"/>
  <c r="J33" i="13"/>
  <c r="L33" i="13" s="1"/>
  <c r="J49" i="13"/>
  <c r="L49" i="13" s="1"/>
  <c r="J65" i="13"/>
  <c r="L65" i="13" s="1"/>
  <c r="J90" i="13"/>
  <c r="L90" i="13" s="1"/>
  <c r="J101" i="13"/>
  <c r="L101" i="13" s="1"/>
  <c r="J122" i="13"/>
  <c r="L122" i="13" s="1"/>
  <c r="J133" i="13"/>
  <c r="L133" i="13" s="1"/>
  <c r="J154" i="13"/>
  <c r="L154" i="13" s="1"/>
  <c r="J165" i="13"/>
  <c r="L165" i="13" s="1"/>
  <c r="J177" i="13"/>
  <c r="L177" i="13" s="1"/>
  <c r="J190" i="13"/>
  <c r="L190" i="13" s="1"/>
  <c r="J201" i="13"/>
  <c r="L201" i="13" s="1"/>
  <c r="J222" i="13"/>
  <c r="L222" i="13" s="1"/>
  <c r="J233" i="13"/>
  <c r="L233" i="13" s="1"/>
  <c r="J254" i="13"/>
  <c r="L254" i="13" s="1"/>
  <c r="J265" i="13"/>
  <c r="L265" i="13" s="1"/>
  <c r="J289" i="13"/>
  <c r="L289" i="13" s="1"/>
  <c r="J301" i="13"/>
  <c r="L301" i="13" s="1"/>
  <c r="J322" i="13"/>
  <c r="L322" i="13" s="1"/>
  <c r="J333" i="13"/>
  <c r="L333" i="13" s="1"/>
  <c r="J354" i="13"/>
  <c r="L354" i="13" s="1"/>
  <c r="J365" i="13"/>
  <c r="L365" i="13" s="1"/>
  <c r="J386" i="13"/>
  <c r="L386" i="13" s="1"/>
  <c r="J401" i="13"/>
  <c r="L401" i="13" s="1"/>
  <c r="J428" i="13"/>
  <c r="L428" i="13" s="1"/>
  <c r="J471" i="13"/>
  <c r="L471" i="13" s="1"/>
  <c r="J560" i="13"/>
  <c r="L560" i="13" s="1"/>
  <c r="J603" i="13"/>
  <c r="L603" i="13" s="1"/>
  <c r="J692" i="13"/>
  <c r="L692" i="13" s="1"/>
  <c r="J743" i="13"/>
  <c r="L743" i="13" s="1"/>
  <c r="J775" i="13"/>
  <c r="L775" i="13" s="1"/>
  <c r="J807" i="13"/>
  <c r="L807" i="13" s="1"/>
  <c r="J839" i="13"/>
  <c r="L839" i="13" s="1"/>
  <c r="J871" i="13"/>
  <c r="L871" i="13" s="1"/>
  <c r="J903" i="13"/>
  <c r="L903" i="13" s="1"/>
  <c r="J935" i="13"/>
  <c r="L935" i="13" s="1"/>
  <c r="J1241" i="13"/>
  <c r="L1241" i="13" s="1"/>
  <c r="J1497" i="13"/>
  <c r="L1497" i="13" s="1"/>
  <c r="J1811" i="13"/>
  <c r="L1811" i="13" s="1"/>
  <c r="J418" i="13"/>
  <c r="L418" i="13" s="1"/>
  <c r="J429" i="13"/>
  <c r="L429" i="13" s="1"/>
  <c r="J450" i="13"/>
  <c r="L450" i="13" s="1"/>
  <c r="J461" i="13"/>
  <c r="L461" i="13" s="1"/>
  <c r="J482" i="13"/>
  <c r="L482" i="13" s="1"/>
  <c r="J493" i="13"/>
  <c r="L493" i="13" s="1"/>
  <c r="J507" i="13"/>
  <c r="L507" i="13" s="1"/>
  <c r="J518" i="13"/>
  <c r="L518" i="13" s="1"/>
  <c r="J529" i="13"/>
  <c r="L529" i="13" s="1"/>
  <c r="J550" i="13"/>
  <c r="L550" i="13" s="1"/>
  <c r="J561" i="13"/>
  <c r="L561" i="13" s="1"/>
  <c r="J582" i="13"/>
  <c r="L582" i="13" s="1"/>
  <c r="J593" i="13"/>
  <c r="L593" i="13" s="1"/>
  <c r="J618" i="13"/>
  <c r="L618" i="13" s="1"/>
  <c r="J629" i="13"/>
  <c r="L629" i="13" s="1"/>
  <c r="J650" i="13"/>
  <c r="L650" i="13" s="1"/>
  <c r="J661" i="13"/>
  <c r="L661" i="13" s="1"/>
  <c r="J682" i="13"/>
  <c r="L682" i="13" s="1"/>
  <c r="J693" i="13"/>
  <c r="L693" i="13" s="1"/>
  <c r="J717" i="13"/>
  <c r="L717" i="13" s="1"/>
  <c r="J725" i="13"/>
  <c r="L725" i="13" s="1"/>
  <c r="J735" i="13"/>
  <c r="L735" i="13" s="1"/>
  <c r="J1053" i="13"/>
  <c r="L1053" i="13" s="1"/>
  <c r="J1117" i="13"/>
  <c r="L1117" i="13" s="1"/>
  <c r="J1181" i="13"/>
  <c r="L1181" i="13" s="1"/>
  <c r="J1245" i="13"/>
  <c r="L1245" i="13" s="1"/>
  <c r="J1309" i="13"/>
  <c r="L1309" i="13" s="1"/>
  <c r="J1373" i="13"/>
  <c r="L1373" i="13" s="1"/>
  <c r="J1437" i="13"/>
  <c r="L1437" i="13" s="1"/>
  <c r="J1501" i="13"/>
  <c r="L1501" i="13" s="1"/>
  <c r="J1565" i="13"/>
  <c r="L1565" i="13" s="1"/>
  <c r="J1629" i="13"/>
  <c r="L1629" i="13" s="1"/>
  <c r="J1744" i="13"/>
  <c r="L1744" i="13" s="1"/>
  <c r="J1813" i="13"/>
  <c r="L1813" i="13" s="1"/>
  <c r="J2479" i="13"/>
  <c r="L2479" i="13" s="1"/>
  <c r="J416" i="13"/>
  <c r="L416" i="13" s="1"/>
  <c r="J427" i="13"/>
  <c r="L427" i="13" s="1"/>
  <c r="J448" i="13"/>
  <c r="L448" i="13" s="1"/>
  <c r="J459" i="13"/>
  <c r="L459" i="13" s="1"/>
  <c r="J480" i="13"/>
  <c r="L480" i="13" s="1"/>
  <c r="J491" i="13"/>
  <c r="L491" i="13" s="1"/>
  <c r="J504" i="13"/>
  <c r="L504" i="13" s="1"/>
  <c r="J516" i="13"/>
  <c r="L516" i="13" s="1"/>
  <c r="J527" i="13"/>
  <c r="L527" i="13" s="1"/>
  <c r="J548" i="13"/>
  <c r="L548" i="13" s="1"/>
  <c r="J559" i="13"/>
  <c r="L559" i="13" s="1"/>
  <c r="J580" i="13"/>
  <c r="L580" i="13" s="1"/>
  <c r="J591" i="13"/>
  <c r="L591" i="13" s="1"/>
  <c r="J616" i="13"/>
  <c r="L616" i="13" s="1"/>
  <c r="J627" i="13"/>
  <c r="L627" i="13" s="1"/>
  <c r="J648" i="13"/>
  <c r="L648" i="13" s="1"/>
  <c r="J659" i="13"/>
  <c r="L659" i="13" s="1"/>
  <c r="J680" i="13"/>
  <c r="L680" i="13" s="1"/>
  <c r="J691" i="13"/>
  <c r="L691" i="13" s="1"/>
  <c r="J732" i="13"/>
  <c r="L732" i="13" s="1"/>
  <c r="J742" i="13"/>
  <c r="L742" i="13" s="1"/>
  <c r="J750" i="13"/>
  <c r="L750" i="13" s="1"/>
  <c r="J758" i="13"/>
  <c r="L758" i="13" s="1"/>
  <c r="J766" i="13"/>
  <c r="L766" i="13" s="1"/>
  <c r="J774" i="13"/>
  <c r="L774" i="13" s="1"/>
  <c r="J782" i="13"/>
  <c r="L782" i="13" s="1"/>
  <c r="J790" i="13"/>
  <c r="L790" i="13" s="1"/>
  <c r="J798" i="13"/>
  <c r="L798" i="13" s="1"/>
  <c r="J806" i="13"/>
  <c r="L806" i="13" s="1"/>
  <c r="J814" i="13"/>
  <c r="L814" i="13" s="1"/>
  <c r="J822" i="13"/>
  <c r="L822" i="13" s="1"/>
  <c r="J830" i="13"/>
  <c r="L830" i="13" s="1"/>
  <c r="J838" i="13"/>
  <c r="L838" i="13" s="1"/>
  <c r="J846" i="13"/>
  <c r="L846" i="13" s="1"/>
  <c r="J854" i="13"/>
  <c r="L854" i="13" s="1"/>
  <c r="J862" i="13"/>
  <c r="L862" i="13" s="1"/>
  <c r="J870" i="13"/>
  <c r="L870" i="13" s="1"/>
  <c r="J878" i="13"/>
  <c r="L878" i="13" s="1"/>
  <c r="J886" i="13"/>
  <c r="L886" i="13" s="1"/>
  <c r="J894" i="13"/>
  <c r="L894" i="13" s="1"/>
  <c r="J902" i="13"/>
  <c r="L902" i="13" s="1"/>
  <c r="J910" i="13"/>
  <c r="L910" i="13" s="1"/>
  <c r="J918" i="13"/>
  <c r="L918" i="13" s="1"/>
  <c r="J926" i="13"/>
  <c r="L926" i="13" s="1"/>
  <c r="J934" i="13"/>
  <c r="L934" i="13" s="1"/>
  <c r="J942" i="13"/>
  <c r="L942" i="13" s="1"/>
  <c r="J950" i="13"/>
  <c r="L950" i="13" s="1"/>
  <c r="J1041" i="13"/>
  <c r="L1041" i="13" s="1"/>
  <c r="J1105" i="13"/>
  <c r="L1105" i="13" s="1"/>
  <c r="J1169" i="13"/>
  <c r="L1169" i="13" s="1"/>
  <c r="J1233" i="13"/>
  <c r="L1233" i="13" s="1"/>
  <c r="J1297" i="13"/>
  <c r="L1297" i="13" s="1"/>
  <c r="J1361" i="13"/>
  <c r="L1361" i="13" s="1"/>
  <c r="J1425" i="13"/>
  <c r="L1425" i="13" s="1"/>
  <c r="J1489" i="13"/>
  <c r="L1489" i="13" s="1"/>
  <c r="J1553" i="13"/>
  <c r="L1553" i="13" s="1"/>
  <c r="J1617" i="13"/>
  <c r="L1617" i="13" s="1"/>
  <c r="J1698" i="13"/>
  <c r="L1698" i="13" s="1"/>
  <c r="J1735" i="13"/>
  <c r="L1735" i="13" s="1"/>
  <c r="J1772" i="13"/>
  <c r="L1772" i="13" s="1"/>
  <c r="J1874" i="13"/>
  <c r="L1874" i="13" s="1"/>
  <c r="J2015" i="13"/>
  <c r="L2015" i="13" s="1"/>
  <c r="J2343" i="13"/>
  <c r="L2343" i="13" s="1"/>
  <c r="J422" i="13"/>
  <c r="L422" i="13" s="1"/>
  <c r="J433" i="13"/>
  <c r="L433" i="13" s="1"/>
  <c r="J454" i="13"/>
  <c r="L454" i="13" s="1"/>
  <c r="J465" i="13"/>
  <c r="L465" i="13" s="1"/>
  <c r="J486" i="13"/>
  <c r="L486" i="13" s="1"/>
  <c r="J497" i="13"/>
  <c r="L497" i="13" s="1"/>
  <c r="J522" i="13"/>
  <c r="L522" i="13" s="1"/>
  <c r="J533" i="13"/>
  <c r="L533" i="13" s="1"/>
  <c r="J554" i="13"/>
  <c r="L554" i="13" s="1"/>
  <c r="J565" i="13"/>
  <c r="L565" i="13" s="1"/>
  <c r="J586" i="13"/>
  <c r="L586" i="13" s="1"/>
  <c r="J597" i="13"/>
  <c r="L597" i="13" s="1"/>
  <c r="J609" i="13"/>
  <c r="L609" i="13" s="1"/>
  <c r="J622" i="13"/>
  <c r="L622" i="13" s="1"/>
  <c r="J633" i="13"/>
  <c r="L633" i="13" s="1"/>
  <c r="J654" i="13"/>
  <c r="L654" i="13" s="1"/>
  <c r="J665" i="13"/>
  <c r="L665" i="13" s="1"/>
  <c r="J686" i="13"/>
  <c r="L686" i="13" s="1"/>
  <c r="J697" i="13"/>
  <c r="L697" i="13" s="1"/>
  <c r="J1013" i="13"/>
  <c r="L1013" i="13" s="1"/>
  <c r="J1077" i="13"/>
  <c r="L1077" i="13" s="1"/>
  <c r="J1141" i="13"/>
  <c r="L1141" i="13" s="1"/>
  <c r="J1205" i="13"/>
  <c r="L1205" i="13" s="1"/>
  <c r="J1269" i="13"/>
  <c r="L1269" i="13" s="1"/>
  <c r="J1333" i="13"/>
  <c r="L1333" i="13" s="1"/>
  <c r="J1397" i="13"/>
  <c r="L1397" i="13" s="1"/>
  <c r="J1461" i="13"/>
  <c r="L1461" i="13" s="1"/>
  <c r="J1525" i="13"/>
  <c r="L1525" i="13" s="1"/>
  <c r="J1589" i="13"/>
  <c r="L1589" i="13" s="1"/>
  <c r="J1653" i="13"/>
  <c r="L1653" i="13" s="1"/>
  <c r="J1682" i="13"/>
  <c r="L1682" i="13" s="1"/>
  <c r="J1757" i="13"/>
  <c r="L1757" i="13" s="1"/>
  <c r="J1826" i="13"/>
  <c r="L1826" i="13" s="1"/>
  <c r="J2100" i="13"/>
  <c r="L2100" i="13" s="1"/>
  <c r="J951" i="13"/>
  <c r="L951" i="13" s="1"/>
  <c r="J959" i="13"/>
  <c r="L959" i="13" s="1"/>
  <c r="J967" i="13"/>
  <c r="L967" i="13" s="1"/>
  <c r="J975" i="13"/>
  <c r="L975" i="13" s="1"/>
  <c r="J983" i="13"/>
  <c r="L983" i="13" s="1"/>
  <c r="J991" i="13"/>
  <c r="L991" i="13" s="1"/>
  <c r="J999" i="13"/>
  <c r="L999" i="13" s="1"/>
  <c r="J1014" i="13"/>
  <c r="L1014" i="13" s="1"/>
  <c r="J1030" i="13"/>
  <c r="L1030" i="13" s="1"/>
  <c r="J1046" i="13"/>
  <c r="L1046" i="13" s="1"/>
  <c r="J1062" i="13"/>
  <c r="L1062" i="13" s="1"/>
  <c r="J1078" i="13"/>
  <c r="L1078" i="13" s="1"/>
  <c r="J1094" i="13"/>
  <c r="L1094" i="13" s="1"/>
  <c r="J1110" i="13"/>
  <c r="L1110" i="13" s="1"/>
  <c r="J1126" i="13"/>
  <c r="L1126" i="13" s="1"/>
  <c r="J1142" i="13"/>
  <c r="L1142" i="13" s="1"/>
  <c r="J1158" i="13"/>
  <c r="L1158" i="13" s="1"/>
  <c r="J1174" i="13"/>
  <c r="L1174" i="13" s="1"/>
  <c r="J1190" i="13"/>
  <c r="L1190" i="13" s="1"/>
  <c r="J1206" i="13"/>
  <c r="L1206" i="13" s="1"/>
  <c r="J1222" i="13"/>
  <c r="L1222" i="13" s="1"/>
  <c r="J1238" i="13"/>
  <c r="L1238" i="13" s="1"/>
  <c r="J1254" i="13"/>
  <c r="L1254" i="13" s="1"/>
  <c r="J1270" i="13"/>
  <c r="L1270" i="13" s="1"/>
  <c r="J1286" i="13"/>
  <c r="L1286" i="13" s="1"/>
  <c r="J1302" i="13"/>
  <c r="L1302" i="13" s="1"/>
  <c r="J1318" i="13"/>
  <c r="L1318" i="13" s="1"/>
  <c r="J1334" i="13"/>
  <c r="L1334" i="13" s="1"/>
  <c r="J1350" i="13"/>
  <c r="L1350" i="13" s="1"/>
  <c r="J1366" i="13"/>
  <c r="L1366" i="13" s="1"/>
  <c r="J1382" i="13"/>
  <c r="L1382" i="13" s="1"/>
  <c r="J1398" i="13"/>
  <c r="L1398" i="13" s="1"/>
  <c r="J1414" i="13"/>
  <c r="L1414" i="13" s="1"/>
  <c r="J1430" i="13"/>
  <c r="L1430" i="13" s="1"/>
  <c r="J1446" i="13"/>
  <c r="L1446" i="13" s="1"/>
  <c r="J1462" i="13"/>
  <c r="L1462" i="13" s="1"/>
  <c r="J1478" i="13"/>
  <c r="L1478" i="13" s="1"/>
  <c r="J1494" i="13"/>
  <c r="L1494" i="13" s="1"/>
  <c r="J1510" i="13"/>
  <c r="L1510" i="13" s="1"/>
  <c r="J1526" i="13"/>
  <c r="L1526" i="13" s="1"/>
  <c r="J1542" i="13"/>
  <c r="L1542" i="13" s="1"/>
  <c r="J1558" i="13"/>
  <c r="L1558" i="13" s="1"/>
  <c r="J1574" i="13"/>
  <c r="L1574" i="13" s="1"/>
  <c r="J1590" i="13"/>
  <c r="L1590" i="13" s="1"/>
  <c r="J1606" i="13"/>
  <c r="L1606" i="13" s="1"/>
  <c r="J1622" i="13"/>
  <c r="L1622" i="13" s="1"/>
  <c r="J1638" i="13"/>
  <c r="L1638" i="13" s="1"/>
  <c r="J1654" i="13"/>
  <c r="L1654" i="13" s="1"/>
  <c r="J1670" i="13"/>
  <c r="L1670" i="13" s="1"/>
  <c r="J1710" i="13"/>
  <c r="L1710" i="13" s="1"/>
  <c r="J1719" i="13"/>
  <c r="L1719" i="13" s="1"/>
  <c r="J1728" i="13"/>
  <c r="L1728" i="13" s="1"/>
  <c r="J1740" i="13"/>
  <c r="L1740" i="13" s="1"/>
  <c r="J1749" i="13"/>
  <c r="L1749" i="13" s="1"/>
  <c r="J1766" i="13"/>
  <c r="L1766" i="13" s="1"/>
  <c r="J1792" i="13"/>
  <c r="L1792" i="13" s="1"/>
  <c r="J1809" i="13"/>
  <c r="L1809" i="13" s="1"/>
  <c r="J1818" i="13"/>
  <c r="L1818" i="13" s="1"/>
  <c r="J1850" i="13"/>
  <c r="L1850" i="13" s="1"/>
  <c r="J1919" i="13"/>
  <c r="L1919" i="13" s="1"/>
  <c r="J1991" i="13"/>
  <c r="L1991" i="13" s="1"/>
  <c r="J2060" i="13"/>
  <c r="L2060" i="13" s="1"/>
  <c r="J2104" i="13"/>
  <c r="L2104" i="13" s="1"/>
  <c r="J2222" i="13"/>
  <c r="L2222" i="13" s="1"/>
  <c r="J2653" i="13"/>
  <c r="L2653" i="13" s="1"/>
  <c r="J1011" i="13"/>
  <c r="L1011" i="13" s="1"/>
  <c r="J1027" i="13"/>
  <c r="L1027" i="13" s="1"/>
  <c r="J1043" i="13"/>
  <c r="L1043" i="13" s="1"/>
  <c r="J1059" i="13"/>
  <c r="L1059" i="13" s="1"/>
  <c r="J1075" i="13"/>
  <c r="L1075" i="13" s="1"/>
  <c r="J1091" i="13"/>
  <c r="L1091" i="13" s="1"/>
  <c r="J1107" i="13"/>
  <c r="L1107" i="13" s="1"/>
  <c r="J1123" i="13"/>
  <c r="L1123" i="13" s="1"/>
  <c r="J1139" i="13"/>
  <c r="L1139" i="13" s="1"/>
  <c r="J1155" i="13"/>
  <c r="L1155" i="13" s="1"/>
  <c r="J1171" i="13"/>
  <c r="L1171" i="13" s="1"/>
  <c r="J1187" i="13"/>
  <c r="L1187" i="13" s="1"/>
  <c r="J1203" i="13"/>
  <c r="L1203" i="13" s="1"/>
  <c r="J1219" i="13"/>
  <c r="L1219" i="13" s="1"/>
  <c r="J1235" i="13"/>
  <c r="L1235" i="13" s="1"/>
  <c r="J1251" i="13"/>
  <c r="L1251" i="13" s="1"/>
  <c r="J1267" i="13"/>
  <c r="L1267" i="13" s="1"/>
  <c r="J1283" i="13"/>
  <c r="L1283" i="13" s="1"/>
  <c r="J1299" i="13"/>
  <c r="L1299" i="13" s="1"/>
  <c r="J1315" i="13"/>
  <c r="L1315" i="13" s="1"/>
  <c r="J1331" i="13"/>
  <c r="L1331" i="13" s="1"/>
  <c r="J1347" i="13"/>
  <c r="L1347" i="13" s="1"/>
  <c r="J1363" i="13"/>
  <c r="L1363" i="13" s="1"/>
  <c r="J1379" i="13"/>
  <c r="L1379" i="13" s="1"/>
  <c r="J1395" i="13"/>
  <c r="L1395" i="13" s="1"/>
  <c r="J1411" i="13"/>
  <c r="L1411" i="13" s="1"/>
  <c r="J1427" i="13"/>
  <c r="L1427" i="13" s="1"/>
  <c r="J1443" i="13"/>
  <c r="L1443" i="13" s="1"/>
  <c r="J1459" i="13"/>
  <c r="L1459" i="13" s="1"/>
  <c r="J1475" i="13"/>
  <c r="L1475" i="13" s="1"/>
  <c r="J1491" i="13"/>
  <c r="L1491" i="13" s="1"/>
  <c r="J1507" i="13"/>
  <c r="L1507" i="13" s="1"/>
  <c r="J1523" i="13"/>
  <c r="L1523" i="13" s="1"/>
  <c r="J1539" i="13"/>
  <c r="L1539" i="13" s="1"/>
  <c r="J1555" i="13"/>
  <c r="L1555" i="13" s="1"/>
  <c r="J1571" i="13"/>
  <c r="L1571" i="13" s="1"/>
  <c r="J1587" i="13"/>
  <c r="L1587" i="13" s="1"/>
  <c r="J1603" i="13"/>
  <c r="L1603" i="13" s="1"/>
  <c r="J1619" i="13"/>
  <c r="L1619" i="13" s="1"/>
  <c r="J1635" i="13"/>
  <c r="L1635" i="13" s="1"/>
  <c r="J1651" i="13"/>
  <c r="L1651" i="13" s="1"/>
  <c r="J1667" i="13"/>
  <c r="L1667" i="13" s="1"/>
  <c r="J1680" i="13"/>
  <c r="L1680" i="13" s="1"/>
  <c r="J1690" i="13"/>
  <c r="L1690" i="13" s="1"/>
  <c r="J1699" i="13"/>
  <c r="L1699" i="13" s="1"/>
  <c r="J1708" i="13"/>
  <c r="L1708" i="13" s="1"/>
  <c r="J1717" i="13"/>
  <c r="L1717" i="13" s="1"/>
  <c r="J1737" i="13"/>
  <c r="L1737" i="13" s="1"/>
  <c r="J1747" i="13"/>
  <c r="L1747" i="13" s="1"/>
  <c r="J1756" i="13"/>
  <c r="L1756" i="13" s="1"/>
  <c r="J1773" i="13"/>
  <c r="L1773" i="13" s="1"/>
  <c r="J1799" i="13"/>
  <c r="L1799" i="13" s="1"/>
  <c r="J1816" i="13"/>
  <c r="L1816" i="13" s="1"/>
  <c r="J1825" i="13"/>
  <c r="L1825" i="13" s="1"/>
  <c r="J1878" i="13"/>
  <c r="L1878" i="13" s="1"/>
  <c r="J1950" i="13"/>
  <c r="L1950" i="13" s="1"/>
  <c r="J2019" i="13"/>
  <c r="L2019" i="13" s="1"/>
  <c r="J2092" i="13"/>
  <c r="L2092" i="13" s="1"/>
  <c r="J2190" i="13"/>
  <c r="L2190" i="13" s="1"/>
  <c r="J2543" i="13"/>
  <c r="L2543" i="13" s="1"/>
  <c r="J956" i="13"/>
  <c r="L956" i="13" s="1"/>
  <c r="J964" i="13"/>
  <c r="L964" i="13" s="1"/>
  <c r="J972" i="13"/>
  <c r="L972" i="13" s="1"/>
  <c r="J980" i="13"/>
  <c r="L980" i="13" s="1"/>
  <c r="J988" i="13"/>
  <c r="L988" i="13" s="1"/>
  <c r="J996" i="13"/>
  <c r="L996" i="13" s="1"/>
  <c r="J1008" i="13"/>
  <c r="L1008" i="13" s="1"/>
  <c r="J1024" i="13"/>
  <c r="L1024" i="13" s="1"/>
  <c r="J1040" i="13"/>
  <c r="L1040" i="13" s="1"/>
  <c r="J1056" i="13"/>
  <c r="L1056" i="13" s="1"/>
  <c r="J1072" i="13"/>
  <c r="L1072" i="13" s="1"/>
  <c r="J1088" i="13"/>
  <c r="L1088" i="13" s="1"/>
  <c r="J1104" i="13"/>
  <c r="L1104" i="13" s="1"/>
  <c r="J1120" i="13"/>
  <c r="L1120" i="13" s="1"/>
  <c r="J1136" i="13"/>
  <c r="L1136" i="13" s="1"/>
  <c r="J1152" i="13"/>
  <c r="L1152" i="13" s="1"/>
  <c r="J1168" i="13"/>
  <c r="L1168" i="13" s="1"/>
  <c r="J1184" i="13"/>
  <c r="L1184" i="13" s="1"/>
  <c r="J1200" i="13"/>
  <c r="L1200" i="13" s="1"/>
  <c r="J1216" i="13"/>
  <c r="L1216" i="13" s="1"/>
  <c r="J1232" i="13"/>
  <c r="L1232" i="13" s="1"/>
  <c r="J1248" i="13"/>
  <c r="L1248" i="13" s="1"/>
  <c r="J1264" i="13"/>
  <c r="L1264" i="13" s="1"/>
  <c r="J1280" i="13"/>
  <c r="L1280" i="13" s="1"/>
  <c r="J1296" i="13"/>
  <c r="L1296" i="13" s="1"/>
  <c r="J1312" i="13"/>
  <c r="L1312" i="13" s="1"/>
  <c r="J1328" i="13"/>
  <c r="L1328" i="13" s="1"/>
  <c r="J1344" i="13"/>
  <c r="L1344" i="13" s="1"/>
  <c r="J1360" i="13"/>
  <c r="L1360" i="13" s="1"/>
  <c r="J1376" i="13"/>
  <c r="L1376" i="13" s="1"/>
  <c r="J1392" i="13"/>
  <c r="L1392" i="13" s="1"/>
  <c r="J1408" i="13"/>
  <c r="L1408" i="13" s="1"/>
  <c r="J1424" i="13"/>
  <c r="L1424" i="13" s="1"/>
  <c r="J1440" i="13"/>
  <c r="L1440" i="13" s="1"/>
  <c r="J1456" i="13"/>
  <c r="L1456" i="13" s="1"/>
  <c r="J1472" i="13"/>
  <c r="L1472" i="13" s="1"/>
  <c r="J1488" i="13"/>
  <c r="L1488" i="13" s="1"/>
  <c r="J1504" i="13"/>
  <c r="L1504" i="13" s="1"/>
  <c r="J1520" i="13"/>
  <c r="L1520" i="13" s="1"/>
  <c r="J1536" i="13"/>
  <c r="L1536" i="13" s="1"/>
  <c r="J1552" i="13"/>
  <c r="L1552" i="13" s="1"/>
  <c r="J1568" i="13"/>
  <c r="L1568" i="13" s="1"/>
  <c r="J1584" i="13"/>
  <c r="L1584" i="13" s="1"/>
  <c r="J1600" i="13"/>
  <c r="L1600" i="13" s="1"/>
  <c r="J1616" i="13"/>
  <c r="L1616" i="13" s="1"/>
  <c r="J1632" i="13"/>
  <c r="L1632" i="13" s="1"/>
  <c r="J1648" i="13"/>
  <c r="L1648" i="13" s="1"/>
  <c r="J1664" i="13"/>
  <c r="L1664" i="13" s="1"/>
  <c r="J1677" i="13"/>
  <c r="L1677" i="13" s="1"/>
  <c r="J1688" i="13"/>
  <c r="L1688" i="13" s="1"/>
  <c r="J1697" i="13"/>
  <c r="L1697" i="13" s="1"/>
  <c r="J1734" i="13"/>
  <c r="L1734" i="13" s="1"/>
  <c r="J1754" i="13"/>
  <c r="L1754" i="13" s="1"/>
  <c r="J1763" i="13"/>
  <c r="L1763" i="13" s="1"/>
  <c r="J1780" i="13"/>
  <c r="L1780" i="13" s="1"/>
  <c r="J1806" i="13"/>
  <c r="L1806" i="13" s="1"/>
  <c r="J1823" i="13"/>
  <c r="L1823" i="13" s="1"/>
  <c r="J1836" i="13"/>
  <c r="L1836" i="13" s="1"/>
  <c r="J1906" i="13"/>
  <c r="L1906" i="13" s="1"/>
  <c r="J1944" i="13"/>
  <c r="L1944" i="13" s="1"/>
  <c r="J1978" i="13"/>
  <c r="L1978" i="13" s="1"/>
  <c r="J2047" i="13"/>
  <c r="L2047" i="13" s="1"/>
  <c r="J2158" i="13"/>
  <c r="L2158" i="13" s="1"/>
  <c r="J2511" i="13"/>
  <c r="L2511" i="13" s="1"/>
  <c r="J1837" i="13"/>
  <c r="L1837" i="13" s="1"/>
  <c r="J1855" i="13"/>
  <c r="L1855" i="13" s="1"/>
  <c r="J1872" i="13"/>
  <c r="L1872" i="13" s="1"/>
  <c r="J1881" i="13"/>
  <c r="L1881" i="13" s="1"/>
  <c r="J1898" i="13"/>
  <c r="L1898" i="13" s="1"/>
  <c r="J1915" i="13"/>
  <c r="L1915" i="13" s="1"/>
  <c r="J1924" i="13"/>
  <c r="L1924" i="13" s="1"/>
  <c r="J1935" i="13"/>
  <c r="L1935" i="13" s="1"/>
  <c r="J1953" i="13"/>
  <c r="L1953" i="13" s="1"/>
  <c r="J1970" i="13"/>
  <c r="L1970" i="13" s="1"/>
  <c r="J1979" i="13"/>
  <c r="L1979" i="13" s="1"/>
  <c r="J1996" i="13"/>
  <c r="L1996" i="13" s="1"/>
  <c r="J2013" i="13"/>
  <c r="L2013" i="13" s="1"/>
  <c r="J2022" i="13"/>
  <c r="L2022" i="13" s="1"/>
  <c r="J2039" i="13"/>
  <c r="L2039" i="13" s="1"/>
  <c r="J2065" i="13"/>
  <c r="L2065" i="13" s="1"/>
  <c r="J2082" i="13"/>
  <c r="L2082" i="13" s="1"/>
  <c r="J2097" i="13"/>
  <c r="L2097" i="13" s="1"/>
  <c r="J2113" i="13"/>
  <c r="L2113" i="13" s="1"/>
  <c r="J2129" i="13"/>
  <c r="L2129" i="13" s="1"/>
  <c r="J2203" i="13"/>
  <c r="L2203" i="13" s="1"/>
  <c r="J2246" i="13"/>
  <c r="L2246" i="13" s="1"/>
  <c r="J2335" i="13"/>
  <c r="L2335" i="13" s="1"/>
  <c r="J2382" i="13"/>
  <c r="L2382" i="13" s="1"/>
  <c r="J2470" i="13"/>
  <c r="L2470" i="13" s="1"/>
  <c r="J2514" i="13"/>
  <c r="L2514" i="13" s="1"/>
  <c r="J2577" i="13"/>
  <c r="L2577" i="13" s="1"/>
  <c r="J2753" i="13"/>
  <c r="L2753" i="13" s="1"/>
  <c r="J1851" i="13"/>
  <c r="L1851" i="13" s="1"/>
  <c r="J1860" i="13"/>
  <c r="L1860" i="13" s="1"/>
  <c r="J1877" i="13"/>
  <c r="L1877" i="13" s="1"/>
  <c r="J1894" i="13"/>
  <c r="L1894" i="13" s="1"/>
  <c r="J1903" i="13"/>
  <c r="L1903" i="13" s="1"/>
  <c r="J1920" i="13"/>
  <c r="L1920" i="13" s="1"/>
  <c r="J1949" i="13"/>
  <c r="L1949" i="13" s="1"/>
  <c r="J1958" i="13"/>
  <c r="L1958" i="13" s="1"/>
  <c r="J1975" i="13"/>
  <c r="L1975" i="13" s="1"/>
  <c r="J1992" i="13"/>
  <c r="L1992" i="13" s="1"/>
  <c r="J2001" i="13"/>
  <c r="L2001" i="13" s="1"/>
  <c r="J2018" i="13"/>
  <c r="L2018" i="13" s="1"/>
  <c r="J2044" i="13"/>
  <c r="L2044" i="13" s="1"/>
  <c r="J2061" i="13"/>
  <c r="L2061" i="13" s="1"/>
  <c r="J2070" i="13"/>
  <c r="L2070" i="13" s="1"/>
  <c r="J2090" i="13"/>
  <c r="L2090" i="13" s="1"/>
  <c r="J2106" i="13"/>
  <c r="L2106" i="13" s="1"/>
  <c r="J2122" i="13"/>
  <c r="L2122" i="13" s="1"/>
  <c r="J2138" i="13"/>
  <c r="L2138" i="13" s="1"/>
  <c r="J2227" i="13"/>
  <c r="L2227" i="13" s="1"/>
  <c r="J2274" i="13"/>
  <c r="L2274" i="13" s="1"/>
  <c r="J2362" i="13"/>
  <c r="L2362" i="13" s="1"/>
  <c r="J2406" i="13"/>
  <c r="L2406" i="13" s="1"/>
  <c r="J2495" i="13"/>
  <c r="L2495" i="13" s="1"/>
  <c r="J2538" i="13"/>
  <c r="L2538" i="13" s="1"/>
  <c r="J1835" i="13"/>
  <c r="L1835" i="13" s="1"/>
  <c r="J1845" i="13"/>
  <c r="L1845" i="13" s="1"/>
  <c r="J1854" i="13"/>
  <c r="L1854" i="13" s="1"/>
  <c r="J1871" i="13"/>
  <c r="L1871" i="13" s="1"/>
  <c r="J1897" i="13"/>
  <c r="L1897" i="13" s="1"/>
  <c r="J1914" i="13"/>
  <c r="L1914" i="13" s="1"/>
  <c r="J1923" i="13"/>
  <c r="L1923" i="13" s="1"/>
  <c r="J1933" i="13"/>
  <c r="L1933" i="13" s="1"/>
  <c r="J1943" i="13"/>
  <c r="L1943" i="13" s="1"/>
  <c r="J1952" i="13"/>
  <c r="L1952" i="13" s="1"/>
  <c r="J1969" i="13"/>
  <c r="L1969" i="13" s="1"/>
  <c r="J1995" i="13"/>
  <c r="L1995" i="13" s="1"/>
  <c r="J2012" i="13"/>
  <c r="L2012" i="13" s="1"/>
  <c r="J2021" i="13"/>
  <c r="L2021" i="13" s="1"/>
  <c r="J2038" i="13"/>
  <c r="L2038" i="13" s="1"/>
  <c r="J2055" i="13"/>
  <c r="L2055" i="13" s="1"/>
  <c r="J2064" i="13"/>
  <c r="L2064" i="13" s="1"/>
  <c r="J2081" i="13"/>
  <c r="L2081" i="13" s="1"/>
  <c r="J2095" i="13"/>
  <c r="L2095" i="13" s="1"/>
  <c r="J2111" i="13"/>
  <c r="L2111" i="13" s="1"/>
  <c r="J2127" i="13"/>
  <c r="L2127" i="13" s="1"/>
  <c r="J2155" i="13"/>
  <c r="L2155" i="13" s="1"/>
  <c r="J2198" i="13"/>
  <c r="L2198" i="13" s="1"/>
  <c r="J2287" i="13"/>
  <c r="L2287" i="13" s="1"/>
  <c r="J2330" i="13"/>
  <c r="L2330" i="13" s="1"/>
  <c r="J2419" i="13"/>
  <c r="L2419" i="13" s="1"/>
  <c r="J2462" i="13"/>
  <c r="L2462" i="13" s="1"/>
  <c r="J2553" i="13"/>
  <c r="L2553" i="13" s="1"/>
  <c r="J2732" i="13"/>
  <c r="L2732" i="13" s="1"/>
  <c r="J2147" i="13"/>
  <c r="L2147" i="13" s="1"/>
  <c r="J2169" i="13"/>
  <c r="L2169" i="13" s="1"/>
  <c r="J2180" i="13"/>
  <c r="L2180" i="13" s="1"/>
  <c r="J2201" i="13"/>
  <c r="L2201" i="13" s="1"/>
  <c r="J2212" i="13"/>
  <c r="L2212" i="13" s="1"/>
  <c r="J2233" i="13"/>
  <c r="L2233" i="13" s="1"/>
  <c r="J2244" i="13"/>
  <c r="L2244" i="13" s="1"/>
  <c r="J2269" i="13"/>
  <c r="L2269" i="13" s="1"/>
  <c r="J2280" i="13"/>
  <c r="L2280" i="13" s="1"/>
  <c r="J2301" i="13"/>
  <c r="L2301" i="13" s="1"/>
  <c r="J2312" i="13"/>
  <c r="L2312" i="13" s="1"/>
  <c r="J2333" i="13"/>
  <c r="L2333" i="13" s="1"/>
  <c r="J2344" i="13"/>
  <c r="L2344" i="13" s="1"/>
  <c r="J2355" i="13"/>
  <c r="L2355" i="13" s="1"/>
  <c r="J2369" i="13"/>
  <c r="L2369" i="13" s="1"/>
  <c r="J2380" i="13"/>
  <c r="L2380" i="13" s="1"/>
  <c r="J2401" i="13"/>
  <c r="L2401" i="13" s="1"/>
  <c r="J2412" i="13"/>
  <c r="L2412" i="13" s="1"/>
  <c r="J2433" i="13"/>
  <c r="L2433" i="13" s="1"/>
  <c r="J2444" i="13"/>
  <c r="L2444" i="13" s="1"/>
  <c r="J2467" i="13"/>
  <c r="L2467" i="13" s="1"/>
  <c r="J2480" i="13"/>
  <c r="L2480" i="13" s="1"/>
  <c r="J2501" i="13"/>
  <c r="L2501" i="13" s="1"/>
  <c r="J2512" i="13"/>
  <c r="L2512" i="13" s="1"/>
  <c r="J2533" i="13"/>
  <c r="L2533" i="13" s="1"/>
  <c r="J2544" i="13"/>
  <c r="L2544" i="13" s="1"/>
  <c r="J2613" i="13"/>
  <c r="L2613" i="13" s="1"/>
  <c r="J2656" i="13"/>
  <c r="L2656" i="13" s="1"/>
  <c r="J2745" i="13"/>
  <c r="L2745" i="13" s="1"/>
  <c r="J2140" i="13"/>
  <c r="L2140" i="13" s="1"/>
  <c r="J2154" i="13"/>
  <c r="L2154" i="13" s="1"/>
  <c r="J2175" i="13"/>
  <c r="L2175" i="13" s="1"/>
  <c r="J2186" i="13"/>
  <c r="L2186" i="13" s="1"/>
  <c r="J2207" i="13"/>
  <c r="L2207" i="13" s="1"/>
  <c r="J2218" i="13"/>
  <c r="L2218" i="13" s="1"/>
  <c r="J2239" i="13"/>
  <c r="L2239" i="13" s="1"/>
  <c r="J2252" i="13"/>
  <c r="L2252" i="13" s="1"/>
  <c r="J2275" i="13"/>
  <c r="L2275" i="13" s="1"/>
  <c r="J2286" i="13"/>
  <c r="L2286" i="13" s="1"/>
  <c r="J2307" i="13"/>
  <c r="L2307" i="13" s="1"/>
  <c r="J2318" i="13"/>
  <c r="L2318" i="13" s="1"/>
  <c r="J2339" i="13"/>
  <c r="L2339" i="13" s="1"/>
  <c r="J2350" i="13"/>
  <c r="L2350" i="13" s="1"/>
  <c r="J2364" i="13"/>
  <c r="L2364" i="13" s="1"/>
  <c r="J2375" i="13"/>
  <c r="L2375" i="13" s="1"/>
  <c r="J2386" i="13"/>
  <c r="L2386" i="13" s="1"/>
  <c r="J2407" i="13"/>
  <c r="L2407" i="13" s="1"/>
  <c r="J2418" i="13"/>
  <c r="L2418" i="13" s="1"/>
  <c r="J2439" i="13"/>
  <c r="L2439" i="13" s="1"/>
  <c r="J2450" i="13"/>
  <c r="L2450" i="13" s="1"/>
  <c r="J2475" i="13"/>
  <c r="L2475" i="13" s="1"/>
  <c r="J2486" i="13"/>
  <c r="L2486" i="13" s="1"/>
  <c r="J2507" i="13"/>
  <c r="L2507" i="13" s="1"/>
  <c r="J2518" i="13"/>
  <c r="L2518" i="13" s="1"/>
  <c r="J2539" i="13"/>
  <c r="L2539" i="13" s="1"/>
  <c r="J2550" i="13"/>
  <c r="L2550" i="13" s="1"/>
  <c r="J2637" i="13"/>
  <c r="L2637" i="13" s="1"/>
  <c r="J2681" i="13"/>
  <c r="L2681" i="13" s="1"/>
  <c r="J2769" i="13"/>
  <c r="L2769" i="13" s="1"/>
  <c r="J2149" i="13"/>
  <c r="L2149" i="13" s="1"/>
  <c r="J2160" i="13"/>
  <c r="L2160" i="13" s="1"/>
  <c r="J2181" i="13"/>
  <c r="L2181" i="13" s="1"/>
  <c r="J2192" i="13"/>
  <c r="L2192" i="13" s="1"/>
  <c r="J2213" i="13"/>
  <c r="L2213" i="13" s="1"/>
  <c r="J2224" i="13"/>
  <c r="L2224" i="13" s="1"/>
  <c r="J2245" i="13"/>
  <c r="L2245" i="13" s="1"/>
  <c r="J2260" i="13"/>
  <c r="L2260" i="13" s="1"/>
  <c r="J2281" i="13"/>
  <c r="L2281" i="13" s="1"/>
  <c r="J2292" i="13"/>
  <c r="L2292" i="13" s="1"/>
  <c r="J2313" i="13"/>
  <c r="L2313" i="13" s="1"/>
  <c r="J2324" i="13"/>
  <c r="L2324" i="13" s="1"/>
  <c r="J2345" i="13"/>
  <c r="L2345" i="13" s="1"/>
  <c r="J2357" i="13"/>
  <c r="L2357" i="13" s="1"/>
  <c r="J2381" i="13"/>
  <c r="L2381" i="13" s="1"/>
  <c r="J2392" i="13"/>
  <c r="L2392" i="13" s="1"/>
  <c r="J2413" i="13"/>
  <c r="L2413" i="13" s="1"/>
  <c r="J2424" i="13"/>
  <c r="L2424" i="13" s="1"/>
  <c r="J2445" i="13"/>
  <c r="L2445" i="13" s="1"/>
  <c r="J2456" i="13"/>
  <c r="L2456" i="13" s="1"/>
  <c r="J2469" i="13"/>
  <c r="L2469" i="13" s="1"/>
  <c r="J2481" i="13"/>
  <c r="L2481" i="13" s="1"/>
  <c r="J2492" i="13"/>
  <c r="L2492" i="13" s="1"/>
  <c r="J2513" i="13"/>
  <c r="L2513" i="13" s="1"/>
  <c r="J2524" i="13"/>
  <c r="L2524" i="13" s="1"/>
  <c r="J2545" i="13"/>
  <c r="L2545" i="13" s="1"/>
  <c r="J2573" i="13"/>
  <c r="L2573" i="13" s="1"/>
  <c r="J2661" i="13"/>
  <c r="L2661" i="13" s="1"/>
  <c r="J2708" i="13"/>
  <c r="L2708" i="13" s="1"/>
  <c r="J2551" i="13"/>
  <c r="L2551" i="13" s="1"/>
  <c r="J2562" i="13"/>
  <c r="L2562" i="13" s="1"/>
  <c r="J2574" i="13"/>
  <c r="L2574" i="13" s="1"/>
  <c r="J2587" i="13"/>
  <c r="L2587" i="13" s="1"/>
  <c r="J2598" i="13"/>
  <c r="L2598" i="13" s="1"/>
  <c r="J2619" i="13"/>
  <c r="L2619" i="13" s="1"/>
  <c r="J2630" i="13"/>
  <c r="L2630" i="13" s="1"/>
  <c r="J2651" i="13"/>
  <c r="L2651" i="13" s="1"/>
  <c r="J2662" i="13"/>
  <c r="L2662" i="13" s="1"/>
  <c r="J2686" i="13"/>
  <c r="L2686" i="13" s="1"/>
  <c r="J2698" i="13"/>
  <c r="L2698" i="13" s="1"/>
  <c r="J2719" i="13"/>
  <c r="L2719" i="13" s="1"/>
  <c r="J2730" i="13"/>
  <c r="L2730" i="13" s="1"/>
  <c r="J2751" i="13"/>
  <c r="L2751" i="13" s="1"/>
  <c r="J2762" i="13"/>
  <c r="L2762" i="13" s="1"/>
  <c r="J2783" i="13"/>
  <c r="L2783" i="13" s="1"/>
  <c r="J2560" i="13"/>
  <c r="L2560" i="13" s="1"/>
  <c r="J2571" i="13"/>
  <c r="L2571" i="13" s="1"/>
  <c r="J2585" i="13"/>
  <c r="L2585" i="13" s="1"/>
  <c r="J2596" i="13"/>
  <c r="L2596" i="13" s="1"/>
  <c r="J2617" i="13"/>
  <c r="L2617" i="13" s="1"/>
  <c r="J2628" i="13"/>
  <c r="L2628" i="13" s="1"/>
  <c r="J2649" i="13"/>
  <c r="L2649" i="13" s="1"/>
  <c r="J2660" i="13"/>
  <c r="L2660" i="13" s="1"/>
  <c r="J2683" i="13"/>
  <c r="L2683" i="13" s="1"/>
  <c r="J2696" i="13"/>
  <c r="L2696" i="13" s="1"/>
  <c r="J2717" i="13"/>
  <c r="L2717" i="13" s="1"/>
  <c r="J2728" i="13"/>
  <c r="L2728" i="13" s="1"/>
  <c r="J2749" i="13"/>
  <c r="L2749" i="13" s="1"/>
  <c r="J2760" i="13"/>
  <c r="L2760" i="13" s="1"/>
  <c r="J2781" i="13"/>
  <c r="L2781" i="13" s="1"/>
  <c r="J2558" i="13"/>
  <c r="L2558" i="13" s="1"/>
  <c r="J2583" i="13"/>
  <c r="L2583" i="13" s="1"/>
  <c r="J2594" i="13"/>
  <c r="L2594" i="13" s="1"/>
  <c r="J2615" i="13"/>
  <c r="L2615" i="13" s="1"/>
  <c r="J2626" i="13"/>
  <c r="L2626" i="13" s="1"/>
  <c r="J2647" i="13"/>
  <c r="L2647" i="13" s="1"/>
  <c r="J2658" i="13"/>
  <c r="L2658" i="13" s="1"/>
  <c r="J2680" i="13"/>
  <c r="L2680" i="13" s="1"/>
  <c r="J2694" i="13"/>
  <c r="L2694" i="13" s="1"/>
  <c r="J2715" i="13"/>
  <c r="L2715" i="13" s="1"/>
  <c r="J2726" i="13"/>
  <c r="L2726" i="13" s="1"/>
  <c r="J2747" i="13"/>
  <c r="L2747" i="13" s="1"/>
  <c r="J2758" i="13"/>
  <c r="L2758" i="13" s="1"/>
  <c r="J2779" i="13"/>
  <c r="L2779" i="13" s="1"/>
  <c r="T13" i="5"/>
  <c r="T34" i="5"/>
  <c r="T63" i="5"/>
  <c r="T10" i="5"/>
  <c r="P10" i="5"/>
  <c r="T71" i="5"/>
  <c r="T58" i="5"/>
  <c r="T61" i="5"/>
  <c r="T46" i="5"/>
  <c r="T56" i="5"/>
  <c r="T60" i="5"/>
  <c r="T66" i="5"/>
  <c r="T32" i="5"/>
  <c r="T59" i="5"/>
  <c r="J34" i="13"/>
  <c r="L34" i="13" s="1"/>
  <c r="J144" i="13"/>
  <c r="L144" i="13" s="1"/>
  <c r="J174" i="13"/>
  <c r="L174" i="13" s="1"/>
  <c r="J204" i="13"/>
  <c r="L204" i="13" s="1"/>
  <c r="J299" i="13"/>
  <c r="L299" i="13" s="1"/>
  <c r="J331" i="13"/>
  <c r="L331" i="13" s="1"/>
  <c r="J398" i="13"/>
  <c r="L398" i="13" s="1"/>
  <c r="J495" i="13"/>
  <c r="L495" i="13" s="1"/>
  <c r="J631" i="13"/>
  <c r="L631" i="13" s="1"/>
  <c r="J719" i="13"/>
  <c r="L719" i="13" s="1"/>
  <c r="J793" i="13"/>
  <c r="L793" i="13" s="1"/>
  <c r="J905" i="13"/>
  <c r="L905" i="13" s="1"/>
  <c r="J1193" i="13"/>
  <c r="L1193" i="13" s="1"/>
  <c r="J23" i="13"/>
  <c r="L23" i="13" s="1"/>
  <c r="J39" i="13"/>
  <c r="L39" i="13" s="1"/>
  <c r="J55" i="13"/>
  <c r="L55" i="13" s="1"/>
  <c r="J71" i="13"/>
  <c r="L71" i="13" s="1"/>
  <c r="J94" i="13"/>
  <c r="L94" i="13" s="1"/>
  <c r="J105" i="13"/>
  <c r="L105" i="13" s="1"/>
  <c r="J126" i="13"/>
  <c r="L126" i="13" s="1"/>
  <c r="J137" i="13"/>
  <c r="L137" i="13" s="1"/>
  <c r="J158" i="13"/>
  <c r="L158" i="13" s="1"/>
  <c r="J169" i="13"/>
  <c r="L169" i="13" s="1"/>
  <c r="J183" i="13"/>
  <c r="L183" i="13" s="1"/>
  <c r="J194" i="13"/>
  <c r="L194" i="13" s="1"/>
  <c r="J205" i="13"/>
  <c r="L205" i="13" s="1"/>
  <c r="J226" i="13"/>
  <c r="L226" i="13" s="1"/>
  <c r="J237" i="13"/>
  <c r="L237" i="13" s="1"/>
  <c r="J258" i="13"/>
  <c r="L258" i="13" s="1"/>
  <c r="J269" i="13"/>
  <c r="L269" i="13" s="1"/>
  <c r="J294" i="13"/>
  <c r="L294" i="13" s="1"/>
  <c r="J305" i="13"/>
  <c r="L305" i="13" s="1"/>
  <c r="J326" i="13"/>
  <c r="L326" i="13" s="1"/>
  <c r="J337" i="13"/>
  <c r="L337" i="13" s="1"/>
  <c r="J358" i="13"/>
  <c r="L358" i="13" s="1"/>
  <c r="J369" i="13"/>
  <c r="L369" i="13" s="1"/>
  <c r="J391" i="13"/>
  <c r="L391" i="13" s="1"/>
  <c r="J405" i="13"/>
  <c r="L405" i="13" s="1"/>
  <c r="J444" i="13"/>
  <c r="L444" i="13" s="1"/>
  <c r="J487" i="13"/>
  <c r="L487" i="13" s="1"/>
  <c r="J576" i="13"/>
  <c r="L576" i="13" s="1"/>
  <c r="J623" i="13"/>
  <c r="L623" i="13" s="1"/>
  <c r="J708" i="13"/>
  <c r="L708" i="13" s="1"/>
  <c r="J712" i="13"/>
  <c r="L712" i="13" s="1"/>
  <c r="J755" i="13"/>
  <c r="L755" i="13" s="1"/>
  <c r="J787" i="13"/>
  <c r="L787" i="13" s="1"/>
  <c r="J819" i="13"/>
  <c r="L819" i="13" s="1"/>
  <c r="J851" i="13"/>
  <c r="L851" i="13" s="1"/>
  <c r="J883" i="13"/>
  <c r="L883" i="13" s="1"/>
  <c r="J915" i="13"/>
  <c r="L915" i="13" s="1"/>
  <c r="J947" i="13"/>
  <c r="L947" i="13" s="1"/>
  <c r="J1081" i="13"/>
  <c r="L1081" i="13" s="1"/>
  <c r="J1337" i="13"/>
  <c r="L1337" i="13" s="1"/>
  <c r="J1593" i="13"/>
  <c r="L1593" i="13" s="1"/>
  <c r="J1963" i="13"/>
  <c r="L1963" i="13" s="1"/>
  <c r="J38" i="13"/>
  <c r="L38" i="13" s="1"/>
  <c r="J83" i="13"/>
  <c r="L83" i="13" s="1"/>
  <c r="J115" i="13"/>
  <c r="L115" i="13" s="1"/>
  <c r="J147" i="13"/>
  <c r="L147" i="13" s="1"/>
  <c r="J178" i="13"/>
  <c r="L178" i="13" s="1"/>
  <c r="J215" i="13"/>
  <c r="L215" i="13" s="1"/>
  <c r="J247" i="13"/>
  <c r="L247" i="13" s="1"/>
  <c r="J279" i="13"/>
  <c r="L279" i="13" s="1"/>
  <c r="J320" i="13"/>
  <c r="L320" i="13" s="1"/>
  <c r="J352" i="13"/>
  <c r="L352" i="13" s="1"/>
  <c r="J390" i="13"/>
  <c r="L390" i="13" s="1"/>
  <c r="J484" i="13"/>
  <c r="L484" i="13" s="1"/>
  <c r="J620" i="13"/>
  <c r="L620" i="13" s="1"/>
  <c r="J785" i="13"/>
  <c r="L785" i="13" s="1"/>
  <c r="J865" i="13"/>
  <c r="L865" i="13" s="1"/>
  <c r="J12" i="13"/>
  <c r="L12" i="13" s="1"/>
  <c r="J28" i="13"/>
  <c r="L28" i="13" s="1"/>
  <c r="J44" i="13"/>
  <c r="L44" i="13" s="1"/>
  <c r="J60" i="13"/>
  <c r="L60" i="13" s="1"/>
  <c r="J76" i="13"/>
  <c r="L76" i="13" s="1"/>
  <c r="J87" i="13"/>
  <c r="L87" i="13" s="1"/>
  <c r="J108" i="13"/>
  <c r="L108" i="13" s="1"/>
  <c r="J119" i="13"/>
  <c r="L119" i="13" s="1"/>
  <c r="J140" i="13"/>
  <c r="L140" i="13" s="1"/>
  <c r="J151" i="13"/>
  <c r="L151" i="13" s="1"/>
  <c r="J172" i="13"/>
  <c r="L172" i="13" s="1"/>
  <c r="J187" i="13"/>
  <c r="L187" i="13" s="1"/>
  <c r="J208" i="13"/>
  <c r="L208" i="13" s="1"/>
  <c r="J219" i="13"/>
  <c r="L219" i="13" s="1"/>
  <c r="J240" i="13"/>
  <c r="L240" i="13" s="1"/>
  <c r="J251" i="13"/>
  <c r="L251" i="13" s="1"/>
  <c r="J272" i="13"/>
  <c r="L272" i="13" s="1"/>
  <c r="J284" i="13"/>
  <c r="L284" i="13" s="1"/>
  <c r="J308" i="13"/>
  <c r="L308" i="13" s="1"/>
  <c r="J319" i="13"/>
  <c r="L319" i="13" s="1"/>
  <c r="J340" i="13"/>
  <c r="L340" i="13" s="1"/>
  <c r="J351" i="13"/>
  <c r="L351" i="13" s="1"/>
  <c r="J372" i="13"/>
  <c r="L372" i="13" s="1"/>
  <c r="J383" i="13"/>
  <c r="L383" i="13" s="1"/>
  <c r="J396" i="13"/>
  <c r="L396" i="13" s="1"/>
  <c r="J415" i="13"/>
  <c r="L415" i="13" s="1"/>
  <c r="J502" i="13"/>
  <c r="L502" i="13" s="1"/>
  <c r="J547" i="13"/>
  <c r="L547" i="13" s="1"/>
  <c r="J636" i="13"/>
  <c r="L636" i="13" s="1"/>
  <c r="J679" i="13"/>
  <c r="L679" i="13" s="1"/>
  <c r="J723" i="13"/>
  <c r="L723" i="13" s="1"/>
  <c r="J765" i="13"/>
  <c r="L765" i="13" s="1"/>
  <c r="J797" i="13"/>
  <c r="L797" i="13" s="1"/>
  <c r="J829" i="13"/>
  <c r="L829" i="13" s="1"/>
  <c r="J861" i="13"/>
  <c r="L861" i="13" s="1"/>
  <c r="J893" i="13"/>
  <c r="L893" i="13" s="1"/>
  <c r="J925" i="13"/>
  <c r="L925" i="13" s="1"/>
  <c r="J1161" i="13"/>
  <c r="L1161" i="13" s="1"/>
  <c r="J1417" i="13"/>
  <c r="L1417" i="13" s="1"/>
  <c r="J1673" i="13"/>
  <c r="L1673" i="13" s="1"/>
  <c r="J2258" i="13"/>
  <c r="L2258" i="13" s="1"/>
  <c r="J42" i="13"/>
  <c r="L42" i="13" s="1"/>
  <c r="J88" i="13"/>
  <c r="L88" i="13" s="1"/>
  <c r="J120" i="13"/>
  <c r="L120" i="13" s="1"/>
  <c r="J152" i="13"/>
  <c r="L152" i="13" s="1"/>
  <c r="J260" i="13"/>
  <c r="L260" i="13" s="1"/>
  <c r="J296" i="13"/>
  <c r="L296" i="13" s="1"/>
  <c r="J355" i="13"/>
  <c r="L355" i="13" s="1"/>
  <c r="J384" i="13"/>
  <c r="L384" i="13" s="1"/>
  <c r="J606" i="13"/>
  <c r="L606" i="13" s="1"/>
  <c r="J777" i="13"/>
  <c r="L777" i="13" s="1"/>
  <c r="J873" i="13"/>
  <c r="L873" i="13" s="1"/>
  <c r="J1065" i="13"/>
  <c r="L1065" i="13" s="1"/>
  <c r="J21" i="13"/>
  <c r="L21" i="13" s="1"/>
  <c r="J37" i="13"/>
  <c r="L37" i="13" s="1"/>
  <c r="J53" i="13"/>
  <c r="L53" i="13" s="1"/>
  <c r="J69" i="13"/>
  <c r="L69" i="13" s="1"/>
  <c r="J82" i="13"/>
  <c r="L82" i="13" s="1"/>
  <c r="J93" i="13"/>
  <c r="L93" i="13" s="1"/>
  <c r="J114" i="13"/>
  <c r="L114" i="13" s="1"/>
  <c r="J125" i="13"/>
  <c r="L125" i="13" s="1"/>
  <c r="J146" i="13"/>
  <c r="L146" i="13" s="1"/>
  <c r="J157" i="13"/>
  <c r="L157" i="13" s="1"/>
  <c r="J181" i="13"/>
  <c r="L181" i="13" s="1"/>
  <c r="J193" i="13"/>
  <c r="L193" i="13" s="1"/>
  <c r="J214" i="13"/>
  <c r="L214" i="13" s="1"/>
  <c r="J225" i="13"/>
  <c r="L225" i="13" s="1"/>
  <c r="J246" i="13"/>
  <c r="L246" i="13" s="1"/>
  <c r="J257" i="13"/>
  <c r="L257" i="13" s="1"/>
  <c r="J278" i="13"/>
  <c r="L278" i="13" s="1"/>
  <c r="J293" i="13"/>
  <c r="L293" i="13" s="1"/>
  <c r="J314" i="13"/>
  <c r="L314" i="13" s="1"/>
  <c r="J325" i="13"/>
  <c r="L325" i="13" s="1"/>
  <c r="J346" i="13"/>
  <c r="L346" i="13" s="1"/>
  <c r="J357" i="13"/>
  <c r="L357" i="13" s="1"/>
  <c r="J378" i="13"/>
  <c r="L378" i="13" s="1"/>
  <c r="J389" i="13"/>
  <c r="L389" i="13" s="1"/>
  <c r="J439" i="13"/>
  <c r="L439" i="13" s="1"/>
  <c r="J528" i="13"/>
  <c r="L528" i="13" s="1"/>
  <c r="J571" i="13"/>
  <c r="L571" i="13" s="1"/>
  <c r="J660" i="13"/>
  <c r="L660" i="13" s="1"/>
  <c r="J703" i="13"/>
  <c r="L703" i="13" s="1"/>
  <c r="J751" i="13"/>
  <c r="L751" i="13" s="1"/>
  <c r="J783" i="13"/>
  <c r="L783" i="13" s="1"/>
  <c r="J815" i="13"/>
  <c r="L815" i="13" s="1"/>
  <c r="J847" i="13"/>
  <c r="L847" i="13" s="1"/>
  <c r="J879" i="13"/>
  <c r="L879" i="13" s="1"/>
  <c r="J911" i="13"/>
  <c r="L911" i="13" s="1"/>
  <c r="J943" i="13"/>
  <c r="L943" i="13" s="1"/>
  <c r="J1049" i="13"/>
  <c r="L1049" i="13" s="1"/>
  <c r="J1305" i="13"/>
  <c r="L1305" i="13" s="1"/>
  <c r="J1561" i="13"/>
  <c r="L1561" i="13" s="1"/>
  <c r="J1891" i="13"/>
  <c r="L1891" i="13" s="1"/>
  <c r="J410" i="13"/>
  <c r="L410" i="13" s="1"/>
  <c r="J421" i="13"/>
  <c r="L421" i="13" s="1"/>
  <c r="J442" i="13"/>
  <c r="L442" i="13" s="1"/>
  <c r="J453" i="13"/>
  <c r="L453" i="13" s="1"/>
  <c r="J474" i="13"/>
  <c r="L474" i="13" s="1"/>
  <c r="J485" i="13"/>
  <c r="L485" i="13" s="1"/>
  <c r="J510" i="13"/>
  <c r="L510" i="13" s="1"/>
  <c r="J521" i="13"/>
  <c r="L521" i="13" s="1"/>
  <c r="J542" i="13"/>
  <c r="L542" i="13" s="1"/>
  <c r="J553" i="13"/>
  <c r="L553" i="13" s="1"/>
  <c r="J574" i="13"/>
  <c r="L574" i="13" s="1"/>
  <c r="J585" i="13"/>
  <c r="L585" i="13" s="1"/>
  <c r="J607" i="13"/>
  <c r="L607" i="13" s="1"/>
  <c r="J621" i="13"/>
  <c r="L621" i="13" s="1"/>
  <c r="J642" i="13"/>
  <c r="L642" i="13" s="1"/>
  <c r="J653" i="13"/>
  <c r="L653" i="13" s="1"/>
  <c r="J674" i="13"/>
  <c r="L674" i="13" s="1"/>
  <c r="J685" i="13"/>
  <c r="L685" i="13" s="1"/>
  <c r="J706" i="13"/>
  <c r="L706" i="13" s="1"/>
  <c r="J1005" i="13"/>
  <c r="L1005" i="13" s="1"/>
  <c r="J1069" i="13"/>
  <c r="L1069" i="13" s="1"/>
  <c r="J1133" i="13"/>
  <c r="L1133" i="13" s="1"/>
  <c r="J1197" i="13"/>
  <c r="L1197" i="13" s="1"/>
  <c r="J1261" i="13"/>
  <c r="L1261" i="13" s="1"/>
  <c r="J1325" i="13"/>
  <c r="L1325" i="13" s="1"/>
  <c r="J1389" i="13"/>
  <c r="L1389" i="13" s="1"/>
  <c r="J1453" i="13"/>
  <c r="L1453" i="13" s="1"/>
  <c r="J1517" i="13"/>
  <c r="L1517" i="13" s="1"/>
  <c r="J1581" i="13"/>
  <c r="L1581" i="13" s="1"/>
  <c r="J1645" i="13"/>
  <c r="L1645" i="13" s="1"/>
  <c r="J1714" i="13"/>
  <c r="L1714" i="13" s="1"/>
  <c r="J1787" i="13"/>
  <c r="L1787" i="13" s="1"/>
  <c r="J2075" i="13"/>
  <c r="L2075" i="13" s="1"/>
  <c r="J408" i="13"/>
  <c r="L408" i="13" s="1"/>
  <c r="J419" i="13"/>
  <c r="L419" i="13" s="1"/>
  <c r="J440" i="13"/>
  <c r="L440" i="13" s="1"/>
  <c r="J451" i="13"/>
  <c r="L451" i="13" s="1"/>
  <c r="J472" i="13"/>
  <c r="L472" i="13" s="1"/>
  <c r="J483" i="13"/>
  <c r="L483" i="13" s="1"/>
  <c r="J508" i="13"/>
  <c r="L508" i="13" s="1"/>
  <c r="J519" i="13"/>
  <c r="L519" i="13" s="1"/>
  <c r="J540" i="13"/>
  <c r="L540" i="13" s="1"/>
  <c r="J551" i="13"/>
  <c r="L551" i="13" s="1"/>
  <c r="J572" i="13"/>
  <c r="L572" i="13" s="1"/>
  <c r="J583" i="13"/>
  <c r="L583" i="13" s="1"/>
  <c r="J604" i="13"/>
  <c r="L604" i="13" s="1"/>
  <c r="J619" i="13"/>
  <c r="L619" i="13" s="1"/>
  <c r="J640" i="13"/>
  <c r="L640" i="13" s="1"/>
  <c r="J651" i="13"/>
  <c r="L651" i="13" s="1"/>
  <c r="J672" i="13"/>
  <c r="L672" i="13" s="1"/>
  <c r="J683" i="13"/>
  <c r="L683" i="13" s="1"/>
  <c r="J704" i="13"/>
  <c r="L704" i="13" s="1"/>
  <c r="J736" i="13"/>
  <c r="L736" i="13" s="1"/>
  <c r="J744" i="13"/>
  <c r="L744" i="13" s="1"/>
  <c r="J752" i="13"/>
  <c r="L752" i="13" s="1"/>
  <c r="J760" i="13"/>
  <c r="L760" i="13" s="1"/>
  <c r="J768" i="13"/>
  <c r="L768" i="13" s="1"/>
  <c r="J776" i="13"/>
  <c r="L776" i="13" s="1"/>
  <c r="J784" i="13"/>
  <c r="L784" i="13" s="1"/>
  <c r="J792" i="13"/>
  <c r="L792" i="13" s="1"/>
  <c r="J800" i="13"/>
  <c r="L800" i="13" s="1"/>
  <c r="J808" i="13"/>
  <c r="L808" i="13" s="1"/>
  <c r="J816" i="13"/>
  <c r="L816" i="13" s="1"/>
  <c r="J824" i="13"/>
  <c r="L824" i="13" s="1"/>
  <c r="J832" i="13"/>
  <c r="L832" i="13" s="1"/>
  <c r="J840" i="13"/>
  <c r="L840" i="13" s="1"/>
  <c r="J848" i="13"/>
  <c r="L848" i="13" s="1"/>
  <c r="J856" i="13"/>
  <c r="L856" i="13" s="1"/>
  <c r="J864" i="13"/>
  <c r="L864" i="13" s="1"/>
  <c r="J872" i="13"/>
  <c r="L872" i="13" s="1"/>
  <c r="J880" i="13"/>
  <c r="L880" i="13" s="1"/>
  <c r="J888" i="13"/>
  <c r="L888" i="13" s="1"/>
  <c r="J896" i="13"/>
  <c r="L896" i="13" s="1"/>
  <c r="J904" i="13"/>
  <c r="L904" i="13" s="1"/>
  <c r="J912" i="13"/>
  <c r="L912" i="13" s="1"/>
  <c r="J920" i="13"/>
  <c r="L920" i="13" s="1"/>
  <c r="J928" i="13"/>
  <c r="L928" i="13" s="1"/>
  <c r="J936" i="13"/>
  <c r="L936" i="13" s="1"/>
  <c r="J944" i="13"/>
  <c r="L944" i="13" s="1"/>
  <c r="J1057" i="13"/>
  <c r="L1057" i="13" s="1"/>
  <c r="J1121" i="13"/>
  <c r="L1121" i="13" s="1"/>
  <c r="J1185" i="13"/>
  <c r="L1185" i="13" s="1"/>
  <c r="J1249" i="13"/>
  <c r="L1249" i="13" s="1"/>
  <c r="J1313" i="13"/>
  <c r="L1313" i="13" s="1"/>
  <c r="J1377" i="13"/>
  <c r="L1377" i="13" s="1"/>
  <c r="J1441" i="13"/>
  <c r="L1441" i="13" s="1"/>
  <c r="J1505" i="13"/>
  <c r="L1505" i="13" s="1"/>
  <c r="J1569" i="13"/>
  <c r="L1569" i="13" s="1"/>
  <c r="J1633" i="13"/>
  <c r="L1633" i="13" s="1"/>
  <c r="J1707" i="13"/>
  <c r="L1707" i="13" s="1"/>
  <c r="J1746" i="13"/>
  <c r="L1746" i="13" s="1"/>
  <c r="J1815" i="13"/>
  <c r="L1815" i="13" s="1"/>
  <c r="J1908" i="13"/>
  <c r="L1908" i="13" s="1"/>
  <c r="J2522" i="13"/>
  <c r="L2522" i="13" s="1"/>
  <c r="J414" i="13"/>
  <c r="L414" i="13" s="1"/>
  <c r="J425" i="13"/>
  <c r="L425" i="13" s="1"/>
  <c r="J446" i="13"/>
  <c r="L446" i="13" s="1"/>
  <c r="J457" i="13"/>
  <c r="L457" i="13" s="1"/>
  <c r="J478" i="13"/>
  <c r="L478" i="13" s="1"/>
  <c r="J489" i="13"/>
  <c r="L489" i="13" s="1"/>
  <c r="J501" i="13"/>
  <c r="L501" i="13" s="1"/>
  <c r="J514" i="13"/>
  <c r="L514" i="13" s="1"/>
  <c r="J525" i="13"/>
  <c r="L525" i="13" s="1"/>
  <c r="J546" i="13"/>
  <c r="L546" i="13" s="1"/>
  <c r="J557" i="13"/>
  <c r="L557" i="13" s="1"/>
  <c r="J578" i="13"/>
  <c r="L578" i="13" s="1"/>
  <c r="J589" i="13"/>
  <c r="L589" i="13" s="1"/>
  <c r="J613" i="13"/>
  <c r="L613" i="13" s="1"/>
  <c r="J625" i="13"/>
  <c r="L625" i="13" s="1"/>
  <c r="J646" i="13"/>
  <c r="L646" i="13" s="1"/>
  <c r="J657" i="13"/>
  <c r="L657" i="13" s="1"/>
  <c r="J678" i="13"/>
  <c r="L678" i="13" s="1"/>
  <c r="J689" i="13"/>
  <c r="L689" i="13" s="1"/>
  <c r="J710" i="13"/>
  <c r="L710" i="13" s="1"/>
  <c r="J714" i="13"/>
  <c r="L714" i="13" s="1"/>
  <c r="J722" i="13"/>
  <c r="L722" i="13" s="1"/>
  <c r="J730" i="13"/>
  <c r="L730" i="13" s="1"/>
  <c r="J1029" i="13"/>
  <c r="L1029" i="13" s="1"/>
  <c r="J1093" i="13"/>
  <c r="L1093" i="13" s="1"/>
  <c r="J1157" i="13"/>
  <c r="L1157" i="13" s="1"/>
  <c r="J1221" i="13"/>
  <c r="L1221" i="13" s="1"/>
  <c r="J1285" i="13"/>
  <c r="L1285" i="13" s="1"/>
  <c r="J1349" i="13"/>
  <c r="L1349" i="13" s="1"/>
  <c r="J1413" i="13"/>
  <c r="L1413" i="13" s="1"/>
  <c r="J1477" i="13"/>
  <c r="L1477" i="13" s="1"/>
  <c r="J1541" i="13"/>
  <c r="L1541" i="13" s="1"/>
  <c r="J1605" i="13"/>
  <c r="L1605" i="13" s="1"/>
  <c r="J1669" i="13"/>
  <c r="L1669" i="13" s="1"/>
  <c r="J1691" i="13"/>
  <c r="L1691" i="13" s="1"/>
  <c r="J1800" i="13"/>
  <c r="L1800" i="13" s="1"/>
  <c r="J1848" i="13"/>
  <c r="L1848" i="13" s="1"/>
  <c r="J1989" i="13"/>
  <c r="L1989" i="13" s="1"/>
  <c r="J2211" i="13"/>
  <c r="L2211" i="13" s="1"/>
  <c r="J953" i="13"/>
  <c r="L953" i="13" s="1"/>
  <c r="J961" i="13"/>
  <c r="L961" i="13" s="1"/>
  <c r="J969" i="13"/>
  <c r="L969" i="13" s="1"/>
  <c r="J977" i="13"/>
  <c r="L977" i="13" s="1"/>
  <c r="J985" i="13"/>
  <c r="L985" i="13" s="1"/>
  <c r="J993" i="13"/>
  <c r="L993" i="13" s="1"/>
  <c r="J1002" i="13"/>
  <c r="L1002" i="13" s="1"/>
  <c r="J1018" i="13"/>
  <c r="L1018" i="13" s="1"/>
  <c r="J1034" i="13"/>
  <c r="L1034" i="13" s="1"/>
  <c r="J1050" i="13"/>
  <c r="L1050" i="13" s="1"/>
  <c r="J1066" i="13"/>
  <c r="L1066" i="13" s="1"/>
  <c r="J1082" i="13"/>
  <c r="L1082" i="13" s="1"/>
  <c r="J1098" i="13"/>
  <c r="L1098" i="13" s="1"/>
  <c r="J1114" i="13"/>
  <c r="L1114" i="13" s="1"/>
  <c r="J1130" i="13"/>
  <c r="L1130" i="13" s="1"/>
  <c r="J1146" i="13"/>
  <c r="L1146" i="13" s="1"/>
  <c r="J1162" i="13"/>
  <c r="L1162" i="13" s="1"/>
  <c r="J1178" i="13"/>
  <c r="L1178" i="13" s="1"/>
  <c r="J1194" i="13"/>
  <c r="L1194" i="13" s="1"/>
  <c r="J1210" i="13"/>
  <c r="L1210" i="13" s="1"/>
  <c r="J1226" i="13"/>
  <c r="L1226" i="13" s="1"/>
  <c r="J1242" i="13"/>
  <c r="L1242" i="13" s="1"/>
  <c r="J1258" i="13"/>
  <c r="L1258" i="13" s="1"/>
  <c r="J1274" i="13"/>
  <c r="L1274" i="13" s="1"/>
  <c r="J1290" i="13"/>
  <c r="L1290" i="13" s="1"/>
  <c r="J1306" i="13"/>
  <c r="L1306" i="13" s="1"/>
  <c r="J1322" i="13"/>
  <c r="L1322" i="13" s="1"/>
  <c r="J1338" i="13"/>
  <c r="L1338" i="13" s="1"/>
  <c r="J1354" i="13"/>
  <c r="L1354" i="13" s="1"/>
  <c r="J1370" i="13"/>
  <c r="L1370" i="13" s="1"/>
  <c r="J1386" i="13"/>
  <c r="L1386" i="13" s="1"/>
  <c r="J1402" i="13"/>
  <c r="L1402" i="13" s="1"/>
  <c r="J1418" i="13"/>
  <c r="L1418" i="13" s="1"/>
  <c r="J1434" i="13"/>
  <c r="L1434" i="13" s="1"/>
  <c r="J1450" i="13"/>
  <c r="L1450" i="13" s="1"/>
  <c r="J1466" i="13"/>
  <c r="L1466" i="13" s="1"/>
  <c r="J1482" i="13"/>
  <c r="L1482" i="13" s="1"/>
  <c r="J1498" i="13"/>
  <c r="L1498" i="13" s="1"/>
  <c r="J1514" i="13"/>
  <c r="L1514" i="13" s="1"/>
  <c r="J1530" i="13"/>
  <c r="L1530" i="13" s="1"/>
  <c r="J1546" i="13"/>
  <c r="L1546" i="13" s="1"/>
  <c r="J1562" i="13"/>
  <c r="L1562" i="13" s="1"/>
  <c r="J1578" i="13"/>
  <c r="L1578" i="13" s="1"/>
  <c r="J1594" i="13"/>
  <c r="L1594" i="13" s="1"/>
  <c r="J1610" i="13"/>
  <c r="L1610" i="13" s="1"/>
  <c r="J1626" i="13"/>
  <c r="L1626" i="13" s="1"/>
  <c r="J1642" i="13"/>
  <c r="L1642" i="13" s="1"/>
  <c r="J1658" i="13"/>
  <c r="L1658" i="13" s="1"/>
  <c r="J1674" i="13"/>
  <c r="L1674" i="13" s="1"/>
  <c r="J1694" i="13"/>
  <c r="L1694" i="13" s="1"/>
  <c r="J1703" i="13"/>
  <c r="L1703" i="13" s="1"/>
  <c r="J1712" i="13"/>
  <c r="L1712" i="13" s="1"/>
  <c r="J1721" i="13"/>
  <c r="L1721" i="13" s="1"/>
  <c r="J1751" i="13"/>
  <c r="L1751" i="13" s="1"/>
  <c r="J1768" i="13"/>
  <c r="L1768" i="13" s="1"/>
  <c r="J1777" i="13"/>
  <c r="L1777" i="13" s="1"/>
  <c r="J1794" i="13"/>
  <c r="L1794" i="13" s="1"/>
  <c r="J1820" i="13"/>
  <c r="L1820" i="13" s="1"/>
  <c r="J1893" i="13"/>
  <c r="L1893" i="13" s="1"/>
  <c r="J2000" i="13"/>
  <c r="L2000" i="13" s="1"/>
  <c r="J2034" i="13"/>
  <c r="L2034" i="13" s="1"/>
  <c r="J2120" i="13"/>
  <c r="L2120" i="13" s="1"/>
  <c r="J2443" i="13"/>
  <c r="L2443" i="13" s="1"/>
  <c r="J1015" i="13"/>
  <c r="L1015" i="13" s="1"/>
  <c r="J1031" i="13"/>
  <c r="L1031" i="13" s="1"/>
  <c r="J1047" i="13"/>
  <c r="L1047" i="13" s="1"/>
  <c r="J1063" i="13"/>
  <c r="L1063" i="13" s="1"/>
  <c r="J1079" i="13"/>
  <c r="L1079" i="13" s="1"/>
  <c r="J1095" i="13"/>
  <c r="L1095" i="13" s="1"/>
  <c r="J1111" i="13"/>
  <c r="L1111" i="13" s="1"/>
  <c r="J1127" i="13"/>
  <c r="L1127" i="13" s="1"/>
  <c r="J1143" i="13"/>
  <c r="L1143" i="13" s="1"/>
  <c r="J1159" i="13"/>
  <c r="L1159" i="13" s="1"/>
  <c r="J1175" i="13"/>
  <c r="L1175" i="13" s="1"/>
  <c r="J1191" i="13"/>
  <c r="L1191" i="13" s="1"/>
  <c r="J1207" i="13"/>
  <c r="L1207" i="13" s="1"/>
  <c r="J1223" i="13"/>
  <c r="L1223" i="13" s="1"/>
  <c r="J1239" i="13"/>
  <c r="L1239" i="13" s="1"/>
  <c r="J1255" i="13"/>
  <c r="L1255" i="13" s="1"/>
  <c r="J1271" i="13"/>
  <c r="L1271" i="13" s="1"/>
  <c r="J1287" i="13"/>
  <c r="L1287" i="13" s="1"/>
  <c r="J1303" i="13"/>
  <c r="L1303" i="13" s="1"/>
  <c r="J1319" i="13"/>
  <c r="L1319" i="13" s="1"/>
  <c r="J1335" i="13"/>
  <c r="L1335" i="13" s="1"/>
  <c r="J1351" i="13"/>
  <c r="L1351" i="13" s="1"/>
  <c r="J1367" i="13"/>
  <c r="L1367" i="13" s="1"/>
  <c r="J1383" i="13"/>
  <c r="L1383" i="13" s="1"/>
  <c r="J1399" i="13"/>
  <c r="L1399" i="13" s="1"/>
  <c r="J1415" i="13"/>
  <c r="L1415" i="13" s="1"/>
  <c r="J1431" i="13"/>
  <c r="L1431" i="13" s="1"/>
  <c r="J1447" i="13"/>
  <c r="L1447" i="13" s="1"/>
  <c r="J1463" i="13"/>
  <c r="L1463" i="13" s="1"/>
  <c r="J1479" i="13"/>
  <c r="L1479" i="13" s="1"/>
  <c r="J1495" i="13"/>
  <c r="L1495" i="13" s="1"/>
  <c r="J1511" i="13"/>
  <c r="L1511" i="13" s="1"/>
  <c r="J1527" i="13"/>
  <c r="L1527" i="13" s="1"/>
  <c r="J1543" i="13"/>
  <c r="L1543" i="13" s="1"/>
  <c r="J1559" i="13"/>
  <c r="L1559" i="13" s="1"/>
  <c r="J1575" i="13"/>
  <c r="L1575" i="13" s="1"/>
  <c r="J1591" i="13"/>
  <c r="L1591" i="13" s="1"/>
  <c r="J1607" i="13"/>
  <c r="L1607" i="13" s="1"/>
  <c r="J1623" i="13"/>
  <c r="L1623" i="13" s="1"/>
  <c r="J1639" i="13"/>
  <c r="L1639" i="13" s="1"/>
  <c r="J1655" i="13"/>
  <c r="L1655" i="13" s="1"/>
  <c r="J1671" i="13"/>
  <c r="L1671" i="13" s="1"/>
  <c r="J1683" i="13"/>
  <c r="L1683" i="13" s="1"/>
  <c r="J1692" i="13"/>
  <c r="L1692" i="13" s="1"/>
  <c r="J1701" i="13"/>
  <c r="L1701" i="13" s="1"/>
  <c r="J1741" i="13"/>
  <c r="L1741" i="13" s="1"/>
  <c r="J1758" i="13"/>
  <c r="L1758" i="13" s="1"/>
  <c r="J1775" i="13"/>
  <c r="L1775" i="13" s="1"/>
  <c r="J1784" i="13"/>
  <c r="L1784" i="13" s="1"/>
  <c r="J1801" i="13"/>
  <c r="L1801" i="13" s="1"/>
  <c r="J1827" i="13"/>
  <c r="L1827" i="13" s="1"/>
  <c r="J1852" i="13"/>
  <c r="L1852" i="13" s="1"/>
  <c r="J1921" i="13"/>
  <c r="L1921" i="13" s="1"/>
  <c r="J1959" i="13"/>
  <c r="L1959" i="13" s="1"/>
  <c r="J2028" i="13"/>
  <c r="L2028" i="13" s="1"/>
  <c r="J2062" i="13"/>
  <c r="L2062" i="13" s="1"/>
  <c r="J2108" i="13"/>
  <c r="L2108" i="13" s="1"/>
  <c r="J2411" i="13"/>
  <c r="L2411" i="13" s="1"/>
  <c r="J2700" i="13"/>
  <c r="L2700" i="13" s="1"/>
  <c r="J958" i="13"/>
  <c r="L958" i="13" s="1"/>
  <c r="J966" i="13"/>
  <c r="L966" i="13" s="1"/>
  <c r="J974" i="13"/>
  <c r="L974" i="13" s="1"/>
  <c r="J982" i="13"/>
  <c r="L982" i="13" s="1"/>
  <c r="J990" i="13"/>
  <c r="L990" i="13" s="1"/>
  <c r="J998" i="13"/>
  <c r="L998" i="13" s="1"/>
  <c r="J1012" i="13"/>
  <c r="L1012" i="13" s="1"/>
  <c r="J1028" i="13"/>
  <c r="L1028" i="13" s="1"/>
  <c r="J1044" i="13"/>
  <c r="L1044" i="13" s="1"/>
  <c r="J1060" i="13"/>
  <c r="L1060" i="13" s="1"/>
  <c r="J1076" i="13"/>
  <c r="L1076" i="13" s="1"/>
  <c r="J1092" i="13"/>
  <c r="L1092" i="13" s="1"/>
  <c r="J1108" i="13"/>
  <c r="L1108" i="13" s="1"/>
  <c r="J1124" i="13"/>
  <c r="L1124" i="13" s="1"/>
  <c r="J1140" i="13"/>
  <c r="L1140" i="13" s="1"/>
  <c r="J1156" i="13"/>
  <c r="L1156" i="13" s="1"/>
  <c r="J1172" i="13"/>
  <c r="L1172" i="13" s="1"/>
  <c r="J1188" i="13"/>
  <c r="L1188" i="13" s="1"/>
  <c r="J1204" i="13"/>
  <c r="L1204" i="13" s="1"/>
  <c r="J1220" i="13"/>
  <c r="L1220" i="13" s="1"/>
  <c r="J1236" i="13"/>
  <c r="L1236" i="13" s="1"/>
  <c r="J1252" i="13"/>
  <c r="L1252" i="13" s="1"/>
  <c r="J1268" i="13"/>
  <c r="L1268" i="13" s="1"/>
  <c r="J1284" i="13"/>
  <c r="L1284" i="13" s="1"/>
  <c r="J1300" i="13"/>
  <c r="L1300" i="13" s="1"/>
  <c r="J1316" i="13"/>
  <c r="L1316" i="13" s="1"/>
  <c r="J1332" i="13"/>
  <c r="L1332" i="13" s="1"/>
  <c r="J1348" i="13"/>
  <c r="L1348" i="13" s="1"/>
  <c r="J1364" i="13"/>
  <c r="L1364" i="13" s="1"/>
  <c r="J1380" i="13"/>
  <c r="L1380" i="13" s="1"/>
  <c r="J1396" i="13"/>
  <c r="L1396" i="13" s="1"/>
  <c r="J1412" i="13"/>
  <c r="L1412" i="13" s="1"/>
  <c r="J1428" i="13"/>
  <c r="L1428" i="13" s="1"/>
  <c r="J1444" i="13"/>
  <c r="L1444" i="13" s="1"/>
  <c r="J1460" i="13"/>
  <c r="L1460" i="13" s="1"/>
  <c r="J1476" i="13"/>
  <c r="L1476" i="13" s="1"/>
  <c r="J1492" i="13"/>
  <c r="L1492" i="13" s="1"/>
  <c r="J1508" i="13"/>
  <c r="L1508" i="13" s="1"/>
  <c r="J1524" i="13"/>
  <c r="L1524" i="13" s="1"/>
  <c r="J1540" i="13"/>
  <c r="L1540" i="13" s="1"/>
  <c r="J1556" i="13"/>
  <c r="L1556" i="13" s="1"/>
  <c r="J1572" i="13"/>
  <c r="L1572" i="13" s="1"/>
  <c r="J1588" i="13"/>
  <c r="L1588" i="13" s="1"/>
  <c r="J1604" i="13"/>
  <c r="L1604" i="13" s="1"/>
  <c r="J1620" i="13"/>
  <c r="L1620" i="13" s="1"/>
  <c r="J1636" i="13"/>
  <c r="L1636" i="13" s="1"/>
  <c r="J1652" i="13"/>
  <c r="L1652" i="13" s="1"/>
  <c r="J1668" i="13"/>
  <c r="L1668" i="13" s="1"/>
  <c r="J1681" i="13"/>
  <c r="L1681" i="13" s="1"/>
  <c r="J1718" i="13"/>
  <c r="L1718" i="13" s="1"/>
  <c r="J1727" i="13"/>
  <c r="L1727" i="13" s="1"/>
  <c r="J1738" i="13"/>
  <c r="L1738" i="13" s="1"/>
  <c r="J1748" i="13"/>
  <c r="L1748" i="13" s="1"/>
  <c r="J1765" i="13"/>
  <c r="L1765" i="13" s="1"/>
  <c r="J1782" i="13"/>
  <c r="L1782" i="13" s="1"/>
  <c r="J1791" i="13"/>
  <c r="L1791" i="13" s="1"/>
  <c r="J1808" i="13"/>
  <c r="L1808" i="13" s="1"/>
  <c r="J1846" i="13"/>
  <c r="L1846" i="13" s="1"/>
  <c r="J1880" i="13"/>
  <c r="L1880" i="13" s="1"/>
  <c r="J1987" i="13"/>
  <c r="L1987" i="13" s="1"/>
  <c r="J2056" i="13"/>
  <c r="L2056" i="13" s="1"/>
  <c r="J2096" i="13"/>
  <c r="L2096" i="13" s="1"/>
  <c r="J2379" i="13"/>
  <c r="L2379" i="13" s="1"/>
  <c r="J2564" i="13"/>
  <c r="L2564" i="13" s="1"/>
  <c r="J1840" i="13"/>
  <c r="L1840" i="13" s="1"/>
  <c r="J1857" i="13"/>
  <c r="L1857" i="13" s="1"/>
  <c r="J1883" i="13"/>
  <c r="L1883" i="13" s="1"/>
  <c r="J1900" i="13"/>
  <c r="L1900" i="13" s="1"/>
  <c r="J1909" i="13"/>
  <c r="L1909" i="13" s="1"/>
  <c r="J1926" i="13"/>
  <c r="L1926" i="13" s="1"/>
  <c r="J1938" i="13"/>
  <c r="L1938" i="13" s="1"/>
  <c r="J1955" i="13"/>
  <c r="L1955" i="13" s="1"/>
  <c r="J1981" i="13"/>
  <c r="L1981" i="13" s="1"/>
  <c r="J1998" i="13"/>
  <c r="L1998" i="13" s="1"/>
  <c r="J2007" i="13"/>
  <c r="L2007" i="13" s="1"/>
  <c r="J2024" i="13"/>
  <c r="L2024" i="13" s="1"/>
  <c r="J2041" i="13"/>
  <c r="L2041" i="13" s="1"/>
  <c r="J2050" i="13"/>
  <c r="L2050" i="13" s="1"/>
  <c r="J2067" i="13"/>
  <c r="L2067" i="13" s="1"/>
  <c r="J2085" i="13"/>
  <c r="L2085" i="13" s="1"/>
  <c r="J2101" i="13"/>
  <c r="L2101" i="13" s="1"/>
  <c r="J2117" i="13"/>
  <c r="L2117" i="13" s="1"/>
  <c r="J2133" i="13"/>
  <c r="L2133" i="13" s="1"/>
  <c r="J2171" i="13"/>
  <c r="L2171" i="13" s="1"/>
  <c r="J2214" i="13"/>
  <c r="L2214" i="13" s="1"/>
  <c r="J2303" i="13"/>
  <c r="L2303" i="13" s="1"/>
  <c r="J2346" i="13"/>
  <c r="L2346" i="13" s="1"/>
  <c r="J2435" i="13"/>
  <c r="L2435" i="13" s="1"/>
  <c r="J2482" i="13"/>
  <c r="L2482" i="13" s="1"/>
  <c r="J2621" i="13"/>
  <c r="L2621" i="13" s="1"/>
  <c r="J1834" i="13"/>
  <c r="L1834" i="13" s="1"/>
  <c r="J1862" i="13"/>
  <c r="L1862" i="13" s="1"/>
  <c r="J1879" i="13"/>
  <c r="L1879" i="13" s="1"/>
  <c r="J1888" i="13"/>
  <c r="L1888" i="13" s="1"/>
  <c r="J1905" i="13"/>
  <c r="L1905" i="13" s="1"/>
  <c r="J1922" i="13"/>
  <c r="L1922" i="13" s="1"/>
  <c r="J1932" i="13"/>
  <c r="L1932" i="13" s="1"/>
  <c r="J1960" i="13"/>
  <c r="L1960" i="13" s="1"/>
  <c r="J1977" i="13"/>
  <c r="L1977" i="13" s="1"/>
  <c r="J1986" i="13"/>
  <c r="L1986" i="13" s="1"/>
  <c r="J2003" i="13"/>
  <c r="L2003" i="13" s="1"/>
  <c r="J2020" i="13"/>
  <c r="L2020" i="13" s="1"/>
  <c r="J2029" i="13"/>
  <c r="L2029" i="13" s="1"/>
  <c r="J2046" i="13"/>
  <c r="L2046" i="13" s="1"/>
  <c r="J2072" i="13"/>
  <c r="L2072" i="13" s="1"/>
  <c r="J2094" i="13"/>
  <c r="L2094" i="13" s="1"/>
  <c r="J2110" i="13"/>
  <c r="L2110" i="13" s="1"/>
  <c r="J2126" i="13"/>
  <c r="L2126" i="13" s="1"/>
  <c r="J2195" i="13"/>
  <c r="L2195" i="13" s="1"/>
  <c r="J2238" i="13"/>
  <c r="L2238" i="13" s="1"/>
  <c r="J2327" i="13"/>
  <c r="L2327" i="13" s="1"/>
  <c r="J2374" i="13"/>
  <c r="L2374" i="13" s="1"/>
  <c r="J2459" i="13"/>
  <c r="L2459" i="13" s="1"/>
  <c r="J2506" i="13"/>
  <c r="L2506" i="13" s="1"/>
  <c r="J2721" i="13"/>
  <c r="L2721" i="13" s="1"/>
  <c r="J1839" i="13"/>
  <c r="L1839" i="13" s="1"/>
  <c r="J1856" i="13"/>
  <c r="L1856" i="13" s="1"/>
  <c r="J1873" i="13"/>
  <c r="L1873" i="13" s="1"/>
  <c r="J1882" i="13"/>
  <c r="L1882" i="13" s="1"/>
  <c r="J1899" i="13"/>
  <c r="L1899" i="13" s="1"/>
  <c r="J1925" i="13"/>
  <c r="L1925" i="13" s="1"/>
  <c r="J1937" i="13"/>
  <c r="L1937" i="13" s="1"/>
  <c r="J1954" i="13"/>
  <c r="L1954" i="13" s="1"/>
  <c r="J1971" i="13"/>
  <c r="L1971" i="13" s="1"/>
  <c r="J1980" i="13"/>
  <c r="L1980" i="13" s="1"/>
  <c r="J1997" i="13"/>
  <c r="L1997" i="13" s="1"/>
  <c r="J2023" i="13"/>
  <c r="L2023" i="13" s="1"/>
  <c r="J2040" i="13"/>
  <c r="L2040" i="13" s="1"/>
  <c r="J2049" i="13"/>
  <c r="L2049" i="13" s="1"/>
  <c r="J2066" i="13"/>
  <c r="L2066" i="13" s="1"/>
  <c r="J2083" i="13"/>
  <c r="L2083" i="13" s="1"/>
  <c r="J2099" i="13"/>
  <c r="L2099" i="13" s="1"/>
  <c r="J2115" i="13"/>
  <c r="L2115" i="13" s="1"/>
  <c r="J2131" i="13"/>
  <c r="L2131" i="13" s="1"/>
  <c r="J2166" i="13"/>
  <c r="L2166" i="13" s="1"/>
  <c r="J2254" i="13"/>
  <c r="L2254" i="13" s="1"/>
  <c r="J2298" i="13"/>
  <c r="L2298" i="13" s="1"/>
  <c r="J2387" i="13"/>
  <c r="L2387" i="13" s="1"/>
  <c r="J2430" i="13"/>
  <c r="L2430" i="13" s="1"/>
  <c r="J2519" i="13"/>
  <c r="L2519" i="13" s="1"/>
  <c r="J2600" i="13"/>
  <c r="L2600" i="13" s="1"/>
  <c r="J2161" i="13"/>
  <c r="L2161" i="13" s="1"/>
  <c r="J2172" i="13"/>
  <c r="L2172" i="13" s="1"/>
  <c r="J2193" i="13"/>
  <c r="L2193" i="13" s="1"/>
  <c r="J2204" i="13"/>
  <c r="L2204" i="13" s="1"/>
  <c r="J2225" i="13"/>
  <c r="L2225" i="13" s="1"/>
  <c r="J2236" i="13"/>
  <c r="L2236" i="13" s="1"/>
  <c r="J2247" i="13"/>
  <c r="L2247" i="13" s="1"/>
  <c r="J2261" i="13"/>
  <c r="L2261" i="13" s="1"/>
  <c r="J2272" i="13"/>
  <c r="L2272" i="13" s="1"/>
  <c r="J2293" i="13"/>
  <c r="L2293" i="13" s="1"/>
  <c r="J2304" i="13"/>
  <c r="L2304" i="13" s="1"/>
  <c r="J2325" i="13"/>
  <c r="L2325" i="13" s="1"/>
  <c r="J2336" i="13"/>
  <c r="L2336" i="13" s="1"/>
  <c r="J2359" i="13"/>
  <c r="L2359" i="13" s="1"/>
  <c r="J2372" i="13"/>
  <c r="L2372" i="13" s="1"/>
  <c r="J2393" i="13"/>
  <c r="L2393" i="13" s="1"/>
  <c r="J2404" i="13"/>
  <c r="L2404" i="13" s="1"/>
  <c r="J2425" i="13"/>
  <c r="L2425" i="13" s="1"/>
  <c r="J2436" i="13"/>
  <c r="L2436" i="13" s="1"/>
  <c r="J2457" i="13"/>
  <c r="L2457" i="13" s="1"/>
  <c r="J2471" i="13"/>
  <c r="L2471" i="13" s="1"/>
  <c r="J2493" i="13"/>
  <c r="L2493" i="13" s="1"/>
  <c r="J2504" i="13"/>
  <c r="L2504" i="13" s="1"/>
  <c r="J2525" i="13"/>
  <c r="L2525" i="13" s="1"/>
  <c r="J2536" i="13"/>
  <c r="L2536" i="13" s="1"/>
  <c r="J2581" i="13"/>
  <c r="L2581" i="13" s="1"/>
  <c r="J2624" i="13"/>
  <c r="L2624" i="13" s="1"/>
  <c r="J2713" i="13"/>
  <c r="L2713" i="13" s="1"/>
  <c r="J2756" i="13"/>
  <c r="L2756" i="13" s="1"/>
  <c r="J2144" i="13"/>
  <c r="L2144" i="13" s="1"/>
  <c r="J2167" i="13"/>
  <c r="L2167" i="13" s="1"/>
  <c r="J2178" i="13"/>
  <c r="L2178" i="13" s="1"/>
  <c r="J2199" i="13"/>
  <c r="L2199" i="13" s="1"/>
  <c r="J2210" i="13"/>
  <c r="L2210" i="13" s="1"/>
  <c r="J2231" i="13"/>
  <c r="L2231" i="13" s="1"/>
  <c r="J2242" i="13"/>
  <c r="L2242" i="13" s="1"/>
  <c r="J2256" i="13"/>
  <c r="L2256" i="13" s="1"/>
  <c r="J2267" i="13"/>
  <c r="L2267" i="13" s="1"/>
  <c r="J2278" i="13"/>
  <c r="L2278" i="13" s="1"/>
  <c r="J2299" i="13"/>
  <c r="L2299" i="13" s="1"/>
  <c r="J2310" i="13"/>
  <c r="L2310" i="13" s="1"/>
  <c r="J2331" i="13"/>
  <c r="L2331" i="13" s="1"/>
  <c r="J2342" i="13"/>
  <c r="L2342" i="13" s="1"/>
  <c r="J2367" i="13"/>
  <c r="L2367" i="13" s="1"/>
  <c r="J2378" i="13"/>
  <c r="L2378" i="13" s="1"/>
  <c r="J2399" i="13"/>
  <c r="L2399" i="13" s="1"/>
  <c r="J2410" i="13"/>
  <c r="L2410" i="13" s="1"/>
  <c r="J2431" i="13"/>
  <c r="L2431" i="13" s="1"/>
  <c r="J2442" i="13"/>
  <c r="L2442" i="13" s="1"/>
  <c r="J2464" i="13"/>
  <c r="L2464" i="13" s="1"/>
  <c r="J2478" i="13"/>
  <c r="L2478" i="13" s="1"/>
  <c r="J2499" i="13"/>
  <c r="L2499" i="13" s="1"/>
  <c r="J2510" i="13"/>
  <c r="L2510" i="13" s="1"/>
  <c r="J2531" i="13"/>
  <c r="L2531" i="13" s="1"/>
  <c r="J2542" i="13"/>
  <c r="L2542" i="13" s="1"/>
  <c r="J2605" i="13"/>
  <c r="L2605" i="13" s="1"/>
  <c r="J2648" i="13"/>
  <c r="L2648" i="13" s="1"/>
  <c r="J2737" i="13"/>
  <c r="L2737" i="13" s="1"/>
  <c r="J2780" i="13"/>
  <c r="L2780" i="13" s="1"/>
  <c r="J2152" i="13"/>
  <c r="L2152" i="13" s="1"/>
  <c r="J2173" i="13"/>
  <c r="L2173" i="13" s="1"/>
  <c r="J2184" i="13"/>
  <c r="L2184" i="13" s="1"/>
  <c r="J2205" i="13"/>
  <c r="L2205" i="13" s="1"/>
  <c r="J2216" i="13"/>
  <c r="L2216" i="13" s="1"/>
  <c r="J2237" i="13"/>
  <c r="L2237" i="13" s="1"/>
  <c r="J2249" i="13"/>
  <c r="L2249" i="13" s="1"/>
  <c r="J2273" i="13"/>
  <c r="L2273" i="13" s="1"/>
  <c r="J2284" i="13"/>
  <c r="L2284" i="13" s="1"/>
  <c r="J2305" i="13"/>
  <c r="L2305" i="13" s="1"/>
  <c r="J2316" i="13"/>
  <c r="L2316" i="13" s="1"/>
  <c r="J2337" i="13"/>
  <c r="L2337" i="13" s="1"/>
  <c r="J2348" i="13"/>
  <c r="L2348" i="13" s="1"/>
  <c r="J2361" i="13"/>
  <c r="L2361" i="13" s="1"/>
  <c r="J2373" i="13"/>
  <c r="L2373" i="13" s="1"/>
  <c r="J2384" i="13"/>
  <c r="L2384" i="13" s="1"/>
  <c r="J2405" i="13"/>
  <c r="L2405" i="13" s="1"/>
  <c r="J2416" i="13"/>
  <c r="L2416" i="13" s="1"/>
  <c r="J2437" i="13"/>
  <c r="L2437" i="13" s="1"/>
  <c r="J2448" i="13"/>
  <c r="L2448" i="13" s="1"/>
  <c r="J2473" i="13"/>
  <c r="L2473" i="13" s="1"/>
  <c r="J2484" i="13"/>
  <c r="L2484" i="13" s="1"/>
  <c r="J2505" i="13"/>
  <c r="L2505" i="13" s="1"/>
  <c r="J2516" i="13"/>
  <c r="L2516" i="13" s="1"/>
  <c r="J2537" i="13"/>
  <c r="L2537" i="13" s="1"/>
  <c r="J2548" i="13"/>
  <c r="L2548" i="13" s="1"/>
  <c r="J2629" i="13"/>
  <c r="L2629" i="13" s="1"/>
  <c r="J2672" i="13"/>
  <c r="L2672" i="13" s="1"/>
  <c r="J2761" i="13"/>
  <c r="L2761" i="13" s="1"/>
  <c r="J2554" i="13"/>
  <c r="L2554" i="13" s="1"/>
  <c r="J2578" i="13"/>
  <c r="L2578" i="13" s="1"/>
  <c r="J2590" i="13"/>
  <c r="L2590" i="13" s="1"/>
  <c r="J2611" i="13"/>
  <c r="L2611" i="13" s="1"/>
  <c r="J2622" i="13"/>
  <c r="L2622" i="13" s="1"/>
  <c r="J2643" i="13"/>
  <c r="L2643" i="13" s="1"/>
  <c r="J2654" i="13"/>
  <c r="L2654" i="13" s="1"/>
  <c r="J2675" i="13"/>
  <c r="L2675" i="13" s="1"/>
  <c r="J2690" i="13"/>
  <c r="L2690" i="13" s="1"/>
  <c r="J2711" i="13"/>
  <c r="L2711" i="13" s="1"/>
  <c r="J2722" i="13"/>
  <c r="L2722" i="13" s="1"/>
  <c r="J2743" i="13"/>
  <c r="L2743" i="13" s="1"/>
  <c r="J2754" i="13"/>
  <c r="L2754" i="13" s="1"/>
  <c r="J2775" i="13"/>
  <c r="L2775" i="13" s="1"/>
  <c r="J2552" i="13"/>
  <c r="L2552" i="13" s="1"/>
  <c r="J2575" i="13"/>
  <c r="L2575" i="13" s="1"/>
  <c r="J2588" i="13"/>
  <c r="L2588" i="13" s="1"/>
  <c r="J2609" i="13"/>
  <c r="L2609" i="13" s="1"/>
  <c r="J2620" i="13"/>
  <c r="L2620" i="13" s="1"/>
  <c r="J2641" i="13"/>
  <c r="L2641" i="13" s="1"/>
  <c r="J2652" i="13"/>
  <c r="L2652" i="13" s="1"/>
  <c r="J2673" i="13"/>
  <c r="L2673" i="13" s="1"/>
  <c r="J2687" i="13"/>
  <c r="L2687" i="13" s="1"/>
  <c r="J2709" i="13"/>
  <c r="L2709" i="13" s="1"/>
  <c r="J2720" i="13"/>
  <c r="L2720" i="13" s="1"/>
  <c r="J2741" i="13"/>
  <c r="L2741" i="13" s="1"/>
  <c r="J2752" i="13"/>
  <c r="L2752" i="13" s="1"/>
  <c r="J2773" i="13"/>
  <c r="L2773" i="13" s="1"/>
  <c r="J2784" i="13"/>
  <c r="L2784" i="13" s="1"/>
  <c r="J2572" i="13"/>
  <c r="L2572" i="13" s="1"/>
  <c r="J2586" i="13"/>
  <c r="L2586" i="13" s="1"/>
  <c r="J2607" i="13"/>
  <c r="L2607" i="13" s="1"/>
  <c r="J2618" i="13"/>
  <c r="L2618" i="13" s="1"/>
  <c r="J2639" i="13"/>
  <c r="L2639" i="13" s="1"/>
  <c r="J2650" i="13"/>
  <c r="L2650" i="13" s="1"/>
  <c r="J2671" i="13"/>
  <c r="L2671" i="13" s="1"/>
  <c r="J2684" i="13"/>
  <c r="L2684" i="13" s="1"/>
  <c r="J2707" i="13"/>
  <c r="L2707" i="13" s="1"/>
  <c r="J2718" i="13"/>
  <c r="L2718" i="13" s="1"/>
  <c r="J2739" i="13"/>
  <c r="L2739" i="13" s="1"/>
  <c r="J2750" i="13"/>
  <c r="L2750" i="13" s="1"/>
  <c r="J2771" i="13"/>
  <c r="L2771" i="13" s="1"/>
  <c r="J2782" i="13"/>
  <c r="L2782" i="13" s="1"/>
  <c r="T65" i="5"/>
  <c r="T70" i="5"/>
  <c r="T42" i="5"/>
  <c r="T49" i="5"/>
  <c r="T26" i="5"/>
  <c r="J46" i="13"/>
  <c r="L46" i="13" s="1"/>
  <c r="J212" i="13"/>
  <c r="L212" i="13" s="1"/>
  <c r="J307" i="13"/>
  <c r="L307" i="13" s="1"/>
  <c r="J339" i="13"/>
  <c r="L339" i="13" s="1"/>
  <c r="J368" i="13"/>
  <c r="L368" i="13" s="1"/>
  <c r="J404" i="13"/>
  <c r="L404" i="13" s="1"/>
  <c r="J531" i="13"/>
  <c r="L531" i="13" s="1"/>
  <c r="J663" i="13"/>
  <c r="L663" i="13" s="1"/>
  <c r="J817" i="13"/>
  <c r="L817" i="13" s="1"/>
  <c r="J921" i="13"/>
  <c r="L921" i="13" s="1"/>
  <c r="J1385" i="13"/>
  <c r="L1385" i="13" s="1"/>
  <c r="J11" i="13"/>
  <c r="L11" i="13" s="1"/>
  <c r="J27" i="13"/>
  <c r="L27" i="13" s="1"/>
  <c r="J43" i="13"/>
  <c r="L43" i="13" s="1"/>
  <c r="J59" i="13"/>
  <c r="L59" i="13" s="1"/>
  <c r="J75" i="13"/>
  <c r="L75" i="13" s="1"/>
  <c r="J86" i="13"/>
  <c r="L86" i="13" s="1"/>
  <c r="J97" i="13"/>
  <c r="L97" i="13" s="1"/>
  <c r="J118" i="13"/>
  <c r="L118" i="13" s="1"/>
  <c r="J129" i="13"/>
  <c r="L129" i="13" s="1"/>
  <c r="J150" i="13"/>
  <c r="L150" i="13" s="1"/>
  <c r="J161" i="13"/>
  <c r="L161" i="13" s="1"/>
  <c r="J186" i="13"/>
  <c r="L186" i="13" s="1"/>
  <c r="J197" i="13"/>
  <c r="L197" i="13" s="1"/>
  <c r="J218" i="13"/>
  <c r="L218" i="13" s="1"/>
  <c r="J229" i="13"/>
  <c r="L229" i="13" s="1"/>
  <c r="J250" i="13"/>
  <c r="L250" i="13" s="1"/>
  <c r="J261" i="13"/>
  <c r="L261" i="13" s="1"/>
  <c r="J283" i="13"/>
  <c r="L283" i="13" s="1"/>
  <c r="J297" i="13"/>
  <c r="L297" i="13" s="1"/>
  <c r="J318" i="13"/>
  <c r="L318" i="13" s="1"/>
  <c r="J329" i="13"/>
  <c r="L329" i="13" s="1"/>
  <c r="J350" i="13"/>
  <c r="L350" i="13" s="1"/>
  <c r="J361" i="13"/>
  <c r="L361" i="13" s="1"/>
  <c r="J382" i="13"/>
  <c r="L382" i="13" s="1"/>
  <c r="J395" i="13"/>
  <c r="L395" i="13" s="1"/>
  <c r="J412" i="13"/>
  <c r="L412" i="13" s="1"/>
  <c r="J455" i="13"/>
  <c r="L455" i="13" s="1"/>
  <c r="J498" i="13"/>
  <c r="L498" i="13" s="1"/>
  <c r="J544" i="13"/>
  <c r="L544" i="13" s="1"/>
  <c r="J587" i="13"/>
  <c r="L587" i="13" s="1"/>
  <c r="J676" i="13"/>
  <c r="L676" i="13" s="1"/>
  <c r="J720" i="13"/>
  <c r="L720" i="13" s="1"/>
  <c r="J763" i="13"/>
  <c r="L763" i="13" s="1"/>
  <c r="J795" i="13"/>
  <c r="L795" i="13" s="1"/>
  <c r="J827" i="13"/>
  <c r="L827" i="13" s="1"/>
  <c r="J859" i="13"/>
  <c r="L859" i="13" s="1"/>
  <c r="J891" i="13"/>
  <c r="L891" i="13" s="1"/>
  <c r="J923" i="13"/>
  <c r="L923" i="13" s="1"/>
  <c r="J1145" i="13"/>
  <c r="L1145" i="13" s="1"/>
  <c r="J1401" i="13"/>
  <c r="L1401" i="13" s="1"/>
  <c r="J1657" i="13"/>
  <c r="L1657" i="13" s="1"/>
  <c r="J1759" i="13"/>
  <c r="L1759" i="13" s="1"/>
  <c r="J2116" i="13"/>
  <c r="L2116" i="13" s="1"/>
  <c r="J50" i="13"/>
  <c r="L50" i="13" s="1"/>
  <c r="J91" i="13"/>
  <c r="L91" i="13" s="1"/>
  <c r="J123" i="13"/>
  <c r="L123" i="13" s="1"/>
  <c r="J155" i="13"/>
  <c r="L155" i="13" s="1"/>
  <c r="J188" i="13"/>
  <c r="L188" i="13" s="1"/>
  <c r="J223" i="13"/>
  <c r="L223" i="13" s="1"/>
  <c r="J255" i="13"/>
  <c r="L255" i="13" s="1"/>
  <c r="J290" i="13"/>
  <c r="L290" i="13" s="1"/>
  <c r="J328" i="13"/>
  <c r="L328" i="13" s="1"/>
  <c r="J360" i="13"/>
  <c r="L360" i="13" s="1"/>
  <c r="J727" i="13"/>
  <c r="L727" i="13" s="1"/>
  <c r="J801" i="13"/>
  <c r="L801" i="13" s="1"/>
  <c r="J889" i="13"/>
  <c r="L889" i="13" s="1"/>
  <c r="J1129" i="13"/>
  <c r="L1129" i="13" s="1"/>
  <c r="J16" i="13"/>
  <c r="L16" i="13" s="1"/>
  <c r="J32" i="13"/>
  <c r="L32" i="13" s="1"/>
  <c r="J48" i="13"/>
  <c r="L48" i="13" s="1"/>
  <c r="J64" i="13"/>
  <c r="L64" i="13" s="1"/>
  <c r="J79" i="13"/>
  <c r="L79" i="13" s="1"/>
  <c r="J100" i="13"/>
  <c r="L100" i="13" s="1"/>
  <c r="J111" i="13"/>
  <c r="L111" i="13" s="1"/>
  <c r="J132" i="13"/>
  <c r="L132" i="13" s="1"/>
  <c r="J143" i="13"/>
  <c r="L143" i="13" s="1"/>
  <c r="J164" i="13"/>
  <c r="L164" i="13" s="1"/>
  <c r="J176" i="13"/>
  <c r="L176" i="13" s="1"/>
  <c r="J200" i="13"/>
  <c r="L200" i="13" s="1"/>
  <c r="J211" i="13"/>
  <c r="L211" i="13" s="1"/>
  <c r="J232" i="13"/>
  <c r="L232" i="13" s="1"/>
  <c r="J243" i="13"/>
  <c r="L243" i="13" s="1"/>
  <c r="J264" i="13"/>
  <c r="L264" i="13" s="1"/>
  <c r="J275" i="13"/>
  <c r="L275" i="13" s="1"/>
  <c r="J288" i="13"/>
  <c r="L288" i="13" s="1"/>
  <c r="J300" i="13"/>
  <c r="L300" i="13" s="1"/>
  <c r="J311" i="13"/>
  <c r="L311" i="13" s="1"/>
  <c r="J332" i="13"/>
  <c r="L332" i="13" s="1"/>
  <c r="J343" i="13"/>
  <c r="L343" i="13" s="1"/>
  <c r="J364" i="13"/>
  <c r="L364" i="13" s="1"/>
  <c r="J375" i="13"/>
  <c r="L375" i="13" s="1"/>
  <c r="J400" i="13"/>
  <c r="L400" i="13" s="1"/>
  <c r="J468" i="13"/>
  <c r="L468" i="13" s="1"/>
  <c r="J515" i="13"/>
  <c r="L515" i="13" s="1"/>
  <c r="J600" i="13"/>
  <c r="L600" i="13" s="1"/>
  <c r="J647" i="13"/>
  <c r="L647" i="13" s="1"/>
  <c r="J731" i="13"/>
  <c r="L731" i="13" s="1"/>
  <c r="J741" i="13"/>
  <c r="L741" i="13" s="1"/>
  <c r="J773" i="13"/>
  <c r="L773" i="13" s="1"/>
  <c r="J805" i="13"/>
  <c r="L805" i="13" s="1"/>
  <c r="J837" i="13"/>
  <c r="L837" i="13" s="1"/>
  <c r="J869" i="13"/>
  <c r="L869" i="13" s="1"/>
  <c r="J901" i="13"/>
  <c r="L901" i="13" s="1"/>
  <c r="J933" i="13"/>
  <c r="L933" i="13" s="1"/>
  <c r="J1225" i="13"/>
  <c r="L1225" i="13" s="1"/>
  <c r="J1481" i="13"/>
  <c r="L1481" i="13" s="1"/>
  <c r="J1802" i="13"/>
  <c r="L1802" i="13" s="1"/>
  <c r="J10" i="13"/>
  <c r="L10" i="13" s="1"/>
  <c r="J58" i="13"/>
  <c r="L58" i="13" s="1"/>
  <c r="J96" i="13"/>
  <c r="L96" i="13" s="1"/>
  <c r="J128" i="13"/>
  <c r="L128" i="13" s="1"/>
  <c r="J160" i="13"/>
  <c r="L160" i="13" s="1"/>
  <c r="J236" i="13"/>
  <c r="L236" i="13" s="1"/>
  <c r="J268" i="13"/>
  <c r="L268" i="13" s="1"/>
  <c r="J304" i="13"/>
  <c r="L304" i="13" s="1"/>
  <c r="J363" i="13"/>
  <c r="L363" i="13" s="1"/>
  <c r="J394" i="13"/>
  <c r="L394" i="13" s="1"/>
  <c r="J520" i="13"/>
  <c r="L520" i="13" s="1"/>
  <c r="J652" i="13"/>
  <c r="L652" i="13" s="1"/>
  <c r="J809" i="13"/>
  <c r="L809" i="13" s="1"/>
  <c r="J897" i="13"/>
  <c r="L897" i="13" s="1"/>
  <c r="J1257" i="13"/>
  <c r="L1257" i="13" s="1"/>
  <c r="J25" i="13"/>
  <c r="L25" i="13" s="1"/>
  <c r="J41" i="13"/>
  <c r="L41" i="13" s="1"/>
  <c r="J57" i="13"/>
  <c r="L57" i="13" s="1"/>
  <c r="J73" i="13"/>
  <c r="L73" i="13" s="1"/>
  <c r="J85" i="13"/>
  <c r="L85" i="13" s="1"/>
  <c r="J106" i="13"/>
  <c r="L106" i="13" s="1"/>
  <c r="J117" i="13"/>
  <c r="L117" i="13" s="1"/>
  <c r="J138" i="13"/>
  <c r="L138" i="13" s="1"/>
  <c r="J149" i="13"/>
  <c r="L149" i="13" s="1"/>
  <c r="J170" i="13"/>
  <c r="L170" i="13" s="1"/>
  <c r="J185" i="13"/>
  <c r="L185" i="13" s="1"/>
  <c r="J206" i="13"/>
  <c r="L206" i="13" s="1"/>
  <c r="J217" i="13"/>
  <c r="L217" i="13" s="1"/>
  <c r="J238" i="13"/>
  <c r="L238" i="13" s="1"/>
  <c r="J249" i="13"/>
  <c r="L249" i="13" s="1"/>
  <c r="J270" i="13"/>
  <c r="L270" i="13" s="1"/>
  <c r="J281" i="13"/>
  <c r="L281" i="13" s="1"/>
  <c r="J306" i="13"/>
  <c r="L306" i="13" s="1"/>
  <c r="J317" i="13"/>
  <c r="L317" i="13" s="1"/>
  <c r="J338" i="13"/>
  <c r="L338" i="13" s="1"/>
  <c r="J349" i="13"/>
  <c r="L349" i="13" s="1"/>
  <c r="J370" i="13"/>
  <c r="L370" i="13" s="1"/>
  <c r="J381" i="13"/>
  <c r="L381" i="13" s="1"/>
  <c r="J393" i="13"/>
  <c r="L393" i="13" s="1"/>
  <c r="J407" i="13"/>
  <c r="L407" i="13" s="1"/>
  <c r="J492" i="13"/>
  <c r="L492" i="13" s="1"/>
  <c r="J539" i="13"/>
  <c r="L539" i="13" s="1"/>
  <c r="J628" i="13"/>
  <c r="L628" i="13" s="1"/>
  <c r="J671" i="13"/>
  <c r="L671" i="13" s="1"/>
  <c r="J716" i="13"/>
  <c r="L716" i="13" s="1"/>
  <c r="J759" i="13"/>
  <c r="L759" i="13" s="1"/>
  <c r="J791" i="13"/>
  <c r="L791" i="13" s="1"/>
  <c r="J823" i="13"/>
  <c r="L823" i="13" s="1"/>
  <c r="J855" i="13"/>
  <c r="L855" i="13" s="1"/>
  <c r="J887" i="13"/>
  <c r="L887" i="13" s="1"/>
  <c r="J919" i="13"/>
  <c r="L919" i="13" s="1"/>
  <c r="J1113" i="13"/>
  <c r="L1113" i="13" s="1"/>
  <c r="J1369" i="13"/>
  <c r="L1369" i="13" s="1"/>
  <c r="J1625" i="13"/>
  <c r="L1625" i="13" s="1"/>
  <c r="J1742" i="13"/>
  <c r="L1742" i="13" s="1"/>
  <c r="J2032" i="13"/>
  <c r="L2032" i="13" s="1"/>
  <c r="J413" i="13"/>
  <c r="L413" i="13" s="1"/>
  <c r="J434" i="13"/>
  <c r="L434" i="13" s="1"/>
  <c r="J445" i="13"/>
  <c r="L445" i="13" s="1"/>
  <c r="J466" i="13"/>
  <c r="L466" i="13" s="1"/>
  <c r="J477" i="13"/>
  <c r="L477" i="13" s="1"/>
  <c r="J499" i="13"/>
  <c r="L499" i="13" s="1"/>
  <c r="J513" i="13"/>
  <c r="L513" i="13" s="1"/>
  <c r="J534" i="13"/>
  <c r="L534" i="13" s="1"/>
  <c r="J545" i="13"/>
  <c r="L545" i="13" s="1"/>
  <c r="J566" i="13"/>
  <c r="L566" i="13" s="1"/>
  <c r="J577" i="13"/>
  <c r="L577" i="13" s="1"/>
  <c r="J598" i="13"/>
  <c r="L598" i="13" s="1"/>
  <c r="J611" i="13"/>
  <c r="L611" i="13" s="1"/>
  <c r="J634" i="13"/>
  <c r="L634" i="13" s="1"/>
  <c r="J645" i="13"/>
  <c r="L645" i="13" s="1"/>
  <c r="J666" i="13"/>
  <c r="L666" i="13" s="1"/>
  <c r="J677" i="13"/>
  <c r="L677" i="13" s="1"/>
  <c r="J698" i="13"/>
  <c r="L698" i="13" s="1"/>
  <c r="J709" i="13"/>
  <c r="L709" i="13" s="1"/>
  <c r="J713" i="13"/>
  <c r="L713" i="13" s="1"/>
  <c r="J721" i="13"/>
  <c r="L721" i="13" s="1"/>
  <c r="J729" i="13"/>
  <c r="L729" i="13" s="1"/>
  <c r="J1021" i="13"/>
  <c r="L1021" i="13" s="1"/>
  <c r="J1085" i="13"/>
  <c r="L1085" i="13" s="1"/>
  <c r="J1149" i="13"/>
  <c r="L1149" i="13" s="1"/>
  <c r="J1213" i="13"/>
  <c r="L1213" i="13" s="1"/>
  <c r="J1277" i="13"/>
  <c r="L1277" i="13" s="1"/>
  <c r="J1341" i="13"/>
  <c r="L1341" i="13" s="1"/>
  <c r="J1405" i="13"/>
  <c r="L1405" i="13" s="1"/>
  <c r="J1469" i="13"/>
  <c r="L1469" i="13" s="1"/>
  <c r="J1533" i="13"/>
  <c r="L1533" i="13" s="1"/>
  <c r="J1597" i="13"/>
  <c r="L1597" i="13" s="1"/>
  <c r="J1661" i="13"/>
  <c r="L1661" i="13" s="1"/>
  <c r="J1723" i="13"/>
  <c r="L1723" i="13" s="1"/>
  <c r="J1761" i="13"/>
  <c r="L1761" i="13" s="1"/>
  <c r="J1830" i="13"/>
  <c r="L1830" i="13" s="1"/>
  <c r="J1972" i="13"/>
  <c r="L1972" i="13" s="1"/>
  <c r="J2132" i="13"/>
  <c r="L2132" i="13" s="1"/>
  <c r="J411" i="13"/>
  <c r="L411" i="13" s="1"/>
  <c r="J432" i="13"/>
  <c r="L432" i="13" s="1"/>
  <c r="J443" i="13"/>
  <c r="L443" i="13" s="1"/>
  <c r="J464" i="13"/>
  <c r="L464" i="13" s="1"/>
  <c r="J475" i="13"/>
  <c r="L475" i="13" s="1"/>
  <c r="J496" i="13"/>
  <c r="L496" i="13" s="1"/>
  <c r="J511" i="13"/>
  <c r="L511" i="13" s="1"/>
  <c r="J532" i="13"/>
  <c r="L532" i="13" s="1"/>
  <c r="J543" i="13"/>
  <c r="L543" i="13" s="1"/>
  <c r="J564" i="13"/>
  <c r="L564" i="13" s="1"/>
  <c r="J575" i="13"/>
  <c r="L575" i="13" s="1"/>
  <c r="J596" i="13"/>
  <c r="L596" i="13" s="1"/>
  <c r="J608" i="13"/>
  <c r="L608" i="13" s="1"/>
  <c r="J632" i="13"/>
  <c r="L632" i="13" s="1"/>
  <c r="J643" i="13"/>
  <c r="L643" i="13" s="1"/>
  <c r="J664" i="13"/>
  <c r="L664" i="13" s="1"/>
  <c r="J675" i="13"/>
  <c r="L675" i="13" s="1"/>
  <c r="J696" i="13"/>
  <c r="L696" i="13" s="1"/>
  <c r="J707" i="13"/>
  <c r="L707" i="13" s="1"/>
  <c r="J738" i="13"/>
  <c r="L738" i="13" s="1"/>
  <c r="J746" i="13"/>
  <c r="L746" i="13" s="1"/>
  <c r="J754" i="13"/>
  <c r="L754" i="13" s="1"/>
  <c r="J762" i="13"/>
  <c r="L762" i="13" s="1"/>
  <c r="J770" i="13"/>
  <c r="L770" i="13" s="1"/>
  <c r="J778" i="13"/>
  <c r="L778" i="13" s="1"/>
  <c r="J786" i="13"/>
  <c r="L786" i="13" s="1"/>
  <c r="J794" i="13"/>
  <c r="L794" i="13" s="1"/>
  <c r="J802" i="13"/>
  <c r="L802" i="13" s="1"/>
  <c r="J810" i="13"/>
  <c r="L810" i="13" s="1"/>
  <c r="J818" i="13"/>
  <c r="L818" i="13" s="1"/>
  <c r="J826" i="13"/>
  <c r="L826" i="13" s="1"/>
  <c r="J834" i="13"/>
  <c r="L834" i="13" s="1"/>
  <c r="J842" i="13"/>
  <c r="L842" i="13" s="1"/>
  <c r="J850" i="13"/>
  <c r="L850" i="13" s="1"/>
  <c r="J858" i="13"/>
  <c r="L858" i="13" s="1"/>
  <c r="J866" i="13"/>
  <c r="L866" i="13" s="1"/>
  <c r="J874" i="13"/>
  <c r="L874" i="13" s="1"/>
  <c r="J882" i="13"/>
  <c r="L882" i="13" s="1"/>
  <c r="J890" i="13"/>
  <c r="L890" i="13" s="1"/>
  <c r="J898" i="13"/>
  <c r="L898" i="13" s="1"/>
  <c r="J906" i="13"/>
  <c r="L906" i="13" s="1"/>
  <c r="J914" i="13"/>
  <c r="L914" i="13" s="1"/>
  <c r="J922" i="13"/>
  <c r="L922" i="13" s="1"/>
  <c r="J930" i="13"/>
  <c r="L930" i="13" s="1"/>
  <c r="J938" i="13"/>
  <c r="L938" i="13" s="1"/>
  <c r="J946" i="13"/>
  <c r="L946" i="13" s="1"/>
  <c r="J1009" i="13"/>
  <c r="L1009" i="13" s="1"/>
  <c r="J1073" i="13"/>
  <c r="L1073" i="13" s="1"/>
  <c r="J1137" i="13"/>
  <c r="L1137" i="13" s="1"/>
  <c r="J1201" i="13"/>
  <c r="L1201" i="13" s="1"/>
  <c r="J1265" i="13"/>
  <c r="L1265" i="13" s="1"/>
  <c r="J1329" i="13"/>
  <c r="L1329" i="13" s="1"/>
  <c r="J1393" i="13"/>
  <c r="L1393" i="13" s="1"/>
  <c r="J1457" i="13"/>
  <c r="L1457" i="13" s="1"/>
  <c r="J1521" i="13"/>
  <c r="L1521" i="13" s="1"/>
  <c r="J1585" i="13"/>
  <c r="L1585" i="13" s="1"/>
  <c r="J1649" i="13"/>
  <c r="L1649" i="13" s="1"/>
  <c r="J1678" i="13"/>
  <c r="L1678" i="13" s="1"/>
  <c r="J1716" i="13"/>
  <c r="L1716" i="13" s="1"/>
  <c r="J1755" i="13"/>
  <c r="L1755" i="13" s="1"/>
  <c r="J1789" i="13"/>
  <c r="L1789" i="13" s="1"/>
  <c r="J1946" i="13"/>
  <c r="L1946" i="13" s="1"/>
  <c r="J2084" i="13"/>
  <c r="L2084" i="13" s="1"/>
  <c r="J406" i="13"/>
  <c r="L406" i="13" s="1"/>
  <c r="J417" i="13"/>
  <c r="L417" i="13" s="1"/>
  <c r="J438" i="13"/>
  <c r="L438" i="13" s="1"/>
  <c r="J449" i="13"/>
  <c r="L449" i="13" s="1"/>
  <c r="J470" i="13"/>
  <c r="L470" i="13" s="1"/>
  <c r="J481" i="13"/>
  <c r="L481" i="13" s="1"/>
  <c r="J505" i="13"/>
  <c r="L505" i="13" s="1"/>
  <c r="J517" i="13"/>
  <c r="L517" i="13" s="1"/>
  <c r="J538" i="13"/>
  <c r="L538" i="13" s="1"/>
  <c r="J549" i="13"/>
  <c r="L549" i="13" s="1"/>
  <c r="J570" i="13"/>
  <c r="L570" i="13" s="1"/>
  <c r="J581" i="13"/>
  <c r="L581" i="13" s="1"/>
  <c r="J602" i="13"/>
  <c r="L602" i="13" s="1"/>
  <c r="J617" i="13"/>
  <c r="L617" i="13" s="1"/>
  <c r="J638" i="13"/>
  <c r="L638" i="13" s="1"/>
  <c r="J649" i="13"/>
  <c r="L649" i="13" s="1"/>
  <c r="J670" i="13"/>
  <c r="L670" i="13" s="1"/>
  <c r="J681" i="13"/>
  <c r="L681" i="13" s="1"/>
  <c r="J702" i="13"/>
  <c r="L702" i="13" s="1"/>
  <c r="J733" i="13"/>
  <c r="L733" i="13" s="1"/>
  <c r="J1045" i="13"/>
  <c r="L1045" i="13" s="1"/>
  <c r="J1109" i="13"/>
  <c r="L1109" i="13" s="1"/>
  <c r="J1173" i="13"/>
  <c r="L1173" i="13" s="1"/>
  <c r="J1237" i="13"/>
  <c r="L1237" i="13" s="1"/>
  <c r="J1301" i="13"/>
  <c r="L1301" i="13" s="1"/>
  <c r="J1365" i="13"/>
  <c r="L1365" i="13" s="1"/>
  <c r="J1429" i="13"/>
  <c r="L1429" i="13" s="1"/>
  <c r="J1493" i="13"/>
  <c r="L1493" i="13" s="1"/>
  <c r="J1557" i="13"/>
  <c r="L1557" i="13" s="1"/>
  <c r="J1621" i="13"/>
  <c r="L1621" i="13" s="1"/>
  <c r="J1700" i="13"/>
  <c r="L1700" i="13" s="1"/>
  <c r="J1739" i="13"/>
  <c r="L1739" i="13" s="1"/>
  <c r="J1774" i="13"/>
  <c r="L1774" i="13" s="1"/>
  <c r="J2390" i="13"/>
  <c r="L2390" i="13" s="1"/>
  <c r="J955" i="13"/>
  <c r="L955" i="13" s="1"/>
  <c r="J963" i="13"/>
  <c r="L963" i="13" s="1"/>
  <c r="J971" i="13"/>
  <c r="L971" i="13" s="1"/>
  <c r="J979" i="13"/>
  <c r="L979" i="13" s="1"/>
  <c r="J987" i="13"/>
  <c r="L987" i="13" s="1"/>
  <c r="J995" i="13"/>
  <c r="L995" i="13" s="1"/>
  <c r="J1006" i="13"/>
  <c r="L1006" i="13" s="1"/>
  <c r="J1022" i="13"/>
  <c r="L1022" i="13" s="1"/>
  <c r="J1038" i="13"/>
  <c r="L1038" i="13" s="1"/>
  <c r="J1054" i="13"/>
  <c r="L1054" i="13" s="1"/>
  <c r="J1070" i="13"/>
  <c r="L1070" i="13" s="1"/>
  <c r="J1086" i="13"/>
  <c r="L1086" i="13" s="1"/>
  <c r="J1102" i="13"/>
  <c r="L1102" i="13" s="1"/>
  <c r="J1118" i="13"/>
  <c r="L1118" i="13" s="1"/>
  <c r="J1134" i="13"/>
  <c r="L1134" i="13" s="1"/>
  <c r="J1150" i="13"/>
  <c r="L1150" i="13" s="1"/>
  <c r="J1166" i="13"/>
  <c r="L1166" i="13" s="1"/>
  <c r="J1182" i="13"/>
  <c r="L1182" i="13" s="1"/>
  <c r="J1198" i="13"/>
  <c r="L1198" i="13" s="1"/>
  <c r="J1214" i="13"/>
  <c r="L1214" i="13" s="1"/>
  <c r="J1230" i="13"/>
  <c r="L1230" i="13" s="1"/>
  <c r="J1246" i="13"/>
  <c r="L1246" i="13" s="1"/>
  <c r="J1262" i="13"/>
  <c r="L1262" i="13" s="1"/>
  <c r="J1278" i="13"/>
  <c r="L1278" i="13" s="1"/>
  <c r="J1294" i="13"/>
  <c r="L1294" i="13" s="1"/>
  <c r="J1310" i="13"/>
  <c r="L1310" i="13" s="1"/>
  <c r="J1326" i="13"/>
  <c r="L1326" i="13" s="1"/>
  <c r="J1342" i="13"/>
  <c r="L1342" i="13" s="1"/>
  <c r="J1358" i="13"/>
  <c r="L1358" i="13" s="1"/>
  <c r="J1374" i="13"/>
  <c r="L1374" i="13" s="1"/>
  <c r="J1390" i="13"/>
  <c r="L1390" i="13" s="1"/>
  <c r="J1406" i="13"/>
  <c r="L1406" i="13" s="1"/>
  <c r="J1422" i="13"/>
  <c r="L1422" i="13" s="1"/>
  <c r="J1438" i="13"/>
  <c r="L1438" i="13" s="1"/>
  <c r="J1454" i="13"/>
  <c r="L1454" i="13" s="1"/>
  <c r="J1470" i="13"/>
  <c r="L1470" i="13" s="1"/>
  <c r="J1486" i="13"/>
  <c r="L1486" i="13" s="1"/>
  <c r="J1502" i="13"/>
  <c r="L1502" i="13" s="1"/>
  <c r="J1518" i="13"/>
  <c r="L1518" i="13" s="1"/>
  <c r="J1534" i="13"/>
  <c r="L1534" i="13" s="1"/>
  <c r="J1550" i="13"/>
  <c r="L1550" i="13" s="1"/>
  <c r="J1566" i="13"/>
  <c r="L1566" i="13" s="1"/>
  <c r="J1582" i="13"/>
  <c r="L1582" i="13" s="1"/>
  <c r="J1598" i="13"/>
  <c r="L1598" i="13" s="1"/>
  <c r="J1614" i="13"/>
  <c r="L1614" i="13" s="1"/>
  <c r="J1630" i="13"/>
  <c r="L1630" i="13" s="1"/>
  <c r="J1646" i="13"/>
  <c r="L1646" i="13" s="1"/>
  <c r="J1662" i="13"/>
  <c r="L1662" i="13" s="1"/>
  <c r="J1687" i="13"/>
  <c r="L1687" i="13" s="1"/>
  <c r="J1696" i="13"/>
  <c r="L1696" i="13" s="1"/>
  <c r="J1705" i="13"/>
  <c r="L1705" i="13" s="1"/>
  <c r="J1753" i="13"/>
  <c r="L1753" i="13" s="1"/>
  <c r="J1762" i="13"/>
  <c r="L1762" i="13" s="1"/>
  <c r="J1779" i="13"/>
  <c r="L1779" i="13" s="1"/>
  <c r="J1796" i="13"/>
  <c r="L1796" i="13" s="1"/>
  <c r="J1805" i="13"/>
  <c r="L1805" i="13" s="1"/>
  <c r="J1822" i="13"/>
  <c r="L1822" i="13" s="1"/>
  <c r="J1902" i="13"/>
  <c r="L1902" i="13" s="1"/>
  <c r="J1974" i="13"/>
  <c r="L1974" i="13" s="1"/>
  <c r="J2043" i="13"/>
  <c r="L2043" i="13" s="1"/>
  <c r="J2136" i="13"/>
  <c r="L2136" i="13" s="1"/>
  <c r="J2311" i="13"/>
  <c r="L2311" i="13" s="1"/>
  <c r="J2490" i="13"/>
  <c r="L2490" i="13" s="1"/>
  <c r="J1003" i="13"/>
  <c r="L1003" i="13" s="1"/>
  <c r="J1019" i="13"/>
  <c r="L1019" i="13" s="1"/>
  <c r="J1035" i="13"/>
  <c r="L1035" i="13" s="1"/>
  <c r="J1051" i="13"/>
  <c r="L1051" i="13" s="1"/>
  <c r="J1067" i="13"/>
  <c r="L1067" i="13" s="1"/>
  <c r="J1083" i="13"/>
  <c r="L1083" i="13" s="1"/>
  <c r="J1099" i="13"/>
  <c r="L1099" i="13" s="1"/>
  <c r="J1115" i="13"/>
  <c r="L1115" i="13" s="1"/>
  <c r="J1131" i="13"/>
  <c r="L1131" i="13" s="1"/>
  <c r="J1147" i="13"/>
  <c r="L1147" i="13" s="1"/>
  <c r="J1163" i="13"/>
  <c r="L1163" i="13" s="1"/>
  <c r="J1179" i="13"/>
  <c r="L1179" i="13" s="1"/>
  <c r="J1195" i="13"/>
  <c r="L1195" i="13" s="1"/>
  <c r="J1211" i="13"/>
  <c r="L1211" i="13" s="1"/>
  <c r="J1227" i="13"/>
  <c r="L1227" i="13" s="1"/>
  <c r="J1243" i="13"/>
  <c r="L1243" i="13" s="1"/>
  <c r="J1259" i="13"/>
  <c r="L1259" i="13" s="1"/>
  <c r="J1275" i="13"/>
  <c r="L1275" i="13" s="1"/>
  <c r="J1291" i="13"/>
  <c r="L1291" i="13" s="1"/>
  <c r="J1307" i="13"/>
  <c r="L1307" i="13" s="1"/>
  <c r="J1323" i="13"/>
  <c r="L1323" i="13" s="1"/>
  <c r="J1339" i="13"/>
  <c r="L1339" i="13" s="1"/>
  <c r="J1355" i="13"/>
  <c r="L1355" i="13" s="1"/>
  <c r="J1371" i="13"/>
  <c r="L1371" i="13" s="1"/>
  <c r="J1387" i="13"/>
  <c r="L1387" i="13" s="1"/>
  <c r="J1403" i="13"/>
  <c r="L1403" i="13" s="1"/>
  <c r="J1419" i="13"/>
  <c r="L1419" i="13" s="1"/>
  <c r="J1435" i="13"/>
  <c r="L1435" i="13" s="1"/>
  <c r="J1451" i="13"/>
  <c r="L1451" i="13" s="1"/>
  <c r="J1467" i="13"/>
  <c r="L1467" i="13" s="1"/>
  <c r="J1483" i="13"/>
  <c r="L1483" i="13" s="1"/>
  <c r="J1499" i="13"/>
  <c r="L1499" i="13" s="1"/>
  <c r="J1515" i="13"/>
  <c r="L1515" i="13" s="1"/>
  <c r="J1531" i="13"/>
  <c r="L1531" i="13" s="1"/>
  <c r="J1547" i="13"/>
  <c r="L1547" i="13" s="1"/>
  <c r="J1563" i="13"/>
  <c r="L1563" i="13" s="1"/>
  <c r="J1579" i="13"/>
  <c r="L1579" i="13" s="1"/>
  <c r="J1595" i="13"/>
  <c r="L1595" i="13" s="1"/>
  <c r="J1611" i="13"/>
  <c r="L1611" i="13" s="1"/>
  <c r="J1627" i="13"/>
  <c r="L1627" i="13" s="1"/>
  <c r="J1643" i="13"/>
  <c r="L1643" i="13" s="1"/>
  <c r="J1659" i="13"/>
  <c r="L1659" i="13" s="1"/>
  <c r="J1675" i="13"/>
  <c r="L1675" i="13" s="1"/>
  <c r="J1685" i="13"/>
  <c r="L1685" i="13" s="1"/>
  <c r="J1722" i="13"/>
  <c r="L1722" i="13" s="1"/>
  <c r="J1731" i="13"/>
  <c r="L1731" i="13" s="1"/>
  <c r="J1743" i="13"/>
  <c r="L1743" i="13" s="1"/>
  <c r="J1760" i="13"/>
  <c r="L1760" i="13" s="1"/>
  <c r="J1769" i="13"/>
  <c r="L1769" i="13" s="1"/>
  <c r="J1786" i="13"/>
  <c r="L1786" i="13" s="1"/>
  <c r="J1803" i="13"/>
  <c r="L1803" i="13" s="1"/>
  <c r="J1812" i="13"/>
  <c r="L1812" i="13" s="1"/>
  <c r="J1829" i="13"/>
  <c r="L1829" i="13" s="1"/>
  <c r="J1861" i="13"/>
  <c r="L1861" i="13" s="1"/>
  <c r="J1930" i="13"/>
  <c r="L1930" i="13" s="1"/>
  <c r="J2002" i="13"/>
  <c r="L2002" i="13" s="1"/>
  <c r="J2071" i="13"/>
  <c r="L2071" i="13" s="1"/>
  <c r="J2124" i="13"/>
  <c r="L2124" i="13" s="1"/>
  <c r="J2279" i="13"/>
  <c r="L2279" i="13" s="1"/>
  <c r="J2454" i="13"/>
  <c r="L2454" i="13" s="1"/>
  <c r="J952" i="13"/>
  <c r="L952" i="13" s="1"/>
  <c r="J960" i="13"/>
  <c r="L960" i="13" s="1"/>
  <c r="J968" i="13"/>
  <c r="L968" i="13" s="1"/>
  <c r="J976" i="13"/>
  <c r="L976" i="13" s="1"/>
  <c r="J984" i="13"/>
  <c r="L984" i="13" s="1"/>
  <c r="J992" i="13"/>
  <c r="L992" i="13" s="1"/>
  <c r="J1000" i="13"/>
  <c r="L1000" i="13" s="1"/>
  <c r="J1016" i="13"/>
  <c r="L1016" i="13" s="1"/>
  <c r="J1032" i="13"/>
  <c r="L1032" i="13" s="1"/>
  <c r="J1048" i="13"/>
  <c r="L1048" i="13" s="1"/>
  <c r="J1064" i="13"/>
  <c r="L1064" i="13" s="1"/>
  <c r="J1080" i="13"/>
  <c r="L1080" i="13" s="1"/>
  <c r="J1096" i="13"/>
  <c r="L1096" i="13" s="1"/>
  <c r="J1112" i="13"/>
  <c r="L1112" i="13" s="1"/>
  <c r="J1128" i="13"/>
  <c r="L1128" i="13" s="1"/>
  <c r="J1144" i="13"/>
  <c r="L1144" i="13" s="1"/>
  <c r="J1160" i="13"/>
  <c r="L1160" i="13" s="1"/>
  <c r="J1176" i="13"/>
  <c r="L1176" i="13" s="1"/>
  <c r="J1192" i="13"/>
  <c r="L1192" i="13" s="1"/>
  <c r="J1208" i="13"/>
  <c r="L1208" i="13" s="1"/>
  <c r="J1224" i="13"/>
  <c r="L1224" i="13" s="1"/>
  <c r="J1240" i="13"/>
  <c r="L1240" i="13" s="1"/>
  <c r="J1256" i="13"/>
  <c r="L1256" i="13" s="1"/>
  <c r="J1272" i="13"/>
  <c r="L1272" i="13" s="1"/>
  <c r="J1288" i="13"/>
  <c r="L1288" i="13" s="1"/>
  <c r="J1304" i="13"/>
  <c r="L1304" i="13" s="1"/>
  <c r="J1320" i="13"/>
  <c r="L1320" i="13" s="1"/>
  <c r="J1336" i="13"/>
  <c r="L1336" i="13" s="1"/>
  <c r="J1352" i="13"/>
  <c r="L1352" i="13" s="1"/>
  <c r="J1368" i="13"/>
  <c r="L1368" i="13" s="1"/>
  <c r="J1384" i="13"/>
  <c r="L1384" i="13" s="1"/>
  <c r="J1400" i="13"/>
  <c r="L1400" i="13" s="1"/>
  <c r="J1416" i="13"/>
  <c r="L1416" i="13" s="1"/>
  <c r="J1432" i="13"/>
  <c r="L1432" i="13" s="1"/>
  <c r="J1448" i="13"/>
  <c r="L1448" i="13" s="1"/>
  <c r="J1464" i="13"/>
  <c r="L1464" i="13" s="1"/>
  <c r="J1480" i="13"/>
  <c r="L1480" i="13" s="1"/>
  <c r="J1496" i="13"/>
  <c r="L1496" i="13" s="1"/>
  <c r="J1512" i="13"/>
  <c r="L1512" i="13" s="1"/>
  <c r="J1528" i="13"/>
  <c r="L1528" i="13" s="1"/>
  <c r="J1544" i="13"/>
  <c r="L1544" i="13" s="1"/>
  <c r="J1560" i="13"/>
  <c r="L1560" i="13" s="1"/>
  <c r="J1576" i="13"/>
  <c r="L1576" i="13" s="1"/>
  <c r="J1592" i="13"/>
  <c r="L1592" i="13" s="1"/>
  <c r="J1608" i="13"/>
  <c r="L1608" i="13" s="1"/>
  <c r="J1624" i="13"/>
  <c r="L1624" i="13" s="1"/>
  <c r="J1640" i="13"/>
  <c r="L1640" i="13" s="1"/>
  <c r="J1656" i="13"/>
  <c r="L1656" i="13" s="1"/>
  <c r="J1672" i="13"/>
  <c r="L1672" i="13" s="1"/>
  <c r="J1702" i="13"/>
  <c r="L1702" i="13" s="1"/>
  <c r="J1711" i="13"/>
  <c r="L1711" i="13" s="1"/>
  <c r="J1720" i="13"/>
  <c r="L1720" i="13" s="1"/>
  <c r="J1729" i="13"/>
  <c r="L1729" i="13" s="1"/>
  <c r="J1750" i="13"/>
  <c r="L1750" i="13" s="1"/>
  <c r="J1767" i="13"/>
  <c r="L1767" i="13" s="1"/>
  <c r="J1776" i="13"/>
  <c r="L1776" i="13" s="1"/>
  <c r="J1793" i="13"/>
  <c r="L1793" i="13" s="1"/>
  <c r="J1810" i="13"/>
  <c r="L1810" i="13" s="1"/>
  <c r="J1819" i="13"/>
  <c r="L1819" i="13" s="1"/>
  <c r="J1889" i="13"/>
  <c r="L1889" i="13" s="1"/>
  <c r="J1961" i="13"/>
  <c r="L1961" i="13" s="1"/>
  <c r="J2030" i="13"/>
  <c r="L2030" i="13" s="1"/>
  <c r="J2112" i="13"/>
  <c r="L2112" i="13" s="1"/>
  <c r="J2243" i="13"/>
  <c r="L2243" i="13" s="1"/>
  <c r="J2422" i="13"/>
  <c r="L2422" i="13" s="1"/>
  <c r="J1842" i="13"/>
  <c r="L1842" i="13" s="1"/>
  <c r="J1859" i="13"/>
  <c r="L1859" i="13" s="1"/>
  <c r="J1868" i="13"/>
  <c r="L1868" i="13" s="1"/>
  <c r="J1885" i="13"/>
  <c r="L1885" i="13" s="1"/>
  <c r="J1911" i="13"/>
  <c r="L1911" i="13" s="1"/>
  <c r="J1928" i="13"/>
  <c r="L1928" i="13" s="1"/>
  <c r="J1940" i="13"/>
  <c r="L1940" i="13" s="1"/>
  <c r="J1957" i="13"/>
  <c r="L1957" i="13" s="1"/>
  <c r="J1966" i="13"/>
  <c r="L1966" i="13" s="1"/>
  <c r="J1983" i="13"/>
  <c r="L1983" i="13" s="1"/>
  <c r="J2009" i="13"/>
  <c r="L2009" i="13" s="1"/>
  <c r="J2026" i="13"/>
  <c r="L2026" i="13" s="1"/>
  <c r="J2035" i="13"/>
  <c r="L2035" i="13" s="1"/>
  <c r="J2052" i="13"/>
  <c r="L2052" i="13" s="1"/>
  <c r="J2069" i="13"/>
  <c r="L2069" i="13" s="1"/>
  <c r="J2078" i="13"/>
  <c r="L2078" i="13" s="1"/>
  <c r="J2089" i="13"/>
  <c r="L2089" i="13" s="1"/>
  <c r="J2105" i="13"/>
  <c r="L2105" i="13" s="1"/>
  <c r="J2121" i="13"/>
  <c r="L2121" i="13" s="1"/>
  <c r="J2137" i="13"/>
  <c r="L2137" i="13" s="1"/>
  <c r="J2182" i="13"/>
  <c r="L2182" i="13" s="1"/>
  <c r="J2271" i="13"/>
  <c r="L2271" i="13" s="1"/>
  <c r="J2314" i="13"/>
  <c r="L2314" i="13" s="1"/>
  <c r="J2358" i="13"/>
  <c r="L2358" i="13" s="1"/>
  <c r="J2403" i="13"/>
  <c r="L2403" i="13" s="1"/>
  <c r="J2446" i="13"/>
  <c r="L2446" i="13" s="1"/>
  <c r="J2535" i="13"/>
  <c r="L2535" i="13" s="1"/>
  <c r="J2664" i="13"/>
  <c r="L2664" i="13" s="1"/>
  <c r="J1838" i="13"/>
  <c r="L1838" i="13" s="1"/>
  <c r="J1847" i="13"/>
  <c r="L1847" i="13" s="1"/>
  <c r="J1864" i="13"/>
  <c r="L1864" i="13" s="1"/>
  <c r="J1890" i="13"/>
  <c r="L1890" i="13" s="1"/>
  <c r="J1907" i="13"/>
  <c r="L1907" i="13" s="1"/>
  <c r="J1916" i="13"/>
  <c r="L1916" i="13" s="1"/>
  <c r="J1936" i="13"/>
  <c r="L1936" i="13" s="1"/>
  <c r="J1945" i="13"/>
  <c r="L1945" i="13" s="1"/>
  <c r="J1962" i="13"/>
  <c r="L1962" i="13" s="1"/>
  <c r="J1988" i="13"/>
  <c r="L1988" i="13" s="1"/>
  <c r="J2005" i="13"/>
  <c r="L2005" i="13" s="1"/>
  <c r="J2014" i="13"/>
  <c r="L2014" i="13" s="1"/>
  <c r="J2031" i="13"/>
  <c r="L2031" i="13" s="1"/>
  <c r="J2048" i="13"/>
  <c r="L2048" i="13" s="1"/>
  <c r="J2057" i="13"/>
  <c r="L2057" i="13" s="1"/>
  <c r="J2074" i="13"/>
  <c r="L2074" i="13" s="1"/>
  <c r="J2098" i="13"/>
  <c r="L2098" i="13" s="1"/>
  <c r="J2114" i="13"/>
  <c r="L2114" i="13" s="1"/>
  <c r="J2130" i="13"/>
  <c r="L2130" i="13" s="1"/>
  <c r="J2163" i="13"/>
  <c r="L2163" i="13" s="1"/>
  <c r="J2206" i="13"/>
  <c r="L2206" i="13" s="1"/>
  <c r="J2250" i="13"/>
  <c r="L2250" i="13" s="1"/>
  <c r="J2295" i="13"/>
  <c r="L2295" i="13" s="1"/>
  <c r="J2338" i="13"/>
  <c r="L2338" i="13" s="1"/>
  <c r="J2427" i="13"/>
  <c r="L2427" i="13" s="1"/>
  <c r="J2474" i="13"/>
  <c r="L2474" i="13" s="1"/>
  <c r="J2589" i="13"/>
  <c r="L2589" i="13" s="1"/>
  <c r="J2764" i="13"/>
  <c r="L2764" i="13" s="1"/>
  <c r="J1841" i="13"/>
  <c r="L1841" i="13" s="1"/>
  <c r="J1858" i="13"/>
  <c r="L1858" i="13" s="1"/>
  <c r="J1867" i="13"/>
  <c r="L1867" i="13" s="1"/>
  <c r="J1884" i="13"/>
  <c r="L1884" i="13" s="1"/>
  <c r="J1901" i="13"/>
  <c r="L1901" i="13" s="1"/>
  <c r="J1910" i="13"/>
  <c r="L1910" i="13" s="1"/>
  <c r="J1927" i="13"/>
  <c r="L1927" i="13" s="1"/>
  <c r="J1939" i="13"/>
  <c r="L1939" i="13" s="1"/>
  <c r="J1956" i="13"/>
  <c r="L1956" i="13" s="1"/>
  <c r="J1965" i="13"/>
  <c r="L1965" i="13" s="1"/>
  <c r="J1982" i="13"/>
  <c r="L1982" i="13" s="1"/>
  <c r="J1999" i="13"/>
  <c r="L1999" i="13" s="1"/>
  <c r="J2008" i="13"/>
  <c r="L2008" i="13" s="1"/>
  <c r="J2025" i="13"/>
  <c r="L2025" i="13" s="1"/>
  <c r="J2051" i="13"/>
  <c r="L2051" i="13" s="1"/>
  <c r="J2068" i="13"/>
  <c r="L2068" i="13" s="1"/>
  <c r="J2077" i="13"/>
  <c r="L2077" i="13" s="1"/>
  <c r="J2087" i="13"/>
  <c r="L2087" i="13" s="1"/>
  <c r="J2103" i="13"/>
  <c r="L2103" i="13" s="1"/>
  <c r="J2119" i="13"/>
  <c r="L2119" i="13" s="1"/>
  <c r="J2135" i="13"/>
  <c r="L2135" i="13" s="1"/>
  <c r="J2219" i="13"/>
  <c r="L2219" i="13" s="1"/>
  <c r="J2266" i="13"/>
  <c r="L2266" i="13" s="1"/>
  <c r="J2351" i="13"/>
  <c r="L2351" i="13" s="1"/>
  <c r="J2398" i="13"/>
  <c r="L2398" i="13" s="1"/>
  <c r="J2487" i="13"/>
  <c r="L2487" i="13" s="1"/>
  <c r="J2530" i="13"/>
  <c r="L2530" i="13" s="1"/>
  <c r="J2139" i="13"/>
  <c r="L2139" i="13" s="1"/>
  <c r="J2153" i="13"/>
  <c r="L2153" i="13" s="1"/>
  <c r="J2164" i="13"/>
  <c r="L2164" i="13" s="1"/>
  <c r="J2185" i="13"/>
  <c r="L2185" i="13" s="1"/>
  <c r="J2196" i="13"/>
  <c r="L2196" i="13" s="1"/>
  <c r="J2217" i="13"/>
  <c r="L2217" i="13" s="1"/>
  <c r="J2228" i="13"/>
  <c r="L2228" i="13" s="1"/>
  <c r="J2251" i="13"/>
  <c r="L2251" i="13" s="1"/>
  <c r="J2264" i="13"/>
  <c r="L2264" i="13" s="1"/>
  <c r="J2285" i="13"/>
  <c r="L2285" i="13" s="1"/>
  <c r="J2296" i="13"/>
  <c r="L2296" i="13" s="1"/>
  <c r="J2317" i="13"/>
  <c r="L2317" i="13" s="1"/>
  <c r="J2328" i="13"/>
  <c r="L2328" i="13" s="1"/>
  <c r="J2349" i="13"/>
  <c r="L2349" i="13" s="1"/>
  <c r="J2363" i="13"/>
  <c r="L2363" i="13" s="1"/>
  <c r="J2385" i="13"/>
  <c r="L2385" i="13" s="1"/>
  <c r="J2396" i="13"/>
  <c r="L2396" i="13" s="1"/>
  <c r="J2417" i="13"/>
  <c r="L2417" i="13" s="1"/>
  <c r="J2428" i="13"/>
  <c r="L2428" i="13" s="1"/>
  <c r="J2449" i="13"/>
  <c r="L2449" i="13" s="1"/>
  <c r="J2460" i="13"/>
  <c r="L2460" i="13" s="1"/>
  <c r="J2485" i="13"/>
  <c r="L2485" i="13" s="1"/>
  <c r="J2496" i="13"/>
  <c r="L2496" i="13" s="1"/>
  <c r="J2517" i="13"/>
  <c r="L2517" i="13" s="1"/>
  <c r="J2528" i="13"/>
  <c r="L2528" i="13" s="1"/>
  <c r="J2549" i="13"/>
  <c r="L2549" i="13" s="1"/>
  <c r="J2592" i="13"/>
  <c r="L2592" i="13" s="1"/>
  <c r="J2677" i="13"/>
  <c r="L2677" i="13" s="1"/>
  <c r="J2724" i="13"/>
  <c r="L2724" i="13" s="1"/>
  <c r="J2148" i="13"/>
  <c r="L2148" i="13" s="1"/>
  <c r="J2159" i="13"/>
  <c r="L2159" i="13" s="1"/>
  <c r="J2170" i="13"/>
  <c r="L2170" i="13" s="1"/>
  <c r="J2191" i="13"/>
  <c r="L2191" i="13" s="1"/>
  <c r="J2202" i="13"/>
  <c r="L2202" i="13" s="1"/>
  <c r="J2223" i="13"/>
  <c r="L2223" i="13" s="1"/>
  <c r="J2234" i="13"/>
  <c r="L2234" i="13" s="1"/>
  <c r="J2259" i="13"/>
  <c r="L2259" i="13" s="1"/>
  <c r="J2270" i="13"/>
  <c r="L2270" i="13" s="1"/>
  <c r="J2291" i="13"/>
  <c r="L2291" i="13" s="1"/>
  <c r="J2302" i="13"/>
  <c r="L2302" i="13" s="1"/>
  <c r="J2323" i="13"/>
  <c r="L2323" i="13" s="1"/>
  <c r="J2334" i="13"/>
  <c r="L2334" i="13" s="1"/>
  <c r="J2356" i="13"/>
  <c r="L2356" i="13" s="1"/>
  <c r="J2370" i="13"/>
  <c r="L2370" i="13" s="1"/>
  <c r="J2391" i="13"/>
  <c r="L2391" i="13" s="1"/>
  <c r="J2402" i="13"/>
  <c r="L2402" i="13" s="1"/>
  <c r="J2423" i="13"/>
  <c r="L2423" i="13" s="1"/>
  <c r="J2434" i="13"/>
  <c r="L2434" i="13" s="1"/>
  <c r="J2455" i="13"/>
  <c r="L2455" i="13" s="1"/>
  <c r="J2468" i="13"/>
  <c r="L2468" i="13" s="1"/>
  <c r="J2491" i="13"/>
  <c r="L2491" i="13" s="1"/>
  <c r="J2502" i="13"/>
  <c r="L2502" i="13" s="1"/>
  <c r="J2523" i="13"/>
  <c r="L2523" i="13" s="1"/>
  <c r="J2534" i="13"/>
  <c r="L2534" i="13" s="1"/>
  <c r="J2569" i="13"/>
  <c r="L2569" i="13" s="1"/>
  <c r="J2616" i="13"/>
  <c r="L2616" i="13" s="1"/>
  <c r="J2705" i="13"/>
  <c r="L2705" i="13" s="1"/>
  <c r="J2748" i="13"/>
  <c r="L2748" i="13" s="1"/>
  <c r="J2141" i="13"/>
  <c r="L2141" i="13" s="1"/>
  <c r="J2165" i="13"/>
  <c r="L2165" i="13" s="1"/>
  <c r="J2176" i="13"/>
  <c r="L2176" i="13" s="1"/>
  <c r="J2197" i="13"/>
  <c r="L2197" i="13" s="1"/>
  <c r="J2208" i="13"/>
  <c r="L2208" i="13" s="1"/>
  <c r="J2229" i="13"/>
  <c r="L2229" i="13" s="1"/>
  <c r="J2240" i="13"/>
  <c r="L2240" i="13" s="1"/>
  <c r="J2253" i="13"/>
  <c r="L2253" i="13" s="1"/>
  <c r="J2265" i="13"/>
  <c r="L2265" i="13" s="1"/>
  <c r="J2276" i="13"/>
  <c r="L2276" i="13" s="1"/>
  <c r="J2297" i="13"/>
  <c r="L2297" i="13" s="1"/>
  <c r="J2308" i="13"/>
  <c r="L2308" i="13" s="1"/>
  <c r="J2329" i="13"/>
  <c r="L2329" i="13" s="1"/>
  <c r="J2340" i="13"/>
  <c r="L2340" i="13" s="1"/>
  <c r="J2365" i="13"/>
  <c r="L2365" i="13" s="1"/>
  <c r="J2376" i="13"/>
  <c r="L2376" i="13" s="1"/>
  <c r="J2397" i="13"/>
  <c r="L2397" i="13" s="1"/>
  <c r="J2408" i="13"/>
  <c r="L2408" i="13" s="1"/>
  <c r="J2429" i="13"/>
  <c r="L2429" i="13" s="1"/>
  <c r="J2440" i="13"/>
  <c r="L2440" i="13" s="1"/>
  <c r="J2461" i="13"/>
  <c r="L2461" i="13" s="1"/>
  <c r="J2476" i="13"/>
  <c r="L2476" i="13" s="1"/>
  <c r="J2497" i="13"/>
  <c r="L2497" i="13" s="1"/>
  <c r="J2508" i="13"/>
  <c r="L2508" i="13" s="1"/>
  <c r="J2529" i="13"/>
  <c r="L2529" i="13" s="1"/>
  <c r="J2540" i="13"/>
  <c r="L2540" i="13" s="1"/>
  <c r="J2597" i="13"/>
  <c r="L2597" i="13" s="1"/>
  <c r="J2640" i="13"/>
  <c r="L2640" i="13" s="1"/>
  <c r="J2685" i="13"/>
  <c r="L2685" i="13" s="1"/>
  <c r="J2729" i="13"/>
  <c r="L2729" i="13" s="1"/>
  <c r="J2772" i="13"/>
  <c r="L2772" i="13" s="1"/>
  <c r="J2567" i="13"/>
  <c r="L2567" i="13" s="1"/>
  <c r="J2582" i="13"/>
  <c r="L2582" i="13" s="1"/>
  <c r="J2603" i="13"/>
  <c r="L2603" i="13" s="1"/>
  <c r="J2614" i="13"/>
  <c r="L2614" i="13" s="1"/>
  <c r="J2635" i="13"/>
  <c r="L2635" i="13" s="1"/>
  <c r="J2646" i="13"/>
  <c r="L2646" i="13" s="1"/>
  <c r="J2667" i="13"/>
  <c r="L2667" i="13" s="1"/>
  <c r="J2678" i="13"/>
  <c r="L2678" i="13" s="1"/>
  <c r="J2703" i="13"/>
  <c r="L2703" i="13" s="1"/>
  <c r="J2714" i="13"/>
  <c r="L2714" i="13" s="1"/>
  <c r="J2735" i="13"/>
  <c r="L2735" i="13" s="1"/>
  <c r="J2746" i="13"/>
  <c r="L2746" i="13" s="1"/>
  <c r="J2767" i="13"/>
  <c r="L2767" i="13" s="1"/>
  <c r="J2778" i="13"/>
  <c r="L2778" i="13" s="1"/>
  <c r="J2565" i="13"/>
  <c r="L2565" i="13" s="1"/>
  <c r="J2579" i="13"/>
  <c r="L2579" i="13" s="1"/>
  <c r="J2601" i="13"/>
  <c r="L2601" i="13" s="1"/>
  <c r="J2612" i="13"/>
  <c r="L2612" i="13" s="1"/>
  <c r="J2633" i="13"/>
  <c r="L2633" i="13" s="1"/>
  <c r="J2644" i="13"/>
  <c r="L2644" i="13" s="1"/>
  <c r="J2665" i="13"/>
  <c r="L2665" i="13" s="1"/>
  <c r="J2676" i="13"/>
  <c r="L2676" i="13" s="1"/>
  <c r="J2701" i="13"/>
  <c r="L2701" i="13" s="1"/>
  <c r="J2712" i="13"/>
  <c r="L2712" i="13" s="1"/>
  <c r="J2733" i="13"/>
  <c r="L2733" i="13" s="1"/>
  <c r="J2744" i="13"/>
  <c r="L2744" i="13" s="1"/>
  <c r="J2765" i="13"/>
  <c r="L2765" i="13" s="1"/>
  <c r="J2776" i="13"/>
  <c r="L2776" i="13" s="1"/>
  <c r="J2563" i="13"/>
  <c r="L2563" i="13" s="1"/>
  <c r="J2576" i="13"/>
  <c r="L2576" i="13" s="1"/>
  <c r="J2599" i="13"/>
  <c r="L2599" i="13" s="1"/>
  <c r="J2610" i="13"/>
  <c r="L2610" i="13" s="1"/>
  <c r="J2631" i="13"/>
  <c r="L2631" i="13" s="1"/>
  <c r="J2642" i="13"/>
  <c r="L2642" i="13" s="1"/>
  <c r="J2663" i="13"/>
  <c r="L2663" i="13" s="1"/>
  <c r="J2674" i="13"/>
  <c r="L2674" i="13" s="1"/>
  <c r="J2688" i="13"/>
  <c r="L2688" i="13" s="1"/>
  <c r="J2699" i="13"/>
  <c r="L2699" i="13" s="1"/>
  <c r="J2710" i="13"/>
  <c r="L2710" i="13" s="1"/>
  <c r="J2731" i="13"/>
  <c r="L2731" i="13" s="1"/>
  <c r="J2742" i="13"/>
  <c r="L2742" i="13" s="1"/>
  <c r="J2763" i="13"/>
  <c r="L2763" i="13" s="1"/>
  <c r="J2774" i="13"/>
  <c r="L2774" i="13" s="1"/>
  <c r="Q17" i="7" l="1"/>
  <c r="Q15" i="7"/>
  <c r="O15" i="7"/>
  <c r="P15" i="7" s="1"/>
  <c r="S15" i="7" s="1"/>
  <c r="R16" i="7"/>
  <c r="O16" i="7"/>
  <c r="P16" i="7" s="1"/>
  <c r="S16" i="7" s="1"/>
  <c r="P21" i="5"/>
  <c r="S21" i="5" s="1"/>
  <c r="P72" i="5"/>
  <c r="S72" i="5" s="1"/>
  <c r="P28" i="5"/>
  <c r="S28" i="5" s="1"/>
  <c r="P23" i="5"/>
  <c r="S23" i="5" s="1"/>
  <c r="P43" i="5"/>
  <c r="S43" i="5" s="1"/>
  <c r="P40" i="5"/>
  <c r="S40" i="5" s="1"/>
  <c r="P39" i="5"/>
  <c r="S39" i="5" s="1"/>
  <c r="P29" i="5"/>
  <c r="S29" i="5" s="1"/>
  <c r="P65" i="5"/>
  <c r="S65" i="5" s="1"/>
  <c r="P59" i="5"/>
  <c r="S59" i="5" s="1"/>
  <c r="P66" i="5"/>
  <c r="S66" i="5" s="1"/>
  <c r="P56" i="5"/>
  <c r="S56" i="5" s="1"/>
  <c r="P61" i="5"/>
  <c r="S61" i="5" s="1"/>
  <c r="P71" i="5"/>
  <c r="S71" i="5" s="1"/>
  <c r="P63" i="5"/>
  <c r="S63" i="5" s="1"/>
  <c r="P13" i="5"/>
  <c r="S13" i="5" s="1"/>
  <c r="P20" i="5"/>
  <c r="S20" i="5" s="1"/>
  <c r="P30" i="5"/>
  <c r="S30" i="5" s="1"/>
  <c r="P67" i="5"/>
  <c r="S67" i="5" s="1"/>
  <c r="P18" i="5"/>
  <c r="S18" i="5" s="1"/>
  <c r="P53" i="5"/>
  <c r="S53" i="5" s="1"/>
  <c r="P35" i="5"/>
  <c r="S35" i="5" s="1"/>
  <c r="P42" i="5"/>
  <c r="S42" i="5" s="1"/>
  <c r="P45" i="5"/>
  <c r="S45" i="5" s="1"/>
  <c r="P51" i="5"/>
  <c r="S51" i="5" s="1"/>
  <c r="P33" i="5"/>
  <c r="S33" i="5" s="1"/>
  <c r="P19" i="5"/>
  <c r="S19" i="5" s="1"/>
  <c r="P64" i="5"/>
  <c r="S64" i="5" s="1"/>
  <c r="P22" i="5"/>
  <c r="S22" i="5" s="1"/>
  <c r="P73" i="5"/>
  <c r="S73" i="5" s="1"/>
  <c r="P54" i="5"/>
  <c r="S54" i="5" s="1"/>
  <c r="P48" i="5"/>
  <c r="S48" i="5" s="1"/>
  <c r="P69" i="5"/>
  <c r="S69" i="5" s="1"/>
  <c r="P27" i="5"/>
  <c r="S27" i="5" s="1"/>
  <c r="P31" i="5"/>
  <c r="S31" i="5" s="1"/>
  <c r="P55" i="5"/>
  <c r="S55" i="5" s="1"/>
  <c r="P62" i="5"/>
  <c r="S62" i="5" s="1"/>
  <c r="P16" i="5"/>
  <c r="S16" i="5" s="1"/>
  <c r="P44" i="5"/>
  <c r="S44" i="5" s="1"/>
  <c r="P24" i="5"/>
  <c r="S24" i="5" s="1"/>
  <c r="P11" i="5"/>
  <c r="S11" i="5" s="1"/>
  <c r="P14" i="5"/>
  <c r="S14" i="5" s="1"/>
  <c r="P12" i="5"/>
  <c r="S12" i="5" s="1"/>
  <c r="P38" i="5"/>
  <c r="S38" i="5" s="1"/>
  <c r="P50" i="5"/>
  <c r="S50" i="5" s="1"/>
  <c r="P36" i="5"/>
  <c r="S36" i="5" s="1"/>
  <c r="P25" i="5"/>
  <c r="S25" i="5" s="1"/>
  <c r="P47" i="5"/>
  <c r="S47" i="5" s="1"/>
  <c r="P52" i="5"/>
  <c r="S52" i="5" s="1"/>
  <c r="P37" i="5"/>
  <c r="S37" i="5" s="1"/>
  <c r="P68" i="5"/>
  <c r="S68" i="5" s="1"/>
  <c r="P57" i="5"/>
  <c r="S57" i="5" s="1"/>
  <c r="P15" i="5"/>
  <c r="S15" i="5" s="1"/>
  <c r="P41" i="5"/>
  <c r="S41" i="5" s="1"/>
  <c r="P26" i="5"/>
  <c r="S26" i="5" s="1"/>
  <c r="P49" i="5"/>
  <c r="S49" i="5" s="1"/>
  <c r="P70" i="5"/>
  <c r="S70" i="5" s="1"/>
  <c r="P32" i="5"/>
  <c r="S32" i="5" s="1"/>
  <c r="P60" i="5"/>
  <c r="S60" i="5" s="1"/>
  <c r="P46" i="5"/>
  <c r="S46" i="5" s="1"/>
  <c r="P58" i="5"/>
  <c r="S58" i="5" s="1"/>
  <c r="P34" i="5"/>
  <c r="S34" i="5" s="1"/>
  <c r="Q13" i="7"/>
  <c r="R13" i="7" s="1"/>
  <c r="T13" i="7"/>
  <c r="T16" i="7"/>
  <c r="P17" i="7"/>
  <c r="S17" i="7" s="1"/>
  <c r="Q12" i="7"/>
  <c r="R12" i="7" s="1"/>
  <c r="R17" i="7"/>
  <c r="T17" i="7"/>
  <c r="Q16" i="7"/>
  <c r="R15" i="7"/>
  <c r="T15" i="7"/>
  <c r="T14" i="7"/>
  <c r="T29" i="7"/>
  <c r="R29" i="7"/>
  <c r="P29" i="7"/>
  <c r="S29" i="7" s="1"/>
  <c r="Q29" i="7"/>
  <c r="P14" i="7"/>
  <c r="S14" i="7" s="1"/>
  <c r="Q14" i="7"/>
  <c r="T18" i="7"/>
  <c r="Q18" i="7"/>
  <c r="R18" i="7"/>
  <c r="P18" i="7"/>
  <c r="S18" i="7" s="1"/>
  <c r="T36" i="7"/>
  <c r="R36" i="7"/>
  <c r="Q36" i="7"/>
  <c r="P36" i="7"/>
  <c r="S36" i="7" s="1"/>
  <c r="T30" i="7"/>
  <c r="R30" i="7"/>
  <c r="P30" i="7"/>
  <c r="S30" i="7" s="1"/>
  <c r="Q30" i="7"/>
  <c r="T41" i="7"/>
  <c r="P41" i="7"/>
  <c r="S41" i="7" s="1"/>
  <c r="R41" i="7"/>
  <c r="Q41" i="7"/>
  <c r="T24" i="7"/>
  <c r="P24" i="7"/>
  <c r="S24" i="7" s="1"/>
  <c r="Q24" i="7"/>
  <c r="R24" i="7"/>
  <c r="T19" i="7"/>
  <c r="P19" i="7"/>
  <c r="S19" i="7" s="1"/>
  <c r="Q19" i="7"/>
  <c r="R19" i="7"/>
  <c r="T22" i="7"/>
  <c r="Q22" i="7"/>
  <c r="R22" i="7"/>
  <c r="P22" i="7"/>
  <c r="S22" i="7" s="1"/>
  <c r="T37" i="7"/>
  <c r="P37" i="7"/>
  <c r="S37" i="7" s="1"/>
  <c r="Q37" i="7"/>
  <c r="R37" i="7"/>
  <c r="T23" i="7"/>
  <c r="P23" i="7"/>
  <c r="S23" i="7" s="1"/>
  <c r="Q23" i="7"/>
  <c r="R23" i="7"/>
  <c r="T31" i="7"/>
  <c r="Q31" i="7"/>
  <c r="R31" i="7"/>
  <c r="P31" i="7"/>
  <c r="S31" i="7" s="1"/>
  <c r="T40" i="7"/>
  <c r="R40" i="7"/>
  <c r="Q40" i="7"/>
  <c r="P40" i="7"/>
  <c r="S40" i="7" s="1"/>
  <c r="T25" i="7"/>
  <c r="P25" i="7"/>
  <c r="S25" i="7" s="1"/>
  <c r="Q25" i="7"/>
  <c r="R25" i="7"/>
  <c r="T20" i="7"/>
  <c r="R20" i="7"/>
  <c r="P20" i="7"/>
  <c r="S20" i="7" s="1"/>
  <c r="Q20" i="7"/>
  <c r="T32" i="7"/>
  <c r="R32" i="7"/>
  <c r="P32" i="7"/>
  <c r="S32" i="7" s="1"/>
  <c r="Q32" i="7"/>
  <c r="T39" i="7"/>
  <c r="R39" i="7"/>
  <c r="Q39" i="7"/>
  <c r="P39" i="7"/>
  <c r="S39" i="7" s="1"/>
  <c r="T34" i="7"/>
  <c r="R34" i="7"/>
  <c r="P34" i="7"/>
  <c r="S34" i="7" s="1"/>
  <c r="Q34" i="7"/>
  <c r="T42" i="7"/>
  <c r="Q42" i="7"/>
  <c r="P42" i="7"/>
  <c r="S42" i="7" s="1"/>
  <c r="R42" i="7"/>
  <c r="T27" i="7"/>
  <c r="Q27" i="7"/>
  <c r="R27" i="7"/>
  <c r="P27" i="7"/>
  <c r="S27" i="7" s="1"/>
  <c r="T21" i="7"/>
  <c r="R21" i="7"/>
  <c r="P21" i="7"/>
  <c r="S21" i="7" s="1"/>
  <c r="Q21" i="7"/>
  <c r="T33" i="7"/>
  <c r="R33" i="7"/>
  <c r="P33" i="7"/>
  <c r="S33" i="7" s="1"/>
  <c r="Q33" i="7"/>
  <c r="T38" i="7"/>
  <c r="Q38" i="7"/>
  <c r="P38" i="7"/>
  <c r="S38" i="7" s="1"/>
  <c r="R38" i="7"/>
  <c r="T28" i="7"/>
  <c r="R28" i="7"/>
  <c r="P28" i="7"/>
  <c r="S28" i="7" s="1"/>
  <c r="Q28" i="7"/>
  <c r="T43" i="7"/>
  <c r="Q43" i="7"/>
  <c r="R43" i="7"/>
  <c r="P43" i="7"/>
  <c r="S43" i="7" s="1"/>
  <c r="S10" i="5"/>
</calcChain>
</file>

<file path=xl/sharedStrings.xml><?xml version="1.0" encoding="utf-8"?>
<sst xmlns="http://schemas.openxmlformats.org/spreadsheetml/2006/main" count="15237" uniqueCount="4142">
  <si>
    <t>Model</t>
  </si>
  <si>
    <t>Type</t>
  </si>
  <si>
    <t>JagaSourceCode Stnd</t>
  </si>
  <si>
    <t>BZBW0.03805200</t>
  </si>
  <si>
    <t>BZBW0.03805200/4</t>
  </si>
  <si>
    <t>BZBW0.03807200</t>
  </si>
  <si>
    <t>BZBW0.03807200/4</t>
  </si>
  <si>
    <t>BZMW0.04112500</t>
  </si>
  <si>
    <t>BZMW0.04112500/4</t>
  </si>
  <si>
    <t>BZMW0.04114500</t>
  </si>
  <si>
    <t>BZMW0.04114500/4</t>
  </si>
  <si>
    <t>BZMW0.05512500</t>
  </si>
  <si>
    <t>BZMW0.05512500/4</t>
  </si>
  <si>
    <t>BZMW0.05514500</t>
  </si>
  <si>
    <t>BZMW0.05514500/4</t>
  </si>
  <si>
    <t>D04</t>
  </si>
  <si>
    <t>BZBW0.05205200/4</t>
  </si>
  <si>
    <t>BZBW0.05207200/4</t>
  </si>
  <si>
    <t>BZBW0.05205200</t>
  </si>
  <si>
    <t>BZBW0.05207200</t>
  </si>
  <si>
    <t>Horizontal Wall</t>
  </si>
  <si>
    <t>Ceiling</t>
  </si>
  <si>
    <t>Group</t>
  </si>
  <si>
    <t>Build-In</t>
  </si>
  <si>
    <t>Return T</t>
  </si>
  <si>
    <t>Mean T</t>
  </si>
  <si>
    <t>Entering T</t>
  </si>
  <si>
    <t>Air T</t>
  </si>
  <si>
    <t>SalesGroup</t>
  </si>
  <si>
    <t>Briza</t>
  </si>
  <si>
    <t>Briza Build-In Wall</t>
  </si>
  <si>
    <t>BZBC0.05205200/4</t>
  </si>
  <si>
    <t>BZBC0.03805200/4</t>
  </si>
  <si>
    <t>BZBC0.05207200/4</t>
  </si>
  <si>
    <t>BZBC0.03805200</t>
  </si>
  <si>
    <t>BZBC0.03807200/4</t>
  </si>
  <si>
    <t>BZMC0.05512500/4</t>
  </si>
  <si>
    <t>BZBC0.03807200</t>
  </si>
  <si>
    <t>BZBC0.05205200</t>
  </si>
  <si>
    <t>BZMC0.04112500/4</t>
  </si>
  <si>
    <t>BZMC0.05514500/4</t>
  </si>
  <si>
    <t>BZMC0.04112500</t>
  </si>
  <si>
    <t>BZMC0.04114500/4</t>
  </si>
  <si>
    <t>BZBC0.05207200</t>
  </si>
  <si>
    <t>BZMC0.04114500</t>
  </si>
  <si>
    <t>BZMC0.05512500</t>
  </si>
  <si>
    <t>BZMC0.05514500</t>
  </si>
  <si>
    <t>Briza Build-In Ceiling</t>
  </si>
  <si>
    <t>Briza Ceiling</t>
  </si>
  <si>
    <t>75/65/20ºC</t>
  </si>
  <si>
    <t>4pipe</t>
  </si>
  <si>
    <t>2pipe</t>
  </si>
  <si>
    <t>BZBC0.03810200</t>
  </si>
  <si>
    <t>BZBC0.03810200/4</t>
  </si>
  <si>
    <t>BZBC0.03812200</t>
  </si>
  <si>
    <t>BZBC0.03812200/4</t>
  </si>
  <si>
    <t>BZBC0.05210200</t>
  </si>
  <si>
    <t>BZBC0.05210200/4</t>
  </si>
  <si>
    <t>BZBC0.05212200</t>
  </si>
  <si>
    <t>BZBC0.05212200/4</t>
  </si>
  <si>
    <t>BZBW0.03810200</t>
  </si>
  <si>
    <t>BZBW0.03810200/4</t>
  </si>
  <si>
    <t>BZBW0.03812200</t>
  </si>
  <si>
    <t>BZBW0.03812200/4</t>
  </si>
  <si>
    <t>BZBW0.05210200</t>
  </si>
  <si>
    <t>BZBW0.05210200/4</t>
  </si>
  <si>
    <t>BZBW0.05212200</t>
  </si>
  <si>
    <t>BZBW0.05212200/4</t>
  </si>
  <si>
    <t>BZMC0.04107500</t>
  </si>
  <si>
    <t>BZMC0.04107500/4</t>
  </si>
  <si>
    <t>BZMC0.04109500</t>
  </si>
  <si>
    <t>BZMC0.04109500/4</t>
  </si>
  <si>
    <t>BZMC0.05507500</t>
  </si>
  <si>
    <t>BZMC0.05507500/4</t>
  </si>
  <si>
    <t>BZMC0.05509500</t>
  </si>
  <si>
    <t>BZMC0.05509500/4</t>
  </si>
  <si>
    <t>BZMW0.04107500</t>
  </si>
  <si>
    <t>BZMW0.04107500/4</t>
  </si>
  <si>
    <t>BZMW0.04109500</t>
  </si>
  <si>
    <t>BZMW0.04109500/4</t>
  </si>
  <si>
    <t>BZMW0.05507500</t>
  </si>
  <si>
    <t>BZMW0.05507500/4</t>
  </si>
  <si>
    <t>BZMW0.05509500</t>
  </si>
  <si>
    <t>BZMW0.05509500/4</t>
  </si>
  <si>
    <t>Length</t>
  </si>
  <si>
    <t>Width</t>
  </si>
  <si>
    <t>Height/Depth</t>
  </si>
  <si>
    <t>Product Code</t>
  </si>
  <si>
    <t>%</t>
  </si>
  <si>
    <t>Fresh Water</t>
  </si>
  <si>
    <t>Eth. Glycol</t>
  </si>
  <si>
    <t>Prop. Glycol</t>
  </si>
  <si>
    <t>Sound Pressure dB(A)</t>
  </si>
  <si>
    <t>AirFlow</t>
  </si>
  <si>
    <t>scroll/ input for corrections:</t>
  </si>
  <si>
    <t>ºC</t>
  </si>
  <si>
    <t>Fanspeed</t>
  </si>
  <si>
    <t>Rel Humid</t>
  </si>
  <si>
    <t>Pessure Drop</t>
  </si>
  <si>
    <t>Kolom</t>
  </si>
  <si>
    <t>16/18/27ºC</t>
  </si>
  <si>
    <t>opgave Dries 2018-07-11</t>
  </si>
  <si>
    <t>aanv</t>
  </si>
  <si>
    <t>retour</t>
  </si>
  <si>
    <t>ruimte</t>
  </si>
  <si>
    <t>Sound pressure * [dB(A)]</t>
  </si>
  <si>
    <t>*Sound pressure with an assumed room damping of 8dB(A)</t>
  </si>
  <si>
    <t>Metric</t>
  </si>
  <si>
    <t>a</t>
  </si>
  <si>
    <t>b</t>
  </si>
  <si>
    <t>sensible cooling</t>
  </si>
  <si>
    <t>INCH</t>
  </si>
  <si>
    <t>CFM</t>
  </si>
  <si>
    <t>GPM</t>
  </si>
  <si>
    <t>P_loss</t>
  </si>
  <si>
    <t>BTU/h</t>
  </si>
  <si>
    <t>Imperial</t>
  </si>
  <si>
    <t>Vul in: 1 voor Metric en 2 voor Imperial</t>
  </si>
  <si>
    <t>N-Waarde</t>
  </si>
  <si>
    <t>Build-In Floor</t>
  </si>
  <si>
    <t>CLCM.00807218/BNA</t>
  </si>
  <si>
    <t>CLCM.00810818/BNA</t>
  </si>
  <si>
    <t>CLCM.00814418/BNA</t>
  </si>
  <si>
    <t>CLCM.00818018/BNA</t>
  </si>
  <si>
    <t>CLCM.01007218/BNA</t>
  </si>
  <si>
    <t>CLCM.01010818/BNA</t>
  </si>
  <si>
    <t>CLCM.01014418/BNA</t>
  </si>
  <si>
    <t>CLCM.01018018/BNA</t>
  </si>
  <si>
    <t>A12</t>
  </si>
  <si>
    <t>CLCM0.00807218/BNA</t>
  </si>
  <si>
    <t>CLCM0.00810818/BNA</t>
  </si>
  <si>
    <t>CLCM0.00814418/BNA</t>
  </si>
  <si>
    <t>CLCM0.00818018/BNA</t>
  </si>
  <si>
    <t>CLCM0.01007218/BNA</t>
  </si>
  <si>
    <t>CLCM0.01010818/BNA</t>
  </si>
  <si>
    <t>CLCM0.01014418/BNA</t>
  </si>
  <si>
    <t>CLCM0.01018018/BNA</t>
  </si>
  <si>
    <t>Let op:</t>
  </si>
  <si>
    <t>Quatro Canal H19</t>
  </si>
  <si>
    <t>D07</t>
  </si>
  <si>
    <t>P_elek</t>
  </si>
  <si>
    <t>Micro Canal</t>
  </si>
  <si>
    <t>MIRF.00606014/SSS</t>
  </si>
  <si>
    <t>MIRF.00609514/SSS</t>
  </si>
  <si>
    <t>MIRF.00613014/SSS</t>
  </si>
  <si>
    <t>MIRF.00616514/SSS</t>
  </si>
  <si>
    <t>MIRF.00620014/SSS</t>
  </si>
  <si>
    <t>Ceiling/ Wall</t>
  </si>
  <si>
    <t>UNIT.021/EC</t>
  </si>
  <si>
    <t>UNIT.031/EC</t>
  </si>
  <si>
    <t>UNIT.121/EC</t>
  </si>
  <si>
    <t>UNIT.131/EC</t>
  </si>
  <si>
    <t>UNIT.221/EC</t>
  </si>
  <si>
    <t>UNIT.231/EC</t>
  </si>
  <si>
    <t>UNIT.321/EC</t>
  </si>
  <si>
    <t>UNIT.331/EC</t>
  </si>
  <si>
    <t>UNIT.421/EC</t>
  </si>
  <si>
    <t>UNIT.431/EC</t>
  </si>
  <si>
    <t>*Sound pressure at 5m¹ from source</t>
  </si>
  <si>
    <t>Build-In Wall</t>
  </si>
  <si>
    <t>BIWW.02004010</t>
  </si>
  <si>
    <t>BIWW.02004015</t>
  </si>
  <si>
    <t>BIWW.02004020</t>
  </si>
  <si>
    <t>BIWW.02005010</t>
  </si>
  <si>
    <t>BIWW.02005015</t>
  </si>
  <si>
    <t>BIWW.02005020</t>
  </si>
  <si>
    <t>BIWW.02006010</t>
  </si>
  <si>
    <t>BIWW.02006015</t>
  </si>
  <si>
    <t>BIWW.02006020</t>
  </si>
  <si>
    <t>BIWW.02007010</t>
  </si>
  <si>
    <t>BIWW.02007015</t>
  </si>
  <si>
    <t>BIWW.02007020</t>
  </si>
  <si>
    <t>BIWW.02008010</t>
  </si>
  <si>
    <t>BIWW.02008015</t>
  </si>
  <si>
    <t>BIWW.02008020</t>
  </si>
  <si>
    <t>BIWW.02009010</t>
  </si>
  <si>
    <t>BIWW.02009015</t>
  </si>
  <si>
    <t>BIWW.02009020</t>
  </si>
  <si>
    <t>BIWW.02010010</t>
  </si>
  <si>
    <t>BIWW.02010015</t>
  </si>
  <si>
    <t>BIWW.02010020</t>
  </si>
  <si>
    <t>BIWW.02011010</t>
  </si>
  <si>
    <t>BIWW.02011015</t>
  </si>
  <si>
    <t>BIWW.02011020</t>
  </si>
  <si>
    <t>BIWW.02012010</t>
  </si>
  <si>
    <t>BIWW.02012015</t>
  </si>
  <si>
    <t>BIWW.02012020</t>
  </si>
  <si>
    <t>BIWW.02014010</t>
  </si>
  <si>
    <t>BIWW.02014015</t>
  </si>
  <si>
    <t>BIWW.02014020</t>
  </si>
  <si>
    <t>BIWW.02016010</t>
  </si>
  <si>
    <t>BIWW.02016015</t>
  </si>
  <si>
    <t>BIWW.02016020</t>
  </si>
  <si>
    <t>BIWW.02018010</t>
  </si>
  <si>
    <t>BIWW.02018015</t>
  </si>
  <si>
    <t>BIWW.02018020</t>
  </si>
  <si>
    <t>BIWW.02020010</t>
  </si>
  <si>
    <t>BIWW.02020015</t>
  </si>
  <si>
    <t>BIWW.02020020</t>
  </si>
  <si>
    <t>BIWW.02022010</t>
  </si>
  <si>
    <t>BIWW.02022015</t>
  </si>
  <si>
    <t>BIWW.02022020</t>
  </si>
  <si>
    <t>BIWW.02024010</t>
  </si>
  <si>
    <t>BIWW.02024015</t>
  </si>
  <si>
    <t>BIWW.02024020</t>
  </si>
  <si>
    <t>BIWW.02026010</t>
  </si>
  <si>
    <t>BIWW.02026015</t>
  </si>
  <si>
    <t>BIWW.02026020</t>
  </si>
  <si>
    <t>BIWW.02028010</t>
  </si>
  <si>
    <t>BIWW.02028015</t>
  </si>
  <si>
    <t>BIWW.02028020</t>
  </si>
  <si>
    <t>BIWW.02030010</t>
  </si>
  <si>
    <t>BIWW.02030015</t>
  </si>
  <si>
    <t>BIWW.02030020</t>
  </si>
  <si>
    <t>BIWW.03004010</t>
  </si>
  <si>
    <t>BIWW.03004011</t>
  </si>
  <si>
    <t>BIWW.03004015</t>
  </si>
  <si>
    <t>BIWW.03004016</t>
  </si>
  <si>
    <t>BIWW.03004020</t>
  </si>
  <si>
    <t>BIWW.03004021</t>
  </si>
  <si>
    <t>BIWW.03005010</t>
  </si>
  <si>
    <t>BIWW.03005011</t>
  </si>
  <si>
    <t>BIWW.03005015</t>
  </si>
  <si>
    <t>BIWW.03005016</t>
  </si>
  <si>
    <t>BIWW.03005020</t>
  </si>
  <si>
    <t>BIWW.03005021</t>
  </si>
  <si>
    <t>BIWW.03006010</t>
  </si>
  <si>
    <t>BIWW.03006011</t>
  </si>
  <si>
    <t>BIWW.03006015</t>
  </si>
  <si>
    <t>BIWW.03006016</t>
  </si>
  <si>
    <t>BIWW.03006020</t>
  </si>
  <si>
    <t>BIWW.03006021</t>
  </si>
  <si>
    <t>BIWW.03007010</t>
  </si>
  <si>
    <t>BIWW.03007011</t>
  </si>
  <si>
    <t>BIWW.03007015</t>
  </si>
  <si>
    <t>BIWW.03007016</t>
  </si>
  <si>
    <t>BIWW.03007020</t>
  </si>
  <si>
    <t>BIWW.03007021</t>
  </si>
  <si>
    <t>BIWW.03008010</t>
  </si>
  <si>
    <t>BIWW.03008011</t>
  </si>
  <si>
    <t>BIWW.03008015</t>
  </si>
  <si>
    <t>BIWW.03008016</t>
  </si>
  <si>
    <t>BIWW.03008020</t>
  </si>
  <si>
    <t>BIWW.03008021</t>
  </si>
  <si>
    <t>BIWW.03009010</t>
  </si>
  <si>
    <t>BIWW.03009011</t>
  </si>
  <si>
    <t>BIWW.03009015</t>
  </si>
  <si>
    <t>BIWW.03009016</t>
  </si>
  <si>
    <t>BIWW.03009020</t>
  </si>
  <si>
    <t>BIWW.03009021</t>
  </si>
  <si>
    <t>BIWW.03010010</t>
  </si>
  <si>
    <t>BIWW.03010011</t>
  </si>
  <si>
    <t>BIWW.03010015</t>
  </si>
  <si>
    <t>BIWW.03010016</t>
  </si>
  <si>
    <t>BIWW.03010020</t>
  </si>
  <si>
    <t>BIWW.03010021</t>
  </si>
  <si>
    <t>BIWW.03011010</t>
  </si>
  <si>
    <t>BIWW.03011011</t>
  </si>
  <si>
    <t>BIWW.03011015</t>
  </si>
  <si>
    <t>BIWW.03011016</t>
  </si>
  <si>
    <t>BIWW.03011020</t>
  </si>
  <si>
    <t>BIWW.03011021</t>
  </si>
  <si>
    <t>BIWW.03012010</t>
  </si>
  <si>
    <t>BIWW.03012011</t>
  </si>
  <si>
    <t>BIWW.03012015</t>
  </si>
  <si>
    <t>BIWW.03012016</t>
  </si>
  <si>
    <t>BIWW.03012020</t>
  </si>
  <si>
    <t>BIWW.03012021</t>
  </si>
  <si>
    <t>BIWW.03014010</t>
  </si>
  <si>
    <t>BIWW.03014011</t>
  </si>
  <si>
    <t>BIWW.03014015</t>
  </si>
  <si>
    <t>BIWW.03014016</t>
  </si>
  <si>
    <t>BIWW.03014020</t>
  </si>
  <si>
    <t>BIWW.03014021</t>
  </si>
  <si>
    <t>BIWW.03016010</t>
  </si>
  <si>
    <t>BIWW.03016011</t>
  </si>
  <si>
    <t>BIWW.03016015</t>
  </si>
  <si>
    <t>BIWW.03016016</t>
  </si>
  <si>
    <t>BIWW.03016020</t>
  </si>
  <si>
    <t>BIWW.03016021</t>
  </si>
  <si>
    <t>BIWW.03018010</t>
  </si>
  <si>
    <t>BIWW.03018011</t>
  </si>
  <si>
    <t>BIWW.03018015</t>
  </si>
  <si>
    <t>BIWW.03018016</t>
  </si>
  <si>
    <t>BIWW.03018020</t>
  </si>
  <si>
    <t>BIWW.03018021</t>
  </si>
  <si>
    <t>BIWW.03020010</t>
  </si>
  <si>
    <t>BIWW.03020011</t>
  </si>
  <si>
    <t>BIWW.03020015</t>
  </si>
  <si>
    <t>BIWW.03020016</t>
  </si>
  <si>
    <t>BIWW.03020020</t>
  </si>
  <si>
    <t>BIWW.03020021</t>
  </si>
  <si>
    <t>BIWW.03022010</t>
  </si>
  <si>
    <t>BIWW.03022011</t>
  </si>
  <si>
    <t>BIWW.03022015</t>
  </si>
  <si>
    <t>BIWW.03022016</t>
  </si>
  <si>
    <t>BIWW.03022020</t>
  </si>
  <si>
    <t>BIWW.03022021</t>
  </si>
  <si>
    <t>BIWW.03024010</t>
  </si>
  <si>
    <t>BIWW.03024011</t>
  </si>
  <si>
    <t>BIWW.03024015</t>
  </si>
  <si>
    <t>BIWW.03024016</t>
  </si>
  <si>
    <t>BIWW.03024020</t>
  </si>
  <si>
    <t>BIWW.03024021</t>
  </si>
  <si>
    <t>BIWW.03026010</t>
  </si>
  <si>
    <t>BIWW.03026011</t>
  </si>
  <si>
    <t>BIWW.03026015</t>
  </si>
  <si>
    <t>BIWW.03026016</t>
  </si>
  <si>
    <t>BIWW.03026020</t>
  </si>
  <si>
    <t>BIWW.03026021</t>
  </si>
  <si>
    <t>BIWW.03028010</t>
  </si>
  <si>
    <t>BIWW.03028011</t>
  </si>
  <si>
    <t>BIWW.03028015</t>
  </si>
  <si>
    <t>BIWW.03028016</t>
  </si>
  <si>
    <t>BIWW.03028020</t>
  </si>
  <si>
    <t>BIWW.03028021</t>
  </si>
  <si>
    <t>BIWW.03030010</t>
  </si>
  <si>
    <t>BIWW.03030011</t>
  </si>
  <si>
    <t>BIWW.03030015</t>
  </si>
  <si>
    <t>BIWW.03030016</t>
  </si>
  <si>
    <t>BIWW.03030020</t>
  </si>
  <si>
    <t>BIWW.03030021</t>
  </si>
  <si>
    <t>BIWW.04004010</t>
  </si>
  <si>
    <t>BIWW.04004011</t>
  </si>
  <si>
    <t>BIWW.04004015</t>
  </si>
  <si>
    <t>BIWW.04004016</t>
  </si>
  <si>
    <t>BIWW.04004020</t>
  </si>
  <si>
    <t>BIWW.04004021</t>
  </si>
  <si>
    <t>BIWW.04005010</t>
  </si>
  <si>
    <t>BIWW.04005011</t>
  </si>
  <si>
    <t>BIWW.04005015</t>
  </si>
  <si>
    <t>BIWW.04005016</t>
  </si>
  <si>
    <t>BIWW.04005020</t>
  </si>
  <si>
    <t>BIWW.04005021</t>
  </si>
  <si>
    <t>BIWW.04006010</t>
  </si>
  <si>
    <t>BIWW.04006011</t>
  </si>
  <si>
    <t>BIWW.04006015</t>
  </si>
  <si>
    <t>BIWW.04006016</t>
  </si>
  <si>
    <t>BIWW.04006020</t>
  </si>
  <si>
    <t>BIWW.04006021</t>
  </si>
  <si>
    <t>BIWW.04007010</t>
  </si>
  <si>
    <t>BIWW.04007011</t>
  </si>
  <si>
    <t>BIWW.04007015</t>
  </si>
  <si>
    <t>BIWW.04007016</t>
  </si>
  <si>
    <t>BIWW.04007020</t>
  </si>
  <si>
    <t>BIWW.04007021</t>
  </si>
  <si>
    <t>BIWW.04008010</t>
  </si>
  <si>
    <t>BIWW.04008011</t>
  </si>
  <si>
    <t>BIWW.04008015</t>
  </si>
  <si>
    <t>BIWW.04008016</t>
  </si>
  <si>
    <t>BIWW.04008020</t>
  </si>
  <si>
    <t>BIWW.04008021</t>
  </si>
  <si>
    <t>BIWW.04009010</t>
  </si>
  <si>
    <t>BIWW.04009011</t>
  </si>
  <si>
    <t>BIWW.04009015</t>
  </si>
  <si>
    <t>BIWW.04009016</t>
  </si>
  <si>
    <t>BIWW.04009020</t>
  </si>
  <si>
    <t>BIWW.04009021</t>
  </si>
  <si>
    <t>BIWW.04010010</t>
  </si>
  <si>
    <t>BIWW.04010011</t>
  </si>
  <si>
    <t>BIWW.04010015</t>
  </si>
  <si>
    <t>BIWW.04010016</t>
  </si>
  <si>
    <t>BIWW.04010020</t>
  </si>
  <si>
    <t>BIWW.04010021</t>
  </si>
  <si>
    <t>BIWW.04011010</t>
  </si>
  <si>
    <t>BIWW.04011011</t>
  </si>
  <si>
    <t>BIWW.04011015</t>
  </si>
  <si>
    <t>BIWW.04011016</t>
  </si>
  <si>
    <t>BIWW.04011020</t>
  </si>
  <si>
    <t>BIWW.04011021</t>
  </si>
  <si>
    <t>BIWW.04012010</t>
  </si>
  <si>
    <t>BIWW.04012011</t>
  </si>
  <si>
    <t>BIWW.04012015</t>
  </si>
  <si>
    <t>BIWW.04012016</t>
  </si>
  <si>
    <t>BIWW.04012020</t>
  </si>
  <si>
    <t>BIWW.04012021</t>
  </si>
  <si>
    <t>BIWW.04014010</t>
  </si>
  <si>
    <t>BIWW.04014011</t>
  </si>
  <si>
    <t>BIWW.04014015</t>
  </si>
  <si>
    <t>BIWW.04014016</t>
  </si>
  <si>
    <t>BIWW.04014020</t>
  </si>
  <si>
    <t>BIWW.04014021</t>
  </si>
  <si>
    <t>BIWW.04016010</t>
  </si>
  <si>
    <t>BIWW.04016011</t>
  </si>
  <si>
    <t>BIWW.04016015</t>
  </si>
  <si>
    <t>BIWW.04016016</t>
  </si>
  <si>
    <t>BIWW.04016020</t>
  </si>
  <si>
    <t>BIWW.04016021</t>
  </si>
  <si>
    <t>BIWW.04018010</t>
  </si>
  <si>
    <t>BIWW.04018011</t>
  </si>
  <si>
    <t>BIWW.04018015</t>
  </si>
  <si>
    <t>BIWW.04018016</t>
  </si>
  <si>
    <t>BIWW.04018020</t>
  </si>
  <si>
    <t>BIWW.04018021</t>
  </si>
  <si>
    <t>BIWW.04020010</t>
  </si>
  <si>
    <t>BIWW.04020011</t>
  </si>
  <si>
    <t>BIWW.04020015</t>
  </si>
  <si>
    <t>BIWW.04020016</t>
  </si>
  <si>
    <t>BIWW.04020020</t>
  </si>
  <si>
    <t>BIWW.04020021</t>
  </si>
  <si>
    <t>BIWW.04022010</t>
  </si>
  <si>
    <t>BIWW.04022011</t>
  </si>
  <si>
    <t>BIWW.04022015</t>
  </si>
  <si>
    <t>BIWW.04022016</t>
  </si>
  <si>
    <t>BIWW.04022020</t>
  </si>
  <si>
    <t>BIWW.04022021</t>
  </si>
  <si>
    <t>BIWW.04024010</t>
  </si>
  <si>
    <t>BIWW.04024011</t>
  </si>
  <si>
    <t>BIWW.04024015</t>
  </si>
  <si>
    <t>BIWW.04024016</t>
  </si>
  <si>
    <t>BIWW.04024020</t>
  </si>
  <si>
    <t>BIWW.04024021</t>
  </si>
  <si>
    <t>BIWW.04026010</t>
  </si>
  <si>
    <t>BIWW.04026011</t>
  </si>
  <si>
    <t>BIWW.04026015</t>
  </si>
  <si>
    <t>BIWW.04026016</t>
  </si>
  <si>
    <t>BIWW.04026020</t>
  </si>
  <si>
    <t>BIWW.04026021</t>
  </si>
  <si>
    <t>BIWW.04028010</t>
  </si>
  <si>
    <t>BIWW.04028011</t>
  </si>
  <si>
    <t>BIWW.04028015</t>
  </si>
  <si>
    <t>BIWW.04028016</t>
  </si>
  <si>
    <t>BIWW.04028020</t>
  </si>
  <si>
    <t>BIWW.04028021</t>
  </si>
  <si>
    <t>BIWW.04030010</t>
  </si>
  <si>
    <t>BIWW.04030011</t>
  </si>
  <si>
    <t>BIWW.04030015</t>
  </si>
  <si>
    <t>BIWW.04030016</t>
  </si>
  <si>
    <t>BIWW.04030020</t>
  </si>
  <si>
    <t>BIWW.04030021</t>
  </si>
  <si>
    <t>BIWW.05004010</t>
  </si>
  <si>
    <t>BIWW.05004011</t>
  </si>
  <si>
    <t>BIWW.05004015</t>
  </si>
  <si>
    <t>BIWW.05004016</t>
  </si>
  <si>
    <t>BIWW.05004020</t>
  </si>
  <si>
    <t>BIWW.05004021</t>
  </si>
  <si>
    <t>BIWW.05005010</t>
  </si>
  <si>
    <t>BIWW.05005011</t>
  </si>
  <si>
    <t>BIWW.05005015</t>
  </si>
  <si>
    <t>BIWW.05005016</t>
  </si>
  <si>
    <t>BIWW.05005020</t>
  </si>
  <si>
    <t>BIWW.05005021</t>
  </si>
  <si>
    <t>BIWW.05006010</t>
  </si>
  <si>
    <t>BIWW.05006011</t>
  </si>
  <si>
    <t>BIWW.05006015</t>
  </si>
  <si>
    <t>BIWW.05006016</t>
  </si>
  <si>
    <t>BIWW.05006020</t>
  </si>
  <si>
    <t>BIWW.05006021</t>
  </si>
  <si>
    <t>BIWW.05007010</t>
  </si>
  <si>
    <t>BIWW.05007011</t>
  </si>
  <si>
    <t>BIWW.05007015</t>
  </si>
  <si>
    <t>BIWW.05007016</t>
  </si>
  <si>
    <t>BIWW.05007020</t>
  </si>
  <si>
    <t>BIWW.05007021</t>
  </si>
  <si>
    <t>BIWW.05008010</t>
  </si>
  <si>
    <t>BIWW.05008011</t>
  </si>
  <si>
    <t>BIWW.05008015</t>
  </si>
  <si>
    <t>BIWW.05008016</t>
  </si>
  <si>
    <t>BIWW.05008020</t>
  </si>
  <si>
    <t>BIWW.05008021</t>
  </si>
  <si>
    <t>BIWW.05009010</t>
  </si>
  <si>
    <t>BIWW.05009011</t>
  </si>
  <si>
    <t>BIWW.05009015</t>
  </si>
  <si>
    <t>BIWW.05009016</t>
  </si>
  <si>
    <t>BIWW.05009020</t>
  </si>
  <si>
    <t>BIWW.05009021</t>
  </si>
  <si>
    <t>BIWW.05010010</t>
  </si>
  <si>
    <t>BIWW.05010011</t>
  </si>
  <si>
    <t>BIWW.05010015</t>
  </si>
  <si>
    <t>BIWW.05010016</t>
  </si>
  <si>
    <t>BIWW.05010020</t>
  </si>
  <si>
    <t>BIWW.05010021</t>
  </si>
  <si>
    <t>BIWW.05011010</t>
  </si>
  <si>
    <t>BIWW.05011011</t>
  </si>
  <si>
    <t>BIWW.05011015</t>
  </si>
  <si>
    <t>BIWW.05011016</t>
  </si>
  <si>
    <t>BIWW.05011020</t>
  </si>
  <si>
    <t>BIWW.05011021</t>
  </si>
  <si>
    <t>BIWW.05012010</t>
  </si>
  <si>
    <t>BIWW.05012011</t>
  </si>
  <si>
    <t>BIWW.05012015</t>
  </si>
  <si>
    <t>BIWW.05012016</t>
  </si>
  <si>
    <t>BIWW.05012020</t>
  </si>
  <si>
    <t>BIWW.05012021</t>
  </si>
  <si>
    <t>BIWW.05014010</t>
  </si>
  <si>
    <t>BIWW.05014011</t>
  </si>
  <si>
    <t>BIWW.05014015</t>
  </si>
  <si>
    <t>BIWW.05014016</t>
  </si>
  <si>
    <t>BIWW.05014020</t>
  </si>
  <si>
    <t>BIWW.05014021</t>
  </si>
  <si>
    <t>BIWW.05016010</t>
  </si>
  <si>
    <t>BIWW.05016011</t>
  </si>
  <si>
    <t>BIWW.05016015</t>
  </si>
  <si>
    <t>BIWW.05016016</t>
  </si>
  <si>
    <t>BIWW.05016020</t>
  </si>
  <si>
    <t>BIWW.05016021</t>
  </si>
  <si>
    <t>BIWW.05018010</t>
  </si>
  <si>
    <t>BIWW.05018011</t>
  </si>
  <si>
    <t>BIWW.05018015</t>
  </si>
  <si>
    <t>BIWW.05018016</t>
  </si>
  <si>
    <t>BIWW.05018020</t>
  </si>
  <si>
    <t>BIWW.05018021</t>
  </si>
  <si>
    <t>BIWW.05020010</t>
  </si>
  <si>
    <t>BIWW.05020011</t>
  </si>
  <si>
    <t>BIWW.05020015</t>
  </si>
  <si>
    <t>BIWW.05020016</t>
  </si>
  <si>
    <t>BIWW.05020020</t>
  </si>
  <si>
    <t>BIWW.05020021</t>
  </si>
  <si>
    <t>BIWW.05022010</t>
  </si>
  <si>
    <t>BIWW.05022011</t>
  </si>
  <si>
    <t>BIWW.05022015</t>
  </si>
  <si>
    <t>BIWW.05022016</t>
  </si>
  <si>
    <t>BIWW.05022020</t>
  </si>
  <si>
    <t>BIWW.05022021</t>
  </si>
  <si>
    <t>BIWW.05024010</t>
  </si>
  <si>
    <t>BIWW.05024011</t>
  </si>
  <si>
    <t>BIWW.05024015</t>
  </si>
  <si>
    <t>BIWW.05024016</t>
  </si>
  <si>
    <t>BIWW.05024020</t>
  </si>
  <si>
    <t>BIWW.05024021</t>
  </si>
  <si>
    <t>BIWW.05026010</t>
  </si>
  <si>
    <t>BIWW.05026011</t>
  </si>
  <si>
    <t>BIWW.05026015</t>
  </si>
  <si>
    <t>BIWW.05026016</t>
  </si>
  <si>
    <t>BIWW.05026020</t>
  </si>
  <si>
    <t>BIWW.05026021</t>
  </si>
  <si>
    <t>BIWW.05028010</t>
  </si>
  <si>
    <t>BIWW.05028011</t>
  </si>
  <si>
    <t>BIWW.05028015</t>
  </si>
  <si>
    <t>BIWW.05028016</t>
  </si>
  <si>
    <t>BIWW.05028020</t>
  </si>
  <si>
    <t>BIWW.05028021</t>
  </si>
  <si>
    <t>BIWW.05030010</t>
  </si>
  <si>
    <t>BIWW.05030011</t>
  </si>
  <si>
    <t>BIWW.05030015</t>
  </si>
  <si>
    <t>BIWW.05030016</t>
  </si>
  <si>
    <t>BIWW.05030020</t>
  </si>
  <si>
    <t>BIWW.05030021</t>
  </si>
  <si>
    <t>BIWW.06004010</t>
  </si>
  <si>
    <t>BIWW.06004011</t>
  </si>
  <si>
    <t>BIWW.06004015</t>
  </si>
  <si>
    <t>BIWW.06004016</t>
  </si>
  <si>
    <t>BIWW.06004020</t>
  </si>
  <si>
    <t>BIWW.06004021</t>
  </si>
  <si>
    <t>BIWW.06005010</t>
  </si>
  <si>
    <t>BIWW.06005011</t>
  </si>
  <si>
    <t>BIWW.06005015</t>
  </si>
  <si>
    <t>BIWW.06005016</t>
  </si>
  <si>
    <t>BIWW.06005020</t>
  </si>
  <si>
    <t>BIWW.06005021</t>
  </si>
  <si>
    <t>BIWW.06006010</t>
  </si>
  <si>
    <t>BIWW.06006011</t>
  </si>
  <si>
    <t>BIWW.06006015</t>
  </si>
  <si>
    <t>BIWW.06006016</t>
  </si>
  <si>
    <t>BIWW.06006020</t>
  </si>
  <si>
    <t>BIWW.06006021</t>
  </si>
  <si>
    <t>BIWW.06007010</t>
  </si>
  <si>
    <t>BIWW.06007011</t>
  </si>
  <si>
    <t>BIWW.06007015</t>
  </si>
  <si>
    <t>BIWW.06007016</t>
  </si>
  <si>
    <t>BIWW.06007020</t>
  </si>
  <si>
    <t>BIWW.06007021</t>
  </si>
  <si>
    <t>BIWW.06008010</t>
  </si>
  <si>
    <t>BIWW.06008011</t>
  </si>
  <si>
    <t>BIWW.06008015</t>
  </si>
  <si>
    <t>BIWW.06008016</t>
  </si>
  <si>
    <t>BIWW.06008020</t>
  </si>
  <si>
    <t>BIWW.06008021</t>
  </si>
  <si>
    <t>BIWW.06009010</t>
  </si>
  <si>
    <t>BIWW.06009011</t>
  </si>
  <si>
    <t>BIWW.06009015</t>
  </si>
  <si>
    <t>BIWW.06009016</t>
  </si>
  <si>
    <t>BIWW.06009020</t>
  </si>
  <si>
    <t>BIWW.06009021</t>
  </si>
  <si>
    <t>BIWW.06010010</t>
  </si>
  <si>
    <t>BIWW.06010011</t>
  </si>
  <si>
    <t>BIWW.06010015</t>
  </si>
  <si>
    <t>BIWW.06010016</t>
  </si>
  <si>
    <t>BIWW.06010020</t>
  </si>
  <si>
    <t>BIWW.06010021</t>
  </si>
  <si>
    <t>BIWW.06011010</t>
  </si>
  <si>
    <t>BIWW.06011011</t>
  </si>
  <si>
    <t>BIWW.06011015</t>
  </si>
  <si>
    <t>BIWW.06011016</t>
  </si>
  <si>
    <t>BIWW.06011020</t>
  </si>
  <si>
    <t>BIWW.06011021</t>
  </si>
  <si>
    <t>BIWW.06012010</t>
  </si>
  <si>
    <t>BIWW.06012011</t>
  </si>
  <si>
    <t>BIWW.06012015</t>
  </si>
  <si>
    <t>BIWW.06012016</t>
  </si>
  <si>
    <t>BIWW.06012020</t>
  </si>
  <si>
    <t>BIWW.06012021</t>
  </si>
  <si>
    <t>BIWW.06014010</t>
  </si>
  <si>
    <t>BIWW.06014011</t>
  </si>
  <si>
    <t>BIWW.06014015</t>
  </si>
  <si>
    <t>BIWW.06014016</t>
  </si>
  <si>
    <t>BIWW.06014020</t>
  </si>
  <si>
    <t>BIWW.06014021</t>
  </si>
  <si>
    <t>BIWW.06016010</t>
  </si>
  <si>
    <t>BIWW.06016011</t>
  </si>
  <si>
    <t>BIWW.06016015</t>
  </si>
  <si>
    <t>BIWW.06016016</t>
  </si>
  <si>
    <t>BIWW.06016020</t>
  </si>
  <si>
    <t>BIWW.06016021</t>
  </si>
  <si>
    <t>BIWW.06018010</t>
  </si>
  <si>
    <t>BIWW.06018011</t>
  </si>
  <si>
    <t>BIWW.06018015</t>
  </si>
  <si>
    <t>BIWW.06018016</t>
  </si>
  <si>
    <t>BIWW.06018020</t>
  </si>
  <si>
    <t>BIWW.06018021</t>
  </si>
  <si>
    <t>BIWW.06020010</t>
  </si>
  <si>
    <t>BIWW.06020011</t>
  </si>
  <si>
    <t>BIWW.06020015</t>
  </si>
  <si>
    <t>BIWW.06020016</t>
  </si>
  <si>
    <t>BIWW.06020020</t>
  </si>
  <si>
    <t>BIWW.06020021</t>
  </si>
  <si>
    <t>BIWW.06022010</t>
  </si>
  <si>
    <t>BIWW.06022011</t>
  </si>
  <si>
    <t>BIWW.06022015</t>
  </si>
  <si>
    <t>BIWW.06022016</t>
  </si>
  <si>
    <t>BIWW.06022020</t>
  </si>
  <si>
    <t>BIWW.06022021</t>
  </si>
  <si>
    <t>BIWW.06024010</t>
  </si>
  <si>
    <t>BIWW.06024011</t>
  </si>
  <si>
    <t>BIWW.06024015</t>
  </si>
  <si>
    <t>BIWW.06024016</t>
  </si>
  <si>
    <t>BIWW.06024020</t>
  </si>
  <si>
    <t>BIWW.06024021</t>
  </si>
  <si>
    <t>BIWW.06026010</t>
  </si>
  <si>
    <t>BIWW.06026011</t>
  </si>
  <si>
    <t>BIWW.06026015</t>
  </si>
  <si>
    <t>BIWW.06026016</t>
  </si>
  <si>
    <t>BIWW.06026020</t>
  </si>
  <si>
    <t>BIWW.06026021</t>
  </si>
  <si>
    <t>BIWW.06028010</t>
  </si>
  <si>
    <t>BIWW.06028011</t>
  </si>
  <si>
    <t>BIWW.06028015</t>
  </si>
  <si>
    <t>BIWW.06028016</t>
  </si>
  <si>
    <t>BIWW.06028020</t>
  </si>
  <si>
    <t>BIWW.06028021</t>
  </si>
  <si>
    <t>BIWW.06030010</t>
  </si>
  <si>
    <t>BIWW.06030011</t>
  </si>
  <si>
    <t>BIWW.06030015</t>
  </si>
  <si>
    <t>BIWW.06030016</t>
  </si>
  <si>
    <t>BIWW.06030020</t>
  </si>
  <si>
    <t>BIWW.06030021</t>
  </si>
  <si>
    <t>BIWW.07004010</t>
  </si>
  <si>
    <t>BIWW.07004011</t>
  </si>
  <si>
    <t>BIWW.07004015</t>
  </si>
  <si>
    <t>BIWW.07004016</t>
  </si>
  <si>
    <t>BIWW.07004020</t>
  </si>
  <si>
    <t>BIWW.07004021</t>
  </si>
  <si>
    <t>BIWW.07005010</t>
  </si>
  <si>
    <t>BIWW.07005011</t>
  </si>
  <si>
    <t>BIWW.07005015</t>
  </si>
  <si>
    <t>BIWW.07005016</t>
  </si>
  <si>
    <t>BIWW.07005020</t>
  </si>
  <si>
    <t>BIWW.07005021</t>
  </si>
  <si>
    <t>BIWW.07006010</t>
  </si>
  <si>
    <t>BIWW.07006011</t>
  </si>
  <si>
    <t>BIWW.07006015</t>
  </si>
  <si>
    <t>BIWW.07006016</t>
  </si>
  <si>
    <t>BIWW.07006020</t>
  </si>
  <si>
    <t>BIWW.07006021</t>
  </si>
  <si>
    <t>BIWW.07007010</t>
  </si>
  <si>
    <t>BIWW.07007011</t>
  </si>
  <si>
    <t>BIWW.07007015</t>
  </si>
  <si>
    <t>BIWW.07007016</t>
  </si>
  <si>
    <t>BIWW.07007020</t>
  </si>
  <si>
    <t>BIWW.07007021</t>
  </si>
  <si>
    <t>BIWW.07008010</t>
  </si>
  <si>
    <t>BIWW.07008011</t>
  </si>
  <si>
    <t>BIWW.07008015</t>
  </si>
  <si>
    <t>BIWW.07008016</t>
  </si>
  <si>
    <t>BIWW.07008020</t>
  </si>
  <si>
    <t>BIWW.07008021</t>
  </si>
  <si>
    <t>BIWW.07009010</t>
  </si>
  <si>
    <t>BIWW.07009011</t>
  </si>
  <si>
    <t>BIWW.07009015</t>
  </si>
  <si>
    <t>BIWW.07009016</t>
  </si>
  <si>
    <t>BIWW.07009020</t>
  </si>
  <si>
    <t>BIWW.07009021</t>
  </si>
  <si>
    <t>BIWW.07010010</t>
  </si>
  <si>
    <t>BIWW.07010011</t>
  </si>
  <si>
    <t>BIWW.07010015</t>
  </si>
  <si>
    <t>BIWW.07010016</t>
  </si>
  <si>
    <t>BIWW.07010020</t>
  </si>
  <si>
    <t>BIWW.07010021</t>
  </si>
  <si>
    <t>BIWW.07011010</t>
  </si>
  <si>
    <t>BIWW.07011011</t>
  </si>
  <si>
    <t>BIWW.07011015</t>
  </si>
  <si>
    <t>BIWW.07011016</t>
  </si>
  <si>
    <t>BIWW.07011020</t>
  </si>
  <si>
    <t>BIWW.07011021</t>
  </si>
  <si>
    <t>BIWW.07012010</t>
  </si>
  <si>
    <t>BIWW.07012011</t>
  </si>
  <si>
    <t>BIWW.07012015</t>
  </si>
  <si>
    <t>BIWW.07012016</t>
  </si>
  <si>
    <t>BIWW.07012020</t>
  </si>
  <si>
    <t>BIWW.07012021</t>
  </si>
  <si>
    <t>BIWW.07014010</t>
  </si>
  <si>
    <t>BIWW.07014011</t>
  </si>
  <si>
    <t>BIWW.07014015</t>
  </si>
  <si>
    <t>BIWW.07014016</t>
  </si>
  <si>
    <t>BIWW.07014020</t>
  </si>
  <si>
    <t>BIWW.07014021</t>
  </si>
  <si>
    <t>BIWW.07016010</t>
  </si>
  <si>
    <t>BIWW.07016011</t>
  </si>
  <si>
    <t>BIWW.07016015</t>
  </si>
  <si>
    <t>BIWW.07016016</t>
  </si>
  <si>
    <t>BIWW.07016020</t>
  </si>
  <si>
    <t>BIWW.07016021</t>
  </si>
  <si>
    <t>BIWW.07018010</t>
  </si>
  <si>
    <t>BIWW.07018011</t>
  </si>
  <si>
    <t>BIWW.07018015</t>
  </si>
  <si>
    <t>BIWW.07018016</t>
  </si>
  <si>
    <t>BIWW.07018020</t>
  </si>
  <si>
    <t>BIWW.07018021</t>
  </si>
  <si>
    <t>BIWW.07020010</t>
  </si>
  <si>
    <t>BIWW.07020011</t>
  </si>
  <si>
    <t>BIWW.07020015</t>
  </si>
  <si>
    <t>BIWW.07020016</t>
  </si>
  <si>
    <t>BIWW.07020020</t>
  </si>
  <si>
    <t>BIWW.07020021</t>
  </si>
  <si>
    <t>BIWW.07022010</t>
  </si>
  <si>
    <t>BIWW.07022011</t>
  </si>
  <si>
    <t>BIWW.07022015</t>
  </si>
  <si>
    <t>BIWW.07022016</t>
  </si>
  <si>
    <t>BIWW.07022020</t>
  </si>
  <si>
    <t>BIWW.07022021</t>
  </si>
  <si>
    <t>BIWW.07024010</t>
  </si>
  <si>
    <t>BIWW.07024011</t>
  </si>
  <si>
    <t>BIWW.07024015</t>
  </si>
  <si>
    <t>BIWW.07024016</t>
  </si>
  <si>
    <t>BIWW.07024020</t>
  </si>
  <si>
    <t>BIWW.07024021</t>
  </si>
  <si>
    <t>BIWW.07026010</t>
  </si>
  <si>
    <t>BIWW.07026011</t>
  </si>
  <si>
    <t>BIWW.07026015</t>
  </si>
  <si>
    <t>BIWW.07026016</t>
  </si>
  <si>
    <t>BIWW.07026020</t>
  </si>
  <si>
    <t>BIWW.07026021</t>
  </si>
  <si>
    <t>BIWW.07028010</t>
  </si>
  <si>
    <t>BIWW.07028011</t>
  </si>
  <si>
    <t>BIWW.07028015</t>
  </si>
  <si>
    <t>BIWW.07028016</t>
  </si>
  <si>
    <t>BIWW.07028020</t>
  </si>
  <si>
    <t>BIWW.07028021</t>
  </si>
  <si>
    <t>BIWW.07030010</t>
  </si>
  <si>
    <t>BIWW.07030011</t>
  </si>
  <si>
    <t>BIWW.07030015</t>
  </si>
  <si>
    <t>BIWW.07030016</t>
  </si>
  <si>
    <t>BIWW.07030020</t>
  </si>
  <si>
    <t>BIWW.07030021</t>
  </si>
  <si>
    <t>BIWW.09004010</t>
  </si>
  <si>
    <t>BIWW.09004011</t>
  </si>
  <si>
    <t>BIWW.09004015</t>
  </si>
  <si>
    <t>BIWW.09004016</t>
  </si>
  <si>
    <t>BIWW.09004020</t>
  </si>
  <si>
    <t>BIWW.09004021</t>
  </si>
  <si>
    <t>BIWW.09005010</t>
  </si>
  <si>
    <t>BIWW.09005011</t>
  </si>
  <si>
    <t>BIWW.09005015</t>
  </si>
  <si>
    <t>BIWW.09005016</t>
  </si>
  <si>
    <t>BIWW.09005020</t>
  </si>
  <si>
    <t>BIWW.09005021</t>
  </si>
  <si>
    <t>BIWW.09006010</t>
  </si>
  <si>
    <t>BIWW.09006011</t>
  </si>
  <si>
    <t>BIWW.09006015</t>
  </si>
  <si>
    <t>BIWW.09006016</t>
  </si>
  <si>
    <t>BIWW.09006020</t>
  </si>
  <si>
    <t>BIWW.09006021</t>
  </si>
  <si>
    <t>BIWW.09007010</t>
  </si>
  <si>
    <t>BIWW.09007011</t>
  </si>
  <si>
    <t>BIWW.09007015</t>
  </si>
  <si>
    <t>BIWW.09007016</t>
  </si>
  <si>
    <t>BIWW.09007020</t>
  </si>
  <si>
    <t>BIWW.09007021</t>
  </si>
  <si>
    <t>BIWW.09008010</t>
  </si>
  <si>
    <t>BIWW.09008011</t>
  </si>
  <si>
    <t>BIWW.09008015</t>
  </si>
  <si>
    <t>BIWW.09008016</t>
  </si>
  <si>
    <t>BIWW.09008020</t>
  </si>
  <si>
    <t>BIWW.09008021</t>
  </si>
  <si>
    <t>BIWW.09009010</t>
  </si>
  <si>
    <t>BIWW.09009011</t>
  </si>
  <si>
    <t>BIWW.09009015</t>
  </si>
  <si>
    <t>BIWW.09009016</t>
  </si>
  <si>
    <t>BIWW.09009020</t>
  </si>
  <si>
    <t>BIWW.09009021</t>
  </si>
  <si>
    <t>BIWW.09010010</t>
  </si>
  <si>
    <t>BIWW.09010011</t>
  </si>
  <si>
    <t>BIWW.09010015</t>
  </si>
  <si>
    <t>BIWW.09010016</t>
  </si>
  <si>
    <t>BIWW.09010020</t>
  </si>
  <si>
    <t>BIWW.09010021</t>
  </si>
  <si>
    <t>BIWW.09011010</t>
  </si>
  <si>
    <t>BIWW.09011011</t>
  </si>
  <si>
    <t>BIWW.09011015</t>
  </si>
  <si>
    <t>BIWW.09011016</t>
  </si>
  <si>
    <t>BIWW.09011020</t>
  </si>
  <si>
    <t>BIWW.09011021</t>
  </si>
  <si>
    <t>BIWW.09012010</t>
  </si>
  <si>
    <t>BIWW.09012011</t>
  </si>
  <si>
    <t>BIWW.09012015</t>
  </si>
  <si>
    <t>BIWW.09012016</t>
  </si>
  <si>
    <t>BIWW.09012020</t>
  </si>
  <si>
    <t>BIWW.09012021</t>
  </si>
  <si>
    <t>BIWW.09014010</t>
  </si>
  <si>
    <t>BIWW.09014011</t>
  </si>
  <si>
    <t>BIWW.09014015</t>
  </si>
  <si>
    <t>BIWW.09014016</t>
  </si>
  <si>
    <t>BIWW.09014020</t>
  </si>
  <si>
    <t>BIWW.09014021</t>
  </si>
  <si>
    <t>BIWW.09016010</t>
  </si>
  <si>
    <t>BIWW.09016011</t>
  </si>
  <si>
    <t>BIWW.09016015</t>
  </si>
  <si>
    <t>BIWW.09016016</t>
  </si>
  <si>
    <t>BIWW.09016020</t>
  </si>
  <si>
    <t>BIWW.09016021</t>
  </si>
  <si>
    <t>BIWW.09018010</t>
  </si>
  <si>
    <t>BIWW.09018011</t>
  </si>
  <si>
    <t>BIWW.09018015</t>
  </si>
  <si>
    <t>BIWW.09018016</t>
  </si>
  <si>
    <t>BIWW.09018020</t>
  </si>
  <si>
    <t>BIWW.09018021</t>
  </si>
  <si>
    <t>BIWW.09020010</t>
  </si>
  <si>
    <t>BIWW.09020011</t>
  </si>
  <si>
    <t>BIWW.09020015</t>
  </si>
  <si>
    <t>BIWW.09020016</t>
  </si>
  <si>
    <t>BIWW.09020020</t>
  </si>
  <si>
    <t>BIWW.09020021</t>
  </si>
  <si>
    <t>BIWW.09022010</t>
  </si>
  <si>
    <t>BIWW.09022011</t>
  </si>
  <si>
    <t>BIWW.09022015</t>
  </si>
  <si>
    <t>BIWW.09022016</t>
  </si>
  <si>
    <t>BIWW.09022020</t>
  </si>
  <si>
    <t>BIWW.09022021</t>
  </si>
  <si>
    <t>BIWW.09024010</t>
  </si>
  <si>
    <t>BIWW.09024011</t>
  </si>
  <si>
    <t>BIWW.09024015</t>
  </si>
  <si>
    <t>BIWW.09024016</t>
  </si>
  <si>
    <t>BIWW.09024020</t>
  </si>
  <si>
    <t>BIWW.09024021</t>
  </si>
  <si>
    <t>BIWW.09026010</t>
  </si>
  <si>
    <t>BIWW.09026011</t>
  </si>
  <si>
    <t>BIWW.09026015</t>
  </si>
  <si>
    <t>BIWW.09026016</t>
  </si>
  <si>
    <t>BIWW.09026020</t>
  </si>
  <si>
    <t>BIWW.09026021</t>
  </si>
  <si>
    <t>BIWW.09028010</t>
  </si>
  <si>
    <t>BIWW.09028011</t>
  </si>
  <si>
    <t>BIWW.09028015</t>
  </si>
  <si>
    <t>BIWW.09028016</t>
  </si>
  <si>
    <t>BIWW.09028020</t>
  </si>
  <si>
    <t>BIWW.09028021</t>
  </si>
  <si>
    <t>BIWW.09030010</t>
  </si>
  <si>
    <t>BIWW.09030011</t>
  </si>
  <si>
    <t>BIWW.09030015</t>
  </si>
  <si>
    <t>BIWW.09030016</t>
  </si>
  <si>
    <t>BIWW.09030020</t>
  </si>
  <si>
    <t>BIWW.09030021</t>
  </si>
  <si>
    <t>Knockonwood</t>
  </si>
  <si>
    <t>KNOW.05506010</t>
  </si>
  <si>
    <t>KNOW.05506011</t>
  </si>
  <si>
    <t>KNOW.05506015</t>
  </si>
  <si>
    <t>KNOW.05506016</t>
  </si>
  <si>
    <t>KNOW.05508010</t>
  </si>
  <si>
    <t>KNOW.05508011</t>
  </si>
  <si>
    <t>KNOW.05508015</t>
  </si>
  <si>
    <t>KNOW.05508016</t>
  </si>
  <si>
    <t>KNOW.05510010</t>
  </si>
  <si>
    <t>KNOW.05510011</t>
  </si>
  <si>
    <t>KNOW.05510015</t>
  </si>
  <si>
    <t>KNOW.05510016</t>
  </si>
  <si>
    <t>KNOW.05512010</t>
  </si>
  <si>
    <t>KNOW.05512011</t>
  </si>
  <si>
    <t>KNOW.05512015</t>
  </si>
  <si>
    <t>KNOW.05512016</t>
  </si>
  <si>
    <t>KNOW.05514010</t>
  </si>
  <si>
    <t>KNOW.05514011</t>
  </si>
  <si>
    <t>KNOW.05514015</t>
  </si>
  <si>
    <t>KNOW.05514016</t>
  </si>
  <si>
    <t>Freestanding</t>
  </si>
  <si>
    <t>Knockonwood DBE</t>
  </si>
  <si>
    <t>KNUF.02111015/DBE</t>
  </si>
  <si>
    <t>KNUF.02113015/DBE</t>
  </si>
  <si>
    <t>KNUF.02117015/DBE</t>
  </si>
  <si>
    <t>KNUF.02121015/DBE</t>
  </si>
  <si>
    <t>Maxi</t>
  </si>
  <si>
    <t>MAXW.04406311/FT</t>
  </si>
  <si>
    <t>MAXW.04406311/WF</t>
  </si>
  <si>
    <t>MAXW.04406311/WT</t>
  </si>
  <si>
    <t>MAXW.04406316/FT</t>
  </si>
  <si>
    <t>MAXW.04406316/WF</t>
  </si>
  <si>
    <t>MAXW.04406316/WT</t>
  </si>
  <si>
    <t>MAXW.04406321/FT</t>
  </si>
  <si>
    <t>MAXW.04406321/WF</t>
  </si>
  <si>
    <t>MAXW.04406321/WT</t>
  </si>
  <si>
    <t>MAXW.04408311/FT</t>
  </si>
  <si>
    <t>MAXW.04408311/WF</t>
  </si>
  <si>
    <t>MAXW.04408311/WT</t>
  </si>
  <si>
    <t>MAXW.04408316/FT</t>
  </si>
  <si>
    <t>MAXW.04408316/WF</t>
  </si>
  <si>
    <t>MAXW.04408316/WT</t>
  </si>
  <si>
    <t>MAXW.04408321/FT</t>
  </si>
  <si>
    <t>MAXW.04408321/WF</t>
  </si>
  <si>
    <t>MAXW.04408321/WT</t>
  </si>
  <si>
    <t>MAXW.04410311/FT</t>
  </si>
  <si>
    <t>MAXW.04410311/WF</t>
  </si>
  <si>
    <t>MAXW.04410311/WT</t>
  </si>
  <si>
    <t>MAXW.04410316/FT</t>
  </si>
  <si>
    <t>MAXW.04410316/WF</t>
  </si>
  <si>
    <t>MAXW.04410316/WT</t>
  </si>
  <si>
    <t>MAXW.04410321/FT</t>
  </si>
  <si>
    <t>MAXW.04410321/WF</t>
  </si>
  <si>
    <t>MAXW.04410321/WT</t>
  </si>
  <si>
    <t>MAXW.04412311/FT</t>
  </si>
  <si>
    <t>MAXW.04412311/WF</t>
  </si>
  <si>
    <t>MAXW.04412311/WT</t>
  </si>
  <si>
    <t>MAXW.04412316/FT</t>
  </si>
  <si>
    <t>MAXW.04412316/WF</t>
  </si>
  <si>
    <t>MAXW.04412316/WT</t>
  </si>
  <si>
    <t>MAXW.04412321/FT</t>
  </si>
  <si>
    <t>MAXW.04412321/WF</t>
  </si>
  <si>
    <t>MAXW.04412321/WT</t>
  </si>
  <si>
    <t>MAXW.04414311/FT</t>
  </si>
  <si>
    <t>MAXW.04414311/WF</t>
  </si>
  <si>
    <t>MAXW.04414311/WT</t>
  </si>
  <si>
    <t>MAXW.04414316/FT</t>
  </si>
  <si>
    <t>MAXW.04414316/WF</t>
  </si>
  <si>
    <t>MAXW.04414316/WT</t>
  </si>
  <si>
    <t>MAXW.04414321/FT</t>
  </si>
  <si>
    <t>MAXW.04414321/WF</t>
  </si>
  <si>
    <t>MAXW.04414321/WT</t>
  </si>
  <si>
    <t>MAXW.04416311/FT</t>
  </si>
  <si>
    <t>MAXW.04416311/WF</t>
  </si>
  <si>
    <t>MAXW.04416311/WT</t>
  </si>
  <si>
    <t>MAXW.04416316/FT</t>
  </si>
  <si>
    <t>MAXW.04416316/WF</t>
  </si>
  <si>
    <t>MAXW.04416316/WT</t>
  </si>
  <si>
    <t>MAXW.04416321/FT</t>
  </si>
  <si>
    <t>MAXW.04416321/WF</t>
  </si>
  <si>
    <t>MAXW.04416321/WT</t>
  </si>
  <si>
    <t>MAXW.04418311/FT</t>
  </si>
  <si>
    <t>MAXW.04418311/WF</t>
  </si>
  <si>
    <t>MAXW.04418311/WT</t>
  </si>
  <si>
    <t>MAXW.04418316/FT</t>
  </si>
  <si>
    <t>MAXW.04418316/WF</t>
  </si>
  <si>
    <t>MAXW.04418316/WT</t>
  </si>
  <si>
    <t>MAXW.04418321/FT</t>
  </si>
  <si>
    <t>MAXW.04418321/WF</t>
  </si>
  <si>
    <t>MAXW.04418321/WT</t>
  </si>
  <si>
    <t>MAXW.04420311/FT</t>
  </si>
  <si>
    <t>MAXW.04420311/WF</t>
  </si>
  <si>
    <t>MAXW.04420311/WT</t>
  </si>
  <si>
    <t>MAXW.04420316/FT</t>
  </si>
  <si>
    <t>MAXW.04420316/WF</t>
  </si>
  <si>
    <t>MAXW.04420316/WT</t>
  </si>
  <si>
    <t>MAXW.04420321/FT</t>
  </si>
  <si>
    <t>MAXW.04420321/WF</t>
  </si>
  <si>
    <t>MAXW.04420321/WT</t>
  </si>
  <si>
    <t>MAXW.05906311/FF</t>
  </si>
  <si>
    <t>MAXW.05906311/FT</t>
  </si>
  <si>
    <t>MAXW.05906311/WF</t>
  </si>
  <si>
    <t>MAXW.05906311/WT</t>
  </si>
  <si>
    <t>MAXW.05906316/FF</t>
  </si>
  <si>
    <t>MAXW.05906316/FT</t>
  </si>
  <si>
    <t>MAXW.05906316/WF</t>
  </si>
  <si>
    <t>MAXW.05906316/WT</t>
  </si>
  <si>
    <t>MAXW.05906321/FF</t>
  </si>
  <si>
    <t>MAXW.05906321/FT</t>
  </si>
  <si>
    <t>MAXW.05906321/WF</t>
  </si>
  <si>
    <t>MAXW.05906321/WT</t>
  </si>
  <si>
    <t>MAXW.05908311/FF</t>
  </si>
  <si>
    <t>MAXW.05908311/FT</t>
  </si>
  <si>
    <t>MAXW.05908311/WF</t>
  </si>
  <si>
    <t>MAXW.05908311/WT</t>
  </si>
  <si>
    <t>MAXW.05908316/FF</t>
  </si>
  <si>
    <t>MAXW.05908316/FT</t>
  </si>
  <si>
    <t>MAXW.05908316/WF</t>
  </si>
  <si>
    <t>MAXW.05908316/WT</t>
  </si>
  <si>
    <t>MAXW.05908321/FF</t>
  </si>
  <si>
    <t>MAXW.05908321/FT</t>
  </si>
  <si>
    <t>MAXW.05908321/WF</t>
  </si>
  <si>
    <t>MAXW.05908321/WT</t>
  </si>
  <si>
    <t>MAXW.05910311/FF</t>
  </si>
  <si>
    <t>MAXW.05910311/FT</t>
  </si>
  <si>
    <t>MAXW.05910311/WF</t>
  </si>
  <si>
    <t>MAXW.05910311/WT</t>
  </si>
  <si>
    <t>MAXW.05910316/FF</t>
  </si>
  <si>
    <t>MAXW.05910316/FT</t>
  </si>
  <si>
    <t>MAXW.05910316/WF</t>
  </si>
  <si>
    <t>MAXW.05910316/WT</t>
  </si>
  <si>
    <t>MAXW.05910321/FF</t>
  </si>
  <si>
    <t>MAXW.05910321/FT</t>
  </si>
  <si>
    <t>MAXW.05910321/WF</t>
  </si>
  <si>
    <t>MAXW.05910321/WT</t>
  </si>
  <si>
    <t>MAXW.05912311/FF</t>
  </si>
  <si>
    <t>MAXW.05912311/FT</t>
  </si>
  <si>
    <t>MAXW.05912311/WF</t>
  </si>
  <si>
    <t>MAXW.05912311/WT</t>
  </si>
  <si>
    <t>MAXW.05912316/FF</t>
  </si>
  <si>
    <t>MAXW.05912316/FT</t>
  </si>
  <si>
    <t>MAXW.05912316/WF</t>
  </si>
  <si>
    <t>MAXW.05912316/WT</t>
  </si>
  <si>
    <t>MAXW.05912321/FF</t>
  </si>
  <si>
    <t>MAXW.05912321/FT</t>
  </si>
  <si>
    <t>MAXW.05912321/WF</t>
  </si>
  <si>
    <t>MAXW.05912321/WT</t>
  </si>
  <si>
    <t>MAXW.05914311/FF</t>
  </si>
  <si>
    <t>MAXW.05914311/FT</t>
  </si>
  <si>
    <t>MAXW.05914311/WF</t>
  </si>
  <si>
    <t>MAXW.05914311/WT</t>
  </si>
  <si>
    <t>MAXW.05914316/FF</t>
  </si>
  <si>
    <t>MAXW.05914316/FT</t>
  </si>
  <si>
    <t>MAXW.05914316/WF</t>
  </si>
  <si>
    <t>MAXW.05914316/WT</t>
  </si>
  <si>
    <t>MAXW.05914321/FF</t>
  </si>
  <si>
    <t>MAXW.05914321/FT</t>
  </si>
  <si>
    <t>MAXW.05914321/WF</t>
  </si>
  <si>
    <t>MAXW.05914321/WT</t>
  </si>
  <si>
    <t>MAXW.05916311/FF</t>
  </si>
  <si>
    <t>MAXW.05916311/FT</t>
  </si>
  <si>
    <t>MAXW.05916311/WF</t>
  </si>
  <si>
    <t>MAXW.05916311/WT</t>
  </si>
  <si>
    <t>MAXW.05916316/FF</t>
  </si>
  <si>
    <t>MAXW.05916316/FT</t>
  </si>
  <si>
    <t>MAXW.05916316/WF</t>
  </si>
  <si>
    <t>MAXW.05916316/WT</t>
  </si>
  <si>
    <t>MAXW.05916321/FF</t>
  </si>
  <si>
    <t>MAXW.05916321/FT</t>
  </si>
  <si>
    <t>MAXW.05916321/WF</t>
  </si>
  <si>
    <t>MAXW.05916321/WT</t>
  </si>
  <si>
    <t>MAXW.05918311/FF</t>
  </si>
  <si>
    <t>MAXW.05918311/FT</t>
  </si>
  <si>
    <t>MAXW.05918311/WF</t>
  </si>
  <si>
    <t>MAXW.05918311/WT</t>
  </si>
  <si>
    <t>MAXW.05918316/FF</t>
  </si>
  <si>
    <t>MAXW.05918316/FT</t>
  </si>
  <si>
    <t>MAXW.05918316/WF</t>
  </si>
  <si>
    <t>MAXW.05918316/WT</t>
  </si>
  <si>
    <t>MAXW.05918321/FF</t>
  </si>
  <si>
    <t>MAXW.05918321/FT</t>
  </si>
  <si>
    <t>MAXW.05918321/WF</t>
  </si>
  <si>
    <t>MAXW.05918321/WT</t>
  </si>
  <si>
    <t>MAXW.05920311/FF</t>
  </si>
  <si>
    <t>MAXW.05920311/FT</t>
  </si>
  <si>
    <t>MAXW.05920311/WF</t>
  </si>
  <si>
    <t>MAXW.05920311/WT</t>
  </si>
  <si>
    <t>MAXW.05920316/FF</t>
  </si>
  <si>
    <t>MAXW.05920316/FT</t>
  </si>
  <si>
    <t>MAXW.05920316/WF</t>
  </si>
  <si>
    <t>MAXW.05920316/WT</t>
  </si>
  <si>
    <t>MAXW.05920321/FF</t>
  </si>
  <si>
    <t>MAXW.05920321/FT</t>
  </si>
  <si>
    <t>MAXW.05920321/WF</t>
  </si>
  <si>
    <t>MAXW.05920321/WT</t>
  </si>
  <si>
    <t>MAXW.07406311/FF</t>
  </si>
  <si>
    <t>MAXW.07406311/FT</t>
  </si>
  <si>
    <t>MAXW.07406311/WF</t>
  </si>
  <si>
    <t>MAXW.07406311/WT</t>
  </si>
  <si>
    <t>MAXW.07406316/FF</t>
  </si>
  <si>
    <t>MAXW.07406316/FT</t>
  </si>
  <si>
    <t>MAXW.07406316/WF</t>
  </si>
  <si>
    <t>MAXW.07406316/WT</t>
  </si>
  <si>
    <t>MAXW.07406321/FF</t>
  </si>
  <si>
    <t>MAXW.07406321/FT</t>
  </si>
  <si>
    <t>MAXW.07406321/WF</t>
  </si>
  <si>
    <t>MAXW.07406321/WT</t>
  </si>
  <si>
    <t>MAXW.07408311/FF</t>
  </si>
  <si>
    <t>MAXW.07408311/FT</t>
  </si>
  <si>
    <t>MAXW.07408311/WF</t>
  </si>
  <si>
    <t>MAXW.07408311/WT</t>
  </si>
  <si>
    <t>MAXW.07408316/FF</t>
  </si>
  <si>
    <t>MAXW.07408316/FT</t>
  </si>
  <si>
    <t>MAXW.07408316/WF</t>
  </si>
  <si>
    <t>MAXW.07408316/WT</t>
  </si>
  <si>
    <t>MAXW.07408321/FF</t>
  </si>
  <si>
    <t>MAXW.07408321/FT</t>
  </si>
  <si>
    <t>MAXW.07408321/WF</t>
  </si>
  <si>
    <t>MAXW.07408321/WT</t>
  </si>
  <si>
    <t>MAXW.07410311/FF</t>
  </si>
  <si>
    <t>MAXW.07410311/FT</t>
  </si>
  <si>
    <t>MAXW.07410311/WF</t>
  </si>
  <si>
    <t>MAXW.07410311/WT</t>
  </si>
  <si>
    <t>MAXW.07410316/FF</t>
  </si>
  <si>
    <t>MAXW.07410316/FT</t>
  </si>
  <si>
    <t>MAXW.07410316/WF</t>
  </si>
  <si>
    <t>MAXW.07410316/WT</t>
  </si>
  <si>
    <t>MAXW.07410321/FF</t>
  </si>
  <si>
    <t>MAXW.07410321/FT</t>
  </si>
  <si>
    <t>MAXW.07410321/WF</t>
  </si>
  <si>
    <t>MAXW.07410321/WT</t>
  </si>
  <si>
    <t>MAXW.07412311/FF</t>
  </si>
  <si>
    <t>MAXW.07412311/FT</t>
  </si>
  <si>
    <t>MAXW.07412311/WF</t>
  </si>
  <si>
    <t>MAXW.07412311/WT</t>
  </si>
  <si>
    <t>MAXW.07412316/FF</t>
  </si>
  <si>
    <t>MAXW.07412316/FT</t>
  </si>
  <si>
    <t>MAXW.07412316/WF</t>
  </si>
  <si>
    <t>MAXW.07412316/WT</t>
  </si>
  <si>
    <t>MAXW.07412321/FF</t>
  </si>
  <si>
    <t>MAXW.07412321/FT</t>
  </si>
  <si>
    <t>MAXW.07412321/WF</t>
  </si>
  <si>
    <t>MAXW.07412321/WT</t>
  </si>
  <si>
    <t>MAXW.07414311/FF</t>
  </si>
  <si>
    <t>MAXW.07414311/FT</t>
  </si>
  <si>
    <t>MAXW.07414311/WF</t>
  </si>
  <si>
    <t>MAXW.07414311/WT</t>
  </si>
  <si>
    <t>MAXW.07414316/FF</t>
  </si>
  <si>
    <t>MAXW.07414316/FT</t>
  </si>
  <si>
    <t>MAXW.07414316/WF</t>
  </si>
  <si>
    <t>MAXW.07414316/WT</t>
  </si>
  <si>
    <t>MAXW.07414321/FF</t>
  </si>
  <si>
    <t>MAXW.07414321/FT</t>
  </si>
  <si>
    <t>MAXW.07414321/WF</t>
  </si>
  <si>
    <t>MAXW.07414321/WT</t>
  </si>
  <si>
    <t>MAXW.07416311/FF</t>
  </si>
  <si>
    <t>MAXW.07416311/FT</t>
  </si>
  <si>
    <t>MAXW.07416311/WF</t>
  </si>
  <si>
    <t>MAXW.07416311/WT</t>
  </si>
  <si>
    <t>MAXW.07416316/FF</t>
  </si>
  <si>
    <t>MAXW.07416316/FT</t>
  </si>
  <si>
    <t>MAXW.07416316/WF</t>
  </si>
  <si>
    <t>MAXW.07416316/WT</t>
  </si>
  <si>
    <t>MAXW.07416321/FF</t>
  </si>
  <si>
    <t>MAXW.07416321/FT</t>
  </si>
  <si>
    <t>MAXW.07416321/WF</t>
  </si>
  <si>
    <t>MAXW.07416321/WT</t>
  </si>
  <si>
    <t>MAXW.07418311/FF</t>
  </si>
  <si>
    <t>MAXW.07418311/FT</t>
  </si>
  <si>
    <t>MAXW.07418311/WF</t>
  </si>
  <si>
    <t>MAXW.07418311/WT</t>
  </si>
  <si>
    <t>MAXW.07418316/FF</t>
  </si>
  <si>
    <t>MAXW.07418316/FT</t>
  </si>
  <si>
    <t>MAXW.07418316/WF</t>
  </si>
  <si>
    <t>MAXW.07418316/WT</t>
  </si>
  <si>
    <t>MAXW.07418321/FF</t>
  </si>
  <si>
    <t>MAXW.07418321/FT</t>
  </si>
  <si>
    <t>MAXW.07418321/WF</t>
  </si>
  <si>
    <t>MAXW.07418321/WT</t>
  </si>
  <si>
    <t>MAXW.07420311/FF</t>
  </si>
  <si>
    <t>MAXW.07420311/FT</t>
  </si>
  <si>
    <t>MAXW.07420311/WF</t>
  </si>
  <si>
    <t>MAXW.07420311/WT</t>
  </si>
  <si>
    <t>MAXW.07420316/FF</t>
  </si>
  <si>
    <t>MAXW.07420316/FT</t>
  </si>
  <si>
    <t>MAXW.07420316/WF</t>
  </si>
  <si>
    <t>MAXW.07420316/WT</t>
  </si>
  <si>
    <t>MAXW.07420321/FF</t>
  </si>
  <si>
    <t>MAXW.07420321/FT</t>
  </si>
  <si>
    <t>MAXW.07420321/WF</t>
  </si>
  <si>
    <t>MAXW.07420321/WT</t>
  </si>
  <si>
    <t>Mini Canal</t>
  </si>
  <si>
    <t>MICL.00907014/DNA</t>
  </si>
  <si>
    <t>MICL.00907018/DNA</t>
  </si>
  <si>
    <t>MICL.00907026/DNA</t>
  </si>
  <si>
    <t>MICL.00907034/DNA</t>
  </si>
  <si>
    <t>MICL.00907042/DNA</t>
  </si>
  <si>
    <t>MICL.00908014/DNA</t>
  </si>
  <si>
    <t>MICL.00908018/DNA</t>
  </si>
  <si>
    <t>MICL.00908026/DNA</t>
  </si>
  <si>
    <t>MICL.00908034/DNA</t>
  </si>
  <si>
    <t>MICL.00908042/DNA</t>
  </si>
  <si>
    <t>MICL.00909014/DNA</t>
  </si>
  <si>
    <t>MICL.00909018/DNA</t>
  </si>
  <si>
    <t>MICL.00909026/DNA</t>
  </si>
  <si>
    <t>MICL.00909034/DNA</t>
  </si>
  <si>
    <t>MICL.00909042/DNA</t>
  </si>
  <si>
    <t>MICL.00910014/DNA</t>
  </si>
  <si>
    <t>MICL.00910018/DNA</t>
  </si>
  <si>
    <t>MICL.00910026/DNA</t>
  </si>
  <si>
    <t>MICL.00910034/DNA</t>
  </si>
  <si>
    <t>MICL.00910042/DNA</t>
  </si>
  <si>
    <t>MICL.00911014/DNA</t>
  </si>
  <si>
    <t>MICL.00911018/DNA</t>
  </si>
  <si>
    <t>MICL.00911026/DNA</t>
  </si>
  <si>
    <t>MICL.00911034/DNA</t>
  </si>
  <si>
    <t>MICL.00911042/DNA</t>
  </si>
  <si>
    <t>MICL.00912014/DNA</t>
  </si>
  <si>
    <t>MICL.00912018/DNA</t>
  </si>
  <si>
    <t>MICL.00912026/DNA</t>
  </si>
  <si>
    <t>MICL.00912034/DNA</t>
  </si>
  <si>
    <t>MICL.00912042/DNA</t>
  </si>
  <si>
    <t>MICL.00913014/DNA</t>
  </si>
  <si>
    <t>MICL.00913018/DNA</t>
  </si>
  <si>
    <t>MICL.00913026/DNA</t>
  </si>
  <si>
    <t>MICL.00913034/DNA</t>
  </si>
  <si>
    <t>MICL.00913042/DNA</t>
  </si>
  <si>
    <t>MICL.00915014/DNA</t>
  </si>
  <si>
    <t>MICL.00915018/DNA</t>
  </si>
  <si>
    <t>MICL.00915026/DNA</t>
  </si>
  <si>
    <t>MICL.00915034/DNA</t>
  </si>
  <si>
    <t>MICL.00915042/DNA</t>
  </si>
  <si>
    <t>MICL.00917014/DNA</t>
  </si>
  <si>
    <t>MICL.00917018/DNA</t>
  </si>
  <si>
    <t>MICL.00917026/DNA</t>
  </si>
  <si>
    <t>MICL.00917034/DNA</t>
  </si>
  <si>
    <t>MICL.00917042/DNA</t>
  </si>
  <si>
    <t>MICL.00919014/DNA</t>
  </si>
  <si>
    <t>MICL.00919018/DNA</t>
  </si>
  <si>
    <t>MICL.00919026/DNA</t>
  </si>
  <si>
    <t>MICL.00919034/DNA</t>
  </si>
  <si>
    <t>MICL.00919042/DNA</t>
  </si>
  <si>
    <t>MICL.00921014/DNA</t>
  </si>
  <si>
    <t>MICL.00921018/DNA</t>
  </si>
  <si>
    <t>MICL.00921026/DNA</t>
  </si>
  <si>
    <t>MICL.00921034/DNA</t>
  </si>
  <si>
    <t>MICL.00921042/DNA</t>
  </si>
  <si>
    <t>MICL.00923014/DNA</t>
  </si>
  <si>
    <t>MICL.00923018/DNA</t>
  </si>
  <si>
    <t>MICL.00923026/DNA</t>
  </si>
  <si>
    <t>MICL.00923034/DNA</t>
  </si>
  <si>
    <t>MICL.00923042/DNA</t>
  </si>
  <si>
    <t>MICL.00925014/DNA</t>
  </si>
  <si>
    <t>MICL.00925018/DNA</t>
  </si>
  <si>
    <t>MICL.00925026/DNA</t>
  </si>
  <si>
    <t>MICL.00925034/DNA</t>
  </si>
  <si>
    <t>MICL.00925042/DNA</t>
  </si>
  <si>
    <t>MICL.00927014/DNA</t>
  </si>
  <si>
    <t>MICL.00927018/DNA</t>
  </si>
  <si>
    <t>MICL.00927026/DNA</t>
  </si>
  <si>
    <t>MICL.00927034/DNA</t>
  </si>
  <si>
    <t>MICL.00927042/DNA</t>
  </si>
  <si>
    <t>MICL.00929014/DNA</t>
  </si>
  <si>
    <t>MICL.00929018/DNA</t>
  </si>
  <si>
    <t>MICL.00929026/DNA</t>
  </si>
  <si>
    <t>MICL.00929034/DNA</t>
  </si>
  <si>
    <t>MICL.00929042/DNA</t>
  </si>
  <si>
    <t>MICL.00931014/DNA</t>
  </si>
  <si>
    <t>MICL.00931018/DNA</t>
  </si>
  <si>
    <t>MICL.00931026/DNA</t>
  </si>
  <si>
    <t>MICL.00931034/DNA</t>
  </si>
  <si>
    <t>MICL.00931042/DNA</t>
  </si>
  <si>
    <t>MICL.00933014/DNA</t>
  </si>
  <si>
    <t>MICL.00933018/DNA</t>
  </si>
  <si>
    <t>MICL.00933026/DNA</t>
  </si>
  <si>
    <t>MICL.00933034/DNA</t>
  </si>
  <si>
    <t>MICL.00933042/DNA</t>
  </si>
  <si>
    <t>MICL.00935014/DNA</t>
  </si>
  <si>
    <t>MICL.00935018/DNA</t>
  </si>
  <si>
    <t>MICL.00935026/DNA</t>
  </si>
  <si>
    <t>MICL.00935034/DNA</t>
  </si>
  <si>
    <t>MICL.00935042/DNA</t>
  </si>
  <si>
    <t>MICL.00937014/DNA</t>
  </si>
  <si>
    <t>MICL.00937018/DNA</t>
  </si>
  <si>
    <t>MICL.00937026/DNA</t>
  </si>
  <si>
    <t>MICL.00937034/DNA</t>
  </si>
  <si>
    <t>MICL.00937042/DNA</t>
  </si>
  <si>
    <t>MICL.00939014/DNA</t>
  </si>
  <si>
    <t>MICL.00939018/DNA</t>
  </si>
  <si>
    <t>MICL.00939026/DNA</t>
  </si>
  <si>
    <t>MICL.00939034/DNA</t>
  </si>
  <si>
    <t>MICL.00939042/DNA</t>
  </si>
  <si>
    <t>MICL.00941014/DNA</t>
  </si>
  <si>
    <t>MICL.00941018/DNA</t>
  </si>
  <si>
    <t>MICL.00941026/DNA</t>
  </si>
  <si>
    <t>MICL.00941034/DNA</t>
  </si>
  <si>
    <t>MICL.00941042/DNA</t>
  </si>
  <si>
    <t>MICL.00943014/DNA</t>
  </si>
  <si>
    <t>MICL.00943018/DNA</t>
  </si>
  <si>
    <t>MICL.00943026/DNA</t>
  </si>
  <si>
    <t>MICL.00943034/DNA</t>
  </si>
  <si>
    <t>MICL.00943042/DNA</t>
  </si>
  <si>
    <t>MICL.00945014/DNA</t>
  </si>
  <si>
    <t>MICL.00945018/DNA</t>
  </si>
  <si>
    <t>MICL.00945026/DNA</t>
  </si>
  <si>
    <t>MICL.00945034/DNA</t>
  </si>
  <si>
    <t>MICL.00945042/DNA</t>
  </si>
  <si>
    <t>MICL.00947014/DNA</t>
  </si>
  <si>
    <t>MICL.00947018/DNA</t>
  </si>
  <si>
    <t>MICL.00947026/DNA</t>
  </si>
  <si>
    <t>MICL.00947034/DNA</t>
  </si>
  <si>
    <t>MICL.00947042/DNA</t>
  </si>
  <si>
    <t>MICL.00949014/DNA</t>
  </si>
  <si>
    <t>MICL.00949018/DNA</t>
  </si>
  <si>
    <t>MICL.00949026/DNA</t>
  </si>
  <si>
    <t>MICL.00949034/DNA</t>
  </si>
  <si>
    <t>MICL.00949042/DNA</t>
  </si>
  <si>
    <t>MICL.01107014/DNA</t>
  </si>
  <si>
    <t>MICL.01107018/DNA</t>
  </si>
  <si>
    <t>MICL.01107026/DNA</t>
  </si>
  <si>
    <t>MICL.01107034/DNA</t>
  </si>
  <si>
    <t>MICL.01107042/DNA</t>
  </si>
  <si>
    <t>MICL.01108014/DNA</t>
  </si>
  <si>
    <t>MICL.01108018/DNA</t>
  </si>
  <si>
    <t>MICL.01108026/DNA</t>
  </si>
  <si>
    <t>MICL.01108034/DNA</t>
  </si>
  <si>
    <t>MICL.01108042/DNA</t>
  </si>
  <si>
    <t>MICL.01109014/DNA</t>
  </si>
  <si>
    <t>MICL.01109018/DNA</t>
  </si>
  <si>
    <t>MICL.01109026/DNA</t>
  </si>
  <si>
    <t>MICL.01109034/DNA</t>
  </si>
  <si>
    <t>MICL.01109042/DNA</t>
  </si>
  <si>
    <t>MICL.01110014/DNA</t>
  </si>
  <si>
    <t>MICL.01110018/DNA</t>
  </si>
  <si>
    <t>MICL.01110026/DNA</t>
  </si>
  <si>
    <t>MICL.01110034/DNA</t>
  </si>
  <si>
    <t>MICL.01110042/DNA</t>
  </si>
  <si>
    <t>MICL.01111014/DNA</t>
  </si>
  <si>
    <t>MICL.01111018/DNA</t>
  </si>
  <si>
    <t>MICL.01111026/DNA</t>
  </si>
  <si>
    <t>MICL.01111034/DNA</t>
  </si>
  <si>
    <t>MICL.01111042/DNA</t>
  </si>
  <si>
    <t>MICL.01112014/DNA</t>
  </si>
  <si>
    <t>MICL.01112018/DNA</t>
  </si>
  <si>
    <t>MICL.01112026/DNA</t>
  </si>
  <si>
    <t>MICL.01112034/DNA</t>
  </si>
  <si>
    <t>MICL.01112042/DNA</t>
  </si>
  <si>
    <t>MICL.01113014/DNA</t>
  </si>
  <si>
    <t>MICL.01113018/DNA</t>
  </si>
  <si>
    <t>MICL.01113026/DNA</t>
  </si>
  <si>
    <t>MICL.01113034/DNA</t>
  </si>
  <si>
    <t>MICL.01113042/DNA</t>
  </si>
  <si>
    <t>MICL.01115014/DNA</t>
  </si>
  <si>
    <t>MICL.01115018/DNA</t>
  </si>
  <si>
    <t>MICL.01115026/DNA</t>
  </si>
  <si>
    <t>MICL.01115034/DNA</t>
  </si>
  <si>
    <t>MICL.01115042/DNA</t>
  </si>
  <si>
    <t>MICL.01117014/DNA</t>
  </si>
  <si>
    <t>MICL.01117018/DNA</t>
  </si>
  <si>
    <t>MICL.01117026/DNA</t>
  </si>
  <si>
    <t>MICL.01117034/DNA</t>
  </si>
  <si>
    <t>MICL.01117042/DNA</t>
  </si>
  <si>
    <t>MICL.01119014/DNA</t>
  </si>
  <si>
    <t>MICL.01119018/DNA</t>
  </si>
  <si>
    <t>MICL.01119026/DNA</t>
  </si>
  <si>
    <t>MICL.01119034/DNA</t>
  </si>
  <si>
    <t>MICL.01119042/DNA</t>
  </si>
  <si>
    <t>MICL.01121014/DNA</t>
  </si>
  <si>
    <t>MICL.01121018/DNA</t>
  </si>
  <si>
    <t>MICL.01121026/DNA</t>
  </si>
  <si>
    <t>MICL.01121034/DNA</t>
  </si>
  <si>
    <t>MICL.01121042/DNA</t>
  </si>
  <si>
    <t>MICL.01123014/DNA</t>
  </si>
  <si>
    <t>MICL.01123018/DNA</t>
  </si>
  <si>
    <t>MICL.01123026/DNA</t>
  </si>
  <si>
    <t>MICL.01123034/DNA</t>
  </si>
  <si>
    <t>MICL.01123042/DNA</t>
  </si>
  <si>
    <t>MICL.01125014/DNA</t>
  </si>
  <si>
    <t>MICL.01125018/DNA</t>
  </si>
  <si>
    <t>MICL.01125026/DNA</t>
  </si>
  <si>
    <t>MICL.01125034/DNA</t>
  </si>
  <si>
    <t>MICL.01125042/DNA</t>
  </si>
  <si>
    <t>MICL.01127014/DNA</t>
  </si>
  <si>
    <t>MICL.01127018/DNA</t>
  </si>
  <si>
    <t>MICL.01127026/DNA</t>
  </si>
  <si>
    <t>MICL.01127034/DNA</t>
  </si>
  <si>
    <t>MICL.01127042/DNA</t>
  </si>
  <si>
    <t>MICL.01129014/DNA</t>
  </si>
  <si>
    <t>MICL.01129018/DNA</t>
  </si>
  <si>
    <t>MICL.01129026/DNA</t>
  </si>
  <si>
    <t>MICL.01129034/DNA</t>
  </si>
  <si>
    <t>MICL.01129042/DNA</t>
  </si>
  <si>
    <t>MICL.01131014/DNA</t>
  </si>
  <si>
    <t>MICL.01131018/DNA</t>
  </si>
  <si>
    <t>MICL.01131026/DNA</t>
  </si>
  <si>
    <t>MICL.01131034/DNA</t>
  </si>
  <si>
    <t>MICL.01131042/DNA</t>
  </si>
  <si>
    <t>MICL.01133014/DNA</t>
  </si>
  <si>
    <t>MICL.01133018/DNA</t>
  </si>
  <si>
    <t>MICL.01133026/DNA</t>
  </si>
  <si>
    <t>MICL.01133034/DNA</t>
  </si>
  <si>
    <t>MICL.01133042/DNA</t>
  </si>
  <si>
    <t>MICL.01135014/DNA</t>
  </si>
  <si>
    <t>MICL.01135018/DNA</t>
  </si>
  <si>
    <t>MICL.01135026/DNA</t>
  </si>
  <si>
    <t>MICL.01135034/DNA</t>
  </si>
  <si>
    <t>MICL.01135042/DNA</t>
  </si>
  <si>
    <t>MICL.01137014/DNA</t>
  </si>
  <si>
    <t>MICL.01137018/DNA</t>
  </si>
  <si>
    <t>MICL.01137026/DNA</t>
  </si>
  <si>
    <t>MICL.01137034/DNA</t>
  </si>
  <si>
    <t>MICL.01137042/DNA</t>
  </si>
  <si>
    <t>MICL.01139014/DNA</t>
  </si>
  <si>
    <t>MICL.01139018/DNA</t>
  </si>
  <si>
    <t>MICL.01139026/DNA</t>
  </si>
  <si>
    <t>MICL.01139034/DNA</t>
  </si>
  <si>
    <t>MICL.01139042/DNA</t>
  </si>
  <si>
    <t>MICL.01141014/DNA</t>
  </si>
  <si>
    <t>MICL.01141018/DNA</t>
  </si>
  <si>
    <t>MICL.01141026/DNA</t>
  </si>
  <si>
    <t>MICL.01141034/DNA</t>
  </si>
  <si>
    <t>MICL.01141042/DNA</t>
  </si>
  <si>
    <t>MICL.01143014/DNA</t>
  </si>
  <si>
    <t>MICL.01143018/DNA</t>
  </si>
  <si>
    <t>MICL.01143026/DNA</t>
  </si>
  <si>
    <t>MICL.01143034/DNA</t>
  </si>
  <si>
    <t>MICL.01143042/DNA</t>
  </si>
  <si>
    <t>MICL.01145014/DNA</t>
  </si>
  <si>
    <t>MICL.01145018/DNA</t>
  </si>
  <si>
    <t>MICL.01145026/DNA</t>
  </si>
  <si>
    <t>MICL.01145034/DNA</t>
  </si>
  <si>
    <t>MICL.01145042/DNA</t>
  </si>
  <si>
    <t>MICL.01147014/DNA</t>
  </si>
  <si>
    <t>MICL.01147018/DNA</t>
  </si>
  <si>
    <t>MICL.01147026/DNA</t>
  </si>
  <si>
    <t>MICL.01147034/DNA</t>
  </si>
  <si>
    <t>MICL.01147042/DNA</t>
  </si>
  <si>
    <t>MICL.01149014/DNA</t>
  </si>
  <si>
    <t>MICL.01149018/DNA</t>
  </si>
  <si>
    <t>MICL.01149026/DNA</t>
  </si>
  <si>
    <t>MICL.01149034/DNA</t>
  </si>
  <si>
    <t>MICL.01149042/DNA</t>
  </si>
  <si>
    <t>MICL.01407014/DNA</t>
  </si>
  <si>
    <t>MICL.01407026/DNA</t>
  </si>
  <si>
    <t>MICL.01407034/DNA</t>
  </si>
  <si>
    <t>MICL.01407042/DNA</t>
  </si>
  <si>
    <t>MICL.01408014/DNA</t>
  </si>
  <si>
    <t>MICL.01408026/DNA</t>
  </si>
  <si>
    <t>MICL.01408034/DNA</t>
  </si>
  <si>
    <t>MICL.01408042/DNA</t>
  </si>
  <si>
    <t>MICL.01409014/DNA</t>
  </si>
  <si>
    <t>MICL.01409026/DNA</t>
  </si>
  <si>
    <t>MICL.01409034/DNA</t>
  </si>
  <si>
    <t>MICL.01409042/DNA</t>
  </si>
  <si>
    <t>MICL.01410014/DNA</t>
  </si>
  <si>
    <t>MICL.01410026/DNA</t>
  </si>
  <si>
    <t>MICL.01410034/DNA</t>
  </si>
  <si>
    <t>MICL.01410042/DNA</t>
  </si>
  <si>
    <t>MICL.01411014/DNA</t>
  </si>
  <si>
    <t>MICL.01411026/DNA</t>
  </si>
  <si>
    <t>MICL.01411034/DNA</t>
  </si>
  <si>
    <t>MICL.01411042/DNA</t>
  </si>
  <si>
    <t>MICL.01412014/DNA</t>
  </si>
  <si>
    <t>MICL.01412026/DNA</t>
  </si>
  <si>
    <t>MICL.01412034/DNA</t>
  </si>
  <si>
    <t>MICL.01412042/DNA</t>
  </si>
  <si>
    <t>MICL.01413014/DNA</t>
  </si>
  <si>
    <t>MICL.01413026/DNA</t>
  </si>
  <si>
    <t>MICL.01413034/DNA</t>
  </si>
  <si>
    <t>MICL.01413042/DNA</t>
  </si>
  <si>
    <t>MICL.01415014/DNA</t>
  </si>
  <si>
    <t>MICL.01415026/DNA</t>
  </si>
  <si>
    <t>MICL.01415034/DNA</t>
  </si>
  <si>
    <t>MICL.01415042/DNA</t>
  </si>
  <si>
    <t>MICL.01417014/DNA</t>
  </si>
  <si>
    <t>MICL.01417026/DNA</t>
  </si>
  <si>
    <t>MICL.01417034/DNA</t>
  </si>
  <si>
    <t>MICL.01417042/DNA</t>
  </si>
  <si>
    <t>MICL.01419014/DNA</t>
  </si>
  <si>
    <t>MICL.01419026/DNA</t>
  </si>
  <si>
    <t>MICL.01419034/DNA</t>
  </si>
  <si>
    <t>MICL.01419042/DNA</t>
  </si>
  <si>
    <t>MICL.01421014/DNA</t>
  </si>
  <si>
    <t>MICL.01421026/DNA</t>
  </si>
  <si>
    <t>MICL.01421034/DNA</t>
  </si>
  <si>
    <t>MICL.01421042/DNA</t>
  </si>
  <si>
    <t>MICL.01423014/DNA</t>
  </si>
  <si>
    <t>MICL.01423026/DNA</t>
  </si>
  <si>
    <t>MICL.01423034/DNA</t>
  </si>
  <si>
    <t>MICL.01423042/DNA</t>
  </si>
  <si>
    <t>MICL.01425014/DNA</t>
  </si>
  <si>
    <t>MICL.01425026/DNA</t>
  </si>
  <si>
    <t>MICL.01425034/DNA</t>
  </si>
  <si>
    <t>MICL.01425042/DNA</t>
  </si>
  <si>
    <t>MICL.01427014/DNA</t>
  </si>
  <si>
    <t>MICL.01427026/DNA</t>
  </si>
  <si>
    <t>MICL.01427034/DNA</t>
  </si>
  <si>
    <t>MICL.01427042/DNA</t>
  </si>
  <si>
    <t>MICL.01429014/DNA</t>
  </si>
  <si>
    <t>MICL.01429026/DNA</t>
  </si>
  <si>
    <t>MICL.01429034/DNA</t>
  </si>
  <si>
    <t>MICL.01429042/DNA</t>
  </si>
  <si>
    <t>MICL.01431014/DNA</t>
  </si>
  <si>
    <t>MICL.01431026/DNA</t>
  </si>
  <si>
    <t>MICL.01431034/DNA</t>
  </si>
  <si>
    <t>MICL.01431042/DNA</t>
  </si>
  <si>
    <t>MICL.01433014/DNA</t>
  </si>
  <si>
    <t>MICL.01433026/DNA</t>
  </si>
  <si>
    <t>MICL.01433034/DNA</t>
  </si>
  <si>
    <t>MICL.01433042/DNA</t>
  </si>
  <si>
    <t>MICL.01435014/DNA</t>
  </si>
  <si>
    <t>MICL.01435026/DNA</t>
  </si>
  <si>
    <t>MICL.01435034/DNA</t>
  </si>
  <si>
    <t>MICL.01435042/DNA</t>
  </si>
  <si>
    <t>MICL.01437014/DNA</t>
  </si>
  <si>
    <t>MICL.01437026/DNA</t>
  </si>
  <si>
    <t>MICL.01437034/DNA</t>
  </si>
  <si>
    <t>MICL.01437042/DNA</t>
  </si>
  <si>
    <t>MICL.01439014/DNA</t>
  </si>
  <si>
    <t>MICL.01439026/DNA</t>
  </si>
  <si>
    <t>MICL.01439034/DNA</t>
  </si>
  <si>
    <t>MICL.01439042/DNA</t>
  </si>
  <si>
    <t>MICL.01441014/DNA</t>
  </si>
  <si>
    <t>MICL.01441026/DNA</t>
  </si>
  <si>
    <t>MICL.01441034/DNA</t>
  </si>
  <si>
    <t>MICL.01441042/DNA</t>
  </si>
  <si>
    <t>MICL.01443014/DNA</t>
  </si>
  <si>
    <t>MICL.01443026/DNA</t>
  </si>
  <si>
    <t>MICL.01443034/DNA</t>
  </si>
  <si>
    <t>MICL.01443042/DNA</t>
  </si>
  <si>
    <t>MICL.01445014/DNA</t>
  </si>
  <si>
    <t>MICL.01445026/DNA</t>
  </si>
  <si>
    <t>MICL.01445034/DNA</t>
  </si>
  <si>
    <t>MICL.01445042/DNA</t>
  </si>
  <si>
    <t>MICL.01447014/DNA</t>
  </si>
  <si>
    <t>MICL.01447026/DNA</t>
  </si>
  <si>
    <t>MICL.01447034/DNA</t>
  </si>
  <si>
    <t>MICL.01447042/DNA</t>
  </si>
  <si>
    <t>MICL.01449014/DNA</t>
  </si>
  <si>
    <t>MICL.01449026/DNA</t>
  </si>
  <si>
    <t>MICL.01449034/DNA</t>
  </si>
  <si>
    <t>MICL.01449042/DNA</t>
  </si>
  <si>
    <t>MICL.01907026/DNA</t>
  </si>
  <si>
    <t>MICL.01907034/DNA</t>
  </si>
  <si>
    <t>MICL.01907042/DNA</t>
  </si>
  <si>
    <t>MICL.01908026/DNA</t>
  </si>
  <si>
    <t>MICL.01908034/DNA</t>
  </si>
  <si>
    <t>MICL.01908042/DNA</t>
  </si>
  <si>
    <t>MICL.01909026/DNA</t>
  </si>
  <si>
    <t>MICL.01909034/DNA</t>
  </si>
  <si>
    <t>MICL.01909042/DNA</t>
  </si>
  <si>
    <t>MICL.01910026/DNA</t>
  </si>
  <si>
    <t>MICL.01910034/DNA</t>
  </si>
  <si>
    <t>MICL.01910042/DNA</t>
  </si>
  <si>
    <t>MICL.01911026/DNA</t>
  </si>
  <si>
    <t>MICL.01911034/DNA</t>
  </si>
  <si>
    <t>MICL.01911042/DNA</t>
  </si>
  <si>
    <t>MICL.01912026/DNA</t>
  </si>
  <si>
    <t>MICL.01912034/DNA</t>
  </si>
  <si>
    <t>MICL.01912042/DNA</t>
  </si>
  <si>
    <t>MICL.01913026/DNA</t>
  </si>
  <si>
    <t>MICL.01913034/DNA</t>
  </si>
  <si>
    <t>MICL.01913042/DNA</t>
  </si>
  <si>
    <t>MICL.01915026/DNA</t>
  </si>
  <si>
    <t>MICL.01915034/DNA</t>
  </si>
  <si>
    <t>MICL.01915042/DNA</t>
  </si>
  <si>
    <t>MICL.01917026/DNA</t>
  </si>
  <si>
    <t>MICL.01917034/DNA</t>
  </si>
  <si>
    <t>MICL.01917042/DNA</t>
  </si>
  <si>
    <t>MICL.01919026/DNA</t>
  </si>
  <si>
    <t>MICL.01919034/DNA</t>
  </si>
  <si>
    <t>MICL.01919042/DNA</t>
  </si>
  <si>
    <t>MICL.01921026/DNA</t>
  </si>
  <si>
    <t>MICL.01921034/DNA</t>
  </si>
  <si>
    <t>MICL.01921042/DNA</t>
  </si>
  <si>
    <t>MICL.01923026/DNA</t>
  </si>
  <si>
    <t>MICL.01923034/DNA</t>
  </si>
  <si>
    <t>MICL.01923042/DNA</t>
  </si>
  <si>
    <t>MICL.01925026/DNA</t>
  </si>
  <si>
    <t>MICL.01925034/DNA</t>
  </si>
  <si>
    <t>MICL.01925042/DNA</t>
  </si>
  <si>
    <t>MICL.01927026/DNA</t>
  </si>
  <si>
    <t>MICL.01927034/DNA</t>
  </si>
  <si>
    <t>MICL.01927042/DNA</t>
  </si>
  <si>
    <t>MICL.01929026/DNA</t>
  </si>
  <si>
    <t>MICL.01929034/DNA</t>
  </si>
  <si>
    <t>MICL.01929042/DNA</t>
  </si>
  <si>
    <t>MICL.01931026/DNA</t>
  </si>
  <si>
    <t>MICL.01931034/DNA</t>
  </si>
  <si>
    <t>MICL.01931042/DNA</t>
  </si>
  <si>
    <t>MICL.01933026/DNA</t>
  </si>
  <si>
    <t>MICL.01933034/DNA</t>
  </si>
  <si>
    <t>MICL.01933042/DNA</t>
  </si>
  <si>
    <t>MICL.01935026/DNA</t>
  </si>
  <si>
    <t>MICL.01935034/DNA</t>
  </si>
  <si>
    <t>MICL.01935042/DNA</t>
  </si>
  <si>
    <t>MICL.01937026/DNA</t>
  </si>
  <si>
    <t>MICL.01937034/DNA</t>
  </si>
  <si>
    <t>MICL.01937042/DNA</t>
  </si>
  <si>
    <t>MICL.01939026/DNA</t>
  </si>
  <si>
    <t>MICL.01939034/DNA</t>
  </si>
  <si>
    <t>MICL.01939042/DNA</t>
  </si>
  <si>
    <t>MICL.01941026/DNA</t>
  </si>
  <si>
    <t>MICL.01941034/DNA</t>
  </si>
  <si>
    <t>MICL.01941042/DNA</t>
  </si>
  <si>
    <t>MICL.01943026/DNA</t>
  </si>
  <si>
    <t>MICL.01943034/DNA</t>
  </si>
  <si>
    <t>MICL.01943042/DNA</t>
  </si>
  <si>
    <t>MICL.01945026/DNA</t>
  </si>
  <si>
    <t>MICL.01945034/DNA</t>
  </si>
  <si>
    <t>MICL.01945042/DNA</t>
  </si>
  <si>
    <t>MICL.01947026/DNA</t>
  </si>
  <si>
    <t>MICL.01947034/DNA</t>
  </si>
  <si>
    <t>MICL.01947042/DNA</t>
  </si>
  <si>
    <t>MICL.01949026/DNA</t>
  </si>
  <si>
    <t>MICL.01949034/DNA</t>
  </si>
  <si>
    <t>MICL.01949042/DNA</t>
  </si>
  <si>
    <t>Mini Freestanding</t>
  </si>
  <si>
    <t>MINF.00806009/FS</t>
  </si>
  <si>
    <t>MINF.00806014/FS</t>
  </si>
  <si>
    <t>MINF.00806019/FS</t>
  </si>
  <si>
    <t>MINF.00807009/FS</t>
  </si>
  <si>
    <t>MINF.00807014/FS</t>
  </si>
  <si>
    <t>MINF.00807019/FS</t>
  </si>
  <si>
    <t>MINF.00808009/FS</t>
  </si>
  <si>
    <t>MINF.00808014/FS</t>
  </si>
  <si>
    <t>MINF.00808019/FS</t>
  </si>
  <si>
    <t>MINF.00809009/FS</t>
  </si>
  <si>
    <t>MINF.00809014/FS</t>
  </si>
  <si>
    <t>MINF.00809019/FS</t>
  </si>
  <si>
    <t>MINF.00810009/FS</t>
  </si>
  <si>
    <t>MINF.00810014/FS</t>
  </si>
  <si>
    <t>MINF.00810019/FS</t>
  </si>
  <si>
    <t>MINF.00811009/FS</t>
  </si>
  <si>
    <t>MINF.00811014/FS</t>
  </si>
  <si>
    <t>MINF.00811019/FS</t>
  </si>
  <si>
    <t>MINF.00812009/FS</t>
  </si>
  <si>
    <t>MINF.00812014/FS</t>
  </si>
  <si>
    <t>MINF.00812019/FS</t>
  </si>
  <si>
    <t>MINF.00814009/FS</t>
  </si>
  <si>
    <t>MINF.00814014/FS</t>
  </si>
  <si>
    <t>MINF.00814019/FS</t>
  </si>
  <si>
    <t>MINF.00816009/FS</t>
  </si>
  <si>
    <t>MINF.00816014/FS</t>
  </si>
  <si>
    <t>MINF.00816019/FS</t>
  </si>
  <si>
    <t>MINF.00818009/FS</t>
  </si>
  <si>
    <t>MINF.00818014/FS</t>
  </si>
  <si>
    <t>MINF.00818019/FS</t>
  </si>
  <si>
    <t>MINF.00820009/FS</t>
  </si>
  <si>
    <t>MINF.00820014/FS</t>
  </si>
  <si>
    <t>MINF.00820019/FS</t>
  </si>
  <si>
    <t>MINF.00822009/FS</t>
  </si>
  <si>
    <t>MINF.00822014/FS</t>
  </si>
  <si>
    <t>MINF.00822019/FS</t>
  </si>
  <si>
    <t>MINF.00824009/FS</t>
  </si>
  <si>
    <t>MINF.00824014/FS</t>
  </si>
  <si>
    <t>MINF.00824019/FS</t>
  </si>
  <si>
    <t>MINF.00826009/FS</t>
  </si>
  <si>
    <t>MINF.00826014/FS</t>
  </si>
  <si>
    <t>MINF.00826019/FS</t>
  </si>
  <si>
    <t>MINF.00828009/FS</t>
  </si>
  <si>
    <t>MINF.00828014/FS</t>
  </si>
  <si>
    <t>MINF.00828019/FS</t>
  </si>
  <si>
    <t>MINF.00830009/FS</t>
  </si>
  <si>
    <t>MINF.00830014/FS</t>
  </si>
  <si>
    <t>MINF.00830019/FS</t>
  </si>
  <si>
    <t>MINF.01306005/FS</t>
  </si>
  <si>
    <t>MINF.01306010/FS</t>
  </si>
  <si>
    <t>MINF.01306015/FS</t>
  </si>
  <si>
    <t>MINF.01306020/FS</t>
  </si>
  <si>
    <t>MINF.01307005/FS</t>
  </si>
  <si>
    <t>MINF.01307010/FS</t>
  </si>
  <si>
    <t>MINF.01307015/FS</t>
  </si>
  <si>
    <t>MINF.01307020/FS</t>
  </si>
  <si>
    <t>MINF.01308005/FS</t>
  </si>
  <si>
    <t>MINF.01308010/FS</t>
  </si>
  <si>
    <t>MINF.01308015/FS</t>
  </si>
  <si>
    <t>MINF.01308020/FS</t>
  </si>
  <si>
    <t>MINF.01309005/FS</t>
  </si>
  <si>
    <t>MINF.01309010/FS</t>
  </si>
  <si>
    <t>MINF.01309015/FS</t>
  </si>
  <si>
    <t>MINF.01309020/FS</t>
  </si>
  <si>
    <t>MINF.01310005/FS</t>
  </si>
  <si>
    <t>MINF.01310010/FS</t>
  </si>
  <si>
    <t>MINF.01310015/FS</t>
  </si>
  <si>
    <t>MINF.01310020/FS</t>
  </si>
  <si>
    <t>MINF.01311005/FS</t>
  </si>
  <si>
    <t>MINF.01311010/FS</t>
  </si>
  <si>
    <t>MINF.01311015/FS</t>
  </si>
  <si>
    <t>MINF.01311020/FS</t>
  </si>
  <si>
    <t>MINF.01312005/FS</t>
  </si>
  <si>
    <t>MINF.01312010/FS</t>
  </si>
  <si>
    <t>MINF.01312015/FS</t>
  </si>
  <si>
    <t>MINF.01312020/FS</t>
  </si>
  <si>
    <t>MINF.01314005/FS</t>
  </si>
  <si>
    <t>MINF.01314010/FS</t>
  </si>
  <si>
    <t>MINF.01314015/FS</t>
  </si>
  <si>
    <t>MINF.01314020/FS</t>
  </si>
  <si>
    <t>MINF.01316005/FS</t>
  </si>
  <si>
    <t>MINF.01316010/FS</t>
  </si>
  <si>
    <t>MINF.01316015/FS</t>
  </si>
  <si>
    <t>MINF.01316020/FS</t>
  </si>
  <si>
    <t>MINF.01318005/FS</t>
  </si>
  <si>
    <t>MINF.01318010/FS</t>
  </si>
  <si>
    <t>MINF.01318015/FS</t>
  </si>
  <si>
    <t>MINF.01318020/FS</t>
  </si>
  <si>
    <t>MINF.01320005/FS</t>
  </si>
  <si>
    <t>MINF.01320010/FS</t>
  </si>
  <si>
    <t>MINF.01320015/FS</t>
  </si>
  <si>
    <t>MINF.01320020/FS</t>
  </si>
  <si>
    <t>MINF.01322005/FS</t>
  </si>
  <si>
    <t>MINF.01322010/FS</t>
  </si>
  <si>
    <t>MINF.01322015/FS</t>
  </si>
  <si>
    <t>MINF.01322020/FS</t>
  </si>
  <si>
    <t>MINF.01324005/FS</t>
  </si>
  <si>
    <t>MINF.01324010/FS</t>
  </si>
  <si>
    <t>MINF.01324015/FS</t>
  </si>
  <si>
    <t>MINF.01324020/FS</t>
  </si>
  <si>
    <t>MINF.01326005/FS</t>
  </si>
  <si>
    <t>MINF.01326010/FS</t>
  </si>
  <si>
    <t>MINF.01326015/FS</t>
  </si>
  <si>
    <t>MINF.01326020/FS</t>
  </si>
  <si>
    <t>MINF.01328005/FS</t>
  </si>
  <si>
    <t>MINF.01328010/FS</t>
  </si>
  <si>
    <t>MINF.01328015/FS</t>
  </si>
  <si>
    <t>MINF.01328020/FS</t>
  </si>
  <si>
    <t>MINF.01330005/FS</t>
  </si>
  <si>
    <t>MINF.01330010/FS</t>
  </si>
  <si>
    <t>MINF.01330015/FS</t>
  </si>
  <si>
    <t>MINF.01330020/FS</t>
  </si>
  <si>
    <t>MINF.02306006/FM</t>
  </si>
  <si>
    <t>MINF.02306011/FM</t>
  </si>
  <si>
    <t>MINF.02306016/FM</t>
  </si>
  <si>
    <t>MINF.02306021/FM</t>
  </si>
  <si>
    <t>MINF.02307006/FM</t>
  </si>
  <si>
    <t>MINF.02307011/FM</t>
  </si>
  <si>
    <t>MINF.02307016/FM</t>
  </si>
  <si>
    <t>MINF.02307021/FM</t>
  </si>
  <si>
    <t>MINF.02308006/FM</t>
  </si>
  <si>
    <t>MINF.02308011/FM</t>
  </si>
  <si>
    <t>MINF.02308016/FM</t>
  </si>
  <si>
    <t>MINF.02308021/FM</t>
  </si>
  <si>
    <t>MINF.02309006/FM</t>
  </si>
  <si>
    <t>MINF.02309011/FM</t>
  </si>
  <si>
    <t>MINF.02309016/FM</t>
  </si>
  <si>
    <t>MINF.02309021/FM</t>
  </si>
  <si>
    <t>MINF.02310006/FM</t>
  </si>
  <si>
    <t>MINF.02310011/FM</t>
  </si>
  <si>
    <t>MINF.02310016/FM</t>
  </si>
  <si>
    <t>MINF.02310021/FM</t>
  </si>
  <si>
    <t>MINF.02311006/FM</t>
  </si>
  <si>
    <t>MINF.02311011/FM</t>
  </si>
  <si>
    <t>MINF.02311016/FM</t>
  </si>
  <si>
    <t>MINF.02311021/FM</t>
  </si>
  <si>
    <t>MINF.02312006/FM</t>
  </si>
  <si>
    <t>MINF.02312011/FM</t>
  </si>
  <si>
    <t>MINF.02312016/FM</t>
  </si>
  <si>
    <t>MINF.02312021/FM</t>
  </si>
  <si>
    <t>MINF.02314006/FM</t>
  </si>
  <si>
    <t>MINF.02314011/FM</t>
  </si>
  <si>
    <t>MINF.02314016/FM</t>
  </si>
  <si>
    <t>MINF.02314021/FM</t>
  </si>
  <si>
    <t>MINF.02316006/FM</t>
  </si>
  <si>
    <t>MINF.02316011/FM</t>
  </si>
  <si>
    <t>MINF.02316016/FM</t>
  </si>
  <si>
    <t>MINF.02316021/FM</t>
  </si>
  <si>
    <t>MINF.02318006/FM</t>
  </si>
  <si>
    <t>MINF.02318011/FM</t>
  </si>
  <si>
    <t>MINF.02318016/FM</t>
  </si>
  <si>
    <t>MINF.02318021/FM</t>
  </si>
  <si>
    <t>MINF.02320006/FM</t>
  </si>
  <si>
    <t>MINF.02320011/FM</t>
  </si>
  <si>
    <t>MINF.02320016/FM</t>
  </si>
  <si>
    <t>MINF.02320021/FM</t>
  </si>
  <si>
    <t>MINF.02322006/FM</t>
  </si>
  <si>
    <t>MINF.02322011/FM</t>
  </si>
  <si>
    <t>MINF.02322016/FM</t>
  </si>
  <si>
    <t>MINF.02322021/FM</t>
  </si>
  <si>
    <t>MINF.02324006/FM</t>
  </si>
  <si>
    <t>MINF.02324011/FM</t>
  </si>
  <si>
    <t>MINF.02324016/FM</t>
  </si>
  <si>
    <t>MINF.02324021/FM</t>
  </si>
  <si>
    <t>MINF.02326006/FM</t>
  </si>
  <si>
    <t>MINF.02326011/FM</t>
  </si>
  <si>
    <t>MINF.02326016/FM</t>
  </si>
  <si>
    <t>MINF.02326021/FM</t>
  </si>
  <si>
    <t>MINF.02328006/FM</t>
  </si>
  <si>
    <t>MINF.02328011/FM</t>
  </si>
  <si>
    <t>MINF.02328016/FM</t>
  </si>
  <si>
    <t>MINF.02328021/FM</t>
  </si>
  <si>
    <t>MINF.02330006/FM</t>
  </si>
  <si>
    <t>MINF.02330011/FM</t>
  </si>
  <si>
    <t>MINF.02330016/FM</t>
  </si>
  <si>
    <t>MINF.02330021/FM</t>
  </si>
  <si>
    <t>MINF.02806006/FM</t>
  </si>
  <si>
    <t>MINF.02806011/FM</t>
  </si>
  <si>
    <t>MINF.02806016/FM</t>
  </si>
  <si>
    <t>MINF.02806021/FM</t>
  </si>
  <si>
    <t>MINF.02807006/FM</t>
  </si>
  <si>
    <t>MINF.02807011/FM</t>
  </si>
  <si>
    <t>MINF.02807016/FM</t>
  </si>
  <si>
    <t>MINF.02807021/FM</t>
  </si>
  <si>
    <t>MINF.02808006/FM</t>
  </si>
  <si>
    <t>MINF.02808011/FM</t>
  </si>
  <si>
    <t>MINF.02808016/FM</t>
  </si>
  <si>
    <t>MINF.02808021/FM</t>
  </si>
  <si>
    <t>MINF.02808111/DS/DBE</t>
  </si>
  <si>
    <t>MINF.02808116/DS/DBE</t>
  </si>
  <si>
    <t>MINF.02809006/FM</t>
  </si>
  <si>
    <t>MINF.02809011/FM</t>
  </si>
  <si>
    <t>MINF.02809016/FM</t>
  </si>
  <si>
    <t>MINF.02809021/FM</t>
  </si>
  <si>
    <t>MINF.02810006/FM</t>
  </si>
  <si>
    <t>MINF.02810011/FM</t>
  </si>
  <si>
    <t>MINF.02810016/FM</t>
  </si>
  <si>
    <t>MINF.02810021/FM</t>
  </si>
  <si>
    <t>MINF.02810111/DS/DBE</t>
  </si>
  <si>
    <t>MINF.02810116/DS/DBE</t>
  </si>
  <si>
    <t>MINF.02811006/FM</t>
  </si>
  <si>
    <t>MINF.02811011/FM</t>
  </si>
  <si>
    <t>MINF.02811016/FM</t>
  </si>
  <si>
    <t>MINF.02811021/FM</t>
  </si>
  <si>
    <t>MINF.02812006/FM</t>
  </si>
  <si>
    <t>MINF.02812011/FM</t>
  </si>
  <si>
    <t>MINF.02812016/FM</t>
  </si>
  <si>
    <t>MINF.02812021/FM</t>
  </si>
  <si>
    <t>MINF.02812111/DS/DBE</t>
  </si>
  <si>
    <t>MINF.02812116/DS/DBE</t>
  </si>
  <si>
    <t>MINF.02814006/FM</t>
  </si>
  <si>
    <t>MINF.02814011/FM</t>
  </si>
  <si>
    <t>MINF.02814016/FM</t>
  </si>
  <si>
    <t>MINF.02814021/FM</t>
  </si>
  <si>
    <t>MINF.02814111/DS/DBE</t>
  </si>
  <si>
    <t>MINF.02814116/DS/DBE</t>
  </si>
  <si>
    <t>MINF.02816006/FM</t>
  </si>
  <si>
    <t>MINF.02816011/FM</t>
  </si>
  <si>
    <t>MINF.02816016/FM</t>
  </si>
  <si>
    <t>MINF.02816021/FM</t>
  </si>
  <si>
    <t>MINF.02818006/FM</t>
  </si>
  <si>
    <t>MINF.02818011/FM</t>
  </si>
  <si>
    <t>MINF.02818016/FM</t>
  </si>
  <si>
    <t>MINF.02818021/FM</t>
  </si>
  <si>
    <t>MINF.02818111/DS/DBE</t>
  </si>
  <si>
    <t>MINF.02818116/DS/DBE</t>
  </si>
  <si>
    <t>MINF.02820006/FM</t>
  </si>
  <si>
    <t>MINF.02820011/FM</t>
  </si>
  <si>
    <t>MINF.02820016/FM</t>
  </si>
  <si>
    <t>MINF.02820021/FM</t>
  </si>
  <si>
    <t>MINF.02822006/FM</t>
  </si>
  <si>
    <t>MINF.02822011/FM</t>
  </si>
  <si>
    <t>MINF.02822016/FM</t>
  </si>
  <si>
    <t>MINF.02822021/FM</t>
  </si>
  <si>
    <t>MINF.02824006/FM</t>
  </si>
  <si>
    <t>MINF.02824011/FM</t>
  </si>
  <si>
    <t>MINF.02824016/FM</t>
  </si>
  <si>
    <t>MINF.02824021/FM</t>
  </si>
  <si>
    <t>MINF.02824111/DS/DBE</t>
  </si>
  <si>
    <t>MINF.02824116/DS/DBE</t>
  </si>
  <si>
    <t>MINF.02826006/FM</t>
  </si>
  <si>
    <t>MINF.02826011/FM</t>
  </si>
  <si>
    <t>MINF.02826016/FM</t>
  </si>
  <si>
    <t>MINF.02826021/FM</t>
  </si>
  <si>
    <t>MINF.02828006/FM</t>
  </si>
  <si>
    <t>MINF.02828011/FM</t>
  </si>
  <si>
    <t>MINF.02828016/FM</t>
  </si>
  <si>
    <t>MINF.02828021/FM</t>
  </si>
  <si>
    <t>MINF.02830006/FM</t>
  </si>
  <si>
    <t>MINF.02830011/FM</t>
  </si>
  <si>
    <t>MINF.02830016/FM</t>
  </si>
  <si>
    <t>MINF.02830021/FM</t>
  </si>
  <si>
    <t>Strada</t>
  </si>
  <si>
    <t>STRW.02005006</t>
  </si>
  <si>
    <t>STRW.02005010</t>
  </si>
  <si>
    <t>STRW.02005015</t>
  </si>
  <si>
    <t>STRW.02005020</t>
  </si>
  <si>
    <t>STRW.02006006</t>
  </si>
  <si>
    <t>STRW.02006010</t>
  </si>
  <si>
    <t>STRW.02006015</t>
  </si>
  <si>
    <t>STRW.02006020</t>
  </si>
  <si>
    <t>STRW.02007006</t>
  </si>
  <si>
    <t>STRW.02007010</t>
  </si>
  <si>
    <t>STRW.02007015</t>
  </si>
  <si>
    <t>STRW.02007020</t>
  </si>
  <si>
    <t>STRW.02008006</t>
  </si>
  <si>
    <t>STRW.02008010</t>
  </si>
  <si>
    <t>STRW.02008015</t>
  </si>
  <si>
    <t>STRW.02008020</t>
  </si>
  <si>
    <t>STRW.02009006</t>
  </si>
  <si>
    <t>STRW.02009010</t>
  </si>
  <si>
    <t>STRW.02009015</t>
  </si>
  <si>
    <t>STRW.02009020</t>
  </si>
  <si>
    <t>STRW.02010006</t>
  </si>
  <si>
    <t>STRW.02010010</t>
  </si>
  <si>
    <t>STRW.02010015</t>
  </si>
  <si>
    <t>STRW.02010020</t>
  </si>
  <si>
    <t>STRW.02011006</t>
  </si>
  <si>
    <t>STRW.02011010</t>
  </si>
  <si>
    <t>STRW.02011015</t>
  </si>
  <si>
    <t>STRW.02011020</t>
  </si>
  <si>
    <t>STRW.02012006</t>
  </si>
  <si>
    <t>STRW.02012010</t>
  </si>
  <si>
    <t>STRW.02012015</t>
  </si>
  <si>
    <t>STRW.02012020</t>
  </si>
  <si>
    <t>STRW.02014006</t>
  </si>
  <si>
    <t>STRW.02014010</t>
  </si>
  <si>
    <t>STRW.02014015</t>
  </si>
  <si>
    <t>STRW.02014020</t>
  </si>
  <si>
    <t>STRW.02016006</t>
  </si>
  <si>
    <t>STRW.02016010</t>
  </si>
  <si>
    <t>STRW.02016015</t>
  </si>
  <si>
    <t>STRW.02016020</t>
  </si>
  <si>
    <t>STRW.02018006</t>
  </si>
  <si>
    <t>STRW.02018010</t>
  </si>
  <si>
    <t>STRW.02018015</t>
  </si>
  <si>
    <t>STRW.02018020</t>
  </si>
  <si>
    <t>STRW.02020006</t>
  </si>
  <si>
    <t>STRW.02020010</t>
  </si>
  <si>
    <t>STRW.02020015</t>
  </si>
  <si>
    <t>STRW.02020020</t>
  </si>
  <si>
    <t>STRW.02024006</t>
  </si>
  <si>
    <t>STRW.02024010</t>
  </si>
  <si>
    <t>STRW.02024015</t>
  </si>
  <si>
    <t>STRW.02024020</t>
  </si>
  <si>
    <t>STRW.02028006</t>
  </si>
  <si>
    <t>STRW.02028010</t>
  </si>
  <si>
    <t>STRW.02028015</t>
  </si>
  <si>
    <t>STRW.02028020</t>
  </si>
  <si>
    <t>STRW.03505006</t>
  </si>
  <si>
    <t>STRW.03505010</t>
  </si>
  <si>
    <t>STRW.03505011</t>
  </si>
  <si>
    <t>STRW.03505015</t>
  </si>
  <si>
    <t>STRW.03505016</t>
  </si>
  <si>
    <t>STRW.03505020</t>
  </si>
  <si>
    <t>STRW.03505021</t>
  </si>
  <si>
    <t>STRW.03506006</t>
  </si>
  <si>
    <t>STRW.03506010</t>
  </si>
  <si>
    <t>STRW.03506011</t>
  </si>
  <si>
    <t>STRW.03506015</t>
  </si>
  <si>
    <t>STRW.03506016</t>
  </si>
  <si>
    <t>STRW.03506020</t>
  </si>
  <si>
    <t>STRW.03506021</t>
  </si>
  <si>
    <t>STRW.03507006</t>
  </si>
  <si>
    <t>STRW.03507010</t>
  </si>
  <si>
    <t>STRW.03507011</t>
  </si>
  <si>
    <t>STRW.03507015</t>
  </si>
  <si>
    <t>STRW.03507016</t>
  </si>
  <si>
    <t>STRW.03507020</t>
  </si>
  <si>
    <t>STRW.03507021</t>
  </si>
  <si>
    <t>STRW.03508006</t>
  </si>
  <si>
    <t>STRW.03508010</t>
  </si>
  <si>
    <t>STRW.03508011</t>
  </si>
  <si>
    <t>STRW.03508015</t>
  </si>
  <si>
    <t>STRW.03508016</t>
  </si>
  <si>
    <t>STRW.03508020</t>
  </si>
  <si>
    <t>STRW.03508021</t>
  </si>
  <si>
    <t>STRW.03509006</t>
  </si>
  <si>
    <t>STRW.03509010</t>
  </si>
  <si>
    <t>STRW.03509011</t>
  </si>
  <si>
    <t>STRW.03509015</t>
  </si>
  <si>
    <t>STRW.03509016</t>
  </si>
  <si>
    <t>STRW.03509020</t>
  </si>
  <si>
    <t>STRW.03509021</t>
  </si>
  <si>
    <t>STRW.03510006</t>
  </si>
  <si>
    <t>STRW.03510010</t>
  </si>
  <si>
    <t>STRW.03510011</t>
  </si>
  <si>
    <t>STRW.03510015</t>
  </si>
  <si>
    <t>STRW.03510016</t>
  </si>
  <si>
    <t>STRW.03510020</t>
  </si>
  <si>
    <t>STRW.03510021</t>
  </si>
  <si>
    <t>STRW.03511006</t>
  </si>
  <si>
    <t>STRW.03511010</t>
  </si>
  <si>
    <t>STRW.03511011</t>
  </si>
  <si>
    <t>STRW.03511015</t>
  </si>
  <si>
    <t>STRW.03511016</t>
  </si>
  <si>
    <t>STRW.03511020</t>
  </si>
  <si>
    <t>STRW.03511021</t>
  </si>
  <si>
    <t>STRW.03512006</t>
  </si>
  <si>
    <t>STRW.03512010</t>
  </si>
  <si>
    <t>STRW.03512011</t>
  </si>
  <si>
    <t>STRW.03512015</t>
  </si>
  <si>
    <t>STRW.03512016</t>
  </si>
  <si>
    <t>STRW.03512020</t>
  </si>
  <si>
    <t>STRW.03512021</t>
  </si>
  <si>
    <t>STRW.03514006</t>
  </si>
  <si>
    <t>STRW.03514010</t>
  </si>
  <si>
    <t>STRW.03514011</t>
  </si>
  <si>
    <t>STRW.03514015</t>
  </si>
  <si>
    <t>STRW.03514016</t>
  </si>
  <si>
    <t>STRW.03514020</t>
  </si>
  <si>
    <t>STRW.03514021</t>
  </si>
  <si>
    <t>STRW.03516006</t>
  </si>
  <si>
    <t>STRW.03516010</t>
  </si>
  <si>
    <t>STRW.03516011</t>
  </si>
  <si>
    <t>STRW.03516015</t>
  </si>
  <si>
    <t>STRW.03516016</t>
  </si>
  <si>
    <t>STRW.03516020</t>
  </si>
  <si>
    <t>STRW.03516021</t>
  </si>
  <si>
    <t>STRW.03518006</t>
  </si>
  <si>
    <t>STRW.03518010</t>
  </si>
  <si>
    <t>STRW.03518011</t>
  </si>
  <si>
    <t>STRW.03518015</t>
  </si>
  <si>
    <t>STRW.03518016</t>
  </si>
  <si>
    <t>STRW.03518020</t>
  </si>
  <si>
    <t>STRW.03518021</t>
  </si>
  <si>
    <t>STRW.03520006</t>
  </si>
  <si>
    <t>STRW.03520010</t>
  </si>
  <si>
    <t>STRW.03520011</t>
  </si>
  <si>
    <t>STRW.03520015</t>
  </si>
  <si>
    <t>STRW.03520016</t>
  </si>
  <si>
    <t>STRW.03520020</t>
  </si>
  <si>
    <t>STRW.03520021</t>
  </si>
  <si>
    <t>STRW.03524006</t>
  </si>
  <si>
    <t>STRW.03524010</t>
  </si>
  <si>
    <t>STRW.03524011</t>
  </si>
  <si>
    <t>STRW.03524015</t>
  </si>
  <si>
    <t>STRW.03524016</t>
  </si>
  <si>
    <t>STRW.03524020</t>
  </si>
  <si>
    <t>STRW.03524021</t>
  </si>
  <si>
    <t>STRW.03528006</t>
  </si>
  <si>
    <t>STRW.03528010</t>
  </si>
  <si>
    <t>STRW.03528011</t>
  </si>
  <si>
    <t>STRW.03528015</t>
  </si>
  <si>
    <t>STRW.03528016</t>
  </si>
  <si>
    <t>STRW.03528020</t>
  </si>
  <si>
    <t>STRW.03528021</t>
  </si>
  <si>
    <t>STRW.05005006</t>
  </si>
  <si>
    <t>STRW.05005010</t>
  </si>
  <si>
    <t>STRW.05005011</t>
  </si>
  <si>
    <t>STRW.05005015</t>
  </si>
  <si>
    <t>STRW.05005016</t>
  </si>
  <si>
    <t>STRW.05005020</t>
  </si>
  <si>
    <t>STRW.05005021</t>
  </si>
  <si>
    <t>STRW.05006006</t>
  </si>
  <si>
    <t>STRW.05006010</t>
  </si>
  <si>
    <t>STRW.05006011</t>
  </si>
  <si>
    <t>STRW.05006015</t>
  </si>
  <si>
    <t>STRW.05006016</t>
  </si>
  <si>
    <t>STRW.05006020</t>
  </si>
  <si>
    <t>STRW.05006021</t>
  </si>
  <si>
    <t>STRW.05007006</t>
  </si>
  <si>
    <t>STRW.05007010</t>
  </si>
  <si>
    <t>STRW.05007011</t>
  </si>
  <si>
    <t>STRW.05007015</t>
  </si>
  <si>
    <t>STRW.05007016</t>
  </si>
  <si>
    <t>STRW.05007020</t>
  </si>
  <si>
    <t>STRW.05007021</t>
  </si>
  <si>
    <t>STRW.05008006</t>
  </si>
  <si>
    <t>STRW.05008010</t>
  </si>
  <si>
    <t>STRW.05008011</t>
  </si>
  <si>
    <t>STRW.05008015</t>
  </si>
  <si>
    <t>STRW.05008016</t>
  </si>
  <si>
    <t>STRW.05008020</t>
  </si>
  <si>
    <t>STRW.05008021</t>
  </si>
  <si>
    <t>STRW.05009006</t>
  </si>
  <si>
    <t>STRW.05009010</t>
  </si>
  <si>
    <t>STRW.05009011</t>
  </si>
  <si>
    <t>STRW.05009015</t>
  </si>
  <si>
    <t>STRW.05009016</t>
  </si>
  <si>
    <t>STRW.05009020</t>
  </si>
  <si>
    <t>STRW.05009021</t>
  </si>
  <si>
    <t>STRW.05010006</t>
  </si>
  <si>
    <t>STRW.05010010</t>
  </si>
  <si>
    <t>STRW.05010011</t>
  </si>
  <si>
    <t>STRW.05010015</t>
  </si>
  <si>
    <t>STRW.05010016</t>
  </si>
  <si>
    <t>STRW.05010020</t>
  </si>
  <si>
    <t>STRW.05010021</t>
  </si>
  <si>
    <t>STRW.05011006</t>
  </si>
  <si>
    <t>STRW.05011010</t>
  </si>
  <si>
    <t>STRW.05011011</t>
  </si>
  <si>
    <t>STRW.05011015</t>
  </si>
  <si>
    <t>STRW.05011016</t>
  </si>
  <si>
    <t>STRW.05011020</t>
  </si>
  <si>
    <t>STRW.05011021</t>
  </si>
  <si>
    <t>STRW.05012006</t>
  </si>
  <si>
    <t>STRW.05012010</t>
  </si>
  <si>
    <t>STRW.05012011</t>
  </si>
  <si>
    <t>STRW.05012015</t>
  </si>
  <si>
    <t>STRW.05012016</t>
  </si>
  <si>
    <t>STRW.05012020</t>
  </si>
  <si>
    <t>STRW.05012021</t>
  </si>
  <si>
    <t>STRW.05014006</t>
  </si>
  <si>
    <t>STRW.05014010</t>
  </si>
  <si>
    <t>STRW.05014011</t>
  </si>
  <si>
    <t>STRW.05014015</t>
  </si>
  <si>
    <t>STRW.05014016</t>
  </si>
  <si>
    <t>STRW.05014020</t>
  </si>
  <si>
    <t>STRW.05014021</t>
  </si>
  <si>
    <t>STRW.05016006</t>
  </si>
  <si>
    <t>STRW.05016010</t>
  </si>
  <si>
    <t>STRW.05016011</t>
  </si>
  <si>
    <t>STRW.05016015</t>
  </si>
  <si>
    <t>STRW.05016016</t>
  </si>
  <si>
    <t>STRW.05016020</t>
  </si>
  <si>
    <t>STRW.05016021</t>
  </si>
  <si>
    <t>STRW.05018006</t>
  </si>
  <si>
    <t>STRW.05018010</t>
  </si>
  <si>
    <t>STRW.05018011</t>
  </si>
  <si>
    <t>STRW.05018015</t>
  </si>
  <si>
    <t>STRW.05018016</t>
  </si>
  <si>
    <t>STRW.05018020</t>
  </si>
  <si>
    <t>STRW.05018021</t>
  </si>
  <si>
    <t>STRW.05020006</t>
  </si>
  <si>
    <t>STRW.05020010</t>
  </si>
  <si>
    <t>STRW.05020011</t>
  </si>
  <si>
    <t>STRW.05020015</t>
  </si>
  <si>
    <t>STRW.05020016</t>
  </si>
  <si>
    <t>STRW.05020020</t>
  </si>
  <si>
    <t>STRW.05020021</t>
  </si>
  <si>
    <t>STRW.05024006</t>
  </si>
  <si>
    <t>STRW.05024010</t>
  </si>
  <si>
    <t>STRW.05024011</t>
  </si>
  <si>
    <t>STRW.05024015</t>
  </si>
  <si>
    <t>STRW.05024016</t>
  </si>
  <si>
    <t>STRW.05024020</t>
  </si>
  <si>
    <t>STRW.05024021</t>
  </si>
  <si>
    <t>STRW.05028006</t>
  </si>
  <si>
    <t>STRW.05028010</t>
  </si>
  <si>
    <t>STRW.05028011</t>
  </si>
  <si>
    <t>STRW.05028015</t>
  </si>
  <si>
    <t>STRW.05028016</t>
  </si>
  <si>
    <t>STRW.05028020</t>
  </si>
  <si>
    <t>STRW.05028021</t>
  </si>
  <si>
    <t>STRW.06505006</t>
  </si>
  <si>
    <t>STRW.06505010</t>
  </si>
  <si>
    <t>STRW.06505011</t>
  </si>
  <si>
    <t>STRW.06505015</t>
  </si>
  <si>
    <t>STRW.06505016</t>
  </si>
  <si>
    <t>STRW.06505020</t>
  </si>
  <si>
    <t>STRW.06505021</t>
  </si>
  <si>
    <t>STRW.06506006</t>
  </si>
  <si>
    <t>STRW.06506010</t>
  </si>
  <si>
    <t>STRW.06506011</t>
  </si>
  <si>
    <t>STRW.06506015</t>
  </si>
  <si>
    <t>STRW.06506016</t>
  </si>
  <si>
    <t>STRW.06506020</t>
  </si>
  <si>
    <t>STRW.06506021</t>
  </si>
  <si>
    <t>STRW.06507006</t>
  </si>
  <si>
    <t>STRW.06507010</t>
  </si>
  <si>
    <t>STRW.06507011</t>
  </si>
  <si>
    <t>STRW.06507015</t>
  </si>
  <si>
    <t>STRW.06507016</t>
  </si>
  <si>
    <t>STRW.06507020</t>
  </si>
  <si>
    <t>STRW.06507021</t>
  </si>
  <si>
    <t>STRW.06508006</t>
  </si>
  <si>
    <t>STRW.06508010</t>
  </si>
  <si>
    <t>STRW.06508011</t>
  </si>
  <si>
    <t>STRW.06508015</t>
  </si>
  <si>
    <t>STRW.06508016</t>
  </si>
  <si>
    <t>STRW.06508020</t>
  </si>
  <si>
    <t>STRW.06508021</t>
  </si>
  <si>
    <t>STRW.06509006</t>
  </si>
  <si>
    <t>STRW.06509010</t>
  </si>
  <si>
    <t>STRW.06509011</t>
  </si>
  <si>
    <t>STRW.06509015</t>
  </si>
  <si>
    <t>STRW.06509016</t>
  </si>
  <si>
    <t>STRW.06509020</t>
  </si>
  <si>
    <t>STRW.06509021</t>
  </si>
  <si>
    <t>STRW.06510006</t>
  </si>
  <si>
    <t>STRW.06510010</t>
  </si>
  <si>
    <t>STRW.06510011</t>
  </si>
  <si>
    <t>STRW.06510015</t>
  </si>
  <si>
    <t>STRW.06510016</t>
  </si>
  <si>
    <t>STRW.06510020</t>
  </si>
  <si>
    <t>STRW.06510021</t>
  </si>
  <si>
    <t>STRW.06511006</t>
  </si>
  <si>
    <t>STRW.06511010</t>
  </si>
  <si>
    <t>STRW.06511011</t>
  </si>
  <si>
    <t>STRW.06511015</t>
  </si>
  <si>
    <t>STRW.06511016</t>
  </si>
  <si>
    <t>STRW.06511020</t>
  </si>
  <si>
    <t>STRW.06511021</t>
  </si>
  <si>
    <t>STRW.06512006</t>
  </si>
  <si>
    <t>STRW.06512010</t>
  </si>
  <si>
    <t>STRW.06512011</t>
  </si>
  <si>
    <t>STRW.06512015</t>
  </si>
  <si>
    <t>STRW.06512016</t>
  </si>
  <si>
    <t>STRW.06512020</t>
  </si>
  <si>
    <t>STRW.06512021</t>
  </si>
  <si>
    <t>STRW.06514006</t>
  </si>
  <si>
    <t>STRW.06514010</t>
  </si>
  <si>
    <t>STRW.06514011</t>
  </si>
  <si>
    <t>STRW.06514015</t>
  </si>
  <si>
    <t>STRW.06514016</t>
  </si>
  <si>
    <t>STRW.06514020</t>
  </si>
  <si>
    <t>STRW.06514021</t>
  </si>
  <si>
    <t>STRW.06516006</t>
  </si>
  <si>
    <t>STRW.06516010</t>
  </si>
  <si>
    <t>STRW.06516011</t>
  </si>
  <si>
    <t>STRW.06516015</t>
  </si>
  <si>
    <t>STRW.06516016</t>
  </si>
  <si>
    <t>STRW.06516020</t>
  </si>
  <si>
    <t>STRW.06516021</t>
  </si>
  <si>
    <t>STRW.06518006</t>
  </si>
  <si>
    <t>STRW.06518010</t>
  </si>
  <si>
    <t>STRW.06518011</t>
  </si>
  <si>
    <t>STRW.06518015</t>
  </si>
  <si>
    <t>STRW.06518016</t>
  </si>
  <si>
    <t>STRW.06518020</t>
  </si>
  <si>
    <t>STRW.06518021</t>
  </si>
  <si>
    <t>STRW.06520006</t>
  </si>
  <si>
    <t>STRW.06520010</t>
  </si>
  <si>
    <t>STRW.06520011</t>
  </si>
  <si>
    <t>STRW.06520015</t>
  </si>
  <si>
    <t>STRW.06520016</t>
  </si>
  <si>
    <t>STRW.06520020</t>
  </si>
  <si>
    <t>STRW.06520021</t>
  </si>
  <si>
    <t>STRW.06524006</t>
  </si>
  <si>
    <t>STRW.06524010</t>
  </si>
  <si>
    <t>STRW.06524011</t>
  </si>
  <si>
    <t>STRW.06524015</t>
  </si>
  <si>
    <t>STRW.06524016</t>
  </si>
  <si>
    <t>STRW.06524020</t>
  </si>
  <si>
    <t>STRW.06524021</t>
  </si>
  <si>
    <t>STRW.06528006</t>
  </si>
  <si>
    <t>STRW.06528010</t>
  </si>
  <si>
    <t>STRW.06528011</t>
  </si>
  <si>
    <t>STRW.06528015</t>
  </si>
  <si>
    <t>STRW.06528016</t>
  </si>
  <si>
    <t>STRW.06528020</t>
  </si>
  <si>
    <t>STRW.06528021</t>
  </si>
  <si>
    <t>STRW.09506006</t>
  </si>
  <si>
    <t>STRW.09506010</t>
  </si>
  <si>
    <t>STRW.09506011</t>
  </si>
  <si>
    <t>STRW.09506015</t>
  </si>
  <si>
    <t>STRW.09506016</t>
  </si>
  <si>
    <t>STRW.09506020</t>
  </si>
  <si>
    <t>STRW.09506021</t>
  </si>
  <si>
    <t>STRW.09507006</t>
  </si>
  <si>
    <t>STRW.09507010</t>
  </si>
  <si>
    <t>STRW.09507011</t>
  </si>
  <si>
    <t>STRW.09507015</t>
  </si>
  <si>
    <t>STRW.09507016</t>
  </si>
  <si>
    <t>STRW.09507020</t>
  </si>
  <si>
    <t>STRW.09507021</t>
  </si>
  <si>
    <t>STRW.09508006</t>
  </si>
  <si>
    <t>STRW.09508010</t>
  </si>
  <si>
    <t>STRW.09508011</t>
  </si>
  <si>
    <t>STRW.09508015</t>
  </si>
  <si>
    <t>STRW.09508016</t>
  </si>
  <si>
    <t>STRW.09508020</t>
  </si>
  <si>
    <t>STRW.09508021</t>
  </si>
  <si>
    <t>STRW.09509006</t>
  </si>
  <si>
    <t>STRW.09509010</t>
  </si>
  <si>
    <t>STRW.09509011</t>
  </si>
  <si>
    <t>STRW.09509015</t>
  </si>
  <si>
    <t>STRW.09509016</t>
  </si>
  <si>
    <t>STRW.09509020</t>
  </si>
  <si>
    <t>STRW.09509021</t>
  </si>
  <si>
    <t>STRW.09510006</t>
  </si>
  <si>
    <t>STRW.09510010</t>
  </si>
  <si>
    <t>STRW.09510011</t>
  </si>
  <si>
    <t>STRW.09510015</t>
  </si>
  <si>
    <t>STRW.09510016</t>
  </si>
  <si>
    <t>STRW.09510020</t>
  </si>
  <si>
    <t>STRW.09510021</t>
  </si>
  <si>
    <t>STRW.09511006</t>
  </si>
  <si>
    <t>STRW.09511010</t>
  </si>
  <si>
    <t>STRW.09511011</t>
  </si>
  <si>
    <t>STRW.09511015</t>
  </si>
  <si>
    <t>STRW.09511016</t>
  </si>
  <si>
    <t>STRW.09511020</t>
  </si>
  <si>
    <t>STRW.09511021</t>
  </si>
  <si>
    <t>STRW.09512006</t>
  </si>
  <si>
    <t>STRW.09512010</t>
  </si>
  <si>
    <t>STRW.09512011</t>
  </si>
  <si>
    <t>STRW.09512015</t>
  </si>
  <si>
    <t>STRW.09512016</t>
  </si>
  <si>
    <t>STRW.09512020</t>
  </si>
  <si>
    <t>STRW.09512021</t>
  </si>
  <si>
    <t>STRW.09514006</t>
  </si>
  <si>
    <t>STRW.09514010</t>
  </si>
  <si>
    <t>STRW.09514011</t>
  </si>
  <si>
    <t>STRW.09514015</t>
  </si>
  <si>
    <t>STRW.09514016</t>
  </si>
  <si>
    <t>STRW.09514020</t>
  </si>
  <si>
    <t>STRW.09514021</t>
  </si>
  <si>
    <t>Tempo Wall</t>
  </si>
  <si>
    <t>TEMW.02004010</t>
  </si>
  <si>
    <t>TEMW.02004015</t>
  </si>
  <si>
    <t>TEMW.02004020</t>
  </si>
  <si>
    <t>TEMW.02005010</t>
  </si>
  <si>
    <t>TEMW.02005015</t>
  </si>
  <si>
    <t>TEMW.02005020</t>
  </si>
  <si>
    <t>TEMW.02006010</t>
  </si>
  <si>
    <t>TEMW.02006015</t>
  </si>
  <si>
    <t>TEMW.02006020</t>
  </si>
  <si>
    <t>TEMW.02007010</t>
  </si>
  <si>
    <t>TEMW.02007015</t>
  </si>
  <si>
    <t>TEMW.02007020</t>
  </si>
  <si>
    <t>TEMW.02008010</t>
  </si>
  <si>
    <t>TEMW.02008015</t>
  </si>
  <si>
    <t>TEMW.02008020</t>
  </si>
  <si>
    <t>TEMW.02009010</t>
  </si>
  <si>
    <t>TEMW.02009015</t>
  </si>
  <si>
    <t>TEMW.02009020</t>
  </si>
  <si>
    <t>TEMW.02010010</t>
  </si>
  <si>
    <t>TEMW.02010015</t>
  </si>
  <si>
    <t>TEMW.02010020</t>
  </si>
  <si>
    <t>TEMW.02011010</t>
  </si>
  <si>
    <t>TEMW.02011015</t>
  </si>
  <si>
    <t>TEMW.02011020</t>
  </si>
  <si>
    <t>TEMW.02012010</t>
  </si>
  <si>
    <t>TEMW.02012015</t>
  </si>
  <si>
    <t>TEMW.02012020</t>
  </si>
  <si>
    <t>TEMW.02014010</t>
  </si>
  <si>
    <t>TEMW.02014015</t>
  </si>
  <si>
    <t>TEMW.02014020</t>
  </si>
  <si>
    <t>TEMW.02016010</t>
  </si>
  <si>
    <t>TEMW.02016015</t>
  </si>
  <si>
    <t>TEMW.02016020</t>
  </si>
  <si>
    <t>TEMW.02018010</t>
  </si>
  <si>
    <t>TEMW.02018015</t>
  </si>
  <si>
    <t>TEMW.02018020</t>
  </si>
  <si>
    <t>TEMW.02020010</t>
  </si>
  <si>
    <t>TEMW.02020015</t>
  </si>
  <si>
    <t>TEMW.02020020</t>
  </si>
  <si>
    <t>TEMW.02022010</t>
  </si>
  <si>
    <t>TEMW.02022015</t>
  </si>
  <si>
    <t>TEMW.02022020</t>
  </si>
  <si>
    <t>TEMW.02024010</t>
  </si>
  <si>
    <t>TEMW.02024015</t>
  </si>
  <si>
    <t>TEMW.02024020</t>
  </si>
  <si>
    <t>TEMW.02026010</t>
  </si>
  <si>
    <t>TEMW.02026015</t>
  </si>
  <si>
    <t>TEMW.02026020</t>
  </si>
  <si>
    <t>TEMW.02028010</t>
  </si>
  <si>
    <t>TEMW.02028015</t>
  </si>
  <si>
    <t>TEMW.02028020</t>
  </si>
  <si>
    <t>TEMW.02030010</t>
  </si>
  <si>
    <t>TEMW.02030015</t>
  </si>
  <si>
    <t>TEMW.02030020</t>
  </si>
  <si>
    <t>TEMW.03004010</t>
  </si>
  <si>
    <t>TEMW.03004011</t>
  </si>
  <si>
    <t>TEMW.03004015</t>
  </si>
  <si>
    <t>TEMW.03004016</t>
  </si>
  <si>
    <t>TEMW.03004020</t>
  </si>
  <si>
    <t>TEMW.03004021</t>
  </si>
  <si>
    <t>TEMW.03005010</t>
  </si>
  <si>
    <t>TEMW.03005011</t>
  </si>
  <si>
    <t>TEMW.03005015</t>
  </si>
  <si>
    <t>TEMW.03005016</t>
  </si>
  <si>
    <t>TEMW.03005020</t>
  </si>
  <si>
    <t>TEMW.03005021</t>
  </si>
  <si>
    <t>TEMW.03006010</t>
  </si>
  <si>
    <t>TEMW.03006011</t>
  </si>
  <si>
    <t>TEMW.03006015</t>
  </si>
  <si>
    <t>TEMW.03006016</t>
  </si>
  <si>
    <t>TEMW.03006020</t>
  </si>
  <si>
    <t>TEMW.03006021</t>
  </si>
  <si>
    <t>TEMW.03007010</t>
  </si>
  <si>
    <t>TEMW.03007011</t>
  </si>
  <si>
    <t>TEMW.03007015</t>
  </si>
  <si>
    <t>TEMW.03007016</t>
  </si>
  <si>
    <t>TEMW.03007020</t>
  </si>
  <si>
    <t>TEMW.03007021</t>
  </si>
  <si>
    <t>TEMW.03008010</t>
  </si>
  <si>
    <t>TEMW.03008011</t>
  </si>
  <si>
    <t>TEMW.03008015</t>
  </si>
  <si>
    <t>TEMW.03008016</t>
  </si>
  <si>
    <t>TEMW.03008020</t>
  </si>
  <si>
    <t>TEMW.03008021</t>
  </si>
  <si>
    <t>TEMW.03009010</t>
  </si>
  <si>
    <t>TEMW.03009011</t>
  </si>
  <si>
    <t>TEMW.03009015</t>
  </si>
  <si>
    <t>TEMW.03009016</t>
  </si>
  <si>
    <t>TEMW.03009020</t>
  </si>
  <si>
    <t>TEMW.03009021</t>
  </si>
  <si>
    <t>TEMW.03010010</t>
  </si>
  <si>
    <t>TEMW.03010011</t>
  </si>
  <si>
    <t>TEMW.03010015</t>
  </si>
  <si>
    <t>TEMW.03010016</t>
  </si>
  <si>
    <t>TEMW.03010020</t>
  </si>
  <si>
    <t>TEMW.03010021</t>
  </si>
  <si>
    <t>TEMW.03011010</t>
  </si>
  <si>
    <t>TEMW.03011011</t>
  </si>
  <si>
    <t>TEMW.03011015</t>
  </si>
  <si>
    <t>TEMW.03011016</t>
  </si>
  <si>
    <t>TEMW.03011020</t>
  </si>
  <si>
    <t>TEMW.03011021</t>
  </si>
  <si>
    <t>TEMW.03012010</t>
  </si>
  <si>
    <t>TEMW.03012011</t>
  </si>
  <si>
    <t>TEMW.03012015</t>
  </si>
  <si>
    <t>TEMW.03012016</t>
  </si>
  <si>
    <t>TEMW.03012020</t>
  </si>
  <si>
    <t>TEMW.03012021</t>
  </si>
  <si>
    <t>TEMW.03014010</t>
  </si>
  <si>
    <t>TEMW.03014011</t>
  </si>
  <si>
    <t>TEMW.03014015</t>
  </si>
  <si>
    <t>TEMW.03014016</t>
  </si>
  <si>
    <t>TEMW.03014020</t>
  </si>
  <si>
    <t>TEMW.03014021</t>
  </si>
  <si>
    <t>TEMW.03016010</t>
  </si>
  <si>
    <t>TEMW.03016011</t>
  </si>
  <si>
    <t>TEMW.03016015</t>
  </si>
  <si>
    <t>TEMW.03016016</t>
  </si>
  <si>
    <t>TEMW.03016020</t>
  </si>
  <si>
    <t>TEMW.03016021</t>
  </si>
  <si>
    <t>TEMW.03018010</t>
  </si>
  <si>
    <t>TEMW.03018011</t>
  </si>
  <si>
    <t>TEMW.03018015</t>
  </si>
  <si>
    <t>TEMW.03018016</t>
  </si>
  <si>
    <t>TEMW.03018020</t>
  </si>
  <si>
    <t>TEMW.03018021</t>
  </si>
  <si>
    <t>TEMW.03020010</t>
  </si>
  <si>
    <t>TEMW.03020011</t>
  </si>
  <si>
    <t>TEMW.03020015</t>
  </si>
  <si>
    <t>TEMW.03020016</t>
  </si>
  <si>
    <t>TEMW.03020020</t>
  </si>
  <si>
    <t>TEMW.03020021</t>
  </si>
  <si>
    <t>TEMW.03022010</t>
  </si>
  <si>
    <t>TEMW.03022011</t>
  </si>
  <si>
    <t>TEMW.03022015</t>
  </si>
  <si>
    <t>TEMW.03022016</t>
  </si>
  <si>
    <t>TEMW.03022020</t>
  </si>
  <si>
    <t>TEMW.03022021</t>
  </si>
  <si>
    <t>TEMW.03024010</t>
  </si>
  <si>
    <t>TEMW.03024011</t>
  </si>
  <si>
    <t>TEMW.03024015</t>
  </si>
  <si>
    <t>TEMW.03024016</t>
  </si>
  <si>
    <t>TEMW.03024020</t>
  </si>
  <si>
    <t>TEMW.03024021</t>
  </si>
  <si>
    <t>TEMW.03026010</t>
  </si>
  <si>
    <t>TEMW.03026011</t>
  </si>
  <si>
    <t>TEMW.03026015</t>
  </si>
  <si>
    <t>TEMW.03026016</t>
  </si>
  <si>
    <t>TEMW.03026020</t>
  </si>
  <si>
    <t>TEMW.03026021</t>
  </si>
  <si>
    <t>TEMW.03028010</t>
  </si>
  <si>
    <t>TEMW.03028011</t>
  </si>
  <si>
    <t>TEMW.03028015</t>
  </si>
  <si>
    <t>TEMW.03028016</t>
  </si>
  <si>
    <t>TEMW.03028020</t>
  </si>
  <si>
    <t>TEMW.03028021</t>
  </si>
  <si>
    <t>TEMW.03030010</t>
  </si>
  <si>
    <t>TEMW.03030011</t>
  </si>
  <si>
    <t>TEMW.03030015</t>
  </si>
  <si>
    <t>TEMW.03030016</t>
  </si>
  <si>
    <t>TEMW.03030020</t>
  </si>
  <si>
    <t>TEMW.03030021</t>
  </si>
  <si>
    <t>TEMW.04004010</t>
  </si>
  <si>
    <t>TEMW.04004011</t>
  </si>
  <si>
    <t>TEMW.04004015</t>
  </si>
  <si>
    <t>TEMW.04004016</t>
  </si>
  <si>
    <t>TEMW.04004020</t>
  </si>
  <si>
    <t>TEMW.04004021</t>
  </si>
  <si>
    <t>TEMW.04005010</t>
  </si>
  <si>
    <t>TEMW.04005011</t>
  </si>
  <si>
    <t>TEMW.04005015</t>
  </si>
  <si>
    <t>TEMW.04005016</t>
  </si>
  <si>
    <t>TEMW.04005020</t>
  </si>
  <si>
    <t>TEMW.04005021</t>
  </si>
  <si>
    <t>TEMW.04006010</t>
  </si>
  <si>
    <t>TEMW.04006011</t>
  </si>
  <si>
    <t>TEMW.04006015</t>
  </si>
  <si>
    <t>TEMW.04006016</t>
  </si>
  <si>
    <t>TEMW.04006020</t>
  </si>
  <si>
    <t>TEMW.04006021</t>
  </si>
  <si>
    <t>TEMW.04007010</t>
  </si>
  <si>
    <t>TEMW.04007011</t>
  </si>
  <si>
    <t>TEMW.04007015</t>
  </si>
  <si>
    <t>TEMW.04007016</t>
  </si>
  <si>
    <t>TEMW.04007020</t>
  </si>
  <si>
    <t>TEMW.04007021</t>
  </si>
  <si>
    <t>TEMW.04008010</t>
  </si>
  <si>
    <t>TEMW.04008011</t>
  </si>
  <si>
    <t>TEMW.04008015</t>
  </si>
  <si>
    <t>TEMW.04008016</t>
  </si>
  <si>
    <t>TEMW.04008020</t>
  </si>
  <si>
    <t>TEMW.04008021</t>
  </si>
  <si>
    <t>TEMW.04009010</t>
  </si>
  <si>
    <t>TEMW.04009011</t>
  </si>
  <si>
    <t>TEMW.04009015</t>
  </si>
  <si>
    <t>TEMW.04009016</t>
  </si>
  <si>
    <t>TEMW.04009020</t>
  </si>
  <si>
    <t>TEMW.04009021</t>
  </si>
  <si>
    <t>TEMW.04010010</t>
  </si>
  <si>
    <t>TEMW.04010011</t>
  </si>
  <si>
    <t>TEMW.04010015</t>
  </si>
  <si>
    <t>TEMW.04010016</t>
  </si>
  <si>
    <t>TEMW.04010020</t>
  </si>
  <si>
    <t>TEMW.04010021</t>
  </si>
  <si>
    <t>TEMW.04011010</t>
  </si>
  <si>
    <t>TEMW.04011011</t>
  </si>
  <si>
    <t>TEMW.04011015</t>
  </si>
  <si>
    <t>TEMW.04011016</t>
  </si>
  <si>
    <t>TEMW.04011020</t>
  </si>
  <si>
    <t>TEMW.04011021</t>
  </si>
  <si>
    <t>TEMW.04012010</t>
  </si>
  <si>
    <t>TEMW.04012011</t>
  </si>
  <si>
    <t>TEMW.04012015</t>
  </si>
  <si>
    <t>TEMW.04012016</t>
  </si>
  <si>
    <t>TEMW.04012020</t>
  </si>
  <si>
    <t>TEMW.04012021</t>
  </si>
  <si>
    <t>TEMW.04014010</t>
  </si>
  <si>
    <t>TEMW.04014011</t>
  </si>
  <si>
    <t>TEMW.04014015</t>
  </si>
  <si>
    <t>TEMW.04014016</t>
  </si>
  <si>
    <t>TEMW.04014020</t>
  </si>
  <si>
    <t>TEMW.04014021</t>
  </si>
  <si>
    <t>TEMW.04016010</t>
  </si>
  <si>
    <t>TEMW.04016011</t>
  </si>
  <si>
    <t>TEMW.04016015</t>
  </si>
  <si>
    <t>TEMW.04016016</t>
  </si>
  <si>
    <t>TEMW.04016020</t>
  </si>
  <si>
    <t>TEMW.04016021</t>
  </si>
  <si>
    <t>TEMW.04018010</t>
  </si>
  <si>
    <t>TEMW.04018011</t>
  </si>
  <si>
    <t>TEMW.04018015</t>
  </si>
  <si>
    <t>TEMW.04018016</t>
  </si>
  <si>
    <t>TEMW.04018020</t>
  </si>
  <si>
    <t>TEMW.04018021</t>
  </si>
  <si>
    <t>TEMW.04020010</t>
  </si>
  <si>
    <t>TEMW.04020011</t>
  </si>
  <si>
    <t>TEMW.04020015</t>
  </si>
  <si>
    <t>TEMW.04020016</t>
  </si>
  <si>
    <t>TEMW.04020020</t>
  </si>
  <si>
    <t>TEMW.04020021</t>
  </si>
  <si>
    <t>TEMW.04022010</t>
  </si>
  <si>
    <t>TEMW.04022011</t>
  </si>
  <si>
    <t>TEMW.04022015</t>
  </si>
  <si>
    <t>TEMW.04022016</t>
  </si>
  <si>
    <t>TEMW.04022020</t>
  </si>
  <si>
    <t>TEMW.04022021</t>
  </si>
  <si>
    <t>TEMW.04024010</t>
  </si>
  <si>
    <t>TEMW.04024011</t>
  </si>
  <si>
    <t>TEMW.04024015</t>
  </si>
  <si>
    <t>TEMW.04024016</t>
  </si>
  <si>
    <t>TEMW.04024020</t>
  </si>
  <si>
    <t>TEMW.04024021</t>
  </si>
  <si>
    <t>TEMW.04026010</t>
  </si>
  <si>
    <t>TEMW.04026011</t>
  </si>
  <si>
    <t>TEMW.04026015</t>
  </si>
  <si>
    <t>TEMW.04026016</t>
  </si>
  <si>
    <t>TEMW.04026020</t>
  </si>
  <si>
    <t>TEMW.04026021</t>
  </si>
  <si>
    <t>TEMW.04028010</t>
  </si>
  <si>
    <t>TEMW.04028011</t>
  </si>
  <si>
    <t>TEMW.04028015</t>
  </si>
  <si>
    <t>TEMW.04028016</t>
  </si>
  <si>
    <t>TEMW.04028020</t>
  </si>
  <si>
    <t>TEMW.04028021</t>
  </si>
  <si>
    <t>TEMW.04030010</t>
  </si>
  <si>
    <t>TEMW.04030011</t>
  </si>
  <si>
    <t>TEMW.04030015</t>
  </si>
  <si>
    <t>TEMW.04030016</t>
  </si>
  <si>
    <t>TEMW.04030020</t>
  </si>
  <si>
    <t>TEMW.04030021</t>
  </si>
  <si>
    <t>TEMW.05004010</t>
  </si>
  <si>
    <t>TEMW.05004011</t>
  </si>
  <si>
    <t>TEMW.05004015</t>
  </si>
  <si>
    <t>TEMW.05004016</t>
  </si>
  <si>
    <t>TEMW.05004020</t>
  </si>
  <si>
    <t>TEMW.05004021</t>
  </si>
  <si>
    <t>TEMW.05005010</t>
  </si>
  <si>
    <t>TEMW.05005011</t>
  </si>
  <si>
    <t>TEMW.05005015</t>
  </si>
  <si>
    <t>TEMW.05005016</t>
  </si>
  <si>
    <t>TEMW.05005020</t>
  </si>
  <si>
    <t>TEMW.05005021</t>
  </si>
  <si>
    <t>TEMW.05006010</t>
  </si>
  <si>
    <t>TEMW.05006011</t>
  </si>
  <si>
    <t>TEMW.05006015</t>
  </si>
  <si>
    <t>TEMW.05006016</t>
  </si>
  <si>
    <t>TEMW.05006020</t>
  </si>
  <si>
    <t>TEMW.05006021</t>
  </si>
  <si>
    <t>TEMW.05007010</t>
  </si>
  <si>
    <t>TEMW.05007011</t>
  </si>
  <si>
    <t>TEMW.05007015</t>
  </si>
  <si>
    <t>TEMW.05007016</t>
  </si>
  <si>
    <t>TEMW.05007020</t>
  </si>
  <si>
    <t>TEMW.05007021</t>
  </si>
  <si>
    <t>TEMW.05008010</t>
  </si>
  <si>
    <t>TEMW.05008011</t>
  </si>
  <si>
    <t>TEMW.05008015</t>
  </si>
  <si>
    <t>TEMW.05008016</t>
  </si>
  <si>
    <t>TEMW.05008020</t>
  </si>
  <si>
    <t>TEMW.05008021</t>
  </si>
  <si>
    <t>TEMW.05009010</t>
  </si>
  <si>
    <t>TEMW.05009011</t>
  </si>
  <si>
    <t>TEMW.05009015</t>
  </si>
  <si>
    <t>TEMW.05009016</t>
  </si>
  <si>
    <t>TEMW.05009020</t>
  </si>
  <si>
    <t>TEMW.05009021</t>
  </si>
  <si>
    <t>TEMW.05010010</t>
  </si>
  <si>
    <t>TEMW.05010011</t>
  </si>
  <si>
    <t>TEMW.05010015</t>
  </si>
  <si>
    <t>TEMW.05010016</t>
  </si>
  <si>
    <t>TEMW.05010020</t>
  </si>
  <si>
    <t>TEMW.05010021</t>
  </si>
  <si>
    <t>TEMW.05011010</t>
  </si>
  <si>
    <t>TEMW.05011011</t>
  </si>
  <si>
    <t>TEMW.05011015</t>
  </si>
  <si>
    <t>TEMW.05011016</t>
  </si>
  <si>
    <t>TEMW.05011020</t>
  </si>
  <si>
    <t>TEMW.05011021</t>
  </si>
  <si>
    <t>TEMW.05012010</t>
  </si>
  <si>
    <t>TEMW.05012011</t>
  </si>
  <si>
    <t>TEMW.05012015</t>
  </si>
  <si>
    <t>TEMW.05012016</t>
  </si>
  <si>
    <t>TEMW.05012020</t>
  </si>
  <si>
    <t>TEMW.05012021</t>
  </si>
  <si>
    <t>TEMW.05014010</t>
  </si>
  <si>
    <t>TEMW.05014011</t>
  </si>
  <si>
    <t>TEMW.05014015</t>
  </si>
  <si>
    <t>TEMW.05014016</t>
  </si>
  <si>
    <t>TEMW.05014020</t>
  </si>
  <si>
    <t>TEMW.05014021</t>
  </si>
  <si>
    <t>TEMW.05016010</t>
  </si>
  <si>
    <t>TEMW.05016011</t>
  </si>
  <si>
    <t>TEMW.05016015</t>
  </si>
  <si>
    <t>TEMW.05016016</t>
  </si>
  <si>
    <t>TEMW.05016020</t>
  </si>
  <si>
    <t>TEMW.05016021</t>
  </si>
  <si>
    <t>TEMW.05018010</t>
  </si>
  <si>
    <t>TEMW.05018011</t>
  </si>
  <si>
    <t>TEMW.05018015</t>
  </si>
  <si>
    <t>TEMW.05018016</t>
  </si>
  <si>
    <t>TEMW.05018020</t>
  </si>
  <si>
    <t>TEMW.05018021</t>
  </si>
  <si>
    <t>TEMW.05020010</t>
  </si>
  <si>
    <t>TEMW.05020011</t>
  </si>
  <si>
    <t>TEMW.05020015</t>
  </si>
  <si>
    <t>TEMW.05020016</t>
  </si>
  <si>
    <t>TEMW.05020020</t>
  </si>
  <si>
    <t>TEMW.05020021</t>
  </si>
  <si>
    <t>TEMW.05022010</t>
  </si>
  <si>
    <t>TEMW.05022011</t>
  </si>
  <si>
    <t>TEMW.05022015</t>
  </si>
  <si>
    <t>TEMW.05022016</t>
  </si>
  <si>
    <t>TEMW.05022020</t>
  </si>
  <si>
    <t>TEMW.05022021</t>
  </si>
  <si>
    <t>TEMW.05024010</t>
  </si>
  <si>
    <t>TEMW.05024011</t>
  </si>
  <si>
    <t>TEMW.05024015</t>
  </si>
  <si>
    <t>TEMW.05024016</t>
  </si>
  <si>
    <t>TEMW.05024020</t>
  </si>
  <si>
    <t>TEMW.05024021</t>
  </si>
  <si>
    <t>TEMW.05026010</t>
  </si>
  <si>
    <t>TEMW.05026011</t>
  </si>
  <si>
    <t>TEMW.05026015</t>
  </si>
  <si>
    <t>TEMW.05026016</t>
  </si>
  <si>
    <t>TEMW.05026020</t>
  </si>
  <si>
    <t>TEMW.05026021</t>
  </si>
  <si>
    <t>TEMW.05028010</t>
  </si>
  <si>
    <t>TEMW.05028011</t>
  </si>
  <si>
    <t>TEMW.05028015</t>
  </si>
  <si>
    <t>TEMW.05028016</t>
  </si>
  <si>
    <t>TEMW.05028020</t>
  </si>
  <si>
    <t>TEMW.05028021</t>
  </si>
  <si>
    <t>TEMW.05030010</t>
  </si>
  <si>
    <t>TEMW.05030011</t>
  </si>
  <si>
    <t>TEMW.05030015</t>
  </si>
  <si>
    <t>TEMW.05030016</t>
  </si>
  <si>
    <t>TEMW.05030020</t>
  </si>
  <si>
    <t>TEMW.05030021</t>
  </si>
  <si>
    <t>TEMW.06004010</t>
  </si>
  <si>
    <t>TEMW.06004011</t>
  </si>
  <si>
    <t>TEMW.06004015</t>
  </si>
  <si>
    <t>TEMW.06004016</t>
  </si>
  <si>
    <t>TEMW.06004020</t>
  </si>
  <si>
    <t>TEMW.06004021</t>
  </si>
  <si>
    <t>TEMW.06005010</t>
  </si>
  <si>
    <t>TEMW.06005011</t>
  </si>
  <si>
    <t>TEMW.06005015</t>
  </si>
  <si>
    <t>TEMW.06005016</t>
  </si>
  <si>
    <t>TEMW.06005020</t>
  </si>
  <si>
    <t>TEMW.06005021</t>
  </si>
  <si>
    <t>TEMW.06006010</t>
  </si>
  <si>
    <t>TEMW.06006011</t>
  </si>
  <si>
    <t>TEMW.06006015</t>
  </si>
  <si>
    <t>TEMW.06006016</t>
  </si>
  <si>
    <t>TEMW.06006020</t>
  </si>
  <si>
    <t>TEMW.06006021</t>
  </si>
  <si>
    <t>TEMW.06007010</t>
  </si>
  <si>
    <t>TEMW.06007011</t>
  </si>
  <si>
    <t>TEMW.06007015</t>
  </si>
  <si>
    <t>TEMW.06007016</t>
  </si>
  <si>
    <t>TEMW.06007020</t>
  </si>
  <si>
    <t>TEMW.06007021</t>
  </si>
  <si>
    <t>TEMW.06008010</t>
  </si>
  <si>
    <t>TEMW.06008011</t>
  </si>
  <si>
    <t>TEMW.06008015</t>
  </si>
  <si>
    <t>TEMW.06008016</t>
  </si>
  <si>
    <t>TEMW.06008020</t>
  </si>
  <si>
    <t>TEMW.06008021</t>
  </si>
  <si>
    <t>TEMW.06009010</t>
  </si>
  <si>
    <t>TEMW.06009011</t>
  </si>
  <si>
    <t>TEMW.06009015</t>
  </si>
  <si>
    <t>TEMW.06009016</t>
  </si>
  <si>
    <t>TEMW.06009020</t>
  </si>
  <si>
    <t>TEMW.06009021</t>
  </si>
  <si>
    <t>TEMW.06010010</t>
  </si>
  <si>
    <t>TEMW.06010011</t>
  </si>
  <si>
    <t>TEMW.06010015</t>
  </si>
  <si>
    <t>TEMW.06010016</t>
  </si>
  <si>
    <t>TEMW.06010020</t>
  </si>
  <si>
    <t>TEMW.06010021</t>
  </si>
  <si>
    <t>TEMW.06011010</t>
  </si>
  <si>
    <t>TEMW.06011011</t>
  </si>
  <si>
    <t>TEMW.06011015</t>
  </si>
  <si>
    <t>TEMW.06011016</t>
  </si>
  <si>
    <t>TEMW.06011020</t>
  </si>
  <si>
    <t>TEMW.06011021</t>
  </si>
  <si>
    <t>TEMW.06012010</t>
  </si>
  <si>
    <t>TEMW.06012011</t>
  </si>
  <si>
    <t>TEMW.06012015</t>
  </si>
  <si>
    <t>TEMW.06012016</t>
  </si>
  <si>
    <t>TEMW.06012020</t>
  </si>
  <si>
    <t>TEMW.06012021</t>
  </si>
  <si>
    <t>TEMW.06014010</t>
  </si>
  <si>
    <t>TEMW.06014011</t>
  </si>
  <si>
    <t>TEMW.06014015</t>
  </si>
  <si>
    <t>TEMW.06014016</t>
  </si>
  <si>
    <t>TEMW.06014020</t>
  </si>
  <si>
    <t>TEMW.06014021</t>
  </si>
  <si>
    <t>TEMW.06016010</t>
  </si>
  <si>
    <t>TEMW.06016011</t>
  </si>
  <si>
    <t>TEMW.06016015</t>
  </si>
  <si>
    <t>TEMW.06016016</t>
  </si>
  <si>
    <t>TEMW.06016020</t>
  </si>
  <si>
    <t>TEMW.06016021</t>
  </si>
  <si>
    <t>TEMW.06018010</t>
  </si>
  <si>
    <t>TEMW.06018011</t>
  </si>
  <si>
    <t>TEMW.06018015</t>
  </si>
  <si>
    <t>TEMW.06018016</t>
  </si>
  <si>
    <t>TEMW.06018020</t>
  </si>
  <si>
    <t>TEMW.06018021</t>
  </si>
  <si>
    <t>TEMW.06020010</t>
  </si>
  <si>
    <t>TEMW.06020011</t>
  </si>
  <si>
    <t>TEMW.06020015</t>
  </si>
  <si>
    <t>TEMW.06020016</t>
  </si>
  <si>
    <t>TEMW.06020020</t>
  </si>
  <si>
    <t>TEMW.06020021</t>
  </si>
  <si>
    <t>TEMW.06022010</t>
  </si>
  <si>
    <t>TEMW.06022011</t>
  </si>
  <si>
    <t>TEMW.06022015</t>
  </si>
  <si>
    <t>TEMW.06022016</t>
  </si>
  <si>
    <t>TEMW.06022020</t>
  </si>
  <si>
    <t>TEMW.06022021</t>
  </si>
  <si>
    <t>TEMW.06024010</t>
  </si>
  <si>
    <t>TEMW.06024011</t>
  </si>
  <si>
    <t>TEMW.06024015</t>
  </si>
  <si>
    <t>TEMW.06024016</t>
  </si>
  <si>
    <t>TEMW.06024020</t>
  </si>
  <si>
    <t>TEMW.06024021</t>
  </si>
  <si>
    <t>TEMW.06026010</t>
  </si>
  <si>
    <t>TEMW.06026011</t>
  </si>
  <si>
    <t>TEMW.06026015</t>
  </si>
  <si>
    <t>TEMW.06026016</t>
  </si>
  <si>
    <t>TEMW.06026020</t>
  </si>
  <si>
    <t>TEMW.06026021</t>
  </si>
  <si>
    <t>TEMW.06028010</t>
  </si>
  <si>
    <t>TEMW.06028011</t>
  </si>
  <si>
    <t>TEMW.06028015</t>
  </si>
  <si>
    <t>TEMW.06028016</t>
  </si>
  <si>
    <t>TEMW.06028020</t>
  </si>
  <si>
    <t>TEMW.06028021</t>
  </si>
  <si>
    <t>TEMW.06030010</t>
  </si>
  <si>
    <t>TEMW.06030011</t>
  </si>
  <si>
    <t>TEMW.06030015</t>
  </si>
  <si>
    <t>TEMW.06030016</t>
  </si>
  <si>
    <t>TEMW.06030020</t>
  </si>
  <si>
    <t>TEMW.06030021</t>
  </si>
  <si>
    <t>TEMW.07004010</t>
  </si>
  <si>
    <t>TEMW.07004011</t>
  </si>
  <si>
    <t>TEMW.07004015</t>
  </si>
  <si>
    <t>TEMW.07004016</t>
  </si>
  <si>
    <t>TEMW.07004020</t>
  </si>
  <si>
    <t>TEMW.07004021</t>
  </si>
  <si>
    <t>TEMW.07005010</t>
  </si>
  <si>
    <t>TEMW.07005011</t>
  </si>
  <si>
    <t>TEMW.07005015</t>
  </si>
  <si>
    <t>TEMW.07005016</t>
  </si>
  <si>
    <t>TEMW.07005020</t>
  </si>
  <si>
    <t>TEMW.07005021</t>
  </si>
  <si>
    <t>TEMW.07006010</t>
  </si>
  <si>
    <t>TEMW.07006011</t>
  </si>
  <si>
    <t>TEMW.07006015</t>
  </si>
  <si>
    <t>TEMW.07006016</t>
  </si>
  <si>
    <t>TEMW.07006020</t>
  </si>
  <si>
    <t>TEMW.07006021</t>
  </si>
  <si>
    <t>TEMW.07007010</t>
  </si>
  <si>
    <t>TEMW.07007011</t>
  </si>
  <si>
    <t>TEMW.07007015</t>
  </si>
  <si>
    <t>TEMW.07007016</t>
  </si>
  <si>
    <t>TEMW.07007020</t>
  </si>
  <si>
    <t>TEMW.07007021</t>
  </si>
  <si>
    <t>TEMW.07008010</t>
  </si>
  <si>
    <t>TEMW.07008011</t>
  </si>
  <si>
    <t>TEMW.07008015</t>
  </si>
  <si>
    <t>TEMW.07008016</t>
  </si>
  <si>
    <t>TEMW.07008020</t>
  </si>
  <si>
    <t>TEMW.07008021</t>
  </si>
  <si>
    <t>TEMW.07009010</t>
  </si>
  <si>
    <t>TEMW.07009011</t>
  </si>
  <si>
    <t>TEMW.07009015</t>
  </si>
  <si>
    <t>TEMW.07009016</t>
  </si>
  <si>
    <t>TEMW.07009020</t>
  </si>
  <si>
    <t>TEMW.07009021</t>
  </si>
  <si>
    <t>TEMW.07010010</t>
  </si>
  <si>
    <t>TEMW.07010011</t>
  </si>
  <si>
    <t>TEMW.07010015</t>
  </si>
  <si>
    <t>TEMW.07010016</t>
  </si>
  <si>
    <t>TEMW.07010020</t>
  </si>
  <si>
    <t>TEMW.07010021</t>
  </si>
  <si>
    <t>TEMW.07011010</t>
  </si>
  <si>
    <t>TEMW.07011011</t>
  </si>
  <si>
    <t>TEMW.07011015</t>
  </si>
  <si>
    <t>TEMW.07011016</t>
  </si>
  <si>
    <t>TEMW.07011020</t>
  </si>
  <si>
    <t>TEMW.07011021</t>
  </si>
  <si>
    <t>TEMW.07012010</t>
  </si>
  <si>
    <t>TEMW.07012011</t>
  </si>
  <si>
    <t>TEMW.07012015</t>
  </si>
  <si>
    <t>TEMW.07012016</t>
  </si>
  <si>
    <t>TEMW.07012020</t>
  </si>
  <si>
    <t>TEMW.07012021</t>
  </si>
  <si>
    <t>TEMW.07014010</t>
  </si>
  <si>
    <t>TEMW.07014011</t>
  </si>
  <si>
    <t>TEMW.07014015</t>
  </si>
  <si>
    <t>TEMW.07014016</t>
  </si>
  <si>
    <t>TEMW.07014020</t>
  </si>
  <si>
    <t>TEMW.07014021</t>
  </si>
  <si>
    <t>TEMW.07016010</t>
  </si>
  <si>
    <t>TEMW.07016011</t>
  </si>
  <si>
    <t>TEMW.07016015</t>
  </si>
  <si>
    <t>TEMW.07016016</t>
  </si>
  <si>
    <t>TEMW.07016020</t>
  </si>
  <si>
    <t>TEMW.07016021</t>
  </si>
  <si>
    <t>TEMW.07018010</t>
  </si>
  <si>
    <t>TEMW.07018011</t>
  </si>
  <si>
    <t>TEMW.07018015</t>
  </si>
  <si>
    <t>TEMW.07018016</t>
  </si>
  <si>
    <t>TEMW.07018020</t>
  </si>
  <si>
    <t>TEMW.07018021</t>
  </si>
  <si>
    <t>TEMW.07020010</t>
  </si>
  <si>
    <t>TEMW.07020011</t>
  </si>
  <si>
    <t>TEMW.07020015</t>
  </si>
  <si>
    <t>TEMW.07020016</t>
  </si>
  <si>
    <t>TEMW.07020020</t>
  </si>
  <si>
    <t>TEMW.07020021</t>
  </si>
  <si>
    <t>TEMW.07022010</t>
  </si>
  <si>
    <t>TEMW.07022011</t>
  </si>
  <si>
    <t>TEMW.07022015</t>
  </si>
  <si>
    <t>TEMW.07022016</t>
  </si>
  <si>
    <t>TEMW.07022020</t>
  </si>
  <si>
    <t>TEMW.07022021</t>
  </si>
  <si>
    <t>TEMW.07024010</t>
  </si>
  <si>
    <t>TEMW.07024011</t>
  </si>
  <si>
    <t>TEMW.07024015</t>
  </si>
  <si>
    <t>TEMW.07024016</t>
  </si>
  <si>
    <t>TEMW.07024020</t>
  </si>
  <si>
    <t>TEMW.07024021</t>
  </si>
  <si>
    <t>TEMW.07026010</t>
  </si>
  <si>
    <t>TEMW.07026011</t>
  </si>
  <si>
    <t>TEMW.07026015</t>
  </si>
  <si>
    <t>TEMW.07026016</t>
  </si>
  <si>
    <t>TEMW.07026020</t>
  </si>
  <si>
    <t>TEMW.07026021</t>
  </si>
  <si>
    <t>TEMW.07028010</t>
  </si>
  <si>
    <t>TEMW.07028011</t>
  </si>
  <si>
    <t>TEMW.07028015</t>
  </si>
  <si>
    <t>TEMW.07028016</t>
  </si>
  <si>
    <t>TEMW.07028020</t>
  </si>
  <si>
    <t>TEMW.07028021</t>
  </si>
  <si>
    <t>TEMW.07030010</t>
  </si>
  <si>
    <t>TEMW.07030011</t>
  </si>
  <si>
    <t>TEMW.07030015</t>
  </si>
  <si>
    <t>TEMW.07030016</t>
  </si>
  <si>
    <t>TEMW.07030020</t>
  </si>
  <si>
    <t>TEMW.07030021</t>
  </si>
  <si>
    <t>TEMW.09004010</t>
  </si>
  <si>
    <t>TEMW.09004011</t>
  </si>
  <si>
    <t>TEMW.09004015</t>
  </si>
  <si>
    <t>TEMW.09004016</t>
  </si>
  <si>
    <t>TEMW.09004020</t>
  </si>
  <si>
    <t>TEMW.09004021</t>
  </si>
  <si>
    <t>TEMW.09005010</t>
  </si>
  <si>
    <t>TEMW.09005011</t>
  </si>
  <si>
    <t>TEMW.09005015</t>
  </si>
  <si>
    <t>TEMW.09005016</t>
  </si>
  <si>
    <t>TEMW.09005020</t>
  </si>
  <si>
    <t>TEMW.09005021</t>
  </si>
  <si>
    <t>TEMW.09006010</t>
  </si>
  <si>
    <t>TEMW.09006011</t>
  </si>
  <si>
    <t>TEMW.09006015</t>
  </si>
  <si>
    <t>TEMW.09006016</t>
  </si>
  <si>
    <t>TEMW.09006020</t>
  </si>
  <si>
    <t>TEMW.09006021</t>
  </si>
  <si>
    <t>TEMW.09007010</t>
  </si>
  <si>
    <t>TEMW.09007011</t>
  </si>
  <si>
    <t>TEMW.09007015</t>
  </si>
  <si>
    <t>TEMW.09007016</t>
  </si>
  <si>
    <t>TEMW.09007020</t>
  </si>
  <si>
    <t>TEMW.09007021</t>
  </si>
  <si>
    <t>TEMW.09008010</t>
  </si>
  <si>
    <t>TEMW.09008011</t>
  </si>
  <si>
    <t>TEMW.09008015</t>
  </si>
  <si>
    <t>TEMW.09008016</t>
  </si>
  <si>
    <t>TEMW.09008020</t>
  </si>
  <si>
    <t>TEMW.09008021</t>
  </si>
  <si>
    <t>TEMW.09009010</t>
  </si>
  <si>
    <t>TEMW.09009011</t>
  </si>
  <si>
    <t>TEMW.09009015</t>
  </si>
  <si>
    <t>TEMW.09009016</t>
  </si>
  <si>
    <t>TEMW.09009020</t>
  </si>
  <si>
    <t>TEMW.09009021</t>
  </si>
  <si>
    <t>TEMW.09010010</t>
  </si>
  <si>
    <t>TEMW.09010011</t>
  </si>
  <si>
    <t>TEMW.09010015</t>
  </si>
  <si>
    <t>TEMW.09010016</t>
  </si>
  <si>
    <t>TEMW.09010020</t>
  </si>
  <si>
    <t>TEMW.09010021</t>
  </si>
  <si>
    <t>TEMW.09011010</t>
  </si>
  <si>
    <t>TEMW.09011011</t>
  </si>
  <si>
    <t>TEMW.09011015</t>
  </si>
  <si>
    <t>TEMW.09011016</t>
  </si>
  <si>
    <t>TEMW.09011020</t>
  </si>
  <si>
    <t>TEMW.09011021</t>
  </si>
  <si>
    <t>TEMW.09012010</t>
  </si>
  <si>
    <t>TEMW.09012011</t>
  </si>
  <si>
    <t>TEMW.09012015</t>
  </si>
  <si>
    <t>TEMW.09012016</t>
  </si>
  <si>
    <t>TEMW.09012020</t>
  </si>
  <si>
    <t>TEMW.09012021</t>
  </si>
  <si>
    <t>TEMW.09014010</t>
  </si>
  <si>
    <t>TEMW.09014011</t>
  </si>
  <si>
    <t>TEMW.09014015</t>
  </si>
  <si>
    <t>TEMW.09014016</t>
  </si>
  <si>
    <t>TEMW.09014020</t>
  </si>
  <si>
    <t>TEMW.09014021</t>
  </si>
  <si>
    <t>TEMW.09016010</t>
  </si>
  <si>
    <t>TEMW.09016011</t>
  </si>
  <si>
    <t>TEMW.09016015</t>
  </si>
  <si>
    <t>TEMW.09016016</t>
  </si>
  <si>
    <t>TEMW.09016020</t>
  </si>
  <si>
    <t>TEMW.09016021</t>
  </si>
  <si>
    <t>TEMW.09018010</t>
  </si>
  <si>
    <t>TEMW.09018011</t>
  </si>
  <si>
    <t>TEMW.09018015</t>
  </si>
  <si>
    <t>TEMW.09018016</t>
  </si>
  <si>
    <t>TEMW.09018020</t>
  </si>
  <si>
    <t>TEMW.09018021</t>
  </si>
  <si>
    <t>TEMW.09020010</t>
  </si>
  <si>
    <t>TEMW.09020011</t>
  </si>
  <si>
    <t>TEMW.09020015</t>
  </si>
  <si>
    <t>TEMW.09020016</t>
  </si>
  <si>
    <t>TEMW.09020020</t>
  </si>
  <si>
    <t>TEMW.09020021</t>
  </si>
  <si>
    <t>TEMW.09022010</t>
  </si>
  <si>
    <t>TEMW.09022011</t>
  </si>
  <si>
    <t>TEMW.09022015</t>
  </si>
  <si>
    <t>TEMW.09022016</t>
  </si>
  <si>
    <t>TEMW.09022020</t>
  </si>
  <si>
    <t>TEMW.09022021</t>
  </si>
  <si>
    <t>TEMW.09024010</t>
  </si>
  <si>
    <t>TEMW.09024011</t>
  </si>
  <si>
    <t>TEMW.09024015</t>
  </si>
  <si>
    <t>TEMW.09024016</t>
  </si>
  <si>
    <t>TEMW.09024020</t>
  </si>
  <si>
    <t>TEMW.09024021</t>
  </si>
  <si>
    <t>TEMW.09026010</t>
  </si>
  <si>
    <t>TEMW.09026011</t>
  </si>
  <si>
    <t>TEMW.09026015</t>
  </si>
  <si>
    <t>TEMW.09026016</t>
  </si>
  <si>
    <t>TEMW.09026020</t>
  </si>
  <si>
    <t>TEMW.09026021</t>
  </si>
  <si>
    <t>TEMW.09028010</t>
  </si>
  <si>
    <t>TEMW.09028011</t>
  </si>
  <si>
    <t>TEMW.09028015</t>
  </si>
  <si>
    <t>TEMW.09028016</t>
  </si>
  <si>
    <t>TEMW.09028020</t>
  </si>
  <si>
    <t>TEMW.09028021</t>
  </si>
  <si>
    <t>TEMW.09030010</t>
  </si>
  <si>
    <t>TEMW.09030011</t>
  </si>
  <si>
    <t>TEMW.09030015</t>
  </si>
  <si>
    <t>TEMW.09030016</t>
  </si>
  <si>
    <t>TEMW.09030020</t>
  </si>
  <si>
    <t>TEMW.09030021</t>
  </si>
  <si>
    <t>10</t>
  </si>
  <si>
    <t>15</t>
  </si>
  <si>
    <t>20</t>
  </si>
  <si>
    <t>11</t>
  </si>
  <si>
    <t>16</t>
  </si>
  <si>
    <t>21</t>
  </si>
  <si>
    <t>06</t>
  </si>
  <si>
    <t>DNA</t>
  </si>
  <si>
    <t>09</t>
  </si>
  <si>
    <t>14</t>
  </si>
  <si>
    <t>19</t>
  </si>
  <si>
    <t>05</t>
  </si>
  <si>
    <t>Tabbladen hebben verschillende rekenmethodes/formules</t>
  </si>
  <si>
    <t>heating</t>
  </si>
  <si>
    <t>cooling</t>
  </si>
  <si>
    <t>ref</t>
  </si>
  <si>
    <t>k1</t>
  </si>
  <si>
    <t>n</t>
  </si>
  <si>
    <t>t</t>
  </si>
  <si>
    <t>k2</t>
  </si>
  <si>
    <t>Altitude in ft</t>
  </si>
  <si>
    <t>Clima Canal 08</t>
  </si>
  <si>
    <t>Clima Canal 10</t>
  </si>
  <si>
    <t>Clima Canal H19</t>
  </si>
  <si>
    <t>Return Air T</t>
  </si>
  <si>
    <t>in-&gt;ft</t>
  </si>
  <si>
    <t>LowH2O drop</t>
  </si>
  <si>
    <t>ftH2O</t>
  </si>
  <si>
    <t>correctie mbv DoelZoeken</t>
  </si>
  <si>
    <t>Quatro Canal H13</t>
  </si>
  <si>
    <t>D05</t>
  </si>
  <si>
    <t>0-8000ft, no derate.</t>
  </si>
  <si>
    <t>8001ft to 9000ft = 7% less BTU</t>
  </si>
  <si>
    <t>9001ft to 10000ft = 9% less BTU</t>
  </si>
  <si>
    <t>10001ft and above = 11% less BTU</t>
  </si>
  <si>
    <t>Altitude dynamics</t>
  </si>
  <si>
    <t>Altitude LowH2O</t>
  </si>
  <si>
    <t>Electrical Consumption W</t>
  </si>
  <si>
    <t>STCA.03505005</t>
  </si>
  <si>
    <t>STCA.03506005</t>
  </si>
  <si>
    <t>STCA.03507005</t>
  </si>
  <si>
    <t>STCA.03508005</t>
  </si>
  <si>
    <t>STCA.03509005</t>
  </si>
  <si>
    <t>STCA.03510005</t>
  </si>
  <si>
    <t>STCA.03511005</t>
  </si>
  <si>
    <t>STCA.03512005</t>
  </si>
  <si>
    <t>STCA.03514005</t>
  </si>
  <si>
    <t>STCA.03516005</t>
  </si>
  <si>
    <t>STCA.03518005</t>
  </si>
  <si>
    <t>STCA.03520005</t>
  </si>
  <si>
    <t>STCA.03505010</t>
  </si>
  <si>
    <t>STCA.03506010</t>
  </si>
  <si>
    <t>STCA.03507010</t>
  </si>
  <si>
    <t>STCA.03508010</t>
  </si>
  <si>
    <t>STCA.03509010</t>
  </si>
  <si>
    <t>STCA.03510010</t>
  </si>
  <si>
    <t>STCA.03511010</t>
  </si>
  <si>
    <t>STCA.03512010</t>
  </si>
  <si>
    <t>STCA.03514010</t>
  </si>
  <si>
    <t>STCA.03516010</t>
  </si>
  <si>
    <t>STCA.03518010</t>
  </si>
  <si>
    <t>STCA.03520010</t>
  </si>
  <si>
    <t>STCA.03505015</t>
  </si>
  <si>
    <t>STCA.03506015</t>
  </si>
  <si>
    <t>STCA.03507015</t>
  </si>
  <si>
    <t>STCA.03508015</t>
  </si>
  <si>
    <t>STCA.03509015</t>
  </si>
  <si>
    <t>STCA.03510015</t>
  </si>
  <si>
    <t>STCA.03511015</t>
  </si>
  <si>
    <t>STCA.03512015</t>
  </si>
  <si>
    <t>STCA.03514015</t>
  </si>
  <si>
    <t>STCA.03516015</t>
  </si>
  <si>
    <t>STCA.03518015</t>
  </si>
  <si>
    <t>STCA.03520015</t>
  </si>
  <si>
    <t>STCA.05005010</t>
  </si>
  <si>
    <t>STCA.05006010</t>
  </si>
  <si>
    <t>STCA.05007010</t>
  </si>
  <si>
    <t>STCA.05008010</t>
  </si>
  <si>
    <t>STCA.05009010</t>
  </si>
  <si>
    <t>STCA.05010010</t>
  </si>
  <si>
    <t>STCA.05011010</t>
  </si>
  <si>
    <t>STCA.05012010</t>
  </si>
  <si>
    <t>STCA.05014010</t>
  </si>
  <si>
    <t>STCA.05016010</t>
  </si>
  <si>
    <t>STCA.05018010</t>
  </si>
  <si>
    <t>STCA.05020010</t>
  </si>
  <si>
    <t>STCA.05005015</t>
  </si>
  <si>
    <t>STCA.05006015</t>
  </si>
  <si>
    <t>STCA.05007015</t>
  </si>
  <si>
    <t>STCA.05008015</t>
  </si>
  <si>
    <t>STCA.05009015</t>
  </si>
  <si>
    <t>STCA.05010015</t>
  </si>
  <si>
    <t>STCA.05011015</t>
  </si>
  <si>
    <t>STCA.05012015</t>
  </si>
  <si>
    <t>STCA.05014015</t>
  </si>
  <si>
    <t>STCA.05016015</t>
  </si>
  <si>
    <t>STCA.05018015</t>
  </si>
  <si>
    <t>STCA.05020015</t>
  </si>
  <si>
    <t>STCA.05005020</t>
  </si>
  <si>
    <t>STCA.05006020</t>
  </si>
  <si>
    <t>STCA.05007020</t>
  </si>
  <si>
    <t>STCA.05008020</t>
  </si>
  <si>
    <t>STCA.05009020</t>
  </si>
  <si>
    <t>STCA.05010020</t>
  </si>
  <si>
    <t>STCA.05011020</t>
  </si>
  <si>
    <t>STCA.05012020</t>
  </si>
  <si>
    <t>STCA.05014020</t>
  </si>
  <si>
    <t>STCA.05016020</t>
  </si>
  <si>
    <t>STCA.05018020</t>
  </si>
  <si>
    <t>STCA.05020020</t>
  </si>
  <si>
    <t>STCA.06505010</t>
  </si>
  <si>
    <t>STCA.06506010</t>
  </si>
  <si>
    <t>STCA.06507010</t>
  </si>
  <si>
    <t>STCA.06508010</t>
  </si>
  <si>
    <t>STCA.06509010</t>
  </si>
  <si>
    <t>STCA.06510010</t>
  </si>
  <si>
    <t>STCA.06511010</t>
  </si>
  <si>
    <t>STCA.06512010</t>
  </si>
  <si>
    <t>STCA.06514010</t>
  </si>
  <si>
    <t>STCA.06516010</t>
  </si>
  <si>
    <t>STCA.06518010</t>
  </si>
  <si>
    <t>STCA.06520010</t>
  </si>
  <si>
    <t>STCA.06505015</t>
  </si>
  <si>
    <t>STCA.06506015</t>
  </si>
  <si>
    <t>STCA.06507015</t>
  </si>
  <si>
    <t>STCA.06508015</t>
  </si>
  <si>
    <t>STCA.06509015</t>
  </si>
  <si>
    <t>STCA.06510015</t>
  </si>
  <si>
    <t>STCA.06511015</t>
  </si>
  <si>
    <t>STCA.06512015</t>
  </si>
  <si>
    <t>STCA.06514015</t>
  </si>
  <si>
    <t>STCA.06516015</t>
  </si>
  <si>
    <t>STCA.06518015</t>
  </si>
  <si>
    <t>STCA.06520015</t>
  </si>
  <si>
    <t>STCA.06505020</t>
  </si>
  <si>
    <t>STCA.06506020</t>
  </si>
  <si>
    <t>STCA.06507020</t>
  </si>
  <si>
    <t>STCA.06508020</t>
  </si>
  <si>
    <t>STCA.06509020</t>
  </si>
  <si>
    <t>STCA.06510020</t>
  </si>
  <si>
    <t>STCA.06511020</t>
  </si>
  <si>
    <t>STCA.06512020</t>
  </si>
  <si>
    <t>STCA.06514020</t>
  </si>
  <si>
    <t>STCA.06516020</t>
  </si>
  <si>
    <t>STCA.06518020</t>
  </si>
  <si>
    <t>STCA.06520020</t>
  </si>
  <si>
    <t>Strada Continua</t>
  </si>
  <si>
    <t>Strada Continuo</t>
  </si>
  <si>
    <t>STCO.02005005</t>
  </si>
  <si>
    <t>STCO.02006005</t>
  </si>
  <si>
    <t>STCO.02007005</t>
  </si>
  <si>
    <t>STCO.02008005</t>
  </si>
  <si>
    <t>STCO.02009005</t>
  </si>
  <si>
    <t>STCO.02010005</t>
  </si>
  <si>
    <t>STCO.02011005</t>
  </si>
  <si>
    <t>STCO.02012005</t>
  </si>
  <si>
    <t>STCO.02014005</t>
  </si>
  <si>
    <t>STCO.02016005</t>
  </si>
  <si>
    <t>STCO.02018005</t>
  </si>
  <si>
    <t>STCO.02020005</t>
  </si>
  <si>
    <t>STCO.02005010</t>
  </si>
  <si>
    <t>STCO.02006010</t>
  </si>
  <si>
    <t>STCO.02007010</t>
  </si>
  <si>
    <t>STCO.02008010</t>
  </si>
  <si>
    <t>STCO.02009010</t>
  </si>
  <si>
    <t>STCO.02010010</t>
  </si>
  <si>
    <t>STCO.02011010</t>
  </si>
  <si>
    <t>STCO.02012010</t>
  </si>
  <si>
    <t>STCO.02014010</t>
  </si>
  <si>
    <t>STCO.02016010</t>
  </si>
  <si>
    <t>STCO.02018010</t>
  </si>
  <si>
    <t>STCO.02020010</t>
  </si>
  <si>
    <t>STCO.02005015</t>
  </si>
  <si>
    <t>STCO.02006015</t>
  </si>
  <si>
    <t>STCO.02007015</t>
  </si>
  <si>
    <t>STCO.02008015</t>
  </si>
  <si>
    <t>STCO.02009015</t>
  </si>
  <si>
    <t>STCO.02010015</t>
  </si>
  <si>
    <t>STCO.02011015</t>
  </si>
  <si>
    <t>STCO.02012015</t>
  </si>
  <si>
    <t>STCO.02014015</t>
  </si>
  <si>
    <t>STCO.02016015</t>
  </si>
  <si>
    <t>STCO.02018015</t>
  </si>
  <si>
    <t>STCO.02020015</t>
  </si>
  <si>
    <t>STCO.03505005</t>
  </si>
  <si>
    <t>STCO.03506005</t>
  </si>
  <si>
    <t>STCO.03507005</t>
  </si>
  <si>
    <t>STCO.03508005</t>
  </si>
  <si>
    <t>STCO.03509005</t>
  </si>
  <si>
    <t>STCO.03510005</t>
  </si>
  <si>
    <t>STCO.03511005</t>
  </si>
  <si>
    <t>STCO.03512005</t>
  </si>
  <si>
    <t>STCO.03514005</t>
  </si>
  <si>
    <t>STCO.03516005</t>
  </si>
  <si>
    <t>STCO.03518005</t>
  </si>
  <si>
    <t>STCO.03520005</t>
  </si>
  <si>
    <t>STCO.03505010</t>
  </si>
  <si>
    <t>STCO.03506010</t>
  </si>
  <si>
    <t>STCO.03507010</t>
  </si>
  <si>
    <t>STCO.03508010</t>
  </si>
  <si>
    <t>STCO.03509010</t>
  </si>
  <si>
    <t>STCO.03510010</t>
  </si>
  <si>
    <t>STCO.03511010</t>
  </si>
  <si>
    <t>STCO.03512010</t>
  </si>
  <si>
    <t>STCO.03514010</t>
  </si>
  <si>
    <t>STCO.03516010</t>
  </si>
  <si>
    <t>STCO.03518010</t>
  </si>
  <si>
    <t>STCO.03520010</t>
  </si>
  <si>
    <t>STCO.03505015</t>
  </si>
  <si>
    <t>STCO.03506015</t>
  </si>
  <si>
    <t>STCO.03507015</t>
  </si>
  <si>
    <t>STCO.03508015</t>
  </si>
  <si>
    <t>STCO.03509015</t>
  </si>
  <si>
    <t>STCO.03510015</t>
  </si>
  <si>
    <t>STCO.03511015</t>
  </si>
  <si>
    <t>STCO.03512015</t>
  </si>
  <si>
    <t>STCO.03514015</t>
  </si>
  <si>
    <t>STCO.03516015</t>
  </si>
  <si>
    <t>STCO.03518015</t>
  </si>
  <si>
    <t>STCO.03520015</t>
  </si>
  <si>
    <t>STCO.05005010</t>
  </si>
  <si>
    <t>STCO.05006010</t>
  </si>
  <si>
    <t>STCO.05007010</t>
  </si>
  <si>
    <t>STCO.05008010</t>
  </si>
  <si>
    <t>STCO.05009010</t>
  </si>
  <si>
    <t>STCO.05010010</t>
  </si>
  <si>
    <t>STCO.05011010</t>
  </si>
  <si>
    <t>STCO.05012010</t>
  </si>
  <si>
    <t>STCO.05014010</t>
  </si>
  <si>
    <t>STCO.05016010</t>
  </si>
  <si>
    <t>STCO.05018010</t>
  </si>
  <si>
    <t>STCO.05020010</t>
  </si>
  <si>
    <t>STCO.05005015</t>
  </si>
  <si>
    <t>STCO.05006015</t>
  </si>
  <si>
    <t>STCO.05007015</t>
  </si>
  <si>
    <t>STCO.05008015</t>
  </si>
  <si>
    <t>STCO.05009015</t>
  </si>
  <si>
    <t>STCO.05010015</t>
  </si>
  <si>
    <t>STCO.05011015</t>
  </si>
  <si>
    <t>STCO.05012015</t>
  </si>
  <si>
    <t>STCO.05014015</t>
  </si>
  <si>
    <t>STCO.05016015</t>
  </si>
  <si>
    <t>STCO.05018015</t>
  </si>
  <si>
    <t>STCO.05020015</t>
  </si>
  <si>
    <t>STCO.05005020</t>
  </si>
  <si>
    <t>STCO.05006020</t>
  </si>
  <si>
    <t>STCO.05007020</t>
  </si>
  <si>
    <t>STCO.05008020</t>
  </si>
  <si>
    <t>STCO.05009020</t>
  </si>
  <si>
    <t>STCO.05010020</t>
  </si>
  <si>
    <t>STCO.05011020</t>
  </si>
  <si>
    <t>STCO.05012020</t>
  </si>
  <si>
    <t>STCO.05014020</t>
  </si>
  <si>
    <t>STCO.05016020</t>
  </si>
  <si>
    <t>STCO.05018020</t>
  </si>
  <si>
    <t>STCO.05020020</t>
  </si>
  <si>
    <t>STCO.06505010</t>
  </si>
  <si>
    <t>STCO.06506010</t>
  </si>
  <si>
    <t>STCO.06507010</t>
  </si>
  <si>
    <t>STCO.06508010</t>
  </si>
  <si>
    <t>STCO.06509010</t>
  </si>
  <si>
    <t>STCO.06510010</t>
  </si>
  <si>
    <t>STCO.06511010</t>
  </si>
  <si>
    <t>STCO.06512010</t>
  </si>
  <si>
    <t>STCO.06514010</t>
  </si>
  <si>
    <t>STCO.06516010</t>
  </si>
  <si>
    <t>STCO.06518010</t>
  </si>
  <si>
    <t>STCO.06520010</t>
  </si>
  <si>
    <t>STCO.06505015</t>
  </si>
  <si>
    <t>STCO.06506015</t>
  </si>
  <si>
    <t>STCO.06507015</t>
  </si>
  <si>
    <t>STCO.06508015</t>
  </si>
  <si>
    <t>STCO.06509015</t>
  </si>
  <si>
    <t>STCO.06510015</t>
  </si>
  <si>
    <t>STCO.06511015</t>
  </si>
  <si>
    <t>STCO.06512015</t>
  </si>
  <si>
    <t>STCO.06514015</t>
  </si>
  <si>
    <t>STCO.06516015</t>
  </si>
  <si>
    <t>STCO.06518015</t>
  </si>
  <si>
    <t>STCO.06520015</t>
  </si>
  <si>
    <t>STCO.06505020</t>
  </si>
  <si>
    <t>STCO.06506020</t>
  </si>
  <si>
    <t>STCO.06507020</t>
  </si>
  <si>
    <t>STCO.06508020</t>
  </si>
  <si>
    <t>STCO.06509020</t>
  </si>
  <si>
    <t>STCO.06510020</t>
  </si>
  <si>
    <t>STCO.06511020</t>
  </si>
  <si>
    <t>STCO.06512020</t>
  </si>
  <si>
    <t>STCO.06514020</t>
  </si>
  <si>
    <t>STCO.06516020</t>
  </si>
  <si>
    <t>STCO.06518020</t>
  </si>
  <si>
    <t>STCO.06520020</t>
  </si>
  <si>
    <t>cm-&gt;m</t>
  </si>
  <si>
    <t>p_atm</t>
  </si>
  <si>
    <t>cf_H_Q</t>
  </si>
  <si>
    <t>factor outletº</t>
  </si>
  <si>
    <t>min EnteringT</t>
  </si>
  <si>
    <t>QCAF.01910534/BNA</t>
  </si>
  <si>
    <t>QCAF.01912034/BNA</t>
  </si>
  <si>
    <t>QCAF.01920034/BNA</t>
  </si>
  <si>
    <t>QCAF.01928034/BNA</t>
  </si>
  <si>
    <t>CCLF.01312032/BNA</t>
  </si>
  <si>
    <t>CCLF.01320032/BNA</t>
  </si>
  <si>
    <t>CCLF.01328032/BNA</t>
  </si>
  <si>
    <t>CCLF.01910534/BNA</t>
  </si>
  <si>
    <t>CCLF.01912034/BNA</t>
  </si>
  <si>
    <t>CCLF.01920034/BNA</t>
  </si>
  <si>
    <t>CCLF.01928034/BNA</t>
  </si>
  <si>
    <t>CCLF.01307032/BNA</t>
  </si>
  <si>
    <t>CCLF.01310032/BNA</t>
  </si>
  <si>
    <t>CCLF.01314032/BNA</t>
  </si>
  <si>
    <t>CCLF.01317032/BNA</t>
  </si>
  <si>
    <t>CCLF.01323032/BNA</t>
  </si>
  <si>
    <t>D15</t>
  </si>
  <si>
    <t>QCLF.01307032/BNA</t>
  </si>
  <si>
    <t>QCLF.01310032/BNA</t>
  </si>
  <si>
    <t>QCLF.01312032/BNA</t>
  </si>
  <si>
    <t>QCLF.01314032/BNA</t>
  </si>
  <si>
    <t>QCLF.01317032/BNA</t>
  </si>
  <si>
    <t>QCLF.01320032/BNA</t>
  </si>
  <si>
    <t>QCLF.01323032/BNA</t>
  </si>
  <si>
    <t>QCLF.01328032/BNA</t>
  </si>
  <si>
    <t>Clima Canal H13</t>
  </si>
  <si>
    <t>cf_H_QcTot</t>
  </si>
  <si>
    <t>BZMW.04107512</t>
  </si>
  <si>
    <t>BZMW.04109512</t>
  </si>
  <si>
    <t>BZMW.04112512</t>
  </si>
  <si>
    <t>BZMW.04114512</t>
  </si>
  <si>
    <t>BZMW.05507512</t>
  </si>
  <si>
    <t>BZMW.05509512</t>
  </si>
  <si>
    <t>BZMW.05512512</t>
  </si>
  <si>
    <t>BZMW.05514512</t>
  </si>
  <si>
    <t>BZMW.04107512/4</t>
  </si>
  <si>
    <t>BZMW.04109512/4</t>
  </si>
  <si>
    <t>BZMW.04112512/4</t>
  </si>
  <si>
    <t>BZMW.04114512/4</t>
  </si>
  <si>
    <t>BZMW.05507512/4</t>
  </si>
  <si>
    <t>BZMW.05509512/4</t>
  </si>
  <si>
    <t>BZMW.05512512/4</t>
  </si>
  <si>
    <t>BZMW.05514512/4</t>
  </si>
  <si>
    <t>BZBC.03805212</t>
  </si>
  <si>
    <t>BZBC.03807212</t>
  </si>
  <si>
    <t>BZBC.03810212</t>
  </si>
  <si>
    <t>BZBC.03812212</t>
  </si>
  <si>
    <t>BZBC.05205212</t>
  </si>
  <si>
    <t>BZBC.05207212</t>
  </si>
  <si>
    <t>BZBC.05210212</t>
  </si>
  <si>
    <t>BZBC.05212212</t>
  </si>
  <si>
    <t>BZBC.03805212/4</t>
  </si>
  <si>
    <t>BZBC.03807212/4</t>
  </si>
  <si>
    <t>BZBC.03810212/4</t>
  </si>
  <si>
    <t>BZBC.03812212/4</t>
  </si>
  <si>
    <t>BZBC.05205212/4</t>
  </si>
  <si>
    <t>BZBC.05207212/4</t>
  </si>
  <si>
    <t>BZBC.05210212/4</t>
  </si>
  <si>
    <t>BZBC.05212212/4</t>
  </si>
  <si>
    <t>BZBW.03805212</t>
  </si>
  <si>
    <t>BZBW.03807212</t>
  </si>
  <si>
    <t>BZBW.03810212</t>
  </si>
  <si>
    <t>BZBW.03812212</t>
  </si>
  <si>
    <t>BZBW.05205212</t>
  </si>
  <si>
    <t>BZBW.05207212</t>
  </si>
  <si>
    <t>BZBW.05210212</t>
  </si>
  <si>
    <t>BZBW.05212212</t>
  </si>
  <si>
    <t>BZBW.03805212/4</t>
  </si>
  <si>
    <t>BZBW.03807212/4</t>
  </si>
  <si>
    <t>BZBW.03810212/4</t>
  </si>
  <si>
    <t>BZBW.03812212/4</t>
  </si>
  <si>
    <t>BZBW.05205212/4</t>
  </si>
  <si>
    <t>BZBW.05207212/4</t>
  </si>
  <si>
    <t>BZBW.05210212/4</t>
  </si>
  <si>
    <t>BZBW.05212212/4</t>
  </si>
  <si>
    <t>BZMC.04107512</t>
  </si>
  <si>
    <t>BZMC.04109512</t>
  </si>
  <si>
    <t>BZMC.04112512</t>
  </si>
  <si>
    <t>BZMC.04114512</t>
  </si>
  <si>
    <t>BZMC.05507512</t>
  </si>
  <si>
    <t>BZMC.05509512</t>
  </si>
  <si>
    <t>BZMC.05512512</t>
  </si>
  <si>
    <t>BZMC.05514512</t>
  </si>
  <si>
    <t>BZMC.04107512/4</t>
  </si>
  <si>
    <t>BZMC.04109512/4</t>
  </si>
  <si>
    <t>BZMC.04112512/4</t>
  </si>
  <si>
    <t>BZMC.04114512/4</t>
  </si>
  <si>
    <t>BZMC.05507512/4</t>
  </si>
  <si>
    <t>BZMC.05509512/4</t>
  </si>
  <si>
    <t>BZMC.05512512/4</t>
  </si>
  <si>
    <t>BZMC.05514512/4</t>
  </si>
  <si>
    <t>H en C</t>
  </si>
  <si>
    <t>Heating kengetallen 75/65/20ºC</t>
  </si>
  <si>
    <t>sensible cooling kengetallen</t>
  </si>
  <si>
    <t>h(mm)</t>
  </si>
  <si>
    <t>cf_h</t>
  </si>
  <si>
    <t>A =</t>
  </si>
  <si>
    <t>Td =</t>
  </si>
  <si>
    <t>PPHF.01210011.333/GR</t>
  </si>
  <si>
    <t>PPHF.01210022.333/GR</t>
  </si>
  <si>
    <t>PPHF.01210034.333/GR</t>
  </si>
  <si>
    <t>PPHF.01212011.333/GR</t>
  </si>
  <si>
    <t>PPHF.01212022.333/GR</t>
  </si>
  <si>
    <t>PPHF.01212034.333/GR</t>
  </si>
  <si>
    <t>PPHF.01214011.333/GR</t>
  </si>
  <si>
    <t>PPHF.01214022.333/GR</t>
  </si>
  <si>
    <t>PPHF.01214034.333/GR</t>
  </si>
  <si>
    <t>PPHF.01216011.333/GR</t>
  </si>
  <si>
    <t>PPHF.01216022.333/GR</t>
  </si>
  <si>
    <t>PPHF.01216034.333/GR</t>
  </si>
  <si>
    <t>PPHF.01218011.333/GR</t>
  </si>
  <si>
    <t>PPHF.01218022.333/GR</t>
  </si>
  <si>
    <t>PPHF.01218034.333/GR</t>
  </si>
  <si>
    <t>PPHF.01220011.333/GR</t>
  </si>
  <si>
    <t>PPHF.01220022.333/GR</t>
  </si>
  <si>
    <t>PPHF.01220034.333/GR</t>
  </si>
  <si>
    <t>PPHF.01222011.333/GR</t>
  </si>
  <si>
    <t>PPHF.01222022.333/GR</t>
  </si>
  <si>
    <t>PPHF.01222034.333/GR</t>
  </si>
  <si>
    <t>PPHF.01224011.333/GR</t>
  </si>
  <si>
    <t>PPHF.01224022.333/GR</t>
  </si>
  <si>
    <t>PPHF.01224034.333/GR</t>
  </si>
  <si>
    <t>PPHF.01226011.333/GR</t>
  </si>
  <si>
    <t>PPHF.01226022.333/GR</t>
  </si>
  <si>
    <t>PPHF.01226034.333/GR</t>
  </si>
  <si>
    <t>PPHF.01228011.333/GR</t>
  </si>
  <si>
    <t>PPHF.01228022.333/GR</t>
  </si>
  <si>
    <t>PPHF.01228034.333/GR</t>
  </si>
  <si>
    <t>PPHF.01230011.333/GR</t>
  </si>
  <si>
    <t>PPHF.01230022.333/GR</t>
  </si>
  <si>
    <t>PPHF.01230034.333/GR</t>
  </si>
  <si>
    <t>PPHF.01232011.333/GR</t>
  </si>
  <si>
    <t>PPHF.01232022.333/GR</t>
  </si>
  <si>
    <t>PPHF.01232034.333/GR</t>
  </si>
  <si>
    <t>PPHF.01234011.333/GR</t>
  </si>
  <si>
    <t>PPHF.01234022.333/GR</t>
  </si>
  <si>
    <t>PPHF.01234034.333/GR</t>
  </si>
  <si>
    <t>PPHF.01236011.333/GR</t>
  </si>
  <si>
    <t>PPHF.01236022.333/GR</t>
  </si>
  <si>
    <t>PPHF.01236034.333/GR</t>
  </si>
  <si>
    <t>PPHF.01238011.333/GR</t>
  </si>
  <si>
    <t>PPHF.01238022.333/GR</t>
  </si>
  <si>
    <t>PPHF.01238034.333/GR</t>
  </si>
  <si>
    <t>PPHF.01242011.333/GR</t>
  </si>
  <si>
    <t>PPHF.01242022.333/GR</t>
  </si>
  <si>
    <t>PPHF.01242034.333/GR</t>
  </si>
  <si>
    <t>PPHF.01246011.333/GR</t>
  </si>
  <si>
    <t>PPHF.01246022.333/GR</t>
  </si>
  <si>
    <t>PPHF.01246034.333/GR</t>
  </si>
  <si>
    <t>PPHF.01810011.333/GR</t>
  </si>
  <si>
    <t>PPHF.01810022.333/GR</t>
  </si>
  <si>
    <t>PPHF.01810034.333/GR</t>
  </si>
  <si>
    <t>PPHF.01812011.333/GR</t>
  </si>
  <si>
    <t>PPHF.01812022.333/GR</t>
  </si>
  <si>
    <t>PPHF.01812034.333/GR</t>
  </si>
  <si>
    <t>PPHF.01814011.333/GR</t>
  </si>
  <si>
    <t>PPHF.01814022.333/GR</t>
  </si>
  <si>
    <t>PPHF.01814034.333/GR</t>
  </si>
  <si>
    <t>PPHF.01816011.333/GR</t>
  </si>
  <si>
    <t>PPHF.01816022.333/GR</t>
  </si>
  <si>
    <t>PPHF.01816034.333/GR</t>
  </si>
  <si>
    <t>PPHF.01818011.333/GR</t>
  </si>
  <si>
    <t>PPHF.01818022.333/GR</t>
  </si>
  <si>
    <t>PPHF.01818034.333/GR</t>
  </si>
  <si>
    <t>PPHF.01820011.333/GR</t>
  </si>
  <si>
    <t>PPHF.01820022.333/GR</t>
  </si>
  <si>
    <t>PPHF.01820034.333/GR</t>
  </si>
  <si>
    <t>PPHF.01822011.333/GR</t>
  </si>
  <si>
    <t>PPHF.01822022.333/GR</t>
  </si>
  <si>
    <t>PPHF.01822034.333/GR</t>
  </si>
  <si>
    <t>PPHF.01824011.333/GR</t>
  </si>
  <si>
    <t>PPHF.01824022.333/GR</t>
  </si>
  <si>
    <t>PPHF.01824034.333/GR</t>
  </si>
  <si>
    <t>PPHF.01826011.333/GR</t>
  </si>
  <si>
    <t>PPHF.01826022.333/GR</t>
  </si>
  <si>
    <t>PPHF.01826034.333/GR</t>
  </si>
  <si>
    <t>PPHF.01828011.333/GR</t>
  </si>
  <si>
    <t>PPHF.01828022.333/GR</t>
  </si>
  <si>
    <t>PPHF.01828034.333/GR</t>
  </si>
  <si>
    <t>PPHF.01830011.333/GR</t>
  </si>
  <si>
    <t>PPHF.01830022.333/GR</t>
  </si>
  <si>
    <t>PPHF.01830034.333/GR</t>
  </si>
  <si>
    <t>PPHF.01832011.333/GR</t>
  </si>
  <si>
    <t>PPHF.01832022.333/GR</t>
  </si>
  <si>
    <t>PPHF.01832034.333/GR</t>
  </si>
  <si>
    <t>PPHF.01834011.333/GR</t>
  </si>
  <si>
    <t>PPHF.01834022.333/GR</t>
  </si>
  <si>
    <t>PPHF.01834034.333/GR</t>
  </si>
  <si>
    <t>PPHF.01836011.333/GR</t>
  </si>
  <si>
    <t>PPHF.01836022.333/GR</t>
  </si>
  <si>
    <t>PPHF.01836034.333/GR</t>
  </si>
  <si>
    <t>PPHF.01838011.333/GR</t>
  </si>
  <si>
    <t>PPHF.01838022.333/GR</t>
  </si>
  <si>
    <t>PPHF.01838034.333/GR</t>
  </si>
  <si>
    <t>PPHF.01842011.333/GR</t>
  </si>
  <si>
    <t>PPHF.01842022.333/GR</t>
  </si>
  <si>
    <t>PPHF.01842034.333/GR</t>
  </si>
  <si>
    <t>PPHF.01846011.333/GR</t>
  </si>
  <si>
    <t>PPHF.02406011.333/GR</t>
  </si>
  <si>
    <t>PPHF.02406022.333/GR</t>
  </si>
  <si>
    <t>PPHF.02406034.333/GR</t>
  </si>
  <si>
    <t>PPHF.02408011.333/GR</t>
  </si>
  <si>
    <t>PPHF.02408022.333/GR</t>
  </si>
  <si>
    <t>PPHF.02408034.333/GR</t>
  </si>
  <si>
    <t>PPHF.02410011.333/GR</t>
  </si>
  <si>
    <t>PPHF.02410022.333/GR</t>
  </si>
  <si>
    <t>PPHF.02410034.333/GR</t>
  </si>
  <si>
    <t>PPHF.02412011.333/GR</t>
  </si>
  <si>
    <t>PPHF.02412022.333/GR</t>
  </si>
  <si>
    <t>PPHF.02412034.333/GR</t>
  </si>
  <si>
    <t>PPHF.02414011.333/GR</t>
  </si>
  <si>
    <t>PPHF.02414022.333/GR</t>
  </si>
  <si>
    <t>PPHF.02414034.333/GR</t>
  </si>
  <si>
    <t>PPHF.02416011.333/GR</t>
  </si>
  <si>
    <t>PPHF.02416022.333/GR</t>
  </si>
  <si>
    <t>PPHF.02416034.333/GR</t>
  </si>
  <si>
    <t>PPHF.02418011.333/GR</t>
  </si>
  <si>
    <t>PPHF.02418022.333/GR</t>
  </si>
  <si>
    <t>PPHF.02418034.333/GR</t>
  </si>
  <si>
    <t>PPHF.02420011.333/GR</t>
  </si>
  <si>
    <t>PPHF.02420022.333/GR</t>
  </si>
  <si>
    <t>PPHF.02420034.333/GR</t>
  </si>
  <si>
    <t>PPHF.02422011.333/GR</t>
  </si>
  <si>
    <t>PPHF.02422022.333/GR</t>
  </si>
  <si>
    <t>PPHF.02422034.333/GR</t>
  </si>
  <si>
    <t>PPHF.02424011.333/GR</t>
  </si>
  <si>
    <t>PPHF.02424022.333/GR</t>
  </si>
  <si>
    <t>PPHF.02424034.333/GR</t>
  </si>
  <si>
    <t>PPHF.02426011.333/GR</t>
  </si>
  <si>
    <t>PPHF.02426022.333/GR</t>
  </si>
  <si>
    <t>PPHF.02426034.333/GR</t>
  </si>
  <si>
    <t>PPHF.02428011.333/GR</t>
  </si>
  <si>
    <t>PPHF.02428022.333/GR</t>
  </si>
  <si>
    <t>PPHF.02428034.333/GR</t>
  </si>
  <si>
    <t>PPHF.02430011.333/GR</t>
  </si>
  <si>
    <t>PPHF.02430022.333/GR</t>
  </si>
  <si>
    <t>PPHF.02430034.333/GR</t>
  </si>
  <si>
    <t>PPHF.03106011.333/GR</t>
  </si>
  <si>
    <t>PPHF.03106022.333/GR</t>
  </si>
  <si>
    <t>PPHF.03106034.333/GR</t>
  </si>
  <si>
    <t>PPHF.03108011.333/GR</t>
  </si>
  <si>
    <t>PPHF.03108022.333/GR</t>
  </si>
  <si>
    <t>PPHF.03108034.333/GR</t>
  </si>
  <si>
    <t>PPHF.03110011.333/GR</t>
  </si>
  <si>
    <t>PPHF.03110022.333/GR</t>
  </si>
  <si>
    <t>PPHF.03110034.333/GR</t>
  </si>
  <si>
    <t>PPHF.03112011.333/GR</t>
  </si>
  <si>
    <t>PPHF.03112022.333/GR</t>
  </si>
  <si>
    <t>PPHF.03112034.333/GR</t>
  </si>
  <si>
    <t>PPHF.03114011.333/GR</t>
  </si>
  <si>
    <t>PPHF.03114022.333/GR</t>
  </si>
  <si>
    <t>PPHF.03114034.333/GR</t>
  </si>
  <si>
    <t>PPHF.03116011.333/GR</t>
  </si>
  <si>
    <t>PPHF.03116022.333/GR</t>
  </si>
  <si>
    <t>PPHF.03116034.333/GR</t>
  </si>
  <si>
    <t>PPHF.03118011.333/GR</t>
  </si>
  <si>
    <t>PPHF.03118022.333/GR</t>
  </si>
  <si>
    <t>PPHF.03118034.333/GR</t>
  </si>
  <si>
    <t>PPHF.03120011.333/GR</t>
  </si>
  <si>
    <t>PPHF.03120022.333/GR</t>
  </si>
  <si>
    <t>PPHF.03120034.333/GR</t>
  </si>
  <si>
    <t>PPHF.03122011.333/GR</t>
  </si>
  <si>
    <t>PPHF.03122022.333/GR</t>
  </si>
  <si>
    <t>PPHF.03122034.333/GR</t>
  </si>
  <si>
    <t>PPHF.03124011.333/GR</t>
  </si>
  <si>
    <t>PPHF.03124022.333/GR</t>
  </si>
  <si>
    <t>PPHF.03124034.333/GR</t>
  </si>
  <si>
    <t>PPHF.03126011.333/GR</t>
  </si>
  <si>
    <t>PPHF.03126022.333/GR</t>
  </si>
  <si>
    <t>PPHF.03126034.333/GR</t>
  </si>
  <si>
    <t>PPHF.03128011.333/GR</t>
  </si>
  <si>
    <t>PPHF.03128022.333/GR</t>
  </si>
  <si>
    <t>PPHF.03128034.333/GR</t>
  </si>
  <si>
    <t>PPHF.03130011.333/GR</t>
  </si>
  <si>
    <t>PPHF.03130022.333/GR</t>
  </si>
  <si>
    <t>PPHF.03130034.333/GR</t>
  </si>
  <si>
    <t>PPHW.01210011.333/GR</t>
  </si>
  <si>
    <t>PPHW.01210022.333/GR</t>
  </si>
  <si>
    <t>PPHW.01210034.333/GR</t>
  </si>
  <si>
    <t>PPHW.01212011.333/GR</t>
  </si>
  <si>
    <t>PPHW.01212022.333/GR</t>
  </si>
  <si>
    <t>PPHW.01212034.333/GR</t>
  </si>
  <si>
    <t>PPHW.01214011.333/GR</t>
  </si>
  <si>
    <t>PPHW.01214022.333/GR</t>
  </si>
  <si>
    <t>PPHW.01214034.333/GR</t>
  </si>
  <si>
    <t>PPHW.01216011.333/GR</t>
  </si>
  <si>
    <t>PPHW.01216022.333/GR</t>
  </si>
  <si>
    <t>PPHW.01216034.333/GR</t>
  </si>
  <si>
    <t>PPHW.01218011.333/GR</t>
  </si>
  <si>
    <t>PPHW.01218022.333/GR</t>
  </si>
  <si>
    <t>PPHW.01218034.333/GR</t>
  </si>
  <si>
    <t>PPHW.01220011.333/GR</t>
  </si>
  <si>
    <t>PPHW.01220022.333/GR</t>
  </si>
  <si>
    <t>PPHW.01220034.333/GR</t>
  </si>
  <si>
    <t>PPHW.01222011.333/GR</t>
  </si>
  <si>
    <t>PPHW.01222022.333/GR</t>
  </si>
  <si>
    <t>PPHW.01222034.333/GR</t>
  </si>
  <si>
    <t>PPHW.01224011.333/GR</t>
  </si>
  <si>
    <t>PPHW.01224022.333/GR</t>
  </si>
  <si>
    <t>PPHW.01224034.333/GR</t>
  </si>
  <si>
    <t>PPHW.01226011.333/GR</t>
  </si>
  <si>
    <t>PPHW.01226022.333/GR</t>
  </si>
  <si>
    <t>PPHW.01226034.333/GR</t>
  </si>
  <si>
    <t>PPHW.01228011.333/GR</t>
  </si>
  <si>
    <t>PPHW.01228022.333/GR</t>
  </si>
  <si>
    <t>PPHW.01228034.333/GR</t>
  </si>
  <si>
    <t>PPHW.01230011.333/GR</t>
  </si>
  <si>
    <t>PPHW.01230022.333/GR</t>
  </si>
  <si>
    <t>PPHW.01230034.333/GR</t>
  </si>
  <si>
    <t>PPHW.01232011.333/GR</t>
  </si>
  <si>
    <t>PPHW.01232022.333/GR</t>
  </si>
  <si>
    <t>PPHW.01232034.333/GR</t>
  </si>
  <si>
    <t>PPHW.01234011.333/GR</t>
  </si>
  <si>
    <t>PPHW.01234022.333/GR</t>
  </si>
  <si>
    <t>PPHW.01234034.333/GR</t>
  </si>
  <si>
    <t>PPHW.01236011.333/GR</t>
  </si>
  <si>
    <t>PPHW.01236022.333/GR</t>
  </si>
  <si>
    <t>PPHW.01236034.333/GR</t>
  </si>
  <si>
    <t>PPHW.01238011.333/GR</t>
  </si>
  <si>
    <t>PPHW.01238022.333/GR</t>
  </si>
  <si>
    <t>PPHW.01238034.333/GR</t>
  </si>
  <si>
    <t>PPHW.01242011.333/GR</t>
  </si>
  <si>
    <t>PPHW.01242022.333/GR</t>
  </si>
  <si>
    <t>PPHW.01242034.333/GR</t>
  </si>
  <si>
    <t>PPHW.01246011.333/GR</t>
  </si>
  <si>
    <t>PPHW.01246022.333/GR</t>
  </si>
  <si>
    <t>PPHW.01246034.333/GR</t>
  </si>
  <si>
    <t>PPHW.01810011.333/GR</t>
  </si>
  <si>
    <t>PPHW.01810022.333/GR</t>
  </si>
  <si>
    <t>PPHW.01810034.333/GR</t>
  </si>
  <si>
    <t>PPHW.01812011.333/GR</t>
  </si>
  <si>
    <t>PPHW.01812022.333/GR</t>
  </si>
  <si>
    <t>PPHW.01812034.333/GR</t>
  </si>
  <si>
    <t>PPHW.01814011.333/GR</t>
  </si>
  <si>
    <t>PPHW.01814022.333/GR</t>
  </si>
  <si>
    <t>PPHW.01814034.333/GR</t>
  </si>
  <si>
    <t>PPHW.01816011.333/GR</t>
  </si>
  <si>
    <t>PPHW.01816022.333/GR</t>
  </si>
  <si>
    <t>PPHW.01816034.333/GR</t>
  </si>
  <si>
    <t>PPHW.01818011.333/GR</t>
  </si>
  <si>
    <t>PPHW.01818022.333/GR</t>
  </si>
  <si>
    <t>PPHW.01818034.333/GR</t>
  </si>
  <si>
    <t>PPHW.01820011.333/GR</t>
  </si>
  <si>
    <t>PPHW.01820022.333/GR</t>
  </si>
  <si>
    <t>PPHW.01820034.333/GR</t>
  </si>
  <si>
    <t>PPHW.01822011.333/GR</t>
  </si>
  <si>
    <t>PPHW.01822022.333/GR</t>
  </si>
  <si>
    <t>PPHW.01822034.333/GR</t>
  </si>
  <si>
    <t>PPHW.01824011.333/GR</t>
  </si>
  <si>
    <t>PPHW.01824022.333/GR</t>
  </si>
  <si>
    <t>PPHW.01824034.333/GR</t>
  </si>
  <si>
    <t>PPHW.01826011.333/GR</t>
  </si>
  <si>
    <t>PPHW.01826022.333/GR</t>
  </si>
  <si>
    <t>PPHW.01826034.333/GR</t>
  </si>
  <si>
    <t>PPHW.01828011.333/GR</t>
  </si>
  <si>
    <t>PPHW.01828022.333/GR</t>
  </si>
  <si>
    <t>PPHW.01828034.333/GR</t>
  </si>
  <si>
    <t>PPHW.01830011.333/GR</t>
  </si>
  <si>
    <t>PPHW.01830022.333/GR</t>
  </si>
  <si>
    <t>PPHW.01830034.333/GR</t>
  </si>
  <si>
    <t>PPHW.01832011.333/GR</t>
  </si>
  <si>
    <t>PPHW.01832022.333/GR</t>
  </si>
  <si>
    <t>PPHW.01832034.333/GR</t>
  </si>
  <si>
    <t>PPHW.01834011.333/GR</t>
  </si>
  <si>
    <t>PPHW.01834022.333/GR</t>
  </si>
  <si>
    <t>PPHW.01834034.333/GR</t>
  </si>
  <si>
    <t>PPHW.01836011.333/GR</t>
  </si>
  <si>
    <t>PPHW.01836022.333/GR</t>
  </si>
  <si>
    <t>PPHW.01836034.333/GR</t>
  </si>
  <si>
    <t>PPHW.01838011.333/GR</t>
  </si>
  <si>
    <t>PPHW.01838022.333/GR</t>
  </si>
  <si>
    <t>PPHW.01838034.333/GR</t>
  </si>
  <si>
    <t>PPHW.01842011.333/GR</t>
  </si>
  <si>
    <t>PPHW.01842022.333/GR</t>
  </si>
  <si>
    <t>PPHW.01842034.333/GR</t>
  </si>
  <si>
    <t>PPHW.01846011.333/GR</t>
  </si>
  <si>
    <t>PPHW.01846022.333/GR</t>
  </si>
  <si>
    <t>PPHW.01846034.333/GR</t>
  </si>
  <si>
    <t>PPHW.02406011.333/GR</t>
  </si>
  <si>
    <t>PPHW.02406022.333/GR</t>
  </si>
  <si>
    <t>PPHW.02406034.333/GR</t>
  </si>
  <si>
    <t>PPHW.02408011.333/GR</t>
  </si>
  <si>
    <t>PPHW.02408022.333/GR</t>
  </si>
  <si>
    <t>PPHW.02408034.333/GR</t>
  </si>
  <si>
    <t>PPHW.02410011.333/GR</t>
  </si>
  <si>
    <t>PPHW.02410022.333/GR</t>
  </si>
  <si>
    <t>PPHW.02410034.333/GR</t>
  </si>
  <si>
    <t>PPHW.02412011.333/GR</t>
  </si>
  <si>
    <t>PPHW.02412022.333/GR</t>
  </si>
  <si>
    <t>PPHW.02412034.333/GR</t>
  </si>
  <si>
    <t>PPHW.02414011.333/GR</t>
  </si>
  <si>
    <t>PPHW.02414022.333/GR</t>
  </si>
  <si>
    <t>PPHW.02414034.333/GR</t>
  </si>
  <si>
    <t>PPHW.02416011.333/GR</t>
  </si>
  <si>
    <t>PPHW.02416022.333/GR</t>
  </si>
  <si>
    <t>PPHW.02416034.333/GR</t>
  </si>
  <si>
    <t>PPHW.02418011.333/GR</t>
  </si>
  <si>
    <t>PPHW.02418022.333/GR</t>
  </si>
  <si>
    <t>PPHW.02418034.333/GR</t>
  </si>
  <si>
    <t>PPHW.02420011.333/GR</t>
  </si>
  <si>
    <t>PPHW.02420022.333/GR</t>
  </si>
  <si>
    <t>PPHW.02420034.333/GR</t>
  </si>
  <si>
    <t>PPHW.02422011.333/GR</t>
  </si>
  <si>
    <t>PPHW.02422022.333/GR</t>
  </si>
  <si>
    <t>PPHW.02422034.333/GR</t>
  </si>
  <si>
    <t>PPHW.02424011.333/GR</t>
  </si>
  <si>
    <t>PPHW.02424022.333/GR</t>
  </si>
  <si>
    <t>PPHW.02424034.333/GR</t>
  </si>
  <si>
    <t>PPHW.02426011.333/GR</t>
  </si>
  <si>
    <t>PPHW.02426022.333/GR</t>
  </si>
  <si>
    <t>PPHW.02426034.333/GR</t>
  </si>
  <si>
    <t>PPHW.02428011.333/GR</t>
  </si>
  <si>
    <t>PPHW.02428022.333/GR</t>
  </si>
  <si>
    <t>PPHW.02428034.333/GR</t>
  </si>
  <si>
    <t>PPHW.02430011.333/GR</t>
  </si>
  <si>
    <t>PPHW.02430022.333/GR</t>
  </si>
  <si>
    <t>PPHW.02430034.333/GR</t>
  </si>
  <si>
    <t>PPHW.03106011.333/GR</t>
  </si>
  <si>
    <t>PPHW.03106022.333/GR</t>
  </si>
  <si>
    <t>PPHW.03106034.333/GR</t>
  </si>
  <si>
    <t>PPHW.03108011.333/GR</t>
  </si>
  <si>
    <t>PPHW.03108022.333/GR</t>
  </si>
  <si>
    <t>PPHW.03108034.333/GR</t>
  </si>
  <si>
    <t>PPHW.03110011.333/GR</t>
  </si>
  <si>
    <t>PPHW.03110022.333/GR</t>
  </si>
  <si>
    <t>PPHW.03110034.333/GR</t>
  </si>
  <si>
    <t>PPHW.03112011.333/GR</t>
  </si>
  <si>
    <t>PPHW.03112022.333/GR</t>
  </si>
  <si>
    <t>PPHW.03112034.333/GR</t>
  </si>
  <si>
    <t>PPHW.03114011.333/GR</t>
  </si>
  <si>
    <t>PPHW.03114022.333/GR</t>
  </si>
  <si>
    <t>PPHW.03114034.333/GR</t>
  </si>
  <si>
    <t>PPHW.03116011.333/GR</t>
  </si>
  <si>
    <t>PPHW.03116022.333/GR</t>
  </si>
  <si>
    <t>PPHW.03116034.333/GR</t>
  </si>
  <si>
    <t>PPHW.03118011.333/GR</t>
  </si>
  <si>
    <t>PPHW.03118022.333/GR</t>
  </si>
  <si>
    <t>PPHW.03118034.333/GR</t>
  </si>
  <si>
    <t>PPHW.03120011.333/GR</t>
  </si>
  <si>
    <t>PPHW.03120022.333/GR</t>
  </si>
  <si>
    <t>PPHW.03120034.333/GR</t>
  </si>
  <si>
    <t>PPHW.03122011.333/GR</t>
  </si>
  <si>
    <t>PPHW.03122022.333/GR</t>
  </si>
  <si>
    <t>PPHW.03122034.333/GR</t>
  </si>
  <si>
    <t>PPHW.03124011.333/GR</t>
  </si>
  <si>
    <t>PPHW.03124022.333/GR</t>
  </si>
  <si>
    <t>PPHW.03124034.333/GR</t>
  </si>
  <si>
    <t>PPHW.03126011.333/GR</t>
  </si>
  <si>
    <t>PPHW.03126022.333/GR</t>
  </si>
  <si>
    <t>PPHW.03126034.333/GR</t>
  </si>
  <si>
    <t>PPHW.03128011.333/GR</t>
  </si>
  <si>
    <t>PPHW.03128022.333/GR</t>
  </si>
  <si>
    <t>PPHW.03128034.333/GR</t>
  </si>
  <si>
    <t>PPHW.03130011.333/GR</t>
  </si>
  <si>
    <t>PPHW.03130022.333/GR</t>
  </si>
  <si>
    <t>PPHW.03130034.333/GR</t>
  </si>
  <si>
    <t>PPHW.03706011.333/GR</t>
  </si>
  <si>
    <t>PPHW.03706022.333/GR</t>
  </si>
  <si>
    <t>PPHW.03708011.333/GR</t>
  </si>
  <si>
    <t>PPHW.03708022.333/GR</t>
  </si>
  <si>
    <t>PPHW.03710011.333/GR</t>
  </si>
  <si>
    <t>PPHW.03710022.333/GR</t>
  </si>
  <si>
    <t>PPHW.03712011.333/GR</t>
  </si>
  <si>
    <t>PPHW.03712022.333/GR</t>
  </si>
  <si>
    <t>PPHW.03714011.333/GR</t>
  </si>
  <si>
    <t>PPHW.03714022.333/GR</t>
  </si>
  <si>
    <t>PPHW.03716011.333/GR</t>
  </si>
  <si>
    <t>PPHW.03716022.333/GR</t>
  </si>
  <si>
    <t>PPHW.03718011.333/GR</t>
  </si>
  <si>
    <t>PPHW.03718022.333/GR</t>
  </si>
  <si>
    <t>PPHW.03720011.333/GR</t>
  </si>
  <si>
    <t>PPHW.03720022.333/GR</t>
  </si>
  <si>
    <t>PPHW.03722011.333/GR</t>
  </si>
  <si>
    <t>PPHW.03722022.333/GR</t>
  </si>
  <si>
    <t>PPHW.03724011.333/GR</t>
  </si>
  <si>
    <t>PPHW.03724022.333/GR</t>
  </si>
  <si>
    <t>PPHW.03726011.333/GR</t>
  </si>
  <si>
    <t>PPHW.03726022.333/GR</t>
  </si>
  <si>
    <t>PPHW.03728011.333/GR</t>
  </si>
  <si>
    <t>PPHW.03728022.333/GR</t>
  </si>
  <si>
    <t>PPHW.03730011.333/GR</t>
  </si>
  <si>
    <t>PPHW.03730022.333/GR</t>
  </si>
  <si>
    <t>PPHW.04306011.333/GR</t>
  </si>
  <si>
    <t>PPHW.04306022.333/GR</t>
  </si>
  <si>
    <t>PPHW.04308011.333/GR</t>
  </si>
  <si>
    <t>PPHW.04308022.333/GR</t>
  </si>
  <si>
    <t>PPHW.04310011.333/GR</t>
  </si>
  <si>
    <t>PPHW.04310022.333/GR</t>
  </si>
  <si>
    <t>PPHW.04312011.333/GR</t>
  </si>
  <si>
    <t>PPHW.04312022.333/GR</t>
  </si>
  <si>
    <t>PPHW.04314011.333/GR</t>
  </si>
  <si>
    <t>PPHW.04314022.333/GR</t>
  </si>
  <si>
    <t>PPHW.04316011.333/GR</t>
  </si>
  <si>
    <t>PPHW.04316022.333/GR</t>
  </si>
  <si>
    <t>PPHW.04318011.333/GR</t>
  </si>
  <si>
    <t>PPHW.04318022.333/GR</t>
  </si>
  <si>
    <t>PPHW.04320011.333/GR</t>
  </si>
  <si>
    <t>PPHW.04320022.333/GR</t>
  </si>
  <si>
    <t>PPHW.04322011.333/GR</t>
  </si>
  <si>
    <t>PPHW.04322022.333/GR</t>
  </si>
  <si>
    <t>PPHW.04324011.333/GR</t>
  </si>
  <si>
    <t>PPHW.04324022.333/GR</t>
  </si>
  <si>
    <t>PPHW.04326011.333/GR</t>
  </si>
  <si>
    <t>PPHW.04326022.333/GR</t>
  </si>
  <si>
    <t>PPHW.04328011.333/GR</t>
  </si>
  <si>
    <t>PPHW.04328022.333/GR</t>
  </si>
  <si>
    <t>PPHW.04330011.333/GR</t>
  </si>
  <si>
    <t>PPHW.04330022.333/GR</t>
  </si>
  <si>
    <t>PPHW.05006011.333/GR</t>
  </si>
  <si>
    <t>PPHW.05006022.333/GR</t>
  </si>
  <si>
    <t>PPHW.05008011.333/GR</t>
  </si>
  <si>
    <t>PPHW.05008022.333/GR</t>
  </si>
  <si>
    <t>PPHW.05010011.333/GR</t>
  </si>
  <si>
    <t>PPHW.05010022.333/GR</t>
  </si>
  <si>
    <t>PPHW.05012011.333/GR</t>
  </si>
  <si>
    <t>PPHW.05012022.333/GR</t>
  </si>
  <si>
    <t>PPHW.05014011.333/GR</t>
  </si>
  <si>
    <t>PPHW.05014022.333/GR</t>
  </si>
  <si>
    <t>PPHW.05016011.333/GR</t>
  </si>
  <si>
    <t>PPHW.05016022.333/GR</t>
  </si>
  <si>
    <t>PPHW.05018011.333/GR</t>
  </si>
  <si>
    <t>PPHW.05018022.333/GR</t>
  </si>
  <si>
    <t>PPHW.05020011.333/GR</t>
  </si>
  <si>
    <t>PPHW.05020022.333/GR</t>
  </si>
  <si>
    <t>PPHW.05022011.333/GR</t>
  </si>
  <si>
    <t>PPHW.05022022.333/GR</t>
  </si>
  <si>
    <t>PPHW.05024011.333/GR</t>
  </si>
  <si>
    <t>PPHW.05024022.333/GR</t>
  </si>
  <si>
    <t>PPHW.05026011.333/GR</t>
  </si>
  <si>
    <t>PPHW.05026022.333/GR</t>
  </si>
  <si>
    <t>PPHW.05028011.333/GR</t>
  </si>
  <si>
    <t>PPHW.05028022.333/GR</t>
  </si>
  <si>
    <t>PPHW.05030011.333/GR</t>
  </si>
  <si>
    <t>PPHW.05030022.333/GR</t>
  </si>
  <si>
    <t>PPHW.05606011.333/GR</t>
  </si>
  <si>
    <t>PPHW.05606022.333/GR</t>
  </si>
  <si>
    <t>PPHW.05608011.333/GR</t>
  </si>
  <si>
    <t>PPHW.05608022.333/GR</t>
  </si>
  <si>
    <t>PPHW.05610011.333/GR</t>
  </si>
  <si>
    <t>PPHW.05610022.333/GR</t>
  </si>
  <si>
    <t>PPHW.05612011.333/GR</t>
  </si>
  <si>
    <t>PPHW.05612022.333/GR</t>
  </si>
  <si>
    <t>PPHW.05614011.333/GR</t>
  </si>
  <si>
    <t>PPHW.05614022.333/GR</t>
  </si>
  <si>
    <t>PPHW.05616011.333/GR</t>
  </si>
  <si>
    <t>PPHW.05616022.333/GR</t>
  </si>
  <si>
    <t>PPHW.05618011.333/GR</t>
  </si>
  <si>
    <t>PPHW.05618022.333/GR</t>
  </si>
  <si>
    <t>PPHW.05620011.333/GR</t>
  </si>
  <si>
    <t>PPHW.05620022.333/GR</t>
  </si>
  <si>
    <t>PPHW.05622011.333/GR</t>
  </si>
  <si>
    <t>PPHW.05622022.333/GR</t>
  </si>
  <si>
    <t>PPHW.05624011.333/GR</t>
  </si>
  <si>
    <t>PPHW.05624022.333/GR</t>
  </si>
  <si>
    <t>PPHW.05626011.333/GR</t>
  </si>
  <si>
    <t>PPHW.05626022.333/GR</t>
  </si>
  <si>
    <t>PPHW.05628011.333/GR</t>
  </si>
  <si>
    <t>PPHW.05628022.333/GR</t>
  </si>
  <si>
    <t>PPHW.05630011.333/GR</t>
  </si>
  <si>
    <t>PPHW.05630022.333/GR</t>
  </si>
  <si>
    <t>PPHW.06206011.333/GR</t>
  </si>
  <si>
    <t>PPHW.06206022.333/GR</t>
  </si>
  <si>
    <t>PPHW.06208011.333/GR</t>
  </si>
  <si>
    <t>PPHW.06208022.333/GR</t>
  </si>
  <si>
    <t>PPHW.06210011.333/GR</t>
  </si>
  <si>
    <t>PPHW.06210022.333/GR</t>
  </si>
  <si>
    <t>PPHW.06212011.333/GR</t>
  </si>
  <si>
    <t>PPHW.06212022.333/GR</t>
  </si>
  <si>
    <t>PPHW.06214011.333/GR</t>
  </si>
  <si>
    <t>PPHW.06214022.333/GR</t>
  </si>
  <si>
    <t>PPHW.06216011.333/GR</t>
  </si>
  <si>
    <t>PPHW.06216022.333/GR</t>
  </si>
  <si>
    <t>PPHW.06218011.333/GR</t>
  </si>
  <si>
    <t>PPHW.06218022.333/GR</t>
  </si>
  <si>
    <t>PPHW.06220011.333/GR</t>
  </si>
  <si>
    <t>PPHW.06220022.333/GR</t>
  </si>
  <si>
    <t>PPHW.06222011.333/GR</t>
  </si>
  <si>
    <t>PPHW.06222022.333/GR</t>
  </si>
  <si>
    <t>PPHW.06224011.333/GR</t>
  </si>
  <si>
    <t>PPHW.06224022.333/GR</t>
  </si>
  <si>
    <t>PPHW.06226011.333/GR</t>
  </si>
  <si>
    <t>PPHW.06226022.333/GR</t>
  </si>
  <si>
    <t>PPHW.06228011.333/GR</t>
  </si>
  <si>
    <t>PPHW.06228022.333/GR</t>
  </si>
  <si>
    <t>PPHW.06230011.333/GR</t>
  </si>
  <si>
    <t>PPHW.06230022.333/GR</t>
  </si>
  <si>
    <t>PPHW.06906011.333/GR</t>
  </si>
  <si>
    <t>PPHW.06906022.333/GR</t>
  </si>
  <si>
    <t>PPHW.06908011.333/GR</t>
  </si>
  <si>
    <t>PPHW.06908022.333/GR</t>
  </si>
  <si>
    <t>PPHW.06910011.333/GR</t>
  </si>
  <si>
    <t>PPHW.06910022.333/GR</t>
  </si>
  <si>
    <t>PPHW.06912011.333/GR</t>
  </si>
  <si>
    <t>PPHW.06912022.333/GR</t>
  </si>
  <si>
    <t>PPHW.06914011.333/GR</t>
  </si>
  <si>
    <t>PPHW.06914022.333/GR</t>
  </si>
  <si>
    <t>PPHW.06916011.333/GR</t>
  </si>
  <si>
    <t>PPHW.06916022.333/GR</t>
  </si>
  <si>
    <t>PPHW.06918011.333/GR</t>
  </si>
  <si>
    <t>PPHW.06918022.333/GR</t>
  </si>
  <si>
    <t>PPHW.06920011.333/GR</t>
  </si>
  <si>
    <t>PPHW.06920022.333/GR</t>
  </si>
  <si>
    <t>PPHW.06922011.333/GR</t>
  </si>
  <si>
    <t>PPHW.06922022.333/GR</t>
  </si>
  <si>
    <t>PPHW.06924011.333/GR</t>
  </si>
  <si>
    <t>PPHW.06924022.333/GR</t>
  </si>
  <si>
    <t>PPHW.06926011.333/GR</t>
  </si>
  <si>
    <t>PPHW.06926022.333/GR</t>
  </si>
  <si>
    <t>PPHW.06928011.333/GR</t>
  </si>
  <si>
    <t>PPHW.06928022.333/GR</t>
  </si>
  <si>
    <t>PPHW.06930011.333/GR</t>
  </si>
  <si>
    <t>PPHW.06930022.333/GR</t>
  </si>
  <si>
    <t>PPHW.07506011.333/GR</t>
  </si>
  <si>
    <t>PPHW.07506022.333/GR</t>
  </si>
  <si>
    <t>PPHW.07508011.333/GR</t>
  </si>
  <si>
    <t>PPHW.07508022.333/GR</t>
  </si>
  <si>
    <t>PPHW.07510011.333/GR</t>
  </si>
  <si>
    <t>PPHW.07510022.333/GR</t>
  </si>
  <si>
    <t>PPHW.07512011.333/GR</t>
  </si>
  <si>
    <t>PPHW.07512022.333/GR</t>
  </si>
  <si>
    <t>PPHW.07514011.333/GR</t>
  </si>
  <si>
    <t>PPHW.07514022.333/GR</t>
  </si>
  <si>
    <t>PPHW.07516011.333/GR</t>
  </si>
  <si>
    <t>PPHW.07516022.333/GR</t>
  </si>
  <si>
    <t>PPHW.07518011.333/GR</t>
  </si>
  <si>
    <t>PPHW.07518022.333/GR</t>
  </si>
  <si>
    <t>PPHW.07520011.333/GR</t>
  </si>
  <si>
    <t>PPHW.07520022.333/GR</t>
  </si>
  <si>
    <t>PPHW.07522011.333/GR</t>
  </si>
  <si>
    <t>PPHW.07522022.333/GR</t>
  </si>
  <si>
    <t>PPHW.07524011.333/GR</t>
  </si>
  <si>
    <t>PPHW.07524022.333/GR</t>
  </si>
  <si>
    <t>PPHW.07526011.333/GR</t>
  </si>
  <si>
    <t>PPHW.07526022.333/GR</t>
  </si>
  <si>
    <t>PPHW.07528011.333/GR</t>
  </si>
  <si>
    <t>PPHW.07528022.333/GR</t>
  </si>
  <si>
    <t>PPHW.07530011.333/GR</t>
  </si>
  <si>
    <t>PPHW.07530022.333/GR</t>
  </si>
  <si>
    <t>PPHW.08106011.333/GR</t>
  </si>
  <si>
    <t>PPHW.08106022.333/GR</t>
  </si>
  <si>
    <t>PPHW.08108011.333/GR</t>
  </si>
  <si>
    <t>PPHW.08108022.333/GR</t>
  </si>
  <si>
    <t>PPHW.08110011.333/GR</t>
  </si>
  <si>
    <t>PPHW.08110022.333/GR</t>
  </si>
  <si>
    <t>PPHW.08112011.333/GR</t>
  </si>
  <si>
    <t>PPHW.08112022.333/GR</t>
  </si>
  <si>
    <t>PPHW.08114011.333/GR</t>
  </si>
  <si>
    <t>PPHW.08114022.333/GR</t>
  </si>
  <si>
    <t>PPHW.08116011.333/GR</t>
  </si>
  <si>
    <t>PPHW.08116022.333/GR</t>
  </si>
  <si>
    <t>PPHW.08118011.333/GR</t>
  </si>
  <si>
    <t>PPHW.08118022.333/GR</t>
  </si>
  <si>
    <t>PPHW.08120011.333/GR</t>
  </si>
  <si>
    <t>PPHW.08120022.333/GR</t>
  </si>
  <si>
    <t>PPHW.08122011.333/GR</t>
  </si>
  <si>
    <t>PPHW.08122022.333/GR</t>
  </si>
  <si>
    <t>PPHW.08124011.333/GR</t>
  </si>
  <si>
    <t>PPHW.08124022.333/GR</t>
  </si>
  <si>
    <t>PPHW.08126011.333/GR</t>
  </si>
  <si>
    <t>PPHW.08126022.333/GR</t>
  </si>
  <si>
    <t>PPHW.08128011.333/GR</t>
  </si>
  <si>
    <t>PPHW.08128022.333/GR</t>
  </si>
  <si>
    <t>PPHW.08130011.333/GR</t>
  </si>
  <si>
    <t>PPHW.08130022.333/GR</t>
  </si>
  <si>
    <t>PPHW.08706011.333/GR</t>
  </si>
  <si>
    <t>PPHW.08706022.333/GR</t>
  </si>
  <si>
    <t>PPHW.08708011.333/GR</t>
  </si>
  <si>
    <t>PPHW.08708022.333/GR</t>
  </si>
  <si>
    <t>PPHW.08710011.333/GR</t>
  </si>
  <si>
    <t>PPHW.08710022.333/GR</t>
  </si>
  <si>
    <t>PPHW.08712011.333/GR</t>
  </si>
  <si>
    <t>PPHW.08712022.333/GR</t>
  </si>
  <si>
    <t>PPHW.08714011.333/GR</t>
  </si>
  <si>
    <t>PPHW.08714022.333/GR</t>
  </si>
  <si>
    <t>PPHW.08716011.333/GR</t>
  </si>
  <si>
    <t>PPHW.08716022.333/GR</t>
  </si>
  <si>
    <t>PPHW.08718011.333/GR</t>
  </si>
  <si>
    <t>PPHW.08718022.333/GR</t>
  </si>
  <si>
    <t>PPHW.08720011.333/GR</t>
  </si>
  <si>
    <t>PPHW.08720022.333/GR</t>
  </si>
  <si>
    <t>PPHW.08722011.333/GR</t>
  </si>
  <si>
    <t>PPHW.08722022.333/GR</t>
  </si>
  <si>
    <t>PPHW.08724011.333/GR</t>
  </si>
  <si>
    <t>PPHW.08724022.333/GR</t>
  </si>
  <si>
    <t>PPHW.08726011.333/GR</t>
  </si>
  <si>
    <t>PPHW.08726022.333/GR</t>
  </si>
  <si>
    <t>PPHW.08728011.333/GR</t>
  </si>
  <si>
    <t>PPHW.08728022.333/GR</t>
  </si>
  <si>
    <t>PPHW.08730011.333/GR</t>
  </si>
  <si>
    <t>PPHW.08730022.333/GR</t>
  </si>
  <si>
    <t>PPHW.09406011.333/GR</t>
  </si>
  <si>
    <t>PPHW.09406022.333/GR</t>
  </si>
  <si>
    <t>PPHW.09408011.333/GR</t>
  </si>
  <si>
    <t>PPHW.09408022.333/GR</t>
  </si>
  <si>
    <t>PPHW.09410011.333/GR</t>
  </si>
  <si>
    <t>PPHW.09410022.333/GR</t>
  </si>
  <si>
    <t>PPHW.09412011.333/GR</t>
  </si>
  <si>
    <t>PPHW.09412022.333/GR</t>
  </si>
  <si>
    <t>PPHW.09414011.333/GR</t>
  </si>
  <si>
    <t>PPHW.09414022.333/GR</t>
  </si>
  <si>
    <t>PPHW.09416011.333/GR</t>
  </si>
  <si>
    <t>PPHW.09416022.333/GR</t>
  </si>
  <si>
    <t>PPHW.09418011.333/GR</t>
  </si>
  <si>
    <t>PPHW.09418022.333/GR</t>
  </si>
  <si>
    <t>PPHW.09420011.333/GR</t>
  </si>
  <si>
    <t>PPHW.09420022.333/GR</t>
  </si>
  <si>
    <t>PPHW.09422011.333/GR</t>
  </si>
  <si>
    <t>PPHW.09422022.333/GR</t>
  </si>
  <si>
    <t>PPHW.09424011.333/GR</t>
  </si>
  <si>
    <t>PPHW.09424022.333/GR</t>
  </si>
  <si>
    <t>PPHW.09426011.333/GR</t>
  </si>
  <si>
    <t>PPHW.09426022.333/GR</t>
  </si>
  <si>
    <t>PPHW.09428011.333/GR</t>
  </si>
  <si>
    <t>PPHW.09428022.333/GR</t>
  </si>
  <si>
    <t>PPHW.09430011.333/GR</t>
  </si>
  <si>
    <t>PPHW.09430022.333/GR</t>
  </si>
  <si>
    <t>PPVW.18002411.333/MM</t>
  </si>
  <si>
    <t>PPVW.18003111.333/MM</t>
  </si>
  <si>
    <t>PPVW.18003711.333/MM</t>
  </si>
  <si>
    <t>PPVW.18004311.333/MM</t>
  </si>
  <si>
    <t>PPVW.18005011.333/MM</t>
  </si>
  <si>
    <t>PPVW.18005611.333/MM</t>
  </si>
  <si>
    <t>PPVW.18006211.333/MM</t>
  </si>
  <si>
    <t>PPVW.18006911.333/MM</t>
  </si>
  <si>
    <t>PPVW.18007511.333/MM</t>
  </si>
  <si>
    <t>PPVW.18008111.333/MM</t>
  </si>
  <si>
    <t>PPVW.18008711.333/MM</t>
  </si>
  <si>
    <t>PPVW.18009411.333/MM</t>
  </si>
  <si>
    <t>PPVW.20002411.333/MM</t>
  </si>
  <si>
    <t>PPVW.20003111.333/MM</t>
  </si>
  <si>
    <t>PPVW.20003711.333/MM</t>
  </si>
  <si>
    <t>PPVW.20004311.333/MM</t>
  </si>
  <si>
    <t>PPVW.20005011.333/MM</t>
  </si>
  <si>
    <t>PPVW.20005611.333/MM</t>
  </si>
  <si>
    <t>PPVW.20006211.333/MM</t>
  </si>
  <si>
    <t>PPVW.20006911.333/MM</t>
  </si>
  <si>
    <t>PPVW.20007511.333/MM</t>
  </si>
  <si>
    <t>PPVW.20008111.333/MM</t>
  </si>
  <si>
    <t>PPVW.20008711.333/MM</t>
  </si>
  <si>
    <t>PPVW.20009411.333/MM</t>
  </si>
  <si>
    <t>PPVW.22002411.333/MM</t>
  </si>
  <si>
    <t>PPVW.22003111.333/MM</t>
  </si>
  <si>
    <t>PPVW.22003711.333/MM</t>
  </si>
  <si>
    <t>PPVW.22004311.333/MM</t>
  </si>
  <si>
    <t>PPVW.22005011.333/MM</t>
  </si>
  <si>
    <t>PPVW.22005611.333/MM</t>
  </si>
  <si>
    <t>PPVW.22006211.333/MM</t>
  </si>
  <si>
    <t>PPVW.22006911.333/MM</t>
  </si>
  <si>
    <t>PPVW.22007511.333/MM</t>
  </si>
  <si>
    <t>PPVW.22008111.333/MM</t>
  </si>
  <si>
    <t>PPVW.22008711.333/MM</t>
  </si>
  <si>
    <t>PPVW.22009411.333/MM</t>
  </si>
  <si>
    <t>PPVW.24002411.333/MM</t>
  </si>
  <si>
    <t>PPVW.24003111.333/MM</t>
  </si>
  <si>
    <t>PPVW.24003711.333/MM</t>
  </si>
  <si>
    <t>PPVW.24004311.333/MM</t>
  </si>
  <si>
    <t>PPVW.24005011.333/MM</t>
  </si>
  <si>
    <t>PPVW.24005611.333/MM</t>
  </si>
  <si>
    <t>PPVW.24006211.333/MM</t>
  </si>
  <si>
    <t>PPVW.24006911.333/MM</t>
  </si>
  <si>
    <t>PPVW.24007511.333/MM</t>
  </si>
  <si>
    <t>PPVW.24008111.333/MM</t>
  </si>
  <si>
    <t>PPVW.24008711.333/MM</t>
  </si>
  <si>
    <t>PPVW.24009411.333/MM</t>
  </si>
  <si>
    <t>PPVW.26002411.333/MM</t>
  </si>
  <si>
    <t>PPVW.26003111.333/MM</t>
  </si>
  <si>
    <t>PPVW.26003711.333/MM</t>
  </si>
  <si>
    <t>PPVW.26004311.333/MM</t>
  </si>
  <si>
    <t>PPVW.26005011.333/MM</t>
  </si>
  <si>
    <t>PPVW.26005611.333/MM</t>
  </si>
  <si>
    <t>PPVW.26006211.333/MM</t>
  </si>
  <si>
    <t>PPVW.26006911.333/MM</t>
  </si>
  <si>
    <t>PPVW.26007511.333/MM</t>
  </si>
  <si>
    <t>PPVW.26008111.333/MM</t>
  </si>
  <si>
    <t>PPVW.26008711.333/MM</t>
  </si>
  <si>
    <t>PPVW.26009411.333/MM</t>
  </si>
  <si>
    <t>PPVW.28002411.333/MM</t>
  </si>
  <si>
    <t>PPVW.28003111.333/MM</t>
  </si>
  <si>
    <t>PPVW.28003711.333/MM</t>
  </si>
  <si>
    <t>PPVW.28004311.333/MM</t>
  </si>
  <si>
    <t>PPVW.28005011.333/MM</t>
  </si>
  <si>
    <t>PPVW.28005611.333/MM</t>
  </si>
  <si>
    <t>PPVW.28006211.333/MM</t>
  </si>
  <si>
    <t>PPVW.28006911.333/MM</t>
  </si>
  <si>
    <t>PPVW.28007511.333/MM</t>
  </si>
  <si>
    <t>PPVW.28008111.333/MM</t>
  </si>
  <si>
    <t>PPVW.28008711.333/MM</t>
  </si>
  <si>
    <t>PPVW.28009411.333/MM</t>
  </si>
  <si>
    <t>PPVW.30002411.333/MM</t>
  </si>
  <si>
    <t>PPVW.30003111.333/MM</t>
  </si>
  <si>
    <t>PPVW.30003711.333/MM</t>
  </si>
  <si>
    <t>PPVW.30004311.333/MM</t>
  </si>
  <si>
    <t>PPVW.30005011.333/MM</t>
  </si>
  <si>
    <t>PPVW.30005611.333/MM</t>
  </si>
  <si>
    <t>PPVW.30006211.333/MM</t>
  </si>
  <si>
    <t>PPVW.30006911.333/MM</t>
  </si>
  <si>
    <t>PPVW.30007511.333/MM</t>
  </si>
  <si>
    <t>PPVW.30008111.333/MM</t>
  </si>
  <si>
    <t>PPVW.30008711.333/MM</t>
  </si>
  <si>
    <t>PPVW.30009411.333/MM</t>
  </si>
  <si>
    <t>Panel Plus Freestanding</t>
  </si>
  <si>
    <t>Vertical Wall</t>
  </si>
  <si>
    <t>Panel Plus Vertical Wall</t>
  </si>
  <si>
    <t>Panel Plus Horizontal Wall</t>
  </si>
  <si>
    <t>CFMs</t>
  </si>
  <si>
    <t>conversie kg/s</t>
  </si>
  <si>
    <t>Cubics</t>
  </si>
  <si>
    <t>Feetmins</t>
  </si>
  <si>
    <t>* Unit heaters 021 031 221 and 231 can be provided with a 115V motor.</t>
  </si>
  <si>
    <t xml:space="preserve">   Electric Consumption differs from the 208V models.</t>
  </si>
  <si>
    <t>Model *</t>
  </si>
  <si>
    <t>Unit Heater (208V)</t>
  </si>
  <si>
    <t>STCA.05024010</t>
  </si>
  <si>
    <t>STCA.05028010</t>
  </si>
  <si>
    <t>STCA.06524010</t>
  </si>
  <si>
    <t>STCA.06528010</t>
  </si>
  <si>
    <t>STCA.03524015</t>
  </si>
  <si>
    <t>STCA.03528015</t>
  </si>
  <si>
    <t>STCA.05024015</t>
  </si>
  <si>
    <t>STCA.05028015</t>
  </si>
  <si>
    <t>STCA.06524015</t>
  </si>
  <si>
    <t>STCA.06528015</t>
  </si>
  <si>
    <t>STCA.05024020</t>
  </si>
  <si>
    <t>STCA.05028020</t>
  </si>
  <si>
    <t>STCA.06524020</t>
  </si>
  <si>
    <t>STCA.06528020</t>
  </si>
  <si>
    <t>STCO.02024005</t>
  </si>
  <si>
    <t>STCO.02028005</t>
  </si>
  <si>
    <t>STCO.03524005</t>
  </si>
  <si>
    <t>STCO.03528005</t>
  </si>
  <si>
    <t>STCO.02024010</t>
  </si>
  <si>
    <t>STCO.02028010</t>
  </si>
  <si>
    <t>STCO.03524010</t>
  </si>
  <si>
    <t>STCO.03528010</t>
  </si>
  <si>
    <t>STCO.05024010</t>
  </si>
  <si>
    <t>STCO.05028010</t>
  </si>
  <si>
    <t>STCO.02024015</t>
  </si>
  <si>
    <t>STCO.02028015</t>
  </si>
  <si>
    <t>STCO.03524015</t>
  </si>
  <si>
    <t>STCO.03528015</t>
  </si>
  <si>
    <t>STCO.05024015</t>
  </si>
  <si>
    <t>STCO.05028015</t>
  </si>
  <si>
    <t>STCO.05024020</t>
  </si>
  <si>
    <t>STCO.05028020</t>
  </si>
  <si>
    <t>STCA.03522005</t>
  </si>
  <si>
    <t>STCA.03524005</t>
  </si>
  <si>
    <t>STCA.03526005</t>
  </si>
  <si>
    <t>STCA.03528005</t>
  </si>
  <si>
    <t>STCA.03522010</t>
  </si>
  <si>
    <t>STCA.03524010</t>
  </si>
  <si>
    <t>STCA.03526010</t>
  </si>
  <si>
    <t>STCA.03528010</t>
  </si>
  <si>
    <t>STCA.03522015</t>
  </si>
  <si>
    <t>STCA.03526015</t>
  </si>
  <si>
    <t>STCA.05022010</t>
  </si>
  <si>
    <t>STCA.05026010</t>
  </si>
  <si>
    <t>STCA.05022015</t>
  </si>
  <si>
    <t>STCA.05026015</t>
  </si>
  <si>
    <t>STCA.05022020</t>
  </si>
  <si>
    <t>STCA.06522010</t>
  </si>
  <si>
    <t>STCA.06526010</t>
  </si>
  <si>
    <t>STCA.06522015</t>
  </si>
  <si>
    <t>STCA.06526015</t>
  </si>
  <si>
    <t>STCA.06522020</t>
  </si>
  <si>
    <t>STCA.06526020</t>
  </si>
  <si>
    <t>STCO.02022005</t>
  </si>
  <si>
    <t>STCO.02026005</t>
  </si>
  <si>
    <t>STCO.02022010</t>
  </si>
  <si>
    <t>STCO.02026010</t>
  </si>
  <si>
    <t>STCO.02022015</t>
  </si>
  <si>
    <t>STCO.03522005</t>
  </si>
  <si>
    <t>STCO.03522010</t>
  </si>
  <si>
    <t>STCO.03522015</t>
  </si>
  <si>
    <t>STCO.03526005</t>
  </si>
  <si>
    <t>STCO.03526010</t>
  </si>
  <si>
    <t>STCO.03526015</t>
  </si>
  <si>
    <t>STCO.05022010</t>
  </si>
  <si>
    <t>STCO.05022015</t>
  </si>
  <si>
    <t>STCO.05022020</t>
  </si>
  <si>
    <t>STCO.05026010</t>
  </si>
  <si>
    <t>STCO.05026015</t>
  </si>
  <si>
    <t>STCO.05026020</t>
  </si>
  <si>
    <t>STCO.06522010</t>
  </si>
  <si>
    <t>STCO.06522015</t>
  </si>
  <si>
    <t>STCO.06522020</t>
  </si>
  <si>
    <t>STCO.06526010</t>
  </si>
  <si>
    <t>STCO.06526015</t>
  </si>
  <si>
    <t>STCO.06526020</t>
  </si>
  <si>
    <t>STCO.06524010</t>
  </si>
  <si>
    <t>STCO.06524015</t>
  </si>
  <si>
    <t>STCO.06524020</t>
  </si>
  <si>
    <t>STCO.06528010</t>
  </si>
  <si>
    <t>STCO.06528015</t>
  </si>
  <si>
    <t>STCO.06528020</t>
  </si>
  <si>
    <t>STCA.05026020</t>
  </si>
  <si>
    <t>KV</t>
  </si>
  <si>
    <t>hydraulic pressure drop kPa</t>
  </si>
  <si>
    <t>CCLF.01330032/BNA</t>
  </si>
  <si>
    <t>Pressure Drop</t>
  </si>
  <si>
    <t>QCLF.01330032/BNA</t>
  </si>
  <si>
    <t>LA/2022-10-12</t>
  </si>
  <si>
    <t>Selection Model 2022-10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</si>
</sst>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\ &quot;€&quot;_-;\-* #,##0.00\ &quot;€&quot;_-;_-* &quot;-&quot;??\ &quot;€&quot;_-;_-@_-"/>
    <numFmt numFmtId="165" formatCode="000"/>
    <numFmt numFmtId="166" formatCode="0.000"/>
    <numFmt numFmtId="167" formatCode="0.0"/>
    <numFmt numFmtId="168" formatCode="0.00000000000000"/>
    <numFmt numFmtId="169" formatCode="0.0000000000000000000"/>
    <numFmt numFmtId="171" formatCode="0.0000E+00"/>
    <numFmt numFmtId="172" formatCode="0.0000"/>
  </numFmts>
  <fonts count="50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sz val="10"/>
      <name val="Arial Narrow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MS Sans Serif"/>
    </font>
    <font>
      <sz val="8"/>
      <name val="Arial Narrow"/>
      <family val="2"/>
    </font>
    <font>
      <sz val="10"/>
      <name val="MS Sans Serif"/>
    </font>
    <font>
      <sz val="7"/>
      <name val="Arial Narrow"/>
      <family val="2"/>
    </font>
    <font>
      <sz val="6"/>
      <name val="Arial Narrow"/>
      <family val="2"/>
    </font>
    <font>
      <b/>
      <sz val="24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color theme="0"/>
      <name val="Arial Narrow"/>
      <family val="2"/>
    </font>
    <font>
      <sz val="10"/>
      <color rgb="FFFF0000"/>
      <name val="Arial Narrow"/>
      <family val="2"/>
    </font>
    <font>
      <b/>
      <sz val="12"/>
      <color theme="0"/>
      <name val="Arial Narrow"/>
      <family val="2"/>
    </font>
    <font>
      <b/>
      <sz val="10"/>
      <color rgb="FFFF0000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0"/>
      <name val="MS Sans Serif"/>
    </font>
    <font>
      <b/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538DD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8DB4E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1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6" fillId="0" borderId="0" applyFont="0" applyFill="0" applyBorder="0" applyAlignment="0" applyProtection="0"/>
    <xf numFmtId="0" fontId="16" fillId="0" borderId="0"/>
    <xf numFmtId="9" fontId="35" fillId="0" borderId="0" applyFont="0" applyFill="0" applyBorder="0" applyAlignment="0" applyProtection="0"/>
  </cellStyleXfs>
  <cellXfs count="269">
    <xf numFmtId="0" fontId="0" fillId="0" borderId="0" xfId="0"/>
    <xf numFmtId="0" fontId="17" fillId="0" borderId="0" xfId="0" applyFont="1" applyBorder="1" applyAlignment="1" applyProtection="1">
      <alignment horizontal="left"/>
      <protection hidden="1"/>
    </xf>
    <xf numFmtId="0" fontId="17" fillId="0" borderId="0" xfId="0" applyFont="1" applyBorder="1" applyAlignment="1" applyProtection="1">
      <alignment horizontal="right"/>
      <protection hidden="1"/>
    </xf>
    <xf numFmtId="0" fontId="17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horizontal="left" vertical="center"/>
      <protection hidden="1"/>
    </xf>
    <xf numFmtId="165" fontId="17" fillId="0" borderId="0" xfId="0" applyNumberFormat="1" applyFont="1" applyBorder="1" applyAlignment="1" applyProtection="1">
      <alignment horizontal="center"/>
      <protection hidden="1"/>
    </xf>
    <xf numFmtId="0" fontId="17" fillId="0" borderId="0" xfId="0" applyNumberFormat="1" applyFont="1" applyBorder="1" applyAlignment="1" applyProtection="1">
      <alignment horizontal="right"/>
      <protection hidden="1"/>
    </xf>
    <xf numFmtId="0" fontId="19" fillId="0" borderId="1" xfId="0" applyFont="1" applyFill="1" applyBorder="1" applyAlignment="1" applyProtection="1">
      <alignment horizontal="center"/>
      <protection locked="0"/>
    </xf>
    <xf numFmtId="0" fontId="22" fillId="2" borderId="2" xfId="0" applyFont="1" applyFill="1" applyBorder="1" applyProtection="1">
      <protection hidden="1"/>
    </xf>
    <xf numFmtId="2" fontId="17" fillId="0" borderId="0" xfId="0" applyNumberFormat="1" applyFont="1" applyBorder="1" applyAlignment="1" applyProtection="1">
      <alignment horizontal="right"/>
      <protection hidden="1"/>
    </xf>
    <xf numFmtId="2" fontId="17" fillId="0" borderId="0" xfId="0" applyNumberFormat="1" applyFont="1" applyFill="1" applyBorder="1" applyAlignment="1" applyProtection="1">
      <alignment horizontal="right"/>
      <protection hidden="1"/>
    </xf>
    <xf numFmtId="0" fontId="17" fillId="4" borderId="0" xfId="0" applyNumberFormat="1" applyFont="1" applyFill="1" applyBorder="1" applyAlignment="1" applyProtection="1">
      <alignment horizontal="right"/>
      <protection hidden="1"/>
    </xf>
    <xf numFmtId="0" fontId="17" fillId="0" borderId="0" xfId="0" applyFont="1" applyFill="1" applyBorder="1" applyAlignment="1" applyProtection="1">
      <alignment horizontal="right"/>
      <protection hidden="1"/>
    </xf>
    <xf numFmtId="0" fontId="17" fillId="0" borderId="0" xfId="0" applyFont="1" applyFill="1" applyBorder="1" applyAlignment="1" applyProtection="1">
      <alignment horizontal="right" vertical="center"/>
      <protection hidden="1"/>
    </xf>
    <xf numFmtId="0" fontId="25" fillId="5" borderId="1" xfId="0" applyNumberFormat="1" applyFont="1" applyFill="1" applyBorder="1" applyAlignment="1" applyProtection="1">
      <alignment horizontal="center" vertical="center"/>
      <protection hidden="1"/>
    </xf>
    <xf numFmtId="165" fontId="25" fillId="5" borderId="1" xfId="0" applyNumberFormat="1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Border="1" applyAlignment="1" applyProtection="1">
      <alignment horizontal="left"/>
      <protection hidden="1"/>
    </xf>
    <xf numFmtId="0" fontId="23" fillId="6" borderId="0" xfId="0" applyFont="1" applyFill="1" applyBorder="1" applyAlignment="1" applyProtection="1">
      <alignment horizontal="left" vertical="center"/>
      <protection hidden="1"/>
    </xf>
    <xf numFmtId="0" fontId="20" fillId="6" borderId="0" xfId="0" applyFont="1" applyFill="1" applyBorder="1" applyAlignment="1" applyProtection="1">
      <alignment horizontal="left" vertical="center"/>
      <protection hidden="1"/>
    </xf>
    <xf numFmtId="3" fontId="20" fillId="6" borderId="0" xfId="0" applyNumberFormat="1" applyFont="1" applyFill="1" applyBorder="1" applyAlignment="1" applyProtection="1">
      <alignment horizontal="left" vertical="center"/>
      <protection hidden="1"/>
    </xf>
    <xf numFmtId="0" fontId="17" fillId="6" borderId="0" xfId="0" applyNumberFormat="1" applyFont="1" applyFill="1" applyBorder="1" applyAlignment="1" applyProtection="1">
      <alignment horizontal="right"/>
      <protection hidden="1"/>
    </xf>
    <xf numFmtId="165" fontId="17" fillId="6" borderId="0" xfId="0" applyNumberFormat="1" applyFont="1" applyFill="1" applyBorder="1" applyAlignment="1" applyProtection="1">
      <alignment horizontal="center"/>
      <protection hidden="1"/>
    </xf>
    <xf numFmtId="0" fontId="17" fillId="6" borderId="0" xfId="0" applyNumberFormat="1" applyFont="1" applyFill="1" applyBorder="1" applyAlignment="1" applyProtection="1">
      <alignment horizontal="left"/>
      <protection hidden="1"/>
    </xf>
    <xf numFmtId="0" fontId="26" fillId="6" borderId="0" xfId="0" applyNumberFormat="1" applyFont="1" applyFill="1" applyBorder="1" applyAlignment="1" applyProtection="1">
      <alignment horizontal="right"/>
      <protection hidden="1"/>
    </xf>
    <xf numFmtId="0" fontId="18" fillId="6" borderId="0" xfId="0" applyFont="1" applyFill="1" applyBorder="1" applyAlignment="1" applyProtection="1">
      <alignment horizontal="left"/>
      <protection hidden="1"/>
    </xf>
    <xf numFmtId="0" fontId="18" fillId="6" borderId="0" xfId="0" applyFont="1" applyFill="1" applyBorder="1" applyAlignment="1" applyProtection="1">
      <alignment horizontal="center"/>
      <protection hidden="1"/>
    </xf>
    <xf numFmtId="2" fontId="18" fillId="6" borderId="0" xfId="0" applyNumberFormat="1" applyFont="1" applyFill="1" applyBorder="1" applyAlignment="1" applyProtection="1">
      <alignment horizontal="center"/>
      <protection hidden="1"/>
    </xf>
    <xf numFmtId="2" fontId="18" fillId="6" borderId="0" xfId="0" applyNumberFormat="1" applyFont="1" applyFill="1" applyBorder="1" applyAlignment="1" applyProtection="1">
      <alignment horizontal="left"/>
      <protection hidden="1"/>
    </xf>
    <xf numFmtId="165" fontId="18" fillId="6" borderId="0" xfId="0" applyNumberFormat="1" applyFont="1" applyFill="1" applyBorder="1" applyAlignment="1" applyProtection="1">
      <alignment horizontal="left"/>
      <protection hidden="1"/>
    </xf>
    <xf numFmtId="165" fontId="24" fillId="6" borderId="0" xfId="0" applyNumberFormat="1" applyFont="1" applyFill="1" applyBorder="1" applyAlignment="1" applyProtection="1">
      <alignment horizontal="right"/>
      <protection hidden="1"/>
    </xf>
    <xf numFmtId="0" fontId="17" fillId="6" borderId="0" xfId="0" applyNumberFormat="1" applyFont="1" applyFill="1" applyBorder="1" applyAlignment="1" applyProtection="1">
      <alignment horizontal="center"/>
      <protection hidden="1"/>
    </xf>
    <xf numFmtId="9" fontId="17" fillId="0" borderId="0" xfId="0" applyNumberFormat="1" applyFont="1" applyAlignment="1" applyProtection="1">
      <alignment horizontal="left"/>
      <protection hidden="1"/>
    </xf>
    <xf numFmtId="0" fontId="26" fillId="6" borderId="0" xfId="0" applyFont="1" applyFill="1" applyBorder="1" applyAlignment="1" applyProtection="1">
      <alignment horizontal="left"/>
      <protection hidden="1"/>
    </xf>
    <xf numFmtId="0" fontId="18" fillId="0" borderId="0" xfId="0" applyFont="1" applyFill="1" applyBorder="1" applyAlignment="1" applyProtection="1">
      <alignment horizontal="center"/>
      <protection hidden="1"/>
    </xf>
    <xf numFmtId="2" fontId="17" fillId="0" borderId="0" xfId="0" applyNumberFormat="1" applyFont="1" applyFill="1" applyBorder="1" applyAlignment="1" applyProtection="1">
      <alignment horizontal="center"/>
      <protection hidden="1"/>
    </xf>
    <xf numFmtId="2" fontId="18" fillId="0" borderId="0" xfId="0" applyNumberFormat="1" applyFont="1" applyFill="1" applyBorder="1" applyAlignment="1" applyProtection="1">
      <alignment horizontal="center"/>
      <protection hidden="1"/>
    </xf>
    <xf numFmtId="2" fontId="18" fillId="0" borderId="0" xfId="0" applyNumberFormat="1" applyFont="1" applyFill="1" applyBorder="1" applyAlignment="1" applyProtection="1">
      <alignment horizontal="left"/>
      <protection hidden="1"/>
    </xf>
    <xf numFmtId="0" fontId="17" fillId="0" borderId="0" xfId="0" applyFont="1" applyBorder="1" applyAlignment="1" applyProtection="1">
      <alignment horizontal="center"/>
      <protection hidden="1"/>
    </xf>
    <xf numFmtId="0" fontId="17" fillId="0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25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15" fillId="8" borderId="0" xfId="0" applyFont="1" applyFill="1" applyBorder="1" applyAlignment="1" applyProtection="1">
      <alignment horizontal="left"/>
      <protection hidden="1"/>
    </xf>
    <xf numFmtId="166" fontId="15" fillId="8" borderId="0" xfId="0" applyNumberFormat="1" applyFont="1" applyFill="1" applyBorder="1" applyAlignment="1" applyProtection="1">
      <alignment horizontal="left"/>
      <protection hidden="1"/>
    </xf>
    <xf numFmtId="0" fontId="15" fillId="8" borderId="0" xfId="0" applyNumberFormat="1" applyFont="1" applyFill="1" applyBorder="1" applyAlignment="1" applyProtection="1">
      <alignment horizontal="right"/>
      <protection hidden="1"/>
    </xf>
    <xf numFmtId="1" fontId="15" fillId="8" borderId="0" xfId="0" applyNumberFormat="1" applyFont="1" applyFill="1" applyBorder="1" applyAlignment="1" applyProtection="1">
      <alignment horizontal="center"/>
      <protection hidden="1"/>
    </xf>
    <xf numFmtId="166" fontId="15" fillId="0" borderId="0" xfId="0" applyNumberFormat="1" applyFont="1" applyBorder="1" applyAlignment="1" applyProtection="1">
      <alignment horizontal="center"/>
      <protection hidden="1"/>
    </xf>
    <xf numFmtId="166" fontId="15" fillId="0" borderId="0" xfId="0" applyNumberFormat="1" applyFont="1" applyBorder="1" applyAlignment="1" applyProtection="1">
      <alignment horizontal="left"/>
      <protection hidden="1"/>
    </xf>
    <xf numFmtId="166" fontId="15" fillId="7" borderId="0" xfId="0" applyNumberFormat="1" applyFont="1" applyFill="1" applyBorder="1" applyAlignment="1" applyProtection="1">
      <alignment horizontal="center"/>
      <protection hidden="1"/>
    </xf>
    <xf numFmtId="166" fontId="15" fillId="7" borderId="0" xfId="0" applyNumberFormat="1" applyFont="1" applyFill="1" applyBorder="1" applyAlignment="1" applyProtection="1">
      <alignment horizontal="left"/>
      <protection hidden="1"/>
    </xf>
    <xf numFmtId="0" fontId="17" fillId="6" borderId="0" xfId="0" applyFont="1" applyFill="1" applyBorder="1" applyAlignment="1" applyProtection="1">
      <alignment horizontal="left"/>
      <protection locked="0"/>
    </xf>
    <xf numFmtId="0" fontId="27" fillId="0" borderId="3" xfId="0" applyFont="1" applyFill="1" applyBorder="1" applyAlignment="1" applyProtection="1">
      <protection locked="0"/>
    </xf>
    <xf numFmtId="0" fontId="17" fillId="0" borderId="1" xfId="0" applyFont="1" applyFill="1" applyBorder="1" applyAlignment="1" applyProtection="1">
      <alignment horizontal="center"/>
      <protection locked="0"/>
    </xf>
    <xf numFmtId="0" fontId="0" fillId="0" borderId="0" xfId="0" applyProtection="1">
      <protection hidden="1"/>
    </xf>
    <xf numFmtId="0" fontId="19" fillId="0" borderId="0" xfId="0" applyFont="1" applyFill="1" applyBorder="1" applyAlignment="1" applyProtection="1">
      <alignment horizontal="center"/>
      <protection hidden="1"/>
    </xf>
    <xf numFmtId="0" fontId="29" fillId="0" borderId="0" xfId="0" applyFont="1" applyAlignment="1" applyProtection="1">
      <alignment horizontal="center"/>
      <protection hidden="1"/>
    </xf>
    <xf numFmtId="165" fontId="18" fillId="0" borderId="0" xfId="0" applyNumberFormat="1" applyFont="1" applyFill="1" applyBorder="1" applyAlignment="1" applyProtection="1">
      <alignment horizontal="center"/>
      <protection hidden="1"/>
    </xf>
    <xf numFmtId="0" fontId="21" fillId="3" borderId="5" xfId="0" quotePrefix="1" applyNumberFormat="1" applyFont="1" applyFill="1" applyBorder="1" applyAlignment="1" applyProtection="1">
      <alignment horizontal="center" vertical="top" wrapText="1"/>
      <protection hidden="1"/>
    </xf>
    <xf numFmtId="0" fontId="21" fillId="5" borderId="6" xfId="0" applyNumberFormat="1" applyFont="1" applyFill="1" applyBorder="1" applyAlignment="1" applyProtection="1">
      <alignment vertical="top"/>
      <protection hidden="1"/>
    </xf>
    <xf numFmtId="0" fontId="21" fillId="5" borderId="6" xfId="0" applyNumberFormat="1" applyFont="1" applyFill="1" applyBorder="1" applyAlignment="1" applyProtection="1">
      <alignment horizontal="center" vertical="top" wrapText="1"/>
      <protection hidden="1"/>
    </xf>
    <xf numFmtId="165" fontId="21" fillId="5" borderId="6" xfId="0" applyNumberFormat="1" applyFont="1" applyFill="1" applyBorder="1" applyAlignment="1" applyProtection="1">
      <alignment horizontal="center" vertical="top" wrapText="1"/>
      <protection hidden="1"/>
    </xf>
    <xf numFmtId="0" fontId="21" fillId="2" borderId="6" xfId="0" applyNumberFormat="1" applyFont="1" applyFill="1" applyBorder="1" applyAlignment="1" applyProtection="1">
      <alignment horizontal="center" vertical="top" wrapText="1"/>
      <protection hidden="1"/>
    </xf>
    <xf numFmtId="2" fontId="21" fillId="2" borderId="6" xfId="0" applyNumberFormat="1" applyFont="1" applyFill="1" applyBorder="1" applyAlignment="1" applyProtection="1">
      <alignment horizontal="center" vertical="top" wrapText="1"/>
      <protection hidden="1"/>
    </xf>
    <xf numFmtId="0" fontId="31" fillId="0" borderId="6" xfId="0" applyFont="1" applyBorder="1" applyAlignment="1" applyProtection="1">
      <alignment vertical="top"/>
      <protection hidden="1"/>
    </xf>
    <xf numFmtId="0" fontId="31" fillId="3" borderId="6" xfId="0" applyNumberFormat="1" applyFont="1" applyFill="1" applyBorder="1" applyAlignment="1" applyProtection="1">
      <alignment vertical="top" wrapText="1"/>
      <protection hidden="1"/>
    </xf>
    <xf numFmtId="0" fontId="31" fillId="3" borderId="7" xfId="0" applyNumberFormat="1" applyFont="1" applyFill="1" applyBorder="1" applyAlignment="1" applyProtection="1">
      <alignment vertical="top" wrapText="1"/>
      <protection hidden="1"/>
    </xf>
    <xf numFmtId="1" fontId="30" fillId="7" borderId="0" xfId="0" applyNumberFormat="1" applyFont="1" applyFill="1" applyBorder="1" applyAlignment="1" applyProtection="1">
      <alignment horizontal="right"/>
      <protection hidden="1"/>
    </xf>
    <xf numFmtId="0" fontId="33" fillId="7" borderId="0" xfId="0" applyFont="1" applyFill="1" applyProtection="1">
      <protection hidden="1"/>
    </xf>
    <xf numFmtId="1" fontId="32" fillId="7" borderId="0" xfId="0" applyNumberFormat="1" applyFont="1" applyFill="1" applyBorder="1" applyAlignment="1" applyProtection="1">
      <alignment horizontal="right"/>
      <protection hidden="1"/>
    </xf>
    <xf numFmtId="167" fontId="32" fillId="7" borderId="0" xfId="0" applyNumberFormat="1" applyFont="1" applyFill="1" applyBorder="1" applyAlignment="1" applyProtection="1">
      <alignment horizontal="center"/>
      <protection hidden="1"/>
    </xf>
    <xf numFmtId="167" fontId="32" fillId="7" borderId="0" xfId="0" applyNumberFormat="1" applyFont="1" applyFill="1" applyBorder="1" applyAlignment="1" applyProtection="1">
      <alignment horizontal="right"/>
      <protection hidden="1"/>
    </xf>
    <xf numFmtId="0" fontId="15" fillId="8" borderId="8" xfId="0" applyFont="1" applyFill="1" applyBorder="1" applyAlignment="1" applyProtection="1">
      <alignment horizontal="left"/>
      <protection hidden="1"/>
    </xf>
    <xf numFmtId="1" fontId="30" fillId="0" borderId="0" xfId="0" applyNumberFormat="1" applyFont="1" applyBorder="1" applyAlignment="1" applyProtection="1">
      <alignment horizontal="right"/>
      <protection hidden="1"/>
    </xf>
    <xf numFmtId="0" fontId="33" fillId="0" borderId="0" xfId="0" applyFont="1" applyProtection="1">
      <protection hidden="1"/>
    </xf>
    <xf numFmtId="1" fontId="32" fillId="0" borderId="0" xfId="0" applyNumberFormat="1" applyFont="1" applyBorder="1" applyAlignment="1" applyProtection="1">
      <alignment horizontal="right"/>
      <protection hidden="1"/>
    </xf>
    <xf numFmtId="167" fontId="32" fillId="0" borderId="0" xfId="0" applyNumberFormat="1" applyFont="1" applyBorder="1" applyAlignment="1" applyProtection="1">
      <alignment horizontal="center"/>
      <protection hidden="1"/>
    </xf>
    <xf numFmtId="167" fontId="32" fillId="0" borderId="0" xfId="0" applyNumberFormat="1" applyFont="1" applyBorder="1" applyAlignment="1" applyProtection="1">
      <alignment horizontal="right"/>
      <protection hidden="1"/>
    </xf>
    <xf numFmtId="0" fontId="33" fillId="0" borderId="0" xfId="0" applyFont="1" applyBorder="1" applyProtection="1">
      <protection hidden="1"/>
    </xf>
    <xf numFmtId="9" fontId="21" fillId="3" borderId="6" xfId="0" applyNumberFormat="1" applyFont="1" applyFill="1" applyBorder="1" applyAlignment="1" applyProtection="1">
      <alignment horizontal="center" vertical="top" wrapText="1"/>
      <protection hidden="1"/>
    </xf>
    <xf numFmtId="9" fontId="18" fillId="0" borderId="1" xfId="0" applyNumberFormat="1" applyFont="1" applyFill="1" applyBorder="1" applyAlignment="1" applyProtection="1">
      <alignment horizontal="center"/>
      <protection locked="0"/>
    </xf>
    <xf numFmtId="0" fontId="17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1" fontId="32" fillId="8" borderId="0" xfId="0" applyNumberFormat="1" applyFont="1" applyFill="1" applyBorder="1" applyAlignment="1" applyProtection="1">
      <alignment horizontal="right"/>
      <protection hidden="1"/>
    </xf>
    <xf numFmtId="2" fontId="32" fillId="8" borderId="0" xfId="0" applyNumberFormat="1" applyFont="1" applyFill="1" applyBorder="1" applyAlignment="1" applyProtection="1">
      <alignment horizontal="center"/>
      <protection hidden="1"/>
    </xf>
    <xf numFmtId="167" fontId="32" fillId="8" borderId="0" xfId="0" applyNumberFormat="1" applyFont="1" applyFill="1" applyBorder="1" applyAlignment="1" applyProtection="1">
      <alignment horizontal="center"/>
      <protection hidden="1"/>
    </xf>
    <xf numFmtId="1" fontId="17" fillId="0" borderId="1" xfId="0" applyNumberFormat="1" applyFont="1" applyBorder="1" applyAlignment="1" applyProtection="1">
      <alignment horizontal="center"/>
      <protection hidden="1"/>
    </xf>
    <xf numFmtId="0" fontId="34" fillId="0" borderId="0" xfId="0" applyFont="1"/>
    <xf numFmtId="0" fontId="18" fillId="0" borderId="1" xfId="0" applyFont="1" applyFill="1" applyBorder="1" applyAlignment="1" applyProtection="1">
      <alignment horizontal="center"/>
      <protection hidden="1"/>
    </xf>
    <xf numFmtId="2" fontId="17" fillId="0" borderId="0" xfId="0" applyNumberFormat="1" applyFont="1" applyBorder="1" applyAlignment="1" applyProtection="1">
      <alignment horizontal="left"/>
      <protection hidden="1"/>
    </xf>
    <xf numFmtId="9" fontId="17" fillId="0" borderId="0" xfId="0" applyNumberFormat="1" applyFont="1" applyFill="1" applyBorder="1" applyAlignment="1" applyProtection="1">
      <alignment horizontal="center"/>
      <protection hidden="1"/>
    </xf>
    <xf numFmtId="2" fontId="36" fillId="6" borderId="0" xfId="0" applyNumberFormat="1" applyFont="1" applyFill="1" applyBorder="1" applyAlignment="1" applyProtection="1">
      <alignment vertical="top" wrapText="1"/>
      <protection hidden="1"/>
    </xf>
    <xf numFmtId="2" fontId="36" fillId="6" borderId="0" xfId="0" applyNumberFormat="1" applyFont="1" applyFill="1" applyBorder="1" applyAlignment="1" applyProtection="1">
      <alignment vertical="top"/>
      <protection hidden="1"/>
    </xf>
    <xf numFmtId="0" fontId="21" fillId="9" borderId="6" xfId="0" applyNumberFormat="1" applyFont="1" applyFill="1" applyBorder="1" applyAlignment="1" applyProtection="1">
      <alignment horizontal="center" vertical="top" wrapText="1"/>
      <protection hidden="1"/>
    </xf>
    <xf numFmtId="0" fontId="21" fillId="5" borderId="6" xfId="0" applyNumberFormat="1" applyFont="1" applyFill="1" applyBorder="1" applyAlignment="1" applyProtection="1">
      <alignment horizontal="left" vertical="top" wrapText="1"/>
      <protection hidden="1"/>
    </xf>
    <xf numFmtId="0" fontId="21" fillId="2" borderId="6" xfId="0" applyNumberFormat="1" applyFont="1" applyFill="1" applyBorder="1" applyAlignment="1" applyProtection="1">
      <alignment horizontal="left" vertical="top" wrapText="1"/>
      <protection hidden="1"/>
    </xf>
    <xf numFmtId="0" fontId="38" fillId="6" borderId="0" xfId="0" applyFont="1" applyFill="1" applyBorder="1" applyAlignment="1" applyProtection="1">
      <alignment vertical="center"/>
      <protection hidden="1"/>
    </xf>
    <xf numFmtId="168" fontId="30" fillId="7" borderId="0" xfId="0" applyNumberFormat="1" applyFont="1" applyFill="1" applyBorder="1" applyAlignment="1" applyProtection="1">
      <alignment horizontal="right"/>
      <protection hidden="1"/>
    </xf>
    <xf numFmtId="168" fontId="30" fillId="0" borderId="0" xfId="0" applyNumberFormat="1" applyFont="1" applyBorder="1" applyAlignment="1" applyProtection="1">
      <alignment horizontal="right"/>
      <protection hidden="1"/>
    </xf>
    <xf numFmtId="169" fontId="30" fillId="7" borderId="0" xfId="0" applyNumberFormat="1" applyFont="1" applyFill="1" applyBorder="1" applyAlignment="1" applyProtection="1">
      <alignment horizontal="right"/>
      <protection hidden="1"/>
    </xf>
    <xf numFmtId="169" fontId="30" fillId="0" borderId="0" xfId="0" applyNumberFormat="1" applyFont="1" applyBorder="1" applyAlignment="1" applyProtection="1">
      <alignment horizontal="right"/>
      <protection hidden="1"/>
    </xf>
    <xf numFmtId="169" fontId="30" fillId="7" borderId="0" xfId="0" applyNumberFormat="1" applyFont="1" applyFill="1" applyProtection="1">
      <protection hidden="1"/>
    </xf>
    <xf numFmtId="169" fontId="30" fillId="0" borderId="0" xfId="0" applyNumberFormat="1" applyFont="1" applyProtection="1">
      <protection hidden="1"/>
    </xf>
    <xf numFmtId="168" fontId="30" fillId="7" borderId="0" xfId="0" applyNumberFormat="1" applyFont="1" applyFill="1" applyProtection="1">
      <protection hidden="1"/>
    </xf>
    <xf numFmtId="168" fontId="30" fillId="0" borderId="0" xfId="0" applyNumberFormat="1" applyFont="1" applyProtection="1">
      <protection hidden="1"/>
    </xf>
    <xf numFmtId="1" fontId="39" fillId="6" borderId="0" xfId="0" applyNumberFormat="1" applyFont="1" applyFill="1" applyBorder="1" applyAlignment="1" applyProtection="1">
      <alignment horizontal="center"/>
      <protection hidden="1"/>
    </xf>
    <xf numFmtId="0" fontId="15" fillId="8" borderId="0" xfId="0" applyNumberFormat="1" applyFont="1" applyFill="1" applyBorder="1" applyAlignment="1" applyProtection="1">
      <alignment horizontal="center"/>
      <protection hidden="1"/>
    </xf>
    <xf numFmtId="0" fontId="21" fillId="2" borderId="7" xfId="0" applyNumberFormat="1" applyFont="1" applyFill="1" applyBorder="1" applyAlignment="1" applyProtection="1">
      <alignment horizontal="center" vertical="top" wrapText="1"/>
      <protection hidden="1"/>
    </xf>
    <xf numFmtId="1" fontId="40" fillId="8" borderId="0" xfId="0" applyNumberFormat="1" applyFont="1" applyFill="1" applyBorder="1" applyAlignment="1" applyProtection="1">
      <alignment horizontal="right"/>
      <protection hidden="1"/>
    </xf>
    <xf numFmtId="166" fontId="30" fillId="7" borderId="0" xfId="0" applyNumberFormat="1" applyFont="1" applyFill="1" applyBorder="1" applyAlignment="1" applyProtection="1">
      <alignment horizontal="right"/>
      <protection hidden="1"/>
    </xf>
    <xf numFmtId="166" fontId="30" fillId="0" borderId="0" xfId="0" applyNumberFormat="1" applyFont="1" applyBorder="1" applyAlignment="1" applyProtection="1">
      <alignment horizontal="right"/>
      <protection hidden="1"/>
    </xf>
    <xf numFmtId="0" fontId="14" fillId="8" borderId="0" xfId="0" applyFont="1" applyFill="1" applyBorder="1" applyAlignment="1" applyProtection="1">
      <alignment horizontal="left"/>
      <protection hidden="1"/>
    </xf>
    <xf numFmtId="166" fontId="14" fillId="8" borderId="0" xfId="0" applyNumberFormat="1" applyFont="1" applyFill="1" applyBorder="1" applyAlignment="1" applyProtection="1">
      <alignment horizontal="left"/>
      <protection hidden="1"/>
    </xf>
    <xf numFmtId="1" fontId="14" fillId="8" borderId="0" xfId="0" applyNumberFormat="1" applyFont="1" applyFill="1" applyBorder="1" applyAlignment="1" applyProtection="1">
      <alignment horizontal="center"/>
      <protection hidden="1"/>
    </xf>
    <xf numFmtId="166" fontId="14" fillId="7" borderId="0" xfId="0" applyNumberFormat="1" applyFont="1" applyFill="1" applyBorder="1" applyAlignment="1" applyProtection="1">
      <alignment horizontal="center"/>
      <protection hidden="1"/>
    </xf>
    <xf numFmtId="9" fontId="21" fillId="9" borderId="6" xfId="0" applyNumberFormat="1" applyFont="1" applyFill="1" applyBorder="1" applyAlignment="1" applyProtection="1">
      <alignment horizontal="center" vertical="top" wrapText="1"/>
      <protection hidden="1"/>
    </xf>
    <xf numFmtId="9" fontId="21" fillId="2" borderId="6" xfId="0" applyNumberFormat="1" applyFont="1" applyFill="1" applyBorder="1" applyAlignment="1" applyProtection="1">
      <alignment horizontal="center" vertical="top" wrapText="1"/>
      <protection hidden="1"/>
    </xf>
    <xf numFmtId="0" fontId="21" fillId="2" borderId="5" xfId="0" quotePrefix="1" applyNumberFormat="1" applyFont="1" applyFill="1" applyBorder="1" applyAlignment="1" applyProtection="1">
      <alignment horizontal="center" vertical="top" wrapText="1"/>
      <protection hidden="1"/>
    </xf>
    <xf numFmtId="0" fontId="21" fillId="3" borderId="4" xfId="0" applyFont="1" applyFill="1" applyBorder="1" applyAlignment="1" applyProtection="1">
      <alignment horizontal="center" vertical="center"/>
      <protection hidden="1"/>
    </xf>
    <xf numFmtId="9" fontId="18" fillId="6" borderId="1" xfId="0" applyNumberFormat="1" applyFont="1" applyFill="1" applyBorder="1" applyAlignment="1" applyProtection="1">
      <alignment horizontal="center"/>
    </xf>
    <xf numFmtId="0" fontId="13" fillId="8" borderId="0" xfId="0" applyNumberFormat="1" applyFont="1" applyFill="1" applyBorder="1" applyAlignment="1" applyProtection="1">
      <alignment horizontal="right"/>
      <protection hidden="1"/>
    </xf>
    <xf numFmtId="0" fontId="41" fillId="3" borderId="4" xfId="0" applyFont="1" applyFill="1" applyBorder="1" applyAlignment="1" applyProtection="1">
      <alignment horizontal="center" vertical="center"/>
      <protection hidden="1"/>
    </xf>
    <xf numFmtId="0" fontId="21" fillId="5" borderId="10" xfId="0" applyNumberFormat="1" applyFont="1" applyFill="1" applyBorder="1" applyAlignment="1" applyProtection="1">
      <alignment horizontal="center" vertical="top" wrapText="1"/>
      <protection hidden="1"/>
    </xf>
    <xf numFmtId="0" fontId="32" fillId="8" borderId="0" xfId="0" applyNumberFormat="1" applyFont="1" applyFill="1" applyBorder="1" applyAlignment="1" applyProtection="1">
      <alignment horizontal="right"/>
      <protection hidden="1"/>
    </xf>
    <xf numFmtId="49" fontId="15" fillId="8" borderId="0" xfId="0" applyNumberFormat="1" applyFont="1" applyFill="1" applyBorder="1" applyAlignment="1" applyProtection="1">
      <alignment horizontal="center"/>
      <protection hidden="1"/>
    </xf>
    <xf numFmtId="171" fontId="30" fillId="7" borderId="0" xfId="0" applyNumberFormat="1" applyFont="1" applyFill="1" applyBorder="1" applyAlignment="1" applyProtection="1">
      <alignment horizontal="center"/>
      <protection hidden="1"/>
    </xf>
    <xf numFmtId="171" fontId="30" fillId="0" borderId="0" xfId="0" applyNumberFormat="1" applyFont="1" applyBorder="1" applyAlignment="1" applyProtection="1">
      <alignment horizontal="center"/>
      <protection hidden="1"/>
    </xf>
    <xf numFmtId="171" fontId="0" fillId="0" borderId="0" xfId="0" applyNumberFormat="1" applyAlignment="1">
      <alignment horizontal="center"/>
    </xf>
    <xf numFmtId="1" fontId="30" fillId="7" borderId="0" xfId="0" applyNumberFormat="1" applyFont="1" applyFill="1" applyBorder="1" applyAlignment="1" applyProtection="1">
      <alignment horizontal="center"/>
      <protection hidden="1"/>
    </xf>
    <xf numFmtId="1" fontId="30" fillId="0" borderId="0" xfId="0" applyNumberFormat="1" applyFont="1" applyBorder="1" applyAlignment="1" applyProtection="1">
      <alignment horizontal="center"/>
      <protection hidden="1"/>
    </xf>
    <xf numFmtId="1" fontId="0" fillId="0" borderId="0" xfId="0" applyNumberFormat="1" applyAlignment="1">
      <alignment horizontal="center"/>
    </xf>
    <xf numFmtId="172" fontId="30" fillId="7" borderId="0" xfId="0" applyNumberFormat="1" applyFont="1" applyFill="1" applyBorder="1" applyAlignment="1" applyProtection="1">
      <alignment horizontal="center"/>
      <protection hidden="1"/>
    </xf>
    <xf numFmtId="172" fontId="30" fillId="0" borderId="0" xfId="0" applyNumberFormat="1" applyFont="1" applyBorder="1" applyAlignment="1" applyProtection="1">
      <alignment horizontal="center"/>
      <protection hidden="1"/>
    </xf>
    <xf numFmtId="172" fontId="0" fillId="0" borderId="0" xfId="0" applyNumberFormat="1" applyAlignment="1">
      <alignment horizontal="center"/>
    </xf>
    <xf numFmtId="167" fontId="32" fillId="8" borderId="0" xfId="0" applyNumberFormat="1" applyFont="1" applyFill="1" applyBorder="1" applyAlignment="1" applyProtection="1">
      <alignment horizontal="right"/>
      <protection hidden="1"/>
    </xf>
    <xf numFmtId="1" fontId="18" fillId="10" borderId="0" xfId="0" applyNumberFormat="1" applyFont="1" applyFill="1" applyBorder="1" applyAlignment="1" applyProtection="1">
      <alignment horizontal="center"/>
      <protection hidden="1"/>
    </xf>
    <xf numFmtId="0" fontId="26" fillId="6" borderId="0" xfId="0" applyNumberFormat="1" applyFont="1" applyFill="1" applyBorder="1" applyAlignment="1" applyProtection="1">
      <alignment horizontal="left"/>
      <protection hidden="1"/>
    </xf>
    <xf numFmtId="0" fontId="17" fillId="6" borderId="15" xfId="0" applyFont="1" applyFill="1" applyBorder="1" applyAlignment="1" applyProtection="1">
      <alignment horizontal="left"/>
      <protection locked="0"/>
    </xf>
    <xf numFmtId="0" fontId="17" fillId="0" borderId="11" xfId="0" applyFont="1" applyFill="1" applyBorder="1" applyAlignment="1" applyProtection="1">
      <protection locked="0" hidden="1"/>
    </xf>
    <xf numFmtId="0" fontId="28" fillId="11" borderId="2" xfId="0" applyNumberFormat="1" applyFont="1" applyFill="1" applyBorder="1" applyAlignment="1" applyProtection="1">
      <alignment horizontal="left"/>
      <protection hidden="1"/>
    </xf>
    <xf numFmtId="0" fontId="17" fillId="11" borderId="4" xfId="0" applyNumberFormat="1" applyFont="1" applyFill="1" applyBorder="1" applyAlignment="1" applyProtection="1">
      <alignment horizontal="center"/>
      <protection hidden="1"/>
    </xf>
    <xf numFmtId="165" fontId="17" fillId="11" borderId="3" xfId="0" applyNumberFormat="1" applyFont="1" applyFill="1" applyBorder="1" applyAlignment="1" applyProtection="1">
      <alignment horizontal="center"/>
      <protection hidden="1"/>
    </xf>
    <xf numFmtId="0" fontId="17" fillId="11" borderId="13" xfId="0" applyFont="1" applyFill="1" applyBorder="1" applyAlignment="1" applyProtection="1">
      <alignment horizontal="left"/>
      <protection hidden="1"/>
    </xf>
    <xf numFmtId="0" fontId="17" fillId="11" borderId="14" xfId="0" applyFont="1" applyFill="1" applyBorder="1" applyAlignment="1" applyProtection="1">
      <alignment horizontal="right"/>
      <protection hidden="1"/>
    </xf>
    <xf numFmtId="0" fontId="27" fillId="0" borderId="16" xfId="0" applyFont="1" applyFill="1" applyBorder="1" applyAlignment="1" applyProtection="1">
      <protection locked="0"/>
    </xf>
    <xf numFmtId="0" fontId="12" fillId="8" borderId="0" xfId="0" applyFont="1" applyFill="1" applyBorder="1" applyAlignment="1" applyProtection="1">
      <alignment horizontal="left"/>
      <protection hidden="1"/>
    </xf>
    <xf numFmtId="0" fontId="41" fillId="5" borderId="2" xfId="0" applyFont="1" applyFill="1" applyBorder="1" applyProtection="1">
      <protection hidden="1"/>
    </xf>
    <xf numFmtId="0" fontId="43" fillId="0" borderId="0" xfId="0" applyNumberFormat="1" applyFont="1" applyBorder="1" applyAlignment="1" applyProtection="1">
      <alignment horizontal="left"/>
      <protection hidden="1"/>
    </xf>
    <xf numFmtId="0" fontId="29" fillId="0" borderId="0" xfId="0" applyNumberFormat="1" applyFont="1" applyBorder="1" applyAlignment="1" applyProtection="1">
      <alignment horizontal="right"/>
      <protection hidden="1"/>
    </xf>
    <xf numFmtId="0" fontId="29" fillId="0" borderId="0" xfId="0" applyFont="1" applyBorder="1" applyAlignment="1" applyProtection="1">
      <alignment horizontal="center"/>
      <protection hidden="1"/>
    </xf>
    <xf numFmtId="0" fontId="44" fillId="5" borderId="0" xfId="0" applyNumberFormat="1" applyFont="1" applyFill="1" applyBorder="1" applyAlignment="1" applyProtection="1">
      <alignment horizontal="center"/>
      <protection locked="0" hidden="1"/>
    </xf>
    <xf numFmtId="0" fontId="29" fillId="0" borderId="0" xfId="0" applyFont="1"/>
    <xf numFmtId="0" fontId="45" fillId="0" borderId="0" xfId="0" applyFont="1"/>
    <xf numFmtId="0" fontId="29" fillId="0" borderId="0" xfId="0" applyNumberFormat="1" applyFont="1" applyBorder="1" applyAlignment="1" applyProtection="1">
      <alignment horizontal="left"/>
      <protection hidden="1"/>
    </xf>
    <xf numFmtId="0" fontId="29" fillId="0" borderId="1" xfId="0" applyNumberFormat="1" applyFont="1" applyBorder="1" applyAlignment="1" applyProtection="1">
      <alignment horizontal="center"/>
      <protection hidden="1"/>
    </xf>
    <xf numFmtId="0" fontId="34" fillId="0" borderId="1" xfId="0" applyNumberFormat="1" applyFont="1" applyBorder="1" applyAlignment="1" applyProtection="1">
      <alignment horizontal="center"/>
      <protection hidden="1"/>
    </xf>
    <xf numFmtId="0" fontId="34" fillId="10" borderId="1" xfId="0" applyFont="1" applyFill="1" applyBorder="1" applyAlignment="1" applyProtection="1">
      <alignment horizontal="center"/>
      <protection hidden="1"/>
    </xf>
    <xf numFmtId="0" fontId="29" fillId="0" borderId="0" xfId="0" applyFont="1" applyBorder="1" applyAlignment="1" applyProtection="1">
      <alignment horizontal="left"/>
      <protection hidden="1"/>
    </xf>
    <xf numFmtId="0" fontId="29" fillId="4" borderId="1" xfId="0" applyNumberFormat="1" applyFont="1" applyFill="1" applyBorder="1" applyAlignment="1" applyProtection="1">
      <alignment horizontal="center"/>
      <protection hidden="1"/>
    </xf>
    <xf numFmtId="0" fontId="34" fillId="4" borderId="1" xfId="0" applyNumberFormat="1" applyFont="1" applyFill="1" applyBorder="1" applyAlignment="1" applyProtection="1">
      <alignment horizontal="center"/>
      <protection hidden="1"/>
    </xf>
    <xf numFmtId="0" fontId="29" fillId="10" borderId="1" xfId="0" applyFont="1" applyFill="1" applyBorder="1" applyAlignment="1" applyProtection="1">
      <alignment horizontal="right"/>
      <protection hidden="1"/>
    </xf>
    <xf numFmtId="2" fontId="46" fillId="10" borderId="1" xfId="0" applyNumberFormat="1" applyFont="1" applyFill="1" applyBorder="1" applyAlignment="1" applyProtection="1">
      <alignment horizontal="center"/>
      <protection hidden="1"/>
    </xf>
    <xf numFmtId="0" fontId="46" fillId="0" borderId="1" xfId="0" applyFont="1" applyBorder="1" applyAlignment="1" applyProtection="1">
      <alignment horizontal="right"/>
      <protection hidden="1"/>
    </xf>
    <xf numFmtId="0" fontId="46" fillId="0" borderId="1" xfId="0" applyFont="1" applyBorder="1" applyAlignment="1" applyProtection="1">
      <alignment horizontal="center"/>
      <protection hidden="1"/>
    </xf>
    <xf numFmtId="0" fontId="46" fillId="0" borderId="1" xfId="0" applyFont="1" applyFill="1" applyBorder="1" applyAlignment="1" applyProtection="1">
      <alignment horizontal="center"/>
      <protection hidden="1"/>
    </xf>
    <xf numFmtId="0" fontId="47" fillId="0" borderId="1" xfId="0" applyFont="1" applyFill="1" applyBorder="1" applyAlignment="1" applyProtection="1">
      <alignment horizontal="center"/>
      <protection hidden="1"/>
    </xf>
    <xf numFmtId="0" fontId="29" fillId="4" borderId="11" xfId="0" applyNumberFormat="1" applyFont="1" applyFill="1" applyBorder="1" applyAlignment="1" applyProtection="1">
      <alignment horizontal="center"/>
      <protection hidden="1"/>
    </xf>
    <xf numFmtId="0" fontId="34" fillId="4" borderId="11" xfId="0" applyNumberFormat="1" applyFont="1" applyFill="1" applyBorder="1" applyAlignment="1" applyProtection="1">
      <alignment horizontal="center"/>
      <protection hidden="1"/>
    </xf>
    <xf numFmtId="0" fontId="34" fillId="10" borderId="11" xfId="0" applyFont="1" applyFill="1" applyBorder="1" applyAlignment="1" applyProtection="1">
      <alignment horizontal="center"/>
      <protection hidden="1"/>
    </xf>
    <xf numFmtId="0" fontId="29" fillId="0" borderId="1" xfId="0" applyFont="1" applyBorder="1"/>
    <xf numFmtId="0" fontId="34" fillId="0" borderId="0" xfId="0" applyNumberFormat="1" applyFont="1" applyFill="1" applyBorder="1" applyAlignment="1" applyProtection="1">
      <alignment horizontal="left"/>
      <protection hidden="1"/>
    </xf>
    <xf numFmtId="0" fontId="29" fillId="0" borderId="0" xfId="0" applyFont="1" applyAlignment="1" applyProtection="1">
      <alignment horizontal="left"/>
      <protection hidden="1"/>
    </xf>
    <xf numFmtId="9" fontId="29" fillId="0" borderId="0" xfId="0" applyNumberFormat="1" applyFont="1" applyAlignment="1" applyProtection="1">
      <alignment horizontal="left"/>
      <protection hidden="1"/>
    </xf>
    <xf numFmtId="0" fontId="29" fillId="0" borderId="1" xfId="0" applyFont="1" applyBorder="1" applyAlignment="1" applyProtection="1">
      <alignment horizontal="left"/>
      <protection hidden="1"/>
    </xf>
    <xf numFmtId="0" fontId="29" fillId="0" borderId="1" xfId="0" applyFont="1" applyBorder="1" applyAlignment="1" applyProtection="1">
      <alignment horizontal="center"/>
      <protection hidden="1"/>
    </xf>
    <xf numFmtId="3" fontId="29" fillId="0" borderId="0" xfId="0" applyNumberFormat="1" applyFont="1" applyAlignment="1" applyProtection="1">
      <alignment horizontal="left"/>
      <protection hidden="1"/>
    </xf>
    <xf numFmtId="0" fontId="29" fillId="0" borderId="0" xfId="0" applyFont="1" applyAlignment="1" applyProtection="1">
      <alignment horizontal="left" vertical="center"/>
      <protection hidden="1"/>
    </xf>
    <xf numFmtId="172" fontId="27" fillId="8" borderId="0" xfId="0" applyNumberFormat="1" applyFont="1" applyFill="1" applyBorder="1" applyAlignment="1" applyProtection="1">
      <alignment horizontal="center"/>
      <protection hidden="1"/>
    </xf>
    <xf numFmtId="172" fontId="17" fillId="0" borderId="0" xfId="0" applyNumberFormat="1" applyFont="1" applyBorder="1" applyAlignment="1" applyProtection="1">
      <alignment horizontal="right"/>
      <protection hidden="1"/>
    </xf>
    <xf numFmtId="2" fontId="18" fillId="3" borderId="0" xfId="0" applyNumberFormat="1" applyFont="1" applyFill="1" applyBorder="1" applyAlignment="1" applyProtection="1">
      <alignment horizontal="center"/>
      <protection hidden="1"/>
    </xf>
    <xf numFmtId="166" fontId="11" fillId="7" borderId="0" xfId="0" applyNumberFormat="1" applyFont="1" applyFill="1" applyBorder="1" applyAlignment="1" applyProtection="1">
      <alignment horizontal="center"/>
      <protection hidden="1"/>
    </xf>
    <xf numFmtId="14" fontId="23" fillId="6" borderId="0" xfId="0" applyNumberFormat="1" applyFont="1" applyFill="1" applyBorder="1" applyAlignment="1" applyProtection="1">
      <alignment horizontal="left" vertical="center"/>
      <protection hidden="1"/>
    </xf>
    <xf numFmtId="14" fontId="43" fillId="0" borderId="0" xfId="0" applyNumberFormat="1" applyFont="1" applyBorder="1" applyAlignment="1" applyProtection="1">
      <alignment horizontal="left"/>
      <protection hidden="1"/>
    </xf>
    <xf numFmtId="0" fontId="21" fillId="3" borderId="4" xfId="0" applyFont="1" applyFill="1" applyBorder="1" applyAlignment="1" applyProtection="1">
      <alignment horizontal="center" vertical="center"/>
      <protection hidden="1"/>
    </xf>
    <xf numFmtId="0" fontId="10" fillId="8" borderId="0" xfId="0" applyFont="1" applyFill="1" applyBorder="1" applyAlignment="1" applyProtection="1">
      <alignment horizontal="left"/>
      <protection hidden="1"/>
    </xf>
    <xf numFmtId="166" fontId="30" fillId="0" borderId="0" xfId="0" applyNumberFormat="1" applyFont="1" applyFill="1" applyBorder="1" applyAlignment="1" applyProtection="1">
      <alignment horizontal="right"/>
      <protection hidden="1"/>
    </xf>
    <xf numFmtId="0" fontId="33" fillId="0" borderId="0" xfId="0" applyFont="1" applyFill="1" applyProtection="1">
      <protection hidden="1"/>
    </xf>
    <xf numFmtId="1" fontId="30" fillId="0" borderId="0" xfId="0" applyNumberFormat="1" applyFont="1" applyFill="1" applyBorder="1" applyAlignment="1" applyProtection="1">
      <alignment horizontal="right"/>
      <protection hidden="1"/>
    </xf>
    <xf numFmtId="1" fontId="32" fillId="0" borderId="0" xfId="0" applyNumberFormat="1" applyFont="1" applyFill="1" applyBorder="1" applyAlignment="1" applyProtection="1">
      <alignment horizontal="right"/>
      <protection hidden="1"/>
    </xf>
    <xf numFmtId="167" fontId="32" fillId="0" borderId="0" xfId="0" applyNumberFormat="1" applyFont="1" applyFill="1" applyBorder="1" applyAlignment="1" applyProtection="1">
      <alignment horizontal="center"/>
      <protection hidden="1"/>
    </xf>
    <xf numFmtId="167" fontId="32" fillId="0" borderId="0" xfId="0" applyNumberFormat="1" applyFont="1" applyFill="1" applyBorder="1" applyAlignment="1" applyProtection="1">
      <alignment horizontal="right"/>
      <protection hidden="1"/>
    </xf>
    <xf numFmtId="171" fontId="30" fillId="0" borderId="0" xfId="0" applyNumberFormat="1" applyFont="1" applyFill="1" applyBorder="1" applyAlignment="1" applyProtection="1">
      <alignment horizontal="center"/>
      <protection hidden="1"/>
    </xf>
    <xf numFmtId="172" fontId="30" fillId="0" borderId="0" xfId="0" applyNumberFormat="1" applyFont="1" applyFill="1" applyBorder="1" applyAlignment="1" applyProtection="1">
      <alignment horizontal="center"/>
      <protection hidden="1"/>
    </xf>
    <xf numFmtId="1" fontId="30" fillId="0" borderId="0" xfId="0" applyNumberFormat="1" applyFont="1" applyFill="1" applyBorder="1" applyAlignment="1" applyProtection="1">
      <alignment horizontal="center"/>
      <protection hidden="1"/>
    </xf>
    <xf numFmtId="166" fontId="15" fillId="0" borderId="0" xfId="0" applyNumberFormat="1" applyFont="1" applyFill="1" applyBorder="1" applyAlignment="1" applyProtection="1">
      <alignment horizontal="center"/>
      <protection hidden="1"/>
    </xf>
    <xf numFmtId="166" fontId="15" fillId="0" borderId="0" xfId="0" applyNumberFormat="1" applyFont="1" applyFill="1" applyBorder="1" applyAlignment="1" applyProtection="1">
      <alignment horizontal="left"/>
      <protection hidden="1"/>
    </xf>
    <xf numFmtId="0" fontId="17" fillId="0" borderId="0" xfId="0" applyFont="1" applyFill="1" applyAlignment="1" applyProtection="1">
      <alignment horizontal="left"/>
      <protection hidden="1"/>
    </xf>
    <xf numFmtId="0" fontId="48" fillId="0" borderId="0" xfId="0" applyFont="1"/>
    <xf numFmtId="9" fontId="18" fillId="0" borderId="1" xfId="3" applyFont="1" applyBorder="1" applyAlignment="1" applyProtection="1">
      <alignment horizontal="center"/>
      <protection locked="0"/>
    </xf>
    <xf numFmtId="49" fontId="9" fillId="8" borderId="0" xfId="0" applyNumberFormat="1" applyFont="1" applyFill="1" applyBorder="1" applyAlignment="1" applyProtection="1">
      <alignment horizontal="center"/>
      <protection hidden="1"/>
    </xf>
    <xf numFmtId="166" fontId="9" fillId="8" borderId="0" xfId="0" applyNumberFormat="1" applyFont="1" applyFill="1" applyBorder="1" applyAlignment="1" applyProtection="1">
      <alignment horizontal="left"/>
      <protection hidden="1"/>
    </xf>
    <xf numFmtId="0" fontId="9" fillId="8" borderId="0" xfId="0" applyNumberFormat="1" applyFont="1" applyFill="1" applyBorder="1" applyAlignment="1" applyProtection="1">
      <alignment horizontal="right"/>
      <protection hidden="1"/>
    </xf>
    <xf numFmtId="2" fontId="18" fillId="10" borderId="0" xfId="0" applyNumberFormat="1" applyFont="1" applyFill="1" applyBorder="1" applyAlignment="1" applyProtection="1">
      <alignment horizontal="center"/>
      <protection hidden="1"/>
    </xf>
    <xf numFmtId="9" fontId="34" fillId="4" borderId="1" xfId="0" applyNumberFormat="1" applyFont="1" applyFill="1" applyBorder="1" applyAlignment="1" applyProtection="1">
      <alignment horizontal="center"/>
      <protection hidden="1"/>
    </xf>
    <xf numFmtId="9" fontId="34" fillId="10" borderId="11" xfId="3" applyFont="1" applyFill="1" applyBorder="1" applyAlignment="1" applyProtection="1">
      <alignment horizontal="center"/>
      <protection hidden="1"/>
    </xf>
    <xf numFmtId="0" fontId="29" fillId="10" borderId="0" xfId="0" applyFont="1" applyFill="1" applyAlignment="1" applyProtection="1">
      <alignment horizontal="left" vertic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2" fontId="26" fillId="10" borderId="0" xfId="0" applyNumberFormat="1" applyFont="1" applyFill="1" applyBorder="1" applyAlignment="1" applyProtection="1">
      <alignment horizontal="center"/>
      <protection hidden="1"/>
    </xf>
    <xf numFmtId="166" fontId="8" fillId="8" borderId="0" xfId="0" applyNumberFormat="1" applyFont="1" applyFill="1" applyBorder="1" applyAlignment="1" applyProtection="1">
      <alignment horizontal="left"/>
      <protection hidden="1"/>
    </xf>
    <xf numFmtId="166" fontId="8" fillId="7" borderId="0" xfId="0" applyNumberFormat="1" applyFont="1" applyFill="1" applyBorder="1" applyAlignment="1" applyProtection="1">
      <alignment horizontal="center"/>
      <protection hidden="1"/>
    </xf>
    <xf numFmtId="0" fontId="7" fillId="8" borderId="0" xfId="0" applyFont="1" applyFill="1" applyBorder="1" applyAlignment="1" applyProtection="1">
      <alignment horizontal="left"/>
      <protection hidden="1"/>
    </xf>
    <xf numFmtId="0" fontId="17" fillId="0" borderId="1" xfId="0" applyNumberFormat="1" applyFont="1" applyBorder="1" applyAlignment="1" applyProtection="1">
      <alignment horizontal="right"/>
      <protection hidden="1"/>
    </xf>
    <xf numFmtId="9" fontId="21" fillId="2" borderId="7" xfId="3" applyFont="1" applyFill="1" applyBorder="1" applyAlignment="1" applyProtection="1">
      <alignment horizontal="center" vertical="top" wrapText="1"/>
      <protection hidden="1"/>
    </xf>
    <xf numFmtId="0" fontId="30" fillId="0" borderId="0" xfId="0" applyNumberFormat="1" applyFont="1" applyBorder="1" applyAlignment="1" applyProtection="1">
      <alignment horizontal="center"/>
      <protection hidden="1"/>
    </xf>
    <xf numFmtId="0" fontId="30" fillId="7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NumberFormat="1" applyAlignment="1">
      <alignment horizontal="center"/>
    </xf>
    <xf numFmtId="0" fontId="0" fillId="0" borderId="1" xfId="0" applyBorder="1" applyProtection="1">
      <protection hidden="1"/>
    </xf>
    <xf numFmtId="2" fontId="30" fillId="7" borderId="0" xfId="0" applyNumberFormat="1" applyFont="1" applyFill="1" applyBorder="1" applyAlignment="1" applyProtection="1">
      <alignment horizontal="right"/>
      <protection hidden="1"/>
    </xf>
    <xf numFmtId="2" fontId="30" fillId="0" borderId="0" xfId="0" applyNumberFormat="1" applyFont="1" applyBorder="1" applyAlignment="1" applyProtection="1">
      <alignment horizontal="right"/>
      <protection hidden="1"/>
    </xf>
    <xf numFmtId="0" fontId="17" fillId="10" borderId="0" xfId="0" applyFont="1" applyFill="1" applyBorder="1" applyAlignment="1" applyProtection="1">
      <alignment horizontal="right"/>
      <protection hidden="1"/>
    </xf>
    <xf numFmtId="0" fontId="0" fillId="4" borderId="11" xfId="0" applyFill="1" applyBorder="1" applyProtection="1">
      <protection locked="0"/>
    </xf>
    <xf numFmtId="1" fontId="6" fillId="8" borderId="0" xfId="0" applyNumberFormat="1" applyFont="1" applyFill="1" applyBorder="1" applyAlignment="1" applyProtection="1">
      <alignment horizontal="right"/>
      <protection hidden="1"/>
    </xf>
    <xf numFmtId="1" fontId="15" fillId="8" borderId="0" xfId="0" applyNumberFormat="1" applyFont="1" applyFill="1" applyBorder="1" applyAlignment="1" applyProtection="1">
      <alignment horizontal="right"/>
      <protection hidden="1"/>
    </xf>
    <xf numFmtId="0" fontId="5" fillId="8" borderId="0" xfId="0" applyNumberFormat="1" applyFont="1" applyFill="1" applyBorder="1" applyAlignment="1" applyProtection="1">
      <alignment horizontal="right"/>
      <protection hidden="1"/>
    </xf>
    <xf numFmtId="172" fontId="32" fillId="8" borderId="0" xfId="0" applyNumberFormat="1" applyFont="1" applyFill="1" applyBorder="1" applyAlignment="1" applyProtection="1">
      <alignment horizontal="center"/>
      <protection hidden="1"/>
    </xf>
    <xf numFmtId="2" fontId="32" fillId="8" borderId="0" xfId="0" applyNumberFormat="1" applyFont="1" applyFill="1" applyBorder="1" applyAlignment="1" applyProtection="1">
      <alignment horizontal="right"/>
      <protection hidden="1"/>
    </xf>
    <xf numFmtId="1" fontId="32" fillId="8" borderId="0" xfId="0" applyNumberFormat="1" applyFont="1" applyFill="1" applyBorder="1" applyAlignment="1" applyProtection="1">
      <alignment horizontal="center"/>
      <protection hidden="1"/>
    </xf>
    <xf numFmtId="167" fontId="15" fillId="8" borderId="0" xfId="0" applyNumberFormat="1" applyFont="1" applyFill="1" applyBorder="1" applyAlignment="1" applyProtection="1">
      <alignment horizontal="right"/>
      <protection hidden="1"/>
    </xf>
    <xf numFmtId="0" fontId="21" fillId="3" borderId="4" xfId="0" applyFont="1" applyFill="1" applyBorder="1" applyAlignment="1" applyProtection="1">
      <alignment horizontal="center" vertical="center"/>
      <protection hidden="1"/>
    </xf>
    <xf numFmtId="0" fontId="4" fillId="8" borderId="0" xfId="0" applyNumberFormat="1" applyFont="1" applyFill="1" applyBorder="1" applyAlignment="1" applyProtection="1">
      <alignment horizontal="center"/>
      <protection hidden="1"/>
    </xf>
    <xf numFmtId="0" fontId="21" fillId="3" borderId="4" xfId="0" applyFont="1" applyFill="1" applyBorder="1" applyAlignment="1" applyProtection="1">
      <alignment horizontal="center" vertical="center"/>
      <protection hidden="1"/>
    </xf>
    <xf numFmtId="0" fontId="29" fillId="10" borderId="0" xfId="0" applyFont="1" applyFill="1" applyBorder="1" applyAlignment="1" applyProtection="1">
      <alignment horizontal="right"/>
      <protection hidden="1"/>
    </xf>
    <xf numFmtId="2" fontId="46" fillId="10" borderId="0" xfId="0" applyNumberFormat="1" applyFont="1" applyFill="1" applyBorder="1" applyAlignment="1" applyProtection="1">
      <alignment horizontal="center"/>
      <protection hidden="1"/>
    </xf>
    <xf numFmtId="0" fontId="46" fillId="0" borderId="0" xfId="0" applyFont="1" applyBorder="1" applyAlignment="1" applyProtection="1">
      <alignment horizontal="right"/>
      <protection hidden="1"/>
    </xf>
    <xf numFmtId="0" fontId="47" fillId="0" borderId="0" xfId="0" applyFont="1" applyFill="1" applyBorder="1" applyAlignment="1" applyProtection="1">
      <alignment horizontal="center"/>
      <protection hidden="1"/>
    </xf>
    <xf numFmtId="0" fontId="3" fillId="8" borderId="0" xfId="0" applyFont="1" applyFill="1" applyBorder="1" applyAlignment="1" applyProtection="1">
      <alignment horizontal="left"/>
      <protection hidden="1"/>
    </xf>
    <xf numFmtId="166" fontId="2" fillId="8" borderId="0" xfId="0" applyNumberFormat="1" applyFont="1" applyFill="1" applyBorder="1" applyAlignment="1" applyProtection="1">
      <alignment horizontal="left"/>
      <protection hidden="1"/>
    </xf>
    <xf numFmtId="0" fontId="2" fillId="8" borderId="0" xfId="0" applyNumberFormat="1" applyFont="1" applyFill="1" applyBorder="1" applyAlignment="1" applyProtection="1">
      <alignment horizontal="center"/>
      <protection hidden="1"/>
    </xf>
    <xf numFmtId="167" fontId="49" fillId="8" borderId="0" xfId="0" applyNumberFormat="1" applyFont="1" applyFill="1" applyBorder="1" applyAlignment="1" applyProtection="1">
      <alignment horizontal="center"/>
      <protection hidden="1"/>
    </xf>
    <xf numFmtId="166" fontId="1" fillId="7" borderId="0" xfId="0" applyNumberFormat="1" applyFont="1" applyFill="1" applyBorder="1" applyAlignment="1" applyProtection="1">
      <alignment horizontal="center"/>
      <protection hidden="1"/>
    </xf>
    <xf numFmtId="1" fontId="17" fillId="0" borderId="0" xfId="0" applyNumberFormat="1" applyFont="1" applyBorder="1" applyAlignment="1" applyProtection="1">
      <alignment horizontal="right"/>
      <protection hidden="1"/>
    </xf>
    <xf numFmtId="1" fontId="17" fillId="0" borderId="0" xfId="3" applyNumberFormat="1" applyFont="1" applyBorder="1" applyAlignment="1" applyProtection="1">
      <alignment horizontal="right"/>
      <protection hidden="1"/>
    </xf>
    <xf numFmtId="0" fontId="1" fillId="8" borderId="8" xfId="0" applyFont="1" applyFill="1" applyBorder="1" applyAlignment="1" applyProtection="1">
      <alignment horizontal="left"/>
      <protection hidden="1"/>
    </xf>
    <xf numFmtId="0" fontId="1" fillId="8" borderId="0" xfId="0" applyFont="1" applyFill="1" applyBorder="1" applyAlignment="1" applyProtection="1">
      <alignment horizontal="left"/>
      <protection hidden="1"/>
    </xf>
    <xf numFmtId="166" fontId="1" fillId="8" borderId="0" xfId="0" applyNumberFormat="1" applyFont="1" applyFill="1" applyBorder="1" applyAlignment="1" applyProtection="1">
      <alignment horizontal="left"/>
      <protection hidden="1"/>
    </xf>
    <xf numFmtId="0" fontId="1" fillId="8" borderId="0" xfId="0" applyNumberFormat="1" applyFont="1" applyFill="1" applyBorder="1" applyAlignment="1" applyProtection="1">
      <alignment horizontal="right"/>
      <protection hidden="1"/>
    </xf>
    <xf numFmtId="1" fontId="1" fillId="8" borderId="0" xfId="0" applyNumberFormat="1" applyFont="1" applyFill="1" applyBorder="1" applyAlignment="1" applyProtection="1">
      <alignment horizontal="center"/>
      <protection hidden="1"/>
    </xf>
    <xf numFmtId="0" fontId="38" fillId="6" borderId="0" xfId="0" applyNumberFormat="1" applyFont="1" applyFill="1" applyBorder="1" applyAlignment="1" applyProtection="1">
      <alignment horizontal="left" vertical="top"/>
      <protection hidden="1"/>
    </xf>
    <xf numFmtId="0" fontId="38" fillId="6" borderId="0" xfId="0" applyFont="1" applyFill="1" applyBorder="1" applyAlignment="1" applyProtection="1">
      <alignment horizontal="left" vertical="center"/>
      <protection hidden="1"/>
    </xf>
    <xf numFmtId="2" fontId="42" fillId="3" borderId="0" xfId="0" applyNumberFormat="1" applyFont="1" applyFill="1" applyBorder="1" applyAlignment="1" applyProtection="1">
      <alignment horizontal="left" wrapText="1"/>
      <protection hidden="1"/>
    </xf>
    <xf numFmtId="2" fontId="42" fillId="3" borderId="9" xfId="0" applyNumberFormat="1" applyFont="1" applyFill="1" applyBorder="1" applyAlignment="1" applyProtection="1">
      <alignment horizontal="left" wrapText="1"/>
      <protection hidden="1"/>
    </xf>
    <xf numFmtId="0" fontId="21" fillId="9" borderId="2" xfId="0" applyFont="1" applyFill="1" applyBorder="1" applyAlignment="1" applyProtection="1">
      <alignment horizontal="center" vertical="center"/>
      <protection hidden="1"/>
    </xf>
    <xf numFmtId="0" fontId="21" fillId="9" borderId="4" xfId="0" applyFont="1" applyFill="1" applyBorder="1" applyAlignment="1" applyProtection="1">
      <alignment horizontal="center" vertical="center"/>
      <protection hidden="1"/>
    </xf>
    <xf numFmtId="0" fontId="21" fillId="9" borderId="3" xfId="0" applyFont="1" applyFill="1" applyBorder="1" applyAlignment="1" applyProtection="1">
      <alignment horizontal="center" vertical="center"/>
      <protection hidden="1"/>
    </xf>
    <xf numFmtId="0" fontId="21" fillId="5" borderId="2" xfId="0" applyFont="1" applyFill="1" applyBorder="1" applyAlignment="1" applyProtection="1">
      <alignment horizontal="center" vertical="center"/>
      <protection hidden="1"/>
    </xf>
    <xf numFmtId="0" fontId="21" fillId="5" borderId="4" xfId="0" applyFont="1" applyFill="1" applyBorder="1" applyAlignment="1" applyProtection="1">
      <alignment horizontal="center" vertical="center"/>
      <protection hidden="1"/>
    </xf>
    <xf numFmtId="0" fontId="21" fillId="5" borderId="3" xfId="0" applyFont="1" applyFill="1" applyBorder="1" applyAlignment="1" applyProtection="1">
      <alignment horizontal="center" vertical="center"/>
      <protection hidden="1"/>
    </xf>
    <xf numFmtId="0" fontId="21" fillId="3" borderId="12" xfId="0" quotePrefix="1" applyNumberFormat="1" applyFont="1" applyFill="1" applyBorder="1" applyAlignment="1" applyProtection="1">
      <alignment horizontal="center" vertical="top" wrapText="1"/>
      <protection hidden="1"/>
    </xf>
    <xf numFmtId="0" fontId="21" fillId="3" borderId="9" xfId="0" quotePrefix="1" applyNumberFormat="1" applyFont="1" applyFill="1" applyBorder="1" applyAlignment="1" applyProtection="1">
      <alignment horizontal="center" vertical="top" wrapText="1"/>
      <protection hidden="1"/>
    </xf>
    <xf numFmtId="2" fontId="37" fillId="3" borderId="0" xfId="0" applyNumberFormat="1" applyFont="1" applyFill="1" applyBorder="1" applyAlignment="1" applyProtection="1">
      <alignment horizontal="left" wrapText="1"/>
      <protection hidden="1"/>
    </xf>
    <xf numFmtId="2" fontId="37" fillId="3" borderId="9" xfId="0" applyNumberFormat="1" applyFont="1" applyFill="1" applyBorder="1" applyAlignment="1" applyProtection="1">
      <alignment horizontal="left" wrapText="1"/>
      <protection hidden="1"/>
    </xf>
    <xf numFmtId="0" fontId="21" fillId="5" borderId="1" xfId="0" applyFont="1" applyFill="1" applyBorder="1" applyAlignment="1" applyProtection="1">
      <alignment horizontal="center" vertical="center"/>
      <protection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0" fontId="21" fillId="2" borderId="3" xfId="0" applyFont="1" applyFill="1" applyBorder="1" applyAlignment="1" applyProtection="1">
      <alignment horizontal="center" vertical="center"/>
      <protection hidden="1"/>
    </xf>
    <xf numFmtId="0" fontId="21" fillId="3" borderId="4" xfId="0" applyFont="1" applyFill="1" applyBorder="1" applyAlignment="1" applyProtection="1">
      <alignment horizontal="center" vertical="center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21" fillId="2" borderId="17" xfId="0" applyNumberFormat="1" applyFont="1" applyFill="1" applyBorder="1" applyAlignment="1" applyProtection="1">
      <alignment horizontal="center" vertical="top" wrapText="1"/>
      <protection hidden="1"/>
    </xf>
    <xf numFmtId="0" fontId="21" fillId="2" borderId="18" xfId="0" applyNumberFormat="1" applyFont="1" applyFill="1" applyBorder="1" applyAlignment="1" applyProtection="1">
      <alignment horizontal="center" vertical="top" wrapText="1"/>
      <protection hidden="1"/>
    </xf>
    <xf numFmtId="0" fontId="21" fillId="2" borderId="19" xfId="0" applyNumberFormat="1" applyFont="1" applyFill="1" applyBorder="1" applyAlignment="1" applyProtection="1">
      <alignment horizontal="center" vertical="top" wrapText="1"/>
      <protection hidden="1"/>
    </xf>
  </cellXfs>
  <cellStyles count="4">
    <cellStyle name="Euro" xfId="1"/>
    <cellStyle name="Procent" xfId="3" builtinId="5"/>
    <cellStyle name="Standaard" xfId="0" builtinId="0"/>
    <cellStyle name="Standaard 2" xfId="2"/>
  </cellStyles>
  <dxfs count="0"/>
  <tableStyles count="2" defaultTableStyle="TableStyleMedium9" defaultPivotStyle="PivotStyleLight16">
    <tableStyle name="Draaitabelstijl 1" table="0" count="0"/>
    <tableStyle name="Tabelstijl 1" pivot="0" count="0"/>
  </tableStyles>
  <colors>
    <mruColors>
      <color rgb="FF538DD5"/>
      <color rgb="FFF3F3F3"/>
      <color rgb="FFE2E2E2"/>
      <color rgb="FFC0C0C0"/>
      <color rgb="FFC00000"/>
      <color rgb="FF8DB4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$D$4" fmlaRange="Basis!$E$27:$E$29" sel="1" val="0"/>
</file>

<file path=xl/ctrlProps/ctrlProp2.xml><?xml version="1.0" encoding="utf-8"?>
<formControlPr xmlns="http://schemas.microsoft.com/office/spreadsheetml/2009/9/main" objectType="Drop" dropStyle="combo" dx="16" fmlaLink="$D$4" fmlaRange="Basis!$E$27:$E$29" sel="1" val="0"/>
</file>

<file path=xl/ctrlProps/ctrlProp3.xml><?xml version="1.0" encoding="utf-8"?>
<formControlPr xmlns="http://schemas.microsoft.com/office/spreadsheetml/2009/9/main" objectType="Drop" dropStyle="combo" dx="16" fmlaLink="$D$4" fmlaRange="Basis!$E$27:$E$29" sel="1" val="0"/>
</file>

<file path=xl/ctrlProps/ctrlProp4.xml><?xml version="1.0" encoding="utf-8"?>
<formControlPr xmlns="http://schemas.microsoft.com/office/spreadsheetml/2009/9/main" objectType="Drop" dropStyle="combo" dx="16" fmlaLink="$D$4" fmlaRange="Basis!$E$27:$E$29" sel="1" val="0"/>
</file>

<file path=xl/ctrlProps/ctrlProp5.xml><?xml version="1.0" encoding="utf-8"?>
<formControlPr xmlns="http://schemas.microsoft.com/office/spreadsheetml/2009/9/main" objectType="Drop" dropStyle="combo" dx="16" fmlaLink="$D$4" fmlaRange="Basis!$E$27:$E$29" sel="1" val="0"/>
</file>

<file path=xl/ctrlProps/ctrlProp6.xml><?xml version="1.0" encoding="utf-8"?>
<formControlPr xmlns="http://schemas.microsoft.com/office/spreadsheetml/2009/9/main" objectType="Drop" dropStyle="combo" dx="16" fmlaLink="$D$4" fmlaRange="Basis!$E$27:$E$29" sel="1" val="0"/>
</file>

<file path=xl/ctrlProps/ctrlProp7.xml><?xml version="1.0" encoding="utf-8"?>
<formControlPr xmlns="http://schemas.microsoft.com/office/spreadsheetml/2009/9/main" objectType="Drop" dropStyle="combo" dx="16" fmlaLink="$D$4" fmlaRange="Basis!$E$27:$E$29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</xdr:row>
          <xdr:rowOff>180975</xdr:rowOff>
        </xdr:from>
        <xdr:to>
          <xdr:col>4</xdr:col>
          <xdr:colOff>438150</xdr:colOff>
          <xdr:row>4</xdr:row>
          <xdr:rowOff>9525</xdr:rowOff>
        </xdr:to>
        <xdr:sp macro="" textlink="">
          <xdr:nvSpPr>
            <xdr:cNvPr id="17409" name="Drop Dow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</xdr:row>
          <xdr:rowOff>180975</xdr:rowOff>
        </xdr:from>
        <xdr:to>
          <xdr:col>4</xdr:col>
          <xdr:colOff>438150</xdr:colOff>
          <xdr:row>4</xdr:row>
          <xdr:rowOff>9525</xdr:rowOff>
        </xdr:to>
        <xdr:sp macro="" textlink="">
          <xdr:nvSpPr>
            <xdr:cNvPr id="28673" name="Drop Down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</xdr:row>
          <xdr:rowOff>180975</xdr:rowOff>
        </xdr:from>
        <xdr:to>
          <xdr:col>4</xdr:col>
          <xdr:colOff>438150</xdr:colOff>
          <xdr:row>4</xdr:row>
          <xdr:rowOff>9525</xdr:rowOff>
        </xdr:to>
        <xdr:sp macro="" textlink="">
          <xdr:nvSpPr>
            <xdr:cNvPr id="34817" name="Drop Down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1600200</xdr:colOff>
          <xdr:row>3</xdr:row>
          <xdr:rowOff>9525</xdr:rowOff>
        </xdr:from>
        <xdr:to>
          <xdr:col>5</xdr:col>
          <xdr:colOff>9525</xdr:colOff>
          <xdr:row>4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1600200</xdr:colOff>
          <xdr:row>3</xdr:row>
          <xdr:rowOff>9525</xdr:rowOff>
        </xdr:from>
        <xdr:to>
          <xdr:col>5</xdr:col>
          <xdr:colOff>9525</xdr:colOff>
          <xdr:row>4</xdr:row>
          <xdr:rowOff>19050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1600200</xdr:colOff>
          <xdr:row>3</xdr:row>
          <xdr:rowOff>9525</xdr:rowOff>
        </xdr:from>
        <xdr:to>
          <xdr:col>5</xdr:col>
          <xdr:colOff>9525</xdr:colOff>
          <xdr:row>4</xdr:row>
          <xdr:rowOff>19050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1600200</xdr:colOff>
          <xdr:row>3</xdr:row>
          <xdr:rowOff>9525</xdr:rowOff>
        </xdr:from>
        <xdr:to>
          <xdr:col>5</xdr:col>
          <xdr:colOff>9525</xdr:colOff>
          <xdr:row>4</xdr:row>
          <xdr:rowOff>19050</xdr:rowOff>
        </xdr:to>
        <xdr:sp macro="" textlink="">
          <xdr:nvSpPr>
            <xdr:cNvPr id="15361" name="Drop Dow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vervloed">
      <a:fillStyleLst>
        <a:solidFill>
          <a:schemeClr val="phClr"/>
        </a:solidFill>
        <a:gradFill rotWithShape="1">
          <a:gsLst>
            <a:gs pos="0">
              <a:schemeClr val="phClr">
                <a:tint val="15000"/>
                <a:satMod val="250000"/>
              </a:schemeClr>
            </a:gs>
            <a:gs pos="49000">
              <a:schemeClr val="phClr">
                <a:tint val="50000"/>
                <a:satMod val="200000"/>
              </a:schemeClr>
            </a:gs>
            <a:gs pos="49100">
              <a:schemeClr val="phClr">
                <a:tint val="64000"/>
                <a:satMod val="160000"/>
              </a:schemeClr>
            </a:gs>
            <a:gs pos="92000">
              <a:schemeClr val="phClr">
                <a:tint val="50000"/>
                <a:satMod val="200000"/>
              </a:schemeClr>
            </a:gs>
            <a:gs pos="100000">
              <a:schemeClr val="phClr">
                <a:tint val="43000"/>
                <a:satMod val="19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4000"/>
              </a:schemeClr>
            </a:gs>
            <a:gs pos="49000">
              <a:schemeClr val="phClr">
                <a:tint val="96000"/>
                <a:shade val="84000"/>
                <a:satMod val="110000"/>
              </a:schemeClr>
            </a:gs>
            <a:gs pos="49100">
              <a:schemeClr val="phClr">
                <a:shade val="55000"/>
                <a:satMod val="150000"/>
              </a:schemeClr>
            </a:gs>
            <a:gs pos="92000">
              <a:schemeClr val="phClr">
                <a:tint val="98000"/>
                <a:shade val="90000"/>
                <a:satMod val="128000"/>
              </a:schemeClr>
            </a:gs>
            <a:gs pos="100000">
              <a:schemeClr val="phClr">
                <a:tint val="90000"/>
                <a:shade val="97000"/>
                <a:satMod val="128000"/>
              </a:schemeClr>
            </a:gs>
          </a:gsLst>
          <a:lin ang="5400000" scaled="1"/>
        </a:gradFill>
      </a:fillStyleLst>
      <a:lnStyleLst>
        <a:ln w="11430" cap="flat" cmpd="sng" algn="ctr">
          <a:solidFill>
            <a:schemeClr val="phClr"/>
          </a:solidFill>
          <a:prstDash val="solid"/>
        </a:ln>
        <a:ln w="40000" cap="flat" cmpd="sng" algn="ctr">
          <a:solidFill>
            <a:schemeClr val="phClr"/>
          </a:solidFill>
          <a:prstDash val="solid"/>
        </a:ln>
        <a:ln w="318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000" dir="5400000" rotWithShape="0">
              <a:schemeClr val="phClr">
                <a:shade val="30000"/>
                <a:satMod val="150000"/>
                <a:alpha val="38000"/>
              </a:schemeClr>
            </a:outerShdw>
          </a:effectLst>
        </a:effectStyle>
        <a:effectStyle>
          <a:effectLst>
            <a:outerShdw blurRad="39000" dist="25400" dir="5400000" rotWithShape="0">
              <a:schemeClr val="phClr">
                <a:shade val="33000"/>
                <a:alpha val="83000"/>
              </a:schemeClr>
            </a:outerShdw>
          </a:effectLst>
        </a:effectStyle>
        <a:effectStyle>
          <a:effectLst>
            <a:outerShdw blurRad="39000" dist="25400" dir="5400000" rotWithShape="0">
              <a:schemeClr val="phClr">
                <a:shade val="33000"/>
                <a:alpha val="83000"/>
              </a:scheme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500000"/>
            </a:lightRig>
          </a:scene3d>
          <a:sp3d extrusionH="127000" prstMaterial="powder">
            <a:bevelT w="50800" h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rgb="FFC00000"/>
  </sheetPr>
  <dimension ref="A1:K40"/>
  <sheetViews>
    <sheetView workbookViewId="0"/>
  </sheetViews>
  <sheetFormatPr defaultColWidth="0" defaultRowHeight="12.75" zeroHeight="1" x14ac:dyDescent="0.2"/>
  <cols>
    <col min="1" max="1" width="15.7109375" style="151" customWidth="1"/>
    <col min="2" max="2" width="6.140625" style="151" bestFit="1" customWidth="1"/>
    <col min="3" max="3" width="9.85546875" style="151" customWidth="1"/>
    <col min="4" max="4" width="10.42578125" style="151" bestFit="1" customWidth="1"/>
    <col min="5" max="5" width="10.5703125" style="151" bestFit="1" customWidth="1"/>
    <col min="6" max="6" width="17.5703125" style="151" bestFit="1" customWidth="1"/>
    <col min="7" max="7" width="3" style="151" bestFit="1" customWidth="1"/>
    <col min="8" max="8" width="10.5703125" style="151" bestFit="1" customWidth="1"/>
    <col min="9" max="9" width="9.28515625" style="151" bestFit="1" customWidth="1"/>
    <col min="10" max="10" width="10.5703125" style="151" bestFit="1" customWidth="1"/>
    <col min="11" max="11" width="9.140625" style="151" customWidth="1"/>
    <col min="12" max="16384" width="9.140625" style="151" hidden="1"/>
  </cols>
  <sheetData>
    <row r="1" spans="1:11" ht="15.75" x14ac:dyDescent="0.25">
      <c r="A1" s="147" t="s">
        <v>4141</v>
      </c>
      <c r="B1" s="148"/>
      <c r="C1" s="182" t="s">
        <v>4140</v>
      </c>
      <c r="D1" s="149"/>
      <c r="E1" s="150">
        <v>2</v>
      </c>
      <c r="G1" s="152" t="s">
        <v>117</v>
      </c>
    </row>
    <row r="2" spans="1:11" ht="13.5" x14ac:dyDescent="0.25">
      <c r="A2" s="153" t="s">
        <v>107</v>
      </c>
      <c r="B2" s="154" t="s">
        <v>115</v>
      </c>
      <c r="C2" s="155">
        <v>1</v>
      </c>
      <c r="D2" s="155">
        <v>3.4121416330000001</v>
      </c>
      <c r="E2" s="156">
        <f t="shared" ref="E2:E9" si="0">CHOOSE($E$1,C2,D2)</f>
        <v>3.4121416330000001</v>
      </c>
    </row>
    <row r="3" spans="1:11" ht="13.5" x14ac:dyDescent="0.25">
      <c r="A3" s="157" t="s">
        <v>116</v>
      </c>
      <c r="B3" s="158" t="s">
        <v>111</v>
      </c>
      <c r="C3" s="159">
        <v>1</v>
      </c>
      <c r="D3" s="159">
        <v>2.54</v>
      </c>
      <c r="E3" s="156">
        <f t="shared" si="0"/>
        <v>2.54</v>
      </c>
      <c r="H3" s="151" t="s">
        <v>2978</v>
      </c>
    </row>
    <row r="4" spans="1:11" ht="13.5" x14ac:dyDescent="0.25">
      <c r="A4" s="148"/>
      <c r="B4" s="158" t="s">
        <v>112</v>
      </c>
      <c r="C4" s="159">
        <v>1</v>
      </c>
      <c r="D4" s="159">
        <v>0.58857499999999996</v>
      </c>
      <c r="E4" s="156">
        <f t="shared" si="0"/>
        <v>0.58857499999999996</v>
      </c>
      <c r="H4" s="160">
        <v>0</v>
      </c>
      <c r="I4" s="161">
        <v>1</v>
      </c>
      <c r="J4" s="162">
        <f t="shared" ref="J4:J10" si="1">K4*0.3048</f>
        <v>609.90480000000002</v>
      </c>
      <c r="K4" s="163">
        <v>2001</v>
      </c>
    </row>
    <row r="5" spans="1:11" ht="13.5" x14ac:dyDescent="0.25">
      <c r="A5" s="148"/>
      <c r="B5" s="158" t="s">
        <v>113</v>
      </c>
      <c r="C5" s="159">
        <v>1</v>
      </c>
      <c r="D5" s="159">
        <v>4.4029999999999998E-3</v>
      </c>
      <c r="E5" s="156">
        <f t="shared" si="0"/>
        <v>4.4029999999999998E-3</v>
      </c>
      <c r="H5" s="160">
        <f>CHOOSE(Basis!$E$1,Basis!J5,Basis!K5)</f>
        <v>3001</v>
      </c>
      <c r="I5" s="161">
        <v>0.96</v>
      </c>
      <c r="J5" s="162">
        <f t="shared" si="1"/>
        <v>914.70480000000009</v>
      </c>
      <c r="K5" s="164">
        <v>3001</v>
      </c>
    </row>
    <row r="6" spans="1:11" ht="13.5" x14ac:dyDescent="0.25">
      <c r="A6" s="148"/>
      <c r="B6" s="158" t="s">
        <v>114</v>
      </c>
      <c r="C6" s="159">
        <v>1</v>
      </c>
      <c r="D6" s="159">
        <v>4.0147000000000004</v>
      </c>
      <c r="E6" s="156">
        <f t="shared" si="0"/>
        <v>4.0147000000000004</v>
      </c>
      <c r="G6" s="152"/>
      <c r="H6" s="160">
        <f>CHOOSE(Basis!$E$1,Basis!J6,Basis!K6)</f>
        <v>4001</v>
      </c>
      <c r="I6" s="161">
        <v>0.92</v>
      </c>
      <c r="J6" s="162">
        <f t="shared" si="1"/>
        <v>1219.5048000000002</v>
      </c>
      <c r="K6" s="165">
        <v>4001</v>
      </c>
    </row>
    <row r="7" spans="1:11" ht="13.5" x14ac:dyDescent="0.25">
      <c r="A7" s="148" t="s">
        <v>2956</v>
      </c>
      <c r="B7" s="166" t="s">
        <v>2958</v>
      </c>
      <c r="C7" s="167">
        <f>(75-65)/LN((75-20)/(65-20))</f>
        <v>49.83288654563971</v>
      </c>
      <c r="D7" s="167">
        <f>(167-149)/LN((167-68)/(149-68))</f>
        <v>89.699195782151477</v>
      </c>
      <c r="E7" s="168">
        <f t="shared" si="0"/>
        <v>89.699195782151477</v>
      </c>
      <c r="H7" s="160">
        <f>CHOOSE(Basis!$E$1,Basis!J7,Basis!K7)</f>
        <v>5001</v>
      </c>
      <c r="I7" s="161">
        <v>0.84</v>
      </c>
      <c r="J7" s="162">
        <f t="shared" si="1"/>
        <v>1524.3048000000001</v>
      </c>
      <c r="K7" s="165">
        <v>5001</v>
      </c>
    </row>
    <row r="8" spans="1:11" ht="13.5" x14ac:dyDescent="0.25">
      <c r="A8" s="148" t="s">
        <v>2957</v>
      </c>
      <c r="B8" s="166" t="s">
        <v>2958</v>
      </c>
      <c r="C8" s="167">
        <f>(16-18)/LN((16-27)/(18-27))</f>
        <v>-9.9665773091279419</v>
      </c>
      <c r="D8" s="167">
        <f>(61-64)/LN((61-81)/(64-81))</f>
        <v>-18.459388141866103</v>
      </c>
      <c r="E8" s="168">
        <f t="shared" si="0"/>
        <v>-18.459388141866103</v>
      </c>
      <c r="H8" s="160">
        <f>CHOOSE(Basis!$E$1,Basis!J8,Basis!K8)</f>
        <v>6001</v>
      </c>
      <c r="I8" s="161">
        <v>0.8</v>
      </c>
      <c r="J8" s="162">
        <f t="shared" si="1"/>
        <v>1829.1048000000001</v>
      </c>
      <c r="K8" s="165">
        <v>6001</v>
      </c>
    </row>
    <row r="9" spans="1:11" ht="13.5" x14ac:dyDescent="0.25">
      <c r="A9" s="151" t="s">
        <v>2968</v>
      </c>
      <c r="B9" s="169"/>
      <c r="C9" s="159">
        <v>1</v>
      </c>
      <c r="D9" s="159">
        <v>12</v>
      </c>
      <c r="E9" s="168">
        <f t="shared" si="0"/>
        <v>12</v>
      </c>
      <c r="H9" s="160">
        <f>CHOOSE(Basis!$E$1,Basis!J9,Basis!K9)</f>
        <v>7001</v>
      </c>
      <c r="I9" s="161">
        <v>0.76</v>
      </c>
      <c r="J9" s="162">
        <f t="shared" si="1"/>
        <v>2133.9048000000003</v>
      </c>
      <c r="K9" s="165">
        <v>7001</v>
      </c>
    </row>
    <row r="10" spans="1:11" ht="13.5" x14ac:dyDescent="0.25">
      <c r="A10" s="170" t="s">
        <v>2969</v>
      </c>
      <c r="B10" s="158" t="s">
        <v>2970</v>
      </c>
      <c r="C10" s="159">
        <v>1</v>
      </c>
      <c r="D10" s="159">
        <v>2.9970276327000285</v>
      </c>
      <c r="E10" s="168">
        <f t="shared" ref="E10:E13" si="2">CHOOSE($E$1,C10,D10)</f>
        <v>2.9970276327000285</v>
      </c>
      <c r="F10" s="87" t="s">
        <v>2971</v>
      </c>
      <c r="H10" s="160">
        <f>CHOOSE(Basis!$E$1,Basis!J10,Basis!K10)</f>
        <v>8001</v>
      </c>
      <c r="I10" s="161">
        <v>0.72</v>
      </c>
      <c r="J10" s="162">
        <f t="shared" si="1"/>
        <v>2438.7048</v>
      </c>
      <c r="K10" s="165">
        <v>8001</v>
      </c>
    </row>
    <row r="11" spans="1:11" ht="13.5" x14ac:dyDescent="0.25">
      <c r="A11" s="151" t="s">
        <v>3235</v>
      </c>
      <c r="B11" s="169"/>
      <c r="C11" s="159">
        <v>100</v>
      </c>
      <c r="D11" s="159">
        <v>1</v>
      </c>
      <c r="E11" s="168">
        <f t="shared" si="2"/>
        <v>1</v>
      </c>
    </row>
    <row r="12" spans="1:11" ht="13.5" x14ac:dyDescent="0.25">
      <c r="B12" s="169" t="s">
        <v>4044</v>
      </c>
      <c r="C12" s="159">
        <v>0.58857499999999996</v>
      </c>
      <c r="D12" s="159">
        <v>1</v>
      </c>
      <c r="E12" s="168">
        <f t="shared" si="2"/>
        <v>1</v>
      </c>
    </row>
    <row r="13" spans="1:11" ht="13.5" x14ac:dyDescent="0.25">
      <c r="A13" s="151" t="s">
        <v>4045</v>
      </c>
      <c r="B13" s="169"/>
      <c r="C13" s="159">
        <v>3.3444444444444401E-4</v>
      </c>
      <c r="D13" s="159">
        <v>5.6822472137199999E-4</v>
      </c>
      <c r="E13" s="168">
        <f t="shared" si="2"/>
        <v>5.6822472137199999E-4</v>
      </c>
    </row>
    <row r="14" spans="1:11" ht="13.5" x14ac:dyDescent="0.25">
      <c r="A14" s="151" t="s">
        <v>3238</v>
      </c>
      <c r="B14" s="169"/>
      <c r="C14" s="159">
        <v>1</v>
      </c>
      <c r="D14" s="159">
        <v>1.8</v>
      </c>
      <c r="E14" s="168">
        <f t="shared" ref="E14:E15" si="3">CHOOSE($E$1,C14,D14)</f>
        <v>1.8</v>
      </c>
      <c r="H14" s="151" t="s">
        <v>2979</v>
      </c>
    </row>
    <row r="15" spans="1:11" ht="13.5" x14ac:dyDescent="0.25">
      <c r="A15" s="151" t="s">
        <v>3238</v>
      </c>
      <c r="B15" s="169"/>
      <c r="C15" s="159">
        <v>0</v>
      </c>
      <c r="D15" s="159">
        <v>32</v>
      </c>
      <c r="E15" s="168">
        <f t="shared" si="3"/>
        <v>32</v>
      </c>
      <c r="H15" s="160">
        <f>CHOOSE(Basis!$E$1,Basis!J15,Basis!K15)</f>
        <v>0</v>
      </c>
      <c r="I15" s="161">
        <v>1</v>
      </c>
      <c r="J15" s="162">
        <f t="shared" ref="J15:J18" si="4">K15*0.3048</f>
        <v>0</v>
      </c>
      <c r="K15" s="163">
        <v>0</v>
      </c>
    </row>
    <row r="16" spans="1:11" ht="13.5" x14ac:dyDescent="0.25">
      <c r="A16" s="151" t="s">
        <v>3237</v>
      </c>
      <c r="B16" s="169"/>
      <c r="C16" s="203">
        <v>0.05</v>
      </c>
      <c r="D16" s="203">
        <v>0.05</v>
      </c>
      <c r="E16" s="204">
        <f t="shared" ref="E16:E19" si="5">CHOOSE($E$1,C16,D16)</f>
        <v>0.05</v>
      </c>
      <c r="H16" s="160">
        <f>CHOOSE(Basis!$E$1,Basis!J16,Basis!K16)</f>
        <v>8001</v>
      </c>
      <c r="I16" s="161">
        <v>0.93</v>
      </c>
      <c r="J16" s="162">
        <f t="shared" si="4"/>
        <v>2438.7048</v>
      </c>
      <c r="K16" s="164">
        <v>8001</v>
      </c>
    </row>
    <row r="17" spans="1:11" ht="13.5" x14ac:dyDescent="0.25">
      <c r="A17" s="151" t="s">
        <v>3266</v>
      </c>
      <c r="B17" s="169"/>
      <c r="C17" s="159">
        <v>1E-3</v>
      </c>
      <c r="D17" s="159">
        <v>3.0479999999999998E-4</v>
      </c>
      <c r="E17" s="168">
        <f t="shared" si="5"/>
        <v>3.0479999999999998E-4</v>
      </c>
      <c r="H17" s="160">
        <v>9001</v>
      </c>
      <c r="I17" s="161">
        <v>0.91</v>
      </c>
      <c r="J17" s="162">
        <f t="shared" si="4"/>
        <v>2743.5048000000002</v>
      </c>
      <c r="K17" s="165">
        <v>9001</v>
      </c>
    </row>
    <row r="18" spans="1:11" ht="13.5" x14ac:dyDescent="0.25">
      <c r="A18" s="151" t="s">
        <v>4046</v>
      </c>
      <c r="B18" s="169"/>
      <c r="C18" s="159">
        <v>1</v>
      </c>
      <c r="D18" s="159">
        <v>0.58857499999999996</v>
      </c>
      <c r="E18" s="168">
        <f t="shared" si="5"/>
        <v>0.58857499999999996</v>
      </c>
      <c r="H18" s="160">
        <f>CHOOSE(Basis!$E$1,Basis!J18,Basis!K18)</f>
        <v>10001</v>
      </c>
      <c r="I18" s="161">
        <v>0.89</v>
      </c>
      <c r="J18" s="162">
        <f t="shared" si="4"/>
        <v>3048.3048000000003</v>
      </c>
      <c r="K18" s="165">
        <v>10001</v>
      </c>
    </row>
    <row r="19" spans="1:11" ht="13.5" x14ac:dyDescent="0.25">
      <c r="A19" s="151" t="s">
        <v>4047</v>
      </c>
      <c r="B19" s="169"/>
      <c r="C19" s="159">
        <v>1</v>
      </c>
      <c r="D19" s="159">
        <v>196.85039370078999</v>
      </c>
      <c r="E19" s="168">
        <f t="shared" si="5"/>
        <v>196.85039370078999</v>
      </c>
      <c r="H19" s="231"/>
      <c r="I19" s="232"/>
      <c r="J19" s="233"/>
      <c r="K19" s="234"/>
    </row>
    <row r="20" spans="1:11" ht="13.5" x14ac:dyDescent="0.25">
      <c r="B20" s="169"/>
      <c r="C20" s="159"/>
      <c r="D20" s="159"/>
      <c r="E20" s="168"/>
      <c r="H20" s="231"/>
      <c r="I20" s="232"/>
      <c r="J20" s="233"/>
      <c r="K20" s="234"/>
    </row>
    <row r="21" spans="1:11" x14ac:dyDescent="0.2">
      <c r="H21" s="231"/>
      <c r="I21" s="232"/>
      <c r="J21" s="233"/>
      <c r="K21" s="234"/>
    </row>
    <row r="22" spans="1:11" x14ac:dyDescent="0.2">
      <c r="H22" s="231"/>
      <c r="I22" s="232"/>
      <c r="J22" s="233"/>
      <c r="K22" s="234"/>
    </row>
    <row r="23" spans="1:11" x14ac:dyDescent="0.2">
      <c r="A23" s="152" t="s">
        <v>137</v>
      </c>
      <c r="F23" s="171"/>
      <c r="G23" s="171"/>
      <c r="H23" s="171"/>
      <c r="I23" s="171"/>
      <c r="J23" s="171"/>
      <c r="K23" s="171"/>
    </row>
    <row r="24" spans="1:11" x14ac:dyDescent="0.2">
      <c r="A24" s="152" t="s">
        <v>2955</v>
      </c>
      <c r="B24" s="171"/>
      <c r="C24" s="171"/>
      <c r="D24" s="171"/>
      <c r="E24" s="171"/>
      <c r="F24" s="171"/>
      <c r="G24" s="173"/>
      <c r="H24" s="173" t="s">
        <v>89</v>
      </c>
      <c r="I24" s="173" t="s">
        <v>90</v>
      </c>
      <c r="J24" s="173" t="s">
        <v>91</v>
      </c>
      <c r="K24" s="171"/>
    </row>
    <row r="25" spans="1:11" x14ac:dyDescent="0.2">
      <c r="A25" s="171" t="s">
        <v>2974</v>
      </c>
      <c r="B25" s="171"/>
      <c r="C25" s="171"/>
      <c r="D25" s="172"/>
      <c r="E25" s="171"/>
      <c r="F25" s="171"/>
      <c r="G25" s="174">
        <v>0</v>
      </c>
      <c r="H25" s="174">
        <v>1</v>
      </c>
      <c r="I25" s="174">
        <v>1</v>
      </c>
      <c r="J25" s="174">
        <v>1</v>
      </c>
      <c r="K25" s="171"/>
    </row>
    <row r="26" spans="1:11" x14ac:dyDescent="0.2">
      <c r="A26" s="171" t="s">
        <v>2975</v>
      </c>
      <c r="B26" s="171"/>
      <c r="C26" s="171"/>
      <c r="D26" s="172"/>
      <c r="E26" s="171"/>
      <c r="F26" s="171"/>
      <c r="G26" s="174">
        <v>20</v>
      </c>
      <c r="H26" s="174">
        <v>1</v>
      </c>
      <c r="I26" s="174">
        <v>0.95</v>
      </c>
      <c r="J26" s="174">
        <v>0.98</v>
      </c>
      <c r="K26" s="171"/>
    </row>
    <row r="27" spans="1:11" x14ac:dyDescent="0.2">
      <c r="A27" s="171" t="s">
        <v>2976</v>
      </c>
      <c r="B27" s="171"/>
      <c r="C27" s="171"/>
      <c r="D27" s="172"/>
      <c r="E27" s="173" t="s">
        <v>89</v>
      </c>
      <c r="F27" s="171"/>
      <c r="G27" s="174">
        <v>30</v>
      </c>
      <c r="H27" s="174">
        <v>1</v>
      </c>
      <c r="I27" s="174">
        <v>0.91</v>
      </c>
      <c r="J27" s="174">
        <v>0.96</v>
      </c>
      <c r="K27" s="171"/>
    </row>
    <row r="28" spans="1:11" x14ac:dyDescent="0.2">
      <c r="A28" s="171" t="s">
        <v>2977</v>
      </c>
      <c r="B28" s="171"/>
      <c r="C28" s="171"/>
      <c r="D28" s="172"/>
      <c r="E28" s="173" t="s">
        <v>90</v>
      </c>
      <c r="F28" s="171"/>
      <c r="G28" s="174">
        <v>40</v>
      </c>
      <c r="H28" s="174">
        <v>1</v>
      </c>
      <c r="I28" s="174">
        <v>0.88</v>
      </c>
      <c r="J28" s="174">
        <v>0.93</v>
      </c>
      <c r="K28" s="171"/>
    </row>
    <row r="29" spans="1:11" x14ac:dyDescent="0.2">
      <c r="A29" s="175"/>
      <c r="B29" s="171"/>
      <c r="C29" s="171"/>
      <c r="D29" s="172"/>
      <c r="E29" s="173" t="s">
        <v>91</v>
      </c>
      <c r="F29" s="171"/>
      <c r="G29" s="174">
        <v>50</v>
      </c>
      <c r="H29" s="174">
        <v>1</v>
      </c>
      <c r="I29" s="174">
        <v>0.84</v>
      </c>
      <c r="J29" s="174">
        <v>0.9</v>
      </c>
      <c r="K29" s="171"/>
    </row>
    <row r="30" spans="1:11" x14ac:dyDescent="0.2">
      <c r="A30" s="176"/>
      <c r="B30" s="176"/>
      <c r="C30" s="176"/>
      <c r="D30" s="172"/>
      <c r="E30" s="176"/>
      <c r="F30" s="176"/>
      <c r="G30" s="176"/>
      <c r="H30" s="176"/>
      <c r="I30" s="176"/>
      <c r="J30" s="176"/>
      <c r="K30" s="176"/>
    </row>
    <row r="31" spans="1:11" x14ac:dyDescent="0.2">
      <c r="A31" s="176"/>
      <c r="B31" s="176"/>
      <c r="C31" s="176"/>
      <c r="D31" s="172"/>
      <c r="E31" s="176"/>
      <c r="F31" s="176"/>
      <c r="G31" s="176"/>
      <c r="H31" s="176"/>
      <c r="I31" s="176"/>
      <c r="J31" s="176"/>
      <c r="K31" s="176"/>
    </row>
    <row r="32" spans="1:11" x14ac:dyDescent="0.2">
      <c r="A32" s="176" t="s">
        <v>2956</v>
      </c>
      <c r="B32" s="176"/>
      <c r="C32" s="176" t="s">
        <v>2957</v>
      </c>
      <c r="D32" s="172"/>
      <c r="E32" s="176"/>
      <c r="F32" s="176"/>
      <c r="G32" s="176"/>
      <c r="H32" s="176"/>
      <c r="I32" s="176"/>
      <c r="J32" s="176"/>
      <c r="K32" s="176"/>
    </row>
    <row r="33" spans="1:11" x14ac:dyDescent="0.2">
      <c r="A33" s="176" t="s">
        <v>3239</v>
      </c>
      <c r="B33" s="205">
        <f>IF($E$1=1,34,89)</f>
        <v>89</v>
      </c>
      <c r="C33" s="176" t="s">
        <v>3239</v>
      </c>
      <c r="D33" s="205">
        <f>IF($E$1=1,5,41)</f>
        <v>41</v>
      </c>
      <c r="E33" s="176"/>
      <c r="F33" s="176"/>
      <c r="G33" s="176"/>
      <c r="H33" s="176"/>
      <c r="I33" s="176"/>
      <c r="J33" s="176"/>
      <c r="K33" s="176"/>
    </row>
    <row r="34" spans="1:11" x14ac:dyDescent="0.2">
      <c r="A34" s="176"/>
      <c r="B34" s="176"/>
      <c r="C34" s="176"/>
      <c r="D34" s="172"/>
      <c r="E34" s="176"/>
      <c r="F34" s="176"/>
      <c r="G34" s="176"/>
      <c r="H34" s="176"/>
      <c r="I34" s="176"/>
      <c r="J34" s="176"/>
      <c r="K34" s="176"/>
    </row>
    <row r="35" spans="1:11" x14ac:dyDescent="0.2">
      <c r="A35" s="176"/>
      <c r="B35" s="176"/>
      <c r="C35" s="176"/>
      <c r="D35" s="172"/>
      <c r="E35" s="176"/>
      <c r="F35" s="176"/>
      <c r="G35" s="176"/>
      <c r="H35" s="176"/>
      <c r="I35" s="176"/>
      <c r="J35" s="176"/>
      <c r="K35" s="176"/>
    </row>
    <row r="36" spans="1:11" x14ac:dyDescent="0.2">
      <c r="A36" s="176"/>
      <c r="B36" s="176"/>
      <c r="C36" s="176"/>
      <c r="D36" s="172"/>
      <c r="E36" s="176"/>
      <c r="F36" s="176"/>
      <c r="G36" s="176"/>
      <c r="H36" s="176"/>
      <c r="I36" s="176"/>
      <c r="J36" s="176"/>
      <c r="K36" s="176"/>
    </row>
    <row r="37" spans="1:11" x14ac:dyDescent="0.2">
      <c r="A37" s="206"/>
      <c r="B37" s="176"/>
      <c r="C37" s="176"/>
      <c r="D37" s="172"/>
      <c r="E37" s="176"/>
      <c r="F37" s="176"/>
      <c r="G37" s="176"/>
      <c r="H37" s="176"/>
      <c r="I37" s="176"/>
      <c r="J37" s="176"/>
      <c r="K37" s="176"/>
    </row>
    <row r="38" spans="1:11" x14ac:dyDescent="0.2">
      <c r="A38" s="206"/>
      <c r="B38" s="176"/>
      <c r="C38" s="176"/>
      <c r="D38" s="172"/>
      <c r="E38" s="176"/>
      <c r="F38" s="176"/>
      <c r="G38" s="176"/>
      <c r="H38" s="176"/>
      <c r="I38" s="176"/>
      <c r="J38" s="176"/>
      <c r="K38" s="176"/>
    </row>
    <row r="39" spans="1:11" x14ac:dyDescent="0.2">
      <c r="A39" s="176"/>
      <c r="B39" s="176"/>
      <c r="C39" s="176"/>
      <c r="D39" s="172"/>
      <c r="E39" s="176"/>
      <c r="F39" s="176"/>
      <c r="G39" s="176"/>
      <c r="H39" s="176"/>
      <c r="I39" s="176"/>
      <c r="J39" s="176"/>
      <c r="K39" s="176"/>
    </row>
    <row r="40" spans="1:1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>
    <pageSetUpPr fitToPage="1"/>
  </sheetPr>
  <dimension ref="A1:BU4325"/>
  <sheetViews>
    <sheetView showGridLines="0" showRowColHeaders="0" showZeros="0" zoomScaleNormal="100" workbookViewId="0">
      <pane ySplit="9" topLeftCell="A10" activePane="bottomLeft" state="frozen"/>
      <selection activeCell="I2" sqref="I2"/>
      <selection pane="bottomLeft" activeCell="I2" sqref="I2"/>
    </sheetView>
  </sheetViews>
  <sheetFormatPr defaultColWidth="0" defaultRowHeight="12.75" customHeight="1" zeroHeight="1" x14ac:dyDescent="0.2"/>
  <cols>
    <col min="1" max="1" width="19.7109375" style="1" customWidth="1"/>
    <col min="2" max="3" width="24.140625" style="1" customWidth="1"/>
    <col min="4" max="5" width="6.7109375" style="7" customWidth="1"/>
    <col min="6" max="6" width="6.7109375" style="6" customWidth="1"/>
    <col min="7" max="7" width="6.7109375" style="7" customWidth="1"/>
    <col min="8" max="10" width="8.7109375" style="2" customWidth="1"/>
    <col min="11" max="11" width="11.28515625" style="2" customWidth="1"/>
    <col min="12" max="12" width="11.28515625" style="178" customWidth="1"/>
    <col min="13" max="13" width="32.140625" style="2" hidden="1" customWidth="1"/>
    <col min="14" max="14" width="9" style="7" hidden="1" customWidth="1"/>
    <col min="15" max="15" width="6" hidden="1" customWidth="1"/>
    <col min="16" max="16" width="9.140625" style="7" hidden="1" customWidth="1"/>
    <col min="17" max="17" width="6" hidden="1" customWidth="1"/>
    <col min="18" max="18" width="7" style="2" hidden="1" customWidth="1"/>
    <col min="19" max="22" width="4.28515625" style="2" hidden="1" customWidth="1"/>
    <col min="23" max="23" width="6" hidden="1" customWidth="1"/>
    <col min="24" max="24" width="18.140625" style="38" hidden="1" customWidth="1"/>
    <col min="25" max="28" width="4.28515625" style="38" hidden="1" customWidth="1"/>
    <col min="29" max="29" width="6" hidden="1" customWidth="1"/>
    <col min="30" max="30" width="6.140625" style="2" hidden="1" customWidth="1"/>
    <col min="31" max="34" width="4.28515625" style="2" hidden="1" customWidth="1"/>
    <col min="35" max="35" width="7.7109375" hidden="1" customWidth="1"/>
    <col min="36" max="36" width="10" style="127" hidden="1" customWidth="1"/>
    <col min="37" max="37" width="9" style="133" hidden="1" customWidth="1"/>
    <col min="38" max="38" width="6.28515625" style="130" hidden="1" customWidth="1"/>
    <col min="39" max="39" width="12" style="127" hidden="1" customWidth="1"/>
    <col min="40" max="40" width="7.7109375" hidden="1" customWidth="1"/>
    <col min="41" max="45" width="7.7109375" style="10" hidden="1" customWidth="1"/>
    <col min="46" max="46" width="7.7109375" hidden="1" customWidth="1"/>
    <col min="47" max="47" width="7.7109375" style="2" hidden="1" customWidth="1"/>
    <col min="48" max="48" width="20.42578125" style="2" hidden="1" customWidth="1"/>
    <col min="49" max="49" width="7.140625" style="3" hidden="1" customWidth="1"/>
    <col min="50" max="50" width="6" style="3" hidden="1" customWidth="1"/>
    <col min="51" max="51" width="5.28515625" style="3" hidden="1" customWidth="1"/>
    <col min="52" max="52" width="7.7109375" style="3" hidden="1" customWidth="1"/>
    <col min="53" max="53" width="10.5703125" style="3" hidden="1" customWidth="1"/>
    <col min="54" max="54" width="7.7109375" style="3" hidden="1" customWidth="1"/>
    <col min="55" max="55" width="3" style="3" hidden="1" customWidth="1"/>
    <col min="56" max="56" width="10.5703125" style="3" hidden="1" customWidth="1"/>
    <col min="57" max="57" width="9.28515625" style="3" hidden="1" customWidth="1"/>
    <col min="58" max="58" width="10.5703125" style="3" hidden="1" customWidth="1"/>
    <col min="59" max="73" width="0" style="3" hidden="1" customWidth="1"/>
    <col min="74" max="16384" width="7.7109375" style="3" hidden="1"/>
  </cols>
  <sheetData>
    <row r="1" spans="1:73" ht="13.5" customHeight="1" x14ac:dyDescent="0.25">
      <c r="A1" s="247" t="str">
        <f>Basis!A1</f>
        <v>Selection Model 2022-10</v>
      </c>
      <c r="B1" s="247"/>
      <c r="C1" s="247"/>
      <c r="D1" s="21"/>
      <c r="E1" s="21"/>
      <c r="F1" s="22"/>
      <c r="G1" s="21"/>
      <c r="H1" s="25"/>
      <c r="I1" s="26"/>
      <c r="J1" s="27"/>
      <c r="K1" s="27"/>
      <c r="L1" s="27"/>
      <c r="M1" s="27"/>
      <c r="AJ1"/>
      <c r="AK1"/>
      <c r="AL1"/>
      <c r="AM1"/>
      <c r="AN1" s="87" t="s">
        <v>101</v>
      </c>
      <c r="BS1"/>
      <c r="BT1"/>
      <c r="BU1"/>
    </row>
    <row r="2" spans="1:73" ht="15" customHeight="1" x14ac:dyDescent="0.25">
      <c r="A2" s="247"/>
      <c r="B2" s="247"/>
      <c r="C2" s="247"/>
      <c r="D2" s="139" t="s">
        <v>94</v>
      </c>
      <c r="E2" s="140"/>
      <c r="F2" s="141"/>
      <c r="G2" s="24"/>
      <c r="H2" s="146" t="s">
        <v>26</v>
      </c>
      <c r="I2" s="8">
        <v>140</v>
      </c>
      <c r="J2" s="28" t="str">
        <f>CHOOSE(Basis!$E$1,"EWT ºC","EWT ºF")</f>
        <v>EWT ºF</v>
      </c>
      <c r="K2" s="28"/>
      <c r="L2" s="28"/>
      <c r="M2" s="28"/>
      <c r="Q2" s="7"/>
      <c r="R2" s="7"/>
      <c r="T2" s="7"/>
      <c r="U2" s="35"/>
      <c r="V2" s="34"/>
      <c r="W2" s="54"/>
      <c r="X2" s="36"/>
      <c r="Y2" s="35"/>
      <c r="Z2" s="36"/>
      <c r="AA2" s="36"/>
      <c r="AB2" s="36"/>
      <c r="AC2" s="54"/>
      <c r="AD2" s="36"/>
      <c r="AE2" s="35"/>
      <c r="AF2" s="36"/>
      <c r="AG2" s="36"/>
      <c r="AH2" s="36"/>
      <c r="AI2" s="54"/>
      <c r="AJ2" s="54"/>
      <c r="AK2" s="54"/>
      <c r="AL2" s="54"/>
      <c r="AM2" s="54"/>
      <c r="AN2" t="s">
        <v>102</v>
      </c>
      <c r="AO2" s="86">
        <v>16</v>
      </c>
      <c r="AP2" s="89" t="s">
        <v>95</v>
      </c>
      <c r="AQ2" s="89"/>
      <c r="AR2" s="89"/>
      <c r="AS2" s="89"/>
      <c r="AU2" s="13"/>
      <c r="AV2" s="81"/>
      <c r="BS2"/>
      <c r="BT2"/>
      <c r="BU2"/>
    </row>
    <row r="3" spans="1:73" ht="15" customHeight="1" x14ac:dyDescent="0.25">
      <c r="A3" s="247"/>
      <c r="B3" s="247"/>
      <c r="C3" s="247"/>
      <c r="D3" s="142" t="s">
        <v>2963</v>
      </c>
      <c r="E3" s="143"/>
      <c r="F3" s="138"/>
      <c r="G3" s="24"/>
      <c r="H3" s="146" t="s">
        <v>24</v>
      </c>
      <c r="I3" s="8">
        <v>120</v>
      </c>
      <c r="J3" s="28" t="str">
        <f>CHOOSE(Basis!$E$1,"LWT ºC","LWT ºF")</f>
        <v>LWT ºF</v>
      </c>
      <c r="K3" s="28"/>
      <c r="L3" s="28"/>
      <c r="M3" s="28"/>
      <c r="R3" s="55"/>
      <c r="T3" s="7"/>
      <c r="U3" s="35"/>
      <c r="V3" s="55"/>
      <c r="W3" s="54"/>
      <c r="X3" s="36"/>
      <c r="Y3" s="35"/>
      <c r="Z3" s="7" t="s">
        <v>3334</v>
      </c>
      <c r="AA3" s="219">
        <f>IF(Basis!$E$1=1,$F$3/1000,IF(Basis!$E$1=2,$F$3*0.0003048))</f>
        <v>0</v>
      </c>
      <c r="AB3" s="36"/>
      <c r="AC3" s="54"/>
      <c r="AD3" s="37"/>
      <c r="AE3" s="35"/>
      <c r="AF3" s="37"/>
      <c r="AG3" s="37"/>
      <c r="AH3" s="37"/>
      <c r="AI3" s="54"/>
      <c r="AJ3" s="54"/>
      <c r="AK3" s="54"/>
      <c r="AL3" s="54"/>
      <c r="AM3" s="54"/>
      <c r="AN3" t="s">
        <v>103</v>
      </c>
      <c r="AO3" s="86">
        <v>18</v>
      </c>
      <c r="AP3" s="89" t="s">
        <v>95</v>
      </c>
      <c r="AQ3" s="89"/>
      <c r="AR3" s="89"/>
      <c r="AS3" s="89"/>
      <c r="AU3" s="13"/>
      <c r="AV3" s="81"/>
      <c r="BS3"/>
      <c r="BT3"/>
      <c r="BU3"/>
    </row>
    <row r="4" spans="1:73" ht="15" customHeight="1" x14ac:dyDescent="0.25">
      <c r="A4" s="248" t="str">
        <f>CHOOSE(Basis!$E$1,"Metric","Imperial")</f>
        <v>Imperial</v>
      </c>
      <c r="B4" s="96"/>
      <c r="C4" s="17"/>
      <c r="D4" s="51">
        <v>1</v>
      </c>
      <c r="E4" s="52"/>
      <c r="F4" s="53"/>
      <c r="G4" s="23" t="s">
        <v>88</v>
      </c>
      <c r="H4" s="146" t="s">
        <v>2967</v>
      </c>
      <c r="I4" s="8">
        <v>65</v>
      </c>
      <c r="J4" s="28" t="str">
        <f>CHOOSE(Basis!$E$1,"AT ºC","AT ºF")</f>
        <v>AT ºF</v>
      </c>
      <c r="K4" s="28"/>
      <c r="L4" s="28"/>
      <c r="M4" s="28"/>
      <c r="R4" s="55"/>
      <c r="T4" s="7"/>
      <c r="U4" s="35"/>
      <c r="V4" s="55"/>
      <c r="W4" s="54"/>
      <c r="X4" s="36"/>
      <c r="Y4" s="35"/>
      <c r="Z4" s="7" t="s">
        <v>3335</v>
      </c>
      <c r="AA4" s="220">
        <f>-(0.000265264729874266*$AA$3^6)+(0.000957582908802335*$AA$3^5)+(0.00470250661483425*$AA$3^4)-(0.0298716926548353*$AA$3^3)+(0.0557086806557086*$AA$3^2)-(0.0484008125693582*$AA$3)+1</f>
        <v>1</v>
      </c>
      <c r="AB4" s="36"/>
      <c r="AC4" s="54"/>
      <c r="AD4" s="37"/>
      <c r="AE4" s="35"/>
      <c r="AF4" s="37"/>
      <c r="AG4" s="37"/>
      <c r="AH4" s="37"/>
      <c r="AI4" s="54"/>
      <c r="AJ4" s="54"/>
      <c r="AK4" s="54"/>
      <c r="AL4" s="54"/>
      <c r="AM4" s="54"/>
      <c r="AN4" t="s">
        <v>104</v>
      </c>
      <c r="AO4" s="86">
        <v>27</v>
      </c>
      <c r="AP4" s="89" t="s">
        <v>95</v>
      </c>
      <c r="AQ4" s="89"/>
      <c r="AR4" s="89"/>
      <c r="AS4" s="89"/>
      <c r="AU4" s="13"/>
      <c r="AV4" s="81"/>
      <c r="BS4"/>
      <c r="BT4"/>
      <c r="BU4"/>
    </row>
    <row r="5" spans="1:73" ht="15" customHeight="1" x14ac:dyDescent="0.25">
      <c r="A5" s="248"/>
      <c r="B5" s="96"/>
      <c r="C5" s="17"/>
      <c r="D5" s="23"/>
      <c r="E5" s="21"/>
      <c r="F5" s="22"/>
      <c r="G5" s="21"/>
      <c r="H5" s="29" t="s">
        <v>25</v>
      </c>
      <c r="I5" s="31">
        <f>(I2+I3)/2</f>
        <v>130</v>
      </c>
      <c r="J5" s="28" t="str">
        <f>CHOOSE(Basis!$E$1,"ºC","ºF")</f>
        <v>ºF</v>
      </c>
      <c r="K5" s="28"/>
      <c r="L5" s="28"/>
      <c r="M5" s="28"/>
      <c r="R5" s="55"/>
      <c r="T5" s="7"/>
      <c r="U5" s="35"/>
      <c r="V5" s="55"/>
      <c r="W5" s="54"/>
      <c r="X5" s="36"/>
      <c r="Y5" s="35"/>
      <c r="Z5" s="36"/>
      <c r="AA5" s="36"/>
      <c r="AB5" s="36"/>
      <c r="AC5" s="54"/>
      <c r="AD5" s="37"/>
      <c r="AE5" s="35"/>
      <c r="AF5" s="37"/>
      <c r="AG5" s="37"/>
      <c r="AH5" s="37"/>
      <c r="AI5" s="54"/>
      <c r="AJ5" s="54"/>
      <c r="AK5" s="54"/>
      <c r="AL5" s="54"/>
      <c r="AM5" s="54"/>
      <c r="AN5" s="54"/>
      <c r="AO5" s="88">
        <f>(AO2+AO3)/2-AO4</f>
        <v>-10</v>
      </c>
      <c r="AP5" s="34"/>
      <c r="AQ5" s="11"/>
      <c r="AR5" s="11"/>
      <c r="AS5" s="11"/>
      <c r="AT5" s="56"/>
      <c r="AU5" s="13"/>
      <c r="AV5" s="81"/>
      <c r="BS5"/>
      <c r="BT5"/>
      <c r="BU5"/>
    </row>
    <row r="6" spans="1:73" ht="15" customHeight="1" x14ac:dyDescent="0.2">
      <c r="A6" s="96"/>
      <c r="B6" s="33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R6" s="39"/>
      <c r="T6" s="7"/>
      <c r="U6" s="35"/>
      <c r="V6" s="39"/>
      <c r="W6" s="54"/>
      <c r="Y6" s="35"/>
      <c r="Z6" s="36"/>
      <c r="AA6" s="36"/>
      <c r="AB6" s="36"/>
      <c r="AC6" s="54"/>
      <c r="AD6" s="37"/>
      <c r="AE6" s="35"/>
      <c r="AF6" s="37"/>
      <c r="AG6" s="37"/>
      <c r="AH6" s="37"/>
      <c r="AI6" s="54"/>
      <c r="AJ6" s="54"/>
      <c r="AK6" s="54"/>
      <c r="AL6" s="54"/>
      <c r="AM6" s="54"/>
      <c r="AN6" s="54"/>
      <c r="AO6" s="34"/>
      <c r="AP6" s="34"/>
      <c r="AQ6" s="13"/>
      <c r="AR6" s="13"/>
      <c r="AS6" s="35"/>
      <c r="AT6" s="56"/>
      <c r="AU6" s="13"/>
      <c r="AV6" s="81"/>
      <c r="BS6"/>
      <c r="BT6"/>
      <c r="BU6"/>
    </row>
    <row r="7" spans="1:73" ht="15" customHeight="1" x14ac:dyDescent="0.25">
      <c r="A7" s="18"/>
      <c r="B7" s="33"/>
      <c r="C7" s="17"/>
      <c r="D7" s="21"/>
      <c r="E7" s="21"/>
      <c r="F7" s="22"/>
      <c r="G7" s="21"/>
      <c r="H7" s="17"/>
      <c r="I7" s="17"/>
      <c r="J7" s="27"/>
      <c r="K7" s="27"/>
      <c r="L7" s="27"/>
      <c r="M7" s="249" t="s">
        <v>106</v>
      </c>
      <c r="N7" s="12"/>
      <c r="O7" s="54"/>
      <c r="P7" s="12"/>
      <c r="Q7" s="54"/>
      <c r="R7" s="57"/>
      <c r="S7" s="90"/>
      <c r="T7" s="55"/>
      <c r="U7" s="35"/>
      <c r="V7" s="57"/>
      <c r="W7" s="54"/>
      <c r="X7" s="36"/>
      <c r="Y7" s="35"/>
      <c r="Z7" s="36"/>
      <c r="AA7" s="36"/>
      <c r="AB7" s="36"/>
      <c r="AC7" s="54"/>
      <c r="AD7" s="36"/>
      <c r="AE7" s="35"/>
      <c r="AF7" s="36"/>
      <c r="AG7" s="36"/>
      <c r="AH7" s="36"/>
      <c r="AI7" s="54"/>
      <c r="AJ7" s="54"/>
      <c r="AK7" s="54"/>
      <c r="AL7" s="54"/>
      <c r="AM7" s="54"/>
      <c r="AN7" s="54"/>
      <c r="AO7" s="251" t="s">
        <v>110</v>
      </c>
      <c r="AP7" s="252"/>
      <c r="AQ7" s="252"/>
      <c r="AR7" s="252"/>
      <c r="AS7" s="253"/>
      <c r="AT7" s="56"/>
      <c r="AU7" s="13"/>
      <c r="AV7" s="81"/>
      <c r="BS7"/>
      <c r="BT7"/>
      <c r="BU7"/>
    </row>
    <row r="8" spans="1:73" s="5" customFormat="1" ht="23.25" customHeight="1" x14ac:dyDescent="0.2">
      <c r="A8" s="181" t="str">
        <f>Basis!C1</f>
        <v>LA/2022-10-12</v>
      </c>
      <c r="B8" s="19"/>
      <c r="C8" s="20"/>
      <c r="D8" s="42" t="s">
        <v>86</v>
      </c>
      <c r="E8" s="15" t="s">
        <v>84</v>
      </c>
      <c r="F8" s="16"/>
      <c r="G8" s="15" t="s">
        <v>85</v>
      </c>
      <c r="H8" s="254" t="str">
        <f>I2&amp;"/"&amp;I3&amp;"/"&amp;I4&amp;"º"</f>
        <v>140/120/65º</v>
      </c>
      <c r="I8" s="255"/>
      <c r="J8" s="256"/>
      <c r="K8" s="27"/>
      <c r="L8" s="27"/>
      <c r="M8" s="250"/>
      <c r="N8" s="118" t="s">
        <v>118</v>
      </c>
      <c r="P8" s="121" t="s">
        <v>49</v>
      </c>
      <c r="R8" s="58" t="s">
        <v>93</v>
      </c>
      <c r="S8" s="90"/>
      <c r="T8" s="40"/>
      <c r="U8" s="35"/>
      <c r="V8" s="40"/>
      <c r="X8" s="58" t="s">
        <v>92</v>
      </c>
      <c r="Y8" s="35"/>
      <c r="Z8" s="36"/>
      <c r="AA8" s="36"/>
      <c r="AB8" s="36"/>
      <c r="AD8" s="58" t="s">
        <v>140</v>
      </c>
      <c r="AE8" s="35"/>
      <c r="AF8" s="36"/>
      <c r="AG8" s="36"/>
      <c r="AH8" s="36"/>
      <c r="AJ8" s="257" t="s">
        <v>98</v>
      </c>
      <c r="AK8" s="258"/>
      <c r="AL8" s="258"/>
      <c r="AM8" s="35"/>
      <c r="AO8" s="251" t="s">
        <v>100</v>
      </c>
      <c r="AP8" s="252"/>
      <c r="AQ8" s="252"/>
      <c r="AR8" s="252"/>
      <c r="AS8" s="253"/>
      <c r="AT8" s="41"/>
      <c r="AU8" s="14"/>
      <c r="AV8" s="82"/>
      <c r="BS8"/>
      <c r="BT8"/>
      <c r="BU8"/>
    </row>
    <row r="9" spans="1:73" s="4" customFormat="1" ht="38.25" customHeight="1" x14ac:dyDescent="0.2">
      <c r="A9" s="59" t="s">
        <v>22</v>
      </c>
      <c r="B9" s="59" t="s">
        <v>0</v>
      </c>
      <c r="C9" s="59" t="s">
        <v>87</v>
      </c>
      <c r="D9" s="60" t="str">
        <f>"H in "&amp;CHOOSE(Basis!$E$1,"cm","inch")</f>
        <v>H in inch</v>
      </c>
      <c r="E9" s="60" t="str">
        <f>"L in "&amp;CHOOSE(Basis!$E$1,"cm","inch")</f>
        <v>L in inch</v>
      </c>
      <c r="F9" s="61" t="s">
        <v>1</v>
      </c>
      <c r="G9" s="60" t="str">
        <f>"D in "&amp;CHOOSE(Basis!$E$1,"cm","inch")</f>
        <v>D in inch</v>
      </c>
      <c r="H9" s="122" t="str">
        <f>"Heating in "&amp;CHOOSE(Basis!$E$1,"Watt","BTU/h")</f>
        <v>Heating in BTU/h</v>
      </c>
      <c r="I9" s="122" t="str">
        <f>CHOOSE(Basis!$E$1,"Watt/m¹","BTU/h per foot")</f>
        <v>BTU/h per foot</v>
      </c>
      <c r="J9" s="122" t="str">
        <f>"Flow in "&amp;CHOOSE(Basis!$E$1,"l/s","GPM")</f>
        <v>Flow in GPM</v>
      </c>
      <c r="K9" s="94"/>
      <c r="L9" s="60" t="str">
        <f>"Water side pressure drop "&amp;CHOOSE(Basis!$E$1,"[kPa]","ftH2O")</f>
        <v>Water side pressure drop ftH2O</v>
      </c>
      <c r="M9" s="60" t="s">
        <v>105</v>
      </c>
      <c r="N9" s="79">
        <v>1</v>
      </c>
      <c r="O9" s="64" t="s">
        <v>99</v>
      </c>
      <c r="P9" s="79">
        <v>1</v>
      </c>
      <c r="Q9" s="64" t="s">
        <v>99</v>
      </c>
      <c r="R9" s="79">
        <v>1</v>
      </c>
      <c r="S9" s="79">
        <v>0.8</v>
      </c>
      <c r="T9" s="79">
        <v>0.6</v>
      </c>
      <c r="U9" s="79">
        <v>0.4</v>
      </c>
      <c r="V9" s="79">
        <v>0.2</v>
      </c>
      <c r="W9" s="64" t="s">
        <v>99</v>
      </c>
      <c r="X9" s="79">
        <v>1</v>
      </c>
      <c r="Y9" s="79">
        <v>0.8</v>
      </c>
      <c r="Z9" s="79">
        <v>0.6</v>
      </c>
      <c r="AA9" s="79">
        <v>0.4</v>
      </c>
      <c r="AB9" s="79">
        <v>0.2</v>
      </c>
      <c r="AC9" s="64" t="s">
        <v>99</v>
      </c>
      <c r="AD9" s="79">
        <v>1</v>
      </c>
      <c r="AE9" s="79">
        <v>0.8</v>
      </c>
      <c r="AF9" s="79">
        <v>0.6</v>
      </c>
      <c r="AG9" s="79">
        <v>0.4</v>
      </c>
      <c r="AH9" s="79">
        <v>0.2</v>
      </c>
      <c r="AI9" s="64" t="s">
        <v>99</v>
      </c>
      <c r="AJ9" s="79" t="s">
        <v>2959</v>
      </c>
      <c r="AK9" s="79" t="s">
        <v>2960</v>
      </c>
      <c r="AL9" s="79" t="s">
        <v>2961</v>
      </c>
      <c r="AM9" s="79" t="s">
        <v>2962</v>
      </c>
      <c r="AN9" s="64" t="s">
        <v>99</v>
      </c>
      <c r="AO9" s="79">
        <v>1</v>
      </c>
      <c r="AP9" s="79">
        <v>0.8</v>
      </c>
      <c r="AQ9" s="79">
        <v>0.6</v>
      </c>
      <c r="AR9" s="79">
        <v>0.4</v>
      </c>
      <c r="AS9" s="79">
        <v>0.2</v>
      </c>
      <c r="AT9" s="64" t="s">
        <v>99</v>
      </c>
      <c r="AU9" s="65" t="s">
        <v>28</v>
      </c>
      <c r="AV9" s="66" t="s">
        <v>2</v>
      </c>
      <c r="AZ9" s="32"/>
      <c r="BS9"/>
      <c r="BT9"/>
      <c r="BU9"/>
    </row>
    <row r="10" spans="1:73" ht="12.75" customHeight="1" x14ac:dyDescent="0.25">
      <c r="A10" s="72" t="s">
        <v>23</v>
      </c>
      <c r="B10" s="43" t="s">
        <v>159</v>
      </c>
      <c r="C10" s="44" t="s">
        <v>160</v>
      </c>
      <c r="D10" s="45">
        <f>MROUND(MID($C10,6,3)/Basis!$E$3,0.5)</f>
        <v>8</v>
      </c>
      <c r="E10" s="45">
        <f>MROUND(MID($C10,9,3)/Basis!$E$3,0.5)</f>
        <v>15.5</v>
      </c>
      <c r="F10" s="124" t="s">
        <v>2943</v>
      </c>
      <c r="G10" s="45">
        <f>ROUND((ROUNDDOWN($F10/5,0)*5+1.8)/Basis!$E$3,1)</f>
        <v>4.5999999999999996</v>
      </c>
      <c r="H10" s="120">
        <f>ROUND($P10*Basis!$E$2*((TaH-TrH)/LN(1/µ)/Basis!$E$7)^$N10*$AA$4*Glycol,0)</f>
        <v>561</v>
      </c>
      <c r="I10" s="83">
        <f>ROUND(H10/(MID($C10,9,3)/Basis!$E$3/Basis!$E$9)*Basis!$E$11,0)</f>
        <v>427</v>
      </c>
      <c r="J10" s="123">
        <f>IF(Basis!$E$1=1,ROUND(H10/((TaH-TrH)*1.163)/3600,3),ROUND(H10/(500*(TaH-TrH)),2))</f>
        <v>0.06</v>
      </c>
      <c r="K10" s="84"/>
      <c r="L10" s="177">
        <f>CHOOSE(Basis!$E$1,((AJ10*(J10*3600/Basis!$E$5)^AK10*(((MID(C10,9,3)*10)-144)/1000)*AL10+AM10*(J10*3600/Basis!$E$5)^2)*0.0098)/Basis!$E$10,((AJ10*(J10/Basis!$E$5)^AK10*(((MID(C10,9,3)*10)-144)/1000)*AL10+AM10*(J10/Basis!$E$5)^2)*0.0098)/Basis!$E$10)</f>
        <v>2.8474846036427072E-4</v>
      </c>
      <c r="M10" s="85"/>
      <c r="N10" s="110">
        <v>1.413</v>
      </c>
      <c r="O10" s="74"/>
      <c r="P10" s="73">
        <v>262</v>
      </c>
      <c r="Q10" s="74"/>
      <c r="R10" s="75"/>
      <c r="S10" s="75"/>
      <c r="T10" s="75"/>
      <c r="U10" s="75"/>
      <c r="V10" s="75"/>
      <c r="W10" s="74"/>
      <c r="X10" s="76"/>
      <c r="Y10" s="76"/>
      <c r="Z10" s="76"/>
      <c r="AA10" s="76"/>
      <c r="AB10" s="76"/>
      <c r="AC10" s="74"/>
      <c r="AD10" s="77"/>
      <c r="AE10" s="77"/>
      <c r="AF10" s="77"/>
      <c r="AG10" s="77"/>
      <c r="AH10" s="77"/>
      <c r="AI10" s="68"/>
      <c r="AJ10" s="213">
        <v>3.9689999999999994E-4</v>
      </c>
      <c r="AK10" s="213">
        <v>1.7345999999999999</v>
      </c>
      <c r="AL10" s="213">
        <v>2</v>
      </c>
      <c r="AM10" s="213">
        <v>3.6734700000000002E-4</v>
      </c>
      <c r="AN10" s="74"/>
      <c r="AO10" s="73"/>
      <c r="AP10" s="73"/>
      <c r="AQ10" s="73"/>
      <c r="AR10" s="73"/>
      <c r="AS10" s="73"/>
      <c r="AT10" s="74"/>
      <c r="AU10" s="47"/>
      <c r="AV10" s="48"/>
    </row>
    <row r="11" spans="1:73" ht="12.75" customHeight="1" x14ac:dyDescent="0.25">
      <c r="A11" s="72" t="s">
        <v>23</v>
      </c>
      <c r="B11" s="43" t="s">
        <v>159</v>
      </c>
      <c r="C11" s="44" t="s">
        <v>161</v>
      </c>
      <c r="D11" s="45">
        <f>MROUND(MID($C11,6,3)/Basis!$E$3,0.5)</f>
        <v>8</v>
      </c>
      <c r="E11" s="45">
        <f>MROUND(MID($C11,9,3)/Basis!$E$3,0.5)</f>
        <v>15.5</v>
      </c>
      <c r="F11" s="124" t="s">
        <v>2944</v>
      </c>
      <c r="G11" s="45">
        <f>ROUND((ROUNDDOWN($F11/5,0)*5+1.8)/Basis!$E$3,1)</f>
        <v>6.6</v>
      </c>
      <c r="H11" s="120">
        <f>ROUND($P11*Basis!$E$2*((TaH-TrH)/LN(1/µ)/Basis!$E$7)^$N11*$AA$4*Glycol,0)</f>
        <v>935</v>
      </c>
      <c r="I11" s="83">
        <f>ROUND(H11/(MID($C11,9,3)/Basis!$E$3/Basis!$E$9)*Basis!$E$11,0)</f>
        <v>712</v>
      </c>
      <c r="J11" s="123">
        <f>IF(Basis!$E$1=1,ROUND(H11/((TaH-TrH)*1.163)/3600,3),ROUND(H11/(500*(TaH-TrH)),2))</f>
        <v>0.09</v>
      </c>
      <c r="K11" s="84"/>
      <c r="L11" s="177">
        <f>CHOOSE(Basis!$E$1,((AJ11*(J11*3600/Basis!$E$5)^AK11*(((MID(C11,9,3)*10)-144)/1000)*AL11+AM11*(J11*3600/Basis!$E$5)^2)*0.0098)/Basis!$E$10,((AJ11*(J11/Basis!$E$5)^AK11*(((MID(C11,9,3)*10)-144)/1000)*AL11+AM11*(J11/Basis!$E$5)^2)*0.0098)/Basis!$E$10)</f>
        <v>6.9431914471958277E-4</v>
      </c>
      <c r="M11" s="85"/>
      <c r="N11" s="109">
        <v>1.4079999999999999</v>
      </c>
      <c r="O11" s="68"/>
      <c r="P11" s="67">
        <v>436</v>
      </c>
      <c r="Q11" s="68"/>
      <c r="R11" s="69"/>
      <c r="S11" s="69"/>
      <c r="T11" s="69"/>
      <c r="U11" s="69"/>
      <c r="V11" s="69"/>
      <c r="W11" s="68"/>
      <c r="X11" s="70"/>
      <c r="Y11" s="70"/>
      <c r="Z11" s="70"/>
      <c r="AA11" s="70"/>
      <c r="AB11" s="70"/>
      <c r="AC11" s="68"/>
      <c r="AD11" s="71"/>
      <c r="AE11" s="71"/>
      <c r="AF11" s="71"/>
      <c r="AG11" s="71"/>
      <c r="AH11" s="71"/>
      <c r="AI11" s="68"/>
      <c r="AJ11" s="214">
        <v>2.0829999999999999E-4</v>
      </c>
      <c r="AK11" s="214">
        <v>1.724</v>
      </c>
      <c r="AL11" s="214">
        <v>2</v>
      </c>
      <c r="AM11" s="214">
        <v>4.6182900000000003E-4</v>
      </c>
      <c r="AN11" s="68"/>
      <c r="AO11" s="67"/>
      <c r="AP11" s="67"/>
      <c r="AQ11" s="67"/>
      <c r="AR11" s="67"/>
      <c r="AS11" s="67"/>
      <c r="AT11" s="68"/>
      <c r="AU11" s="49"/>
      <c r="AV11" s="50"/>
    </row>
    <row r="12" spans="1:73" ht="12.75" customHeight="1" x14ac:dyDescent="0.25">
      <c r="A12" s="72" t="s">
        <v>23</v>
      </c>
      <c r="B12" s="43" t="s">
        <v>159</v>
      </c>
      <c r="C12" s="44" t="s">
        <v>162</v>
      </c>
      <c r="D12" s="45">
        <f>MROUND(MID($C12,6,3)/Basis!$E$3,0.5)</f>
        <v>8</v>
      </c>
      <c r="E12" s="45">
        <f>MROUND(MID($C12,9,3)/Basis!$E$3,0.5)</f>
        <v>15.5</v>
      </c>
      <c r="F12" s="124" t="s">
        <v>2945</v>
      </c>
      <c r="G12" s="45">
        <f>ROUND((ROUNDDOWN($F12/5,0)*5+1.8)/Basis!$E$3,1)</f>
        <v>8.6</v>
      </c>
      <c r="H12" s="120">
        <f>ROUND($P12*Basis!$E$2*((TaH-TrH)/LN(1/µ)/Basis!$E$7)^$N12*$AA$4*Glycol,0)</f>
        <v>1314</v>
      </c>
      <c r="I12" s="83">
        <f>ROUND(H12/(MID($C12,9,3)/Basis!$E$3/Basis!$E$9)*Basis!$E$11,0)</f>
        <v>1001</v>
      </c>
      <c r="J12" s="123">
        <f>IF(Basis!$E$1=1,ROUND(H12/((TaH-TrH)*1.163)/3600,3),ROUND(H12/(500*(TaH-TrH)),2))</f>
        <v>0.13</v>
      </c>
      <c r="K12" s="84"/>
      <c r="L12" s="177">
        <f>CHOOSE(Basis!$E$1,((AJ12*(J12*3600/Basis!$E$5)^AK12*(((MID(C12,9,3)*10)-144)/1000)*AL12+AM12*(J12*3600/Basis!$E$5)^2)*0.0098)/Basis!$E$10,((AJ12*(J12/Basis!$E$5)^AK12*(((MID(C12,9,3)*10)-144)/1000)*AL12+AM12*(J12/Basis!$E$5)^2)*0.0098)/Basis!$E$10)</f>
        <v>1.1461799885465977E-3</v>
      </c>
      <c r="M12" s="85"/>
      <c r="N12" s="110">
        <v>1.4079999999999999</v>
      </c>
      <c r="O12" s="74"/>
      <c r="P12" s="73">
        <v>613</v>
      </c>
      <c r="Q12" s="74"/>
      <c r="R12" s="75"/>
      <c r="S12" s="75"/>
      <c r="T12" s="75"/>
      <c r="U12" s="75"/>
      <c r="V12" s="75"/>
      <c r="W12" s="74"/>
      <c r="X12" s="76"/>
      <c r="Y12" s="76"/>
      <c r="Z12" s="76"/>
      <c r="AA12" s="76"/>
      <c r="AB12" s="76"/>
      <c r="AC12" s="74"/>
      <c r="AD12" s="77"/>
      <c r="AE12" s="77"/>
      <c r="AF12" s="77"/>
      <c r="AG12" s="77"/>
      <c r="AH12" s="77"/>
      <c r="AI12" s="68"/>
      <c r="AJ12" s="213">
        <v>1.2760000000000001E-4</v>
      </c>
      <c r="AK12" s="213">
        <v>1.7219</v>
      </c>
      <c r="AL12" s="213">
        <v>2</v>
      </c>
      <c r="AM12" s="213">
        <v>3.76611E-4</v>
      </c>
      <c r="AN12" s="74"/>
      <c r="AO12" s="73"/>
      <c r="AP12" s="73"/>
      <c r="AQ12" s="73"/>
      <c r="AR12" s="73"/>
      <c r="AS12" s="73"/>
      <c r="AT12" s="74"/>
      <c r="AU12" s="47"/>
      <c r="AV12" s="48"/>
    </row>
    <row r="13" spans="1:73" ht="12.75" customHeight="1" x14ac:dyDescent="0.25">
      <c r="A13" s="72" t="s">
        <v>23</v>
      </c>
      <c r="B13" s="43" t="s">
        <v>159</v>
      </c>
      <c r="C13" s="44" t="s">
        <v>163</v>
      </c>
      <c r="D13" s="45">
        <f>MROUND(MID($C13,6,3)/Basis!$E$3,0.5)</f>
        <v>8</v>
      </c>
      <c r="E13" s="45">
        <f>MROUND(MID($C13,9,3)/Basis!$E$3,0.5)</f>
        <v>19.5</v>
      </c>
      <c r="F13" s="124" t="s">
        <v>2943</v>
      </c>
      <c r="G13" s="45">
        <f>ROUND((ROUNDDOWN($F13/5,0)*5+1.8)/Basis!$E$3,1)</f>
        <v>4.5999999999999996</v>
      </c>
      <c r="H13" s="120">
        <f>ROUND($P13*Basis!$E$2*((TaH-TrH)/LN(1/µ)/Basis!$E$7)^$N13*$AA$4*Glycol,0)</f>
        <v>702</v>
      </c>
      <c r="I13" s="83">
        <f>ROUND(H13/(MID($C13,9,3)/Basis!$E$3/Basis!$E$9)*Basis!$E$11,0)</f>
        <v>428</v>
      </c>
      <c r="J13" s="123">
        <f>IF(Basis!$E$1=1,ROUND(H13/((TaH-TrH)*1.163)/3600,3),ROUND(H13/(500*(TaH-TrH)),2))</f>
        <v>7.0000000000000007E-2</v>
      </c>
      <c r="K13" s="84"/>
      <c r="L13" s="177">
        <f>CHOOSE(Basis!$E$1,((AJ13*(J13*3600/Basis!$E$5)^AK13*(((MID(C13,9,3)*10)-144)/1000)*AL13+AM13*(J13*3600/Basis!$E$5)^2)*0.0098)/Basis!$E$10,((AJ13*(J13/Basis!$E$5)^AK13*(((MID(C13,9,3)*10)-144)/1000)*AL13+AM13*(J13/Basis!$E$5)^2)*0.0098)/Basis!$E$10)</f>
        <v>4.1569358515581553E-4</v>
      </c>
      <c r="M13" s="85"/>
      <c r="N13" s="109">
        <v>1.413</v>
      </c>
      <c r="O13" s="68"/>
      <c r="P13" s="67">
        <v>328</v>
      </c>
      <c r="Q13" s="68"/>
      <c r="R13" s="69"/>
      <c r="S13" s="69"/>
      <c r="T13" s="69"/>
      <c r="U13" s="69"/>
      <c r="V13" s="69"/>
      <c r="W13" s="68"/>
      <c r="X13" s="70"/>
      <c r="Y13" s="70"/>
      <c r="Z13" s="70"/>
      <c r="AA13" s="70"/>
      <c r="AB13" s="70"/>
      <c r="AC13" s="68"/>
      <c r="AD13" s="71"/>
      <c r="AE13" s="71"/>
      <c r="AF13" s="71"/>
      <c r="AG13" s="71"/>
      <c r="AH13" s="71"/>
      <c r="AI13" s="68"/>
      <c r="AJ13" s="214">
        <v>3.9689999999999994E-4</v>
      </c>
      <c r="AK13" s="214">
        <v>1.7345999999999999</v>
      </c>
      <c r="AL13" s="214">
        <v>2</v>
      </c>
      <c r="AM13" s="214">
        <v>3.6734700000000002E-4</v>
      </c>
      <c r="AN13" s="68"/>
      <c r="AO13" s="67"/>
      <c r="AP13" s="67"/>
      <c r="AQ13" s="67"/>
      <c r="AR13" s="67"/>
      <c r="AS13" s="67"/>
      <c r="AT13" s="68"/>
      <c r="AU13" s="49"/>
      <c r="AV13" s="50"/>
    </row>
    <row r="14" spans="1:73" ht="12.75" customHeight="1" x14ac:dyDescent="0.25">
      <c r="A14" s="72" t="s">
        <v>23</v>
      </c>
      <c r="B14" s="43" t="s">
        <v>159</v>
      </c>
      <c r="C14" s="44" t="s">
        <v>164</v>
      </c>
      <c r="D14" s="45">
        <f>MROUND(MID($C14,6,3)/Basis!$E$3,0.5)</f>
        <v>8</v>
      </c>
      <c r="E14" s="45">
        <f>MROUND(MID($C14,9,3)/Basis!$E$3,0.5)</f>
        <v>19.5</v>
      </c>
      <c r="F14" s="124" t="s">
        <v>2944</v>
      </c>
      <c r="G14" s="45">
        <f>ROUND((ROUNDDOWN($F14/5,0)*5+1.8)/Basis!$E$3,1)</f>
        <v>6.6</v>
      </c>
      <c r="H14" s="120">
        <f>ROUND($P14*Basis!$E$2*((TaH-TrH)/LN(1/µ)/Basis!$E$7)^$N14*$AA$4*Glycol,0)</f>
        <v>1168</v>
      </c>
      <c r="I14" s="83">
        <f>ROUND(H14/(MID($C14,9,3)/Basis!$E$3/Basis!$E$9)*Basis!$E$11,0)</f>
        <v>712</v>
      </c>
      <c r="J14" s="123">
        <f>IF(Basis!$E$1=1,ROUND(H14/((TaH-TrH)*1.163)/3600,3),ROUND(H14/(500*(TaH-TrH)),2))</f>
        <v>0.12</v>
      </c>
      <c r="K14" s="84"/>
      <c r="L14" s="177">
        <f>CHOOSE(Basis!$E$1,((AJ14*(J14*3600/Basis!$E$5)^AK14*(((MID(C14,9,3)*10)-144)/1000)*AL14+AM14*(J14*3600/Basis!$E$5)^2)*0.0098)/Basis!$E$10,((AJ14*(J14/Basis!$E$5)^AK14*(((MID(C14,9,3)*10)-144)/1000)*AL14+AM14*(J14/Basis!$E$5)^2)*0.0098)/Basis!$E$10)</f>
        <v>1.2663866798291782E-3</v>
      </c>
      <c r="M14" s="85"/>
      <c r="N14" s="110">
        <v>1.4079999999999999</v>
      </c>
      <c r="O14" s="74"/>
      <c r="P14" s="73">
        <v>545</v>
      </c>
      <c r="Q14" s="74"/>
      <c r="R14" s="75"/>
      <c r="S14" s="75"/>
      <c r="T14" s="75"/>
      <c r="U14" s="75"/>
      <c r="V14" s="75"/>
      <c r="W14" s="74"/>
      <c r="X14" s="76"/>
      <c r="Y14" s="76"/>
      <c r="Z14" s="76"/>
      <c r="AA14" s="76"/>
      <c r="AB14" s="76"/>
      <c r="AC14" s="74"/>
      <c r="AD14" s="77"/>
      <c r="AE14" s="77"/>
      <c r="AF14" s="77"/>
      <c r="AG14" s="77"/>
      <c r="AH14" s="77"/>
      <c r="AI14" s="68"/>
      <c r="AJ14" s="213">
        <v>2.0829999999999999E-4</v>
      </c>
      <c r="AK14" s="213">
        <v>1.724</v>
      </c>
      <c r="AL14" s="213">
        <v>2</v>
      </c>
      <c r="AM14" s="213">
        <v>4.6182900000000003E-4</v>
      </c>
      <c r="AN14" s="74"/>
      <c r="AO14" s="73"/>
      <c r="AP14" s="73"/>
      <c r="AQ14" s="73"/>
      <c r="AR14" s="73"/>
      <c r="AS14" s="73"/>
      <c r="AT14" s="74"/>
      <c r="AU14" s="47"/>
      <c r="AV14" s="48"/>
    </row>
    <row r="15" spans="1:73" ht="12.75" customHeight="1" x14ac:dyDescent="0.25">
      <c r="A15" s="72" t="s">
        <v>23</v>
      </c>
      <c r="B15" s="43" t="s">
        <v>159</v>
      </c>
      <c r="C15" s="44" t="s">
        <v>165</v>
      </c>
      <c r="D15" s="45">
        <f>MROUND(MID($C15,6,3)/Basis!$E$3,0.5)</f>
        <v>8</v>
      </c>
      <c r="E15" s="45">
        <f>MROUND(MID($C15,9,3)/Basis!$E$3,0.5)</f>
        <v>19.5</v>
      </c>
      <c r="F15" s="124" t="s">
        <v>2945</v>
      </c>
      <c r="G15" s="45">
        <f>ROUND((ROUNDDOWN($F15/5,0)*5+1.8)/Basis!$E$3,1)</f>
        <v>8.6</v>
      </c>
      <c r="H15" s="120">
        <f>ROUND($P15*Basis!$E$2*((TaH-TrH)/LN(1/µ)/Basis!$E$7)^$N15*$AA$4*Glycol,0)</f>
        <v>1642</v>
      </c>
      <c r="I15" s="83">
        <f>ROUND(H15/(MID($C15,9,3)/Basis!$E$3/Basis!$E$9)*Basis!$E$11,0)</f>
        <v>1001</v>
      </c>
      <c r="J15" s="123">
        <f>IF(Basis!$E$1=1,ROUND(H15/((TaH-TrH)*1.163)/3600,3),ROUND(H15/(500*(TaH-TrH)),2))</f>
        <v>0.16</v>
      </c>
      <c r="K15" s="84"/>
      <c r="L15" s="177">
        <f>CHOOSE(Basis!$E$1,((AJ15*(J15*3600/Basis!$E$5)^AK15*(((MID(C15,9,3)*10)-144)/1000)*AL15+AM15*(J15*3600/Basis!$E$5)^2)*0.0098)/Basis!$E$10,((AJ15*(J15/Basis!$E$5)^AK15*(((MID(C15,9,3)*10)-144)/1000)*AL15+AM15*(J15/Basis!$E$5)^2)*0.0098)/Basis!$E$10)</f>
        <v>1.7706226073942659E-3</v>
      </c>
      <c r="M15" s="85"/>
      <c r="N15" s="109">
        <v>1.4079999999999999</v>
      </c>
      <c r="O15" s="68"/>
      <c r="P15" s="67">
        <v>766</v>
      </c>
      <c r="Q15" s="68"/>
      <c r="R15" s="69"/>
      <c r="S15" s="69"/>
      <c r="T15" s="69"/>
      <c r="U15" s="69"/>
      <c r="V15" s="69"/>
      <c r="W15" s="68"/>
      <c r="X15" s="70"/>
      <c r="Y15" s="70"/>
      <c r="Z15" s="70"/>
      <c r="AA15" s="70"/>
      <c r="AB15" s="70"/>
      <c r="AC15" s="68"/>
      <c r="AD15" s="71"/>
      <c r="AE15" s="71"/>
      <c r="AF15" s="71"/>
      <c r="AG15" s="71"/>
      <c r="AH15" s="71"/>
      <c r="AI15" s="68"/>
      <c r="AJ15" s="214">
        <v>1.2760000000000001E-4</v>
      </c>
      <c r="AK15" s="214">
        <v>1.7219</v>
      </c>
      <c r="AL15" s="214">
        <v>2</v>
      </c>
      <c r="AM15" s="214">
        <v>3.76611E-4</v>
      </c>
      <c r="AN15" s="68"/>
      <c r="AO15" s="67"/>
      <c r="AP15" s="67"/>
      <c r="AQ15" s="67"/>
      <c r="AR15" s="67"/>
      <c r="AS15" s="67"/>
      <c r="AT15" s="68"/>
      <c r="AU15" s="49"/>
      <c r="AV15" s="50"/>
    </row>
    <row r="16" spans="1:73" ht="12.75" customHeight="1" x14ac:dyDescent="0.25">
      <c r="A16" s="72" t="s">
        <v>23</v>
      </c>
      <c r="B16" s="43" t="s">
        <v>159</v>
      </c>
      <c r="C16" s="44" t="s">
        <v>166</v>
      </c>
      <c r="D16" s="45">
        <f>MROUND(MID($C16,6,3)/Basis!$E$3,0.5)</f>
        <v>8</v>
      </c>
      <c r="E16" s="45">
        <f>MROUND(MID($C16,9,3)/Basis!$E$3,0.5)</f>
        <v>23.5</v>
      </c>
      <c r="F16" s="124" t="s">
        <v>2943</v>
      </c>
      <c r="G16" s="45">
        <f>ROUND((ROUNDDOWN($F16/5,0)*5+1.8)/Basis!$E$3,1)</f>
        <v>4.5999999999999996</v>
      </c>
      <c r="H16" s="120">
        <f>ROUND($P16*Basis!$E$2*((TaH-TrH)/LN(1/µ)/Basis!$E$7)^$N16*$AA$4*Glycol,0)</f>
        <v>841</v>
      </c>
      <c r="I16" s="83">
        <f>ROUND(H16/(MID($C16,9,3)/Basis!$E$3/Basis!$E$9)*Basis!$E$11,0)</f>
        <v>427</v>
      </c>
      <c r="J16" s="123">
        <f>IF(Basis!$E$1=1,ROUND(H16/((TaH-TrH)*1.163)/3600,3),ROUND(H16/(500*(TaH-TrH)),2))</f>
        <v>0.08</v>
      </c>
      <c r="K16" s="84"/>
      <c r="L16" s="177">
        <f>CHOOSE(Basis!$E$1,((AJ16*(J16*3600/Basis!$E$5)^AK16*(((MID(C16,9,3)*10)-144)/1000)*AL16+AM16*(J16*3600/Basis!$E$5)^2)*0.0098)/Basis!$E$10,((AJ16*(J16/Basis!$E$5)^AK16*(((MID(C16,9,3)*10)-144)/1000)*AL16+AM16*(J16/Basis!$E$5)^2)*0.0098)/Basis!$E$10)</f>
        <v>5.7754099344955914E-4</v>
      </c>
      <c r="M16" s="85"/>
      <c r="N16" s="110">
        <v>1.413</v>
      </c>
      <c r="O16" s="74"/>
      <c r="P16" s="73">
        <v>393</v>
      </c>
      <c r="Q16" s="74"/>
      <c r="R16" s="75"/>
      <c r="S16" s="75"/>
      <c r="T16" s="75"/>
      <c r="U16" s="75"/>
      <c r="V16" s="75"/>
      <c r="W16" s="74"/>
      <c r="X16" s="76"/>
      <c r="Y16" s="76"/>
      <c r="Z16" s="76"/>
      <c r="AA16" s="76"/>
      <c r="AB16" s="76"/>
      <c r="AC16" s="74"/>
      <c r="AD16" s="77"/>
      <c r="AE16" s="77"/>
      <c r="AF16" s="77"/>
      <c r="AG16" s="77"/>
      <c r="AH16" s="77"/>
      <c r="AI16" s="68"/>
      <c r="AJ16" s="213">
        <v>3.9689999999999994E-4</v>
      </c>
      <c r="AK16" s="213">
        <v>1.7345999999999999</v>
      </c>
      <c r="AL16" s="213">
        <v>2</v>
      </c>
      <c r="AM16" s="213">
        <v>3.6734700000000002E-4</v>
      </c>
      <c r="AN16" s="74"/>
      <c r="AO16" s="73"/>
      <c r="AP16" s="73"/>
      <c r="AQ16" s="73"/>
      <c r="AR16" s="73"/>
      <c r="AS16" s="73"/>
      <c r="AT16" s="74"/>
      <c r="AU16" s="47"/>
      <c r="AV16" s="48"/>
    </row>
    <row r="17" spans="1:48" ht="12.75" customHeight="1" x14ac:dyDescent="0.25">
      <c r="A17" s="72" t="s">
        <v>23</v>
      </c>
      <c r="B17" s="43" t="s">
        <v>159</v>
      </c>
      <c r="C17" s="44" t="s">
        <v>167</v>
      </c>
      <c r="D17" s="45">
        <f>MROUND(MID($C17,6,3)/Basis!$E$3,0.5)</f>
        <v>8</v>
      </c>
      <c r="E17" s="45">
        <f>MROUND(MID($C17,9,3)/Basis!$E$3,0.5)</f>
        <v>23.5</v>
      </c>
      <c r="F17" s="124" t="s">
        <v>2944</v>
      </c>
      <c r="G17" s="45">
        <f>ROUND((ROUNDDOWN($F17/5,0)*5+1.8)/Basis!$E$3,1)</f>
        <v>6.6</v>
      </c>
      <c r="H17" s="120">
        <f>ROUND($P17*Basis!$E$2*((TaH-TrH)/LN(1/µ)/Basis!$E$7)^$N17*$AA$4*Glycol,0)</f>
        <v>1402</v>
      </c>
      <c r="I17" s="83">
        <f>ROUND(H17/(MID($C17,9,3)/Basis!$E$3/Basis!$E$9)*Basis!$E$11,0)</f>
        <v>712</v>
      </c>
      <c r="J17" s="123">
        <f>IF(Basis!$E$1=1,ROUND(H17/((TaH-TrH)*1.163)/3600,3),ROUND(H17/(500*(TaH-TrH)),2))</f>
        <v>0.14000000000000001</v>
      </c>
      <c r="K17" s="84"/>
      <c r="L17" s="177">
        <f>CHOOSE(Basis!$E$1,((AJ17*(J17*3600/Basis!$E$5)^AK17*(((MID(C17,9,3)*10)-144)/1000)*AL17+AM17*(J17*3600/Basis!$E$5)^2)*0.0098)/Basis!$E$10,((AJ17*(J17/Basis!$E$5)^AK17*(((MID(C17,9,3)*10)-144)/1000)*AL17+AM17*(J17/Basis!$E$5)^2)*0.0098)/Basis!$E$10)</f>
        <v>1.768500592062961E-3</v>
      </c>
      <c r="M17" s="85"/>
      <c r="N17" s="109">
        <v>1.4079999999999999</v>
      </c>
      <c r="O17" s="68"/>
      <c r="P17" s="67">
        <v>654</v>
      </c>
      <c r="Q17" s="68"/>
      <c r="R17" s="69"/>
      <c r="S17" s="69"/>
      <c r="T17" s="69"/>
      <c r="U17" s="69"/>
      <c r="V17" s="69"/>
      <c r="W17" s="68"/>
      <c r="X17" s="70"/>
      <c r="Y17" s="70"/>
      <c r="Z17" s="70"/>
      <c r="AA17" s="70"/>
      <c r="AB17" s="70"/>
      <c r="AC17" s="68"/>
      <c r="AD17" s="71"/>
      <c r="AE17" s="71"/>
      <c r="AF17" s="71"/>
      <c r="AG17" s="71"/>
      <c r="AH17" s="71"/>
      <c r="AI17" s="68"/>
      <c r="AJ17" s="214">
        <v>2.0829999999999999E-4</v>
      </c>
      <c r="AK17" s="214">
        <v>1.724</v>
      </c>
      <c r="AL17" s="214">
        <v>2</v>
      </c>
      <c r="AM17" s="214">
        <v>4.6182900000000003E-4</v>
      </c>
      <c r="AN17" s="68"/>
      <c r="AO17" s="67"/>
      <c r="AP17" s="67"/>
      <c r="AQ17" s="67"/>
      <c r="AR17" s="67"/>
      <c r="AS17" s="67"/>
      <c r="AT17" s="68"/>
      <c r="AU17" s="49"/>
      <c r="AV17" s="50"/>
    </row>
    <row r="18" spans="1:48" ht="12.75" customHeight="1" x14ac:dyDescent="0.25">
      <c r="A18" s="72" t="s">
        <v>23</v>
      </c>
      <c r="B18" s="43" t="s">
        <v>159</v>
      </c>
      <c r="C18" s="44" t="s">
        <v>168</v>
      </c>
      <c r="D18" s="45">
        <f>MROUND(MID($C18,6,3)/Basis!$E$3,0.5)</f>
        <v>8</v>
      </c>
      <c r="E18" s="45">
        <f>MROUND(MID($C18,9,3)/Basis!$E$3,0.5)</f>
        <v>23.5</v>
      </c>
      <c r="F18" s="124" t="s">
        <v>2945</v>
      </c>
      <c r="G18" s="45">
        <f>ROUND((ROUNDDOWN($F18/5,0)*5+1.8)/Basis!$E$3,1)</f>
        <v>8.6</v>
      </c>
      <c r="H18" s="120">
        <f>ROUND($P18*Basis!$E$2*((TaH-TrH)/LN(1/µ)/Basis!$E$7)^$N18*$AA$4*Glycol,0)</f>
        <v>1970</v>
      </c>
      <c r="I18" s="83">
        <f>ROUND(H18/(MID($C18,9,3)/Basis!$E$3/Basis!$E$9)*Basis!$E$11,0)</f>
        <v>1001</v>
      </c>
      <c r="J18" s="123">
        <f>IF(Basis!$E$1=1,ROUND(H18/((TaH-TrH)*1.163)/3600,3),ROUND(H18/(500*(TaH-TrH)),2))</f>
        <v>0.2</v>
      </c>
      <c r="K18" s="84"/>
      <c r="L18" s="177">
        <f>CHOOSE(Basis!$E$1,((AJ18*(J18*3600/Basis!$E$5)^AK18*(((MID(C18,9,3)*10)-144)/1000)*AL18+AM18*(J18*3600/Basis!$E$5)^2)*0.0098)/Basis!$E$10,((AJ18*(J18/Basis!$E$5)^AK18*(((MID(C18,9,3)*10)-144)/1000)*AL18+AM18*(J18/Basis!$E$5)^2)*0.0098)/Basis!$E$10)</f>
        <v>2.8125971646002544E-3</v>
      </c>
      <c r="M18" s="85"/>
      <c r="N18" s="110">
        <v>1.4079999999999999</v>
      </c>
      <c r="O18" s="74"/>
      <c r="P18" s="73">
        <v>919</v>
      </c>
      <c r="Q18" s="74"/>
      <c r="R18" s="75"/>
      <c r="S18" s="75"/>
      <c r="T18" s="75"/>
      <c r="U18" s="75"/>
      <c r="V18" s="75"/>
      <c r="W18" s="74"/>
      <c r="X18" s="76"/>
      <c r="Y18" s="76"/>
      <c r="Z18" s="76"/>
      <c r="AA18" s="76"/>
      <c r="AB18" s="76"/>
      <c r="AC18" s="74"/>
      <c r="AD18" s="77"/>
      <c r="AE18" s="77"/>
      <c r="AF18" s="77"/>
      <c r="AG18" s="77"/>
      <c r="AH18" s="77"/>
      <c r="AI18" s="68"/>
      <c r="AJ18" s="213">
        <v>1.2760000000000001E-4</v>
      </c>
      <c r="AK18" s="213">
        <v>1.7219</v>
      </c>
      <c r="AL18" s="213">
        <v>2</v>
      </c>
      <c r="AM18" s="213">
        <v>3.76611E-4</v>
      </c>
      <c r="AN18" s="74"/>
      <c r="AO18" s="73"/>
      <c r="AP18" s="73"/>
      <c r="AQ18" s="73"/>
      <c r="AR18" s="73"/>
      <c r="AS18" s="73"/>
      <c r="AT18" s="74"/>
      <c r="AU18" s="47"/>
      <c r="AV18" s="48"/>
    </row>
    <row r="19" spans="1:48" ht="12.75" customHeight="1" x14ac:dyDescent="0.25">
      <c r="A19" s="72" t="s">
        <v>23</v>
      </c>
      <c r="B19" s="43" t="s">
        <v>159</v>
      </c>
      <c r="C19" s="44" t="s">
        <v>169</v>
      </c>
      <c r="D19" s="45">
        <f>MROUND(MID($C19,6,3)/Basis!$E$3,0.5)</f>
        <v>8</v>
      </c>
      <c r="E19" s="45">
        <f>MROUND(MID($C19,9,3)/Basis!$E$3,0.5)</f>
        <v>27.5</v>
      </c>
      <c r="F19" s="124" t="s">
        <v>2943</v>
      </c>
      <c r="G19" s="45">
        <f>ROUND((ROUNDDOWN($F19/5,0)*5+1.8)/Basis!$E$3,1)</f>
        <v>4.5999999999999996</v>
      </c>
      <c r="H19" s="120">
        <f>ROUND($P19*Basis!$E$2*((TaH-TrH)/LN(1/µ)/Basis!$E$7)^$N19*$AA$4*Glycol,0)</f>
        <v>982</v>
      </c>
      <c r="I19" s="83">
        <f>ROUND(H19/(MID($C19,9,3)/Basis!$E$3/Basis!$E$9)*Basis!$E$11,0)</f>
        <v>428</v>
      </c>
      <c r="J19" s="123">
        <f>IF(Basis!$E$1=1,ROUND(H19/((TaH-TrH)*1.163)/3600,3),ROUND(H19/(500*(TaH-TrH)),2))</f>
        <v>0.1</v>
      </c>
      <c r="K19" s="84"/>
      <c r="L19" s="177">
        <f>CHOOSE(Basis!$E$1,((AJ19*(J19*3600/Basis!$E$5)^AK19*(((MID(C19,9,3)*10)-144)/1000)*AL19+AM19*(J19*3600/Basis!$E$5)^2)*0.0098)/Basis!$E$10,((AJ19*(J19/Basis!$E$5)^AK19*(((MID(C19,9,3)*10)-144)/1000)*AL19+AM19*(J19/Basis!$E$5)^2)*0.0098)/Basis!$E$10)</f>
        <v>9.4459789792957979E-4</v>
      </c>
      <c r="M19" s="85"/>
      <c r="N19" s="109">
        <v>1.413</v>
      </c>
      <c r="O19" s="68"/>
      <c r="P19" s="67">
        <v>459</v>
      </c>
      <c r="Q19" s="68"/>
      <c r="R19" s="69"/>
      <c r="S19" s="69"/>
      <c r="T19" s="69"/>
      <c r="U19" s="69"/>
      <c r="V19" s="69"/>
      <c r="W19" s="68"/>
      <c r="X19" s="70"/>
      <c r="Y19" s="70"/>
      <c r="Z19" s="70"/>
      <c r="AA19" s="70"/>
      <c r="AB19" s="70"/>
      <c r="AC19" s="68"/>
      <c r="AD19" s="71"/>
      <c r="AE19" s="71"/>
      <c r="AF19" s="71"/>
      <c r="AG19" s="71"/>
      <c r="AH19" s="71"/>
      <c r="AI19" s="68"/>
      <c r="AJ19" s="214">
        <v>3.9689999999999994E-4</v>
      </c>
      <c r="AK19" s="214">
        <v>1.7345999999999999</v>
      </c>
      <c r="AL19" s="214">
        <v>2</v>
      </c>
      <c r="AM19" s="214">
        <v>3.6734700000000002E-4</v>
      </c>
      <c r="AN19" s="68"/>
      <c r="AO19" s="67"/>
      <c r="AP19" s="67"/>
      <c r="AQ19" s="67"/>
      <c r="AR19" s="67"/>
      <c r="AS19" s="67"/>
      <c r="AT19" s="68"/>
      <c r="AU19" s="49"/>
      <c r="AV19" s="50"/>
    </row>
    <row r="20" spans="1:48" ht="12.75" customHeight="1" x14ac:dyDescent="0.25">
      <c r="A20" s="72" t="s">
        <v>23</v>
      </c>
      <c r="B20" s="43" t="s">
        <v>159</v>
      </c>
      <c r="C20" s="44" t="s">
        <v>170</v>
      </c>
      <c r="D20" s="45">
        <f>MROUND(MID($C20,6,3)/Basis!$E$3,0.5)</f>
        <v>8</v>
      </c>
      <c r="E20" s="45">
        <f>MROUND(MID($C20,9,3)/Basis!$E$3,0.5)</f>
        <v>27.5</v>
      </c>
      <c r="F20" s="124" t="s">
        <v>2944</v>
      </c>
      <c r="G20" s="45">
        <f>ROUND((ROUNDDOWN($F20/5,0)*5+1.8)/Basis!$E$3,1)</f>
        <v>6.6</v>
      </c>
      <c r="H20" s="120">
        <f>ROUND($P20*Basis!$E$2*((TaH-TrH)/LN(1/µ)/Basis!$E$7)^$N20*$AA$4*Glycol,0)</f>
        <v>1636</v>
      </c>
      <c r="I20" s="83">
        <f>ROUND(H20/(MID($C20,9,3)/Basis!$E$3/Basis!$E$9)*Basis!$E$11,0)</f>
        <v>712</v>
      </c>
      <c r="J20" s="123">
        <f>IF(Basis!$E$1=1,ROUND(H20/((TaH-TrH)*1.163)/3600,3),ROUND(H20/(500*(TaH-TrH)),2))</f>
        <v>0.16</v>
      </c>
      <c r="K20" s="84"/>
      <c r="L20" s="177">
        <f>CHOOSE(Basis!$E$1,((AJ20*(J20*3600/Basis!$E$5)^AK20*(((MID(C20,9,3)*10)-144)/1000)*AL20+AM20*(J20*3600/Basis!$E$5)^2)*0.0098)/Basis!$E$10,((AJ20*(J20/Basis!$E$5)^AK20*(((MID(C20,9,3)*10)-144)/1000)*AL20+AM20*(J20/Basis!$E$5)^2)*0.0098)/Basis!$E$10)</f>
        <v>2.3651863779811087E-3</v>
      </c>
      <c r="M20" s="85"/>
      <c r="N20" s="110">
        <v>1.4079999999999999</v>
      </c>
      <c r="O20" s="74"/>
      <c r="P20" s="73">
        <v>763</v>
      </c>
      <c r="Q20" s="74"/>
      <c r="R20" s="75"/>
      <c r="S20" s="75"/>
      <c r="T20" s="75"/>
      <c r="U20" s="75"/>
      <c r="V20" s="75"/>
      <c r="W20" s="74"/>
      <c r="X20" s="76"/>
      <c r="Y20" s="76"/>
      <c r="Z20" s="76"/>
      <c r="AA20" s="76"/>
      <c r="AB20" s="76"/>
      <c r="AC20" s="74"/>
      <c r="AD20" s="77"/>
      <c r="AE20" s="77"/>
      <c r="AF20" s="77"/>
      <c r="AG20" s="77"/>
      <c r="AH20" s="77"/>
      <c r="AI20" s="68"/>
      <c r="AJ20" s="213">
        <v>2.0829999999999999E-4</v>
      </c>
      <c r="AK20" s="213">
        <v>1.724</v>
      </c>
      <c r="AL20" s="213">
        <v>2</v>
      </c>
      <c r="AM20" s="213">
        <v>4.6182900000000003E-4</v>
      </c>
      <c r="AN20" s="74"/>
      <c r="AO20" s="73"/>
      <c r="AP20" s="73"/>
      <c r="AQ20" s="73"/>
      <c r="AR20" s="73"/>
      <c r="AS20" s="73"/>
      <c r="AT20" s="74"/>
      <c r="AU20" s="47"/>
      <c r="AV20" s="48"/>
    </row>
    <row r="21" spans="1:48" ht="12.75" customHeight="1" x14ac:dyDescent="0.25">
      <c r="A21" s="72" t="s">
        <v>23</v>
      </c>
      <c r="B21" s="43" t="s">
        <v>159</v>
      </c>
      <c r="C21" s="44" t="s">
        <v>171</v>
      </c>
      <c r="D21" s="45">
        <f>MROUND(MID($C21,6,3)/Basis!$E$3,0.5)</f>
        <v>8</v>
      </c>
      <c r="E21" s="45">
        <f>MROUND(MID($C21,9,3)/Basis!$E$3,0.5)</f>
        <v>27.5</v>
      </c>
      <c r="F21" s="124" t="s">
        <v>2945</v>
      </c>
      <c r="G21" s="45">
        <f>ROUND((ROUNDDOWN($F21/5,0)*5+1.8)/Basis!$E$3,1)</f>
        <v>8.6</v>
      </c>
      <c r="H21" s="120">
        <f>ROUND($P21*Basis!$E$2*((TaH-TrH)/LN(1/µ)/Basis!$E$7)^$N21*$AA$4*Glycol,0)</f>
        <v>2298</v>
      </c>
      <c r="I21" s="83">
        <f>ROUND(H21/(MID($C21,9,3)/Basis!$E$3/Basis!$E$9)*Basis!$E$11,0)</f>
        <v>1001</v>
      </c>
      <c r="J21" s="123">
        <f>IF(Basis!$E$1=1,ROUND(H21/((TaH-TrH)*1.163)/3600,3),ROUND(H21/(500*(TaH-TrH)),2))</f>
        <v>0.23</v>
      </c>
      <c r="K21" s="84"/>
      <c r="L21" s="177">
        <f>CHOOSE(Basis!$E$1,((AJ21*(J21*3600/Basis!$E$5)^AK21*(((MID(C21,9,3)*10)-144)/1000)*AL21+AM21*(J21*3600/Basis!$E$5)^2)*0.0098)/Basis!$E$10,((AJ21*(J21/Basis!$E$5)^AK21*(((MID(C21,9,3)*10)-144)/1000)*AL21+AM21*(J21/Basis!$E$5)^2)*0.0098)/Basis!$E$10)</f>
        <v>3.7817513916162627E-3</v>
      </c>
      <c r="M21" s="85"/>
      <c r="N21" s="109">
        <v>1.4079999999999999</v>
      </c>
      <c r="O21" s="68"/>
      <c r="P21" s="67">
        <v>1072</v>
      </c>
      <c r="Q21" s="68"/>
      <c r="R21" s="69"/>
      <c r="S21" s="69"/>
      <c r="T21" s="69"/>
      <c r="U21" s="69"/>
      <c r="V21" s="69"/>
      <c r="W21" s="68"/>
      <c r="X21" s="70"/>
      <c r="Y21" s="70"/>
      <c r="Z21" s="70"/>
      <c r="AA21" s="70"/>
      <c r="AB21" s="70"/>
      <c r="AC21" s="68"/>
      <c r="AD21" s="71"/>
      <c r="AE21" s="71"/>
      <c r="AF21" s="71"/>
      <c r="AG21" s="71"/>
      <c r="AH21" s="71"/>
      <c r="AI21" s="68"/>
      <c r="AJ21" s="214">
        <v>1.2760000000000001E-4</v>
      </c>
      <c r="AK21" s="214">
        <v>1.7219</v>
      </c>
      <c r="AL21" s="214">
        <v>2</v>
      </c>
      <c r="AM21" s="214">
        <v>3.76611E-4</v>
      </c>
      <c r="AN21" s="68"/>
      <c r="AO21" s="67"/>
      <c r="AP21" s="67"/>
      <c r="AQ21" s="67"/>
      <c r="AR21" s="67"/>
      <c r="AS21" s="67"/>
      <c r="AT21" s="68"/>
      <c r="AU21" s="49"/>
      <c r="AV21" s="50"/>
    </row>
    <row r="22" spans="1:48" ht="12.75" customHeight="1" x14ac:dyDescent="0.25">
      <c r="A22" s="72" t="s">
        <v>23</v>
      </c>
      <c r="B22" s="43" t="s">
        <v>159</v>
      </c>
      <c r="C22" s="44" t="s">
        <v>172</v>
      </c>
      <c r="D22" s="45">
        <f>MROUND(MID($C22,6,3)/Basis!$E$3,0.5)</f>
        <v>8</v>
      </c>
      <c r="E22" s="45">
        <f>MROUND(MID($C22,9,3)/Basis!$E$3,0.5)</f>
        <v>31.5</v>
      </c>
      <c r="F22" s="124" t="s">
        <v>2943</v>
      </c>
      <c r="G22" s="45">
        <f>ROUND((ROUNDDOWN($F22/5,0)*5+1.8)/Basis!$E$3,1)</f>
        <v>4.5999999999999996</v>
      </c>
      <c r="H22" s="120">
        <f>ROUND($P22*Basis!$E$2*((TaH-TrH)/LN(1/µ)/Basis!$E$7)^$N22*$AA$4*Glycol,0)</f>
        <v>1122</v>
      </c>
      <c r="I22" s="83">
        <f>ROUND(H22/(MID($C22,9,3)/Basis!$E$3/Basis!$E$9)*Basis!$E$11,0)</f>
        <v>427</v>
      </c>
      <c r="J22" s="123">
        <f>IF(Basis!$E$1=1,ROUND(H22/((TaH-TrH)*1.163)/3600,3),ROUND(H22/(500*(TaH-TrH)),2))</f>
        <v>0.11</v>
      </c>
      <c r="K22" s="84"/>
      <c r="L22" s="177">
        <f>CHOOSE(Basis!$E$1,((AJ22*(J22*3600/Basis!$E$5)^AK22*(((MID(C22,9,3)*10)-144)/1000)*AL22+AM22*(J22*3600/Basis!$E$5)^2)*0.0098)/Basis!$E$10,((AJ22*(J22/Basis!$E$5)^AK22*(((MID(C22,9,3)*10)-144)/1000)*AL22+AM22*(J22/Basis!$E$5)^2)*0.0098)/Basis!$E$10)</f>
        <v>1.2021014124881713E-3</v>
      </c>
      <c r="M22" s="85"/>
      <c r="N22" s="110">
        <v>1.413</v>
      </c>
      <c r="O22" s="74"/>
      <c r="P22" s="73">
        <v>524</v>
      </c>
      <c r="Q22" s="74"/>
      <c r="R22" s="75"/>
      <c r="S22" s="75"/>
      <c r="T22" s="75"/>
      <c r="U22" s="75"/>
      <c r="V22" s="75"/>
      <c r="W22" s="74"/>
      <c r="X22" s="76"/>
      <c r="Y22" s="76"/>
      <c r="Z22" s="76"/>
      <c r="AA22" s="76"/>
      <c r="AB22" s="76"/>
      <c r="AC22" s="74"/>
      <c r="AD22" s="77"/>
      <c r="AE22" s="77"/>
      <c r="AF22" s="77"/>
      <c r="AG22" s="77"/>
      <c r="AH22" s="77"/>
      <c r="AI22" s="68"/>
      <c r="AJ22" s="213">
        <v>3.9689999999999994E-4</v>
      </c>
      <c r="AK22" s="213">
        <v>1.7345999999999999</v>
      </c>
      <c r="AL22" s="213">
        <v>2</v>
      </c>
      <c r="AM22" s="213">
        <v>3.6734700000000002E-4</v>
      </c>
      <c r="AN22" s="74"/>
      <c r="AO22" s="73"/>
      <c r="AP22" s="73"/>
      <c r="AQ22" s="73"/>
      <c r="AR22" s="73"/>
      <c r="AS22" s="73"/>
      <c r="AT22" s="74"/>
      <c r="AU22" s="47"/>
      <c r="AV22" s="48"/>
    </row>
    <row r="23" spans="1:48" ht="12.75" customHeight="1" x14ac:dyDescent="0.25">
      <c r="A23" s="72" t="s">
        <v>23</v>
      </c>
      <c r="B23" s="43" t="s">
        <v>159</v>
      </c>
      <c r="C23" s="44" t="s">
        <v>173</v>
      </c>
      <c r="D23" s="45">
        <f>MROUND(MID($C23,6,3)/Basis!$E$3,0.5)</f>
        <v>8</v>
      </c>
      <c r="E23" s="45">
        <f>MROUND(MID($C23,9,3)/Basis!$E$3,0.5)</f>
        <v>31.5</v>
      </c>
      <c r="F23" s="124" t="s">
        <v>2944</v>
      </c>
      <c r="G23" s="45">
        <f>ROUND((ROUNDDOWN($F23/5,0)*5+1.8)/Basis!$E$3,1)</f>
        <v>6.6</v>
      </c>
      <c r="H23" s="120">
        <f>ROUND($P23*Basis!$E$2*((TaH-TrH)/LN(1/µ)/Basis!$E$7)^$N23*$AA$4*Glycol,0)</f>
        <v>1869</v>
      </c>
      <c r="I23" s="83">
        <f>ROUND(H23/(MID($C23,9,3)/Basis!$E$3/Basis!$E$9)*Basis!$E$11,0)</f>
        <v>712</v>
      </c>
      <c r="J23" s="123">
        <f>IF(Basis!$E$1=1,ROUND(H23/((TaH-TrH)*1.163)/3600,3),ROUND(H23/(500*(TaH-TrH)),2))</f>
        <v>0.19</v>
      </c>
      <c r="K23" s="84"/>
      <c r="L23" s="177">
        <f>CHOOSE(Basis!$E$1,((AJ23*(J23*3600/Basis!$E$5)^AK23*(((MID(C23,9,3)*10)-144)/1000)*AL23+AM23*(J23*3600/Basis!$E$5)^2)*0.0098)/Basis!$E$10,((AJ23*(J23/Basis!$E$5)^AK23*(((MID(C23,9,3)*10)-144)/1000)*AL23+AM23*(J23/Basis!$E$5)^2)*0.0098)/Basis!$E$10)</f>
        <v>3.4007889554262824E-3</v>
      </c>
      <c r="M23" s="85"/>
      <c r="N23" s="109">
        <v>1.4079999999999999</v>
      </c>
      <c r="O23" s="68"/>
      <c r="P23" s="67">
        <v>872</v>
      </c>
      <c r="Q23" s="68"/>
      <c r="R23" s="69"/>
      <c r="S23" s="69"/>
      <c r="T23" s="69"/>
      <c r="U23" s="69"/>
      <c r="V23" s="69"/>
      <c r="W23" s="68"/>
      <c r="X23" s="70"/>
      <c r="Y23" s="70"/>
      <c r="Z23" s="70"/>
      <c r="AA23" s="70"/>
      <c r="AB23" s="70"/>
      <c r="AC23" s="68"/>
      <c r="AD23" s="71"/>
      <c r="AE23" s="71"/>
      <c r="AF23" s="71"/>
      <c r="AG23" s="71"/>
      <c r="AH23" s="71"/>
      <c r="AI23" s="68"/>
      <c r="AJ23" s="214">
        <v>2.0829999999999999E-4</v>
      </c>
      <c r="AK23" s="214">
        <v>1.724</v>
      </c>
      <c r="AL23" s="214">
        <v>2</v>
      </c>
      <c r="AM23" s="214">
        <v>4.6182900000000003E-4</v>
      </c>
      <c r="AN23" s="68"/>
      <c r="AO23" s="67"/>
      <c r="AP23" s="67"/>
      <c r="AQ23" s="67"/>
      <c r="AR23" s="67"/>
      <c r="AS23" s="67"/>
      <c r="AT23" s="68"/>
      <c r="AU23" s="49"/>
      <c r="AV23" s="50"/>
    </row>
    <row r="24" spans="1:48" ht="12.75" customHeight="1" x14ac:dyDescent="0.25">
      <c r="A24" s="72" t="s">
        <v>23</v>
      </c>
      <c r="B24" s="43" t="s">
        <v>159</v>
      </c>
      <c r="C24" s="44" t="s">
        <v>174</v>
      </c>
      <c r="D24" s="45">
        <f>MROUND(MID($C24,6,3)/Basis!$E$3,0.5)</f>
        <v>8</v>
      </c>
      <c r="E24" s="45">
        <f>MROUND(MID($C24,9,3)/Basis!$E$3,0.5)</f>
        <v>31.5</v>
      </c>
      <c r="F24" s="124" t="s">
        <v>2945</v>
      </c>
      <c r="G24" s="45">
        <f>ROUND((ROUNDDOWN($F24/5,0)*5+1.8)/Basis!$E$3,1)</f>
        <v>8.6</v>
      </c>
      <c r="H24" s="120">
        <f>ROUND($P24*Basis!$E$2*((TaH-TrH)/LN(1/µ)/Basis!$E$7)^$N24*$AA$4*Glycol,0)</f>
        <v>2628</v>
      </c>
      <c r="I24" s="83">
        <f>ROUND(H24/(MID($C24,9,3)/Basis!$E$3/Basis!$E$9)*Basis!$E$11,0)</f>
        <v>1001</v>
      </c>
      <c r="J24" s="123">
        <f>IF(Basis!$E$1=1,ROUND(H24/((TaH-TrH)*1.163)/3600,3),ROUND(H24/(500*(TaH-TrH)),2))</f>
        <v>0.26</v>
      </c>
      <c r="K24" s="84"/>
      <c r="L24" s="177">
        <f>CHOOSE(Basis!$E$1,((AJ24*(J24*3600/Basis!$E$5)^AK24*(((MID(C24,9,3)*10)-144)/1000)*AL24+AM24*(J24*3600/Basis!$E$5)^2)*0.0098)/Basis!$E$10,((AJ24*(J24/Basis!$E$5)^AK24*(((MID(C24,9,3)*10)-144)/1000)*AL24+AM24*(J24/Basis!$E$5)^2)*0.0098)/Basis!$E$10)</f>
        <v>4.9081872036162606E-3</v>
      </c>
      <c r="M24" s="85"/>
      <c r="N24" s="110">
        <v>1.4079999999999999</v>
      </c>
      <c r="O24" s="74"/>
      <c r="P24" s="73">
        <v>1226</v>
      </c>
      <c r="Q24" s="74"/>
      <c r="R24" s="75"/>
      <c r="S24" s="75"/>
      <c r="T24" s="75"/>
      <c r="U24" s="75"/>
      <c r="V24" s="75"/>
      <c r="W24" s="74"/>
      <c r="X24" s="76"/>
      <c r="Y24" s="76"/>
      <c r="Z24" s="76"/>
      <c r="AA24" s="76"/>
      <c r="AB24" s="76"/>
      <c r="AC24" s="74"/>
      <c r="AD24" s="77"/>
      <c r="AE24" s="77"/>
      <c r="AF24" s="77"/>
      <c r="AG24" s="77"/>
      <c r="AH24" s="77"/>
      <c r="AI24" s="68"/>
      <c r="AJ24" s="213">
        <v>1.2760000000000001E-4</v>
      </c>
      <c r="AK24" s="213">
        <v>1.7219</v>
      </c>
      <c r="AL24" s="213">
        <v>2</v>
      </c>
      <c r="AM24" s="213">
        <v>3.76611E-4</v>
      </c>
      <c r="AN24" s="74"/>
      <c r="AO24" s="73"/>
      <c r="AP24" s="73"/>
      <c r="AQ24" s="73"/>
      <c r="AR24" s="73"/>
      <c r="AS24" s="73"/>
      <c r="AT24" s="74"/>
      <c r="AU24" s="47"/>
      <c r="AV24" s="48"/>
    </row>
    <row r="25" spans="1:48" ht="12.75" customHeight="1" x14ac:dyDescent="0.25">
      <c r="A25" s="72" t="s">
        <v>23</v>
      </c>
      <c r="B25" s="43" t="s">
        <v>159</v>
      </c>
      <c r="C25" s="44" t="s">
        <v>175</v>
      </c>
      <c r="D25" s="45">
        <f>MROUND(MID($C25,6,3)/Basis!$E$3,0.5)</f>
        <v>8</v>
      </c>
      <c r="E25" s="45">
        <f>MROUND(MID($C25,9,3)/Basis!$E$3,0.5)</f>
        <v>35.5</v>
      </c>
      <c r="F25" s="124" t="s">
        <v>2943</v>
      </c>
      <c r="G25" s="45">
        <f>ROUND((ROUNDDOWN($F25/5,0)*5+1.8)/Basis!$E$3,1)</f>
        <v>4.5999999999999996</v>
      </c>
      <c r="H25" s="120">
        <f>ROUND($P25*Basis!$E$2*((TaH-TrH)/LN(1/µ)/Basis!$E$7)^$N25*$AA$4*Glycol,0)</f>
        <v>1263</v>
      </c>
      <c r="I25" s="83">
        <f>ROUND(H25/(MID($C25,9,3)/Basis!$E$3/Basis!$E$9)*Basis!$E$11,0)</f>
        <v>428</v>
      </c>
      <c r="J25" s="123">
        <f>IF(Basis!$E$1=1,ROUND(H25/((TaH-TrH)*1.163)/3600,3),ROUND(H25/(500*(TaH-TrH)),2))</f>
        <v>0.13</v>
      </c>
      <c r="K25" s="84"/>
      <c r="L25" s="177">
        <f>CHOOSE(Basis!$E$1,((AJ25*(J25*3600/Basis!$E$5)^AK25*(((MID(C25,9,3)*10)-144)/1000)*AL25+AM25*(J25*3600/Basis!$E$5)^2)*0.0098)/Basis!$E$10,((AJ25*(J25/Basis!$E$5)^AK25*(((MID(C25,9,3)*10)-144)/1000)*AL25+AM25*(J25/Basis!$E$5)^2)*0.0098)/Basis!$E$10)</f>
        <v>1.7437063506862351E-3</v>
      </c>
      <c r="M25" s="85"/>
      <c r="N25" s="109">
        <v>1.413</v>
      </c>
      <c r="O25" s="68"/>
      <c r="P25" s="67">
        <v>590</v>
      </c>
      <c r="Q25" s="68"/>
      <c r="R25" s="69"/>
      <c r="S25" s="69"/>
      <c r="T25" s="69"/>
      <c r="U25" s="69"/>
      <c r="V25" s="69"/>
      <c r="W25" s="68"/>
      <c r="X25" s="70"/>
      <c r="Y25" s="70"/>
      <c r="Z25" s="70"/>
      <c r="AA25" s="70"/>
      <c r="AB25" s="70"/>
      <c r="AC25" s="68"/>
      <c r="AD25" s="71"/>
      <c r="AE25" s="71"/>
      <c r="AF25" s="71"/>
      <c r="AG25" s="71"/>
      <c r="AH25" s="71"/>
      <c r="AI25" s="68"/>
      <c r="AJ25" s="214">
        <v>3.9689999999999994E-4</v>
      </c>
      <c r="AK25" s="214">
        <v>1.7345999999999999</v>
      </c>
      <c r="AL25" s="214">
        <v>2</v>
      </c>
      <c r="AM25" s="214">
        <v>3.6734700000000002E-4</v>
      </c>
      <c r="AN25" s="68"/>
      <c r="AO25" s="67"/>
      <c r="AP25" s="67"/>
      <c r="AQ25" s="67"/>
      <c r="AR25" s="67"/>
      <c r="AS25" s="67"/>
      <c r="AT25" s="68"/>
      <c r="AU25" s="49"/>
      <c r="AV25" s="50"/>
    </row>
    <row r="26" spans="1:48" ht="12.75" customHeight="1" x14ac:dyDescent="0.25">
      <c r="A26" s="72" t="s">
        <v>23</v>
      </c>
      <c r="B26" s="43" t="s">
        <v>159</v>
      </c>
      <c r="C26" s="44" t="s">
        <v>176</v>
      </c>
      <c r="D26" s="45">
        <f>MROUND(MID($C26,6,3)/Basis!$E$3,0.5)</f>
        <v>8</v>
      </c>
      <c r="E26" s="45">
        <f>MROUND(MID($C26,9,3)/Basis!$E$3,0.5)</f>
        <v>35.5</v>
      </c>
      <c r="F26" s="124" t="s">
        <v>2944</v>
      </c>
      <c r="G26" s="45">
        <f>ROUND((ROUNDDOWN($F26/5,0)*5+1.8)/Basis!$E$3,1)</f>
        <v>6.6</v>
      </c>
      <c r="H26" s="120">
        <f>ROUND($P26*Basis!$E$2*((TaH-TrH)/LN(1/µ)/Basis!$E$7)^$N26*$AA$4*Glycol,0)</f>
        <v>2103</v>
      </c>
      <c r="I26" s="83">
        <f>ROUND(H26/(MID($C26,9,3)/Basis!$E$3/Basis!$E$9)*Basis!$E$11,0)</f>
        <v>712</v>
      </c>
      <c r="J26" s="123">
        <f>IF(Basis!$E$1=1,ROUND(H26/((TaH-TrH)*1.163)/3600,3),ROUND(H26/(500*(TaH-TrH)),2))</f>
        <v>0.21</v>
      </c>
      <c r="K26" s="84"/>
      <c r="L26" s="177">
        <f>CHOOSE(Basis!$E$1,((AJ26*(J26*3600/Basis!$E$5)^AK26*(((MID(C26,9,3)*10)-144)/1000)*AL26+AM26*(J26*3600/Basis!$E$5)^2)*0.0098)/Basis!$E$10,((AJ26*(J26/Basis!$E$5)^AK26*(((MID(C26,9,3)*10)-144)/1000)*AL26+AM26*(J26/Basis!$E$5)^2)*0.0098)/Basis!$E$10)</f>
        <v>4.241476669335705E-3</v>
      </c>
      <c r="M26" s="85"/>
      <c r="N26" s="110">
        <v>1.4079999999999999</v>
      </c>
      <c r="O26" s="74"/>
      <c r="P26" s="73">
        <v>981</v>
      </c>
      <c r="Q26" s="74"/>
      <c r="R26" s="75"/>
      <c r="S26" s="75"/>
      <c r="T26" s="75"/>
      <c r="U26" s="75"/>
      <c r="V26" s="75"/>
      <c r="W26" s="74"/>
      <c r="X26" s="76"/>
      <c r="Y26" s="76"/>
      <c r="Z26" s="76"/>
      <c r="AA26" s="76"/>
      <c r="AB26" s="76"/>
      <c r="AC26" s="74"/>
      <c r="AD26" s="77"/>
      <c r="AE26" s="77"/>
      <c r="AF26" s="77"/>
      <c r="AG26" s="77"/>
      <c r="AH26" s="77"/>
      <c r="AI26" s="68"/>
      <c r="AJ26" s="213">
        <v>2.0829999999999999E-4</v>
      </c>
      <c r="AK26" s="213">
        <v>1.724</v>
      </c>
      <c r="AL26" s="213">
        <v>2</v>
      </c>
      <c r="AM26" s="213">
        <v>4.6182900000000003E-4</v>
      </c>
      <c r="AN26" s="74"/>
      <c r="AO26" s="73"/>
      <c r="AP26" s="73"/>
      <c r="AQ26" s="73"/>
      <c r="AR26" s="73"/>
      <c r="AS26" s="73"/>
      <c r="AT26" s="74"/>
      <c r="AU26" s="47"/>
      <c r="AV26" s="48"/>
    </row>
    <row r="27" spans="1:48" ht="12.75" customHeight="1" x14ac:dyDescent="0.25">
      <c r="A27" s="72" t="s">
        <v>23</v>
      </c>
      <c r="B27" s="43" t="s">
        <v>159</v>
      </c>
      <c r="C27" s="44" t="s">
        <v>177</v>
      </c>
      <c r="D27" s="45">
        <f>MROUND(MID($C27,6,3)/Basis!$E$3,0.5)</f>
        <v>8</v>
      </c>
      <c r="E27" s="45">
        <f>MROUND(MID($C27,9,3)/Basis!$E$3,0.5)</f>
        <v>35.5</v>
      </c>
      <c r="F27" s="124" t="s">
        <v>2945</v>
      </c>
      <c r="G27" s="45">
        <f>ROUND((ROUNDDOWN($F27/5,0)*5+1.8)/Basis!$E$3,1)</f>
        <v>8.6</v>
      </c>
      <c r="H27" s="120">
        <f>ROUND($P27*Basis!$E$2*((TaH-TrH)/LN(1/µ)/Basis!$E$7)^$N27*$AA$4*Glycol,0)</f>
        <v>2956</v>
      </c>
      <c r="I27" s="83">
        <f>ROUND(H27/(MID($C27,9,3)/Basis!$E$3/Basis!$E$9)*Basis!$E$11,0)</f>
        <v>1001</v>
      </c>
      <c r="J27" s="123">
        <f>IF(Basis!$E$1=1,ROUND(H27/((TaH-TrH)*1.163)/3600,3),ROUND(H27/(500*(TaH-TrH)),2))</f>
        <v>0.3</v>
      </c>
      <c r="K27" s="84"/>
      <c r="L27" s="177">
        <f>CHOOSE(Basis!$E$1,((AJ27*(J27*3600/Basis!$E$5)^AK27*(((MID(C27,9,3)*10)-144)/1000)*AL27+AM27*(J27*3600/Basis!$E$5)^2)*0.0098)/Basis!$E$10,((AJ27*(J27/Basis!$E$5)^AK27*(((MID(C27,9,3)*10)-144)/1000)*AL27+AM27*(J27/Basis!$E$5)^2)*0.0098)/Basis!$E$10)</f>
        <v>6.6224309436810295E-3</v>
      </c>
      <c r="M27" s="85"/>
      <c r="N27" s="109">
        <v>1.4079999999999999</v>
      </c>
      <c r="O27" s="68"/>
      <c r="P27" s="67">
        <v>1379</v>
      </c>
      <c r="Q27" s="68"/>
      <c r="R27" s="69"/>
      <c r="S27" s="69"/>
      <c r="T27" s="69"/>
      <c r="U27" s="69"/>
      <c r="V27" s="69"/>
      <c r="W27" s="68"/>
      <c r="X27" s="70"/>
      <c r="Y27" s="70"/>
      <c r="Z27" s="70"/>
      <c r="AA27" s="70"/>
      <c r="AB27" s="70"/>
      <c r="AC27" s="68"/>
      <c r="AD27" s="71"/>
      <c r="AE27" s="71"/>
      <c r="AF27" s="71"/>
      <c r="AG27" s="71"/>
      <c r="AH27" s="71"/>
      <c r="AI27" s="68"/>
      <c r="AJ27" s="214">
        <v>1.2760000000000001E-4</v>
      </c>
      <c r="AK27" s="214">
        <v>1.7219</v>
      </c>
      <c r="AL27" s="214">
        <v>2</v>
      </c>
      <c r="AM27" s="214">
        <v>3.76611E-4</v>
      </c>
      <c r="AN27" s="68"/>
      <c r="AO27" s="67"/>
      <c r="AP27" s="67"/>
      <c r="AQ27" s="67"/>
      <c r="AR27" s="67"/>
      <c r="AS27" s="67"/>
      <c r="AT27" s="68"/>
      <c r="AU27" s="49"/>
      <c r="AV27" s="50"/>
    </row>
    <row r="28" spans="1:48" ht="12.75" customHeight="1" x14ac:dyDescent="0.25">
      <c r="A28" s="72" t="s">
        <v>23</v>
      </c>
      <c r="B28" s="43" t="s">
        <v>159</v>
      </c>
      <c r="C28" s="44" t="s">
        <v>178</v>
      </c>
      <c r="D28" s="45">
        <f>MROUND(MID($C28,6,3)/Basis!$E$3,0.5)</f>
        <v>8</v>
      </c>
      <c r="E28" s="45">
        <f>MROUND(MID($C28,9,3)/Basis!$E$3,0.5)</f>
        <v>39.5</v>
      </c>
      <c r="F28" s="124" t="s">
        <v>2943</v>
      </c>
      <c r="G28" s="45">
        <f>ROUND((ROUNDDOWN($F28/5,0)*5+1.8)/Basis!$E$3,1)</f>
        <v>4.5999999999999996</v>
      </c>
      <c r="H28" s="120">
        <f>ROUND($P28*Basis!$E$2*((TaH-TrH)/LN(1/µ)/Basis!$E$7)^$N28*$AA$4*Glycol,0)</f>
        <v>1402</v>
      </c>
      <c r="I28" s="83">
        <f>ROUND(H28/(MID($C28,9,3)/Basis!$E$3/Basis!$E$9)*Basis!$E$11,0)</f>
        <v>427</v>
      </c>
      <c r="J28" s="123">
        <f>IF(Basis!$E$1=1,ROUND(H28/((TaH-TrH)*1.163)/3600,3),ROUND(H28/(500*(TaH-TrH)),2))</f>
        <v>0.14000000000000001</v>
      </c>
      <c r="K28" s="84"/>
      <c r="L28" s="177">
        <f>CHOOSE(Basis!$E$1,((AJ28*(J28*3600/Basis!$E$5)^AK28*(((MID(C28,9,3)*10)-144)/1000)*AL28+AM28*(J28*3600/Basis!$E$5)^2)*0.0098)/Basis!$E$10,((AJ28*(J28/Basis!$E$5)^AK28*(((MID(C28,9,3)*10)-144)/1000)*AL28+AM28*(J28/Basis!$E$5)^2)*0.0098)/Basis!$E$10)</f>
        <v>2.111331507410046E-3</v>
      </c>
      <c r="M28" s="85"/>
      <c r="N28" s="110">
        <v>1.413</v>
      </c>
      <c r="O28" s="74"/>
      <c r="P28" s="73">
        <v>655</v>
      </c>
      <c r="Q28" s="74"/>
      <c r="R28" s="75"/>
      <c r="S28" s="75"/>
      <c r="T28" s="75"/>
      <c r="U28" s="75"/>
      <c r="V28" s="75"/>
      <c r="W28" s="74"/>
      <c r="X28" s="76"/>
      <c r="Y28" s="76"/>
      <c r="Z28" s="76"/>
      <c r="AA28" s="76"/>
      <c r="AB28" s="76"/>
      <c r="AC28" s="74"/>
      <c r="AD28" s="77"/>
      <c r="AE28" s="77"/>
      <c r="AF28" s="77"/>
      <c r="AG28" s="77"/>
      <c r="AH28" s="77"/>
      <c r="AI28" s="68"/>
      <c r="AJ28" s="213">
        <v>3.9689999999999994E-4</v>
      </c>
      <c r="AK28" s="213">
        <v>1.7345999999999999</v>
      </c>
      <c r="AL28" s="213">
        <v>2</v>
      </c>
      <c r="AM28" s="213">
        <v>3.6734700000000002E-4</v>
      </c>
      <c r="AN28" s="74"/>
      <c r="AO28" s="73"/>
      <c r="AP28" s="73"/>
      <c r="AQ28" s="73"/>
      <c r="AR28" s="73"/>
      <c r="AS28" s="73"/>
      <c r="AT28" s="74"/>
      <c r="AU28" s="47"/>
      <c r="AV28" s="48"/>
    </row>
    <row r="29" spans="1:48" ht="12.75" customHeight="1" x14ac:dyDescent="0.25">
      <c r="A29" s="72" t="s">
        <v>23</v>
      </c>
      <c r="B29" s="43" t="s">
        <v>159</v>
      </c>
      <c r="C29" s="44" t="s">
        <v>179</v>
      </c>
      <c r="D29" s="45">
        <f>MROUND(MID($C29,6,3)/Basis!$E$3,0.5)</f>
        <v>8</v>
      </c>
      <c r="E29" s="45">
        <f>MROUND(MID($C29,9,3)/Basis!$E$3,0.5)</f>
        <v>39.5</v>
      </c>
      <c r="F29" s="124" t="s">
        <v>2944</v>
      </c>
      <c r="G29" s="45">
        <f>ROUND((ROUNDDOWN($F29/5,0)*5+1.8)/Basis!$E$3,1)</f>
        <v>6.6</v>
      </c>
      <c r="H29" s="120">
        <f>ROUND($P29*Basis!$E$2*((TaH-TrH)/LN(1/µ)/Basis!$E$7)^$N29*$AA$4*Glycol,0)</f>
        <v>2337</v>
      </c>
      <c r="I29" s="83">
        <f>ROUND(H29/(MID($C29,9,3)/Basis!$E$3/Basis!$E$9)*Basis!$E$11,0)</f>
        <v>712</v>
      </c>
      <c r="J29" s="123">
        <f>IF(Basis!$E$1=1,ROUND(H29/((TaH-TrH)*1.163)/3600,3),ROUND(H29/(500*(TaH-TrH)),2))</f>
        <v>0.23</v>
      </c>
      <c r="K29" s="84"/>
      <c r="L29" s="177">
        <f>CHOOSE(Basis!$E$1,((AJ29*(J29*3600/Basis!$E$5)^AK29*(((MID(C29,9,3)*10)-144)/1000)*AL29+AM29*(J29*3600/Basis!$E$5)^2)*0.0098)/Basis!$E$10,((AJ29*(J29/Basis!$E$5)^AK29*(((MID(C29,9,3)*10)-144)/1000)*AL29+AM29*(J29/Basis!$E$5)^2)*0.0098)/Basis!$E$10)</f>
        <v>5.1886211863249277E-3</v>
      </c>
      <c r="M29" s="85"/>
      <c r="N29" s="109">
        <v>1.4079999999999999</v>
      </c>
      <c r="O29" s="68"/>
      <c r="P29" s="67">
        <v>1090</v>
      </c>
      <c r="Q29" s="68"/>
      <c r="R29" s="69"/>
      <c r="S29" s="69"/>
      <c r="T29" s="69"/>
      <c r="U29" s="69"/>
      <c r="V29" s="69"/>
      <c r="W29" s="68"/>
      <c r="X29" s="70"/>
      <c r="Y29" s="70"/>
      <c r="Z29" s="70"/>
      <c r="AA29" s="70"/>
      <c r="AB29" s="70"/>
      <c r="AC29" s="68"/>
      <c r="AD29" s="71"/>
      <c r="AE29" s="71"/>
      <c r="AF29" s="71"/>
      <c r="AG29" s="71"/>
      <c r="AH29" s="71"/>
      <c r="AI29" s="68"/>
      <c r="AJ29" s="214">
        <v>2.0829999999999999E-4</v>
      </c>
      <c r="AK29" s="214">
        <v>1.724</v>
      </c>
      <c r="AL29" s="214">
        <v>2</v>
      </c>
      <c r="AM29" s="214">
        <v>4.6182900000000003E-4</v>
      </c>
      <c r="AN29" s="68"/>
      <c r="AO29" s="67"/>
      <c r="AP29" s="67"/>
      <c r="AQ29" s="67"/>
      <c r="AR29" s="67"/>
      <c r="AS29" s="67"/>
      <c r="AT29" s="68"/>
      <c r="AU29" s="49"/>
      <c r="AV29" s="50"/>
    </row>
    <row r="30" spans="1:48" ht="12.75" customHeight="1" x14ac:dyDescent="0.25">
      <c r="A30" s="72" t="s">
        <v>23</v>
      </c>
      <c r="B30" s="43" t="s">
        <v>159</v>
      </c>
      <c r="C30" s="44" t="s">
        <v>180</v>
      </c>
      <c r="D30" s="45">
        <f>MROUND(MID($C30,6,3)/Basis!$E$3,0.5)</f>
        <v>8</v>
      </c>
      <c r="E30" s="45">
        <f>MROUND(MID($C30,9,3)/Basis!$E$3,0.5)</f>
        <v>39.5</v>
      </c>
      <c r="F30" s="124" t="s">
        <v>2945</v>
      </c>
      <c r="G30" s="45">
        <f>ROUND((ROUNDDOWN($F30/5,0)*5+1.8)/Basis!$E$3,1)</f>
        <v>8.6</v>
      </c>
      <c r="H30" s="120">
        <f>ROUND($P30*Basis!$E$2*((TaH-TrH)/LN(1/µ)/Basis!$E$7)^$N30*$AA$4*Glycol,0)</f>
        <v>3284</v>
      </c>
      <c r="I30" s="83">
        <f>ROUND(H30/(MID($C30,9,3)/Basis!$E$3/Basis!$E$9)*Basis!$E$11,0)</f>
        <v>1001</v>
      </c>
      <c r="J30" s="123">
        <f>IF(Basis!$E$1=1,ROUND(H30/((TaH-TrH)*1.163)/3600,3),ROUND(H30/(500*(TaH-TrH)),2))</f>
        <v>0.33</v>
      </c>
      <c r="K30" s="84"/>
      <c r="L30" s="177">
        <f>CHOOSE(Basis!$E$1,((AJ30*(J30*3600/Basis!$E$5)^AK30*(((MID(C30,9,3)*10)-144)/1000)*AL30+AM30*(J30*3600/Basis!$E$5)^2)*0.0098)/Basis!$E$10,((AJ30*(J30/Basis!$E$5)^AK30*(((MID(C30,9,3)*10)-144)/1000)*AL30+AM30*(J30/Basis!$E$5)^2)*0.0098)/Basis!$E$10)</f>
        <v>8.1256015177344088E-3</v>
      </c>
      <c r="M30" s="85"/>
      <c r="N30" s="110">
        <v>1.4079999999999999</v>
      </c>
      <c r="O30" s="74"/>
      <c r="P30" s="73">
        <v>1532</v>
      </c>
      <c r="Q30" s="74"/>
      <c r="R30" s="75"/>
      <c r="S30" s="75"/>
      <c r="T30" s="75"/>
      <c r="U30" s="75"/>
      <c r="V30" s="75"/>
      <c r="W30" s="74"/>
      <c r="X30" s="76"/>
      <c r="Y30" s="76"/>
      <c r="Z30" s="76"/>
      <c r="AA30" s="76"/>
      <c r="AB30" s="76"/>
      <c r="AC30" s="74"/>
      <c r="AD30" s="77"/>
      <c r="AE30" s="77"/>
      <c r="AF30" s="77"/>
      <c r="AG30" s="77"/>
      <c r="AH30" s="77"/>
      <c r="AI30" s="68"/>
      <c r="AJ30" s="213">
        <v>1.2760000000000001E-4</v>
      </c>
      <c r="AK30" s="213">
        <v>1.7219</v>
      </c>
      <c r="AL30" s="213">
        <v>2</v>
      </c>
      <c r="AM30" s="213">
        <v>3.76611E-4</v>
      </c>
      <c r="AN30" s="74"/>
      <c r="AO30" s="73"/>
      <c r="AP30" s="73"/>
      <c r="AQ30" s="73"/>
      <c r="AR30" s="73"/>
      <c r="AS30" s="73"/>
      <c r="AT30" s="74"/>
      <c r="AU30" s="47"/>
      <c r="AV30" s="48"/>
    </row>
    <row r="31" spans="1:48" ht="12.75" customHeight="1" x14ac:dyDescent="0.25">
      <c r="A31" s="72" t="s">
        <v>23</v>
      </c>
      <c r="B31" s="43" t="s">
        <v>159</v>
      </c>
      <c r="C31" s="44" t="s">
        <v>181</v>
      </c>
      <c r="D31" s="45">
        <f>MROUND(MID($C31,6,3)/Basis!$E$3,0.5)</f>
        <v>8</v>
      </c>
      <c r="E31" s="45">
        <f>MROUND(MID($C31,9,3)/Basis!$E$3,0.5)</f>
        <v>43.5</v>
      </c>
      <c r="F31" s="124" t="s">
        <v>2943</v>
      </c>
      <c r="G31" s="45">
        <f>ROUND((ROUNDDOWN($F31/5,0)*5+1.8)/Basis!$E$3,1)</f>
        <v>4.5999999999999996</v>
      </c>
      <c r="H31" s="120">
        <f>ROUND($P31*Basis!$E$2*((TaH-TrH)/LN(1/µ)/Basis!$E$7)^$N31*$AA$4*Glycol,0)</f>
        <v>1543</v>
      </c>
      <c r="I31" s="83">
        <f>ROUND(H31/(MID($C31,9,3)/Basis!$E$3/Basis!$E$9)*Basis!$E$11,0)</f>
        <v>428</v>
      </c>
      <c r="J31" s="123">
        <f>IF(Basis!$E$1=1,ROUND(H31/((TaH-TrH)*1.163)/3600,3),ROUND(H31/(500*(TaH-TrH)),2))</f>
        <v>0.15</v>
      </c>
      <c r="K31" s="84"/>
      <c r="L31" s="177">
        <f>CHOOSE(Basis!$E$1,((AJ31*(J31*3600/Basis!$E$5)^AK31*(((MID(C31,9,3)*10)-144)/1000)*AL31+AM31*(J31*3600/Basis!$E$5)^2)*0.0098)/Basis!$E$10,((AJ31*(J31/Basis!$E$5)^AK31*(((MID(C31,9,3)*10)-144)/1000)*AL31+AM31*(J31/Basis!$E$5)^2)*0.0098)/Basis!$E$10)</f>
        <v>2.5231404577737973E-3</v>
      </c>
      <c r="M31" s="85"/>
      <c r="N31" s="109">
        <v>1.413</v>
      </c>
      <c r="O31" s="68"/>
      <c r="P31" s="67">
        <v>721</v>
      </c>
      <c r="Q31" s="68"/>
      <c r="R31" s="69"/>
      <c r="S31" s="69"/>
      <c r="T31" s="69"/>
      <c r="U31" s="69"/>
      <c r="V31" s="69"/>
      <c r="W31" s="68"/>
      <c r="X31" s="70"/>
      <c r="Y31" s="70"/>
      <c r="Z31" s="70"/>
      <c r="AA31" s="70"/>
      <c r="AB31" s="70"/>
      <c r="AC31" s="68"/>
      <c r="AD31" s="71"/>
      <c r="AE31" s="71"/>
      <c r="AF31" s="71"/>
      <c r="AG31" s="71"/>
      <c r="AH31" s="71"/>
      <c r="AI31" s="68"/>
      <c r="AJ31" s="214">
        <v>3.9689999999999994E-4</v>
      </c>
      <c r="AK31" s="214">
        <v>1.7345999999999999</v>
      </c>
      <c r="AL31" s="214">
        <v>2</v>
      </c>
      <c r="AM31" s="214">
        <v>3.6734700000000002E-4</v>
      </c>
      <c r="AN31" s="68"/>
      <c r="AO31" s="67"/>
      <c r="AP31" s="67"/>
      <c r="AQ31" s="67"/>
      <c r="AR31" s="67"/>
      <c r="AS31" s="67"/>
      <c r="AT31" s="68"/>
      <c r="AU31" s="49"/>
      <c r="AV31" s="50"/>
    </row>
    <row r="32" spans="1:48" ht="12.75" customHeight="1" x14ac:dyDescent="0.25">
      <c r="A32" s="72" t="s">
        <v>23</v>
      </c>
      <c r="B32" s="43" t="s">
        <v>159</v>
      </c>
      <c r="C32" s="44" t="s">
        <v>182</v>
      </c>
      <c r="D32" s="45">
        <f>MROUND(MID($C32,6,3)/Basis!$E$3,0.5)</f>
        <v>8</v>
      </c>
      <c r="E32" s="45">
        <f>MROUND(MID($C32,9,3)/Basis!$E$3,0.5)</f>
        <v>43.5</v>
      </c>
      <c r="F32" s="124" t="s">
        <v>2944</v>
      </c>
      <c r="G32" s="45">
        <f>ROUND((ROUNDDOWN($F32/5,0)*5+1.8)/Basis!$E$3,1)</f>
        <v>6.6</v>
      </c>
      <c r="H32" s="120">
        <f>ROUND($P32*Basis!$E$2*((TaH-TrH)/LN(1/µ)/Basis!$E$7)^$N32*$AA$4*Glycol,0)</f>
        <v>2571</v>
      </c>
      <c r="I32" s="83">
        <f>ROUND(H32/(MID($C32,9,3)/Basis!$E$3/Basis!$E$9)*Basis!$E$11,0)</f>
        <v>712</v>
      </c>
      <c r="J32" s="123">
        <f>IF(Basis!$E$1=1,ROUND(H32/((TaH-TrH)*1.163)/3600,3),ROUND(H32/(500*(TaH-TrH)),2))</f>
        <v>0.26</v>
      </c>
      <c r="K32" s="84"/>
      <c r="L32" s="177">
        <f>CHOOSE(Basis!$E$1,((AJ32*(J32*3600/Basis!$E$5)^AK32*(((MID(C32,9,3)*10)-144)/1000)*AL32+AM32*(J32*3600/Basis!$E$5)^2)*0.0098)/Basis!$E$10,((AJ32*(J32/Basis!$E$5)^AK32*(((MID(C32,9,3)*10)-144)/1000)*AL32+AM32*(J32/Basis!$E$5)^2)*0.0098)/Basis!$E$10)</f>
        <v>6.7391609105620425E-3</v>
      </c>
      <c r="M32" s="85"/>
      <c r="N32" s="110">
        <v>1.4079999999999999</v>
      </c>
      <c r="O32" s="74"/>
      <c r="P32" s="73">
        <v>1199</v>
      </c>
      <c r="Q32" s="74"/>
      <c r="R32" s="75"/>
      <c r="S32" s="75"/>
      <c r="T32" s="75"/>
      <c r="U32" s="75"/>
      <c r="V32" s="75"/>
      <c r="W32" s="74"/>
      <c r="X32" s="76"/>
      <c r="Y32" s="76"/>
      <c r="Z32" s="76"/>
      <c r="AA32" s="76"/>
      <c r="AB32" s="76"/>
      <c r="AC32" s="74"/>
      <c r="AD32" s="77"/>
      <c r="AE32" s="77"/>
      <c r="AF32" s="77"/>
      <c r="AG32" s="77"/>
      <c r="AH32" s="77"/>
      <c r="AI32" s="68"/>
      <c r="AJ32" s="213">
        <v>2.0829999999999999E-4</v>
      </c>
      <c r="AK32" s="213">
        <v>1.724</v>
      </c>
      <c r="AL32" s="213">
        <v>2</v>
      </c>
      <c r="AM32" s="213">
        <v>4.6182900000000003E-4</v>
      </c>
      <c r="AN32" s="74"/>
      <c r="AO32" s="73"/>
      <c r="AP32" s="73"/>
      <c r="AQ32" s="73"/>
      <c r="AR32" s="73"/>
      <c r="AS32" s="73"/>
      <c r="AT32" s="74"/>
      <c r="AU32" s="47"/>
      <c r="AV32" s="48"/>
    </row>
    <row r="33" spans="1:48" ht="12.75" customHeight="1" x14ac:dyDescent="0.25">
      <c r="A33" s="72" t="s">
        <v>23</v>
      </c>
      <c r="B33" s="43" t="s">
        <v>159</v>
      </c>
      <c r="C33" s="44" t="s">
        <v>183</v>
      </c>
      <c r="D33" s="45">
        <f>MROUND(MID($C33,6,3)/Basis!$E$3,0.5)</f>
        <v>8</v>
      </c>
      <c r="E33" s="45">
        <f>MROUND(MID($C33,9,3)/Basis!$E$3,0.5)</f>
        <v>43.5</v>
      </c>
      <c r="F33" s="124" t="s">
        <v>2945</v>
      </c>
      <c r="G33" s="45">
        <f>ROUND((ROUNDDOWN($F33/5,0)*5+1.8)/Basis!$E$3,1)</f>
        <v>8.6</v>
      </c>
      <c r="H33" s="120">
        <f>ROUND($P33*Basis!$E$2*((TaH-TrH)/LN(1/µ)/Basis!$E$7)^$N33*$AA$4*Glycol,0)</f>
        <v>3613</v>
      </c>
      <c r="I33" s="83">
        <f>ROUND(H33/(MID($C33,9,3)/Basis!$E$3/Basis!$E$9)*Basis!$E$11,0)</f>
        <v>1001</v>
      </c>
      <c r="J33" s="123">
        <f>IF(Basis!$E$1=1,ROUND(H33/((TaH-TrH)*1.163)/3600,3),ROUND(H33/(500*(TaH-TrH)),2))</f>
        <v>0.36</v>
      </c>
      <c r="K33" s="84"/>
      <c r="L33" s="177">
        <f>CHOOSE(Basis!$E$1,((AJ33*(J33*3600/Basis!$E$5)^AK33*(((MID(C33,9,3)*10)-144)/1000)*AL33+AM33*(J33*3600/Basis!$E$5)^2)*0.0098)/Basis!$E$10,((AJ33*(J33/Basis!$E$5)^AK33*(((MID(C33,9,3)*10)-144)/1000)*AL33+AM33*(J33/Basis!$E$5)^2)*0.0098)/Basis!$E$10)</f>
        <v>9.7996929744221389E-3</v>
      </c>
      <c r="M33" s="85"/>
      <c r="N33" s="109">
        <v>1.4079999999999999</v>
      </c>
      <c r="O33" s="68"/>
      <c r="P33" s="67">
        <v>1685</v>
      </c>
      <c r="Q33" s="68"/>
      <c r="R33" s="69"/>
      <c r="S33" s="69"/>
      <c r="T33" s="69"/>
      <c r="U33" s="69"/>
      <c r="V33" s="69"/>
      <c r="W33" s="68"/>
      <c r="X33" s="70"/>
      <c r="Y33" s="70"/>
      <c r="Z33" s="70"/>
      <c r="AA33" s="70"/>
      <c r="AB33" s="70"/>
      <c r="AC33" s="68"/>
      <c r="AD33" s="71"/>
      <c r="AE33" s="71"/>
      <c r="AF33" s="71"/>
      <c r="AG33" s="71"/>
      <c r="AH33" s="71"/>
      <c r="AI33" s="68"/>
      <c r="AJ33" s="214">
        <v>1.2760000000000001E-4</v>
      </c>
      <c r="AK33" s="214">
        <v>1.7219</v>
      </c>
      <c r="AL33" s="214">
        <v>2</v>
      </c>
      <c r="AM33" s="214">
        <v>3.76611E-4</v>
      </c>
      <c r="AN33" s="68"/>
      <c r="AO33" s="67"/>
      <c r="AP33" s="67"/>
      <c r="AQ33" s="67"/>
      <c r="AR33" s="67"/>
      <c r="AS33" s="67"/>
      <c r="AT33" s="68"/>
      <c r="AU33" s="49"/>
      <c r="AV33" s="50"/>
    </row>
    <row r="34" spans="1:48" ht="12.75" customHeight="1" x14ac:dyDescent="0.25">
      <c r="A34" s="72" t="s">
        <v>23</v>
      </c>
      <c r="B34" s="43" t="s">
        <v>159</v>
      </c>
      <c r="C34" s="44" t="s">
        <v>184</v>
      </c>
      <c r="D34" s="45">
        <f>MROUND(MID($C34,6,3)/Basis!$E$3,0.5)</f>
        <v>8</v>
      </c>
      <c r="E34" s="45">
        <f>MROUND(MID($C34,9,3)/Basis!$E$3,0.5)</f>
        <v>47</v>
      </c>
      <c r="F34" s="124" t="s">
        <v>2943</v>
      </c>
      <c r="G34" s="45">
        <f>ROUND((ROUNDDOWN($F34/5,0)*5+1.8)/Basis!$E$3,1)</f>
        <v>4.5999999999999996</v>
      </c>
      <c r="H34" s="120">
        <f>ROUND($P34*Basis!$E$2*((TaH-TrH)/LN(1/µ)/Basis!$E$7)^$N34*$AA$4*Glycol,0)</f>
        <v>1682</v>
      </c>
      <c r="I34" s="83">
        <f>ROUND(H34/(MID($C34,9,3)/Basis!$E$3/Basis!$E$9)*Basis!$E$11,0)</f>
        <v>427</v>
      </c>
      <c r="J34" s="123">
        <f>IF(Basis!$E$1=1,ROUND(H34/((TaH-TrH)*1.163)/3600,3),ROUND(H34/(500*(TaH-TrH)),2))</f>
        <v>0.17</v>
      </c>
      <c r="K34" s="84"/>
      <c r="L34" s="177">
        <f>CHOOSE(Basis!$E$1,((AJ34*(J34*3600/Basis!$E$5)^AK34*(((MID(C34,9,3)*10)-144)/1000)*AL34+AM34*(J34*3600/Basis!$E$5)^2)*0.0098)/Basis!$E$10,((AJ34*(J34/Basis!$E$5)^AK34*(((MID(C34,9,3)*10)-144)/1000)*AL34+AM34*(J34/Basis!$E$5)^2)*0.0098)/Basis!$E$10)</f>
        <v>3.3401886340364232E-3</v>
      </c>
      <c r="M34" s="85"/>
      <c r="N34" s="110">
        <v>1.413</v>
      </c>
      <c r="O34" s="74"/>
      <c r="P34" s="73">
        <v>786</v>
      </c>
      <c r="Q34" s="74"/>
      <c r="R34" s="75"/>
      <c r="S34" s="75"/>
      <c r="T34" s="75"/>
      <c r="U34" s="75"/>
      <c r="V34" s="75"/>
      <c r="W34" s="74"/>
      <c r="X34" s="76"/>
      <c r="Y34" s="76"/>
      <c r="Z34" s="76"/>
      <c r="AA34" s="76"/>
      <c r="AB34" s="76"/>
      <c r="AC34" s="74"/>
      <c r="AD34" s="77"/>
      <c r="AE34" s="77"/>
      <c r="AF34" s="77"/>
      <c r="AG34" s="77"/>
      <c r="AH34" s="77"/>
      <c r="AI34" s="68"/>
      <c r="AJ34" s="213">
        <v>3.9689999999999994E-4</v>
      </c>
      <c r="AK34" s="213">
        <v>1.7345999999999999</v>
      </c>
      <c r="AL34" s="213">
        <v>2</v>
      </c>
      <c r="AM34" s="213">
        <v>3.6734700000000002E-4</v>
      </c>
      <c r="AN34" s="74"/>
      <c r="AO34" s="73"/>
      <c r="AP34" s="73"/>
      <c r="AQ34" s="73"/>
      <c r="AR34" s="73"/>
      <c r="AS34" s="73"/>
      <c r="AT34" s="74"/>
      <c r="AU34" s="47"/>
      <c r="AV34" s="48"/>
    </row>
    <row r="35" spans="1:48" ht="12.75" customHeight="1" x14ac:dyDescent="0.25">
      <c r="A35" s="72" t="s">
        <v>23</v>
      </c>
      <c r="B35" s="43" t="s">
        <v>159</v>
      </c>
      <c r="C35" s="44" t="s">
        <v>185</v>
      </c>
      <c r="D35" s="45">
        <f>MROUND(MID($C35,6,3)/Basis!$E$3,0.5)</f>
        <v>8</v>
      </c>
      <c r="E35" s="45">
        <f>MROUND(MID($C35,9,3)/Basis!$E$3,0.5)</f>
        <v>47</v>
      </c>
      <c r="F35" s="124" t="s">
        <v>2944</v>
      </c>
      <c r="G35" s="45">
        <f>ROUND((ROUNDDOWN($F35/5,0)*5+1.8)/Basis!$E$3,1)</f>
        <v>6.6</v>
      </c>
      <c r="H35" s="120">
        <f>ROUND($P35*Basis!$E$2*((TaH-TrH)/LN(1/µ)/Basis!$E$7)^$N35*$AA$4*Glycol,0)</f>
        <v>2804</v>
      </c>
      <c r="I35" s="83">
        <f>ROUND(H35/(MID($C35,9,3)/Basis!$E$3/Basis!$E$9)*Basis!$E$11,0)</f>
        <v>712</v>
      </c>
      <c r="J35" s="123">
        <f>IF(Basis!$E$1=1,ROUND(H35/((TaH-TrH)*1.163)/3600,3),ROUND(H35/(500*(TaH-TrH)),2))</f>
        <v>0.28000000000000003</v>
      </c>
      <c r="K35" s="84"/>
      <c r="L35" s="177">
        <f>CHOOSE(Basis!$E$1,((AJ35*(J35*3600/Basis!$E$5)^AK35*(((MID(C35,9,3)*10)-144)/1000)*AL35+AM35*(J35*3600/Basis!$E$5)^2)*0.0098)/Basis!$E$10,((AJ35*(J35/Basis!$E$5)^AK35*(((MID(C35,9,3)*10)-144)/1000)*AL35+AM35*(J35/Basis!$E$5)^2)*0.0098)/Basis!$E$10)</f>
        <v>7.9563552060216876E-3</v>
      </c>
      <c r="M35" s="85"/>
      <c r="N35" s="109">
        <v>1.4079999999999999</v>
      </c>
      <c r="O35" s="68"/>
      <c r="P35" s="67">
        <v>1308</v>
      </c>
      <c r="Q35" s="68"/>
      <c r="R35" s="69"/>
      <c r="S35" s="69"/>
      <c r="T35" s="69"/>
      <c r="U35" s="69"/>
      <c r="V35" s="69"/>
      <c r="W35" s="68"/>
      <c r="X35" s="70"/>
      <c r="Y35" s="70"/>
      <c r="Z35" s="70"/>
      <c r="AA35" s="70"/>
      <c r="AB35" s="70"/>
      <c r="AC35" s="68"/>
      <c r="AD35" s="71"/>
      <c r="AE35" s="71"/>
      <c r="AF35" s="71"/>
      <c r="AG35" s="71"/>
      <c r="AH35" s="71"/>
      <c r="AI35" s="68"/>
      <c r="AJ35" s="214">
        <v>2.0829999999999999E-4</v>
      </c>
      <c r="AK35" s="214">
        <v>1.724</v>
      </c>
      <c r="AL35" s="214">
        <v>2</v>
      </c>
      <c r="AM35" s="214">
        <v>4.6182900000000003E-4</v>
      </c>
      <c r="AN35" s="68"/>
      <c r="AO35" s="67"/>
      <c r="AP35" s="67"/>
      <c r="AQ35" s="67"/>
      <c r="AR35" s="67"/>
      <c r="AS35" s="67"/>
      <c r="AT35" s="68"/>
      <c r="AU35" s="49"/>
      <c r="AV35" s="50"/>
    </row>
    <row r="36" spans="1:48" ht="12.75" customHeight="1" x14ac:dyDescent="0.25">
      <c r="A36" s="72" t="s">
        <v>23</v>
      </c>
      <c r="B36" s="43" t="s">
        <v>159</v>
      </c>
      <c r="C36" s="44" t="s">
        <v>186</v>
      </c>
      <c r="D36" s="45">
        <f>MROUND(MID($C36,6,3)/Basis!$E$3,0.5)</f>
        <v>8</v>
      </c>
      <c r="E36" s="45">
        <f>MROUND(MID($C36,9,3)/Basis!$E$3,0.5)</f>
        <v>47</v>
      </c>
      <c r="F36" s="124" t="s">
        <v>2945</v>
      </c>
      <c r="G36" s="45">
        <f>ROUND((ROUNDDOWN($F36/5,0)*5+1.8)/Basis!$E$3,1)</f>
        <v>8.6</v>
      </c>
      <c r="H36" s="120">
        <f>ROUND($P36*Basis!$E$2*((TaH-TrH)/LN(1/µ)/Basis!$E$7)^$N36*$AA$4*Glycol,0)</f>
        <v>3941</v>
      </c>
      <c r="I36" s="83">
        <f>ROUND(H36/(MID($C36,9,3)/Basis!$E$3/Basis!$E$9)*Basis!$E$11,0)</f>
        <v>1001</v>
      </c>
      <c r="J36" s="123">
        <f>IF(Basis!$E$1=1,ROUND(H36/((TaH-TrH)*1.163)/3600,3),ROUND(H36/(500*(TaH-TrH)),2))</f>
        <v>0.39</v>
      </c>
      <c r="K36" s="84"/>
      <c r="L36" s="177">
        <f>CHOOSE(Basis!$E$1,((AJ36*(J36*3600/Basis!$E$5)^AK36*(((MID(C36,9,3)*10)-144)/1000)*AL36+AM36*(J36*3600/Basis!$E$5)^2)*0.0098)/Basis!$E$10,((AJ36*(J36/Basis!$E$5)^AK36*(((MID(C36,9,3)*10)-144)/1000)*AL36+AM36*(J36/Basis!$E$5)^2)*0.0098)/Basis!$E$10)</f>
        <v>1.1648688770302887E-2</v>
      </c>
      <c r="M36" s="85"/>
      <c r="N36" s="110">
        <v>1.4079999999999999</v>
      </c>
      <c r="O36" s="74"/>
      <c r="P36" s="73">
        <v>1838</v>
      </c>
      <c r="Q36" s="74"/>
      <c r="R36" s="75"/>
      <c r="S36" s="75"/>
      <c r="T36" s="75"/>
      <c r="U36" s="75"/>
      <c r="V36" s="75"/>
      <c r="W36" s="74"/>
      <c r="X36" s="76"/>
      <c r="Y36" s="76"/>
      <c r="Z36" s="76"/>
      <c r="AA36" s="76"/>
      <c r="AB36" s="76"/>
      <c r="AC36" s="74"/>
      <c r="AD36" s="77"/>
      <c r="AE36" s="77"/>
      <c r="AF36" s="77"/>
      <c r="AG36" s="77"/>
      <c r="AH36" s="77"/>
      <c r="AI36" s="68"/>
      <c r="AJ36" s="213">
        <v>1.2760000000000001E-4</v>
      </c>
      <c r="AK36" s="213">
        <v>1.7219</v>
      </c>
      <c r="AL36" s="213">
        <v>2</v>
      </c>
      <c r="AM36" s="213">
        <v>3.76611E-4</v>
      </c>
      <c r="AN36" s="74"/>
      <c r="AO36" s="73"/>
      <c r="AP36" s="73"/>
      <c r="AQ36" s="73"/>
      <c r="AR36" s="73"/>
      <c r="AS36" s="73"/>
      <c r="AT36" s="74"/>
      <c r="AU36" s="47"/>
      <c r="AV36" s="48"/>
    </row>
    <row r="37" spans="1:48" ht="12.75" customHeight="1" x14ac:dyDescent="0.25">
      <c r="A37" s="72" t="s">
        <v>23</v>
      </c>
      <c r="B37" s="43" t="s">
        <v>159</v>
      </c>
      <c r="C37" s="44" t="s">
        <v>187</v>
      </c>
      <c r="D37" s="45">
        <f>MROUND(MID($C37,6,3)/Basis!$E$3,0.5)</f>
        <v>8</v>
      </c>
      <c r="E37" s="45">
        <f>MROUND(MID($C37,9,3)/Basis!$E$3,0.5)</f>
        <v>55</v>
      </c>
      <c r="F37" s="124" t="s">
        <v>2943</v>
      </c>
      <c r="G37" s="45">
        <f>ROUND((ROUNDDOWN($F37/5,0)*5+1.8)/Basis!$E$3,1)</f>
        <v>4.5999999999999996</v>
      </c>
      <c r="H37" s="120">
        <f>ROUND($P37*Basis!$E$2*((TaH-TrH)/LN(1/µ)/Basis!$E$7)^$N37*$AA$4*Glycol,0)</f>
        <v>1963</v>
      </c>
      <c r="I37" s="83">
        <f>ROUND(H37/(MID($C37,9,3)/Basis!$E$3/Basis!$E$9)*Basis!$E$11,0)</f>
        <v>427</v>
      </c>
      <c r="J37" s="123">
        <f>IF(Basis!$E$1=1,ROUND(H37/((TaH-TrH)*1.163)/3600,3),ROUND(H37/(500*(TaH-TrH)),2))</f>
        <v>0.2</v>
      </c>
      <c r="K37" s="84"/>
      <c r="L37" s="177">
        <f>CHOOSE(Basis!$E$1,((AJ37*(J37*3600/Basis!$E$5)^AK37*(((MID(C37,9,3)*10)-144)/1000)*AL37+AM37*(J37*3600/Basis!$E$5)^2)*0.0098)/Basis!$E$10,((AJ37*(J37/Basis!$E$5)^AK37*(((MID(C37,9,3)*10)-144)/1000)*AL37+AM37*(J37/Basis!$E$5)^2)*0.0098)/Basis!$E$10)</f>
        <v>4.921601650189459E-3</v>
      </c>
      <c r="M37" s="85"/>
      <c r="N37" s="109">
        <v>1.413</v>
      </c>
      <c r="O37" s="68"/>
      <c r="P37" s="67">
        <v>917</v>
      </c>
      <c r="Q37" s="68"/>
      <c r="R37" s="69"/>
      <c r="S37" s="69"/>
      <c r="T37" s="69"/>
      <c r="U37" s="69"/>
      <c r="V37" s="69"/>
      <c r="W37" s="68"/>
      <c r="X37" s="70"/>
      <c r="Y37" s="70"/>
      <c r="Z37" s="70"/>
      <c r="AA37" s="70"/>
      <c r="AB37" s="70"/>
      <c r="AC37" s="68"/>
      <c r="AD37" s="71"/>
      <c r="AE37" s="71"/>
      <c r="AF37" s="71"/>
      <c r="AG37" s="71"/>
      <c r="AH37" s="71"/>
      <c r="AI37" s="68"/>
      <c r="AJ37" s="214">
        <v>3.9689999999999994E-4</v>
      </c>
      <c r="AK37" s="214">
        <v>1.7345999999999999</v>
      </c>
      <c r="AL37" s="214">
        <v>2</v>
      </c>
      <c r="AM37" s="214">
        <v>3.6734700000000002E-4</v>
      </c>
      <c r="AN37" s="68"/>
      <c r="AO37" s="67"/>
      <c r="AP37" s="67"/>
      <c r="AQ37" s="67"/>
      <c r="AR37" s="67"/>
      <c r="AS37" s="67"/>
      <c r="AT37" s="68"/>
      <c r="AU37" s="49"/>
      <c r="AV37" s="50"/>
    </row>
    <row r="38" spans="1:48" ht="12.75" customHeight="1" x14ac:dyDescent="0.25">
      <c r="A38" s="72" t="s">
        <v>23</v>
      </c>
      <c r="B38" s="43" t="s">
        <v>159</v>
      </c>
      <c r="C38" s="44" t="s">
        <v>188</v>
      </c>
      <c r="D38" s="45">
        <f>MROUND(MID($C38,6,3)/Basis!$E$3,0.5)</f>
        <v>8</v>
      </c>
      <c r="E38" s="45">
        <f>MROUND(MID($C38,9,3)/Basis!$E$3,0.5)</f>
        <v>55</v>
      </c>
      <c r="F38" s="124" t="s">
        <v>2944</v>
      </c>
      <c r="G38" s="45">
        <f>ROUND((ROUNDDOWN($F38/5,0)*5+1.8)/Basis!$E$3,1)</f>
        <v>6.6</v>
      </c>
      <c r="H38" s="120">
        <f>ROUND($P38*Basis!$E$2*((TaH-TrH)/LN(1/µ)/Basis!$E$7)^$N38*$AA$4*Glycol,0)</f>
        <v>3272</v>
      </c>
      <c r="I38" s="83">
        <f>ROUND(H38/(MID($C38,9,3)/Basis!$E$3/Basis!$E$9)*Basis!$E$11,0)</f>
        <v>712</v>
      </c>
      <c r="J38" s="123">
        <f>IF(Basis!$E$1=1,ROUND(H38/((TaH-TrH)*1.163)/3600,3),ROUND(H38/(500*(TaH-TrH)),2))</f>
        <v>0.33</v>
      </c>
      <c r="K38" s="84"/>
      <c r="L38" s="177">
        <f>CHOOSE(Basis!$E$1,((AJ38*(J38*3600/Basis!$E$5)^AK38*(((MID(C38,9,3)*10)-144)/1000)*AL38+AM38*(J38*3600/Basis!$E$5)^2)*0.0098)/Basis!$E$10,((AJ38*(J38/Basis!$E$5)^AK38*(((MID(C38,9,3)*10)-144)/1000)*AL38+AM38*(J38/Basis!$E$5)^2)*0.0098)/Basis!$E$10)</f>
        <v>1.1402661305964245E-2</v>
      </c>
      <c r="M38" s="85"/>
      <c r="N38" s="110">
        <v>1.4079999999999999</v>
      </c>
      <c r="O38" s="74"/>
      <c r="P38" s="73">
        <v>1526</v>
      </c>
      <c r="Q38" s="74"/>
      <c r="R38" s="75"/>
      <c r="S38" s="75"/>
      <c r="T38" s="75"/>
      <c r="U38" s="75"/>
      <c r="V38" s="75"/>
      <c r="W38" s="74"/>
      <c r="X38" s="76"/>
      <c r="Y38" s="76"/>
      <c r="Z38" s="76"/>
      <c r="AA38" s="76"/>
      <c r="AB38" s="76"/>
      <c r="AC38" s="74"/>
      <c r="AD38" s="77"/>
      <c r="AE38" s="77"/>
      <c r="AF38" s="77"/>
      <c r="AG38" s="77"/>
      <c r="AH38" s="77"/>
      <c r="AI38" s="68"/>
      <c r="AJ38" s="213">
        <v>2.0829999999999999E-4</v>
      </c>
      <c r="AK38" s="213">
        <v>1.724</v>
      </c>
      <c r="AL38" s="213">
        <v>2</v>
      </c>
      <c r="AM38" s="213">
        <v>4.6182900000000003E-4</v>
      </c>
      <c r="AN38" s="74"/>
      <c r="AO38" s="73"/>
      <c r="AP38" s="73"/>
      <c r="AQ38" s="73"/>
      <c r="AR38" s="73"/>
      <c r="AS38" s="73"/>
      <c r="AT38" s="74"/>
      <c r="AU38" s="47"/>
      <c r="AV38" s="48"/>
    </row>
    <row r="39" spans="1:48" ht="12.75" customHeight="1" x14ac:dyDescent="0.25">
      <c r="A39" s="72" t="s">
        <v>23</v>
      </c>
      <c r="B39" s="43" t="s">
        <v>159</v>
      </c>
      <c r="C39" s="44" t="s">
        <v>189</v>
      </c>
      <c r="D39" s="45">
        <f>MROUND(MID($C39,6,3)/Basis!$E$3,0.5)</f>
        <v>8</v>
      </c>
      <c r="E39" s="45">
        <f>MROUND(MID($C39,9,3)/Basis!$E$3,0.5)</f>
        <v>55</v>
      </c>
      <c r="F39" s="124" t="s">
        <v>2945</v>
      </c>
      <c r="G39" s="45">
        <f>ROUND((ROUNDDOWN($F39/5,0)*5+1.8)/Basis!$E$3,1)</f>
        <v>8.6</v>
      </c>
      <c r="H39" s="120">
        <f>ROUND($P39*Basis!$E$2*((TaH-TrH)/LN(1/µ)/Basis!$E$7)^$N39*$AA$4*Glycol,0)</f>
        <v>4599</v>
      </c>
      <c r="I39" s="83">
        <f>ROUND(H39/(MID($C39,9,3)/Basis!$E$3/Basis!$E$9)*Basis!$E$11,0)</f>
        <v>1001</v>
      </c>
      <c r="J39" s="123">
        <f>IF(Basis!$E$1=1,ROUND(H39/((TaH-TrH)*1.163)/3600,3),ROUND(H39/(500*(TaH-TrH)),2))</f>
        <v>0.46</v>
      </c>
      <c r="K39" s="84"/>
      <c r="L39" s="177">
        <f>CHOOSE(Basis!$E$1,((AJ39*(J39*3600/Basis!$E$5)^AK39*(((MID(C39,9,3)*10)-144)/1000)*AL39+AM39*(J39*3600/Basis!$E$5)^2)*0.0098)/Basis!$E$10,((AJ39*(J39/Basis!$E$5)^AK39*(((MID(C39,9,3)*10)-144)/1000)*AL39+AM39*(J39/Basis!$E$5)^2)*0.0098)/Basis!$E$10)</f>
        <v>1.6581522174374558E-2</v>
      </c>
      <c r="M39" s="85"/>
      <c r="N39" s="109">
        <v>1.4079999999999999</v>
      </c>
      <c r="O39" s="68"/>
      <c r="P39" s="67">
        <v>2145</v>
      </c>
      <c r="Q39" s="68"/>
      <c r="R39" s="69"/>
      <c r="S39" s="69"/>
      <c r="T39" s="69"/>
      <c r="U39" s="69"/>
      <c r="V39" s="69"/>
      <c r="W39" s="68"/>
      <c r="X39" s="70"/>
      <c r="Y39" s="70"/>
      <c r="Z39" s="70"/>
      <c r="AA39" s="70"/>
      <c r="AB39" s="70"/>
      <c r="AC39" s="68"/>
      <c r="AD39" s="71"/>
      <c r="AE39" s="71"/>
      <c r="AF39" s="71"/>
      <c r="AG39" s="71"/>
      <c r="AH39" s="71"/>
      <c r="AI39" s="68"/>
      <c r="AJ39" s="214">
        <v>1.2760000000000001E-4</v>
      </c>
      <c r="AK39" s="214">
        <v>1.7219</v>
      </c>
      <c r="AL39" s="214">
        <v>2</v>
      </c>
      <c r="AM39" s="214">
        <v>3.76611E-4</v>
      </c>
      <c r="AN39" s="68"/>
      <c r="AO39" s="67"/>
      <c r="AP39" s="67"/>
      <c r="AQ39" s="67"/>
      <c r="AR39" s="67"/>
      <c r="AS39" s="67"/>
      <c r="AT39" s="68"/>
      <c r="AU39" s="49"/>
      <c r="AV39" s="50"/>
    </row>
    <row r="40" spans="1:48" ht="12.75" customHeight="1" x14ac:dyDescent="0.25">
      <c r="A40" s="72" t="s">
        <v>23</v>
      </c>
      <c r="B40" s="43" t="s">
        <v>159</v>
      </c>
      <c r="C40" s="44" t="s">
        <v>190</v>
      </c>
      <c r="D40" s="45">
        <f>MROUND(MID($C40,6,3)/Basis!$E$3,0.5)</f>
        <v>8</v>
      </c>
      <c r="E40" s="45">
        <f>MROUND(MID($C40,9,3)/Basis!$E$3,0.5)</f>
        <v>63</v>
      </c>
      <c r="F40" s="124" t="s">
        <v>2943</v>
      </c>
      <c r="G40" s="45">
        <f>ROUND((ROUNDDOWN($F40/5,0)*5+1.8)/Basis!$E$3,1)</f>
        <v>4.5999999999999996</v>
      </c>
      <c r="H40" s="120">
        <f>ROUND($P40*Basis!$E$2*((TaH-TrH)/LN(1/µ)/Basis!$E$7)^$N40*$AA$4*Glycol,0)</f>
        <v>2243</v>
      </c>
      <c r="I40" s="83">
        <f>ROUND(H40/(MID($C40,9,3)/Basis!$E$3/Basis!$E$9)*Basis!$E$11,0)</f>
        <v>427</v>
      </c>
      <c r="J40" s="123">
        <f>IF(Basis!$E$1=1,ROUND(H40/((TaH-TrH)*1.163)/3600,3),ROUND(H40/(500*(TaH-TrH)),2))</f>
        <v>0.22</v>
      </c>
      <c r="K40" s="84"/>
      <c r="L40" s="177">
        <f>CHOOSE(Basis!$E$1,((AJ40*(J40*3600/Basis!$E$5)^AK40*(((MID(C40,9,3)*10)-144)/1000)*AL40+AM40*(J40*3600/Basis!$E$5)^2)*0.0098)/Basis!$E$10,((AJ40*(J40/Basis!$E$5)^AK40*(((MID(C40,9,3)*10)-144)/1000)*AL40+AM40*(J40/Basis!$E$5)^2)*0.0098)/Basis!$E$10)</f>
        <v>6.3402792021210316E-3</v>
      </c>
      <c r="M40" s="85"/>
      <c r="N40" s="110">
        <v>1.413</v>
      </c>
      <c r="O40" s="74"/>
      <c r="P40" s="73">
        <v>1048</v>
      </c>
      <c r="Q40" s="74"/>
      <c r="R40" s="75"/>
      <c r="S40" s="75"/>
      <c r="T40" s="75"/>
      <c r="U40" s="75"/>
      <c r="V40" s="75"/>
      <c r="W40" s="74"/>
      <c r="X40" s="76"/>
      <c r="Y40" s="76"/>
      <c r="Z40" s="76"/>
      <c r="AA40" s="76"/>
      <c r="AB40" s="76"/>
      <c r="AC40" s="74"/>
      <c r="AD40" s="77"/>
      <c r="AE40" s="77"/>
      <c r="AF40" s="77"/>
      <c r="AG40" s="77"/>
      <c r="AH40" s="77"/>
      <c r="AI40" s="68"/>
      <c r="AJ40" s="213">
        <v>3.9689999999999994E-4</v>
      </c>
      <c r="AK40" s="213">
        <v>1.7345999999999999</v>
      </c>
      <c r="AL40" s="213">
        <v>2</v>
      </c>
      <c r="AM40" s="213">
        <v>3.6734700000000002E-4</v>
      </c>
      <c r="AN40" s="74"/>
      <c r="AO40" s="73"/>
      <c r="AP40" s="73"/>
      <c r="AQ40" s="73"/>
      <c r="AR40" s="73"/>
      <c r="AS40" s="73"/>
      <c r="AT40" s="74"/>
      <c r="AU40" s="47"/>
      <c r="AV40" s="48"/>
    </row>
    <row r="41" spans="1:48" ht="12.75" customHeight="1" x14ac:dyDescent="0.25">
      <c r="A41" s="72" t="s">
        <v>23</v>
      </c>
      <c r="B41" s="43" t="s">
        <v>159</v>
      </c>
      <c r="C41" s="44" t="s">
        <v>191</v>
      </c>
      <c r="D41" s="45">
        <f>MROUND(MID($C41,6,3)/Basis!$E$3,0.5)</f>
        <v>8</v>
      </c>
      <c r="E41" s="45">
        <f>MROUND(MID($C41,9,3)/Basis!$E$3,0.5)</f>
        <v>63</v>
      </c>
      <c r="F41" s="124" t="s">
        <v>2944</v>
      </c>
      <c r="G41" s="45">
        <f>ROUND((ROUNDDOWN($F41/5,0)*5+1.8)/Basis!$E$3,1)</f>
        <v>6.6</v>
      </c>
      <c r="H41" s="120">
        <f>ROUND($P41*Basis!$E$2*((TaH-TrH)/LN(1/µ)/Basis!$E$7)^$N41*$AA$4*Glycol,0)</f>
        <v>3739</v>
      </c>
      <c r="I41" s="83">
        <f>ROUND(H41/(MID($C41,9,3)/Basis!$E$3/Basis!$E$9)*Basis!$E$11,0)</f>
        <v>712</v>
      </c>
      <c r="J41" s="123">
        <f>IF(Basis!$E$1=1,ROUND(H41/((TaH-TrH)*1.163)/3600,3),ROUND(H41/(500*(TaH-TrH)),2))</f>
        <v>0.37</v>
      </c>
      <c r="K41" s="84"/>
      <c r="L41" s="177">
        <f>CHOOSE(Basis!$E$1,((AJ41*(J41*3600/Basis!$E$5)^AK41*(((MID(C41,9,3)*10)-144)/1000)*AL41+AM41*(J41*3600/Basis!$E$5)^2)*0.0098)/Basis!$E$10,((AJ41*(J41/Basis!$E$5)^AK41*(((MID(C41,9,3)*10)-144)/1000)*AL41+AM41*(J41/Basis!$E$5)^2)*0.0098)/Basis!$E$10)</f>
        <v>1.4786677814499674E-2</v>
      </c>
      <c r="M41" s="85"/>
      <c r="N41" s="109">
        <v>1.4079999999999999</v>
      </c>
      <c r="O41" s="68"/>
      <c r="P41" s="67">
        <v>1744</v>
      </c>
      <c r="Q41" s="68"/>
      <c r="R41" s="69"/>
      <c r="S41" s="69"/>
      <c r="T41" s="69"/>
      <c r="U41" s="69"/>
      <c r="V41" s="69"/>
      <c r="W41" s="68"/>
      <c r="X41" s="70"/>
      <c r="Y41" s="70"/>
      <c r="Z41" s="70"/>
      <c r="AA41" s="70"/>
      <c r="AB41" s="70"/>
      <c r="AC41" s="68"/>
      <c r="AD41" s="71"/>
      <c r="AE41" s="71"/>
      <c r="AF41" s="71"/>
      <c r="AG41" s="71"/>
      <c r="AH41" s="71"/>
      <c r="AI41" s="68"/>
      <c r="AJ41" s="214">
        <v>2.0829999999999999E-4</v>
      </c>
      <c r="AK41" s="214">
        <v>1.724</v>
      </c>
      <c r="AL41" s="214">
        <v>2</v>
      </c>
      <c r="AM41" s="214">
        <v>4.6182900000000003E-4</v>
      </c>
      <c r="AN41" s="68"/>
      <c r="AO41" s="67"/>
      <c r="AP41" s="67"/>
      <c r="AQ41" s="67"/>
      <c r="AR41" s="67"/>
      <c r="AS41" s="67"/>
      <c r="AT41" s="68"/>
      <c r="AU41" s="49"/>
      <c r="AV41" s="50"/>
    </row>
    <row r="42" spans="1:48" ht="12.75" customHeight="1" x14ac:dyDescent="0.25">
      <c r="A42" s="72" t="s">
        <v>23</v>
      </c>
      <c r="B42" s="43" t="s">
        <v>159</v>
      </c>
      <c r="C42" s="44" t="s">
        <v>192</v>
      </c>
      <c r="D42" s="45">
        <f>MROUND(MID($C42,6,3)/Basis!$E$3,0.5)</f>
        <v>8</v>
      </c>
      <c r="E42" s="45">
        <f>MROUND(MID($C42,9,3)/Basis!$E$3,0.5)</f>
        <v>63</v>
      </c>
      <c r="F42" s="124" t="s">
        <v>2945</v>
      </c>
      <c r="G42" s="45">
        <f>ROUND((ROUNDDOWN($F42/5,0)*5+1.8)/Basis!$E$3,1)</f>
        <v>8.6</v>
      </c>
      <c r="H42" s="120">
        <f>ROUND($P42*Basis!$E$2*((TaH-TrH)/LN(1/µ)/Basis!$E$7)^$N42*$AA$4*Glycol,0)</f>
        <v>5255</v>
      </c>
      <c r="I42" s="83">
        <f>ROUND(H42/(MID($C42,9,3)/Basis!$E$3/Basis!$E$9)*Basis!$E$11,0)</f>
        <v>1001</v>
      </c>
      <c r="J42" s="123">
        <f>IF(Basis!$E$1=1,ROUND(H42/((TaH-TrH)*1.163)/3600,3),ROUND(H42/(500*(TaH-TrH)),2))</f>
        <v>0.53</v>
      </c>
      <c r="K42" s="84"/>
      <c r="L42" s="177">
        <f>CHOOSE(Basis!$E$1,((AJ42*(J42*3600/Basis!$E$5)^AK42*(((MID(C42,9,3)*10)-144)/1000)*AL42+AM42*(J42*3600/Basis!$E$5)^2)*0.0098)/Basis!$E$10,((AJ42*(J42/Basis!$E$5)^AK42*(((MID(C42,9,3)*10)-144)/1000)*AL42+AM42*(J42/Basis!$E$5)^2)*0.0098)/Basis!$E$10)</f>
        <v>2.2489158899361258E-2</v>
      </c>
      <c r="M42" s="85"/>
      <c r="N42" s="110">
        <v>1.4079999999999999</v>
      </c>
      <c r="O42" s="74"/>
      <c r="P42" s="73">
        <v>2451</v>
      </c>
      <c r="Q42" s="74"/>
      <c r="R42" s="75"/>
      <c r="S42" s="75"/>
      <c r="T42" s="75"/>
      <c r="U42" s="75"/>
      <c r="V42" s="75"/>
      <c r="W42" s="74"/>
      <c r="X42" s="76"/>
      <c r="Y42" s="76"/>
      <c r="Z42" s="76"/>
      <c r="AA42" s="76"/>
      <c r="AB42" s="76"/>
      <c r="AC42" s="74"/>
      <c r="AD42" s="77"/>
      <c r="AE42" s="77"/>
      <c r="AF42" s="77"/>
      <c r="AG42" s="77"/>
      <c r="AH42" s="77"/>
      <c r="AI42" s="68"/>
      <c r="AJ42" s="213">
        <v>1.2760000000000001E-4</v>
      </c>
      <c r="AK42" s="213">
        <v>1.7219</v>
      </c>
      <c r="AL42" s="213">
        <v>2</v>
      </c>
      <c r="AM42" s="213">
        <v>3.76611E-4</v>
      </c>
      <c r="AN42" s="74"/>
      <c r="AO42" s="73"/>
      <c r="AP42" s="73"/>
      <c r="AQ42" s="73"/>
      <c r="AR42" s="73"/>
      <c r="AS42" s="73"/>
      <c r="AT42" s="74"/>
      <c r="AU42" s="47"/>
      <c r="AV42" s="48"/>
    </row>
    <row r="43" spans="1:48" ht="12.75" customHeight="1" x14ac:dyDescent="0.25">
      <c r="A43" s="72" t="s">
        <v>23</v>
      </c>
      <c r="B43" s="43" t="s">
        <v>159</v>
      </c>
      <c r="C43" s="44" t="s">
        <v>193</v>
      </c>
      <c r="D43" s="45">
        <f>MROUND(MID($C43,6,3)/Basis!$E$3,0.5)</f>
        <v>8</v>
      </c>
      <c r="E43" s="45">
        <f>MROUND(MID($C43,9,3)/Basis!$E$3,0.5)</f>
        <v>71</v>
      </c>
      <c r="F43" s="124" t="s">
        <v>2943</v>
      </c>
      <c r="G43" s="45">
        <f>ROUND((ROUNDDOWN($F43/5,0)*5+1.8)/Basis!$E$3,1)</f>
        <v>4.5999999999999996</v>
      </c>
      <c r="H43" s="120">
        <f>ROUND($P43*Basis!$E$2*((TaH-TrH)/LN(1/µ)/Basis!$E$7)^$N43*$AA$4*Glycol,0)</f>
        <v>2524</v>
      </c>
      <c r="I43" s="83">
        <f>ROUND(H43/(MID($C43,9,3)/Basis!$E$3/Basis!$E$9)*Basis!$E$11,0)</f>
        <v>427</v>
      </c>
      <c r="J43" s="123">
        <f>IF(Basis!$E$1=1,ROUND(H43/((TaH-TrH)*1.163)/3600,3),ROUND(H43/(500*(TaH-TrH)),2))</f>
        <v>0.25</v>
      </c>
      <c r="K43" s="84"/>
      <c r="L43" s="177">
        <f>CHOOSE(Basis!$E$1,((AJ43*(J43*3600/Basis!$E$5)^AK43*(((MID(C43,9,3)*10)-144)/1000)*AL43+AM43*(J43*3600/Basis!$E$5)^2)*0.0098)/Basis!$E$10,((AJ43*(J43/Basis!$E$5)^AK43*(((MID(C43,9,3)*10)-144)/1000)*AL43+AM43*(J43/Basis!$E$5)^2)*0.0098)/Basis!$E$10)</f>
        <v>8.6163343041734883E-3</v>
      </c>
      <c r="M43" s="85"/>
      <c r="N43" s="109">
        <v>1.413</v>
      </c>
      <c r="O43" s="68"/>
      <c r="P43" s="67">
        <v>1179</v>
      </c>
      <c r="Q43" s="68"/>
      <c r="R43" s="69"/>
      <c r="S43" s="69"/>
      <c r="T43" s="69"/>
      <c r="U43" s="69"/>
      <c r="V43" s="69"/>
      <c r="W43" s="68"/>
      <c r="X43" s="70"/>
      <c r="Y43" s="70"/>
      <c r="Z43" s="70"/>
      <c r="AA43" s="70"/>
      <c r="AB43" s="70"/>
      <c r="AC43" s="68"/>
      <c r="AD43" s="71"/>
      <c r="AE43" s="71"/>
      <c r="AF43" s="71"/>
      <c r="AG43" s="71"/>
      <c r="AH43" s="71"/>
      <c r="AI43" s="68"/>
      <c r="AJ43" s="214">
        <v>3.9689999999999994E-4</v>
      </c>
      <c r="AK43" s="214">
        <v>1.7345999999999999</v>
      </c>
      <c r="AL43" s="214">
        <v>2</v>
      </c>
      <c r="AM43" s="214">
        <v>3.6734700000000002E-4</v>
      </c>
      <c r="AN43" s="68"/>
      <c r="AO43" s="67"/>
      <c r="AP43" s="67"/>
      <c r="AQ43" s="67"/>
      <c r="AR43" s="67"/>
      <c r="AS43" s="67"/>
      <c r="AT43" s="68"/>
      <c r="AU43" s="49"/>
      <c r="AV43" s="50"/>
    </row>
    <row r="44" spans="1:48" ht="12.75" customHeight="1" x14ac:dyDescent="0.25">
      <c r="A44" s="72" t="s">
        <v>23</v>
      </c>
      <c r="B44" s="43" t="s">
        <v>159</v>
      </c>
      <c r="C44" s="44" t="s">
        <v>194</v>
      </c>
      <c r="D44" s="45">
        <f>MROUND(MID($C44,6,3)/Basis!$E$3,0.5)</f>
        <v>8</v>
      </c>
      <c r="E44" s="45">
        <f>MROUND(MID($C44,9,3)/Basis!$E$3,0.5)</f>
        <v>71</v>
      </c>
      <c r="F44" s="124" t="s">
        <v>2944</v>
      </c>
      <c r="G44" s="45">
        <f>ROUND((ROUNDDOWN($F44/5,0)*5+1.8)/Basis!$E$3,1)</f>
        <v>6.6</v>
      </c>
      <c r="H44" s="120">
        <f>ROUND($P44*Basis!$E$2*((TaH-TrH)/LN(1/µ)/Basis!$E$7)^$N44*$AA$4*Glycol,0)</f>
        <v>4206</v>
      </c>
      <c r="I44" s="83">
        <f>ROUND(H44/(MID($C44,9,3)/Basis!$E$3/Basis!$E$9)*Basis!$E$11,0)</f>
        <v>712</v>
      </c>
      <c r="J44" s="123">
        <f>IF(Basis!$E$1=1,ROUND(H44/((TaH-TrH)*1.163)/3600,3),ROUND(H44/(500*(TaH-TrH)),2))</f>
        <v>0.42</v>
      </c>
      <c r="K44" s="84"/>
      <c r="L44" s="177">
        <f>CHOOSE(Basis!$E$1,((AJ44*(J44*3600/Basis!$E$5)^AK44*(((MID(C44,9,3)*10)-144)/1000)*AL44+AM44*(J44*3600/Basis!$E$5)^2)*0.0098)/Basis!$E$10,((AJ44*(J44/Basis!$E$5)^AK44*(((MID(C44,9,3)*10)-144)/1000)*AL44+AM44*(J44/Basis!$E$5)^2)*0.0098)/Basis!$E$10)</f>
        <v>1.9575082342513456E-2</v>
      </c>
      <c r="M44" s="85"/>
      <c r="N44" s="110">
        <v>1.4079999999999999</v>
      </c>
      <c r="O44" s="74"/>
      <c r="P44" s="73">
        <v>1962</v>
      </c>
      <c r="Q44" s="74"/>
      <c r="R44" s="75"/>
      <c r="S44" s="75"/>
      <c r="T44" s="75"/>
      <c r="U44" s="75"/>
      <c r="V44" s="75"/>
      <c r="W44" s="74"/>
      <c r="X44" s="76"/>
      <c r="Y44" s="76"/>
      <c r="Z44" s="76"/>
      <c r="AA44" s="76"/>
      <c r="AB44" s="76"/>
      <c r="AC44" s="74"/>
      <c r="AD44" s="77"/>
      <c r="AE44" s="77"/>
      <c r="AF44" s="77"/>
      <c r="AG44" s="77"/>
      <c r="AH44" s="77"/>
      <c r="AI44" s="68"/>
      <c r="AJ44" s="213">
        <v>2.0829999999999999E-4</v>
      </c>
      <c r="AK44" s="213">
        <v>1.724</v>
      </c>
      <c r="AL44" s="213">
        <v>2</v>
      </c>
      <c r="AM44" s="213">
        <v>4.6182900000000003E-4</v>
      </c>
      <c r="AN44" s="74"/>
      <c r="AO44" s="73"/>
      <c r="AP44" s="73"/>
      <c r="AQ44" s="73"/>
      <c r="AR44" s="73"/>
      <c r="AS44" s="73"/>
      <c r="AT44" s="74"/>
      <c r="AU44" s="47"/>
      <c r="AV44" s="48"/>
    </row>
    <row r="45" spans="1:48" ht="12.75" customHeight="1" x14ac:dyDescent="0.25">
      <c r="A45" s="72" t="s">
        <v>23</v>
      </c>
      <c r="B45" s="43" t="s">
        <v>159</v>
      </c>
      <c r="C45" s="44" t="s">
        <v>195</v>
      </c>
      <c r="D45" s="45">
        <f>MROUND(MID($C45,6,3)/Basis!$E$3,0.5)</f>
        <v>8</v>
      </c>
      <c r="E45" s="45">
        <f>MROUND(MID($C45,9,3)/Basis!$E$3,0.5)</f>
        <v>71</v>
      </c>
      <c r="F45" s="124" t="s">
        <v>2945</v>
      </c>
      <c r="G45" s="45">
        <f>ROUND((ROUNDDOWN($F45/5,0)*5+1.8)/Basis!$E$3,1)</f>
        <v>8.6</v>
      </c>
      <c r="H45" s="120">
        <f>ROUND($P45*Basis!$E$2*((TaH-TrH)/LN(1/µ)/Basis!$E$7)^$N45*$AA$4*Glycol,0)</f>
        <v>5913</v>
      </c>
      <c r="I45" s="83">
        <f>ROUND(H45/(MID($C45,9,3)/Basis!$E$3/Basis!$E$9)*Basis!$E$11,0)</f>
        <v>1001</v>
      </c>
      <c r="J45" s="123">
        <f>IF(Basis!$E$1=1,ROUND(H45/((TaH-TrH)*1.163)/3600,3),ROUND(H45/(500*(TaH-TrH)),2))</f>
        <v>0.59</v>
      </c>
      <c r="K45" s="84"/>
      <c r="L45" s="177">
        <f>CHOOSE(Basis!$E$1,((AJ45*(J45*3600/Basis!$E$5)^AK45*(((MID(C45,9,3)*10)-144)/1000)*AL45+AM45*(J45*3600/Basis!$E$5)^2)*0.0098)/Basis!$E$10,((AJ45*(J45/Basis!$E$5)^AK45*(((MID(C45,9,3)*10)-144)/1000)*AL45+AM45*(J45/Basis!$E$5)^2)*0.0098)/Basis!$E$10)</f>
        <v>2.8467646728980531E-2</v>
      </c>
      <c r="M45" s="85"/>
      <c r="N45" s="109">
        <v>1.4079999999999999</v>
      </c>
      <c r="O45" s="68"/>
      <c r="P45" s="67">
        <v>2758</v>
      </c>
      <c r="Q45" s="68"/>
      <c r="R45" s="69"/>
      <c r="S45" s="69"/>
      <c r="T45" s="69"/>
      <c r="U45" s="69"/>
      <c r="V45" s="69"/>
      <c r="W45" s="68"/>
      <c r="X45" s="70"/>
      <c r="Y45" s="70"/>
      <c r="Z45" s="70"/>
      <c r="AA45" s="70"/>
      <c r="AB45" s="70"/>
      <c r="AC45" s="68"/>
      <c r="AD45" s="71"/>
      <c r="AE45" s="71"/>
      <c r="AF45" s="71"/>
      <c r="AG45" s="71"/>
      <c r="AH45" s="71"/>
      <c r="AI45" s="68"/>
      <c r="AJ45" s="214">
        <v>1.2760000000000001E-4</v>
      </c>
      <c r="AK45" s="214">
        <v>1.7219</v>
      </c>
      <c r="AL45" s="214">
        <v>2</v>
      </c>
      <c r="AM45" s="214">
        <v>3.76611E-4</v>
      </c>
      <c r="AN45" s="68"/>
      <c r="AO45" s="67"/>
      <c r="AP45" s="67"/>
      <c r="AQ45" s="67"/>
      <c r="AR45" s="67"/>
      <c r="AS45" s="67"/>
      <c r="AT45" s="68"/>
      <c r="AU45" s="49"/>
      <c r="AV45" s="50"/>
    </row>
    <row r="46" spans="1:48" ht="12.75" customHeight="1" x14ac:dyDescent="0.25">
      <c r="A46" s="72" t="s">
        <v>23</v>
      </c>
      <c r="B46" s="43" t="s">
        <v>159</v>
      </c>
      <c r="C46" s="44" t="s">
        <v>196</v>
      </c>
      <c r="D46" s="45">
        <f>MROUND(MID($C46,6,3)/Basis!$E$3,0.5)</f>
        <v>8</v>
      </c>
      <c r="E46" s="45">
        <f>MROUND(MID($C46,9,3)/Basis!$E$3,0.5)</f>
        <v>78.5</v>
      </c>
      <c r="F46" s="124" t="s">
        <v>2943</v>
      </c>
      <c r="G46" s="45">
        <f>ROUND((ROUNDDOWN($F46/5,0)*5+1.8)/Basis!$E$3,1)</f>
        <v>4.5999999999999996</v>
      </c>
      <c r="H46" s="120">
        <f>ROUND($P46*Basis!$E$2*((TaH-TrH)/LN(1/µ)/Basis!$E$7)^$N46*$AA$4*Glycol,0)</f>
        <v>2804</v>
      </c>
      <c r="I46" s="83">
        <f>ROUND(H46/(MID($C46,9,3)/Basis!$E$3/Basis!$E$9)*Basis!$E$11,0)</f>
        <v>427</v>
      </c>
      <c r="J46" s="123">
        <f>IF(Basis!$E$1=1,ROUND(H46/((TaH-TrH)*1.163)/3600,3),ROUND(H46/(500*(TaH-TrH)),2))</f>
        <v>0.28000000000000003</v>
      </c>
      <c r="K46" s="84"/>
      <c r="L46" s="177">
        <f>CHOOSE(Basis!$E$1,((AJ46*(J46*3600/Basis!$E$5)^AK46*(((MID(C46,9,3)*10)-144)/1000)*AL46+AM46*(J46*3600/Basis!$E$5)^2)*0.0098)/Basis!$E$10,((AJ46*(J46/Basis!$E$5)^AK46*(((MID(C46,9,3)*10)-144)/1000)*AL46+AM46*(J46/Basis!$E$5)^2)*0.0098)/Basis!$E$10)</f>
        <v>1.1329396121928459E-2</v>
      </c>
      <c r="M46" s="85"/>
      <c r="N46" s="110">
        <v>1.413</v>
      </c>
      <c r="O46" s="74"/>
      <c r="P46" s="73">
        <v>1310</v>
      </c>
      <c r="Q46" s="74"/>
      <c r="R46" s="75"/>
      <c r="S46" s="75"/>
      <c r="T46" s="75"/>
      <c r="U46" s="75"/>
      <c r="V46" s="75"/>
      <c r="W46" s="74"/>
      <c r="X46" s="76"/>
      <c r="Y46" s="76"/>
      <c r="Z46" s="76"/>
      <c r="AA46" s="76"/>
      <c r="AB46" s="76"/>
      <c r="AC46" s="74"/>
      <c r="AD46" s="77"/>
      <c r="AE46" s="77"/>
      <c r="AF46" s="77"/>
      <c r="AG46" s="77"/>
      <c r="AH46" s="77"/>
      <c r="AI46" s="68"/>
      <c r="AJ46" s="213">
        <v>3.9689999999999994E-4</v>
      </c>
      <c r="AK46" s="213">
        <v>1.7345999999999999</v>
      </c>
      <c r="AL46" s="213">
        <v>2</v>
      </c>
      <c r="AM46" s="213">
        <v>3.6734700000000002E-4</v>
      </c>
      <c r="AN46" s="74"/>
      <c r="AO46" s="73"/>
      <c r="AP46" s="73"/>
      <c r="AQ46" s="73"/>
      <c r="AR46" s="73"/>
      <c r="AS46" s="73"/>
      <c r="AT46" s="74"/>
      <c r="AU46" s="47"/>
      <c r="AV46" s="48"/>
    </row>
    <row r="47" spans="1:48" ht="12.75" customHeight="1" x14ac:dyDescent="0.25">
      <c r="A47" s="72" t="s">
        <v>23</v>
      </c>
      <c r="B47" s="43" t="s">
        <v>159</v>
      </c>
      <c r="C47" s="44" t="s">
        <v>197</v>
      </c>
      <c r="D47" s="45">
        <f>MROUND(MID($C47,6,3)/Basis!$E$3,0.5)</f>
        <v>8</v>
      </c>
      <c r="E47" s="45">
        <f>MROUND(MID($C47,9,3)/Basis!$E$3,0.5)</f>
        <v>78.5</v>
      </c>
      <c r="F47" s="124" t="s">
        <v>2944</v>
      </c>
      <c r="G47" s="45">
        <f>ROUND((ROUNDDOWN($F47/5,0)*5+1.8)/Basis!$E$3,1)</f>
        <v>6.6</v>
      </c>
      <c r="H47" s="120">
        <f>ROUND($P47*Basis!$E$2*((TaH-TrH)/LN(1/µ)/Basis!$E$7)^$N47*$AA$4*Glycol,0)</f>
        <v>4674</v>
      </c>
      <c r="I47" s="83">
        <f>ROUND(H47/(MID($C47,9,3)/Basis!$E$3/Basis!$E$9)*Basis!$E$11,0)</f>
        <v>712</v>
      </c>
      <c r="J47" s="123">
        <f>IF(Basis!$E$1=1,ROUND(H47/((TaH-TrH)*1.163)/3600,3),ROUND(H47/(500*(TaH-TrH)),2))</f>
        <v>0.47</v>
      </c>
      <c r="K47" s="84"/>
      <c r="L47" s="177">
        <f>CHOOSE(Basis!$E$1,((AJ47*(J47*3600/Basis!$E$5)^AK47*(((MID(C47,9,3)*10)-144)/1000)*AL47+AM47*(J47*3600/Basis!$E$5)^2)*0.0098)/Basis!$E$10,((AJ47*(J47/Basis!$E$5)^AK47*(((MID(C47,9,3)*10)-144)/1000)*AL47+AM47*(J47/Basis!$E$5)^2)*0.0098)/Basis!$E$10)</f>
        <v>2.5145301667064975E-2</v>
      </c>
      <c r="M47" s="85"/>
      <c r="N47" s="109">
        <v>1.4079999999999999</v>
      </c>
      <c r="O47" s="68"/>
      <c r="P47" s="67">
        <v>2180</v>
      </c>
      <c r="Q47" s="68"/>
      <c r="R47" s="69"/>
      <c r="S47" s="69"/>
      <c r="T47" s="69"/>
      <c r="U47" s="69"/>
      <c r="V47" s="69"/>
      <c r="W47" s="68"/>
      <c r="X47" s="70"/>
      <c r="Y47" s="70"/>
      <c r="Z47" s="70"/>
      <c r="AA47" s="70"/>
      <c r="AB47" s="70"/>
      <c r="AC47" s="68"/>
      <c r="AD47" s="71"/>
      <c r="AE47" s="71"/>
      <c r="AF47" s="71"/>
      <c r="AG47" s="71"/>
      <c r="AH47" s="71"/>
      <c r="AI47" s="68"/>
      <c r="AJ47" s="214">
        <v>2.0829999999999999E-4</v>
      </c>
      <c r="AK47" s="214">
        <v>1.724</v>
      </c>
      <c r="AL47" s="214">
        <v>2</v>
      </c>
      <c r="AM47" s="214">
        <v>4.6182900000000003E-4</v>
      </c>
      <c r="AN47" s="68"/>
      <c r="AO47" s="67"/>
      <c r="AP47" s="67"/>
      <c r="AQ47" s="67"/>
      <c r="AR47" s="67"/>
      <c r="AS47" s="67"/>
      <c r="AT47" s="68"/>
      <c r="AU47" s="49"/>
      <c r="AV47" s="50"/>
    </row>
    <row r="48" spans="1:48" ht="12.75" customHeight="1" x14ac:dyDescent="0.25">
      <c r="A48" s="72" t="s">
        <v>23</v>
      </c>
      <c r="B48" s="43" t="s">
        <v>159</v>
      </c>
      <c r="C48" s="44" t="s">
        <v>198</v>
      </c>
      <c r="D48" s="45">
        <f>MROUND(MID($C48,6,3)/Basis!$E$3,0.5)</f>
        <v>8</v>
      </c>
      <c r="E48" s="45">
        <f>MROUND(MID($C48,9,3)/Basis!$E$3,0.5)</f>
        <v>78.5</v>
      </c>
      <c r="F48" s="124" t="s">
        <v>2945</v>
      </c>
      <c r="G48" s="45">
        <f>ROUND((ROUNDDOWN($F48/5,0)*5+1.8)/Basis!$E$3,1)</f>
        <v>8.6</v>
      </c>
      <c r="H48" s="120">
        <f>ROUND($P48*Basis!$E$2*((TaH-TrH)/LN(1/µ)/Basis!$E$7)^$N48*$AA$4*Glycol,0)</f>
        <v>6569</v>
      </c>
      <c r="I48" s="83">
        <f>ROUND(H48/(MID($C48,9,3)/Basis!$E$3/Basis!$E$9)*Basis!$E$11,0)</f>
        <v>1001</v>
      </c>
      <c r="J48" s="123">
        <f>IF(Basis!$E$1=1,ROUND(H48/((TaH-TrH)*1.163)/3600,3),ROUND(H48/(500*(TaH-TrH)),2))</f>
        <v>0.66</v>
      </c>
      <c r="K48" s="84"/>
      <c r="L48" s="177">
        <f>CHOOSE(Basis!$E$1,((AJ48*(J48*3600/Basis!$E$5)^AK48*(((MID(C48,9,3)*10)-144)/1000)*AL48+AM48*(J48*3600/Basis!$E$5)^2)*0.0098)/Basis!$E$10,((AJ48*(J48/Basis!$E$5)^AK48*(((MID(C48,9,3)*10)-144)/1000)*AL48+AM48*(J48/Basis!$E$5)^2)*0.0098)/Basis!$E$10)</f>
        <v>3.6310259404728894E-2</v>
      </c>
      <c r="M48" s="85"/>
      <c r="N48" s="110">
        <v>1.4079999999999999</v>
      </c>
      <c r="O48" s="74"/>
      <c r="P48" s="73">
        <v>3064</v>
      </c>
      <c r="Q48" s="74"/>
      <c r="R48" s="75"/>
      <c r="S48" s="75"/>
      <c r="T48" s="75"/>
      <c r="U48" s="75"/>
      <c r="V48" s="75"/>
      <c r="W48" s="74"/>
      <c r="X48" s="76"/>
      <c r="Y48" s="76"/>
      <c r="Z48" s="76"/>
      <c r="AA48" s="76"/>
      <c r="AB48" s="76"/>
      <c r="AC48" s="74"/>
      <c r="AD48" s="77"/>
      <c r="AE48" s="77"/>
      <c r="AF48" s="77"/>
      <c r="AG48" s="77"/>
      <c r="AH48" s="77"/>
      <c r="AI48" s="68"/>
      <c r="AJ48" s="213">
        <v>1.2760000000000001E-4</v>
      </c>
      <c r="AK48" s="213">
        <v>1.7219</v>
      </c>
      <c r="AL48" s="213">
        <v>2</v>
      </c>
      <c r="AM48" s="213">
        <v>3.76611E-4</v>
      </c>
      <c r="AN48" s="74"/>
      <c r="AO48" s="73"/>
      <c r="AP48" s="73"/>
      <c r="AQ48" s="73"/>
      <c r="AR48" s="73"/>
      <c r="AS48" s="73"/>
      <c r="AT48" s="74"/>
      <c r="AU48" s="47"/>
      <c r="AV48" s="48"/>
    </row>
    <row r="49" spans="1:48" ht="12.75" customHeight="1" x14ac:dyDescent="0.25">
      <c r="A49" s="72" t="s">
        <v>23</v>
      </c>
      <c r="B49" s="43" t="s">
        <v>159</v>
      </c>
      <c r="C49" s="44" t="s">
        <v>199</v>
      </c>
      <c r="D49" s="45">
        <f>MROUND(MID($C49,6,3)/Basis!$E$3,0.5)</f>
        <v>8</v>
      </c>
      <c r="E49" s="45">
        <f>MROUND(MID($C49,9,3)/Basis!$E$3,0.5)</f>
        <v>86.5</v>
      </c>
      <c r="F49" s="124" t="s">
        <v>2943</v>
      </c>
      <c r="G49" s="45">
        <f>ROUND((ROUNDDOWN($F49/5,0)*5+1.8)/Basis!$E$3,1)</f>
        <v>4.5999999999999996</v>
      </c>
      <c r="H49" s="120">
        <f>ROUND($P49*Basis!$E$2*((TaH-TrH)/LN(1/µ)/Basis!$E$7)^$N49*$AA$4*Glycol,0)</f>
        <v>3084</v>
      </c>
      <c r="I49" s="83">
        <f>ROUND(H49/(MID($C49,9,3)/Basis!$E$3/Basis!$E$9)*Basis!$E$11,0)</f>
        <v>427</v>
      </c>
      <c r="J49" s="123">
        <f>IF(Basis!$E$1=1,ROUND(H49/((TaH-TrH)*1.163)/3600,3),ROUND(H49/(500*(TaH-TrH)),2))</f>
        <v>0.31</v>
      </c>
      <c r="K49" s="84"/>
      <c r="L49" s="177">
        <f>CHOOSE(Basis!$E$1,((AJ49*(J49*3600/Basis!$E$5)^AK49*(((MID(C49,9,3)*10)-144)/1000)*AL49+AM49*(J49*3600/Basis!$E$5)^2)*0.0098)/Basis!$E$10,((AJ49*(J49/Basis!$E$5)^AK49*(((MID(C49,9,3)*10)-144)/1000)*AL49+AM49*(J49/Basis!$E$5)^2)*0.0098)/Basis!$E$10)</f>
        <v>1.4507803186429911E-2</v>
      </c>
      <c r="M49" s="85"/>
      <c r="N49" s="109">
        <v>1.413</v>
      </c>
      <c r="O49" s="68"/>
      <c r="P49" s="67">
        <v>1441</v>
      </c>
      <c r="Q49" s="68"/>
      <c r="R49" s="69"/>
      <c r="S49" s="69"/>
      <c r="T49" s="69"/>
      <c r="U49" s="69"/>
      <c r="V49" s="69"/>
      <c r="W49" s="68"/>
      <c r="X49" s="70"/>
      <c r="Y49" s="70"/>
      <c r="Z49" s="70"/>
      <c r="AA49" s="70"/>
      <c r="AB49" s="70"/>
      <c r="AC49" s="68"/>
      <c r="AD49" s="71"/>
      <c r="AE49" s="71"/>
      <c r="AF49" s="71"/>
      <c r="AG49" s="71"/>
      <c r="AH49" s="71"/>
      <c r="AI49" s="68"/>
      <c r="AJ49" s="214">
        <v>3.9689999999999994E-4</v>
      </c>
      <c r="AK49" s="214">
        <v>1.7345999999999999</v>
      </c>
      <c r="AL49" s="214">
        <v>2</v>
      </c>
      <c r="AM49" s="214">
        <v>3.6734700000000002E-4</v>
      </c>
      <c r="AN49" s="68"/>
      <c r="AO49" s="67"/>
      <c r="AP49" s="67"/>
      <c r="AQ49" s="67"/>
      <c r="AR49" s="67"/>
      <c r="AS49" s="67"/>
      <c r="AT49" s="68"/>
      <c r="AU49" s="49"/>
      <c r="AV49" s="50"/>
    </row>
    <row r="50" spans="1:48" ht="12.75" customHeight="1" x14ac:dyDescent="0.25">
      <c r="A50" s="72" t="s">
        <v>23</v>
      </c>
      <c r="B50" s="43" t="s">
        <v>159</v>
      </c>
      <c r="C50" s="44" t="s">
        <v>200</v>
      </c>
      <c r="D50" s="45">
        <f>MROUND(MID($C50,6,3)/Basis!$E$3,0.5)</f>
        <v>8</v>
      </c>
      <c r="E50" s="45">
        <f>MROUND(MID($C50,9,3)/Basis!$E$3,0.5)</f>
        <v>86.5</v>
      </c>
      <c r="F50" s="124" t="s">
        <v>2944</v>
      </c>
      <c r="G50" s="45">
        <f>ROUND((ROUNDDOWN($F50/5,0)*5+1.8)/Basis!$E$3,1)</f>
        <v>6.6</v>
      </c>
      <c r="H50" s="120">
        <f>ROUND($P50*Basis!$E$2*((TaH-TrH)/LN(1/µ)/Basis!$E$7)^$N50*$AA$4*Glycol,0)</f>
        <v>5141</v>
      </c>
      <c r="I50" s="83">
        <f>ROUND(H50/(MID($C50,9,3)/Basis!$E$3/Basis!$E$9)*Basis!$E$11,0)</f>
        <v>712</v>
      </c>
      <c r="J50" s="123">
        <f>IF(Basis!$E$1=1,ROUND(H50/((TaH-TrH)*1.163)/3600,3),ROUND(H50/(500*(TaH-TrH)),2))</f>
        <v>0.51</v>
      </c>
      <c r="K50" s="84"/>
      <c r="L50" s="177">
        <f>CHOOSE(Basis!$E$1,((AJ50*(J50*3600/Basis!$E$5)^AK50*(((MID(C50,9,3)*10)-144)/1000)*AL50+AM50*(J50*3600/Basis!$E$5)^2)*0.0098)/Basis!$E$10,((AJ50*(J50/Basis!$E$5)^AK50*(((MID(C50,9,3)*10)-144)/1000)*AL50+AM50*(J50/Basis!$E$5)^2)*0.0098)/Basis!$E$10)</f>
        <v>3.0383859745280586E-2</v>
      </c>
      <c r="M50" s="85"/>
      <c r="N50" s="110">
        <v>1.4079999999999999</v>
      </c>
      <c r="O50" s="74"/>
      <c r="P50" s="73">
        <v>2398</v>
      </c>
      <c r="Q50" s="74"/>
      <c r="R50" s="75"/>
      <c r="S50" s="75"/>
      <c r="T50" s="75"/>
      <c r="U50" s="75"/>
      <c r="V50" s="75"/>
      <c r="W50" s="74"/>
      <c r="X50" s="76"/>
      <c r="Y50" s="76"/>
      <c r="Z50" s="76"/>
      <c r="AA50" s="76"/>
      <c r="AB50" s="76"/>
      <c r="AC50" s="74"/>
      <c r="AD50" s="77"/>
      <c r="AE50" s="77"/>
      <c r="AF50" s="77"/>
      <c r="AG50" s="77"/>
      <c r="AH50" s="77"/>
      <c r="AI50" s="68"/>
      <c r="AJ50" s="213">
        <v>2.0829999999999999E-4</v>
      </c>
      <c r="AK50" s="213">
        <v>1.724</v>
      </c>
      <c r="AL50" s="213">
        <v>2</v>
      </c>
      <c r="AM50" s="213">
        <v>4.6182900000000003E-4</v>
      </c>
      <c r="AN50" s="74"/>
      <c r="AO50" s="73"/>
      <c r="AP50" s="73"/>
      <c r="AQ50" s="73"/>
      <c r="AR50" s="73"/>
      <c r="AS50" s="73"/>
      <c r="AT50" s="74"/>
      <c r="AU50" s="47"/>
      <c r="AV50" s="48"/>
    </row>
    <row r="51" spans="1:48" ht="12.75" customHeight="1" x14ac:dyDescent="0.25">
      <c r="A51" s="72" t="s">
        <v>23</v>
      </c>
      <c r="B51" s="43" t="s">
        <v>159</v>
      </c>
      <c r="C51" s="44" t="s">
        <v>201</v>
      </c>
      <c r="D51" s="45">
        <f>MROUND(MID($C51,6,3)/Basis!$E$3,0.5)</f>
        <v>8</v>
      </c>
      <c r="E51" s="45">
        <f>MROUND(MID($C51,9,3)/Basis!$E$3,0.5)</f>
        <v>86.5</v>
      </c>
      <c r="F51" s="124" t="s">
        <v>2945</v>
      </c>
      <c r="G51" s="45">
        <f>ROUND((ROUNDDOWN($F51/5,0)*5+1.8)/Basis!$E$3,1)</f>
        <v>8.6</v>
      </c>
      <c r="H51" s="120">
        <f>ROUND($P51*Basis!$E$2*((TaH-TrH)/LN(1/µ)/Basis!$E$7)^$N51*$AA$4*Glycol,0)</f>
        <v>7225</v>
      </c>
      <c r="I51" s="83">
        <f>ROUND(H51/(MID($C51,9,3)/Basis!$E$3/Basis!$E$9)*Basis!$E$11,0)</f>
        <v>1001</v>
      </c>
      <c r="J51" s="123">
        <f>IF(Basis!$E$1=1,ROUND(H51/((TaH-TrH)*1.163)/3600,3),ROUND(H51/(500*(TaH-TrH)),2))</f>
        <v>0.72</v>
      </c>
      <c r="K51" s="84"/>
      <c r="L51" s="177">
        <f>CHOOSE(Basis!$E$1,((AJ51*(J51*3600/Basis!$E$5)^AK51*(((MID(C51,9,3)*10)-144)/1000)*AL51+AM51*(J51*3600/Basis!$E$5)^2)*0.0098)/Basis!$E$10,((AJ51*(J51/Basis!$E$5)^AK51*(((MID(C51,9,3)*10)-144)/1000)*AL51+AM51*(J51/Basis!$E$5)^2)*0.0098)/Basis!$E$10)</f>
        <v>4.404786954282449E-2</v>
      </c>
      <c r="M51" s="85"/>
      <c r="N51" s="109">
        <v>1.4079999999999999</v>
      </c>
      <c r="O51" s="68"/>
      <c r="P51" s="67">
        <v>3370</v>
      </c>
      <c r="Q51" s="68"/>
      <c r="R51" s="69"/>
      <c r="S51" s="69"/>
      <c r="T51" s="69"/>
      <c r="U51" s="69"/>
      <c r="V51" s="69"/>
      <c r="W51" s="68"/>
      <c r="X51" s="70"/>
      <c r="Y51" s="70"/>
      <c r="Z51" s="70"/>
      <c r="AA51" s="70"/>
      <c r="AB51" s="70"/>
      <c r="AC51" s="68"/>
      <c r="AD51" s="71"/>
      <c r="AE51" s="71"/>
      <c r="AF51" s="71"/>
      <c r="AG51" s="71"/>
      <c r="AH51" s="71"/>
      <c r="AI51" s="68"/>
      <c r="AJ51" s="214">
        <v>1.2760000000000001E-4</v>
      </c>
      <c r="AK51" s="214">
        <v>1.7219</v>
      </c>
      <c r="AL51" s="214">
        <v>2</v>
      </c>
      <c r="AM51" s="214">
        <v>3.76611E-4</v>
      </c>
      <c r="AN51" s="68"/>
      <c r="AO51" s="67"/>
      <c r="AP51" s="67"/>
      <c r="AQ51" s="67"/>
      <c r="AR51" s="67"/>
      <c r="AS51" s="67"/>
      <c r="AT51" s="68"/>
      <c r="AU51" s="49"/>
      <c r="AV51" s="50"/>
    </row>
    <row r="52" spans="1:48" ht="12.75" customHeight="1" x14ac:dyDescent="0.25">
      <c r="A52" s="72" t="s">
        <v>23</v>
      </c>
      <c r="B52" s="43" t="s">
        <v>159</v>
      </c>
      <c r="C52" s="44" t="s">
        <v>202</v>
      </c>
      <c r="D52" s="45">
        <f>MROUND(MID($C52,6,3)/Basis!$E$3,0.5)</f>
        <v>8</v>
      </c>
      <c r="E52" s="45">
        <f>MROUND(MID($C52,9,3)/Basis!$E$3,0.5)</f>
        <v>94.5</v>
      </c>
      <c r="F52" s="124" t="s">
        <v>2943</v>
      </c>
      <c r="G52" s="45">
        <f>ROUND((ROUNDDOWN($F52/5,0)*5+1.8)/Basis!$E$3,1)</f>
        <v>4.5999999999999996</v>
      </c>
      <c r="H52" s="120">
        <f>ROUND($P52*Basis!$E$2*((TaH-TrH)/LN(1/µ)/Basis!$E$7)^$N52*$AA$4*Glycol,0)</f>
        <v>3365</v>
      </c>
      <c r="I52" s="83">
        <f>ROUND(H52/(MID($C52,9,3)/Basis!$E$3/Basis!$E$9)*Basis!$E$11,0)</f>
        <v>427</v>
      </c>
      <c r="J52" s="123">
        <f>IF(Basis!$E$1=1,ROUND(H52/((TaH-TrH)*1.163)/3600,3),ROUND(H52/(500*(TaH-TrH)),2))</f>
        <v>0.34</v>
      </c>
      <c r="K52" s="84"/>
      <c r="L52" s="177">
        <f>CHOOSE(Basis!$E$1,((AJ52*(J52*3600/Basis!$E$5)^AK52*(((MID(C52,9,3)*10)-144)/1000)*AL52+AM52*(J52*3600/Basis!$E$5)^2)*0.0098)/Basis!$E$10,((AJ52*(J52/Basis!$E$5)^AK52*(((MID(C52,9,3)*10)-144)/1000)*AL52+AM52*(J52/Basis!$E$5)^2)*0.0098)/Basis!$E$10)</f>
        <v>1.8179094256636105E-2</v>
      </c>
      <c r="M52" s="85"/>
      <c r="N52" s="110">
        <v>1.413</v>
      </c>
      <c r="O52" s="74"/>
      <c r="P52" s="73">
        <v>1572</v>
      </c>
      <c r="Q52" s="74"/>
      <c r="R52" s="75"/>
      <c r="S52" s="75"/>
      <c r="T52" s="75"/>
      <c r="U52" s="75"/>
      <c r="V52" s="75"/>
      <c r="W52" s="74"/>
      <c r="X52" s="76"/>
      <c r="Y52" s="76"/>
      <c r="Z52" s="76"/>
      <c r="AA52" s="76"/>
      <c r="AB52" s="76"/>
      <c r="AC52" s="74"/>
      <c r="AD52" s="77"/>
      <c r="AE52" s="77"/>
      <c r="AF52" s="77"/>
      <c r="AG52" s="77"/>
      <c r="AH52" s="77"/>
      <c r="AI52" s="68"/>
      <c r="AJ52" s="213">
        <v>3.9689999999999994E-4</v>
      </c>
      <c r="AK52" s="213">
        <v>1.7345999999999999</v>
      </c>
      <c r="AL52" s="213">
        <v>2</v>
      </c>
      <c r="AM52" s="213">
        <v>3.6734700000000002E-4</v>
      </c>
      <c r="AN52" s="74"/>
      <c r="AO52" s="73"/>
      <c r="AP52" s="73"/>
      <c r="AQ52" s="73"/>
      <c r="AR52" s="73"/>
      <c r="AS52" s="73"/>
      <c r="AT52" s="74"/>
      <c r="AU52" s="47"/>
      <c r="AV52" s="48"/>
    </row>
    <row r="53" spans="1:48" ht="12.75" customHeight="1" x14ac:dyDescent="0.25">
      <c r="A53" s="72" t="s">
        <v>23</v>
      </c>
      <c r="B53" s="43" t="s">
        <v>159</v>
      </c>
      <c r="C53" s="44" t="s">
        <v>203</v>
      </c>
      <c r="D53" s="45">
        <f>MROUND(MID($C53,6,3)/Basis!$E$3,0.5)</f>
        <v>8</v>
      </c>
      <c r="E53" s="45">
        <f>MROUND(MID($C53,9,3)/Basis!$E$3,0.5)</f>
        <v>94.5</v>
      </c>
      <c r="F53" s="124" t="s">
        <v>2944</v>
      </c>
      <c r="G53" s="45">
        <f>ROUND((ROUNDDOWN($F53/5,0)*5+1.8)/Basis!$E$3,1)</f>
        <v>6.6</v>
      </c>
      <c r="H53" s="120">
        <f>ROUND($P53*Basis!$E$2*((TaH-TrH)/LN(1/µ)/Basis!$E$7)^$N53*$AA$4*Glycol,0)</f>
        <v>5608</v>
      </c>
      <c r="I53" s="83">
        <f>ROUND(H53/(MID($C53,9,3)/Basis!$E$3/Basis!$E$9)*Basis!$E$11,0)</f>
        <v>712</v>
      </c>
      <c r="J53" s="123">
        <f>IF(Basis!$E$1=1,ROUND(H53/((TaH-TrH)*1.163)/3600,3),ROUND(H53/(500*(TaH-TrH)),2))</f>
        <v>0.56000000000000005</v>
      </c>
      <c r="K53" s="84"/>
      <c r="L53" s="177">
        <f>CHOOSE(Basis!$E$1,((AJ53*(J53*3600/Basis!$E$5)^AK53*(((MID(C53,9,3)*10)-144)/1000)*AL53+AM53*(J53*3600/Basis!$E$5)^2)*0.0098)/Basis!$E$10,((AJ53*(J53/Basis!$E$5)^AK53*(((MID(C53,9,3)*10)-144)/1000)*AL53+AM53*(J53/Basis!$E$5)^2)*0.0098)/Basis!$E$10)</f>
        <v>3.747951055948457E-2</v>
      </c>
      <c r="M53" s="85"/>
      <c r="N53" s="109">
        <v>1.4079999999999999</v>
      </c>
      <c r="O53" s="68"/>
      <c r="P53" s="67">
        <v>2616</v>
      </c>
      <c r="Q53" s="68"/>
      <c r="R53" s="69"/>
      <c r="S53" s="69"/>
      <c r="T53" s="69"/>
      <c r="U53" s="69"/>
      <c r="V53" s="69"/>
      <c r="W53" s="68"/>
      <c r="X53" s="70"/>
      <c r="Y53" s="70"/>
      <c r="Z53" s="70"/>
      <c r="AA53" s="70"/>
      <c r="AB53" s="70"/>
      <c r="AC53" s="68"/>
      <c r="AD53" s="71"/>
      <c r="AE53" s="71"/>
      <c r="AF53" s="71"/>
      <c r="AG53" s="71"/>
      <c r="AH53" s="71"/>
      <c r="AI53" s="68"/>
      <c r="AJ53" s="214">
        <v>2.0829999999999999E-4</v>
      </c>
      <c r="AK53" s="214">
        <v>1.724</v>
      </c>
      <c r="AL53" s="214">
        <v>2</v>
      </c>
      <c r="AM53" s="214">
        <v>4.6182900000000003E-4</v>
      </c>
      <c r="AN53" s="68"/>
      <c r="AO53" s="67"/>
      <c r="AP53" s="67"/>
      <c r="AQ53" s="67"/>
      <c r="AR53" s="67"/>
      <c r="AS53" s="67"/>
      <c r="AT53" s="68"/>
      <c r="AU53" s="49"/>
      <c r="AV53" s="50"/>
    </row>
    <row r="54" spans="1:48" ht="12.75" customHeight="1" x14ac:dyDescent="0.25">
      <c r="A54" s="72" t="s">
        <v>23</v>
      </c>
      <c r="B54" s="43" t="s">
        <v>159</v>
      </c>
      <c r="C54" s="44" t="s">
        <v>204</v>
      </c>
      <c r="D54" s="45">
        <f>MROUND(MID($C54,6,3)/Basis!$E$3,0.5)</f>
        <v>8</v>
      </c>
      <c r="E54" s="45">
        <f>MROUND(MID($C54,9,3)/Basis!$E$3,0.5)</f>
        <v>94.5</v>
      </c>
      <c r="F54" s="124" t="s">
        <v>2945</v>
      </c>
      <c r="G54" s="45">
        <f>ROUND((ROUNDDOWN($F54/5,0)*5+1.8)/Basis!$E$3,1)</f>
        <v>8.6</v>
      </c>
      <c r="H54" s="120">
        <f>ROUND($P54*Basis!$E$2*((TaH-TrH)/LN(1/µ)/Basis!$E$7)^$N54*$AA$4*Glycol,0)</f>
        <v>7883</v>
      </c>
      <c r="I54" s="83">
        <f>ROUND(H54/(MID($C54,9,3)/Basis!$E$3/Basis!$E$9)*Basis!$E$11,0)</f>
        <v>1001</v>
      </c>
      <c r="J54" s="123">
        <f>IF(Basis!$E$1=1,ROUND(H54/((TaH-TrH)*1.163)/3600,3),ROUND(H54/(500*(TaH-TrH)),2))</f>
        <v>0.79</v>
      </c>
      <c r="K54" s="84"/>
      <c r="L54" s="177">
        <f>CHOOSE(Basis!$E$1,((AJ54*(J54*3600/Basis!$E$5)^AK54*(((MID(C54,9,3)*10)-144)/1000)*AL54+AM54*(J54*3600/Basis!$E$5)^2)*0.0098)/Basis!$E$10,((AJ54*(J54/Basis!$E$5)^AK54*(((MID(C54,9,3)*10)-144)/1000)*AL54+AM54*(J54/Basis!$E$5)^2)*0.0098)/Basis!$E$10)</f>
        <v>5.3956963880664628E-2</v>
      </c>
      <c r="M54" s="85"/>
      <c r="N54" s="110">
        <v>1.4079999999999999</v>
      </c>
      <c r="O54" s="74"/>
      <c r="P54" s="73">
        <v>3677</v>
      </c>
      <c r="Q54" s="74"/>
      <c r="R54" s="75"/>
      <c r="S54" s="75"/>
      <c r="T54" s="75"/>
      <c r="U54" s="75"/>
      <c r="V54" s="75"/>
      <c r="W54" s="74"/>
      <c r="X54" s="76"/>
      <c r="Y54" s="76"/>
      <c r="Z54" s="76"/>
      <c r="AA54" s="76"/>
      <c r="AB54" s="76"/>
      <c r="AC54" s="74"/>
      <c r="AD54" s="77"/>
      <c r="AE54" s="77"/>
      <c r="AF54" s="77"/>
      <c r="AG54" s="77"/>
      <c r="AH54" s="77"/>
      <c r="AI54" s="68"/>
      <c r="AJ54" s="213">
        <v>1.2760000000000001E-4</v>
      </c>
      <c r="AK54" s="213">
        <v>1.7219</v>
      </c>
      <c r="AL54" s="213">
        <v>2</v>
      </c>
      <c r="AM54" s="213">
        <v>3.76611E-4</v>
      </c>
      <c r="AN54" s="74"/>
      <c r="AO54" s="73"/>
      <c r="AP54" s="73"/>
      <c r="AQ54" s="73"/>
      <c r="AR54" s="73"/>
      <c r="AS54" s="73"/>
      <c r="AT54" s="74"/>
      <c r="AU54" s="47"/>
      <c r="AV54" s="48"/>
    </row>
    <row r="55" spans="1:48" ht="12.75" customHeight="1" x14ac:dyDescent="0.25">
      <c r="A55" s="72" t="s">
        <v>23</v>
      </c>
      <c r="B55" s="43" t="s">
        <v>159</v>
      </c>
      <c r="C55" s="44" t="s">
        <v>205</v>
      </c>
      <c r="D55" s="45">
        <f>MROUND(MID($C55,6,3)/Basis!$E$3,0.5)</f>
        <v>8</v>
      </c>
      <c r="E55" s="45">
        <f>MROUND(MID($C55,9,3)/Basis!$E$3,0.5)</f>
        <v>102.5</v>
      </c>
      <c r="F55" s="124" t="s">
        <v>2943</v>
      </c>
      <c r="G55" s="45">
        <f>ROUND((ROUNDDOWN($F55/5,0)*5+1.8)/Basis!$E$3,1)</f>
        <v>4.5999999999999996</v>
      </c>
      <c r="H55" s="120">
        <f>ROUND($P55*Basis!$E$2*((TaH-TrH)/LN(1/µ)/Basis!$E$7)^$N55*$AA$4*Glycol,0)</f>
        <v>3645</v>
      </c>
      <c r="I55" s="83">
        <f>ROUND(H55/(MID($C55,9,3)/Basis!$E$3/Basis!$E$9)*Basis!$E$11,0)</f>
        <v>427</v>
      </c>
      <c r="J55" s="123">
        <f>IF(Basis!$E$1=1,ROUND(H55/((TaH-TrH)*1.163)/3600,3),ROUND(H55/(500*(TaH-TrH)),2))</f>
        <v>0.36</v>
      </c>
      <c r="K55" s="84"/>
      <c r="L55" s="177">
        <f>CHOOSE(Basis!$E$1,((AJ55*(J55*3600/Basis!$E$5)^AK55*(((MID(C55,9,3)*10)-144)/1000)*AL55+AM55*(J55*3600/Basis!$E$5)^2)*0.0098)/Basis!$E$10,((AJ55*(J55/Basis!$E$5)^AK55*(((MID(C55,9,3)*10)-144)/1000)*AL55+AM55*(J55/Basis!$E$5)^2)*0.0098)/Basis!$E$10)</f>
        <v>2.1273202054444634E-2</v>
      </c>
      <c r="M55" s="85"/>
      <c r="N55" s="109">
        <v>1.413</v>
      </c>
      <c r="O55" s="68"/>
      <c r="P55" s="67">
        <v>1703</v>
      </c>
      <c r="Q55" s="68"/>
      <c r="R55" s="69"/>
      <c r="S55" s="69"/>
      <c r="T55" s="69"/>
      <c r="U55" s="69"/>
      <c r="V55" s="69"/>
      <c r="W55" s="68"/>
      <c r="X55" s="70"/>
      <c r="Y55" s="70"/>
      <c r="Z55" s="70"/>
      <c r="AA55" s="70"/>
      <c r="AB55" s="70"/>
      <c r="AC55" s="68"/>
      <c r="AD55" s="71"/>
      <c r="AE55" s="71"/>
      <c r="AF55" s="71"/>
      <c r="AG55" s="71"/>
      <c r="AH55" s="71"/>
      <c r="AI55" s="68"/>
      <c r="AJ55" s="214">
        <v>3.9689999999999994E-4</v>
      </c>
      <c r="AK55" s="214">
        <v>1.7345999999999999</v>
      </c>
      <c r="AL55" s="214">
        <v>2</v>
      </c>
      <c r="AM55" s="214">
        <v>3.6734700000000002E-4</v>
      </c>
      <c r="AN55" s="68"/>
      <c r="AO55" s="67"/>
      <c r="AP55" s="67"/>
      <c r="AQ55" s="67"/>
      <c r="AR55" s="67"/>
      <c r="AS55" s="67"/>
      <c r="AT55" s="68"/>
      <c r="AU55" s="49"/>
      <c r="AV55" s="50"/>
    </row>
    <row r="56" spans="1:48" ht="12.75" customHeight="1" x14ac:dyDescent="0.25">
      <c r="A56" s="72" t="s">
        <v>23</v>
      </c>
      <c r="B56" s="43" t="s">
        <v>159</v>
      </c>
      <c r="C56" s="44" t="s">
        <v>206</v>
      </c>
      <c r="D56" s="45">
        <f>MROUND(MID($C56,6,3)/Basis!$E$3,0.5)</f>
        <v>8</v>
      </c>
      <c r="E56" s="45">
        <f>MROUND(MID($C56,9,3)/Basis!$E$3,0.5)</f>
        <v>102.5</v>
      </c>
      <c r="F56" s="124" t="s">
        <v>2944</v>
      </c>
      <c r="G56" s="45">
        <f>ROUND((ROUNDDOWN($F56/5,0)*5+1.8)/Basis!$E$3,1)</f>
        <v>6.6</v>
      </c>
      <c r="H56" s="120">
        <f>ROUND($P56*Basis!$E$2*((TaH-TrH)/LN(1/µ)/Basis!$E$7)^$N56*$AA$4*Glycol,0)</f>
        <v>6076</v>
      </c>
      <c r="I56" s="83">
        <f>ROUND(H56/(MID($C56,9,3)/Basis!$E$3/Basis!$E$9)*Basis!$E$11,0)</f>
        <v>712</v>
      </c>
      <c r="J56" s="123">
        <f>IF(Basis!$E$1=1,ROUND(H56/((TaH-TrH)*1.163)/3600,3),ROUND(H56/(500*(TaH-TrH)),2))</f>
        <v>0.61</v>
      </c>
      <c r="K56" s="84"/>
      <c r="L56" s="177">
        <f>CHOOSE(Basis!$E$1,((AJ56*(J56*3600/Basis!$E$5)^AK56*(((MID(C56,9,3)*10)-144)/1000)*AL56+AM56*(J56*3600/Basis!$E$5)^2)*0.0098)/Basis!$E$10,((AJ56*(J56/Basis!$E$5)^AK56*(((MID(C56,9,3)*10)-144)/1000)*AL56+AM56*(J56/Basis!$E$5)^2)*0.0098)/Basis!$E$10)</f>
        <v>4.5450638697504757E-2</v>
      </c>
      <c r="M56" s="85"/>
      <c r="N56" s="110">
        <v>1.4079999999999999</v>
      </c>
      <c r="O56" s="74"/>
      <c r="P56" s="73">
        <v>2834</v>
      </c>
      <c r="Q56" s="74"/>
      <c r="R56" s="75"/>
      <c r="S56" s="75"/>
      <c r="T56" s="75"/>
      <c r="U56" s="75"/>
      <c r="V56" s="75"/>
      <c r="W56" s="74"/>
      <c r="X56" s="76"/>
      <c r="Y56" s="76"/>
      <c r="Z56" s="76"/>
      <c r="AA56" s="76"/>
      <c r="AB56" s="76"/>
      <c r="AC56" s="74"/>
      <c r="AD56" s="77"/>
      <c r="AE56" s="77"/>
      <c r="AF56" s="77"/>
      <c r="AG56" s="77"/>
      <c r="AH56" s="77"/>
      <c r="AI56" s="68"/>
      <c r="AJ56" s="213">
        <v>2.0829999999999999E-4</v>
      </c>
      <c r="AK56" s="213">
        <v>1.724</v>
      </c>
      <c r="AL56" s="213">
        <v>2</v>
      </c>
      <c r="AM56" s="213">
        <v>4.6182900000000003E-4</v>
      </c>
      <c r="AN56" s="74"/>
      <c r="AO56" s="73"/>
      <c r="AP56" s="73"/>
      <c r="AQ56" s="73"/>
      <c r="AR56" s="73"/>
      <c r="AS56" s="73"/>
      <c r="AT56" s="74"/>
      <c r="AU56" s="47"/>
      <c r="AV56" s="48"/>
    </row>
    <row r="57" spans="1:48" ht="12.75" customHeight="1" x14ac:dyDescent="0.25">
      <c r="A57" s="72" t="s">
        <v>23</v>
      </c>
      <c r="B57" s="43" t="s">
        <v>159</v>
      </c>
      <c r="C57" s="44" t="s">
        <v>207</v>
      </c>
      <c r="D57" s="45">
        <f>MROUND(MID($C57,6,3)/Basis!$E$3,0.5)</f>
        <v>8</v>
      </c>
      <c r="E57" s="45">
        <f>MROUND(MID($C57,9,3)/Basis!$E$3,0.5)</f>
        <v>102.5</v>
      </c>
      <c r="F57" s="124" t="s">
        <v>2945</v>
      </c>
      <c r="G57" s="45">
        <f>ROUND((ROUNDDOWN($F57/5,0)*5+1.8)/Basis!$E$3,1)</f>
        <v>8.6</v>
      </c>
      <c r="H57" s="120">
        <f>ROUND($P57*Basis!$E$2*((TaH-TrH)/LN(1/µ)/Basis!$E$7)^$N57*$AA$4*Glycol,0)</f>
        <v>8539</v>
      </c>
      <c r="I57" s="83">
        <f>ROUND(H57/(MID($C57,9,3)/Basis!$E$3/Basis!$E$9)*Basis!$E$11,0)</f>
        <v>1001</v>
      </c>
      <c r="J57" s="123">
        <f>IF(Basis!$E$1=1,ROUND(H57/((TaH-TrH)*1.163)/3600,3),ROUND(H57/(500*(TaH-TrH)),2))</f>
        <v>0.85</v>
      </c>
      <c r="K57" s="84"/>
      <c r="L57" s="177">
        <f>CHOOSE(Basis!$E$1,((AJ57*(J57*3600/Basis!$E$5)^AK57*(((MID(C57,9,3)*10)-144)/1000)*AL57+AM57*(J57*3600/Basis!$E$5)^2)*0.0098)/Basis!$E$10,((AJ57*(J57/Basis!$E$5)^AK57*(((MID(C57,9,3)*10)-144)/1000)*AL57+AM57*(J57/Basis!$E$5)^2)*0.0098)/Basis!$E$10)</f>
        <v>6.3569570487582105E-2</v>
      </c>
      <c r="M57" s="85"/>
      <c r="N57" s="109">
        <v>1.4079999999999999</v>
      </c>
      <c r="O57" s="68"/>
      <c r="P57" s="67">
        <v>3983</v>
      </c>
      <c r="Q57" s="68"/>
      <c r="R57" s="69"/>
      <c r="S57" s="69"/>
      <c r="T57" s="69"/>
      <c r="U57" s="69"/>
      <c r="V57" s="69"/>
      <c r="W57" s="68"/>
      <c r="X57" s="70"/>
      <c r="Y57" s="70"/>
      <c r="Z57" s="70"/>
      <c r="AA57" s="70"/>
      <c r="AB57" s="70"/>
      <c r="AC57" s="68"/>
      <c r="AD57" s="71"/>
      <c r="AE57" s="71"/>
      <c r="AF57" s="71"/>
      <c r="AG57" s="71"/>
      <c r="AH57" s="71"/>
      <c r="AI57" s="68"/>
      <c r="AJ57" s="214">
        <v>1.2760000000000001E-4</v>
      </c>
      <c r="AK57" s="214">
        <v>1.7219</v>
      </c>
      <c r="AL57" s="214">
        <v>2</v>
      </c>
      <c r="AM57" s="214">
        <v>3.76611E-4</v>
      </c>
      <c r="AN57" s="68"/>
      <c r="AO57" s="67"/>
      <c r="AP57" s="67"/>
      <c r="AQ57" s="67"/>
      <c r="AR57" s="67"/>
      <c r="AS57" s="67"/>
      <c r="AT57" s="68"/>
      <c r="AU57" s="49"/>
      <c r="AV57" s="50"/>
    </row>
    <row r="58" spans="1:48" ht="12.75" customHeight="1" x14ac:dyDescent="0.25">
      <c r="A58" s="72" t="s">
        <v>23</v>
      </c>
      <c r="B58" s="43" t="s">
        <v>159</v>
      </c>
      <c r="C58" s="44" t="s">
        <v>208</v>
      </c>
      <c r="D58" s="45">
        <f>MROUND(MID($C58,6,3)/Basis!$E$3,0.5)</f>
        <v>8</v>
      </c>
      <c r="E58" s="45">
        <f>MROUND(MID($C58,9,3)/Basis!$E$3,0.5)</f>
        <v>110</v>
      </c>
      <c r="F58" s="124" t="s">
        <v>2943</v>
      </c>
      <c r="G58" s="45">
        <f>ROUND((ROUNDDOWN($F58/5,0)*5+1.8)/Basis!$E$3,1)</f>
        <v>4.5999999999999996</v>
      </c>
      <c r="H58" s="120">
        <f>ROUND($P58*Basis!$E$2*((TaH-TrH)/LN(1/µ)/Basis!$E$7)^$N58*$AA$4*Glycol,0)</f>
        <v>3925</v>
      </c>
      <c r="I58" s="83">
        <f>ROUND(H58/(MID($C58,9,3)/Basis!$E$3/Basis!$E$9)*Basis!$E$11,0)</f>
        <v>427</v>
      </c>
      <c r="J58" s="123">
        <f>IF(Basis!$E$1=1,ROUND(H58/((TaH-TrH)*1.163)/3600,3),ROUND(H58/(500*(TaH-TrH)),2))</f>
        <v>0.39</v>
      </c>
      <c r="K58" s="84"/>
      <c r="L58" s="177">
        <f>CHOOSE(Basis!$E$1,((AJ58*(J58*3600/Basis!$E$5)^AK58*(((MID(C58,9,3)*10)-144)/1000)*AL58+AM58*(J58*3600/Basis!$E$5)^2)*0.0098)/Basis!$E$10,((AJ58*(J58/Basis!$E$5)^AK58*(((MID(C58,9,3)*10)-144)/1000)*AL58+AM58*(J58/Basis!$E$5)^2)*0.0098)/Basis!$E$10)</f>
        <v>2.5878833700040665E-2</v>
      </c>
      <c r="M58" s="85"/>
      <c r="N58" s="110">
        <v>1.413</v>
      </c>
      <c r="O58" s="74"/>
      <c r="P58" s="73">
        <v>1834</v>
      </c>
      <c r="Q58" s="74"/>
      <c r="R58" s="75"/>
      <c r="S58" s="75"/>
      <c r="T58" s="75"/>
      <c r="U58" s="75"/>
      <c r="V58" s="75"/>
      <c r="W58" s="74"/>
      <c r="X58" s="76"/>
      <c r="Y58" s="76"/>
      <c r="Z58" s="76"/>
      <c r="AA58" s="76"/>
      <c r="AB58" s="76"/>
      <c r="AC58" s="74"/>
      <c r="AD58" s="77"/>
      <c r="AE58" s="77"/>
      <c r="AF58" s="77"/>
      <c r="AG58" s="77"/>
      <c r="AH58" s="77"/>
      <c r="AI58" s="68"/>
      <c r="AJ58" s="213">
        <v>3.9689999999999994E-4</v>
      </c>
      <c r="AK58" s="213">
        <v>1.7345999999999999</v>
      </c>
      <c r="AL58" s="213">
        <v>2</v>
      </c>
      <c r="AM58" s="213">
        <v>3.6734700000000002E-4</v>
      </c>
      <c r="AN58" s="74"/>
      <c r="AO58" s="73"/>
      <c r="AP58" s="73"/>
      <c r="AQ58" s="73"/>
      <c r="AR58" s="73"/>
      <c r="AS58" s="73"/>
      <c r="AT58" s="74"/>
      <c r="AU58" s="47"/>
      <c r="AV58" s="48"/>
    </row>
    <row r="59" spans="1:48" ht="12.75" customHeight="1" x14ac:dyDescent="0.25">
      <c r="A59" s="72" t="s">
        <v>23</v>
      </c>
      <c r="B59" s="43" t="s">
        <v>159</v>
      </c>
      <c r="C59" s="44" t="s">
        <v>209</v>
      </c>
      <c r="D59" s="45">
        <f>MROUND(MID($C59,6,3)/Basis!$E$3,0.5)</f>
        <v>8</v>
      </c>
      <c r="E59" s="45">
        <f>MROUND(MID($C59,9,3)/Basis!$E$3,0.5)</f>
        <v>110</v>
      </c>
      <c r="F59" s="124" t="s">
        <v>2944</v>
      </c>
      <c r="G59" s="45">
        <f>ROUND((ROUNDDOWN($F59/5,0)*5+1.8)/Basis!$E$3,1)</f>
        <v>6.6</v>
      </c>
      <c r="H59" s="120">
        <f>ROUND($P59*Basis!$E$2*((TaH-TrH)/LN(1/µ)/Basis!$E$7)^$N59*$AA$4*Glycol,0)</f>
        <v>6543</v>
      </c>
      <c r="I59" s="83">
        <f>ROUND(H59/(MID($C59,9,3)/Basis!$E$3/Basis!$E$9)*Basis!$E$11,0)</f>
        <v>712</v>
      </c>
      <c r="J59" s="123">
        <f>IF(Basis!$E$1=1,ROUND(H59/((TaH-TrH)*1.163)/3600,3),ROUND(H59/(500*(TaH-TrH)),2))</f>
        <v>0.65</v>
      </c>
      <c r="K59" s="84"/>
      <c r="L59" s="177">
        <f>CHOOSE(Basis!$E$1,((AJ59*(J59*3600/Basis!$E$5)^AK59*(((MID(C59,9,3)*10)-144)/1000)*AL59+AM59*(J59*3600/Basis!$E$5)^2)*0.0098)/Basis!$E$10,((AJ59*(J59/Basis!$E$5)^AK59*(((MID(C59,9,3)*10)-144)/1000)*AL59+AM59*(J59/Basis!$E$5)^2)*0.0098)/Basis!$E$10)</f>
        <v>5.2777917928650678E-2</v>
      </c>
      <c r="M59" s="85"/>
      <c r="N59" s="109">
        <v>1.4079999999999999</v>
      </c>
      <c r="O59" s="68"/>
      <c r="P59" s="67">
        <v>3052</v>
      </c>
      <c r="Q59" s="68"/>
      <c r="R59" s="69"/>
      <c r="S59" s="69"/>
      <c r="T59" s="69"/>
      <c r="U59" s="69"/>
      <c r="V59" s="69"/>
      <c r="W59" s="68"/>
      <c r="X59" s="70"/>
      <c r="Y59" s="70"/>
      <c r="Z59" s="70"/>
      <c r="AA59" s="70"/>
      <c r="AB59" s="70"/>
      <c r="AC59" s="68"/>
      <c r="AD59" s="71"/>
      <c r="AE59" s="71"/>
      <c r="AF59" s="71"/>
      <c r="AG59" s="71"/>
      <c r="AH59" s="71"/>
      <c r="AI59" s="68"/>
      <c r="AJ59" s="214">
        <v>2.0829999999999999E-4</v>
      </c>
      <c r="AK59" s="214">
        <v>1.724</v>
      </c>
      <c r="AL59" s="214">
        <v>2</v>
      </c>
      <c r="AM59" s="214">
        <v>4.6182900000000003E-4</v>
      </c>
      <c r="AN59" s="68"/>
      <c r="AO59" s="67"/>
      <c r="AP59" s="67"/>
      <c r="AQ59" s="67"/>
      <c r="AR59" s="67"/>
      <c r="AS59" s="67"/>
      <c r="AT59" s="68"/>
      <c r="AU59" s="49"/>
      <c r="AV59" s="50"/>
    </row>
    <row r="60" spans="1:48" ht="12.75" customHeight="1" x14ac:dyDescent="0.25">
      <c r="A60" s="72" t="s">
        <v>23</v>
      </c>
      <c r="B60" s="43" t="s">
        <v>159</v>
      </c>
      <c r="C60" s="44" t="s">
        <v>210</v>
      </c>
      <c r="D60" s="45">
        <f>MROUND(MID($C60,6,3)/Basis!$E$3,0.5)</f>
        <v>8</v>
      </c>
      <c r="E60" s="45">
        <f>MROUND(MID($C60,9,3)/Basis!$E$3,0.5)</f>
        <v>110</v>
      </c>
      <c r="F60" s="124" t="s">
        <v>2945</v>
      </c>
      <c r="G60" s="45">
        <f>ROUND((ROUNDDOWN($F60/5,0)*5+1.8)/Basis!$E$3,1)</f>
        <v>8.6</v>
      </c>
      <c r="H60" s="120">
        <f>ROUND($P60*Basis!$E$2*((TaH-TrH)/LN(1/µ)/Basis!$E$7)^$N60*$AA$4*Glycol,0)</f>
        <v>9197</v>
      </c>
      <c r="I60" s="83">
        <f>ROUND(H60/(MID($C60,9,3)/Basis!$E$3/Basis!$E$9)*Basis!$E$11,0)</f>
        <v>1001</v>
      </c>
      <c r="J60" s="123">
        <f>IF(Basis!$E$1=1,ROUND(H60/((TaH-TrH)*1.163)/3600,3),ROUND(H60/(500*(TaH-TrH)),2))</f>
        <v>0.92</v>
      </c>
      <c r="K60" s="84"/>
      <c r="L60" s="177">
        <f>CHOOSE(Basis!$E$1,((AJ60*(J60*3600/Basis!$E$5)^AK60*(((MID(C60,9,3)*10)-144)/1000)*AL60+AM60*(J60*3600/Basis!$E$5)^2)*0.0098)/Basis!$E$10,((AJ60*(J60/Basis!$E$5)^AK60*(((MID(C60,9,3)*10)-144)/1000)*AL60+AM60*(J60/Basis!$E$5)^2)*0.0098)/Basis!$E$10)</f>
        <v>7.5669662112439751E-2</v>
      </c>
      <c r="M60" s="85"/>
      <c r="N60" s="110">
        <v>1.4079999999999999</v>
      </c>
      <c r="O60" s="74"/>
      <c r="P60" s="73">
        <v>4290</v>
      </c>
      <c r="Q60" s="74"/>
      <c r="R60" s="75"/>
      <c r="S60" s="75"/>
      <c r="T60" s="75"/>
      <c r="U60" s="75"/>
      <c r="V60" s="75"/>
      <c r="W60" s="74"/>
      <c r="X60" s="76"/>
      <c r="Y60" s="76"/>
      <c r="Z60" s="76"/>
      <c r="AA60" s="76"/>
      <c r="AB60" s="76"/>
      <c r="AC60" s="74"/>
      <c r="AD60" s="77"/>
      <c r="AE60" s="77"/>
      <c r="AF60" s="77"/>
      <c r="AG60" s="77"/>
      <c r="AH60" s="77"/>
      <c r="AI60" s="68"/>
      <c r="AJ60" s="213">
        <v>1.2760000000000001E-4</v>
      </c>
      <c r="AK60" s="213">
        <v>1.7219</v>
      </c>
      <c r="AL60" s="213">
        <v>2</v>
      </c>
      <c r="AM60" s="213">
        <v>3.76611E-4</v>
      </c>
      <c r="AN60" s="74"/>
      <c r="AO60" s="73"/>
      <c r="AP60" s="73"/>
      <c r="AQ60" s="73"/>
      <c r="AR60" s="73"/>
      <c r="AS60" s="73"/>
      <c r="AT60" s="74"/>
      <c r="AU60" s="47"/>
      <c r="AV60" s="48"/>
    </row>
    <row r="61" spans="1:48" ht="12.75" customHeight="1" x14ac:dyDescent="0.25">
      <c r="A61" s="72" t="s">
        <v>23</v>
      </c>
      <c r="B61" s="43" t="s">
        <v>159</v>
      </c>
      <c r="C61" s="44" t="s">
        <v>211</v>
      </c>
      <c r="D61" s="45">
        <f>MROUND(MID($C61,6,3)/Basis!$E$3,0.5)</f>
        <v>8</v>
      </c>
      <c r="E61" s="45">
        <f>MROUND(MID($C61,9,3)/Basis!$E$3,0.5)</f>
        <v>118</v>
      </c>
      <c r="F61" s="124" t="s">
        <v>2943</v>
      </c>
      <c r="G61" s="45">
        <f>ROUND((ROUNDDOWN($F61/5,0)*5+1.8)/Basis!$E$3,1)</f>
        <v>4.5999999999999996</v>
      </c>
      <c r="H61" s="120">
        <f>ROUND($P61*Basis!$E$2*((TaH-TrH)/LN(1/µ)/Basis!$E$7)^$N61*$AA$4*Glycol,0)</f>
        <v>4206</v>
      </c>
      <c r="I61" s="83">
        <f>ROUND(H61/(MID($C61,9,3)/Basis!$E$3/Basis!$E$9)*Basis!$E$11,0)</f>
        <v>427</v>
      </c>
      <c r="J61" s="123">
        <f>IF(Basis!$E$1=1,ROUND(H61/((TaH-TrH)*1.163)/3600,3),ROUND(H61/(500*(TaH-TrH)),2))</f>
        <v>0.42</v>
      </c>
      <c r="K61" s="84"/>
      <c r="L61" s="177">
        <f>CHOOSE(Basis!$E$1,((AJ61*(J61*3600/Basis!$E$5)^AK61*(((MID(C61,9,3)*10)-144)/1000)*AL61+AM61*(J61*3600/Basis!$E$5)^2)*0.0098)/Basis!$E$10,((AJ61*(J61/Basis!$E$5)^AK61*(((MID(C61,9,3)*10)-144)/1000)*AL61+AM61*(J61/Basis!$E$5)^2)*0.0098)/Basis!$E$10)</f>
        <v>3.1050673070580379E-2</v>
      </c>
      <c r="M61" s="85"/>
      <c r="N61" s="109">
        <v>1.413</v>
      </c>
      <c r="O61" s="68"/>
      <c r="P61" s="67">
        <v>1965</v>
      </c>
      <c r="Q61" s="68"/>
      <c r="R61" s="69"/>
      <c r="S61" s="69"/>
      <c r="T61" s="69"/>
      <c r="U61" s="69"/>
      <c r="V61" s="69"/>
      <c r="W61" s="68"/>
      <c r="X61" s="70"/>
      <c r="Y61" s="70"/>
      <c r="Z61" s="70"/>
      <c r="AA61" s="70"/>
      <c r="AB61" s="70"/>
      <c r="AC61" s="68"/>
      <c r="AD61" s="71"/>
      <c r="AE61" s="71"/>
      <c r="AF61" s="71"/>
      <c r="AG61" s="71"/>
      <c r="AH61" s="71"/>
      <c r="AI61" s="68"/>
      <c r="AJ61" s="214">
        <v>3.9689999999999994E-4</v>
      </c>
      <c r="AK61" s="214">
        <v>1.7345999999999999</v>
      </c>
      <c r="AL61" s="214">
        <v>2</v>
      </c>
      <c r="AM61" s="214">
        <v>3.6734700000000002E-4</v>
      </c>
      <c r="AN61" s="68"/>
      <c r="AO61" s="67"/>
      <c r="AP61" s="67"/>
      <c r="AQ61" s="67"/>
      <c r="AR61" s="67"/>
      <c r="AS61" s="67"/>
      <c r="AT61" s="68"/>
      <c r="AU61" s="49"/>
      <c r="AV61" s="50"/>
    </row>
    <row r="62" spans="1:48" ht="12.75" customHeight="1" x14ac:dyDescent="0.25">
      <c r="A62" s="72" t="s">
        <v>23</v>
      </c>
      <c r="B62" s="43" t="s">
        <v>159</v>
      </c>
      <c r="C62" s="44" t="s">
        <v>212</v>
      </c>
      <c r="D62" s="45">
        <f>MROUND(MID($C62,6,3)/Basis!$E$3,0.5)</f>
        <v>8</v>
      </c>
      <c r="E62" s="45">
        <f>MROUND(MID($C62,9,3)/Basis!$E$3,0.5)</f>
        <v>118</v>
      </c>
      <c r="F62" s="124" t="s">
        <v>2944</v>
      </c>
      <c r="G62" s="45">
        <f>ROUND((ROUNDDOWN($F62/5,0)*5+1.8)/Basis!$E$3,1)</f>
        <v>6.6</v>
      </c>
      <c r="H62" s="120">
        <f>ROUND($P62*Basis!$E$2*((TaH-TrH)/LN(1/µ)/Basis!$E$7)^$N62*$AA$4*Glycol,0)</f>
        <v>7011</v>
      </c>
      <c r="I62" s="83">
        <f>ROUND(H62/(MID($C62,9,3)/Basis!$E$3/Basis!$E$9)*Basis!$E$11,0)</f>
        <v>712</v>
      </c>
      <c r="J62" s="123">
        <f>IF(Basis!$E$1=1,ROUND(H62/((TaH-TrH)*1.163)/3600,3),ROUND(H62/(500*(TaH-TrH)),2))</f>
        <v>0.7</v>
      </c>
      <c r="K62" s="84"/>
      <c r="L62" s="177">
        <f>CHOOSE(Basis!$E$1,((AJ62*(J62*3600/Basis!$E$5)^AK62*(((MID(C62,9,3)*10)-144)/1000)*AL62+AM62*(J62*3600/Basis!$E$5)^2)*0.0098)/Basis!$E$10,((AJ62*(J62/Basis!$E$5)^AK62*(((MID(C62,9,3)*10)-144)/1000)*AL62+AM62*(J62/Basis!$E$5)^2)*0.0098)/Basis!$E$10)</f>
        <v>6.2443265150922869E-2</v>
      </c>
      <c r="M62" s="85"/>
      <c r="N62" s="110">
        <v>1.4079999999999999</v>
      </c>
      <c r="O62" s="74"/>
      <c r="P62" s="73">
        <v>3270</v>
      </c>
      <c r="Q62" s="74"/>
      <c r="R62" s="75"/>
      <c r="S62" s="75"/>
      <c r="T62" s="75"/>
      <c r="U62" s="75"/>
      <c r="V62" s="75"/>
      <c r="W62" s="74"/>
      <c r="X62" s="76"/>
      <c r="Y62" s="76"/>
      <c r="Z62" s="76"/>
      <c r="AA62" s="76"/>
      <c r="AB62" s="76"/>
      <c r="AC62" s="74"/>
      <c r="AD62" s="77"/>
      <c r="AE62" s="77"/>
      <c r="AF62" s="77"/>
      <c r="AG62" s="77"/>
      <c r="AH62" s="77"/>
      <c r="AI62" s="68"/>
      <c r="AJ62" s="213">
        <v>2.0829999999999999E-4</v>
      </c>
      <c r="AK62" s="213">
        <v>1.724</v>
      </c>
      <c r="AL62" s="213">
        <v>2</v>
      </c>
      <c r="AM62" s="213">
        <v>4.6182900000000003E-4</v>
      </c>
      <c r="AN62" s="74"/>
      <c r="AO62" s="73"/>
      <c r="AP62" s="73"/>
      <c r="AQ62" s="73"/>
      <c r="AR62" s="73"/>
      <c r="AS62" s="73"/>
      <c r="AT62" s="74"/>
      <c r="AU62" s="47"/>
      <c r="AV62" s="48"/>
    </row>
    <row r="63" spans="1:48" ht="12.75" customHeight="1" x14ac:dyDescent="0.25">
      <c r="A63" s="72" t="s">
        <v>23</v>
      </c>
      <c r="B63" s="43" t="s">
        <v>159</v>
      </c>
      <c r="C63" s="200" t="s">
        <v>213</v>
      </c>
      <c r="D63" s="201">
        <f>MROUND(MID($C63,6,3)/Basis!$E$3,0.5)</f>
        <v>8</v>
      </c>
      <c r="E63" s="201">
        <f>MROUND(MID($C63,9,3)/Basis!$E$3,0.5)</f>
        <v>118</v>
      </c>
      <c r="F63" s="199" t="s">
        <v>2945</v>
      </c>
      <c r="G63" s="201">
        <f>ROUND((ROUNDDOWN($F63/5,0)*5+1.8)/Basis!$E$3,1)</f>
        <v>8.6</v>
      </c>
      <c r="H63" s="120">
        <f>ROUND($P63*Basis!$E$2*((TaH-TrH)/LN(1/µ)/Basis!$E$7)^$N63*$AA$4*Glycol,0)</f>
        <v>9853</v>
      </c>
      <c r="I63" s="83">
        <f>ROUND(H63/(MID($C63,9,3)/Basis!$E$3/Basis!$E$9)*Basis!$E$11,0)</f>
        <v>1001</v>
      </c>
      <c r="J63" s="123">
        <f>IF(Basis!$E$1=1,ROUND(H63/((TaH-TrH)*1.163)/3600,3),ROUND(H63/(500*(TaH-TrH)),2))</f>
        <v>0.99</v>
      </c>
      <c r="K63" s="84"/>
      <c r="L63" s="177">
        <f>CHOOSE(Basis!$E$1,((AJ63*(J63*3600/Basis!$E$5)^AK63*(((MID(C63,9,3)*10)-144)/1000)*AL63+AM63*(J63*3600/Basis!$E$5)^2)*0.0098)/Basis!$E$10,((AJ63*(J63/Basis!$E$5)^AK63*(((MID(C63,9,3)*10)-144)/1000)*AL63+AM63*(J63/Basis!$E$5)^2)*0.0098)/Basis!$E$10)</f>
        <v>8.8982032108335038E-2</v>
      </c>
      <c r="M63" s="85"/>
      <c r="N63" s="109">
        <v>1.4079999999999999</v>
      </c>
      <c r="O63" s="68"/>
      <c r="P63" s="67">
        <v>4596</v>
      </c>
      <c r="Q63" s="68"/>
      <c r="R63" s="69"/>
      <c r="S63" s="69"/>
      <c r="T63" s="69"/>
      <c r="U63" s="69"/>
      <c r="V63" s="69"/>
      <c r="W63" s="68"/>
      <c r="X63" s="70"/>
      <c r="Y63" s="70"/>
      <c r="Z63" s="70"/>
      <c r="AA63" s="70"/>
      <c r="AB63" s="70"/>
      <c r="AC63" s="68"/>
      <c r="AD63" s="71"/>
      <c r="AE63" s="71"/>
      <c r="AF63" s="71"/>
      <c r="AG63" s="71"/>
      <c r="AH63" s="71"/>
      <c r="AI63" s="68"/>
      <c r="AJ63" s="214">
        <v>1.2760000000000001E-4</v>
      </c>
      <c r="AK63" s="214">
        <v>1.7219</v>
      </c>
      <c r="AL63" s="214">
        <v>2</v>
      </c>
      <c r="AM63" s="214">
        <v>3.76611E-4</v>
      </c>
      <c r="AN63" s="68"/>
      <c r="AO63" s="67"/>
      <c r="AP63" s="67"/>
      <c r="AQ63" s="67"/>
      <c r="AR63" s="67"/>
      <c r="AS63" s="67"/>
      <c r="AT63" s="68"/>
      <c r="AU63" s="49"/>
      <c r="AV63" s="50"/>
    </row>
    <row r="64" spans="1:48" ht="12.75" customHeight="1" x14ac:dyDescent="0.25">
      <c r="A64" s="72" t="s">
        <v>23</v>
      </c>
      <c r="B64" s="43" t="s">
        <v>159</v>
      </c>
      <c r="C64" s="44" t="s">
        <v>214</v>
      </c>
      <c r="D64" s="45">
        <f>MROUND(MID($C64,6,3)/Basis!$E$3,0.5)</f>
        <v>12</v>
      </c>
      <c r="E64" s="45">
        <f>MROUND(MID($C64,9,3)/Basis!$E$3,0.5)</f>
        <v>15.5</v>
      </c>
      <c r="F64" s="124" t="s">
        <v>2943</v>
      </c>
      <c r="G64" s="45">
        <f>ROUND((ROUNDDOWN($F64/5,0)*5+1.8)/Basis!$E$3,1)</f>
        <v>4.5999999999999996</v>
      </c>
      <c r="H64" s="120">
        <f>ROUND($P64*Basis!$E$2*((TaH-TrH)/LN(1/µ)/Basis!$E$7)^$N64*$AA$4*Glycol,0)</f>
        <v>709</v>
      </c>
      <c r="I64" s="83">
        <f>ROUND(H64/(MID($C64,9,3)/Basis!$E$3/Basis!$E$9)*Basis!$E$11,0)</f>
        <v>540</v>
      </c>
      <c r="J64" s="123">
        <f>IF(Basis!$E$1=1,ROUND(H64/((TaH-TrH)*1.163)/3600,3),ROUND(H64/(500*(TaH-TrH)),2))</f>
        <v>7.0000000000000007E-2</v>
      </c>
      <c r="K64" s="84"/>
      <c r="L64" s="177">
        <f>CHOOSE(Basis!$E$1,((AJ64*(J64*3600/Basis!$E$5)^AK64*(((MID(C64,9,3)*10)-144)/1000)*AL64+AM64*(J64*3600/Basis!$E$5)^2)*0.0098)/Basis!$E$10,((AJ64*(J64/Basis!$E$5)^AK64*(((MID(C64,9,3)*10)-144)/1000)*AL64+AM64*(J64/Basis!$E$5)^2)*0.0098)/Basis!$E$10)</f>
        <v>3.8420834476523039E-4</v>
      </c>
      <c r="M64" s="85"/>
      <c r="N64" s="110">
        <v>1.403</v>
      </c>
      <c r="O64" s="74"/>
      <c r="P64" s="73">
        <v>330</v>
      </c>
      <c r="Q64" s="74"/>
      <c r="R64" s="75"/>
      <c r="S64" s="75"/>
      <c r="T64" s="75"/>
      <c r="U64" s="75"/>
      <c r="V64" s="75"/>
      <c r="W64" s="74"/>
      <c r="X64" s="76"/>
      <c r="Y64" s="76"/>
      <c r="Z64" s="76"/>
      <c r="AA64" s="76"/>
      <c r="AB64" s="76"/>
      <c r="AC64" s="74"/>
      <c r="AD64" s="77"/>
      <c r="AE64" s="77"/>
      <c r="AF64" s="77"/>
      <c r="AG64" s="77"/>
      <c r="AH64" s="77"/>
      <c r="AI64" s="68"/>
      <c r="AJ64" s="213">
        <v>3.9689999999999994E-4</v>
      </c>
      <c r="AK64" s="213">
        <v>1.7345999999999999</v>
      </c>
      <c r="AL64" s="213">
        <v>2</v>
      </c>
      <c r="AM64" s="213">
        <v>3.6734700000000002E-4</v>
      </c>
      <c r="AN64" s="74"/>
      <c r="AO64" s="73"/>
      <c r="AP64" s="73"/>
      <c r="AQ64" s="73"/>
      <c r="AR64" s="73"/>
      <c r="AS64" s="73"/>
      <c r="AT64" s="74"/>
      <c r="AU64" s="47"/>
      <c r="AV64" s="48"/>
    </row>
    <row r="65" spans="1:48" ht="12.75" customHeight="1" x14ac:dyDescent="0.25">
      <c r="A65" s="72" t="s">
        <v>23</v>
      </c>
      <c r="B65" s="43" t="s">
        <v>159</v>
      </c>
      <c r="C65" s="44" t="s">
        <v>215</v>
      </c>
      <c r="D65" s="45">
        <f>MROUND(MID($C65,6,3)/Basis!$E$3,0.5)</f>
        <v>12</v>
      </c>
      <c r="E65" s="45">
        <f>MROUND(MID($C65,9,3)/Basis!$E$3,0.5)</f>
        <v>15.5</v>
      </c>
      <c r="F65" s="124" t="s">
        <v>2946</v>
      </c>
      <c r="G65" s="45">
        <f>ROUND((ROUNDDOWN($F65/5,0)*5+1.8)/Basis!$E$3,1)</f>
        <v>4.5999999999999996</v>
      </c>
      <c r="H65" s="120">
        <f>ROUND($P65*Basis!$E$2*((TaH-TrH)/LN(1/µ)/Basis!$E$7)^$N65*$AA$4*Glycol,0)</f>
        <v>950</v>
      </c>
      <c r="I65" s="83">
        <f>ROUND(H65/(MID($C65,9,3)/Basis!$E$3/Basis!$E$9)*Basis!$E$11,0)</f>
        <v>724</v>
      </c>
      <c r="J65" s="123">
        <f>IF(Basis!$E$1=1,ROUND(H65/((TaH-TrH)*1.163)/3600,3),ROUND(H65/(500*(TaH-TrH)),2))</f>
        <v>0.1</v>
      </c>
      <c r="K65" s="84"/>
      <c r="L65" s="177">
        <f>CHOOSE(Basis!$E$1,((AJ65*(J65*3600/Basis!$E$5)^AK65*(((MID(C65,9,3)*10)-144)/1000)*AL65+AM65*(J65*3600/Basis!$E$5)^2)*0.0098)/Basis!$E$10,((AJ65*(J65/Basis!$E$5)^AK65*(((MID(C65,9,3)*10)-144)/1000)*AL65+AM65*(J65/Basis!$E$5)^2)*0.0098)/Basis!$E$10)</f>
        <v>1.2679264589730427E-3</v>
      </c>
      <c r="M65" s="85"/>
      <c r="N65" s="109">
        <v>1.44</v>
      </c>
      <c r="O65" s="68"/>
      <c r="P65" s="67">
        <v>448</v>
      </c>
      <c r="Q65" s="68"/>
      <c r="R65" s="69"/>
      <c r="S65" s="69"/>
      <c r="T65" s="69"/>
      <c r="U65" s="69"/>
      <c r="V65" s="69"/>
      <c r="W65" s="68"/>
      <c r="X65" s="70"/>
      <c r="Y65" s="70"/>
      <c r="Z65" s="70"/>
      <c r="AA65" s="70"/>
      <c r="AB65" s="70"/>
      <c r="AC65" s="68"/>
      <c r="AD65" s="71"/>
      <c r="AE65" s="71"/>
      <c r="AF65" s="71"/>
      <c r="AG65" s="71"/>
      <c r="AH65" s="71"/>
      <c r="AI65" s="68"/>
      <c r="AJ65" s="214">
        <v>3.9689999999999994E-4</v>
      </c>
      <c r="AK65" s="214">
        <v>1.7345999999999999</v>
      </c>
      <c r="AL65" s="214">
        <v>4</v>
      </c>
      <c r="AM65" s="214">
        <v>5.7428799999999995E-4</v>
      </c>
      <c r="AN65" s="68"/>
      <c r="AO65" s="67"/>
      <c r="AP65" s="67"/>
      <c r="AQ65" s="67"/>
      <c r="AR65" s="67"/>
      <c r="AS65" s="67"/>
      <c r="AT65" s="68"/>
      <c r="AU65" s="49"/>
      <c r="AV65" s="50"/>
    </row>
    <row r="66" spans="1:48" ht="12.75" customHeight="1" x14ac:dyDescent="0.25">
      <c r="A66" s="72" t="s">
        <v>23</v>
      </c>
      <c r="B66" s="43" t="s">
        <v>159</v>
      </c>
      <c r="C66" s="44" t="s">
        <v>216</v>
      </c>
      <c r="D66" s="45">
        <f>MROUND(MID($C66,6,3)/Basis!$E$3,0.5)</f>
        <v>12</v>
      </c>
      <c r="E66" s="45">
        <f>MROUND(MID($C66,9,3)/Basis!$E$3,0.5)</f>
        <v>15.5</v>
      </c>
      <c r="F66" s="124" t="s">
        <v>2944</v>
      </c>
      <c r="G66" s="45">
        <f>ROUND((ROUNDDOWN($F66/5,0)*5+1.8)/Basis!$E$3,1)</f>
        <v>6.6</v>
      </c>
      <c r="H66" s="120">
        <f>ROUND($P66*Basis!$E$2*((TaH-TrH)/LN(1/µ)/Basis!$E$7)^$N66*$AA$4*Glycol,0)</f>
        <v>1171</v>
      </c>
      <c r="I66" s="83">
        <f>ROUND(H66/(MID($C66,9,3)/Basis!$E$3/Basis!$E$9)*Basis!$E$11,0)</f>
        <v>892</v>
      </c>
      <c r="J66" s="123">
        <f>IF(Basis!$E$1=1,ROUND(H66/((TaH-TrH)*1.163)/3600,3),ROUND(H66/(500*(TaH-TrH)),2))</f>
        <v>0.12</v>
      </c>
      <c r="K66" s="84"/>
      <c r="L66" s="177">
        <f>CHOOSE(Basis!$E$1,((AJ66*(J66*3600/Basis!$E$5)^AK66*(((MID(C66,9,3)*10)-144)/1000)*AL66+AM66*(J66*3600/Basis!$E$5)^2)*0.0098)/Basis!$E$10,((AJ66*(J66/Basis!$E$5)^AK66*(((MID(C66,9,3)*10)-144)/1000)*AL66+AM66*(J66/Basis!$E$5)^2)*0.0098)/Basis!$E$10)</f>
        <v>1.2257479309999634E-3</v>
      </c>
      <c r="M66" s="85"/>
      <c r="N66" s="110">
        <v>1.3959999999999999</v>
      </c>
      <c r="O66" s="74"/>
      <c r="P66" s="73">
        <v>544</v>
      </c>
      <c r="Q66" s="74"/>
      <c r="R66" s="75"/>
      <c r="S66" s="75"/>
      <c r="T66" s="75"/>
      <c r="U66" s="75"/>
      <c r="V66" s="75"/>
      <c r="W66" s="74"/>
      <c r="X66" s="76"/>
      <c r="Y66" s="76"/>
      <c r="Z66" s="76"/>
      <c r="AA66" s="76"/>
      <c r="AB66" s="76"/>
      <c r="AC66" s="74"/>
      <c r="AD66" s="77"/>
      <c r="AE66" s="77"/>
      <c r="AF66" s="77"/>
      <c r="AG66" s="77"/>
      <c r="AH66" s="77"/>
      <c r="AI66" s="68"/>
      <c r="AJ66" s="213">
        <v>2.0829999999999999E-4</v>
      </c>
      <c r="AK66" s="213">
        <v>1.724</v>
      </c>
      <c r="AL66" s="213">
        <v>2</v>
      </c>
      <c r="AM66" s="213">
        <v>4.6182900000000003E-4</v>
      </c>
      <c r="AN66" s="74"/>
      <c r="AO66" s="73"/>
      <c r="AP66" s="73"/>
      <c r="AQ66" s="73"/>
      <c r="AR66" s="73"/>
      <c r="AS66" s="73"/>
      <c r="AT66" s="74"/>
      <c r="AU66" s="47"/>
      <c r="AV66" s="48"/>
    </row>
    <row r="67" spans="1:48" ht="12.75" customHeight="1" x14ac:dyDescent="0.25">
      <c r="A67" s="72" t="s">
        <v>23</v>
      </c>
      <c r="B67" s="43" t="s">
        <v>159</v>
      </c>
      <c r="C67" s="44" t="s">
        <v>217</v>
      </c>
      <c r="D67" s="45">
        <f>MROUND(MID($C67,6,3)/Basis!$E$3,0.5)</f>
        <v>12</v>
      </c>
      <c r="E67" s="45">
        <f>MROUND(MID($C67,9,3)/Basis!$E$3,0.5)</f>
        <v>15.5</v>
      </c>
      <c r="F67" s="124" t="s">
        <v>2947</v>
      </c>
      <c r="G67" s="45">
        <f>ROUND((ROUNDDOWN($F67/5,0)*5+1.8)/Basis!$E$3,1)</f>
        <v>6.6</v>
      </c>
      <c r="H67" s="120">
        <f>ROUND($P67*Basis!$E$2*((TaH-TrH)/LN(1/µ)/Basis!$E$7)^$N67*$AA$4*Glycol,0)</f>
        <v>1249</v>
      </c>
      <c r="I67" s="83">
        <f>ROUND(H67/(MID($C67,9,3)/Basis!$E$3/Basis!$E$9)*Basis!$E$11,0)</f>
        <v>952</v>
      </c>
      <c r="J67" s="123">
        <f>IF(Basis!$E$1=1,ROUND(H67/((TaH-TrH)*1.163)/3600,3),ROUND(H67/(500*(TaH-TrH)),2))</f>
        <v>0.12</v>
      </c>
      <c r="K67" s="84"/>
      <c r="L67" s="177">
        <f>CHOOSE(Basis!$E$1,((AJ67*(J67*3600/Basis!$E$5)^AK67*(((MID(C67,9,3)*10)-144)/1000)*AL67+AM67*(J67*3600/Basis!$E$5)^2)*0.0098)/Basis!$E$10,((AJ67*(J67/Basis!$E$5)^AK67*(((MID(C67,9,3)*10)-144)/1000)*AL67+AM67*(J67/Basis!$E$5)^2)*0.0098)/Basis!$E$10)</f>
        <v>3.5909610506346082E-3</v>
      </c>
      <c r="M67" s="85"/>
      <c r="N67" s="109">
        <v>1.456</v>
      </c>
      <c r="O67" s="68"/>
      <c r="P67" s="67">
        <v>592</v>
      </c>
      <c r="Q67" s="68"/>
      <c r="R67" s="69"/>
      <c r="S67" s="69"/>
      <c r="T67" s="69"/>
      <c r="U67" s="69"/>
      <c r="V67" s="69"/>
      <c r="W67" s="68"/>
      <c r="X67" s="70"/>
      <c r="Y67" s="70"/>
      <c r="Z67" s="70"/>
      <c r="AA67" s="70"/>
      <c r="AB67" s="70"/>
      <c r="AC67" s="68"/>
      <c r="AD67" s="71"/>
      <c r="AE67" s="71"/>
      <c r="AF67" s="71"/>
      <c r="AG67" s="71"/>
      <c r="AH67" s="71"/>
      <c r="AI67" s="68"/>
      <c r="AJ67" s="214">
        <v>2.0829999999999999E-4</v>
      </c>
      <c r="AK67" s="214">
        <v>1.724</v>
      </c>
      <c r="AL67" s="214">
        <v>4</v>
      </c>
      <c r="AM67" s="214">
        <v>1.392796E-3</v>
      </c>
      <c r="AN67" s="68"/>
      <c r="AO67" s="67"/>
      <c r="AP67" s="67"/>
      <c r="AQ67" s="67"/>
      <c r="AR67" s="67"/>
      <c r="AS67" s="67"/>
      <c r="AT67" s="68"/>
      <c r="AU67" s="49"/>
      <c r="AV67" s="50"/>
    </row>
    <row r="68" spans="1:48" ht="12.75" customHeight="1" x14ac:dyDescent="0.25">
      <c r="A68" s="72" t="s">
        <v>23</v>
      </c>
      <c r="B68" s="43" t="s">
        <v>159</v>
      </c>
      <c r="C68" s="44" t="s">
        <v>218</v>
      </c>
      <c r="D68" s="45">
        <f>MROUND(MID($C68,6,3)/Basis!$E$3,0.5)</f>
        <v>12</v>
      </c>
      <c r="E68" s="45">
        <f>MROUND(MID($C68,9,3)/Basis!$E$3,0.5)</f>
        <v>15.5</v>
      </c>
      <c r="F68" s="124" t="s">
        <v>2945</v>
      </c>
      <c r="G68" s="45">
        <f>ROUND((ROUNDDOWN($F68/5,0)*5+1.8)/Basis!$E$3,1)</f>
        <v>8.6</v>
      </c>
      <c r="H68" s="120">
        <f>ROUND($P68*Basis!$E$2*((TaH-TrH)/LN(1/µ)/Basis!$E$7)^$N68*$AA$4*Glycol,0)</f>
        <v>1640</v>
      </c>
      <c r="I68" s="83">
        <f>ROUND(H68/(MID($C68,9,3)/Basis!$E$3/Basis!$E$9)*Basis!$E$11,0)</f>
        <v>1250</v>
      </c>
      <c r="J68" s="123">
        <f>IF(Basis!$E$1=1,ROUND(H68/((TaH-TrH)*1.163)/3600,3),ROUND(H68/(500*(TaH-TrH)),2))</f>
        <v>0.16</v>
      </c>
      <c r="K68" s="84"/>
      <c r="L68" s="177">
        <f>CHOOSE(Basis!$E$1,((AJ68*(J68*3600/Basis!$E$5)^AK68*(((MID(C68,9,3)*10)-144)/1000)*AL68+AM68*(J68*3600/Basis!$E$5)^2)*0.0098)/Basis!$E$10,((AJ68*(J68/Basis!$E$5)^AK68*(((MID(C68,9,3)*10)-144)/1000)*AL68+AM68*(J68/Basis!$E$5)^2)*0.0098)/Basis!$E$10)</f>
        <v>1.730051268955713E-3</v>
      </c>
      <c r="M68" s="85"/>
      <c r="N68" s="110">
        <v>1.3959999999999999</v>
      </c>
      <c r="O68" s="74"/>
      <c r="P68" s="73">
        <v>762</v>
      </c>
      <c r="Q68" s="74"/>
      <c r="R68" s="75"/>
      <c r="S68" s="75"/>
      <c r="T68" s="75"/>
      <c r="U68" s="75"/>
      <c r="V68" s="75"/>
      <c r="W68" s="74"/>
      <c r="X68" s="76"/>
      <c r="Y68" s="76"/>
      <c r="Z68" s="76"/>
      <c r="AA68" s="76"/>
      <c r="AB68" s="76"/>
      <c r="AC68" s="74"/>
      <c r="AD68" s="77"/>
      <c r="AE68" s="77"/>
      <c r="AF68" s="77"/>
      <c r="AG68" s="77"/>
      <c r="AH68" s="77"/>
      <c r="AI68" s="68"/>
      <c r="AJ68" s="213">
        <v>1.2760000000000001E-4</v>
      </c>
      <c r="AK68" s="213">
        <v>1.7219</v>
      </c>
      <c r="AL68" s="213">
        <v>2</v>
      </c>
      <c r="AM68" s="213">
        <v>3.76611E-4</v>
      </c>
      <c r="AN68" s="74"/>
      <c r="AO68" s="73"/>
      <c r="AP68" s="73"/>
      <c r="AQ68" s="73"/>
      <c r="AR68" s="73"/>
      <c r="AS68" s="73"/>
      <c r="AT68" s="74"/>
      <c r="AU68" s="47"/>
      <c r="AV68" s="48"/>
    </row>
    <row r="69" spans="1:48" ht="12.75" customHeight="1" x14ac:dyDescent="0.25">
      <c r="A69" s="72" t="s">
        <v>23</v>
      </c>
      <c r="B69" s="43" t="s">
        <v>159</v>
      </c>
      <c r="C69" s="44" t="s">
        <v>219</v>
      </c>
      <c r="D69" s="45">
        <f>MROUND(MID($C69,6,3)/Basis!$E$3,0.5)</f>
        <v>12</v>
      </c>
      <c r="E69" s="45">
        <f>MROUND(MID($C69,9,3)/Basis!$E$3,0.5)</f>
        <v>15.5</v>
      </c>
      <c r="F69" s="124" t="s">
        <v>2948</v>
      </c>
      <c r="G69" s="45">
        <f>ROUND((ROUNDDOWN($F69/5,0)*5+1.8)/Basis!$E$3,1)</f>
        <v>8.6</v>
      </c>
      <c r="H69" s="120">
        <f>ROUND($P69*Basis!$E$2*((TaH-TrH)/LN(1/µ)/Basis!$E$7)^$N69*$AA$4*Glycol,0)</f>
        <v>1637</v>
      </c>
      <c r="I69" s="83">
        <f>ROUND(H69/(MID($C69,9,3)/Basis!$E$3/Basis!$E$9)*Basis!$E$11,0)</f>
        <v>1247</v>
      </c>
      <c r="J69" s="123">
        <f>IF(Basis!$E$1=1,ROUND(H69/((TaH-TrH)*1.163)/3600,3),ROUND(H69/(500*(TaH-TrH)),2))</f>
        <v>0.16</v>
      </c>
      <c r="K69" s="84"/>
      <c r="L69" s="177">
        <f>CHOOSE(Basis!$E$1,((AJ69*(J69*3600/Basis!$E$5)^AK69*(((MID(C69,9,3)*10)-144)/1000)*AL69+AM69*(J69*3600/Basis!$E$5)^2)*0.0098)/Basis!$E$10,((AJ69*(J69/Basis!$E$5)^AK69*(((MID(C69,9,3)*10)-144)/1000)*AL69+AM69*(J69/Basis!$E$5)^2)*0.0098)/Basis!$E$10)</f>
        <v>2.4280210651672291E-3</v>
      </c>
      <c r="M69" s="85"/>
      <c r="N69" s="109">
        <v>1.468</v>
      </c>
      <c r="O69" s="68"/>
      <c r="P69" s="67">
        <v>779</v>
      </c>
      <c r="Q69" s="68"/>
      <c r="R69" s="69"/>
      <c r="S69" s="69"/>
      <c r="T69" s="69"/>
      <c r="U69" s="69"/>
      <c r="V69" s="69"/>
      <c r="W69" s="68"/>
      <c r="X69" s="70"/>
      <c r="Y69" s="70"/>
      <c r="Z69" s="70"/>
      <c r="AA69" s="70"/>
      <c r="AB69" s="70"/>
      <c r="AC69" s="68"/>
      <c r="AD69" s="71"/>
      <c r="AE69" s="71"/>
      <c r="AF69" s="71"/>
      <c r="AG69" s="71"/>
      <c r="AH69" s="71"/>
      <c r="AI69" s="68"/>
      <c r="AJ69" s="214">
        <v>1.2760000000000001E-4</v>
      </c>
      <c r="AK69" s="214">
        <v>1.7219</v>
      </c>
      <c r="AL69" s="214">
        <v>4</v>
      </c>
      <c r="AM69" s="214">
        <v>5.1420100000000005E-4</v>
      </c>
      <c r="AN69" s="68"/>
      <c r="AO69" s="67"/>
      <c r="AP69" s="67"/>
      <c r="AQ69" s="67"/>
      <c r="AR69" s="67"/>
      <c r="AS69" s="67"/>
      <c r="AT69" s="68"/>
      <c r="AU69" s="49"/>
      <c r="AV69" s="50"/>
    </row>
    <row r="70" spans="1:48" ht="12.75" customHeight="1" x14ac:dyDescent="0.25">
      <c r="A70" s="72" t="s">
        <v>23</v>
      </c>
      <c r="B70" s="43" t="s">
        <v>159</v>
      </c>
      <c r="C70" s="44" t="s">
        <v>220</v>
      </c>
      <c r="D70" s="45">
        <f>MROUND(MID($C70,6,3)/Basis!$E$3,0.5)</f>
        <v>12</v>
      </c>
      <c r="E70" s="45">
        <f>MROUND(MID($C70,9,3)/Basis!$E$3,0.5)</f>
        <v>19.5</v>
      </c>
      <c r="F70" s="124" t="s">
        <v>2943</v>
      </c>
      <c r="G70" s="45">
        <f>ROUND((ROUNDDOWN($F70/5,0)*5+1.8)/Basis!$E$3,1)</f>
        <v>4.5999999999999996</v>
      </c>
      <c r="H70" s="120">
        <f>ROUND($P70*Basis!$E$2*((TaH-TrH)/LN(1/µ)/Basis!$E$7)^$N70*$AA$4*Glycol,0)</f>
        <v>887</v>
      </c>
      <c r="I70" s="83">
        <f>ROUND(H70/(MID($C70,9,3)/Basis!$E$3/Basis!$E$9)*Basis!$E$11,0)</f>
        <v>541</v>
      </c>
      <c r="J70" s="123">
        <f>IF(Basis!$E$1=1,ROUND(H70/((TaH-TrH)*1.163)/3600,3),ROUND(H70/(500*(TaH-TrH)),2))</f>
        <v>0.09</v>
      </c>
      <c r="K70" s="84"/>
      <c r="L70" s="177">
        <f>CHOOSE(Basis!$E$1,((AJ70*(J70*3600/Basis!$E$5)^AK70*(((MID(C70,9,3)*10)-144)/1000)*AL70+AM70*(J70*3600/Basis!$E$5)^2)*0.0098)/Basis!$E$10,((AJ70*(J70/Basis!$E$5)^AK70*(((MID(C70,9,3)*10)-144)/1000)*AL70+AM70*(J70/Basis!$E$5)^2)*0.0098)/Basis!$E$10)</f>
        <v>6.7521162372512146E-4</v>
      </c>
      <c r="M70" s="85"/>
      <c r="N70" s="110">
        <v>1.403</v>
      </c>
      <c r="O70" s="74"/>
      <c r="P70" s="73">
        <v>413</v>
      </c>
      <c r="Q70" s="74"/>
      <c r="R70" s="75"/>
      <c r="S70" s="75"/>
      <c r="T70" s="75"/>
      <c r="U70" s="75"/>
      <c r="V70" s="75"/>
      <c r="W70" s="74"/>
      <c r="X70" s="76"/>
      <c r="Y70" s="76"/>
      <c r="Z70" s="76"/>
      <c r="AA70" s="76"/>
      <c r="AB70" s="76"/>
      <c r="AC70" s="74"/>
      <c r="AD70" s="77"/>
      <c r="AE70" s="77"/>
      <c r="AF70" s="77"/>
      <c r="AG70" s="77"/>
      <c r="AH70" s="77"/>
      <c r="AI70" s="68"/>
      <c r="AJ70" s="213">
        <v>3.9689999999999994E-4</v>
      </c>
      <c r="AK70" s="213">
        <v>1.7345999999999999</v>
      </c>
      <c r="AL70" s="213">
        <v>2</v>
      </c>
      <c r="AM70" s="213">
        <v>3.6734700000000002E-4</v>
      </c>
      <c r="AN70" s="74"/>
      <c r="AO70" s="73"/>
      <c r="AP70" s="73"/>
      <c r="AQ70" s="73"/>
      <c r="AR70" s="73"/>
      <c r="AS70" s="73"/>
      <c r="AT70" s="74"/>
      <c r="AU70" s="47"/>
      <c r="AV70" s="48"/>
    </row>
    <row r="71" spans="1:48" ht="12.75" customHeight="1" x14ac:dyDescent="0.25">
      <c r="A71" s="72" t="s">
        <v>23</v>
      </c>
      <c r="B71" s="43" t="s">
        <v>159</v>
      </c>
      <c r="C71" s="44" t="s">
        <v>221</v>
      </c>
      <c r="D71" s="45">
        <f>MROUND(MID($C71,6,3)/Basis!$E$3,0.5)</f>
        <v>12</v>
      </c>
      <c r="E71" s="45">
        <f>MROUND(MID($C71,9,3)/Basis!$E$3,0.5)</f>
        <v>19.5</v>
      </c>
      <c r="F71" s="124" t="s">
        <v>2946</v>
      </c>
      <c r="G71" s="45">
        <f>ROUND((ROUNDDOWN($F71/5,0)*5+1.8)/Basis!$E$3,1)</f>
        <v>4.5999999999999996</v>
      </c>
      <c r="H71" s="120">
        <f>ROUND($P71*Basis!$E$2*((TaH-TrH)/LN(1/µ)/Basis!$E$7)^$N71*$AA$4*Glycol,0)</f>
        <v>1190</v>
      </c>
      <c r="I71" s="83">
        <f>ROUND(H71/(MID($C71,9,3)/Basis!$E$3/Basis!$E$9)*Basis!$E$11,0)</f>
        <v>725</v>
      </c>
      <c r="J71" s="123">
        <f>IF(Basis!$E$1=1,ROUND(H71/((TaH-TrH)*1.163)/3600,3),ROUND(H71/(500*(TaH-TrH)),2))</f>
        <v>0.12</v>
      </c>
      <c r="K71" s="84"/>
      <c r="L71" s="177">
        <f>CHOOSE(Basis!$E$1,((AJ71*(J71*3600/Basis!$E$5)^AK71*(((MID(C71,9,3)*10)-144)/1000)*AL71+AM71*(J71*3600/Basis!$E$5)^2)*0.0098)/Basis!$E$10,((AJ71*(J71/Basis!$E$5)^AK71*(((MID(C71,9,3)*10)-144)/1000)*AL71+AM71*(J71/Basis!$E$5)^2)*0.0098)/Basis!$E$10)</f>
        <v>1.9658476149922066E-3</v>
      </c>
      <c r="M71" s="85"/>
      <c r="N71" s="109">
        <v>1.44</v>
      </c>
      <c r="O71" s="68"/>
      <c r="P71" s="67">
        <v>561</v>
      </c>
      <c r="Q71" s="68"/>
      <c r="R71" s="69"/>
      <c r="S71" s="69"/>
      <c r="T71" s="69"/>
      <c r="U71" s="69"/>
      <c r="V71" s="69"/>
      <c r="W71" s="68"/>
      <c r="X71" s="70"/>
      <c r="Y71" s="70"/>
      <c r="Z71" s="70"/>
      <c r="AA71" s="70"/>
      <c r="AB71" s="70"/>
      <c r="AC71" s="68"/>
      <c r="AD71" s="71"/>
      <c r="AE71" s="71"/>
      <c r="AF71" s="71"/>
      <c r="AG71" s="71"/>
      <c r="AH71" s="71"/>
      <c r="AI71" s="68"/>
      <c r="AJ71" s="214">
        <v>3.9689999999999994E-4</v>
      </c>
      <c r="AK71" s="214">
        <v>1.7345999999999999</v>
      </c>
      <c r="AL71" s="214">
        <v>4</v>
      </c>
      <c r="AM71" s="214">
        <v>5.7428799999999995E-4</v>
      </c>
      <c r="AN71" s="68"/>
      <c r="AO71" s="67"/>
      <c r="AP71" s="67"/>
      <c r="AQ71" s="67"/>
      <c r="AR71" s="67"/>
      <c r="AS71" s="67"/>
      <c r="AT71" s="68"/>
      <c r="AU71" s="49"/>
      <c r="AV71" s="50"/>
    </row>
    <row r="72" spans="1:48" ht="12.75" customHeight="1" x14ac:dyDescent="0.25">
      <c r="A72" s="72" t="s">
        <v>23</v>
      </c>
      <c r="B72" s="43" t="s">
        <v>159</v>
      </c>
      <c r="C72" s="44" t="s">
        <v>222</v>
      </c>
      <c r="D72" s="45">
        <f>MROUND(MID($C72,6,3)/Basis!$E$3,0.5)</f>
        <v>12</v>
      </c>
      <c r="E72" s="45">
        <f>MROUND(MID($C72,9,3)/Basis!$E$3,0.5)</f>
        <v>19.5</v>
      </c>
      <c r="F72" s="124" t="s">
        <v>2944</v>
      </c>
      <c r="G72" s="45">
        <f>ROUND((ROUNDDOWN($F72/5,0)*5+1.8)/Basis!$E$3,1)</f>
        <v>6.6</v>
      </c>
      <c r="H72" s="120">
        <f>ROUND($P72*Basis!$E$2*((TaH-TrH)/LN(1/µ)/Basis!$E$7)^$N72*$AA$4*Glycol,0)</f>
        <v>1464</v>
      </c>
      <c r="I72" s="83">
        <f>ROUND(H72/(MID($C72,9,3)/Basis!$E$3/Basis!$E$9)*Basis!$E$11,0)</f>
        <v>892</v>
      </c>
      <c r="J72" s="123">
        <f>IF(Basis!$E$1=1,ROUND(H72/((TaH-TrH)*1.163)/3600,3),ROUND(H72/(500*(TaH-TrH)),2))</f>
        <v>0.15</v>
      </c>
      <c r="K72" s="84"/>
      <c r="L72" s="177">
        <f>CHOOSE(Basis!$E$1,((AJ72*(J72*3600/Basis!$E$5)^AK72*(((MID(C72,9,3)*10)-144)/1000)*AL72+AM72*(J72*3600/Basis!$E$5)^2)*0.0098)/Basis!$E$10,((AJ72*(J72/Basis!$E$5)^AK72*(((MID(C72,9,3)*10)-144)/1000)*AL72+AM72*(J72/Basis!$E$5)^2)*0.0098)/Basis!$E$10)</f>
        <v>1.9652271646981218E-3</v>
      </c>
      <c r="M72" s="85"/>
      <c r="N72" s="110">
        <v>1.3959999999999999</v>
      </c>
      <c r="O72" s="74"/>
      <c r="P72" s="73">
        <v>680</v>
      </c>
      <c r="Q72" s="74"/>
      <c r="R72" s="75"/>
      <c r="S72" s="75"/>
      <c r="T72" s="75"/>
      <c r="U72" s="75"/>
      <c r="V72" s="75"/>
      <c r="W72" s="74"/>
      <c r="X72" s="76"/>
      <c r="Y72" s="76"/>
      <c r="Z72" s="76"/>
      <c r="AA72" s="76"/>
      <c r="AB72" s="76"/>
      <c r="AC72" s="74"/>
      <c r="AD72" s="77"/>
      <c r="AE72" s="77"/>
      <c r="AF72" s="77"/>
      <c r="AG72" s="77"/>
      <c r="AH72" s="77"/>
      <c r="AI72" s="68"/>
      <c r="AJ72" s="213">
        <v>2.0829999999999999E-4</v>
      </c>
      <c r="AK72" s="213">
        <v>1.724</v>
      </c>
      <c r="AL72" s="213">
        <v>2</v>
      </c>
      <c r="AM72" s="213">
        <v>4.6182900000000003E-4</v>
      </c>
      <c r="AN72" s="74"/>
      <c r="AO72" s="73"/>
      <c r="AP72" s="73"/>
      <c r="AQ72" s="73"/>
      <c r="AR72" s="73"/>
      <c r="AS72" s="73"/>
      <c r="AT72" s="74"/>
      <c r="AU72" s="47"/>
      <c r="AV72" s="48"/>
    </row>
    <row r="73" spans="1:48" ht="12.75" customHeight="1" x14ac:dyDescent="0.25">
      <c r="A73" s="72" t="s">
        <v>23</v>
      </c>
      <c r="B73" s="43" t="s">
        <v>159</v>
      </c>
      <c r="C73" s="44" t="s">
        <v>223</v>
      </c>
      <c r="D73" s="45">
        <f>MROUND(MID($C73,6,3)/Basis!$E$3,0.5)</f>
        <v>12</v>
      </c>
      <c r="E73" s="45">
        <f>MROUND(MID($C73,9,3)/Basis!$E$3,0.5)</f>
        <v>19.5</v>
      </c>
      <c r="F73" s="124" t="s">
        <v>2947</v>
      </c>
      <c r="G73" s="45">
        <f>ROUND((ROUNDDOWN($F73/5,0)*5+1.8)/Basis!$E$3,1)</f>
        <v>6.6</v>
      </c>
      <c r="H73" s="120">
        <f>ROUND($P73*Basis!$E$2*((TaH-TrH)/LN(1/µ)/Basis!$E$7)^$N73*$AA$4*Glycol,0)</f>
        <v>1562</v>
      </c>
      <c r="I73" s="83">
        <f>ROUND(H73/(MID($C73,9,3)/Basis!$E$3/Basis!$E$9)*Basis!$E$11,0)</f>
        <v>952</v>
      </c>
      <c r="J73" s="123">
        <f>IF(Basis!$E$1=1,ROUND(H73/((TaH-TrH)*1.163)/3600,3),ROUND(H73/(500*(TaH-TrH)),2))</f>
        <v>0.16</v>
      </c>
      <c r="K73" s="84"/>
      <c r="L73" s="177">
        <f>CHOOSE(Basis!$E$1,((AJ73*(J73*3600/Basis!$E$5)^AK73*(((MID(C73,9,3)*10)-144)/1000)*AL73+AM73*(J73*3600/Basis!$E$5)^2)*0.0098)/Basis!$E$10,((AJ73*(J73/Basis!$E$5)^AK73*(((MID(C73,9,3)*10)-144)/1000)*AL73+AM73*(J73/Basis!$E$5)^2)*0.0098)/Basis!$E$10)</f>
        <v>6.4891602969182624E-3</v>
      </c>
      <c r="M73" s="85"/>
      <c r="N73" s="109">
        <v>1.456</v>
      </c>
      <c r="O73" s="68"/>
      <c r="P73" s="67">
        <v>740</v>
      </c>
      <c r="Q73" s="68"/>
      <c r="R73" s="69"/>
      <c r="S73" s="69"/>
      <c r="T73" s="69"/>
      <c r="U73" s="69"/>
      <c r="V73" s="69"/>
      <c r="W73" s="68"/>
      <c r="X73" s="70"/>
      <c r="Y73" s="70"/>
      <c r="Z73" s="70"/>
      <c r="AA73" s="70"/>
      <c r="AB73" s="70"/>
      <c r="AC73" s="68"/>
      <c r="AD73" s="71"/>
      <c r="AE73" s="71"/>
      <c r="AF73" s="71"/>
      <c r="AG73" s="71"/>
      <c r="AH73" s="71"/>
      <c r="AI73" s="68"/>
      <c r="AJ73" s="214">
        <v>2.0829999999999999E-4</v>
      </c>
      <c r="AK73" s="214">
        <v>1.724</v>
      </c>
      <c r="AL73" s="214">
        <v>4</v>
      </c>
      <c r="AM73" s="214">
        <v>1.392796E-3</v>
      </c>
      <c r="AN73" s="68"/>
      <c r="AO73" s="67"/>
      <c r="AP73" s="67"/>
      <c r="AQ73" s="67"/>
      <c r="AR73" s="67"/>
      <c r="AS73" s="67"/>
      <c r="AT73" s="68"/>
      <c r="AU73" s="49"/>
      <c r="AV73" s="50"/>
    </row>
    <row r="74" spans="1:48" ht="12.75" customHeight="1" x14ac:dyDescent="0.25">
      <c r="A74" s="72" t="s">
        <v>23</v>
      </c>
      <c r="B74" s="43" t="s">
        <v>159</v>
      </c>
      <c r="C74" s="44" t="s">
        <v>224</v>
      </c>
      <c r="D74" s="45">
        <f>MROUND(MID($C74,6,3)/Basis!$E$3,0.5)</f>
        <v>12</v>
      </c>
      <c r="E74" s="45">
        <f>MROUND(MID($C74,9,3)/Basis!$E$3,0.5)</f>
        <v>19.5</v>
      </c>
      <c r="F74" s="124" t="s">
        <v>2945</v>
      </c>
      <c r="G74" s="45">
        <f>ROUND((ROUNDDOWN($F74/5,0)*5+1.8)/Basis!$E$3,1)</f>
        <v>8.6</v>
      </c>
      <c r="H74" s="120">
        <f>ROUND($P74*Basis!$E$2*((TaH-TrH)/LN(1/µ)/Basis!$E$7)^$N74*$AA$4*Glycol,0)</f>
        <v>2051</v>
      </c>
      <c r="I74" s="83">
        <f>ROUND(H74/(MID($C74,9,3)/Basis!$E$3/Basis!$E$9)*Basis!$E$11,0)</f>
        <v>1250</v>
      </c>
      <c r="J74" s="123">
        <f>IF(Basis!$E$1=1,ROUND(H74/((TaH-TrH)*1.163)/3600,3),ROUND(H74/(500*(TaH-TrH)),2))</f>
        <v>0.21</v>
      </c>
      <c r="K74" s="84"/>
      <c r="L74" s="177">
        <f>CHOOSE(Basis!$E$1,((AJ74*(J74*3600/Basis!$E$5)^AK74*(((MID(C74,9,3)*10)-144)/1000)*AL74+AM74*(J74*3600/Basis!$E$5)^2)*0.0098)/Basis!$E$10,((AJ74*(J74/Basis!$E$5)^AK74*(((MID(C74,9,3)*10)-144)/1000)*AL74+AM74*(J74/Basis!$E$5)^2)*0.0098)/Basis!$E$10)</f>
        <v>3.0320517816720019E-3</v>
      </c>
      <c r="M74" s="85"/>
      <c r="N74" s="110">
        <v>1.3959999999999999</v>
      </c>
      <c r="O74" s="74"/>
      <c r="P74" s="73">
        <v>953</v>
      </c>
      <c r="Q74" s="74"/>
      <c r="R74" s="75"/>
      <c r="S74" s="75"/>
      <c r="T74" s="75"/>
      <c r="U74" s="75"/>
      <c r="V74" s="75"/>
      <c r="W74" s="74"/>
      <c r="X74" s="76"/>
      <c r="Y74" s="76"/>
      <c r="Z74" s="76"/>
      <c r="AA74" s="76"/>
      <c r="AB74" s="76"/>
      <c r="AC74" s="74"/>
      <c r="AD74" s="77"/>
      <c r="AE74" s="77"/>
      <c r="AF74" s="77"/>
      <c r="AG74" s="77"/>
      <c r="AH74" s="77"/>
      <c r="AI74" s="68"/>
      <c r="AJ74" s="213">
        <v>1.2760000000000001E-4</v>
      </c>
      <c r="AK74" s="213">
        <v>1.7219</v>
      </c>
      <c r="AL74" s="213">
        <v>2</v>
      </c>
      <c r="AM74" s="213">
        <v>3.76611E-4</v>
      </c>
      <c r="AN74" s="74"/>
      <c r="AO74" s="73"/>
      <c r="AP74" s="73"/>
      <c r="AQ74" s="73"/>
      <c r="AR74" s="73"/>
      <c r="AS74" s="73"/>
      <c r="AT74" s="74"/>
      <c r="AU74" s="47"/>
      <c r="AV74" s="48"/>
    </row>
    <row r="75" spans="1:48" ht="12.75" customHeight="1" x14ac:dyDescent="0.25">
      <c r="A75" s="72" t="s">
        <v>23</v>
      </c>
      <c r="B75" s="43" t="s">
        <v>159</v>
      </c>
      <c r="C75" s="44" t="s">
        <v>225</v>
      </c>
      <c r="D75" s="45">
        <f>MROUND(MID($C75,6,3)/Basis!$E$3,0.5)</f>
        <v>12</v>
      </c>
      <c r="E75" s="45">
        <f>MROUND(MID($C75,9,3)/Basis!$E$3,0.5)</f>
        <v>19.5</v>
      </c>
      <c r="F75" s="124" t="s">
        <v>2948</v>
      </c>
      <c r="G75" s="45">
        <f>ROUND((ROUNDDOWN($F75/5,0)*5+1.8)/Basis!$E$3,1)</f>
        <v>8.6</v>
      </c>
      <c r="H75" s="120">
        <f>ROUND($P75*Basis!$E$2*((TaH-TrH)/LN(1/µ)/Basis!$E$7)^$N75*$AA$4*Glycol,0)</f>
        <v>2047</v>
      </c>
      <c r="I75" s="83">
        <f>ROUND(H75/(MID($C75,9,3)/Basis!$E$3/Basis!$E$9)*Basis!$E$11,0)</f>
        <v>1248</v>
      </c>
      <c r="J75" s="123">
        <f>IF(Basis!$E$1=1,ROUND(H75/((TaH-TrH)*1.163)/3600,3),ROUND(H75/(500*(TaH-TrH)),2))</f>
        <v>0.2</v>
      </c>
      <c r="K75" s="84"/>
      <c r="L75" s="177">
        <f>CHOOSE(Basis!$E$1,((AJ75*(J75*3600/Basis!$E$5)^AK75*(((MID(C75,9,3)*10)-144)/1000)*AL75+AM75*(J75*3600/Basis!$E$5)^2)*0.0098)/Basis!$E$10,((AJ75*(J75/Basis!$E$5)^AK75*(((MID(C75,9,3)*10)-144)/1000)*AL75+AM75*(J75/Basis!$E$5)^2)*0.0098)/Basis!$E$10)</f>
        <v>3.8934102689977164E-3</v>
      </c>
      <c r="M75" s="85"/>
      <c r="N75" s="109">
        <v>1.468</v>
      </c>
      <c r="O75" s="68"/>
      <c r="P75" s="67">
        <v>974</v>
      </c>
      <c r="Q75" s="68"/>
      <c r="R75" s="69"/>
      <c r="S75" s="69"/>
      <c r="T75" s="69"/>
      <c r="U75" s="69"/>
      <c r="V75" s="69"/>
      <c r="W75" s="68"/>
      <c r="X75" s="70"/>
      <c r="Y75" s="70"/>
      <c r="Z75" s="70"/>
      <c r="AA75" s="70"/>
      <c r="AB75" s="70"/>
      <c r="AC75" s="68"/>
      <c r="AD75" s="71"/>
      <c r="AE75" s="71"/>
      <c r="AF75" s="71"/>
      <c r="AG75" s="71"/>
      <c r="AH75" s="71"/>
      <c r="AI75" s="68"/>
      <c r="AJ75" s="214">
        <v>1.2760000000000001E-4</v>
      </c>
      <c r="AK75" s="214">
        <v>1.7219</v>
      </c>
      <c r="AL75" s="214">
        <v>4</v>
      </c>
      <c r="AM75" s="214">
        <v>5.1420100000000005E-4</v>
      </c>
      <c r="AN75" s="68"/>
      <c r="AO75" s="67"/>
      <c r="AP75" s="67"/>
      <c r="AQ75" s="67"/>
      <c r="AR75" s="67"/>
      <c r="AS75" s="67"/>
      <c r="AT75" s="68"/>
      <c r="AU75" s="49"/>
      <c r="AV75" s="50"/>
    </row>
    <row r="76" spans="1:48" ht="12.75" customHeight="1" x14ac:dyDescent="0.25">
      <c r="A76" s="72" t="s">
        <v>23</v>
      </c>
      <c r="B76" s="43" t="s">
        <v>159</v>
      </c>
      <c r="C76" s="44" t="s">
        <v>226</v>
      </c>
      <c r="D76" s="45">
        <f>MROUND(MID($C76,6,3)/Basis!$E$3,0.5)</f>
        <v>12</v>
      </c>
      <c r="E76" s="45">
        <f>MROUND(MID($C76,9,3)/Basis!$E$3,0.5)</f>
        <v>23.5</v>
      </c>
      <c r="F76" s="124" t="s">
        <v>2943</v>
      </c>
      <c r="G76" s="45">
        <f>ROUND((ROUNDDOWN($F76/5,0)*5+1.8)/Basis!$E$3,1)</f>
        <v>4.5999999999999996</v>
      </c>
      <c r="H76" s="120">
        <f>ROUND($P76*Basis!$E$2*((TaH-TrH)/LN(1/µ)/Basis!$E$7)^$N76*$AA$4*Glycol,0)</f>
        <v>1065</v>
      </c>
      <c r="I76" s="83">
        <f>ROUND(H76/(MID($C76,9,3)/Basis!$E$3/Basis!$E$9)*Basis!$E$11,0)</f>
        <v>541</v>
      </c>
      <c r="J76" s="123">
        <f>IF(Basis!$E$1=1,ROUND(H76/((TaH-TrH)*1.163)/3600,3),ROUND(H76/(500*(TaH-TrH)),2))</f>
        <v>0.11</v>
      </c>
      <c r="K76" s="84"/>
      <c r="L76" s="177">
        <f>CHOOSE(Basis!$E$1,((AJ76*(J76*3600/Basis!$E$5)^AK76*(((MID(C76,9,3)*10)-144)/1000)*AL76+AM76*(J76*3600/Basis!$E$5)^2)*0.0098)/Basis!$E$10,((AJ76*(J76/Basis!$E$5)^AK76*(((MID(C76,9,3)*10)-144)/1000)*AL76+AM76*(J76/Basis!$E$5)^2)*0.0098)/Basis!$E$10)</f>
        <v>1.0641806337505209E-3</v>
      </c>
      <c r="M76" s="85"/>
      <c r="N76" s="110">
        <v>1.403</v>
      </c>
      <c r="O76" s="74"/>
      <c r="P76" s="73">
        <v>496</v>
      </c>
      <c r="Q76" s="74"/>
      <c r="R76" s="75"/>
      <c r="S76" s="75"/>
      <c r="T76" s="75"/>
      <c r="U76" s="75"/>
      <c r="V76" s="75"/>
      <c r="W76" s="74"/>
      <c r="X76" s="76"/>
      <c r="Y76" s="76"/>
      <c r="Z76" s="76"/>
      <c r="AA76" s="76"/>
      <c r="AB76" s="76"/>
      <c r="AC76" s="74"/>
      <c r="AD76" s="77"/>
      <c r="AE76" s="77"/>
      <c r="AF76" s="77"/>
      <c r="AG76" s="77"/>
      <c r="AH76" s="77"/>
      <c r="AI76" s="68"/>
      <c r="AJ76" s="213">
        <v>3.9689999999999994E-4</v>
      </c>
      <c r="AK76" s="213">
        <v>1.7345999999999999</v>
      </c>
      <c r="AL76" s="213">
        <v>2</v>
      </c>
      <c r="AM76" s="213">
        <v>3.6734700000000002E-4</v>
      </c>
      <c r="AN76" s="74"/>
      <c r="AO76" s="73"/>
      <c r="AP76" s="73"/>
      <c r="AQ76" s="73"/>
      <c r="AR76" s="73"/>
      <c r="AS76" s="73"/>
      <c r="AT76" s="74"/>
      <c r="AU76" s="47"/>
      <c r="AV76" s="48"/>
    </row>
    <row r="77" spans="1:48" ht="12.75" customHeight="1" x14ac:dyDescent="0.25">
      <c r="A77" s="72" t="s">
        <v>23</v>
      </c>
      <c r="B77" s="43" t="s">
        <v>159</v>
      </c>
      <c r="C77" s="44" t="s">
        <v>227</v>
      </c>
      <c r="D77" s="45">
        <f>MROUND(MID($C77,6,3)/Basis!$E$3,0.5)</f>
        <v>12</v>
      </c>
      <c r="E77" s="45">
        <f>MROUND(MID($C77,9,3)/Basis!$E$3,0.5)</f>
        <v>23.5</v>
      </c>
      <c r="F77" s="124" t="s">
        <v>2946</v>
      </c>
      <c r="G77" s="45">
        <f>ROUND((ROUNDDOWN($F77/5,0)*5+1.8)/Basis!$E$3,1)</f>
        <v>4.5999999999999996</v>
      </c>
      <c r="H77" s="120">
        <f>ROUND($P77*Basis!$E$2*((TaH-TrH)/LN(1/µ)/Basis!$E$7)^$N77*$AA$4*Glycol,0)</f>
        <v>1428</v>
      </c>
      <c r="I77" s="83">
        <f>ROUND(H77/(MID($C77,9,3)/Basis!$E$3/Basis!$E$9)*Basis!$E$11,0)</f>
        <v>725</v>
      </c>
      <c r="J77" s="123">
        <f>IF(Basis!$E$1=1,ROUND(H77/((TaH-TrH)*1.163)/3600,3),ROUND(H77/(500*(TaH-TrH)),2))</f>
        <v>0.14000000000000001</v>
      </c>
      <c r="K77" s="84"/>
      <c r="L77" s="177">
        <f>CHOOSE(Basis!$E$1,((AJ77*(J77*3600/Basis!$E$5)^AK77*(((MID(C77,9,3)*10)-144)/1000)*AL77+AM77*(J77*3600/Basis!$E$5)^2)*0.0098)/Basis!$E$10,((AJ77*(J77/Basis!$E$5)^AK77*(((MID(C77,9,3)*10)-144)/1000)*AL77+AM77*(J77/Basis!$E$5)^2)*0.0098)/Basis!$E$10)</f>
        <v>2.8541407171271639E-3</v>
      </c>
      <c r="M77" s="85"/>
      <c r="N77" s="109">
        <v>1.44</v>
      </c>
      <c r="O77" s="68"/>
      <c r="P77" s="67">
        <v>673</v>
      </c>
      <c r="Q77" s="68"/>
      <c r="R77" s="69"/>
      <c r="S77" s="69"/>
      <c r="T77" s="69"/>
      <c r="U77" s="69"/>
      <c r="V77" s="69"/>
      <c r="W77" s="68"/>
      <c r="X77" s="70"/>
      <c r="Y77" s="70"/>
      <c r="Z77" s="70"/>
      <c r="AA77" s="70"/>
      <c r="AB77" s="70"/>
      <c r="AC77" s="68"/>
      <c r="AD77" s="71"/>
      <c r="AE77" s="71"/>
      <c r="AF77" s="71"/>
      <c r="AG77" s="71"/>
      <c r="AH77" s="71"/>
      <c r="AI77" s="68"/>
      <c r="AJ77" s="214">
        <v>3.9689999999999994E-4</v>
      </c>
      <c r="AK77" s="214">
        <v>1.7345999999999999</v>
      </c>
      <c r="AL77" s="214">
        <v>4</v>
      </c>
      <c r="AM77" s="214">
        <v>5.7428799999999995E-4</v>
      </c>
      <c r="AN77" s="68"/>
      <c r="AO77" s="67"/>
      <c r="AP77" s="67"/>
      <c r="AQ77" s="67"/>
      <c r="AR77" s="67"/>
      <c r="AS77" s="67"/>
      <c r="AT77" s="68"/>
      <c r="AU77" s="49"/>
      <c r="AV77" s="50"/>
    </row>
    <row r="78" spans="1:48" ht="12.75" customHeight="1" x14ac:dyDescent="0.25">
      <c r="A78" s="72" t="s">
        <v>23</v>
      </c>
      <c r="B78" s="43" t="s">
        <v>159</v>
      </c>
      <c r="C78" s="44" t="s">
        <v>228</v>
      </c>
      <c r="D78" s="45">
        <f>MROUND(MID($C78,6,3)/Basis!$E$3,0.5)</f>
        <v>12</v>
      </c>
      <c r="E78" s="45">
        <f>MROUND(MID($C78,9,3)/Basis!$E$3,0.5)</f>
        <v>23.5</v>
      </c>
      <c r="F78" s="124" t="s">
        <v>2944</v>
      </c>
      <c r="G78" s="45">
        <f>ROUND((ROUNDDOWN($F78/5,0)*5+1.8)/Basis!$E$3,1)</f>
        <v>6.6</v>
      </c>
      <c r="H78" s="120">
        <f>ROUND($P78*Basis!$E$2*((TaH-TrH)/LN(1/µ)/Basis!$E$7)^$N78*$AA$4*Glycol,0)</f>
        <v>1754</v>
      </c>
      <c r="I78" s="83">
        <f>ROUND(H78/(MID($C78,9,3)/Basis!$E$3/Basis!$E$9)*Basis!$E$11,0)</f>
        <v>891</v>
      </c>
      <c r="J78" s="123">
        <f>IF(Basis!$E$1=1,ROUND(H78/((TaH-TrH)*1.163)/3600,3),ROUND(H78/(500*(TaH-TrH)),2))</f>
        <v>0.18</v>
      </c>
      <c r="K78" s="84"/>
      <c r="L78" s="177">
        <f>CHOOSE(Basis!$E$1,((AJ78*(J78*3600/Basis!$E$5)^AK78*(((MID(C78,9,3)*10)-144)/1000)*AL78+AM78*(J78*3600/Basis!$E$5)^2)*0.0098)/Basis!$E$10,((AJ78*(J78/Basis!$E$5)^AK78*(((MID(C78,9,3)*10)-144)/1000)*AL78+AM78*(J78/Basis!$E$5)^2)*0.0098)/Basis!$E$10)</f>
        <v>2.8966627491201912E-3</v>
      </c>
      <c r="M78" s="85"/>
      <c r="N78" s="109">
        <v>1.3959999999999999</v>
      </c>
      <c r="O78" s="68"/>
      <c r="P78" s="67">
        <v>815</v>
      </c>
      <c r="Q78" s="68"/>
      <c r="R78" s="69"/>
      <c r="S78" s="69"/>
      <c r="T78" s="69"/>
      <c r="U78" s="69"/>
      <c r="V78" s="69"/>
      <c r="W78" s="68"/>
      <c r="X78" s="70"/>
      <c r="Y78" s="70"/>
      <c r="Z78" s="70"/>
      <c r="AA78" s="70"/>
      <c r="AB78" s="70"/>
      <c r="AC78" s="68"/>
      <c r="AD78" s="71"/>
      <c r="AE78" s="71"/>
      <c r="AF78" s="71"/>
      <c r="AG78" s="71"/>
      <c r="AH78" s="71"/>
      <c r="AI78" s="68"/>
      <c r="AJ78" s="214">
        <v>2.0829999999999999E-4</v>
      </c>
      <c r="AK78" s="214">
        <v>1.724</v>
      </c>
      <c r="AL78" s="214">
        <v>2</v>
      </c>
      <c r="AM78" s="214">
        <v>4.6182900000000003E-4</v>
      </c>
      <c r="AN78" s="68"/>
      <c r="AO78" s="67"/>
      <c r="AP78" s="67"/>
      <c r="AQ78" s="67"/>
      <c r="AR78" s="67"/>
      <c r="AS78" s="67"/>
      <c r="AT78" s="68"/>
      <c r="AU78" s="49"/>
      <c r="AV78" s="50"/>
    </row>
    <row r="79" spans="1:48" ht="12.75" customHeight="1" x14ac:dyDescent="0.25">
      <c r="A79" s="72" t="s">
        <v>23</v>
      </c>
      <c r="B79" s="43" t="s">
        <v>159</v>
      </c>
      <c r="C79" s="44" t="s">
        <v>229</v>
      </c>
      <c r="D79" s="45">
        <f>MROUND(MID($C79,6,3)/Basis!$E$3,0.5)</f>
        <v>12</v>
      </c>
      <c r="E79" s="45">
        <f>MROUND(MID($C79,9,3)/Basis!$E$3,0.5)</f>
        <v>23.5</v>
      </c>
      <c r="F79" s="124" t="s">
        <v>2947</v>
      </c>
      <c r="G79" s="45">
        <f>ROUND((ROUNDDOWN($F79/5,0)*5+1.8)/Basis!$E$3,1)</f>
        <v>6.6</v>
      </c>
      <c r="H79" s="120">
        <f>ROUND($P79*Basis!$E$2*((TaH-TrH)/LN(1/µ)/Basis!$E$7)^$N79*$AA$4*Glycol,0)</f>
        <v>1874</v>
      </c>
      <c r="I79" s="83">
        <f>ROUND(H79/(MID($C79,9,3)/Basis!$E$3/Basis!$E$9)*Basis!$E$11,0)</f>
        <v>952</v>
      </c>
      <c r="J79" s="123">
        <f>IF(Basis!$E$1=1,ROUND(H79/((TaH-TrH)*1.163)/3600,3),ROUND(H79/(500*(TaH-TrH)),2))</f>
        <v>0.19</v>
      </c>
      <c r="K79" s="84"/>
      <c r="L79" s="177">
        <f>CHOOSE(Basis!$E$1,((AJ79*(J79*3600/Basis!$E$5)^AK79*(((MID(C79,9,3)*10)-144)/1000)*AL79+AM79*(J79*3600/Basis!$E$5)^2)*0.0098)/Basis!$E$10,((AJ79*(J79/Basis!$E$5)^AK79*(((MID(C79,9,3)*10)-144)/1000)*AL79+AM79*(J79/Basis!$E$5)^2)*0.0098)/Basis!$E$10)</f>
        <v>9.2991797810713685E-3</v>
      </c>
      <c r="M79" s="85"/>
      <c r="N79" s="110">
        <v>1.456</v>
      </c>
      <c r="O79" s="74"/>
      <c r="P79" s="73">
        <v>888</v>
      </c>
      <c r="Q79" s="74"/>
      <c r="R79" s="75"/>
      <c r="S79" s="75"/>
      <c r="T79" s="75"/>
      <c r="U79" s="75"/>
      <c r="V79" s="75"/>
      <c r="W79" s="74"/>
      <c r="X79" s="76"/>
      <c r="Y79" s="76"/>
      <c r="Z79" s="76"/>
      <c r="AA79" s="76"/>
      <c r="AB79" s="76"/>
      <c r="AC79" s="74"/>
      <c r="AD79" s="77"/>
      <c r="AE79" s="77"/>
      <c r="AF79" s="77"/>
      <c r="AG79" s="77"/>
      <c r="AH79" s="77"/>
      <c r="AI79" s="68"/>
      <c r="AJ79" s="213">
        <v>2.0829999999999999E-4</v>
      </c>
      <c r="AK79" s="213">
        <v>1.724</v>
      </c>
      <c r="AL79" s="213">
        <v>4</v>
      </c>
      <c r="AM79" s="213">
        <v>1.392796E-3</v>
      </c>
      <c r="AN79" s="74"/>
      <c r="AO79" s="73"/>
      <c r="AP79" s="73"/>
      <c r="AQ79" s="73"/>
      <c r="AR79" s="73"/>
      <c r="AS79" s="73"/>
      <c r="AT79" s="74"/>
      <c r="AU79" s="47"/>
      <c r="AV79" s="48"/>
    </row>
    <row r="80" spans="1:48" ht="12.75" customHeight="1" x14ac:dyDescent="0.25">
      <c r="A80" s="72" t="s">
        <v>23</v>
      </c>
      <c r="B80" s="43" t="s">
        <v>159</v>
      </c>
      <c r="C80" s="44" t="s">
        <v>230</v>
      </c>
      <c r="D80" s="45">
        <f>MROUND(MID($C80,6,3)/Basis!$E$3,0.5)</f>
        <v>12</v>
      </c>
      <c r="E80" s="45">
        <f>MROUND(MID($C80,9,3)/Basis!$E$3,0.5)</f>
        <v>23.5</v>
      </c>
      <c r="F80" s="124" t="s">
        <v>2945</v>
      </c>
      <c r="G80" s="45">
        <f>ROUND((ROUNDDOWN($F80/5,0)*5+1.8)/Basis!$E$3,1)</f>
        <v>8.6</v>
      </c>
      <c r="H80" s="120">
        <f>ROUND($P80*Basis!$E$2*((TaH-TrH)/LN(1/µ)/Basis!$E$7)^$N80*$AA$4*Glycol,0)</f>
        <v>2462</v>
      </c>
      <c r="I80" s="83">
        <f>ROUND(H80/(MID($C80,9,3)/Basis!$E$3/Basis!$E$9)*Basis!$E$11,0)</f>
        <v>1251</v>
      </c>
      <c r="J80" s="123">
        <f>IF(Basis!$E$1=1,ROUND(H80/((TaH-TrH)*1.163)/3600,3),ROUND(H80/(500*(TaH-TrH)),2))</f>
        <v>0.25</v>
      </c>
      <c r="K80" s="84"/>
      <c r="L80" s="177">
        <f>CHOOSE(Basis!$E$1,((AJ80*(J80*3600/Basis!$E$5)^AK80*(((MID(C80,9,3)*10)-144)/1000)*AL80+AM80*(J80*3600/Basis!$E$5)^2)*0.0098)/Basis!$E$10,((AJ80*(J80/Basis!$E$5)^AK80*(((MID(C80,9,3)*10)-144)/1000)*AL80+AM80*(J80/Basis!$E$5)^2)*0.0098)/Basis!$E$10)</f>
        <v>4.3691411678858979E-3</v>
      </c>
      <c r="M80" s="85"/>
      <c r="N80" s="110">
        <v>1.3959999999999999</v>
      </c>
      <c r="O80" s="74"/>
      <c r="P80" s="73">
        <v>1144</v>
      </c>
      <c r="Q80" s="74"/>
      <c r="R80" s="75"/>
      <c r="S80" s="75"/>
      <c r="T80" s="75"/>
      <c r="U80" s="75"/>
      <c r="V80" s="75"/>
      <c r="W80" s="74"/>
      <c r="X80" s="76"/>
      <c r="Y80" s="76"/>
      <c r="Z80" s="76"/>
      <c r="AA80" s="76"/>
      <c r="AB80" s="76"/>
      <c r="AC80" s="74"/>
      <c r="AD80" s="77"/>
      <c r="AE80" s="77"/>
      <c r="AF80" s="77"/>
      <c r="AG80" s="77"/>
      <c r="AH80" s="77"/>
      <c r="AI80" s="68"/>
      <c r="AJ80" s="213">
        <v>1.2760000000000001E-4</v>
      </c>
      <c r="AK80" s="213">
        <v>1.7219</v>
      </c>
      <c r="AL80" s="213">
        <v>2</v>
      </c>
      <c r="AM80" s="213">
        <v>3.76611E-4</v>
      </c>
      <c r="AN80" s="74"/>
      <c r="AO80" s="73"/>
      <c r="AP80" s="73"/>
      <c r="AQ80" s="73"/>
      <c r="AR80" s="73"/>
      <c r="AS80" s="73"/>
      <c r="AT80" s="74"/>
      <c r="AU80" s="47"/>
      <c r="AV80" s="48"/>
    </row>
    <row r="81" spans="1:48" ht="12.75" customHeight="1" x14ac:dyDescent="0.25">
      <c r="A81" s="72" t="s">
        <v>23</v>
      </c>
      <c r="B81" s="43" t="s">
        <v>159</v>
      </c>
      <c r="C81" s="44" t="s">
        <v>231</v>
      </c>
      <c r="D81" s="45">
        <f>MROUND(MID($C81,6,3)/Basis!$E$3,0.5)</f>
        <v>12</v>
      </c>
      <c r="E81" s="45">
        <f>MROUND(MID($C81,9,3)/Basis!$E$3,0.5)</f>
        <v>23.5</v>
      </c>
      <c r="F81" s="124" t="s">
        <v>2948</v>
      </c>
      <c r="G81" s="45">
        <f>ROUND((ROUNDDOWN($F81/5,0)*5+1.8)/Basis!$E$3,1)</f>
        <v>8.6</v>
      </c>
      <c r="H81" s="120">
        <f>ROUND($P81*Basis!$E$2*((TaH-TrH)/LN(1/µ)/Basis!$E$7)^$N81*$AA$4*Glycol,0)</f>
        <v>2457</v>
      </c>
      <c r="I81" s="83">
        <f>ROUND(H81/(MID($C81,9,3)/Basis!$E$3/Basis!$E$9)*Basis!$E$11,0)</f>
        <v>1248</v>
      </c>
      <c r="J81" s="123">
        <f>IF(Basis!$E$1=1,ROUND(H81/((TaH-TrH)*1.163)/3600,3),ROUND(H81/(500*(TaH-TrH)),2))</f>
        <v>0.25</v>
      </c>
      <c r="K81" s="84"/>
      <c r="L81" s="177">
        <f>CHOOSE(Basis!$E$1,((AJ81*(J81*3600/Basis!$E$5)^AK81*(((MID(C81,9,3)*10)-144)/1000)*AL81+AM81*(J81*3600/Basis!$E$5)^2)*0.0098)/Basis!$E$10,((AJ81*(J81/Basis!$E$5)^AK81*(((MID(C81,9,3)*10)-144)/1000)*AL81+AM81*(J81/Basis!$E$5)^2)*0.0098)/Basis!$E$10)</f>
        <v>6.2185521777049094E-3</v>
      </c>
      <c r="M81" s="85"/>
      <c r="N81" s="109">
        <v>1.468</v>
      </c>
      <c r="O81" s="68"/>
      <c r="P81" s="67">
        <v>1169</v>
      </c>
      <c r="Q81" s="68"/>
      <c r="R81" s="69"/>
      <c r="S81" s="69"/>
      <c r="T81" s="69"/>
      <c r="U81" s="69"/>
      <c r="V81" s="69"/>
      <c r="W81" s="68"/>
      <c r="X81" s="70"/>
      <c r="Y81" s="70"/>
      <c r="Z81" s="70"/>
      <c r="AA81" s="70"/>
      <c r="AB81" s="70"/>
      <c r="AC81" s="68"/>
      <c r="AD81" s="71"/>
      <c r="AE81" s="71"/>
      <c r="AF81" s="71"/>
      <c r="AG81" s="71"/>
      <c r="AH81" s="71"/>
      <c r="AI81" s="68"/>
      <c r="AJ81" s="214">
        <v>1.2760000000000001E-4</v>
      </c>
      <c r="AK81" s="214">
        <v>1.7219</v>
      </c>
      <c r="AL81" s="214">
        <v>4</v>
      </c>
      <c r="AM81" s="214">
        <v>5.1420100000000005E-4</v>
      </c>
      <c r="AN81" s="68"/>
      <c r="AO81" s="67"/>
      <c r="AP81" s="67"/>
      <c r="AQ81" s="67"/>
      <c r="AR81" s="67"/>
      <c r="AS81" s="67"/>
      <c r="AT81" s="68"/>
      <c r="AU81" s="49"/>
      <c r="AV81" s="50"/>
    </row>
    <row r="82" spans="1:48" ht="12.75" customHeight="1" x14ac:dyDescent="0.25">
      <c r="A82" s="72" t="s">
        <v>23</v>
      </c>
      <c r="B82" s="43" t="s">
        <v>159</v>
      </c>
      <c r="C82" s="44" t="s">
        <v>232</v>
      </c>
      <c r="D82" s="45">
        <f>MROUND(MID($C82,6,3)/Basis!$E$3,0.5)</f>
        <v>12</v>
      </c>
      <c r="E82" s="45">
        <f>MROUND(MID($C82,9,3)/Basis!$E$3,0.5)</f>
        <v>27.5</v>
      </c>
      <c r="F82" s="124" t="s">
        <v>2943</v>
      </c>
      <c r="G82" s="45">
        <f>ROUND((ROUNDDOWN($F82/5,0)*5+1.8)/Basis!$E$3,1)</f>
        <v>4.5999999999999996</v>
      </c>
      <c r="H82" s="120">
        <f>ROUND($P82*Basis!$E$2*((TaH-TrH)/LN(1/µ)/Basis!$E$7)^$N82*$AA$4*Glycol,0)</f>
        <v>1241</v>
      </c>
      <c r="I82" s="83">
        <f>ROUND(H82/(MID($C82,9,3)/Basis!$E$3/Basis!$E$9)*Basis!$E$11,0)</f>
        <v>540</v>
      </c>
      <c r="J82" s="123">
        <f>IF(Basis!$E$1=1,ROUND(H82/((TaH-TrH)*1.163)/3600,3),ROUND(H82/(500*(TaH-TrH)),2))</f>
        <v>0.12</v>
      </c>
      <c r="K82" s="84"/>
      <c r="L82" s="177">
        <f>CHOOSE(Basis!$E$1,((AJ82*(J82*3600/Basis!$E$5)^AK82*(((MID(C82,9,3)*10)-144)/1000)*AL82+AM82*(J82*3600/Basis!$E$5)^2)*0.0098)/Basis!$E$10,((AJ82*(J82/Basis!$E$5)^AK82*(((MID(C82,9,3)*10)-144)/1000)*AL82+AM82*(J82/Basis!$E$5)^2)*0.0098)/Basis!$E$10)</f>
        <v>1.3381149207224001E-3</v>
      </c>
      <c r="M82" s="85"/>
      <c r="N82" s="109">
        <v>1.403</v>
      </c>
      <c r="O82" s="68"/>
      <c r="P82" s="67">
        <v>578</v>
      </c>
      <c r="Q82" s="68"/>
      <c r="R82" s="69"/>
      <c r="S82" s="69"/>
      <c r="T82" s="69"/>
      <c r="U82" s="69"/>
      <c r="V82" s="69"/>
      <c r="W82" s="68"/>
      <c r="X82" s="70"/>
      <c r="Y82" s="70"/>
      <c r="Z82" s="70"/>
      <c r="AA82" s="70"/>
      <c r="AB82" s="70"/>
      <c r="AC82" s="68"/>
      <c r="AD82" s="71"/>
      <c r="AE82" s="71"/>
      <c r="AF82" s="71"/>
      <c r="AG82" s="71"/>
      <c r="AH82" s="71"/>
      <c r="AI82" s="68"/>
      <c r="AJ82" s="214">
        <v>3.9689999999999994E-4</v>
      </c>
      <c r="AK82" s="214">
        <v>1.7345999999999999</v>
      </c>
      <c r="AL82" s="214">
        <v>2</v>
      </c>
      <c r="AM82" s="214">
        <v>3.6734700000000002E-4</v>
      </c>
      <c r="AN82" s="68"/>
      <c r="AO82" s="67"/>
      <c r="AP82" s="67"/>
      <c r="AQ82" s="67"/>
      <c r="AR82" s="67"/>
      <c r="AS82" s="67"/>
      <c r="AT82" s="68"/>
      <c r="AU82" s="49"/>
      <c r="AV82" s="50"/>
    </row>
    <row r="83" spans="1:48" ht="12.75" customHeight="1" x14ac:dyDescent="0.25">
      <c r="A83" s="72" t="s">
        <v>23</v>
      </c>
      <c r="B83" s="43" t="s">
        <v>159</v>
      </c>
      <c r="C83" s="44" t="s">
        <v>233</v>
      </c>
      <c r="D83" s="45">
        <f>MROUND(MID($C83,6,3)/Basis!$E$3,0.5)</f>
        <v>12</v>
      </c>
      <c r="E83" s="45">
        <f>MROUND(MID($C83,9,3)/Basis!$E$3,0.5)</f>
        <v>27.5</v>
      </c>
      <c r="F83" s="124" t="s">
        <v>2946</v>
      </c>
      <c r="G83" s="45">
        <f>ROUND((ROUNDDOWN($F83/5,0)*5+1.8)/Basis!$E$3,1)</f>
        <v>4.5999999999999996</v>
      </c>
      <c r="H83" s="120">
        <f>ROUND($P83*Basis!$E$2*((TaH-TrH)/LN(1/µ)/Basis!$E$7)^$N83*$AA$4*Glycol,0)</f>
        <v>1665</v>
      </c>
      <c r="I83" s="83">
        <f>ROUND(H83/(MID($C83,9,3)/Basis!$E$3/Basis!$E$9)*Basis!$E$11,0)</f>
        <v>725</v>
      </c>
      <c r="J83" s="123">
        <f>IF(Basis!$E$1=1,ROUND(H83/((TaH-TrH)*1.163)/3600,3),ROUND(H83/(500*(TaH-TrH)),2))</f>
        <v>0.17</v>
      </c>
      <c r="K83" s="84"/>
      <c r="L83" s="177">
        <f>CHOOSE(Basis!$E$1,((AJ83*(J83*3600/Basis!$E$5)^AK83*(((MID(C83,9,3)*10)-144)/1000)*AL83+AM83*(J83*3600/Basis!$E$5)^2)*0.0098)/Basis!$E$10,((AJ83*(J83/Basis!$E$5)^AK83*(((MID(C83,9,3)*10)-144)/1000)*AL83+AM83*(J83/Basis!$E$5)^2)*0.0098)/Basis!$E$10)</f>
        <v>4.4311079930171651E-3</v>
      </c>
      <c r="M83" s="85"/>
      <c r="N83" s="110">
        <v>1.44</v>
      </c>
      <c r="O83" s="74"/>
      <c r="P83" s="73">
        <v>785</v>
      </c>
      <c r="Q83" s="74"/>
      <c r="R83" s="75"/>
      <c r="S83" s="75"/>
      <c r="T83" s="75"/>
      <c r="U83" s="75"/>
      <c r="V83" s="75"/>
      <c r="W83" s="74"/>
      <c r="X83" s="76"/>
      <c r="Y83" s="76"/>
      <c r="Z83" s="76"/>
      <c r="AA83" s="76"/>
      <c r="AB83" s="76"/>
      <c r="AC83" s="74"/>
      <c r="AD83" s="77"/>
      <c r="AE83" s="77"/>
      <c r="AF83" s="77"/>
      <c r="AG83" s="77"/>
      <c r="AH83" s="77"/>
      <c r="AI83" s="68"/>
      <c r="AJ83" s="213">
        <v>3.9689999999999994E-4</v>
      </c>
      <c r="AK83" s="213">
        <v>1.7345999999999999</v>
      </c>
      <c r="AL83" s="213">
        <v>4</v>
      </c>
      <c r="AM83" s="213">
        <v>5.7428799999999995E-4</v>
      </c>
      <c r="AN83" s="74"/>
      <c r="AO83" s="73"/>
      <c r="AP83" s="73"/>
      <c r="AQ83" s="73"/>
      <c r="AR83" s="73"/>
      <c r="AS83" s="73"/>
      <c r="AT83" s="74"/>
      <c r="AU83" s="47"/>
      <c r="AV83" s="48"/>
    </row>
    <row r="84" spans="1:48" ht="12.75" customHeight="1" x14ac:dyDescent="0.25">
      <c r="A84" s="72" t="s">
        <v>23</v>
      </c>
      <c r="B84" s="43" t="s">
        <v>159</v>
      </c>
      <c r="C84" s="44" t="s">
        <v>234</v>
      </c>
      <c r="D84" s="45">
        <f>MROUND(MID($C84,6,3)/Basis!$E$3,0.5)</f>
        <v>12</v>
      </c>
      <c r="E84" s="45">
        <f>MROUND(MID($C84,9,3)/Basis!$E$3,0.5)</f>
        <v>27.5</v>
      </c>
      <c r="F84" s="124" t="s">
        <v>2944</v>
      </c>
      <c r="G84" s="45">
        <f>ROUND((ROUNDDOWN($F84/5,0)*5+1.8)/Basis!$E$3,1)</f>
        <v>6.6</v>
      </c>
      <c r="H84" s="120">
        <f>ROUND($P84*Basis!$E$2*((TaH-TrH)/LN(1/µ)/Basis!$E$7)^$N84*$AA$4*Glycol,0)</f>
        <v>2047</v>
      </c>
      <c r="I84" s="83">
        <f>ROUND(H84/(MID($C84,9,3)/Basis!$E$3/Basis!$E$9)*Basis!$E$11,0)</f>
        <v>891</v>
      </c>
      <c r="J84" s="123">
        <f>IF(Basis!$E$1=1,ROUND(H84/((TaH-TrH)*1.163)/3600,3),ROUND(H84/(500*(TaH-TrH)),2))</f>
        <v>0.2</v>
      </c>
      <c r="K84" s="84"/>
      <c r="L84" s="177">
        <f>CHOOSE(Basis!$E$1,((AJ84*(J84*3600/Basis!$E$5)^AK84*(((MID(C84,9,3)*10)-144)/1000)*AL84+AM84*(J84*3600/Basis!$E$5)^2)*0.0098)/Basis!$E$10,((AJ84*(J84/Basis!$E$5)^AK84*(((MID(C84,9,3)*10)-144)/1000)*AL84+AM84*(J84/Basis!$E$5)^2)*0.0098)/Basis!$E$10)</f>
        <v>3.6609764654712469E-3</v>
      </c>
      <c r="M84" s="85"/>
      <c r="N84" s="110">
        <v>1.3959999999999999</v>
      </c>
      <c r="O84" s="74"/>
      <c r="P84" s="73">
        <v>951</v>
      </c>
      <c r="Q84" s="74"/>
      <c r="R84" s="75"/>
      <c r="S84" s="75"/>
      <c r="T84" s="75"/>
      <c r="U84" s="75"/>
      <c r="V84" s="75"/>
      <c r="W84" s="74"/>
      <c r="X84" s="76"/>
      <c r="Y84" s="76"/>
      <c r="Z84" s="76"/>
      <c r="AA84" s="76"/>
      <c r="AB84" s="76"/>
      <c r="AC84" s="74"/>
      <c r="AD84" s="77"/>
      <c r="AE84" s="77"/>
      <c r="AF84" s="77"/>
      <c r="AG84" s="77"/>
      <c r="AH84" s="77"/>
      <c r="AI84" s="68"/>
      <c r="AJ84" s="213">
        <v>2.0829999999999999E-4</v>
      </c>
      <c r="AK84" s="213">
        <v>1.724</v>
      </c>
      <c r="AL84" s="213">
        <v>2</v>
      </c>
      <c r="AM84" s="213">
        <v>4.6182900000000003E-4</v>
      </c>
      <c r="AN84" s="74"/>
      <c r="AO84" s="73"/>
      <c r="AP84" s="73"/>
      <c r="AQ84" s="73"/>
      <c r="AR84" s="73"/>
      <c r="AS84" s="73"/>
      <c r="AT84" s="74"/>
      <c r="AU84" s="47"/>
      <c r="AV84" s="48"/>
    </row>
    <row r="85" spans="1:48" ht="12.75" customHeight="1" x14ac:dyDescent="0.25">
      <c r="A85" s="72" t="s">
        <v>23</v>
      </c>
      <c r="B85" s="43" t="s">
        <v>159</v>
      </c>
      <c r="C85" s="44" t="s">
        <v>235</v>
      </c>
      <c r="D85" s="45">
        <f>MROUND(MID($C85,6,3)/Basis!$E$3,0.5)</f>
        <v>12</v>
      </c>
      <c r="E85" s="45">
        <f>MROUND(MID($C85,9,3)/Basis!$E$3,0.5)</f>
        <v>27.5</v>
      </c>
      <c r="F85" s="124" t="s">
        <v>2947</v>
      </c>
      <c r="G85" s="45">
        <f>ROUND((ROUNDDOWN($F85/5,0)*5+1.8)/Basis!$E$3,1)</f>
        <v>6.6</v>
      </c>
      <c r="H85" s="120">
        <f>ROUND($P85*Basis!$E$2*((TaH-TrH)/LN(1/µ)/Basis!$E$7)^$N85*$AA$4*Glycol,0)</f>
        <v>2186</v>
      </c>
      <c r="I85" s="83">
        <f>ROUND(H85/(MID($C85,9,3)/Basis!$E$3/Basis!$E$9)*Basis!$E$11,0)</f>
        <v>952</v>
      </c>
      <c r="J85" s="123">
        <f>IF(Basis!$E$1=1,ROUND(H85/((TaH-TrH)*1.163)/3600,3),ROUND(H85/(500*(TaH-TrH)),2))</f>
        <v>0.22</v>
      </c>
      <c r="K85" s="84"/>
      <c r="L85" s="177">
        <f>CHOOSE(Basis!$E$1,((AJ85*(J85*3600/Basis!$E$5)^AK85*(((MID(C85,9,3)*10)-144)/1000)*AL85+AM85*(J85*3600/Basis!$E$5)^2)*0.0098)/Basis!$E$10,((AJ85*(J85/Basis!$E$5)^AK85*(((MID(C85,9,3)*10)-144)/1000)*AL85+AM85*(J85/Basis!$E$5)^2)*0.0098)/Basis!$E$10)</f>
        <v>1.2655183268046492E-2</v>
      </c>
      <c r="M85" s="85"/>
      <c r="N85" s="109">
        <v>1.456</v>
      </c>
      <c r="O85" s="68"/>
      <c r="P85" s="67">
        <v>1036</v>
      </c>
      <c r="Q85" s="68"/>
      <c r="R85" s="69"/>
      <c r="S85" s="69"/>
      <c r="T85" s="69"/>
      <c r="U85" s="69"/>
      <c r="V85" s="69"/>
      <c r="W85" s="68"/>
      <c r="X85" s="70"/>
      <c r="Y85" s="70"/>
      <c r="Z85" s="70"/>
      <c r="AA85" s="70"/>
      <c r="AB85" s="70"/>
      <c r="AC85" s="68"/>
      <c r="AD85" s="71"/>
      <c r="AE85" s="71"/>
      <c r="AF85" s="71"/>
      <c r="AG85" s="71"/>
      <c r="AH85" s="71"/>
      <c r="AI85" s="68"/>
      <c r="AJ85" s="214">
        <v>2.0829999999999999E-4</v>
      </c>
      <c r="AK85" s="214">
        <v>1.724</v>
      </c>
      <c r="AL85" s="214">
        <v>4</v>
      </c>
      <c r="AM85" s="214">
        <v>1.392796E-3</v>
      </c>
      <c r="AN85" s="68"/>
      <c r="AO85" s="67"/>
      <c r="AP85" s="67"/>
      <c r="AQ85" s="67"/>
      <c r="AR85" s="67"/>
      <c r="AS85" s="67"/>
      <c r="AT85" s="68"/>
      <c r="AU85" s="49"/>
      <c r="AV85" s="50"/>
    </row>
    <row r="86" spans="1:48" ht="12.75" customHeight="1" x14ac:dyDescent="0.25">
      <c r="A86" s="72" t="s">
        <v>23</v>
      </c>
      <c r="B86" s="43" t="s">
        <v>159</v>
      </c>
      <c r="C86" s="44" t="s">
        <v>236</v>
      </c>
      <c r="D86" s="45">
        <f>MROUND(MID($C86,6,3)/Basis!$E$3,0.5)</f>
        <v>12</v>
      </c>
      <c r="E86" s="45">
        <f>MROUND(MID($C86,9,3)/Basis!$E$3,0.5)</f>
        <v>27.5</v>
      </c>
      <c r="F86" s="124" t="s">
        <v>2945</v>
      </c>
      <c r="G86" s="45">
        <f>ROUND((ROUNDDOWN($F86/5,0)*5+1.8)/Basis!$E$3,1)</f>
        <v>8.6</v>
      </c>
      <c r="H86" s="120">
        <f>ROUND($P86*Basis!$E$2*((TaH-TrH)/LN(1/µ)/Basis!$E$7)^$N86*$AA$4*Glycol,0)</f>
        <v>2871</v>
      </c>
      <c r="I86" s="83">
        <f>ROUND(H86/(MID($C86,9,3)/Basis!$E$3/Basis!$E$9)*Basis!$E$11,0)</f>
        <v>1250</v>
      </c>
      <c r="J86" s="123">
        <f>IF(Basis!$E$1=1,ROUND(H86/((TaH-TrH)*1.163)/3600,3),ROUND(H86/(500*(TaH-TrH)),2))</f>
        <v>0.28999999999999998</v>
      </c>
      <c r="K86" s="84"/>
      <c r="L86" s="177">
        <f>CHOOSE(Basis!$E$1,((AJ86*(J86*3600/Basis!$E$5)^AK86*(((MID(C86,9,3)*10)-144)/1000)*AL86+AM86*(J86*3600/Basis!$E$5)^2)*0.0098)/Basis!$E$10,((AJ86*(J86/Basis!$E$5)^AK86*(((MID(C86,9,3)*10)-144)/1000)*AL86+AM86*(J86/Basis!$E$5)^2)*0.0098)/Basis!$E$10)</f>
        <v>5.9703754637266465E-3</v>
      </c>
      <c r="M86" s="85"/>
      <c r="N86" s="109">
        <v>1.3959999999999999</v>
      </c>
      <c r="O86" s="68"/>
      <c r="P86" s="67">
        <v>1334</v>
      </c>
      <c r="Q86" s="68"/>
      <c r="R86" s="69"/>
      <c r="S86" s="69"/>
      <c r="T86" s="69"/>
      <c r="U86" s="69"/>
      <c r="V86" s="69"/>
      <c r="W86" s="68"/>
      <c r="X86" s="70"/>
      <c r="Y86" s="70"/>
      <c r="Z86" s="70"/>
      <c r="AA86" s="70"/>
      <c r="AB86" s="70"/>
      <c r="AC86" s="68"/>
      <c r="AD86" s="71"/>
      <c r="AE86" s="71"/>
      <c r="AF86" s="71"/>
      <c r="AG86" s="71"/>
      <c r="AH86" s="71"/>
      <c r="AI86" s="68"/>
      <c r="AJ86" s="214">
        <v>1.2760000000000001E-4</v>
      </c>
      <c r="AK86" s="214">
        <v>1.7219</v>
      </c>
      <c r="AL86" s="214">
        <v>2</v>
      </c>
      <c r="AM86" s="214">
        <v>3.76611E-4</v>
      </c>
      <c r="AN86" s="68"/>
      <c r="AO86" s="67"/>
      <c r="AP86" s="67"/>
      <c r="AQ86" s="67"/>
      <c r="AR86" s="67"/>
      <c r="AS86" s="67"/>
      <c r="AT86" s="68"/>
      <c r="AU86" s="49"/>
      <c r="AV86" s="50"/>
    </row>
    <row r="87" spans="1:48" ht="12.75" customHeight="1" x14ac:dyDescent="0.25">
      <c r="A87" s="72" t="s">
        <v>23</v>
      </c>
      <c r="B87" s="43" t="s">
        <v>159</v>
      </c>
      <c r="C87" s="44" t="s">
        <v>237</v>
      </c>
      <c r="D87" s="45">
        <f>MROUND(MID($C87,6,3)/Basis!$E$3,0.5)</f>
        <v>12</v>
      </c>
      <c r="E87" s="45">
        <f>MROUND(MID($C87,9,3)/Basis!$E$3,0.5)</f>
        <v>27.5</v>
      </c>
      <c r="F87" s="124" t="s">
        <v>2948</v>
      </c>
      <c r="G87" s="45">
        <f>ROUND((ROUNDDOWN($F87/5,0)*5+1.8)/Basis!$E$3,1)</f>
        <v>8.6</v>
      </c>
      <c r="H87" s="120">
        <f>ROUND($P87*Basis!$E$2*((TaH-TrH)/LN(1/µ)/Basis!$E$7)^$N87*$AA$4*Glycol,0)</f>
        <v>2867</v>
      </c>
      <c r="I87" s="83">
        <f>ROUND(H87/(MID($C87,9,3)/Basis!$E$3/Basis!$E$9)*Basis!$E$11,0)</f>
        <v>1248</v>
      </c>
      <c r="J87" s="123">
        <f>IF(Basis!$E$1=1,ROUND(H87/((TaH-TrH)*1.163)/3600,3),ROUND(H87/(500*(TaH-TrH)),2))</f>
        <v>0.28999999999999998</v>
      </c>
      <c r="K87" s="84"/>
      <c r="L87" s="177">
        <f>CHOOSE(Basis!$E$1,((AJ87*(J87*3600/Basis!$E$5)^AK87*(((MID(C87,9,3)*10)-144)/1000)*AL87+AM87*(J87*3600/Basis!$E$5)^2)*0.0098)/Basis!$E$10,((AJ87*(J87/Basis!$E$5)^AK87*(((MID(C87,9,3)*10)-144)/1000)*AL87+AM87*(J87/Basis!$E$5)^2)*0.0098)/Basis!$E$10)</f>
        <v>8.5502020267584928E-3</v>
      </c>
      <c r="M87" s="85"/>
      <c r="N87" s="110">
        <v>1.468</v>
      </c>
      <c r="O87" s="74"/>
      <c r="P87" s="73">
        <v>1364</v>
      </c>
      <c r="Q87" s="74"/>
      <c r="R87" s="75"/>
      <c r="S87" s="75"/>
      <c r="T87" s="75"/>
      <c r="U87" s="75"/>
      <c r="V87" s="75"/>
      <c r="W87" s="74"/>
      <c r="X87" s="76"/>
      <c r="Y87" s="76"/>
      <c r="Z87" s="76"/>
      <c r="AA87" s="76"/>
      <c r="AB87" s="76"/>
      <c r="AC87" s="74"/>
      <c r="AD87" s="77"/>
      <c r="AE87" s="77"/>
      <c r="AF87" s="77"/>
      <c r="AG87" s="77"/>
      <c r="AH87" s="77"/>
      <c r="AI87" s="68"/>
      <c r="AJ87" s="213">
        <v>1.2760000000000001E-4</v>
      </c>
      <c r="AK87" s="213">
        <v>1.7219</v>
      </c>
      <c r="AL87" s="213">
        <v>4</v>
      </c>
      <c r="AM87" s="213">
        <v>5.1420100000000005E-4</v>
      </c>
      <c r="AN87" s="74"/>
      <c r="AO87" s="73"/>
      <c r="AP87" s="73"/>
      <c r="AQ87" s="73"/>
      <c r="AR87" s="73"/>
      <c r="AS87" s="73"/>
      <c r="AT87" s="74"/>
      <c r="AU87" s="47"/>
      <c r="AV87" s="48"/>
    </row>
    <row r="88" spans="1:48" ht="12.75" customHeight="1" x14ac:dyDescent="0.25">
      <c r="A88" s="72" t="s">
        <v>23</v>
      </c>
      <c r="B88" s="43" t="s">
        <v>159</v>
      </c>
      <c r="C88" s="44" t="s">
        <v>238</v>
      </c>
      <c r="D88" s="45">
        <f>MROUND(MID($C88,6,3)/Basis!$E$3,0.5)</f>
        <v>12</v>
      </c>
      <c r="E88" s="45">
        <f>MROUND(MID($C88,9,3)/Basis!$E$3,0.5)</f>
        <v>31.5</v>
      </c>
      <c r="F88" s="124" t="s">
        <v>2943</v>
      </c>
      <c r="G88" s="45">
        <f>ROUND((ROUNDDOWN($F88/5,0)*5+1.8)/Basis!$E$3,1)</f>
        <v>4.5999999999999996</v>
      </c>
      <c r="H88" s="120">
        <f>ROUND($P88*Basis!$E$2*((TaH-TrH)/LN(1/µ)/Basis!$E$7)^$N88*$AA$4*Glycol,0)</f>
        <v>1419</v>
      </c>
      <c r="I88" s="83">
        <f>ROUND(H88/(MID($C88,9,3)/Basis!$E$3/Basis!$E$9)*Basis!$E$11,0)</f>
        <v>541</v>
      </c>
      <c r="J88" s="123">
        <f>IF(Basis!$E$1=1,ROUND(H88/((TaH-TrH)*1.163)/3600,3),ROUND(H88/(500*(TaH-TrH)),2))</f>
        <v>0.14000000000000001</v>
      </c>
      <c r="K88" s="84"/>
      <c r="L88" s="177">
        <f>CHOOSE(Basis!$E$1,((AJ88*(J88*3600/Basis!$E$5)^AK88*(((MID(C88,9,3)*10)-144)/1000)*AL88+AM88*(J88*3600/Basis!$E$5)^2)*0.0098)/Basis!$E$10,((AJ88*(J88/Basis!$E$5)^AK88*(((MID(C88,9,3)*10)-144)/1000)*AL88+AM88*(J88/Basis!$E$5)^2)*0.0098)/Basis!$E$10)</f>
        <v>1.9017737994781027E-3</v>
      </c>
      <c r="M88" s="85"/>
      <c r="N88" s="110">
        <v>1.403</v>
      </c>
      <c r="O88" s="74"/>
      <c r="P88" s="73">
        <v>661</v>
      </c>
      <c r="Q88" s="74"/>
      <c r="R88" s="75"/>
      <c r="S88" s="75"/>
      <c r="T88" s="75"/>
      <c r="U88" s="75"/>
      <c r="V88" s="75"/>
      <c r="W88" s="74"/>
      <c r="X88" s="76"/>
      <c r="Y88" s="76"/>
      <c r="Z88" s="76"/>
      <c r="AA88" s="76"/>
      <c r="AB88" s="76"/>
      <c r="AC88" s="74"/>
      <c r="AD88" s="77"/>
      <c r="AE88" s="77"/>
      <c r="AF88" s="77"/>
      <c r="AG88" s="77"/>
      <c r="AH88" s="77"/>
      <c r="AI88" s="68"/>
      <c r="AJ88" s="213">
        <v>3.9689999999999994E-4</v>
      </c>
      <c r="AK88" s="213">
        <v>1.7345999999999999</v>
      </c>
      <c r="AL88" s="213">
        <v>2</v>
      </c>
      <c r="AM88" s="213">
        <v>3.6734700000000002E-4</v>
      </c>
      <c r="AN88" s="74"/>
      <c r="AO88" s="73"/>
      <c r="AP88" s="73"/>
      <c r="AQ88" s="73"/>
      <c r="AR88" s="73"/>
      <c r="AS88" s="73"/>
      <c r="AT88" s="74"/>
      <c r="AU88" s="47"/>
      <c r="AV88" s="48"/>
    </row>
    <row r="89" spans="1:48" ht="12.75" customHeight="1" x14ac:dyDescent="0.25">
      <c r="A89" s="72" t="s">
        <v>23</v>
      </c>
      <c r="B89" s="43" t="s">
        <v>159</v>
      </c>
      <c r="C89" s="44" t="s">
        <v>239</v>
      </c>
      <c r="D89" s="45">
        <f>MROUND(MID($C89,6,3)/Basis!$E$3,0.5)</f>
        <v>12</v>
      </c>
      <c r="E89" s="45">
        <f>MROUND(MID($C89,9,3)/Basis!$E$3,0.5)</f>
        <v>31.5</v>
      </c>
      <c r="F89" s="124" t="s">
        <v>2946</v>
      </c>
      <c r="G89" s="45">
        <f>ROUND((ROUNDDOWN($F89/5,0)*5+1.8)/Basis!$E$3,1)</f>
        <v>4.5999999999999996</v>
      </c>
      <c r="H89" s="120">
        <f>ROUND($P89*Basis!$E$2*((TaH-TrH)/LN(1/µ)/Basis!$E$7)^$N89*$AA$4*Glycol,0)</f>
        <v>1903</v>
      </c>
      <c r="I89" s="83">
        <f>ROUND(H89/(MID($C89,9,3)/Basis!$E$3/Basis!$E$9)*Basis!$E$11,0)</f>
        <v>725</v>
      </c>
      <c r="J89" s="123">
        <f>IF(Basis!$E$1=1,ROUND(H89/((TaH-TrH)*1.163)/3600,3),ROUND(H89/(500*(TaH-TrH)),2))</f>
        <v>0.19</v>
      </c>
      <c r="K89" s="84"/>
      <c r="L89" s="177">
        <f>CHOOSE(Basis!$E$1,((AJ89*(J89*3600/Basis!$E$5)^AK89*(((MID(C89,9,3)*10)-144)/1000)*AL89+AM89*(J89*3600/Basis!$E$5)^2)*0.0098)/Basis!$E$10,((AJ89*(J89/Basis!$E$5)^AK89*(((MID(C89,9,3)*10)-144)/1000)*AL89+AM89*(J89/Basis!$E$5)^2)*0.0098)/Basis!$E$10)</f>
        <v>5.831687371923952E-3</v>
      </c>
      <c r="M89" s="85"/>
      <c r="N89" s="109">
        <v>1.44</v>
      </c>
      <c r="O89" s="68"/>
      <c r="P89" s="67">
        <v>897</v>
      </c>
      <c r="Q89" s="68"/>
      <c r="R89" s="69"/>
      <c r="S89" s="69"/>
      <c r="T89" s="69"/>
      <c r="U89" s="69"/>
      <c r="V89" s="69"/>
      <c r="W89" s="68"/>
      <c r="X89" s="70"/>
      <c r="Y89" s="70"/>
      <c r="Z89" s="70"/>
      <c r="AA89" s="70"/>
      <c r="AB89" s="70"/>
      <c r="AC89" s="68"/>
      <c r="AD89" s="71"/>
      <c r="AE89" s="71"/>
      <c r="AF89" s="71"/>
      <c r="AG89" s="71"/>
      <c r="AH89" s="71"/>
      <c r="AI89" s="68"/>
      <c r="AJ89" s="214">
        <v>3.9689999999999994E-4</v>
      </c>
      <c r="AK89" s="214">
        <v>1.7345999999999999</v>
      </c>
      <c r="AL89" s="214">
        <v>4</v>
      </c>
      <c r="AM89" s="214">
        <v>5.7428799999999995E-4</v>
      </c>
      <c r="AN89" s="68"/>
      <c r="AO89" s="67"/>
      <c r="AP89" s="67"/>
      <c r="AQ89" s="67"/>
      <c r="AR89" s="67"/>
      <c r="AS89" s="67"/>
      <c r="AT89" s="68"/>
      <c r="AU89" s="49"/>
      <c r="AV89" s="50"/>
    </row>
    <row r="90" spans="1:48" ht="12.75" customHeight="1" x14ac:dyDescent="0.25">
      <c r="A90" s="72" t="s">
        <v>23</v>
      </c>
      <c r="B90" s="43" t="s">
        <v>159</v>
      </c>
      <c r="C90" s="44" t="s">
        <v>240</v>
      </c>
      <c r="D90" s="45">
        <f>MROUND(MID($C90,6,3)/Basis!$E$3,0.5)</f>
        <v>12</v>
      </c>
      <c r="E90" s="45">
        <f>MROUND(MID($C90,9,3)/Basis!$E$3,0.5)</f>
        <v>31.5</v>
      </c>
      <c r="F90" s="124" t="s">
        <v>2944</v>
      </c>
      <c r="G90" s="45">
        <f>ROUND((ROUNDDOWN($F90/5,0)*5+1.8)/Basis!$E$3,1)</f>
        <v>6.6</v>
      </c>
      <c r="H90" s="120">
        <f>ROUND($P90*Basis!$E$2*((TaH-TrH)/LN(1/µ)/Basis!$E$7)^$N90*$AA$4*Glycol,0)</f>
        <v>2340</v>
      </c>
      <c r="I90" s="83">
        <f>ROUND(H90/(MID($C90,9,3)/Basis!$E$3/Basis!$E$9)*Basis!$E$11,0)</f>
        <v>892</v>
      </c>
      <c r="J90" s="123">
        <f>IF(Basis!$E$1=1,ROUND(H90/((TaH-TrH)*1.163)/3600,3),ROUND(H90/(500*(TaH-TrH)),2))</f>
        <v>0.23</v>
      </c>
      <c r="K90" s="84"/>
      <c r="L90" s="177">
        <f>CHOOSE(Basis!$E$1,((AJ90*(J90*3600/Basis!$E$5)^AK90*(((MID(C90,9,3)*10)-144)/1000)*AL90+AM90*(J90*3600/Basis!$E$5)^2)*0.0098)/Basis!$E$10,((AJ90*(J90/Basis!$E$5)^AK90*(((MID(C90,9,3)*10)-144)/1000)*AL90+AM90*(J90/Basis!$E$5)^2)*0.0098)/Basis!$E$10)</f>
        <v>4.9391153865029451E-3</v>
      </c>
      <c r="M90" s="85"/>
      <c r="N90" s="109">
        <v>1.3959999999999999</v>
      </c>
      <c r="O90" s="68"/>
      <c r="P90" s="67">
        <v>1087</v>
      </c>
      <c r="Q90" s="68"/>
      <c r="R90" s="69"/>
      <c r="S90" s="69"/>
      <c r="T90" s="69"/>
      <c r="U90" s="69"/>
      <c r="V90" s="69"/>
      <c r="W90" s="68"/>
      <c r="X90" s="70"/>
      <c r="Y90" s="70"/>
      <c r="Z90" s="70"/>
      <c r="AA90" s="70"/>
      <c r="AB90" s="70"/>
      <c r="AC90" s="68"/>
      <c r="AD90" s="71"/>
      <c r="AE90" s="71"/>
      <c r="AF90" s="71"/>
      <c r="AG90" s="71"/>
      <c r="AH90" s="71"/>
      <c r="AI90" s="68"/>
      <c r="AJ90" s="214">
        <v>2.0829999999999999E-4</v>
      </c>
      <c r="AK90" s="214">
        <v>1.724</v>
      </c>
      <c r="AL90" s="214">
        <v>2</v>
      </c>
      <c r="AM90" s="214">
        <v>4.6182900000000003E-4</v>
      </c>
      <c r="AN90" s="68"/>
      <c r="AO90" s="67"/>
      <c r="AP90" s="67"/>
      <c r="AQ90" s="67"/>
      <c r="AR90" s="67"/>
      <c r="AS90" s="67"/>
      <c r="AT90" s="68"/>
      <c r="AU90" s="49"/>
      <c r="AV90" s="50"/>
    </row>
    <row r="91" spans="1:48" ht="12.75" customHeight="1" x14ac:dyDescent="0.25">
      <c r="A91" s="72" t="s">
        <v>23</v>
      </c>
      <c r="B91" s="43" t="s">
        <v>159</v>
      </c>
      <c r="C91" s="44" t="s">
        <v>241</v>
      </c>
      <c r="D91" s="45">
        <f>MROUND(MID($C91,6,3)/Basis!$E$3,0.5)</f>
        <v>12</v>
      </c>
      <c r="E91" s="45">
        <f>MROUND(MID($C91,9,3)/Basis!$E$3,0.5)</f>
        <v>31.5</v>
      </c>
      <c r="F91" s="124" t="s">
        <v>2947</v>
      </c>
      <c r="G91" s="45">
        <f>ROUND((ROUNDDOWN($F91/5,0)*5+1.8)/Basis!$E$3,1)</f>
        <v>6.6</v>
      </c>
      <c r="H91" s="120">
        <f>ROUND($P91*Basis!$E$2*((TaH-TrH)/LN(1/µ)/Basis!$E$7)^$N91*$AA$4*Glycol,0)</f>
        <v>2499</v>
      </c>
      <c r="I91" s="83">
        <f>ROUND(H91/(MID($C91,9,3)/Basis!$E$3/Basis!$E$9)*Basis!$E$11,0)</f>
        <v>952</v>
      </c>
      <c r="J91" s="123">
        <f>IF(Basis!$E$1=1,ROUND(H91/((TaH-TrH)*1.163)/3600,3),ROUND(H91/(500*(TaH-TrH)),2))</f>
        <v>0.25</v>
      </c>
      <c r="K91" s="84"/>
      <c r="L91" s="177">
        <f>CHOOSE(Basis!$E$1,((AJ91*(J91*3600/Basis!$E$5)^AK91*(((MID(C91,9,3)*10)-144)/1000)*AL91+AM91*(J91*3600/Basis!$E$5)^2)*0.0098)/Basis!$E$10,((AJ91*(J91/Basis!$E$5)^AK91*(((MID(C91,9,3)*10)-144)/1000)*AL91+AM91*(J91/Basis!$E$5)^2)*0.0098)/Basis!$E$10)</f>
        <v>1.6572478291331884E-2</v>
      </c>
      <c r="M91" s="85"/>
      <c r="N91" s="110">
        <v>1.456</v>
      </c>
      <c r="O91" s="74"/>
      <c r="P91" s="73">
        <v>1184</v>
      </c>
      <c r="Q91" s="74"/>
      <c r="R91" s="75"/>
      <c r="S91" s="75"/>
      <c r="T91" s="75"/>
      <c r="U91" s="75"/>
      <c r="V91" s="75"/>
      <c r="W91" s="74"/>
      <c r="X91" s="76"/>
      <c r="Y91" s="76"/>
      <c r="Z91" s="76"/>
      <c r="AA91" s="76"/>
      <c r="AB91" s="76"/>
      <c r="AC91" s="74"/>
      <c r="AD91" s="77"/>
      <c r="AE91" s="77"/>
      <c r="AF91" s="77"/>
      <c r="AG91" s="77"/>
      <c r="AH91" s="77"/>
      <c r="AI91" s="68"/>
      <c r="AJ91" s="213">
        <v>2.0829999999999999E-4</v>
      </c>
      <c r="AK91" s="213">
        <v>1.724</v>
      </c>
      <c r="AL91" s="213">
        <v>4</v>
      </c>
      <c r="AM91" s="213">
        <v>1.392796E-3</v>
      </c>
      <c r="AN91" s="74"/>
      <c r="AO91" s="73"/>
      <c r="AP91" s="73"/>
      <c r="AQ91" s="73"/>
      <c r="AR91" s="73"/>
      <c r="AS91" s="73"/>
      <c r="AT91" s="74"/>
      <c r="AU91" s="47"/>
      <c r="AV91" s="48"/>
    </row>
    <row r="92" spans="1:48" ht="12.75" customHeight="1" x14ac:dyDescent="0.25">
      <c r="A92" s="72" t="s">
        <v>23</v>
      </c>
      <c r="B92" s="43" t="s">
        <v>159</v>
      </c>
      <c r="C92" s="44" t="s">
        <v>242</v>
      </c>
      <c r="D92" s="45">
        <f>MROUND(MID($C92,6,3)/Basis!$E$3,0.5)</f>
        <v>12</v>
      </c>
      <c r="E92" s="45">
        <f>MROUND(MID($C92,9,3)/Basis!$E$3,0.5)</f>
        <v>31.5</v>
      </c>
      <c r="F92" s="124" t="s">
        <v>2945</v>
      </c>
      <c r="G92" s="45">
        <f>ROUND((ROUNDDOWN($F92/5,0)*5+1.8)/Basis!$E$3,1)</f>
        <v>8.6</v>
      </c>
      <c r="H92" s="120">
        <f>ROUND($P92*Basis!$E$2*((TaH-TrH)/LN(1/µ)/Basis!$E$7)^$N92*$AA$4*Glycol,0)</f>
        <v>3282</v>
      </c>
      <c r="I92" s="83">
        <f>ROUND(H92/(MID($C92,9,3)/Basis!$E$3/Basis!$E$9)*Basis!$E$11,0)</f>
        <v>1250</v>
      </c>
      <c r="J92" s="123">
        <f>IF(Basis!$E$1=1,ROUND(H92/((TaH-TrH)*1.163)/3600,3),ROUND(H92/(500*(TaH-TrH)),2))</f>
        <v>0.33</v>
      </c>
      <c r="K92" s="84"/>
      <c r="L92" s="177">
        <f>CHOOSE(Basis!$E$1,((AJ92*(J92*3600/Basis!$E$5)^AK92*(((MID(C92,9,3)*10)-144)/1000)*AL92+AM92*(J92*3600/Basis!$E$5)^2)*0.0098)/Basis!$E$10,((AJ92*(J92/Basis!$E$5)^AK92*(((MID(C92,9,3)*10)-144)/1000)*AL92+AM92*(J92/Basis!$E$5)^2)*0.0098)/Basis!$E$10)</f>
        <v>7.8433707963561118E-3</v>
      </c>
      <c r="M92" s="85"/>
      <c r="N92" s="110">
        <v>1.3959999999999999</v>
      </c>
      <c r="O92" s="74"/>
      <c r="P92" s="73">
        <v>1525</v>
      </c>
      <c r="Q92" s="74"/>
      <c r="R92" s="75"/>
      <c r="S92" s="75"/>
      <c r="T92" s="75"/>
      <c r="U92" s="75"/>
      <c r="V92" s="75"/>
      <c r="W92" s="74"/>
      <c r="X92" s="76"/>
      <c r="Y92" s="76"/>
      <c r="Z92" s="76"/>
      <c r="AA92" s="76"/>
      <c r="AB92" s="76"/>
      <c r="AC92" s="74"/>
      <c r="AD92" s="77"/>
      <c r="AE92" s="77"/>
      <c r="AF92" s="77"/>
      <c r="AG92" s="77"/>
      <c r="AH92" s="77"/>
      <c r="AI92" s="68"/>
      <c r="AJ92" s="213">
        <v>1.2760000000000001E-4</v>
      </c>
      <c r="AK92" s="213">
        <v>1.7219</v>
      </c>
      <c r="AL92" s="213">
        <v>2</v>
      </c>
      <c r="AM92" s="213">
        <v>3.76611E-4</v>
      </c>
      <c r="AN92" s="74"/>
      <c r="AO92" s="73"/>
      <c r="AP92" s="73"/>
      <c r="AQ92" s="73"/>
      <c r="AR92" s="73"/>
      <c r="AS92" s="73"/>
      <c r="AT92" s="74"/>
      <c r="AU92" s="47"/>
      <c r="AV92" s="48"/>
    </row>
    <row r="93" spans="1:48" ht="12.75" customHeight="1" x14ac:dyDescent="0.25">
      <c r="A93" s="72" t="s">
        <v>23</v>
      </c>
      <c r="B93" s="43" t="s">
        <v>159</v>
      </c>
      <c r="C93" s="44" t="s">
        <v>243</v>
      </c>
      <c r="D93" s="45">
        <f>MROUND(MID($C93,6,3)/Basis!$E$3,0.5)</f>
        <v>12</v>
      </c>
      <c r="E93" s="45">
        <f>MROUND(MID($C93,9,3)/Basis!$E$3,0.5)</f>
        <v>31.5</v>
      </c>
      <c r="F93" s="124" t="s">
        <v>2948</v>
      </c>
      <c r="G93" s="45">
        <f>ROUND((ROUNDDOWN($F93/5,0)*5+1.8)/Basis!$E$3,1)</f>
        <v>8.6</v>
      </c>
      <c r="H93" s="120">
        <f>ROUND($P93*Basis!$E$2*((TaH-TrH)/LN(1/µ)/Basis!$E$7)^$N93*$AA$4*Glycol,0)</f>
        <v>3275</v>
      </c>
      <c r="I93" s="83">
        <f>ROUND(H93/(MID($C93,9,3)/Basis!$E$3/Basis!$E$9)*Basis!$E$11,0)</f>
        <v>1248</v>
      </c>
      <c r="J93" s="123">
        <f>IF(Basis!$E$1=1,ROUND(H93/((TaH-TrH)*1.163)/3600,3),ROUND(H93/(500*(TaH-TrH)),2))</f>
        <v>0.33</v>
      </c>
      <c r="K93" s="84"/>
      <c r="L93" s="177">
        <f>CHOOSE(Basis!$E$1,((AJ93*(J93*3600/Basis!$E$5)^AK93*(((MID(C93,9,3)*10)-144)/1000)*AL93+AM93*(J93*3600/Basis!$E$5)^2)*0.0098)/Basis!$E$10,((AJ93*(J93/Basis!$E$5)^AK93*(((MID(C93,9,3)*10)-144)/1000)*AL93+AM93*(J93/Basis!$E$5)^2)*0.0098)/Basis!$E$10)</f>
        <v>1.1296363765296477E-2</v>
      </c>
      <c r="M93" s="85"/>
      <c r="N93" s="109">
        <v>1.468</v>
      </c>
      <c r="O93" s="68"/>
      <c r="P93" s="67">
        <v>1558</v>
      </c>
      <c r="Q93" s="68"/>
      <c r="R93" s="69"/>
      <c r="S93" s="69"/>
      <c r="T93" s="69"/>
      <c r="U93" s="69"/>
      <c r="V93" s="69"/>
      <c r="W93" s="68"/>
      <c r="X93" s="70"/>
      <c r="Y93" s="70"/>
      <c r="Z93" s="70"/>
      <c r="AA93" s="70"/>
      <c r="AB93" s="70"/>
      <c r="AC93" s="68"/>
      <c r="AD93" s="71"/>
      <c r="AE93" s="71"/>
      <c r="AF93" s="71"/>
      <c r="AG93" s="71"/>
      <c r="AH93" s="71"/>
      <c r="AI93" s="68"/>
      <c r="AJ93" s="214">
        <v>1.2760000000000001E-4</v>
      </c>
      <c r="AK93" s="214">
        <v>1.7219</v>
      </c>
      <c r="AL93" s="214">
        <v>4</v>
      </c>
      <c r="AM93" s="214">
        <v>5.1420100000000005E-4</v>
      </c>
      <c r="AN93" s="68"/>
      <c r="AO93" s="67"/>
      <c r="AP93" s="67"/>
      <c r="AQ93" s="67"/>
      <c r="AR93" s="67"/>
      <c r="AS93" s="67"/>
      <c r="AT93" s="68"/>
      <c r="AU93" s="49"/>
      <c r="AV93" s="50"/>
    </row>
    <row r="94" spans="1:48" ht="12.75" customHeight="1" x14ac:dyDescent="0.25">
      <c r="A94" s="72" t="s">
        <v>23</v>
      </c>
      <c r="B94" s="43" t="s">
        <v>159</v>
      </c>
      <c r="C94" s="44" t="s">
        <v>244</v>
      </c>
      <c r="D94" s="45">
        <f>MROUND(MID($C94,6,3)/Basis!$E$3,0.5)</f>
        <v>12</v>
      </c>
      <c r="E94" s="45">
        <f>MROUND(MID($C94,9,3)/Basis!$E$3,0.5)</f>
        <v>35.5</v>
      </c>
      <c r="F94" s="124" t="s">
        <v>2943</v>
      </c>
      <c r="G94" s="45">
        <f>ROUND((ROUNDDOWN($F94/5,0)*5+1.8)/Basis!$E$3,1)</f>
        <v>4.5999999999999996</v>
      </c>
      <c r="H94" s="120">
        <f>ROUND($P94*Basis!$E$2*((TaH-TrH)/LN(1/µ)/Basis!$E$7)^$N94*$AA$4*Glycol,0)</f>
        <v>1596</v>
      </c>
      <c r="I94" s="83">
        <f>ROUND(H94/(MID($C94,9,3)/Basis!$E$3/Basis!$E$9)*Basis!$E$11,0)</f>
        <v>541</v>
      </c>
      <c r="J94" s="123">
        <f>IF(Basis!$E$1=1,ROUND(H94/((TaH-TrH)*1.163)/3600,3),ROUND(H94/(500*(TaH-TrH)),2))</f>
        <v>0.16</v>
      </c>
      <c r="K94" s="84"/>
      <c r="L94" s="177">
        <f>CHOOSE(Basis!$E$1,((AJ94*(J94*3600/Basis!$E$5)^AK94*(((MID(C94,9,3)*10)-144)/1000)*AL94+AM94*(J94*3600/Basis!$E$5)^2)*0.0098)/Basis!$E$10,((AJ94*(J94/Basis!$E$5)^AK94*(((MID(C94,9,3)*10)-144)/1000)*AL94+AM94*(J94/Basis!$E$5)^2)*0.0098)/Basis!$E$10)</f>
        <v>2.5847795576502621E-3</v>
      </c>
      <c r="M94" s="85"/>
      <c r="N94" s="109">
        <v>1.403</v>
      </c>
      <c r="O94" s="68"/>
      <c r="P94" s="67">
        <v>743</v>
      </c>
      <c r="Q94" s="68"/>
      <c r="R94" s="69"/>
      <c r="S94" s="69"/>
      <c r="T94" s="69"/>
      <c r="U94" s="69"/>
      <c r="V94" s="69"/>
      <c r="W94" s="68"/>
      <c r="X94" s="70"/>
      <c r="Y94" s="70"/>
      <c r="Z94" s="70"/>
      <c r="AA94" s="70"/>
      <c r="AB94" s="70"/>
      <c r="AC94" s="68"/>
      <c r="AD94" s="71"/>
      <c r="AE94" s="71"/>
      <c r="AF94" s="71"/>
      <c r="AG94" s="71"/>
      <c r="AH94" s="71"/>
      <c r="AI94" s="68"/>
      <c r="AJ94" s="214">
        <v>3.9689999999999994E-4</v>
      </c>
      <c r="AK94" s="214">
        <v>1.7345999999999999</v>
      </c>
      <c r="AL94" s="214">
        <v>2</v>
      </c>
      <c r="AM94" s="214">
        <v>3.6734700000000002E-4</v>
      </c>
      <c r="AN94" s="68"/>
      <c r="AO94" s="67"/>
      <c r="AP94" s="67"/>
      <c r="AQ94" s="67"/>
      <c r="AR94" s="67"/>
      <c r="AS94" s="67"/>
      <c r="AT94" s="68"/>
      <c r="AU94" s="49"/>
      <c r="AV94" s="50"/>
    </row>
    <row r="95" spans="1:48" ht="12.75" customHeight="1" x14ac:dyDescent="0.25">
      <c r="A95" s="72" t="s">
        <v>23</v>
      </c>
      <c r="B95" s="43" t="s">
        <v>159</v>
      </c>
      <c r="C95" s="44" t="s">
        <v>245</v>
      </c>
      <c r="D95" s="45">
        <f>MROUND(MID($C95,6,3)/Basis!$E$3,0.5)</f>
        <v>12</v>
      </c>
      <c r="E95" s="45">
        <f>MROUND(MID($C95,9,3)/Basis!$E$3,0.5)</f>
        <v>35.5</v>
      </c>
      <c r="F95" s="124" t="s">
        <v>2946</v>
      </c>
      <c r="G95" s="45">
        <f>ROUND((ROUNDDOWN($F95/5,0)*5+1.8)/Basis!$E$3,1)</f>
        <v>4.5999999999999996</v>
      </c>
      <c r="H95" s="120">
        <f>ROUND($P95*Basis!$E$2*((TaH-TrH)/LN(1/µ)/Basis!$E$7)^$N95*$AA$4*Glycol,0)</f>
        <v>2140</v>
      </c>
      <c r="I95" s="83">
        <f>ROUND(H95/(MID($C95,9,3)/Basis!$E$3/Basis!$E$9)*Basis!$E$11,0)</f>
        <v>725</v>
      </c>
      <c r="J95" s="123">
        <f>IF(Basis!$E$1=1,ROUND(H95/((TaH-TrH)*1.163)/3600,3),ROUND(H95/(500*(TaH-TrH)),2))</f>
        <v>0.21</v>
      </c>
      <c r="K95" s="84"/>
      <c r="L95" s="177">
        <f>CHOOSE(Basis!$E$1,((AJ95*(J95*3600/Basis!$E$5)^AK95*(((MID(C95,9,3)*10)-144)/1000)*AL95+AM95*(J95*3600/Basis!$E$5)^2)*0.0098)/Basis!$E$10,((AJ95*(J95/Basis!$E$5)^AK95*(((MID(C95,9,3)*10)-144)/1000)*AL95+AM95*(J95/Basis!$E$5)^2)*0.0098)/Basis!$E$10)</f>
        <v>7.4726635708694455E-3</v>
      </c>
      <c r="M95" s="85"/>
      <c r="N95" s="110">
        <v>1.44</v>
      </c>
      <c r="O95" s="74"/>
      <c r="P95" s="73">
        <v>1009</v>
      </c>
      <c r="Q95" s="74"/>
      <c r="R95" s="75"/>
      <c r="S95" s="75"/>
      <c r="T95" s="75"/>
      <c r="U95" s="75"/>
      <c r="V95" s="75"/>
      <c r="W95" s="74"/>
      <c r="X95" s="76"/>
      <c r="Y95" s="76"/>
      <c r="Z95" s="76"/>
      <c r="AA95" s="76"/>
      <c r="AB95" s="76"/>
      <c r="AC95" s="74"/>
      <c r="AD95" s="77"/>
      <c r="AE95" s="77"/>
      <c r="AF95" s="77"/>
      <c r="AG95" s="77"/>
      <c r="AH95" s="77"/>
      <c r="AI95" s="68"/>
      <c r="AJ95" s="213">
        <v>3.9689999999999994E-4</v>
      </c>
      <c r="AK95" s="213">
        <v>1.7345999999999999</v>
      </c>
      <c r="AL95" s="213">
        <v>4</v>
      </c>
      <c r="AM95" s="213">
        <v>5.7428799999999995E-4</v>
      </c>
      <c r="AN95" s="74"/>
      <c r="AO95" s="73"/>
      <c r="AP95" s="73"/>
      <c r="AQ95" s="73"/>
      <c r="AR95" s="73"/>
      <c r="AS95" s="73"/>
      <c r="AT95" s="74"/>
      <c r="AU95" s="47"/>
      <c r="AV95" s="48"/>
    </row>
    <row r="96" spans="1:48" ht="12.75" customHeight="1" x14ac:dyDescent="0.25">
      <c r="A96" s="72" t="s">
        <v>23</v>
      </c>
      <c r="B96" s="43" t="s">
        <v>159</v>
      </c>
      <c r="C96" s="44" t="s">
        <v>246</v>
      </c>
      <c r="D96" s="45">
        <f>MROUND(MID($C96,6,3)/Basis!$E$3,0.5)</f>
        <v>12</v>
      </c>
      <c r="E96" s="45">
        <f>MROUND(MID($C96,9,3)/Basis!$E$3,0.5)</f>
        <v>35.5</v>
      </c>
      <c r="F96" s="124" t="s">
        <v>2944</v>
      </c>
      <c r="G96" s="45">
        <f>ROUND((ROUNDDOWN($F96/5,0)*5+1.8)/Basis!$E$3,1)</f>
        <v>6.6</v>
      </c>
      <c r="H96" s="120">
        <f>ROUND($P96*Basis!$E$2*((TaH-TrH)/LN(1/µ)/Basis!$E$7)^$N96*$AA$4*Glycol,0)</f>
        <v>2632</v>
      </c>
      <c r="I96" s="83">
        <f>ROUND(H96/(MID($C96,9,3)/Basis!$E$3/Basis!$E$9)*Basis!$E$11,0)</f>
        <v>891</v>
      </c>
      <c r="J96" s="123">
        <f>IF(Basis!$E$1=1,ROUND(H96/((TaH-TrH)*1.163)/3600,3),ROUND(H96/(500*(TaH-TrH)),2))</f>
        <v>0.26</v>
      </c>
      <c r="K96" s="84"/>
      <c r="L96" s="177">
        <f>CHOOSE(Basis!$E$1,((AJ96*(J96*3600/Basis!$E$5)^AK96*(((MID(C96,9,3)*10)-144)/1000)*AL96+AM96*(J96*3600/Basis!$E$5)^2)*0.0098)/Basis!$E$10,((AJ96*(J96/Basis!$E$5)^AK96*(((MID(C96,9,3)*10)-144)/1000)*AL96+AM96*(J96/Basis!$E$5)^2)*0.0098)/Basis!$E$10)</f>
        <v>6.4309301996443823E-3</v>
      </c>
      <c r="M96" s="85"/>
      <c r="N96" s="110">
        <v>1.3959999999999999</v>
      </c>
      <c r="O96" s="74"/>
      <c r="P96" s="73">
        <v>1223</v>
      </c>
      <c r="Q96" s="74"/>
      <c r="R96" s="75"/>
      <c r="S96" s="75"/>
      <c r="T96" s="75"/>
      <c r="U96" s="75"/>
      <c r="V96" s="75"/>
      <c r="W96" s="74"/>
      <c r="X96" s="76"/>
      <c r="Y96" s="76"/>
      <c r="Z96" s="76"/>
      <c r="AA96" s="76"/>
      <c r="AB96" s="76"/>
      <c r="AC96" s="74"/>
      <c r="AD96" s="77"/>
      <c r="AE96" s="77"/>
      <c r="AF96" s="77"/>
      <c r="AG96" s="77"/>
      <c r="AH96" s="77"/>
      <c r="AI96" s="68"/>
      <c r="AJ96" s="213">
        <v>2.0829999999999999E-4</v>
      </c>
      <c r="AK96" s="213">
        <v>1.724</v>
      </c>
      <c r="AL96" s="213">
        <v>2</v>
      </c>
      <c r="AM96" s="213">
        <v>4.6182900000000003E-4</v>
      </c>
      <c r="AN96" s="74"/>
      <c r="AO96" s="73"/>
      <c r="AP96" s="73"/>
      <c r="AQ96" s="73"/>
      <c r="AR96" s="73"/>
      <c r="AS96" s="73"/>
      <c r="AT96" s="74"/>
      <c r="AU96" s="47"/>
      <c r="AV96" s="48"/>
    </row>
    <row r="97" spans="1:48" ht="12.75" customHeight="1" x14ac:dyDescent="0.25">
      <c r="A97" s="72" t="s">
        <v>23</v>
      </c>
      <c r="B97" s="43" t="s">
        <v>159</v>
      </c>
      <c r="C97" s="44" t="s">
        <v>247</v>
      </c>
      <c r="D97" s="45">
        <f>MROUND(MID($C97,6,3)/Basis!$E$3,0.5)</f>
        <v>12</v>
      </c>
      <c r="E97" s="45">
        <f>MROUND(MID($C97,9,3)/Basis!$E$3,0.5)</f>
        <v>35.5</v>
      </c>
      <c r="F97" s="124" t="s">
        <v>2947</v>
      </c>
      <c r="G97" s="45">
        <f>ROUND((ROUNDDOWN($F97/5,0)*5+1.8)/Basis!$E$3,1)</f>
        <v>6.6</v>
      </c>
      <c r="H97" s="120">
        <f>ROUND($P97*Basis!$E$2*((TaH-TrH)/LN(1/µ)/Basis!$E$7)^$N97*$AA$4*Glycol,0)</f>
        <v>2811</v>
      </c>
      <c r="I97" s="83">
        <f>ROUND(H97/(MID($C97,9,3)/Basis!$E$3/Basis!$E$9)*Basis!$E$11,0)</f>
        <v>952</v>
      </c>
      <c r="J97" s="123">
        <f>IF(Basis!$E$1=1,ROUND(H97/((TaH-TrH)*1.163)/3600,3),ROUND(H97/(500*(TaH-TrH)),2))</f>
        <v>0.28000000000000003</v>
      </c>
      <c r="K97" s="84"/>
      <c r="L97" s="177">
        <f>CHOOSE(Basis!$E$1,((AJ97*(J97*3600/Basis!$E$5)^AK97*(((MID(C97,9,3)*10)-144)/1000)*AL97+AM97*(J97*3600/Basis!$E$5)^2)*0.0098)/Basis!$E$10,((AJ97*(J97/Basis!$E$5)^AK97*(((MID(C97,9,3)*10)-144)/1000)*AL97+AM97*(J97/Basis!$E$5)^2)*0.0098)/Basis!$E$10)</f>
        <v>2.1065753655700022E-2</v>
      </c>
      <c r="M97" s="85"/>
      <c r="N97" s="109">
        <v>1.456</v>
      </c>
      <c r="O97" s="68"/>
      <c r="P97" s="67">
        <v>1332</v>
      </c>
      <c r="Q97" s="68"/>
      <c r="R97" s="69"/>
      <c r="S97" s="69"/>
      <c r="T97" s="69"/>
      <c r="U97" s="69"/>
      <c r="V97" s="69"/>
      <c r="W97" s="68"/>
      <c r="X97" s="70"/>
      <c r="Y97" s="70"/>
      <c r="Z97" s="70"/>
      <c r="AA97" s="70"/>
      <c r="AB97" s="70"/>
      <c r="AC97" s="68"/>
      <c r="AD97" s="71"/>
      <c r="AE97" s="71"/>
      <c r="AF97" s="71"/>
      <c r="AG97" s="71"/>
      <c r="AH97" s="71"/>
      <c r="AI97" s="68"/>
      <c r="AJ97" s="214">
        <v>2.0829999999999999E-4</v>
      </c>
      <c r="AK97" s="214">
        <v>1.724</v>
      </c>
      <c r="AL97" s="214">
        <v>4</v>
      </c>
      <c r="AM97" s="214">
        <v>1.392796E-3</v>
      </c>
      <c r="AN97" s="68"/>
      <c r="AO97" s="67"/>
      <c r="AP97" s="67"/>
      <c r="AQ97" s="67"/>
      <c r="AR97" s="67"/>
      <c r="AS97" s="67"/>
      <c r="AT97" s="68"/>
      <c r="AU97" s="49"/>
      <c r="AV97" s="50"/>
    </row>
    <row r="98" spans="1:48" ht="12.75" customHeight="1" x14ac:dyDescent="0.25">
      <c r="A98" s="72" t="s">
        <v>23</v>
      </c>
      <c r="B98" s="43" t="s">
        <v>159</v>
      </c>
      <c r="C98" s="44" t="s">
        <v>248</v>
      </c>
      <c r="D98" s="45">
        <f>MROUND(MID($C98,6,3)/Basis!$E$3,0.5)</f>
        <v>12</v>
      </c>
      <c r="E98" s="45">
        <f>MROUND(MID($C98,9,3)/Basis!$E$3,0.5)</f>
        <v>35.5</v>
      </c>
      <c r="F98" s="124" t="s">
        <v>2945</v>
      </c>
      <c r="G98" s="45">
        <f>ROUND((ROUNDDOWN($F98/5,0)*5+1.8)/Basis!$E$3,1)</f>
        <v>8.6</v>
      </c>
      <c r="H98" s="120">
        <f>ROUND($P98*Basis!$E$2*((TaH-TrH)/LN(1/µ)/Basis!$E$7)^$N98*$AA$4*Glycol,0)</f>
        <v>3691</v>
      </c>
      <c r="I98" s="83">
        <f>ROUND(H98/(MID($C98,9,3)/Basis!$E$3/Basis!$E$9)*Basis!$E$11,0)</f>
        <v>1250</v>
      </c>
      <c r="J98" s="123">
        <f>IF(Basis!$E$1=1,ROUND(H98/((TaH-TrH)*1.163)/3600,3),ROUND(H98/(500*(TaH-TrH)),2))</f>
        <v>0.37</v>
      </c>
      <c r="K98" s="84"/>
      <c r="L98" s="177">
        <f>CHOOSE(Basis!$E$1,((AJ98*(J98*3600/Basis!$E$5)^AK98*(((MID(C98,9,3)*10)-144)/1000)*AL98+AM98*(J98*3600/Basis!$E$5)^2)*0.0098)/Basis!$E$10,((AJ98*(J98/Basis!$E$5)^AK98*(((MID(C98,9,3)*10)-144)/1000)*AL98+AM98*(J98/Basis!$E$5)^2)*0.0098)/Basis!$E$10)</f>
        <v>9.9954304589168277E-3</v>
      </c>
      <c r="M98" s="85"/>
      <c r="N98" s="109">
        <v>1.3959999999999999</v>
      </c>
      <c r="O98" s="68"/>
      <c r="P98" s="67">
        <v>1715</v>
      </c>
      <c r="Q98" s="68"/>
      <c r="R98" s="69"/>
      <c r="S98" s="69"/>
      <c r="T98" s="69"/>
      <c r="U98" s="69"/>
      <c r="V98" s="69"/>
      <c r="W98" s="68"/>
      <c r="X98" s="70"/>
      <c r="Y98" s="70"/>
      <c r="Z98" s="70"/>
      <c r="AA98" s="70"/>
      <c r="AB98" s="70"/>
      <c r="AC98" s="68"/>
      <c r="AD98" s="71"/>
      <c r="AE98" s="71"/>
      <c r="AF98" s="71"/>
      <c r="AG98" s="71"/>
      <c r="AH98" s="71"/>
      <c r="AI98" s="68"/>
      <c r="AJ98" s="214">
        <v>1.2760000000000001E-4</v>
      </c>
      <c r="AK98" s="214">
        <v>1.7219</v>
      </c>
      <c r="AL98" s="214">
        <v>2</v>
      </c>
      <c r="AM98" s="214">
        <v>3.76611E-4</v>
      </c>
      <c r="AN98" s="68"/>
      <c r="AO98" s="67"/>
      <c r="AP98" s="67"/>
      <c r="AQ98" s="67"/>
      <c r="AR98" s="67"/>
      <c r="AS98" s="67"/>
      <c r="AT98" s="68"/>
      <c r="AU98" s="49"/>
      <c r="AV98" s="50"/>
    </row>
    <row r="99" spans="1:48" ht="12.75" customHeight="1" x14ac:dyDescent="0.25">
      <c r="A99" s="72" t="s">
        <v>23</v>
      </c>
      <c r="B99" s="43" t="s">
        <v>159</v>
      </c>
      <c r="C99" s="44" t="s">
        <v>249</v>
      </c>
      <c r="D99" s="45">
        <f>MROUND(MID($C99,6,3)/Basis!$E$3,0.5)</f>
        <v>12</v>
      </c>
      <c r="E99" s="45">
        <f>MROUND(MID($C99,9,3)/Basis!$E$3,0.5)</f>
        <v>35.5</v>
      </c>
      <c r="F99" s="124" t="s">
        <v>2948</v>
      </c>
      <c r="G99" s="45">
        <f>ROUND((ROUNDDOWN($F99/5,0)*5+1.8)/Basis!$E$3,1)</f>
        <v>8.6</v>
      </c>
      <c r="H99" s="120">
        <f>ROUND($P99*Basis!$E$2*((TaH-TrH)/LN(1/µ)/Basis!$E$7)^$N99*$AA$4*Glycol,0)</f>
        <v>3685</v>
      </c>
      <c r="I99" s="83">
        <f>ROUND(H99/(MID($C99,9,3)/Basis!$E$3/Basis!$E$9)*Basis!$E$11,0)</f>
        <v>1248</v>
      </c>
      <c r="J99" s="123">
        <f>IF(Basis!$E$1=1,ROUND(H99/((TaH-TrH)*1.163)/3600,3),ROUND(H99/(500*(TaH-TrH)),2))</f>
        <v>0.37</v>
      </c>
      <c r="K99" s="84"/>
      <c r="L99" s="177">
        <f>CHOOSE(Basis!$E$1,((AJ99*(J99*3600/Basis!$E$5)^AK99*(((MID(C99,9,3)*10)-144)/1000)*AL99+AM99*(J99*3600/Basis!$E$5)^2)*0.0098)/Basis!$E$10,((AJ99*(J99/Basis!$E$5)^AK99*(((MID(C99,9,3)*10)-144)/1000)*AL99+AM99*(J99/Basis!$E$5)^2)*0.0098)/Basis!$E$10)</f>
        <v>1.4471643979603951E-2</v>
      </c>
      <c r="M99" s="85"/>
      <c r="N99" s="110">
        <v>1.468</v>
      </c>
      <c r="O99" s="74"/>
      <c r="P99" s="73">
        <v>1753</v>
      </c>
      <c r="Q99" s="74"/>
      <c r="R99" s="75"/>
      <c r="S99" s="75"/>
      <c r="T99" s="75"/>
      <c r="U99" s="75"/>
      <c r="V99" s="75"/>
      <c r="W99" s="74"/>
      <c r="X99" s="76"/>
      <c r="Y99" s="76"/>
      <c r="Z99" s="76"/>
      <c r="AA99" s="76"/>
      <c r="AB99" s="76"/>
      <c r="AC99" s="74"/>
      <c r="AD99" s="77"/>
      <c r="AE99" s="77"/>
      <c r="AF99" s="77"/>
      <c r="AG99" s="77"/>
      <c r="AH99" s="77"/>
      <c r="AI99" s="68"/>
      <c r="AJ99" s="213">
        <v>1.2760000000000001E-4</v>
      </c>
      <c r="AK99" s="213">
        <v>1.7219</v>
      </c>
      <c r="AL99" s="213">
        <v>4</v>
      </c>
      <c r="AM99" s="213">
        <v>5.1420100000000005E-4</v>
      </c>
      <c r="AN99" s="74"/>
      <c r="AO99" s="73"/>
      <c r="AP99" s="73"/>
      <c r="AQ99" s="73"/>
      <c r="AR99" s="73"/>
      <c r="AS99" s="73"/>
      <c r="AT99" s="74"/>
      <c r="AU99" s="47"/>
      <c r="AV99" s="48"/>
    </row>
    <row r="100" spans="1:48" ht="12.75" customHeight="1" x14ac:dyDescent="0.25">
      <c r="A100" s="72" t="s">
        <v>23</v>
      </c>
      <c r="B100" s="43" t="s">
        <v>159</v>
      </c>
      <c r="C100" s="44" t="s">
        <v>250</v>
      </c>
      <c r="D100" s="45">
        <f>MROUND(MID($C100,6,3)/Basis!$E$3,0.5)</f>
        <v>12</v>
      </c>
      <c r="E100" s="45">
        <f>MROUND(MID($C100,9,3)/Basis!$E$3,0.5)</f>
        <v>39.5</v>
      </c>
      <c r="F100" s="124" t="s">
        <v>2943</v>
      </c>
      <c r="G100" s="45">
        <f>ROUND((ROUNDDOWN($F100/5,0)*5+1.8)/Basis!$E$3,1)</f>
        <v>4.5999999999999996</v>
      </c>
      <c r="H100" s="120">
        <f>ROUND($P100*Basis!$E$2*((TaH-TrH)/LN(1/µ)/Basis!$E$7)^$N100*$AA$4*Glycol,0)</f>
        <v>1774</v>
      </c>
      <c r="I100" s="83">
        <f>ROUND(H100/(MID($C100,9,3)/Basis!$E$3/Basis!$E$9)*Basis!$E$11,0)</f>
        <v>541</v>
      </c>
      <c r="J100" s="123">
        <f>IF(Basis!$E$1=1,ROUND(H100/((TaH-TrH)*1.163)/3600,3),ROUND(H100/(500*(TaH-TrH)),2))</f>
        <v>0.18</v>
      </c>
      <c r="K100" s="84"/>
      <c r="L100" s="177">
        <f>CHOOSE(Basis!$E$1,((AJ100*(J100*3600/Basis!$E$5)^AK100*(((MID(C100,9,3)*10)-144)/1000)*AL100+AM100*(J100*3600/Basis!$E$5)^2)*0.0098)/Basis!$E$10,((AJ100*(J100/Basis!$E$5)^AK100*(((MID(C100,9,3)*10)-144)/1000)*AL100+AM100*(J100/Basis!$E$5)^2)*0.0098)/Basis!$E$10)</f>
        <v>3.394495546212298E-3</v>
      </c>
      <c r="M100" s="85"/>
      <c r="N100" s="110">
        <v>1.403</v>
      </c>
      <c r="O100" s="74"/>
      <c r="P100" s="73">
        <v>826</v>
      </c>
      <c r="Q100" s="74"/>
      <c r="R100" s="75"/>
      <c r="S100" s="75"/>
      <c r="T100" s="75"/>
      <c r="U100" s="75"/>
      <c r="V100" s="75"/>
      <c r="W100" s="74"/>
      <c r="X100" s="76"/>
      <c r="Y100" s="76"/>
      <c r="Z100" s="76"/>
      <c r="AA100" s="76"/>
      <c r="AB100" s="76"/>
      <c r="AC100" s="74"/>
      <c r="AD100" s="77"/>
      <c r="AE100" s="77"/>
      <c r="AF100" s="77"/>
      <c r="AG100" s="77"/>
      <c r="AH100" s="77"/>
      <c r="AI100" s="68"/>
      <c r="AJ100" s="213">
        <v>3.9689999999999994E-4</v>
      </c>
      <c r="AK100" s="213">
        <v>1.7345999999999999</v>
      </c>
      <c r="AL100" s="213">
        <v>2</v>
      </c>
      <c r="AM100" s="213">
        <v>3.6734700000000002E-4</v>
      </c>
      <c r="AN100" s="74"/>
      <c r="AO100" s="73"/>
      <c r="AP100" s="73"/>
      <c r="AQ100" s="73"/>
      <c r="AR100" s="73"/>
      <c r="AS100" s="73"/>
      <c r="AT100" s="74"/>
      <c r="AU100" s="47"/>
      <c r="AV100" s="48"/>
    </row>
    <row r="101" spans="1:48" ht="12.75" customHeight="1" x14ac:dyDescent="0.25">
      <c r="A101" s="72" t="s">
        <v>23</v>
      </c>
      <c r="B101" s="43" t="s">
        <v>159</v>
      </c>
      <c r="C101" s="44" t="s">
        <v>251</v>
      </c>
      <c r="D101" s="45">
        <f>MROUND(MID($C101,6,3)/Basis!$E$3,0.5)</f>
        <v>12</v>
      </c>
      <c r="E101" s="45">
        <f>MROUND(MID($C101,9,3)/Basis!$E$3,0.5)</f>
        <v>39.5</v>
      </c>
      <c r="F101" s="124" t="s">
        <v>2946</v>
      </c>
      <c r="G101" s="45">
        <f>ROUND((ROUNDDOWN($F101/5,0)*5+1.8)/Basis!$E$3,1)</f>
        <v>4.5999999999999996</v>
      </c>
      <c r="H101" s="120">
        <f>ROUND($P101*Basis!$E$2*((TaH-TrH)/LN(1/µ)/Basis!$E$7)^$N101*$AA$4*Glycol,0)</f>
        <v>2378</v>
      </c>
      <c r="I101" s="83">
        <f>ROUND(H101/(MID($C101,9,3)/Basis!$E$3/Basis!$E$9)*Basis!$E$11,0)</f>
        <v>725</v>
      </c>
      <c r="J101" s="123">
        <f>IF(Basis!$E$1=1,ROUND(H101/((TaH-TrH)*1.163)/3600,3),ROUND(H101/(500*(TaH-TrH)),2))</f>
        <v>0.24</v>
      </c>
      <c r="K101" s="84"/>
      <c r="L101" s="177">
        <f>CHOOSE(Basis!$E$1,((AJ101*(J101*3600/Basis!$E$5)^AK101*(((MID(C101,9,3)*10)-144)/1000)*AL101+AM101*(J101*3600/Basis!$E$5)^2)*0.0098)/Basis!$E$10,((AJ101*(J101/Basis!$E$5)^AK101*(((MID(C101,9,3)*10)-144)/1000)*AL101+AM101*(J101/Basis!$E$5)^2)*0.0098)/Basis!$E$10)</f>
        <v>1.0148402668657469E-2</v>
      </c>
      <c r="M101" s="85"/>
      <c r="N101" s="109">
        <v>1.44</v>
      </c>
      <c r="O101" s="68"/>
      <c r="P101" s="67">
        <v>1121</v>
      </c>
      <c r="Q101" s="68"/>
      <c r="R101" s="69"/>
      <c r="S101" s="69"/>
      <c r="T101" s="69"/>
      <c r="U101" s="69"/>
      <c r="V101" s="69"/>
      <c r="W101" s="68"/>
      <c r="X101" s="70"/>
      <c r="Y101" s="70"/>
      <c r="Z101" s="70"/>
      <c r="AA101" s="70"/>
      <c r="AB101" s="70"/>
      <c r="AC101" s="68"/>
      <c r="AD101" s="71"/>
      <c r="AE101" s="71"/>
      <c r="AF101" s="71"/>
      <c r="AG101" s="71"/>
      <c r="AH101" s="71"/>
      <c r="AI101" s="68"/>
      <c r="AJ101" s="214">
        <v>3.9689999999999994E-4</v>
      </c>
      <c r="AK101" s="214">
        <v>1.7345999999999999</v>
      </c>
      <c r="AL101" s="214">
        <v>4</v>
      </c>
      <c r="AM101" s="214">
        <v>5.7428799999999995E-4</v>
      </c>
      <c r="AN101" s="68"/>
      <c r="AO101" s="67"/>
      <c r="AP101" s="67"/>
      <c r="AQ101" s="67"/>
      <c r="AR101" s="67"/>
      <c r="AS101" s="67"/>
      <c r="AT101" s="68"/>
      <c r="AU101" s="49"/>
      <c r="AV101" s="50"/>
    </row>
    <row r="102" spans="1:48" ht="12.75" customHeight="1" x14ac:dyDescent="0.25">
      <c r="A102" s="72" t="s">
        <v>23</v>
      </c>
      <c r="B102" s="43" t="s">
        <v>159</v>
      </c>
      <c r="C102" s="44" t="s">
        <v>252</v>
      </c>
      <c r="D102" s="45">
        <f>MROUND(MID($C102,6,3)/Basis!$E$3,0.5)</f>
        <v>12</v>
      </c>
      <c r="E102" s="45">
        <f>MROUND(MID($C102,9,3)/Basis!$E$3,0.5)</f>
        <v>39.5</v>
      </c>
      <c r="F102" s="124" t="s">
        <v>2944</v>
      </c>
      <c r="G102" s="45">
        <f>ROUND((ROUNDDOWN($F102/5,0)*5+1.8)/Basis!$E$3,1)</f>
        <v>6.6</v>
      </c>
      <c r="H102" s="120">
        <f>ROUND($P102*Basis!$E$2*((TaH-TrH)/LN(1/µ)/Basis!$E$7)^$N102*$AA$4*Glycol,0)</f>
        <v>2925</v>
      </c>
      <c r="I102" s="83">
        <f>ROUND(H102/(MID($C102,9,3)/Basis!$E$3/Basis!$E$9)*Basis!$E$11,0)</f>
        <v>892</v>
      </c>
      <c r="J102" s="123">
        <f>IF(Basis!$E$1=1,ROUND(H102/((TaH-TrH)*1.163)/3600,3),ROUND(H102/(500*(TaH-TrH)),2))</f>
        <v>0.28999999999999998</v>
      </c>
      <c r="K102" s="84"/>
      <c r="L102" s="177">
        <f>CHOOSE(Basis!$E$1,((AJ102*(J102*3600/Basis!$E$5)^AK102*(((MID(C102,9,3)*10)-144)/1000)*AL102+AM102*(J102*3600/Basis!$E$5)^2)*0.0098)/Basis!$E$10,((AJ102*(J102/Basis!$E$5)^AK102*(((MID(C102,9,3)*10)-144)/1000)*AL102+AM102*(J102/Basis!$E$5)^2)*0.0098)/Basis!$E$10)</f>
        <v>8.1436151724463487E-3</v>
      </c>
      <c r="M102" s="85"/>
      <c r="N102" s="109">
        <v>1.3959999999999999</v>
      </c>
      <c r="O102" s="68"/>
      <c r="P102" s="67">
        <v>1359</v>
      </c>
      <c r="Q102" s="68"/>
      <c r="R102" s="69"/>
      <c r="S102" s="69"/>
      <c r="T102" s="69"/>
      <c r="U102" s="69"/>
      <c r="V102" s="69"/>
      <c r="W102" s="68"/>
      <c r="X102" s="70"/>
      <c r="Y102" s="70"/>
      <c r="Z102" s="70"/>
      <c r="AA102" s="70"/>
      <c r="AB102" s="70"/>
      <c r="AC102" s="68"/>
      <c r="AD102" s="71"/>
      <c r="AE102" s="71"/>
      <c r="AF102" s="71"/>
      <c r="AG102" s="71"/>
      <c r="AH102" s="71"/>
      <c r="AI102" s="68"/>
      <c r="AJ102" s="214">
        <v>2.0829999999999999E-4</v>
      </c>
      <c r="AK102" s="214">
        <v>1.724</v>
      </c>
      <c r="AL102" s="214">
        <v>2</v>
      </c>
      <c r="AM102" s="214">
        <v>4.6182900000000003E-4</v>
      </c>
      <c r="AN102" s="68"/>
      <c r="AO102" s="67"/>
      <c r="AP102" s="67"/>
      <c r="AQ102" s="67"/>
      <c r="AR102" s="67"/>
      <c r="AS102" s="67"/>
      <c r="AT102" s="68"/>
      <c r="AU102" s="49"/>
      <c r="AV102" s="50"/>
    </row>
    <row r="103" spans="1:48" ht="12.75" customHeight="1" x14ac:dyDescent="0.25">
      <c r="A103" s="72" t="s">
        <v>23</v>
      </c>
      <c r="B103" s="43" t="s">
        <v>159</v>
      </c>
      <c r="C103" s="44" t="s">
        <v>253</v>
      </c>
      <c r="D103" s="45">
        <f>MROUND(MID($C103,6,3)/Basis!$E$3,0.5)</f>
        <v>12</v>
      </c>
      <c r="E103" s="45">
        <f>MROUND(MID($C103,9,3)/Basis!$E$3,0.5)</f>
        <v>39.5</v>
      </c>
      <c r="F103" s="124" t="s">
        <v>2947</v>
      </c>
      <c r="G103" s="45">
        <f>ROUND((ROUNDDOWN($F103/5,0)*5+1.8)/Basis!$E$3,1)</f>
        <v>6.6</v>
      </c>
      <c r="H103" s="120">
        <f>ROUND($P103*Basis!$E$2*((TaH-TrH)/LN(1/µ)/Basis!$E$7)^$N103*$AA$4*Glycol,0)</f>
        <v>3123</v>
      </c>
      <c r="I103" s="83">
        <f>ROUND(H103/(MID($C103,9,3)/Basis!$E$3/Basis!$E$9)*Basis!$E$11,0)</f>
        <v>952</v>
      </c>
      <c r="J103" s="123">
        <f>IF(Basis!$E$1=1,ROUND(H103/((TaH-TrH)*1.163)/3600,3),ROUND(H103/(500*(TaH-TrH)),2))</f>
        <v>0.31</v>
      </c>
      <c r="K103" s="84"/>
      <c r="L103" s="177">
        <f>CHOOSE(Basis!$E$1,((AJ103*(J103*3600/Basis!$E$5)^AK103*(((MID(C103,9,3)*10)-144)/1000)*AL103+AM103*(J103*3600/Basis!$E$5)^2)*0.0098)/Basis!$E$10,((AJ103*(J103/Basis!$E$5)^AK103*(((MID(C103,9,3)*10)-144)/1000)*AL103+AM103*(J103/Basis!$E$5)^2)*0.0098)/Basis!$E$10)</f>
        <v>2.6149180301160351E-2</v>
      </c>
      <c r="M103" s="85"/>
      <c r="N103" s="110">
        <v>1.456</v>
      </c>
      <c r="O103" s="74"/>
      <c r="P103" s="73">
        <v>1480</v>
      </c>
      <c r="Q103" s="74"/>
      <c r="R103" s="75"/>
      <c r="S103" s="75"/>
      <c r="T103" s="75"/>
      <c r="U103" s="75"/>
      <c r="V103" s="75"/>
      <c r="W103" s="74"/>
      <c r="X103" s="76"/>
      <c r="Y103" s="76"/>
      <c r="Z103" s="76"/>
      <c r="AA103" s="76"/>
      <c r="AB103" s="76"/>
      <c r="AC103" s="74"/>
      <c r="AD103" s="77"/>
      <c r="AE103" s="77"/>
      <c r="AF103" s="77"/>
      <c r="AG103" s="77"/>
      <c r="AH103" s="77"/>
      <c r="AI103" s="68"/>
      <c r="AJ103" s="213">
        <v>2.0829999999999999E-4</v>
      </c>
      <c r="AK103" s="213">
        <v>1.724</v>
      </c>
      <c r="AL103" s="213">
        <v>4</v>
      </c>
      <c r="AM103" s="213">
        <v>1.392796E-3</v>
      </c>
      <c r="AN103" s="74"/>
      <c r="AO103" s="73"/>
      <c r="AP103" s="73"/>
      <c r="AQ103" s="73"/>
      <c r="AR103" s="73"/>
      <c r="AS103" s="73"/>
      <c r="AT103" s="74"/>
      <c r="AU103" s="47"/>
      <c r="AV103" s="48"/>
    </row>
    <row r="104" spans="1:48" ht="12.75" customHeight="1" x14ac:dyDescent="0.25">
      <c r="A104" s="72" t="s">
        <v>23</v>
      </c>
      <c r="B104" s="43" t="s">
        <v>159</v>
      </c>
      <c r="C104" s="44" t="s">
        <v>254</v>
      </c>
      <c r="D104" s="45">
        <f>MROUND(MID($C104,6,3)/Basis!$E$3,0.5)</f>
        <v>12</v>
      </c>
      <c r="E104" s="45">
        <f>MROUND(MID($C104,9,3)/Basis!$E$3,0.5)</f>
        <v>39.5</v>
      </c>
      <c r="F104" s="124" t="s">
        <v>2945</v>
      </c>
      <c r="G104" s="45">
        <f>ROUND((ROUNDDOWN($F104/5,0)*5+1.8)/Basis!$E$3,1)</f>
        <v>8.6</v>
      </c>
      <c r="H104" s="120">
        <f>ROUND($P104*Basis!$E$2*((TaH-TrH)/LN(1/µ)/Basis!$E$7)^$N104*$AA$4*Glycol,0)</f>
        <v>4103</v>
      </c>
      <c r="I104" s="83">
        <f>ROUND(H104/(MID($C104,9,3)/Basis!$E$3/Basis!$E$9)*Basis!$E$11,0)</f>
        <v>1251</v>
      </c>
      <c r="J104" s="123">
        <f>IF(Basis!$E$1=1,ROUND(H104/((TaH-TrH)*1.163)/3600,3),ROUND(H104/(500*(TaH-TrH)),2))</f>
        <v>0.41</v>
      </c>
      <c r="K104" s="84"/>
      <c r="L104" s="177">
        <f>CHOOSE(Basis!$E$1,((AJ104*(J104*3600/Basis!$E$5)^AK104*(((MID(C104,9,3)*10)-144)/1000)*AL104+AM104*(J104*3600/Basis!$E$5)^2)*0.0098)/Basis!$E$10,((AJ104*(J104/Basis!$E$5)^AK104*(((MID(C104,9,3)*10)-144)/1000)*AL104+AM104*(J104/Basis!$E$5)^2)*0.0098)/Basis!$E$10)</f>
        <v>1.2433596392789925E-2</v>
      </c>
      <c r="M104" s="85"/>
      <c r="N104" s="110">
        <v>1.3959999999999999</v>
      </c>
      <c r="O104" s="74"/>
      <c r="P104" s="73">
        <v>1906</v>
      </c>
      <c r="Q104" s="74"/>
      <c r="R104" s="75"/>
      <c r="S104" s="75"/>
      <c r="T104" s="75"/>
      <c r="U104" s="75"/>
      <c r="V104" s="75"/>
      <c r="W104" s="74"/>
      <c r="X104" s="76"/>
      <c r="Y104" s="76"/>
      <c r="Z104" s="76"/>
      <c r="AA104" s="76"/>
      <c r="AB104" s="76"/>
      <c r="AC104" s="74"/>
      <c r="AD104" s="77"/>
      <c r="AE104" s="77"/>
      <c r="AF104" s="77"/>
      <c r="AG104" s="77"/>
      <c r="AH104" s="77"/>
      <c r="AI104" s="68"/>
      <c r="AJ104" s="213">
        <v>1.2760000000000001E-4</v>
      </c>
      <c r="AK104" s="213">
        <v>1.7219</v>
      </c>
      <c r="AL104" s="213">
        <v>2</v>
      </c>
      <c r="AM104" s="213">
        <v>3.76611E-4</v>
      </c>
      <c r="AN104" s="74"/>
      <c r="AO104" s="73"/>
      <c r="AP104" s="73"/>
      <c r="AQ104" s="73"/>
      <c r="AR104" s="73"/>
      <c r="AS104" s="73"/>
      <c r="AT104" s="74"/>
      <c r="AU104" s="47"/>
      <c r="AV104" s="48"/>
    </row>
    <row r="105" spans="1:48" ht="12.75" customHeight="1" x14ac:dyDescent="0.25">
      <c r="A105" s="72" t="s">
        <v>23</v>
      </c>
      <c r="B105" s="43" t="s">
        <v>159</v>
      </c>
      <c r="C105" s="44" t="s">
        <v>255</v>
      </c>
      <c r="D105" s="45">
        <f>MROUND(MID($C105,6,3)/Basis!$E$3,0.5)</f>
        <v>12</v>
      </c>
      <c r="E105" s="45">
        <f>MROUND(MID($C105,9,3)/Basis!$E$3,0.5)</f>
        <v>39.5</v>
      </c>
      <c r="F105" s="124" t="s">
        <v>2948</v>
      </c>
      <c r="G105" s="45">
        <f>ROUND((ROUNDDOWN($F105/5,0)*5+1.8)/Basis!$E$3,1)</f>
        <v>8.6</v>
      </c>
      <c r="H105" s="120">
        <f>ROUND($P105*Basis!$E$2*((TaH-TrH)/LN(1/µ)/Basis!$E$7)^$N105*$AA$4*Glycol,0)</f>
        <v>4094</v>
      </c>
      <c r="I105" s="83">
        <f>ROUND(H105/(MID($C105,9,3)/Basis!$E$3/Basis!$E$9)*Basis!$E$11,0)</f>
        <v>1248</v>
      </c>
      <c r="J105" s="123">
        <f>IF(Basis!$E$1=1,ROUND(H105/((TaH-TrH)*1.163)/3600,3),ROUND(H105/(500*(TaH-TrH)),2))</f>
        <v>0.41</v>
      </c>
      <c r="K105" s="84"/>
      <c r="L105" s="177">
        <f>CHOOSE(Basis!$E$1,((AJ105*(J105*3600/Basis!$E$5)^AK105*(((MID(C105,9,3)*10)-144)/1000)*AL105+AM105*(J105*3600/Basis!$E$5)^2)*0.0098)/Basis!$E$10,((AJ105*(J105/Basis!$E$5)^AK105*(((MID(C105,9,3)*10)-144)/1000)*AL105+AM105*(J105/Basis!$E$5)^2)*0.0098)/Basis!$E$10)</f>
        <v>1.8090126552443152E-2</v>
      </c>
      <c r="M105" s="85"/>
      <c r="N105" s="109">
        <v>1.468</v>
      </c>
      <c r="O105" s="68"/>
      <c r="P105" s="67">
        <v>1948</v>
      </c>
      <c r="Q105" s="68"/>
      <c r="R105" s="69"/>
      <c r="S105" s="69"/>
      <c r="T105" s="69"/>
      <c r="U105" s="69"/>
      <c r="V105" s="69"/>
      <c r="W105" s="68"/>
      <c r="X105" s="70"/>
      <c r="Y105" s="70"/>
      <c r="Z105" s="70"/>
      <c r="AA105" s="70"/>
      <c r="AB105" s="70"/>
      <c r="AC105" s="68"/>
      <c r="AD105" s="71"/>
      <c r="AE105" s="71"/>
      <c r="AF105" s="71"/>
      <c r="AG105" s="71"/>
      <c r="AH105" s="71"/>
      <c r="AI105" s="68"/>
      <c r="AJ105" s="214">
        <v>1.2760000000000001E-4</v>
      </c>
      <c r="AK105" s="214">
        <v>1.7219</v>
      </c>
      <c r="AL105" s="214">
        <v>4</v>
      </c>
      <c r="AM105" s="214">
        <v>5.1420100000000005E-4</v>
      </c>
      <c r="AN105" s="68"/>
      <c r="AO105" s="67"/>
      <c r="AP105" s="67"/>
      <c r="AQ105" s="67"/>
      <c r="AR105" s="67"/>
      <c r="AS105" s="67"/>
      <c r="AT105" s="68"/>
      <c r="AU105" s="49"/>
      <c r="AV105" s="50"/>
    </row>
    <row r="106" spans="1:48" ht="12.75" customHeight="1" x14ac:dyDescent="0.25">
      <c r="A106" s="72" t="s">
        <v>23</v>
      </c>
      <c r="B106" s="43" t="s">
        <v>159</v>
      </c>
      <c r="C106" s="44" t="s">
        <v>256</v>
      </c>
      <c r="D106" s="45">
        <f>MROUND(MID($C106,6,3)/Basis!$E$3,0.5)</f>
        <v>12</v>
      </c>
      <c r="E106" s="45">
        <f>MROUND(MID($C106,9,3)/Basis!$E$3,0.5)</f>
        <v>43.5</v>
      </c>
      <c r="F106" s="124" t="s">
        <v>2943</v>
      </c>
      <c r="G106" s="45">
        <f>ROUND((ROUNDDOWN($F106/5,0)*5+1.8)/Basis!$E$3,1)</f>
        <v>4.5999999999999996</v>
      </c>
      <c r="H106" s="120">
        <f>ROUND($P106*Basis!$E$2*((TaH-TrH)/LN(1/µ)/Basis!$E$7)^$N106*$AA$4*Glycol,0)</f>
        <v>1952</v>
      </c>
      <c r="I106" s="83">
        <f>ROUND(H106/(MID($C106,9,3)/Basis!$E$3/Basis!$E$9)*Basis!$E$11,0)</f>
        <v>541</v>
      </c>
      <c r="J106" s="123">
        <f>IF(Basis!$E$1=1,ROUND(H106/((TaH-TrH)*1.163)/3600,3),ROUND(H106/(500*(TaH-TrH)),2))</f>
        <v>0.2</v>
      </c>
      <c r="K106" s="84"/>
      <c r="L106" s="177">
        <f>CHOOSE(Basis!$E$1,((AJ106*(J106*3600/Basis!$E$5)^AK106*(((MID(C106,9,3)*10)-144)/1000)*AL106+AM106*(J106*3600/Basis!$E$5)^2)*0.0098)/Basis!$E$10,((AJ106*(J106/Basis!$E$5)^AK106*(((MID(C106,9,3)*10)-144)/1000)*AL106+AM106*(J106/Basis!$E$5)^2)*0.0098)/Basis!$E$10)</f>
        <v>4.3380385289437627E-3</v>
      </c>
      <c r="M106" s="85"/>
      <c r="N106" s="109">
        <v>1.403</v>
      </c>
      <c r="O106" s="68"/>
      <c r="P106" s="67">
        <v>909</v>
      </c>
      <c r="Q106" s="68"/>
      <c r="R106" s="69"/>
      <c r="S106" s="69"/>
      <c r="T106" s="69"/>
      <c r="U106" s="69"/>
      <c r="V106" s="69"/>
      <c r="W106" s="68"/>
      <c r="X106" s="70"/>
      <c r="Y106" s="70"/>
      <c r="Z106" s="70"/>
      <c r="AA106" s="70"/>
      <c r="AB106" s="70"/>
      <c r="AC106" s="68"/>
      <c r="AD106" s="71"/>
      <c r="AE106" s="71"/>
      <c r="AF106" s="71"/>
      <c r="AG106" s="71"/>
      <c r="AH106" s="71"/>
      <c r="AI106" s="68"/>
      <c r="AJ106" s="214">
        <v>3.9689999999999994E-4</v>
      </c>
      <c r="AK106" s="214">
        <v>1.7345999999999999</v>
      </c>
      <c r="AL106" s="214">
        <v>2</v>
      </c>
      <c r="AM106" s="214">
        <v>3.6734700000000002E-4</v>
      </c>
      <c r="AN106" s="68"/>
      <c r="AO106" s="67"/>
      <c r="AP106" s="67"/>
      <c r="AQ106" s="67"/>
      <c r="AR106" s="67"/>
      <c r="AS106" s="67"/>
      <c r="AT106" s="68"/>
      <c r="AU106" s="49"/>
      <c r="AV106" s="50"/>
    </row>
    <row r="107" spans="1:48" ht="12.75" customHeight="1" x14ac:dyDescent="0.25">
      <c r="A107" s="72" t="s">
        <v>23</v>
      </c>
      <c r="B107" s="43" t="s">
        <v>159</v>
      </c>
      <c r="C107" s="44" t="s">
        <v>257</v>
      </c>
      <c r="D107" s="45">
        <f>MROUND(MID($C107,6,3)/Basis!$E$3,0.5)</f>
        <v>12</v>
      </c>
      <c r="E107" s="45">
        <f>MROUND(MID($C107,9,3)/Basis!$E$3,0.5)</f>
        <v>43.5</v>
      </c>
      <c r="F107" s="124" t="s">
        <v>2946</v>
      </c>
      <c r="G107" s="45">
        <f>ROUND((ROUNDDOWN($F107/5,0)*5+1.8)/Basis!$E$3,1)</f>
        <v>4.5999999999999996</v>
      </c>
      <c r="H107" s="120">
        <f>ROUND($P107*Basis!$E$2*((TaH-TrH)/LN(1/µ)/Basis!$E$7)^$N107*$AA$4*Glycol,0)</f>
        <v>2616</v>
      </c>
      <c r="I107" s="83">
        <f>ROUND(H107/(MID($C107,9,3)/Basis!$E$3/Basis!$E$9)*Basis!$E$11,0)</f>
        <v>725</v>
      </c>
      <c r="J107" s="123">
        <f>IF(Basis!$E$1=1,ROUND(H107/((TaH-TrH)*1.163)/3600,3),ROUND(H107/(500*(TaH-TrH)),2))</f>
        <v>0.26</v>
      </c>
      <c r="K107" s="84"/>
      <c r="L107" s="177">
        <f>CHOOSE(Basis!$E$1,((AJ107*(J107*3600/Basis!$E$5)^AK107*(((MID(C107,9,3)*10)-144)/1000)*AL107+AM107*(J107*3600/Basis!$E$5)^2)*0.0098)/Basis!$E$10,((AJ107*(J107/Basis!$E$5)^AK107*(((MID(C107,9,3)*10)-144)/1000)*AL107+AM107*(J107/Basis!$E$5)^2)*0.0098)/Basis!$E$10)</f>
        <v>1.2410825985846648E-2</v>
      </c>
      <c r="M107" s="85"/>
      <c r="N107" s="110">
        <v>1.44</v>
      </c>
      <c r="O107" s="74"/>
      <c r="P107" s="73">
        <v>1233</v>
      </c>
      <c r="Q107" s="74"/>
      <c r="R107" s="75"/>
      <c r="S107" s="75"/>
      <c r="T107" s="75"/>
      <c r="U107" s="75"/>
      <c r="V107" s="75"/>
      <c r="W107" s="74"/>
      <c r="X107" s="76"/>
      <c r="Y107" s="76"/>
      <c r="Z107" s="76"/>
      <c r="AA107" s="76"/>
      <c r="AB107" s="76"/>
      <c r="AC107" s="74"/>
      <c r="AD107" s="77"/>
      <c r="AE107" s="77"/>
      <c r="AF107" s="77"/>
      <c r="AG107" s="77"/>
      <c r="AH107" s="77"/>
      <c r="AI107" s="68"/>
      <c r="AJ107" s="213">
        <v>3.9689999999999994E-4</v>
      </c>
      <c r="AK107" s="213">
        <v>1.7345999999999999</v>
      </c>
      <c r="AL107" s="213">
        <v>4</v>
      </c>
      <c r="AM107" s="213">
        <v>5.7428799999999995E-4</v>
      </c>
      <c r="AN107" s="74"/>
      <c r="AO107" s="73"/>
      <c r="AP107" s="73"/>
      <c r="AQ107" s="73"/>
      <c r="AR107" s="73"/>
      <c r="AS107" s="73"/>
      <c r="AT107" s="74"/>
      <c r="AU107" s="47"/>
      <c r="AV107" s="48"/>
    </row>
    <row r="108" spans="1:48" ht="12.75" customHeight="1" x14ac:dyDescent="0.25">
      <c r="A108" s="72" t="s">
        <v>23</v>
      </c>
      <c r="B108" s="43" t="s">
        <v>159</v>
      </c>
      <c r="C108" s="44" t="s">
        <v>258</v>
      </c>
      <c r="D108" s="45">
        <f>MROUND(MID($C108,6,3)/Basis!$E$3,0.5)</f>
        <v>12</v>
      </c>
      <c r="E108" s="45">
        <f>MROUND(MID($C108,9,3)/Basis!$E$3,0.5)</f>
        <v>43.5</v>
      </c>
      <c r="F108" s="124" t="s">
        <v>2944</v>
      </c>
      <c r="G108" s="45">
        <f>ROUND((ROUNDDOWN($F108/5,0)*5+1.8)/Basis!$E$3,1)</f>
        <v>6.6</v>
      </c>
      <c r="H108" s="120">
        <f>ROUND($P108*Basis!$E$2*((TaH-TrH)/LN(1/µ)/Basis!$E$7)^$N108*$AA$4*Glycol,0)</f>
        <v>3218</v>
      </c>
      <c r="I108" s="83">
        <f>ROUND(H108/(MID($C108,9,3)/Basis!$E$3/Basis!$E$9)*Basis!$E$11,0)</f>
        <v>892</v>
      </c>
      <c r="J108" s="123">
        <f>IF(Basis!$E$1=1,ROUND(H108/((TaH-TrH)*1.163)/3600,3),ROUND(H108/(500*(TaH-TrH)),2))</f>
        <v>0.32</v>
      </c>
      <c r="K108" s="84"/>
      <c r="L108" s="177">
        <f>CHOOSE(Basis!$E$1,((AJ108*(J108*3600/Basis!$E$5)^AK108*(((MID(C108,9,3)*10)-144)/1000)*AL108+AM108*(J108*3600/Basis!$E$5)^2)*0.0098)/Basis!$E$10,((AJ108*(J108/Basis!$E$5)^AK108*(((MID(C108,9,3)*10)-144)/1000)*AL108+AM108*(J108/Basis!$E$5)^2)*0.0098)/Basis!$E$10)</f>
        <v>1.0084127438381853E-2</v>
      </c>
      <c r="M108" s="85"/>
      <c r="N108" s="110">
        <v>1.3959999999999999</v>
      </c>
      <c r="O108" s="74"/>
      <c r="P108" s="73">
        <v>1495</v>
      </c>
      <c r="Q108" s="74"/>
      <c r="R108" s="75"/>
      <c r="S108" s="75"/>
      <c r="T108" s="75"/>
      <c r="U108" s="75"/>
      <c r="V108" s="75"/>
      <c r="W108" s="74"/>
      <c r="X108" s="76"/>
      <c r="Y108" s="76"/>
      <c r="Z108" s="76"/>
      <c r="AA108" s="76"/>
      <c r="AB108" s="76"/>
      <c r="AC108" s="74"/>
      <c r="AD108" s="77"/>
      <c r="AE108" s="77"/>
      <c r="AF108" s="77"/>
      <c r="AG108" s="77"/>
      <c r="AH108" s="77"/>
      <c r="AI108" s="68"/>
      <c r="AJ108" s="213">
        <v>2.0829999999999999E-4</v>
      </c>
      <c r="AK108" s="213">
        <v>1.724</v>
      </c>
      <c r="AL108" s="213">
        <v>2</v>
      </c>
      <c r="AM108" s="213">
        <v>4.6182900000000003E-4</v>
      </c>
      <c r="AN108" s="74"/>
      <c r="AO108" s="73"/>
      <c r="AP108" s="73"/>
      <c r="AQ108" s="73"/>
      <c r="AR108" s="73"/>
      <c r="AS108" s="73"/>
      <c r="AT108" s="74"/>
      <c r="AU108" s="47"/>
      <c r="AV108" s="48"/>
    </row>
    <row r="109" spans="1:48" ht="12.75" customHeight="1" x14ac:dyDescent="0.25">
      <c r="A109" s="72" t="s">
        <v>23</v>
      </c>
      <c r="B109" s="43" t="s">
        <v>159</v>
      </c>
      <c r="C109" s="44" t="s">
        <v>259</v>
      </c>
      <c r="D109" s="45">
        <f>MROUND(MID($C109,6,3)/Basis!$E$3,0.5)</f>
        <v>12</v>
      </c>
      <c r="E109" s="45">
        <f>MROUND(MID($C109,9,3)/Basis!$E$3,0.5)</f>
        <v>43.5</v>
      </c>
      <c r="F109" s="124" t="s">
        <v>2947</v>
      </c>
      <c r="G109" s="45">
        <f>ROUND((ROUNDDOWN($F109/5,0)*5+1.8)/Basis!$E$3,1)</f>
        <v>6.6</v>
      </c>
      <c r="H109" s="120">
        <f>ROUND($P109*Basis!$E$2*((TaH-TrH)/LN(1/µ)/Basis!$E$7)^$N109*$AA$4*Glycol,0)</f>
        <v>3435</v>
      </c>
      <c r="I109" s="83">
        <f>ROUND(H109/(MID($C109,9,3)/Basis!$E$3/Basis!$E$9)*Basis!$E$11,0)</f>
        <v>952</v>
      </c>
      <c r="J109" s="123">
        <f>IF(Basis!$E$1=1,ROUND(H109/((TaH-TrH)*1.163)/3600,3),ROUND(H109/(500*(TaH-TrH)),2))</f>
        <v>0.34</v>
      </c>
      <c r="K109" s="84"/>
      <c r="L109" s="177">
        <f>CHOOSE(Basis!$E$1,((AJ109*(J109*3600/Basis!$E$5)^AK109*(((MID(C109,9,3)*10)-144)/1000)*AL109+AM109*(J109*3600/Basis!$E$5)^2)*0.0098)/Basis!$E$10,((AJ109*(J109/Basis!$E$5)^AK109*(((MID(C109,9,3)*10)-144)/1000)*AL109+AM109*(J109/Basis!$E$5)^2)*0.0098)/Basis!$E$10)</f>
        <v>3.1836486147809047E-2</v>
      </c>
      <c r="M109" s="85"/>
      <c r="N109" s="109">
        <v>1.456</v>
      </c>
      <c r="O109" s="68"/>
      <c r="P109" s="67">
        <v>1628</v>
      </c>
      <c r="Q109" s="68"/>
      <c r="R109" s="69"/>
      <c r="S109" s="69"/>
      <c r="T109" s="69"/>
      <c r="U109" s="69"/>
      <c r="V109" s="69"/>
      <c r="W109" s="68"/>
      <c r="X109" s="70"/>
      <c r="Y109" s="70"/>
      <c r="Z109" s="70"/>
      <c r="AA109" s="70"/>
      <c r="AB109" s="70"/>
      <c r="AC109" s="68"/>
      <c r="AD109" s="71"/>
      <c r="AE109" s="71"/>
      <c r="AF109" s="71"/>
      <c r="AG109" s="71"/>
      <c r="AH109" s="71"/>
      <c r="AI109" s="68"/>
      <c r="AJ109" s="214">
        <v>2.0829999999999999E-4</v>
      </c>
      <c r="AK109" s="214">
        <v>1.724</v>
      </c>
      <c r="AL109" s="214">
        <v>4</v>
      </c>
      <c r="AM109" s="214">
        <v>1.392796E-3</v>
      </c>
      <c r="AN109" s="68"/>
      <c r="AO109" s="67"/>
      <c r="AP109" s="67"/>
      <c r="AQ109" s="67"/>
      <c r="AR109" s="67"/>
      <c r="AS109" s="67"/>
      <c r="AT109" s="68"/>
      <c r="AU109" s="49"/>
      <c r="AV109" s="50"/>
    </row>
    <row r="110" spans="1:48" ht="12.75" customHeight="1" x14ac:dyDescent="0.25">
      <c r="A110" s="72" t="s">
        <v>23</v>
      </c>
      <c r="B110" s="43" t="s">
        <v>159</v>
      </c>
      <c r="C110" s="44" t="s">
        <v>260</v>
      </c>
      <c r="D110" s="45">
        <f>MROUND(MID($C110,6,3)/Basis!$E$3,0.5)</f>
        <v>12</v>
      </c>
      <c r="E110" s="45">
        <f>MROUND(MID($C110,9,3)/Basis!$E$3,0.5)</f>
        <v>43.5</v>
      </c>
      <c r="F110" s="124" t="s">
        <v>2945</v>
      </c>
      <c r="G110" s="45">
        <f>ROUND((ROUNDDOWN($F110/5,0)*5+1.8)/Basis!$E$3,1)</f>
        <v>8.6</v>
      </c>
      <c r="H110" s="120">
        <f>ROUND($P110*Basis!$E$2*((TaH-TrH)/LN(1/µ)/Basis!$E$7)^$N110*$AA$4*Glycol,0)</f>
        <v>4514</v>
      </c>
      <c r="I110" s="83">
        <f>ROUND(H110/(MID($C110,9,3)/Basis!$E$3/Basis!$E$9)*Basis!$E$11,0)</f>
        <v>1251</v>
      </c>
      <c r="J110" s="123">
        <f>IF(Basis!$E$1=1,ROUND(H110/((TaH-TrH)*1.163)/3600,3),ROUND(H110/(500*(TaH-TrH)),2))</f>
        <v>0.45</v>
      </c>
      <c r="K110" s="84"/>
      <c r="L110" s="177">
        <f>CHOOSE(Basis!$E$1,((AJ110*(J110*3600/Basis!$E$5)^AK110*(((MID(C110,9,3)*10)-144)/1000)*AL110+AM110*(J110*3600/Basis!$E$5)^2)*0.0098)/Basis!$E$10,((AJ110*(J110/Basis!$E$5)^AK110*(((MID(C110,9,3)*10)-144)/1000)*AL110+AM110*(J110/Basis!$E$5)^2)*0.0098)/Basis!$E$10)</f>
        <v>1.5164687281026087E-2</v>
      </c>
      <c r="M110" s="85"/>
      <c r="N110" s="109">
        <v>1.3959999999999999</v>
      </c>
      <c r="O110" s="68"/>
      <c r="P110" s="67">
        <v>2097</v>
      </c>
      <c r="Q110" s="68"/>
      <c r="R110" s="69"/>
      <c r="S110" s="69"/>
      <c r="T110" s="69"/>
      <c r="U110" s="69"/>
      <c r="V110" s="69"/>
      <c r="W110" s="68"/>
      <c r="X110" s="70"/>
      <c r="Y110" s="70"/>
      <c r="Z110" s="70"/>
      <c r="AA110" s="70"/>
      <c r="AB110" s="70"/>
      <c r="AC110" s="68"/>
      <c r="AD110" s="71"/>
      <c r="AE110" s="71"/>
      <c r="AF110" s="71"/>
      <c r="AG110" s="71"/>
      <c r="AH110" s="71"/>
      <c r="AI110" s="68"/>
      <c r="AJ110" s="214">
        <v>1.2760000000000001E-4</v>
      </c>
      <c r="AK110" s="214">
        <v>1.7219</v>
      </c>
      <c r="AL110" s="214">
        <v>2</v>
      </c>
      <c r="AM110" s="214">
        <v>3.76611E-4</v>
      </c>
      <c r="AN110" s="68"/>
      <c r="AO110" s="67"/>
      <c r="AP110" s="67"/>
      <c r="AQ110" s="67"/>
      <c r="AR110" s="67"/>
      <c r="AS110" s="67"/>
      <c r="AT110" s="68"/>
      <c r="AU110" s="49"/>
      <c r="AV110" s="50"/>
    </row>
    <row r="111" spans="1:48" ht="12.75" customHeight="1" x14ac:dyDescent="0.25">
      <c r="A111" s="72" t="s">
        <v>23</v>
      </c>
      <c r="B111" s="43" t="s">
        <v>159</v>
      </c>
      <c r="C111" s="44" t="s">
        <v>261</v>
      </c>
      <c r="D111" s="45">
        <f>MROUND(MID($C111,6,3)/Basis!$E$3,0.5)</f>
        <v>12</v>
      </c>
      <c r="E111" s="45">
        <f>MROUND(MID($C111,9,3)/Basis!$E$3,0.5)</f>
        <v>43.5</v>
      </c>
      <c r="F111" s="124" t="s">
        <v>2948</v>
      </c>
      <c r="G111" s="45">
        <f>ROUND((ROUNDDOWN($F111/5,0)*5+1.8)/Basis!$E$3,1)</f>
        <v>8.6</v>
      </c>
      <c r="H111" s="120">
        <f>ROUND($P111*Basis!$E$2*((TaH-TrH)/LN(1/µ)/Basis!$E$7)^$N111*$AA$4*Glycol,0)</f>
        <v>4504</v>
      </c>
      <c r="I111" s="83">
        <f>ROUND(H111/(MID($C111,9,3)/Basis!$E$3/Basis!$E$9)*Basis!$E$11,0)</f>
        <v>1248</v>
      </c>
      <c r="J111" s="123">
        <f>IF(Basis!$E$1=1,ROUND(H111/((TaH-TrH)*1.163)/3600,3),ROUND(H111/(500*(TaH-TrH)),2))</f>
        <v>0.45</v>
      </c>
      <c r="K111" s="84"/>
      <c r="L111" s="177">
        <f>CHOOSE(Basis!$E$1,((AJ111*(J111*3600/Basis!$E$5)^AK111*(((MID(C111,9,3)*10)-144)/1000)*AL111+AM111*(J111*3600/Basis!$E$5)^2)*0.0098)/Basis!$E$10,((AJ111*(J111/Basis!$E$5)^AK111*(((MID(C111,9,3)*10)-144)/1000)*AL111+AM111*(J111/Basis!$E$5)^2)*0.0098)/Basis!$E$10)</f>
        <v>2.2165448849915465E-2</v>
      </c>
      <c r="M111" s="85"/>
      <c r="N111" s="110">
        <v>1.468</v>
      </c>
      <c r="O111" s="74"/>
      <c r="P111" s="73">
        <v>2143</v>
      </c>
      <c r="Q111" s="74"/>
      <c r="R111" s="75"/>
      <c r="S111" s="75"/>
      <c r="T111" s="75"/>
      <c r="U111" s="75"/>
      <c r="V111" s="75"/>
      <c r="W111" s="74"/>
      <c r="X111" s="76"/>
      <c r="Y111" s="76"/>
      <c r="Z111" s="76"/>
      <c r="AA111" s="76"/>
      <c r="AB111" s="76"/>
      <c r="AC111" s="74"/>
      <c r="AD111" s="77"/>
      <c r="AE111" s="77"/>
      <c r="AF111" s="77"/>
      <c r="AG111" s="77"/>
      <c r="AH111" s="77"/>
      <c r="AI111" s="68"/>
      <c r="AJ111" s="213">
        <v>1.2760000000000001E-4</v>
      </c>
      <c r="AK111" s="213">
        <v>1.7219</v>
      </c>
      <c r="AL111" s="213">
        <v>4</v>
      </c>
      <c r="AM111" s="213">
        <v>5.1420100000000005E-4</v>
      </c>
      <c r="AN111" s="74"/>
      <c r="AO111" s="73"/>
      <c r="AP111" s="73"/>
      <c r="AQ111" s="73"/>
      <c r="AR111" s="73"/>
      <c r="AS111" s="73"/>
      <c r="AT111" s="74"/>
      <c r="AU111" s="47"/>
      <c r="AV111" s="48"/>
    </row>
    <row r="112" spans="1:48" ht="12.75" customHeight="1" x14ac:dyDescent="0.25">
      <c r="A112" s="72" t="s">
        <v>23</v>
      </c>
      <c r="B112" s="43" t="s">
        <v>159</v>
      </c>
      <c r="C112" s="44" t="s">
        <v>262</v>
      </c>
      <c r="D112" s="45">
        <f>MROUND(MID($C112,6,3)/Basis!$E$3,0.5)</f>
        <v>12</v>
      </c>
      <c r="E112" s="45">
        <f>MROUND(MID($C112,9,3)/Basis!$E$3,0.5)</f>
        <v>47</v>
      </c>
      <c r="F112" s="124" t="s">
        <v>2943</v>
      </c>
      <c r="G112" s="45">
        <f>ROUND((ROUNDDOWN($F112/5,0)*5+1.8)/Basis!$E$3,1)</f>
        <v>4.5999999999999996</v>
      </c>
      <c r="H112" s="120">
        <f>ROUND($P112*Basis!$E$2*((TaH-TrH)/LN(1/µ)/Basis!$E$7)^$N112*$AA$4*Glycol,0)</f>
        <v>2128</v>
      </c>
      <c r="I112" s="83">
        <f>ROUND(H112/(MID($C112,9,3)/Basis!$E$3/Basis!$E$9)*Basis!$E$11,0)</f>
        <v>541</v>
      </c>
      <c r="J112" s="123">
        <f>IF(Basis!$E$1=1,ROUND(H112/((TaH-TrH)*1.163)/3600,3),ROUND(H112/(500*(TaH-TrH)),2))</f>
        <v>0.21</v>
      </c>
      <c r="K112" s="84"/>
      <c r="L112" s="177">
        <f>CHOOSE(Basis!$E$1,((AJ112*(J112*3600/Basis!$E$5)^AK112*(((MID(C112,9,3)*10)-144)/1000)*AL112+AM112*(J112*3600/Basis!$E$5)^2)*0.0098)/Basis!$E$10,((AJ112*(J112/Basis!$E$5)^AK112*(((MID(C112,9,3)*10)-144)/1000)*AL112+AM112*(J112/Basis!$E$5)^2)*0.0098)/Basis!$E$10)</f>
        <v>4.9680106847874014E-3</v>
      </c>
      <c r="M112" s="85"/>
      <c r="N112" s="110">
        <v>1.403</v>
      </c>
      <c r="O112" s="74"/>
      <c r="P112" s="73">
        <v>991</v>
      </c>
      <c r="Q112" s="74"/>
      <c r="R112" s="75"/>
      <c r="S112" s="75"/>
      <c r="T112" s="75"/>
      <c r="U112" s="75"/>
      <c r="V112" s="75"/>
      <c r="W112" s="74"/>
      <c r="X112" s="76"/>
      <c r="Y112" s="76"/>
      <c r="Z112" s="76"/>
      <c r="AA112" s="76"/>
      <c r="AB112" s="76"/>
      <c r="AC112" s="74"/>
      <c r="AD112" s="77"/>
      <c r="AE112" s="77"/>
      <c r="AF112" s="77"/>
      <c r="AG112" s="77"/>
      <c r="AH112" s="77"/>
      <c r="AI112" s="68"/>
      <c r="AJ112" s="213">
        <v>3.9689999999999994E-4</v>
      </c>
      <c r="AK112" s="213">
        <v>1.7345999999999999</v>
      </c>
      <c r="AL112" s="213">
        <v>2</v>
      </c>
      <c r="AM112" s="213">
        <v>3.6734700000000002E-4</v>
      </c>
      <c r="AN112" s="74"/>
      <c r="AO112" s="73"/>
      <c r="AP112" s="73"/>
      <c r="AQ112" s="73"/>
      <c r="AR112" s="73"/>
      <c r="AS112" s="73"/>
      <c r="AT112" s="74"/>
      <c r="AU112" s="47"/>
      <c r="AV112" s="48"/>
    </row>
    <row r="113" spans="1:48" ht="12.75" customHeight="1" x14ac:dyDescent="0.25">
      <c r="A113" s="72" t="s">
        <v>23</v>
      </c>
      <c r="B113" s="43" t="s">
        <v>159</v>
      </c>
      <c r="C113" s="44" t="s">
        <v>263</v>
      </c>
      <c r="D113" s="45">
        <f>MROUND(MID($C113,6,3)/Basis!$E$3,0.5)</f>
        <v>12</v>
      </c>
      <c r="E113" s="45">
        <f>MROUND(MID($C113,9,3)/Basis!$E$3,0.5)</f>
        <v>47</v>
      </c>
      <c r="F113" s="124" t="s">
        <v>2946</v>
      </c>
      <c r="G113" s="45">
        <f>ROUND((ROUNDDOWN($F113/5,0)*5+1.8)/Basis!$E$3,1)</f>
        <v>4.5999999999999996</v>
      </c>
      <c r="H113" s="120">
        <f>ROUND($P113*Basis!$E$2*((TaH-TrH)/LN(1/µ)/Basis!$E$7)^$N113*$AA$4*Glycol,0)</f>
        <v>2853</v>
      </c>
      <c r="I113" s="83">
        <f>ROUND(H113/(MID($C113,9,3)/Basis!$E$3/Basis!$E$9)*Basis!$E$11,0)</f>
        <v>725</v>
      </c>
      <c r="J113" s="123">
        <f>IF(Basis!$E$1=1,ROUND(H113/((TaH-TrH)*1.163)/3600,3),ROUND(H113/(500*(TaH-TrH)),2))</f>
        <v>0.28999999999999998</v>
      </c>
      <c r="K113" s="84"/>
      <c r="L113" s="177">
        <f>CHOOSE(Basis!$E$1,((AJ113*(J113*3600/Basis!$E$5)^AK113*(((MID(C113,9,3)*10)-144)/1000)*AL113+AM113*(J113*3600/Basis!$E$5)^2)*0.0098)/Basis!$E$10,((AJ113*(J113/Basis!$E$5)^AK113*(((MID(C113,9,3)*10)-144)/1000)*AL113+AM113*(J113/Basis!$E$5)^2)*0.0098)/Basis!$E$10)</f>
        <v>1.5972895058024371E-2</v>
      </c>
      <c r="M113" s="85"/>
      <c r="N113" s="109">
        <v>1.44</v>
      </c>
      <c r="O113" s="68"/>
      <c r="P113" s="67">
        <v>1345</v>
      </c>
      <c r="Q113" s="68"/>
      <c r="R113" s="69"/>
      <c r="S113" s="69"/>
      <c r="T113" s="69"/>
      <c r="U113" s="69"/>
      <c r="V113" s="69"/>
      <c r="W113" s="68"/>
      <c r="X113" s="70"/>
      <c r="Y113" s="70"/>
      <c r="Z113" s="70"/>
      <c r="AA113" s="70"/>
      <c r="AB113" s="70"/>
      <c r="AC113" s="68"/>
      <c r="AD113" s="71"/>
      <c r="AE113" s="71"/>
      <c r="AF113" s="71"/>
      <c r="AG113" s="71"/>
      <c r="AH113" s="71"/>
      <c r="AI113" s="68"/>
      <c r="AJ113" s="214">
        <v>3.9689999999999994E-4</v>
      </c>
      <c r="AK113" s="214">
        <v>1.7345999999999999</v>
      </c>
      <c r="AL113" s="214">
        <v>4</v>
      </c>
      <c r="AM113" s="214">
        <v>5.7428799999999995E-4</v>
      </c>
      <c r="AN113" s="68"/>
      <c r="AO113" s="67"/>
      <c r="AP113" s="67"/>
      <c r="AQ113" s="67"/>
      <c r="AR113" s="67"/>
      <c r="AS113" s="67"/>
      <c r="AT113" s="68"/>
      <c r="AU113" s="49"/>
      <c r="AV113" s="50"/>
    </row>
    <row r="114" spans="1:48" ht="12.75" customHeight="1" x14ac:dyDescent="0.25">
      <c r="A114" s="72" t="s">
        <v>23</v>
      </c>
      <c r="B114" s="43" t="s">
        <v>159</v>
      </c>
      <c r="C114" s="44" t="s">
        <v>264</v>
      </c>
      <c r="D114" s="45">
        <f>MROUND(MID($C114,6,3)/Basis!$E$3,0.5)</f>
        <v>12</v>
      </c>
      <c r="E114" s="45">
        <f>MROUND(MID($C114,9,3)/Basis!$E$3,0.5)</f>
        <v>47</v>
      </c>
      <c r="F114" s="124" t="s">
        <v>2944</v>
      </c>
      <c r="G114" s="45">
        <f>ROUND((ROUNDDOWN($F114/5,0)*5+1.8)/Basis!$E$3,1)</f>
        <v>6.6</v>
      </c>
      <c r="H114" s="120">
        <f>ROUND($P114*Basis!$E$2*((TaH-TrH)/LN(1/µ)/Basis!$E$7)^$N114*$AA$4*Glycol,0)</f>
        <v>3511</v>
      </c>
      <c r="I114" s="83">
        <f>ROUND(H114/(MID($C114,9,3)/Basis!$E$3/Basis!$E$9)*Basis!$E$11,0)</f>
        <v>892</v>
      </c>
      <c r="J114" s="123">
        <f>IF(Basis!$E$1=1,ROUND(H114/((TaH-TrH)*1.163)/3600,3),ROUND(H114/(500*(TaH-TrH)),2))</f>
        <v>0.35</v>
      </c>
      <c r="K114" s="84"/>
      <c r="L114" s="177">
        <f>CHOOSE(Basis!$E$1,((AJ114*(J114*3600/Basis!$E$5)^AK114*(((MID(C114,9,3)*10)-144)/1000)*AL114+AM114*(J114*3600/Basis!$E$5)^2)*0.0098)/Basis!$E$10,((AJ114*(J114/Basis!$E$5)^AK114*(((MID(C114,9,3)*10)-144)/1000)*AL114+AM114*(J114/Basis!$E$5)^2)*0.0098)/Basis!$E$10)</f>
        <v>1.2259219341914667E-2</v>
      </c>
      <c r="M114" s="85"/>
      <c r="N114" s="109">
        <v>1.3959999999999999</v>
      </c>
      <c r="O114" s="68"/>
      <c r="P114" s="67">
        <v>1631</v>
      </c>
      <c r="Q114" s="68"/>
      <c r="R114" s="69"/>
      <c r="S114" s="69"/>
      <c r="T114" s="69"/>
      <c r="U114" s="69"/>
      <c r="V114" s="69"/>
      <c r="W114" s="68"/>
      <c r="X114" s="70"/>
      <c r="Y114" s="70"/>
      <c r="Z114" s="70"/>
      <c r="AA114" s="70"/>
      <c r="AB114" s="70"/>
      <c r="AC114" s="68"/>
      <c r="AD114" s="71"/>
      <c r="AE114" s="71"/>
      <c r="AF114" s="71"/>
      <c r="AG114" s="71"/>
      <c r="AH114" s="71"/>
      <c r="AI114" s="68"/>
      <c r="AJ114" s="214">
        <v>2.0829999999999999E-4</v>
      </c>
      <c r="AK114" s="214">
        <v>1.724</v>
      </c>
      <c r="AL114" s="214">
        <v>2</v>
      </c>
      <c r="AM114" s="214">
        <v>4.6182900000000003E-4</v>
      </c>
      <c r="AN114" s="68"/>
      <c r="AO114" s="67"/>
      <c r="AP114" s="67"/>
      <c r="AQ114" s="67"/>
      <c r="AR114" s="67"/>
      <c r="AS114" s="67"/>
      <c r="AT114" s="68"/>
      <c r="AU114" s="49"/>
      <c r="AV114" s="50"/>
    </row>
    <row r="115" spans="1:48" ht="12.75" customHeight="1" x14ac:dyDescent="0.25">
      <c r="A115" s="72" t="s">
        <v>23</v>
      </c>
      <c r="B115" s="43" t="s">
        <v>159</v>
      </c>
      <c r="C115" s="44" t="s">
        <v>265</v>
      </c>
      <c r="D115" s="45">
        <f>MROUND(MID($C115,6,3)/Basis!$E$3,0.5)</f>
        <v>12</v>
      </c>
      <c r="E115" s="45">
        <f>MROUND(MID($C115,9,3)/Basis!$E$3,0.5)</f>
        <v>47</v>
      </c>
      <c r="F115" s="124" t="s">
        <v>2947</v>
      </c>
      <c r="G115" s="45">
        <f>ROUND((ROUNDDOWN($F115/5,0)*5+1.8)/Basis!$E$3,1)</f>
        <v>6.6</v>
      </c>
      <c r="H115" s="120">
        <f>ROUND($P115*Basis!$E$2*((TaH-TrH)/LN(1/µ)/Basis!$E$7)^$N115*$AA$4*Glycol,0)</f>
        <v>3748</v>
      </c>
      <c r="I115" s="83">
        <f>ROUND(H115/(MID($C115,9,3)/Basis!$E$3/Basis!$E$9)*Basis!$E$11,0)</f>
        <v>952</v>
      </c>
      <c r="J115" s="123">
        <f>IF(Basis!$E$1=1,ROUND(H115/((TaH-TrH)*1.163)/3600,3),ROUND(H115/(500*(TaH-TrH)),2))</f>
        <v>0.37</v>
      </c>
      <c r="K115" s="84"/>
      <c r="L115" s="177">
        <f>CHOOSE(Basis!$E$1,((AJ115*(J115*3600/Basis!$E$5)^AK115*(((MID(C115,9,3)*10)-144)/1000)*AL115+AM115*(J115*3600/Basis!$E$5)^2)*0.0098)/Basis!$E$10,((AJ115*(J115/Basis!$E$5)^AK115*(((MID(C115,9,3)*10)-144)/1000)*AL115+AM115*(J115/Basis!$E$5)^2)*0.0098)/Basis!$E$10)</f>
        <v>3.8141013604627322E-2</v>
      </c>
      <c r="M115" s="85"/>
      <c r="N115" s="110">
        <v>1.456</v>
      </c>
      <c r="O115" s="74"/>
      <c r="P115" s="73">
        <v>1776</v>
      </c>
      <c r="Q115" s="74"/>
      <c r="R115" s="75"/>
      <c r="S115" s="75"/>
      <c r="T115" s="75"/>
      <c r="U115" s="75"/>
      <c r="V115" s="75"/>
      <c r="W115" s="74"/>
      <c r="X115" s="76"/>
      <c r="Y115" s="76"/>
      <c r="Z115" s="76"/>
      <c r="AA115" s="76"/>
      <c r="AB115" s="76"/>
      <c r="AC115" s="74"/>
      <c r="AD115" s="77"/>
      <c r="AE115" s="77"/>
      <c r="AF115" s="77"/>
      <c r="AG115" s="77"/>
      <c r="AH115" s="77"/>
      <c r="AI115" s="68"/>
      <c r="AJ115" s="213">
        <v>2.0829999999999999E-4</v>
      </c>
      <c r="AK115" s="213">
        <v>1.724</v>
      </c>
      <c r="AL115" s="213">
        <v>4</v>
      </c>
      <c r="AM115" s="213">
        <v>1.392796E-3</v>
      </c>
      <c r="AN115" s="74"/>
      <c r="AO115" s="73"/>
      <c r="AP115" s="73"/>
      <c r="AQ115" s="73"/>
      <c r="AR115" s="73"/>
      <c r="AS115" s="73"/>
      <c r="AT115" s="74"/>
      <c r="AU115" s="47"/>
      <c r="AV115" s="48"/>
    </row>
    <row r="116" spans="1:48" ht="12.75" customHeight="1" x14ac:dyDescent="0.25">
      <c r="A116" s="72" t="s">
        <v>23</v>
      </c>
      <c r="B116" s="43" t="s">
        <v>159</v>
      </c>
      <c r="C116" s="44" t="s">
        <v>266</v>
      </c>
      <c r="D116" s="45">
        <f>MROUND(MID($C116,6,3)/Basis!$E$3,0.5)</f>
        <v>12</v>
      </c>
      <c r="E116" s="45">
        <f>MROUND(MID($C116,9,3)/Basis!$E$3,0.5)</f>
        <v>47</v>
      </c>
      <c r="F116" s="124" t="s">
        <v>2945</v>
      </c>
      <c r="G116" s="45">
        <f>ROUND((ROUNDDOWN($F116/5,0)*5+1.8)/Basis!$E$3,1)</f>
        <v>8.6</v>
      </c>
      <c r="H116" s="120">
        <f>ROUND($P116*Basis!$E$2*((TaH-TrH)/LN(1/µ)/Basis!$E$7)^$N116*$AA$4*Glycol,0)</f>
        <v>4923</v>
      </c>
      <c r="I116" s="83">
        <f>ROUND(H116/(MID($C116,9,3)/Basis!$E$3/Basis!$E$9)*Basis!$E$11,0)</f>
        <v>1250</v>
      </c>
      <c r="J116" s="123">
        <f>IF(Basis!$E$1=1,ROUND(H116/((TaH-TrH)*1.163)/3600,3),ROUND(H116/(500*(TaH-TrH)),2))</f>
        <v>0.49</v>
      </c>
      <c r="K116" s="84"/>
      <c r="L116" s="177">
        <f>CHOOSE(Basis!$E$1,((AJ116*(J116*3600/Basis!$E$5)^AK116*(((MID(C116,9,3)*10)-144)/1000)*AL116+AM116*(J116*3600/Basis!$E$5)^2)*0.0098)/Basis!$E$10,((AJ116*(J116/Basis!$E$5)^AK116*(((MID(C116,9,3)*10)-144)/1000)*AL116+AM116*(J116/Basis!$E$5)^2)*0.0098)/Basis!$E$10)</f>
        <v>1.8195327753813578E-2</v>
      </c>
      <c r="M116" s="85"/>
      <c r="N116" s="110">
        <v>1.3959999999999999</v>
      </c>
      <c r="O116" s="74"/>
      <c r="P116" s="73">
        <v>2287</v>
      </c>
      <c r="Q116" s="74"/>
      <c r="R116" s="75"/>
      <c r="S116" s="75"/>
      <c r="T116" s="75"/>
      <c r="U116" s="75"/>
      <c r="V116" s="75"/>
      <c r="W116" s="74"/>
      <c r="X116" s="76"/>
      <c r="Y116" s="76"/>
      <c r="Z116" s="76"/>
      <c r="AA116" s="76"/>
      <c r="AB116" s="76"/>
      <c r="AC116" s="74"/>
      <c r="AD116" s="77"/>
      <c r="AE116" s="77"/>
      <c r="AF116" s="77"/>
      <c r="AG116" s="77"/>
      <c r="AH116" s="77"/>
      <c r="AI116" s="68"/>
      <c r="AJ116" s="213">
        <v>1.2760000000000001E-4</v>
      </c>
      <c r="AK116" s="213">
        <v>1.7219</v>
      </c>
      <c r="AL116" s="213">
        <v>2</v>
      </c>
      <c r="AM116" s="213">
        <v>3.76611E-4</v>
      </c>
      <c r="AN116" s="74"/>
      <c r="AO116" s="73"/>
      <c r="AP116" s="73"/>
      <c r="AQ116" s="73"/>
      <c r="AR116" s="73"/>
      <c r="AS116" s="73"/>
      <c r="AT116" s="74"/>
      <c r="AU116" s="47"/>
      <c r="AV116" s="48"/>
    </row>
    <row r="117" spans="1:48" ht="12.75" customHeight="1" x14ac:dyDescent="0.25">
      <c r="A117" s="72" t="s">
        <v>23</v>
      </c>
      <c r="B117" s="43" t="s">
        <v>159</v>
      </c>
      <c r="C117" s="44" t="s">
        <v>267</v>
      </c>
      <c r="D117" s="45">
        <f>MROUND(MID($C117,6,3)/Basis!$E$3,0.5)</f>
        <v>12</v>
      </c>
      <c r="E117" s="45">
        <f>MROUND(MID($C117,9,3)/Basis!$E$3,0.5)</f>
        <v>47</v>
      </c>
      <c r="F117" s="124" t="s">
        <v>2948</v>
      </c>
      <c r="G117" s="45">
        <f>ROUND((ROUNDDOWN($F117/5,0)*5+1.8)/Basis!$E$3,1)</f>
        <v>8.6</v>
      </c>
      <c r="H117" s="120">
        <f>ROUND($P117*Basis!$E$2*((TaH-TrH)/LN(1/µ)/Basis!$E$7)^$N117*$AA$4*Glycol,0)</f>
        <v>4914</v>
      </c>
      <c r="I117" s="83">
        <f>ROUND(H117/(MID($C117,9,3)/Basis!$E$3/Basis!$E$9)*Basis!$E$11,0)</f>
        <v>1248</v>
      </c>
      <c r="J117" s="123">
        <f>IF(Basis!$E$1=1,ROUND(H117/((TaH-TrH)*1.163)/3600,3),ROUND(H117/(500*(TaH-TrH)),2))</f>
        <v>0.49</v>
      </c>
      <c r="K117" s="84"/>
      <c r="L117" s="177">
        <f>CHOOSE(Basis!$E$1,((AJ117*(J117*3600/Basis!$E$5)^AK117*(((MID(C117,9,3)*10)-144)/1000)*AL117+AM117*(J117*3600/Basis!$E$5)^2)*0.0098)/Basis!$E$10,((AJ117*(J117/Basis!$E$5)^AK117*(((MID(C117,9,3)*10)-144)/1000)*AL117+AM117*(J117/Basis!$E$5)^2)*0.0098)/Basis!$E$10)</f>
        <v>2.6710860132397408E-2</v>
      </c>
      <c r="M117" s="85"/>
      <c r="N117" s="109">
        <v>1.468</v>
      </c>
      <c r="O117" s="68"/>
      <c r="P117" s="67">
        <v>2338</v>
      </c>
      <c r="Q117" s="68"/>
      <c r="R117" s="69"/>
      <c r="S117" s="69"/>
      <c r="T117" s="69"/>
      <c r="U117" s="69"/>
      <c r="V117" s="69"/>
      <c r="W117" s="68"/>
      <c r="X117" s="70"/>
      <c r="Y117" s="70"/>
      <c r="Z117" s="70"/>
      <c r="AA117" s="70"/>
      <c r="AB117" s="70"/>
      <c r="AC117" s="68"/>
      <c r="AD117" s="71"/>
      <c r="AE117" s="71"/>
      <c r="AF117" s="71"/>
      <c r="AG117" s="71"/>
      <c r="AH117" s="71"/>
      <c r="AI117" s="68"/>
      <c r="AJ117" s="214">
        <v>1.2760000000000001E-4</v>
      </c>
      <c r="AK117" s="214">
        <v>1.7219</v>
      </c>
      <c r="AL117" s="214">
        <v>4</v>
      </c>
      <c r="AM117" s="214">
        <v>5.1420100000000005E-4</v>
      </c>
      <c r="AN117" s="68"/>
      <c r="AO117" s="67"/>
      <c r="AP117" s="67"/>
      <c r="AQ117" s="67"/>
      <c r="AR117" s="67"/>
      <c r="AS117" s="67"/>
      <c r="AT117" s="68"/>
      <c r="AU117" s="49"/>
      <c r="AV117" s="50"/>
    </row>
    <row r="118" spans="1:48" ht="12.75" customHeight="1" x14ac:dyDescent="0.25">
      <c r="A118" s="72" t="s">
        <v>23</v>
      </c>
      <c r="B118" s="43" t="s">
        <v>159</v>
      </c>
      <c r="C118" s="44" t="s">
        <v>268</v>
      </c>
      <c r="D118" s="45">
        <f>MROUND(MID($C118,6,3)/Basis!$E$3,0.5)</f>
        <v>12</v>
      </c>
      <c r="E118" s="45">
        <f>MROUND(MID($C118,9,3)/Basis!$E$3,0.5)</f>
        <v>55</v>
      </c>
      <c r="F118" s="124" t="s">
        <v>2943</v>
      </c>
      <c r="G118" s="45">
        <f>ROUND((ROUNDDOWN($F118/5,0)*5+1.8)/Basis!$E$3,1)</f>
        <v>4.5999999999999996</v>
      </c>
      <c r="H118" s="120">
        <f>ROUND($P118*Basis!$E$2*((TaH-TrH)/LN(1/µ)/Basis!$E$7)^$N118*$AA$4*Glycol,0)</f>
        <v>2482</v>
      </c>
      <c r="I118" s="83">
        <f>ROUND(H118/(MID($C118,9,3)/Basis!$E$3/Basis!$E$9)*Basis!$E$11,0)</f>
        <v>540</v>
      </c>
      <c r="J118" s="123">
        <f>IF(Basis!$E$1=1,ROUND(H118/((TaH-TrH)*1.163)/3600,3),ROUND(H118/(500*(TaH-TrH)),2))</f>
        <v>0.25</v>
      </c>
      <c r="K118" s="84"/>
      <c r="L118" s="177">
        <f>CHOOSE(Basis!$E$1,((AJ118*(J118*3600/Basis!$E$5)^AK118*(((MID(C118,9,3)*10)-144)/1000)*AL118+AM118*(J118*3600/Basis!$E$5)^2)*0.0098)/Basis!$E$10,((AJ118*(J118/Basis!$E$5)^AK118*(((MID(C118,9,3)*10)-144)/1000)*AL118+AM118*(J118/Basis!$E$5)^2)*0.0098)/Basis!$E$10)</f>
        <v>7.470487167965425E-3</v>
      </c>
      <c r="M118" s="85"/>
      <c r="N118" s="109">
        <v>1.403</v>
      </c>
      <c r="O118" s="68"/>
      <c r="P118" s="67">
        <v>1156</v>
      </c>
      <c r="Q118" s="68"/>
      <c r="R118" s="69"/>
      <c r="S118" s="69"/>
      <c r="T118" s="69"/>
      <c r="U118" s="69"/>
      <c r="V118" s="69"/>
      <c r="W118" s="68"/>
      <c r="X118" s="70"/>
      <c r="Y118" s="70"/>
      <c r="Z118" s="70"/>
      <c r="AA118" s="70"/>
      <c r="AB118" s="70"/>
      <c r="AC118" s="68"/>
      <c r="AD118" s="71"/>
      <c r="AE118" s="71"/>
      <c r="AF118" s="71"/>
      <c r="AG118" s="71"/>
      <c r="AH118" s="71"/>
      <c r="AI118" s="68"/>
      <c r="AJ118" s="214">
        <v>3.9689999999999994E-4</v>
      </c>
      <c r="AK118" s="214">
        <v>1.7345999999999999</v>
      </c>
      <c r="AL118" s="214">
        <v>2</v>
      </c>
      <c r="AM118" s="214">
        <v>3.6734700000000002E-4</v>
      </c>
      <c r="AN118" s="68"/>
      <c r="AO118" s="67"/>
      <c r="AP118" s="67"/>
      <c r="AQ118" s="67"/>
      <c r="AR118" s="67"/>
      <c r="AS118" s="67"/>
      <c r="AT118" s="68"/>
      <c r="AU118" s="49"/>
      <c r="AV118" s="50"/>
    </row>
    <row r="119" spans="1:48" ht="12.75" customHeight="1" x14ac:dyDescent="0.25">
      <c r="A119" s="72" t="s">
        <v>23</v>
      </c>
      <c r="B119" s="43" t="s">
        <v>159</v>
      </c>
      <c r="C119" s="44" t="s">
        <v>269</v>
      </c>
      <c r="D119" s="45">
        <f>MROUND(MID($C119,6,3)/Basis!$E$3,0.5)</f>
        <v>12</v>
      </c>
      <c r="E119" s="45">
        <f>MROUND(MID($C119,9,3)/Basis!$E$3,0.5)</f>
        <v>55</v>
      </c>
      <c r="F119" s="124" t="s">
        <v>2946</v>
      </c>
      <c r="G119" s="45">
        <f>ROUND((ROUNDDOWN($F119/5,0)*5+1.8)/Basis!$E$3,1)</f>
        <v>4.5999999999999996</v>
      </c>
      <c r="H119" s="120">
        <f>ROUND($P119*Basis!$E$2*((TaH-TrH)/LN(1/µ)/Basis!$E$7)^$N119*$AA$4*Glycol,0)</f>
        <v>3328</v>
      </c>
      <c r="I119" s="83">
        <f>ROUND(H119/(MID($C119,9,3)/Basis!$E$3/Basis!$E$9)*Basis!$E$11,0)</f>
        <v>725</v>
      </c>
      <c r="J119" s="123">
        <f>IF(Basis!$E$1=1,ROUND(H119/((TaH-TrH)*1.163)/3600,3),ROUND(H119/(500*(TaH-TrH)),2))</f>
        <v>0.33</v>
      </c>
      <c r="K119" s="84"/>
      <c r="L119" s="177">
        <f>CHOOSE(Basis!$E$1,((AJ119*(J119*3600/Basis!$E$5)^AK119*(((MID(C119,9,3)*10)-144)/1000)*AL119+AM119*(J119*3600/Basis!$E$5)^2)*0.0098)/Basis!$E$10,((AJ119*(J119/Basis!$E$5)^AK119*(((MID(C119,9,3)*10)-144)/1000)*AL119+AM119*(J119/Basis!$E$5)^2)*0.0098)/Basis!$E$10)</f>
        <v>2.2196149154387328E-2</v>
      </c>
      <c r="M119" s="85"/>
      <c r="N119" s="110">
        <v>1.44</v>
      </c>
      <c r="O119" s="74"/>
      <c r="P119" s="73">
        <v>1569</v>
      </c>
      <c r="Q119" s="74"/>
      <c r="R119" s="75"/>
      <c r="S119" s="75"/>
      <c r="T119" s="75"/>
      <c r="U119" s="75"/>
      <c r="V119" s="75"/>
      <c r="W119" s="74"/>
      <c r="X119" s="76"/>
      <c r="Y119" s="76"/>
      <c r="Z119" s="76"/>
      <c r="AA119" s="76"/>
      <c r="AB119" s="76"/>
      <c r="AC119" s="74"/>
      <c r="AD119" s="77"/>
      <c r="AE119" s="77"/>
      <c r="AF119" s="77"/>
      <c r="AG119" s="77"/>
      <c r="AH119" s="77"/>
      <c r="AI119" s="68"/>
      <c r="AJ119" s="213">
        <v>3.9689999999999994E-4</v>
      </c>
      <c r="AK119" s="213">
        <v>1.7345999999999999</v>
      </c>
      <c r="AL119" s="213">
        <v>4</v>
      </c>
      <c r="AM119" s="213">
        <v>5.7428799999999995E-4</v>
      </c>
      <c r="AN119" s="74"/>
      <c r="AO119" s="73"/>
      <c r="AP119" s="73"/>
      <c r="AQ119" s="73"/>
      <c r="AR119" s="73"/>
      <c r="AS119" s="73"/>
      <c r="AT119" s="74"/>
      <c r="AU119" s="47"/>
      <c r="AV119" s="48"/>
    </row>
    <row r="120" spans="1:48" ht="12.75" customHeight="1" x14ac:dyDescent="0.25">
      <c r="A120" s="72" t="s">
        <v>23</v>
      </c>
      <c r="B120" s="43" t="s">
        <v>159</v>
      </c>
      <c r="C120" s="44" t="s">
        <v>270</v>
      </c>
      <c r="D120" s="45">
        <f>MROUND(MID($C120,6,3)/Basis!$E$3,0.5)</f>
        <v>12</v>
      </c>
      <c r="E120" s="45">
        <f>MROUND(MID($C120,9,3)/Basis!$E$3,0.5)</f>
        <v>55</v>
      </c>
      <c r="F120" s="124" t="s">
        <v>2944</v>
      </c>
      <c r="G120" s="45">
        <f>ROUND((ROUNDDOWN($F120/5,0)*5+1.8)/Basis!$E$3,1)</f>
        <v>6.6</v>
      </c>
      <c r="H120" s="120">
        <f>ROUND($P120*Basis!$E$2*((TaH-TrH)/LN(1/µ)/Basis!$E$7)^$N120*$AA$4*Glycol,0)</f>
        <v>4096</v>
      </c>
      <c r="I120" s="83">
        <f>ROUND(H120/(MID($C120,9,3)/Basis!$E$3/Basis!$E$9)*Basis!$E$11,0)</f>
        <v>892</v>
      </c>
      <c r="J120" s="123">
        <f>IF(Basis!$E$1=1,ROUND(H120/((TaH-TrH)*1.163)/3600,3),ROUND(H120/(500*(TaH-TrH)),2))</f>
        <v>0.41</v>
      </c>
      <c r="K120" s="84"/>
      <c r="L120" s="177">
        <f>CHOOSE(Basis!$E$1,((AJ120*(J120*3600/Basis!$E$5)^AK120*(((MID(C120,9,3)*10)-144)/1000)*AL120+AM120*(J120*3600/Basis!$E$5)^2)*0.0098)/Basis!$E$10,((AJ120*(J120/Basis!$E$5)^AK120*(((MID(C120,9,3)*10)-144)/1000)*AL120+AM120*(J120/Basis!$E$5)^2)*0.0098)/Basis!$E$10)</f>
        <v>1.7339273774944861E-2</v>
      </c>
      <c r="M120" s="85"/>
      <c r="N120" s="110">
        <v>1.3959999999999999</v>
      </c>
      <c r="O120" s="74"/>
      <c r="P120" s="73">
        <v>1903</v>
      </c>
      <c r="Q120" s="74"/>
      <c r="R120" s="75"/>
      <c r="S120" s="75"/>
      <c r="T120" s="75"/>
      <c r="U120" s="75"/>
      <c r="V120" s="75"/>
      <c r="W120" s="74"/>
      <c r="X120" s="76"/>
      <c r="Y120" s="76"/>
      <c r="Z120" s="76"/>
      <c r="AA120" s="76"/>
      <c r="AB120" s="76"/>
      <c r="AC120" s="74"/>
      <c r="AD120" s="77"/>
      <c r="AE120" s="77"/>
      <c r="AF120" s="77"/>
      <c r="AG120" s="77"/>
      <c r="AH120" s="77"/>
      <c r="AI120" s="68"/>
      <c r="AJ120" s="213">
        <v>2.0829999999999999E-4</v>
      </c>
      <c r="AK120" s="213">
        <v>1.724</v>
      </c>
      <c r="AL120" s="213">
        <v>2</v>
      </c>
      <c r="AM120" s="213">
        <v>4.6182900000000003E-4</v>
      </c>
      <c r="AN120" s="74"/>
      <c r="AO120" s="73"/>
      <c r="AP120" s="73"/>
      <c r="AQ120" s="73"/>
      <c r="AR120" s="73"/>
      <c r="AS120" s="73"/>
      <c r="AT120" s="74"/>
      <c r="AU120" s="47"/>
      <c r="AV120" s="48"/>
    </row>
    <row r="121" spans="1:48" ht="12.75" customHeight="1" x14ac:dyDescent="0.25">
      <c r="A121" s="72" t="s">
        <v>23</v>
      </c>
      <c r="B121" s="43" t="s">
        <v>159</v>
      </c>
      <c r="C121" s="44" t="s">
        <v>271</v>
      </c>
      <c r="D121" s="45">
        <f>MROUND(MID($C121,6,3)/Basis!$E$3,0.5)</f>
        <v>12</v>
      </c>
      <c r="E121" s="45">
        <f>MROUND(MID($C121,9,3)/Basis!$E$3,0.5)</f>
        <v>55</v>
      </c>
      <c r="F121" s="124" t="s">
        <v>2947</v>
      </c>
      <c r="G121" s="45">
        <f>ROUND((ROUNDDOWN($F121/5,0)*5+1.8)/Basis!$E$3,1)</f>
        <v>6.6</v>
      </c>
      <c r="H121" s="120">
        <f>ROUND($P121*Basis!$E$2*((TaH-TrH)/LN(1/µ)/Basis!$E$7)^$N121*$AA$4*Glycol,0)</f>
        <v>4372</v>
      </c>
      <c r="I121" s="83">
        <f>ROUND(H121/(MID($C121,9,3)/Basis!$E$3/Basis!$E$9)*Basis!$E$11,0)</f>
        <v>952</v>
      </c>
      <c r="J121" s="123">
        <f>IF(Basis!$E$1=1,ROUND(H121/((TaH-TrH)*1.163)/3600,3),ROUND(H121/(500*(TaH-TrH)),2))</f>
        <v>0.44</v>
      </c>
      <c r="K121" s="84"/>
      <c r="L121" s="177">
        <f>CHOOSE(Basis!$E$1,((AJ121*(J121*3600/Basis!$E$5)^AK121*(((MID(C121,9,3)*10)-144)/1000)*AL121+AM121*(J121*3600/Basis!$E$5)^2)*0.0098)/Basis!$E$10,((AJ121*(J121/Basis!$E$5)^AK121*(((MID(C121,9,3)*10)-144)/1000)*AL121+AM121*(J121/Basis!$E$5)^2)*0.0098)/Basis!$E$10)</f>
        <v>5.5069877753166956E-2</v>
      </c>
      <c r="M121" s="85"/>
      <c r="N121" s="109">
        <v>1.456</v>
      </c>
      <c r="O121" s="68"/>
      <c r="P121" s="67">
        <v>2072</v>
      </c>
      <c r="Q121" s="68"/>
      <c r="R121" s="69"/>
      <c r="S121" s="69"/>
      <c r="T121" s="69"/>
      <c r="U121" s="69"/>
      <c r="V121" s="69"/>
      <c r="W121" s="68"/>
      <c r="X121" s="70"/>
      <c r="Y121" s="70"/>
      <c r="Z121" s="70"/>
      <c r="AA121" s="70"/>
      <c r="AB121" s="70"/>
      <c r="AC121" s="68"/>
      <c r="AD121" s="71"/>
      <c r="AE121" s="71"/>
      <c r="AF121" s="71"/>
      <c r="AG121" s="71"/>
      <c r="AH121" s="71"/>
      <c r="AI121" s="68"/>
      <c r="AJ121" s="214">
        <v>2.0829999999999999E-4</v>
      </c>
      <c r="AK121" s="214">
        <v>1.724</v>
      </c>
      <c r="AL121" s="214">
        <v>4</v>
      </c>
      <c r="AM121" s="214">
        <v>1.392796E-3</v>
      </c>
      <c r="AN121" s="68"/>
      <c r="AO121" s="67"/>
      <c r="AP121" s="67"/>
      <c r="AQ121" s="67"/>
      <c r="AR121" s="67"/>
      <c r="AS121" s="67"/>
      <c r="AT121" s="68"/>
      <c r="AU121" s="49"/>
      <c r="AV121" s="50"/>
    </row>
    <row r="122" spans="1:48" ht="12.75" customHeight="1" x14ac:dyDescent="0.25">
      <c r="A122" s="72" t="s">
        <v>23</v>
      </c>
      <c r="B122" s="43" t="s">
        <v>159</v>
      </c>
      <c r="C122" s="44" t="s">
        <v>272</v>
      </c>
      <c r="D122" s="45">
        <f>MROUND(MID($C122,6,3)/Basis!$E$3,0.5)</f>
        <v>12</v>
      </c>
      <c r="E122" s="45">
        <f>MROUND(MID($C122,9,3)/Basis!$E$3,0.5)</f>
        <v>55</v>
      </c>
      <c r="F122" s="124" t="s">
        <v>2945</v>
      </c>
      <c r="G122" s="45">
        <f>ROUND((ROUNDDOWN($F122/5,0)*5+1.8)/Basis!$E$3,1)</f>
        <v>8.6</v>
      </c>
      <c r="H122" s="120">
        <f>ROUND($P122*Basis!$E$2*((TaH-TrH)/LN(1/µ)/Basis!$E$7)^$N122*$AA$4*Glycol,0)</f>
        <v>5743</v>
      </c>
      <c r="I122" s="83">
        <f>ROUND(H122/(MID($C122,9,3)/Basis!$E$3/Basis!$E$9)*Basis!$E$11,0)</f>
        <v>1250</v>
      </c>
      <c r="J122" s="123">
        <f>IF(Basis!$E$1=1,ROUND(H122/((TaH-TrH)*1.163)/3600,3),ROUND(H122/(500*(TaH-TrH)),2))</f>
        <v>0.56999999999999995</v>
      </c>
      <c r="K122" s="84"/>
      <c r="L122" s="177">
        <f>CHOOSE(Basis!$E$1,((AJ122*(J122*3600/Basis!$E$5)^AK122*(((MID(C122,9,3)*10)-144)/1000)*AL122+AM122*(J122*3600/Basis!$E$5)^2)*0.0098)/Basis!$E$10,((AJ122*(J122/Basis!$E$5)^AK122*(((MID(C122,9,3)*10)-144)/1000)*AL122+AM122*(J122/Basis!$E$5)^2)*0.0098)/Basis!$E$10)</f>
        <v>2.5180919407837499E-2</v>
      </c>
      <c r="M122" s="85"/>
      <c r="N122" s="109">
        <v>1.3959999999999999</v>
      </c>
      <c r="O122" s="68"/>
      <c r="P122" s="67">
        <v>2668</v>
      </c>
      <c r="Q122" s="68"/>
      <c r="R122" s="69"/>
      <c r="S122" s="69"/>
      <c r="T122" s="69"/>
      <c r="U122" s="69"/>
      <c r="V122" s="69"/>
      <c r="W122" s="68"/>
      <c r="X122" s="70"/>
      <c r="Y122" s="70"/>
      <c r="Z122" s="70"/>
      <c r="AA122" s="70"/>
      <c r="AB122" s="70"/>
      <c r="AC122" s="68"/>
      <c r="AD122" s="71"/>
      <c r="AE122" s="71"/>
      <c r="AF122" s="71"/>
      <c r="AG122" s="71"/>
      <c r="AH122" s="71"/>
      <c r="AI122" s="68"/>
      <c r="AJ122" s="214">
        <v>1.2760000000000001E-4</v>
      </c>
      <c r="AK122" s="214">
        <v>1.7219</v>
      </c>
      <c r="AL122" s="214">
        <v>2</v>
      </c>
      <c r="AM122" s="214">
        <v>3.76611E-4</v>
      </c>
      <c r="AN122" s="68"/>
      <c r="AO122" s="67"/>
      <c r="AP122" s="67"/>
      <c r="AQ122" s="67"/>
      <c r="AR122" s="67"/>
      <c r="AS122" s="67"/>
      <c r="AT122" s="68"/>
      <c r="AU122" s="49"/>
      <c r="AV122" s="50"/>
    </row>
    <row r="123" spans="1:48" ht="12.75" customHeight="1" x14ac:dyDescent="0.25">
      <c r="A123" s="72" t="s">
        <v>23</v>
      </c>
      <c r="B123" s="43" t="s">
        <v>159</v>
      </c>
      <c r="C123" s="44" t="s">
        <v>273</v>
      </c>
      <c r="D123" s="45">
        <f>MROUND(MID($C123,6,3)/Basis!$E$3,0.5)</f>
        <v>12</v>
      </c>
      <c r="E123" s="45">
        <f>MROUND(MID($C123,9,3)/Basis!$E$3,0.5)</f>
        <v>55</v>
      </c>
      <c r="F123" s="124" t="s">
        <v>2948</v>
      </c>
      <c r="G123" s="45">
        <f>ROUND((ROUNDDOWN($F123/5,0)*5+1.8)/Basis!$E$3,1)</f>
        <v>8.6</v>
      </c>
      <c r="H123" s="120">
        <f>ROUND($P123*Basis!$E$2*((TaH-TrH)/LN(1/µ)/Basis!$E$7)^$N123*$AA$4*Glycol,0)</f>
        <v>5732</v>
      </c>
      <c r="I123" s="83">
        <f>ROUND(H123/(MID($C123,9,3)/Basis!$E$3/Basis!$E$9)*Basis!$E$11,0)</f>
        <v>1248</v>
      </c>
      <c r="J123" s="123">
        <f>IF(Basis!$E$1=1,ROUND(H123/((TaH-TrH)*1.163)/3600,3),ROUND(H123/(500*(TaH-TrH)),2))</f>
        <v>0.56999999999999995</v>
      </c>
      <c r="K123" s="84"/>
      <c r="L123" s="177">
        <f>CHOOSE(Basis!$E$1,((AJ123*(J123*3600/Basis!$E$5)^AK123*(((MID(C123,9,3)*10)-144)/1000)*AL123+AM123*(J123*3600/Basis!$E$5)^2)*0.0098)/Basis!$E$10,((AJ123*(J123/Basis!$E$5)^AK123*(((MID(C123,9,3)*10)-144)/1000)*AL123+AM123*(J123/Basis!$E$5)^2)*0.0098)/Basis!$E$10)</f>
        <v>3.7263273561980101E-2</v>
      </c>
      <c r="M123" s="85"/>
      <c r="N123" s="110">
        <v>1.468</v>
      </c>
      <c r="O123" s="74"/>
      <c r="P123" s="73">
        <v>2727</v>
      </c>
      <c r="Q123" s="74"/>
      <c r="R123" s="75"/>
      <c r="S123" s="75"/>
      <c r="T123" s="75"/>
      <c r="U123" s="75"/>
      <c r="V123" s="75"/>
      <c r="W123" s="74"/>
      <c r="X123" s="76"/>
      <c r="Y123" s="76"/>
      <c r="Z123" s="76"/>
      <c r="AA123" s="76"/>
      <c r="AB123" s="76"/>
      <c r="AC123" s="74"/>
      <c r="AD123" s="77"/>
      <c r="AE123" s="77"/>
      <c r="AF123" s="77"/>
      <c r="AG123" s="77"/>
      <c r="AH123" s="77"/>
      <c r="AI123" s="68"/>
      <c r="AJ123" s="213">
        <v>1.2760000000000001E-4</v>
      </c>
      <c r="AK123" s="213">
        <v>1.7219</v>
      </c>
      <c r="AL123" s="213">
        <v>4</v>
      </c>
      <c r="AM123" s="213">
        <v>5.1420100000000005E-4</v>
      </c>
      <c r="AN123" s="74"/>
      <c r="AO123" s="73"/>
      <c r="AP123" s="73"/>
      <c r="AQ123" s="73"/>
      <c r="AR123" s="73"/>
      <c r="AS123" s="73"/>
      <c r="AT123" s="74"/>
      <c r="AU123" s="47"/>
      <c r="AV123" s="48"/>
    </row>
    <row r="124" spans="1:48" ht="12.75" customHeight="1" x14ac:dyDescent="0.25">
      <c r="A124" s="72" t="s">
        <v>23</v>
      </c>
      <c r="B124" s="43" t="s">
        <v>159</v>
      </c>
      <c r="C124" s="44" t="s">
        <v>274</v>
      </c>
      <c r="D124" s="45">
        <f>MROUND(MID($C124,6,3)/Basis!$E$3,0.5)</f>
        <v>12</v>
      </c>
      <c r="E124" s="45">
        <f>MROUND(MID($C124,9,3)/Basis!$E$3,0.5)</f>
        <v>63</v>
      </c>
      <c r="F124" s="124" t="s">
        <v>2943</v>
      </c>
      <c r="G124" s="45">
        <f>ROUND((ROUNDDOWN($F124/5,0)*5+1.8)/Basis!$E$3,1)</f>
        <v>4.5999999999999996</v>
      </c>
      <c r="H124" s="120">
        <f>ROUND($P124*Basis!$E$2*((TaH-TrH)/LN(1/µ)/Basis!$E$7)^$N124*$AA$4*Glycol,0)</f>
        <v>2839</v>
      </c>
      <c r="I124" s="83">
        <f>ROUND(H124/(MID($C124,9,3)/Basis!$E$3/Basis!$E$9)*Basis!$E$11,0)</f>
        <v>541</v>
      </c>
      <c r="J124" s="123">
        <f>IF(Basis!$E$1=1,ROUND(H124/((TaH-TrH)*1.163)/3600,3),ROUND(H124/(500*(TaH-TrH)),2))</f>
        <v>0.28000000000000003</v>
      </c>
      <c r="K124" s="84"/>
      <c r="L124" s="177">
        <f>CHOOSE(Basis!$E$1,((AJ124*(J124*3600/Basis!$E$5)^AK124*(((MID(C124,9,3)*10)-144)/1000)*AL124+AM124*(J124*3600/Basis!$E$5)^2)*0.0098)/Basis!$E$10,((AJ124*(J124/Basis!$E$5)^AK124*(((MID(C124,9,3)*10)-144)/1000)*AL124+AM124*(J124/Basis!$E$5)^2)*0.0098)/Basis!$E$10)</f>
        <v>9.9346336107036456E-3</v>
      </c>
      <c r="M124" s="85"/>
      <c r="N124" s="110">
        <v>1.403</v>
      </c>
      <c r="O124" s="74"/>
      <c r="P124" s="73">
        <v>1322</v>
      </c>
      <c r="Q124" s="74"/>
      <c r="R124" s="75"/>
      <c r="S124" s="75"/>
      <c r="T124" s="75"/>
      <c r="U124" s="75"/>
      <c r="V124" s="75"/>
      <c r="W124" s="74"/>
      <c r="X124" s="76"/>
      <c r="Y124" s="76"/>
      <c r="Z124" s="76"/>
      <c r="AA124" s="76"/>
      <c r="AB124" s="76"/>
      <c r="AC124" s="74"/>
      <c r="AD124" s="77"/>
      <c r="AE124" s="77"/>
      <c r="AF124" s="77"/>
      <c r="AG124" s="77"/>
      <c r="AH124" s="77"/>
      <c r="AI124" s="68"/>
      <c r="AJ124" s="213">
        <v>3.9689999999999994E-4</v>
      </c>
      <c r="AK124" s="213">
        <v>1.7345999999999999</v>
      </c>
      <c r="AL124" s="213">
        <v>2</v>
      </c>
      <c r="AM124" s="213">
        <v>3.6734700000000002E-4</v>
      </c>
      <c r="AN124" s="74"/>
      <c r="AO124" s="73"/>
      <c r="AP124" s="73"/>
      <c r="AQ124" s="73"/>
      <c r="AR124" s="73"/>
      <c r="AS124" s="73"/>
      <c r="AT124" s="74"/>
      <c r="AU124" s="47"/>
      <c r="AV124" s="48"/>
    </row>
    <row r="125" spans="1:48" ht="12.75" customHeight="1" x14ac:dyDescent="0.25">
      <c r="A125" s="72" t="s">
        <v>23</v>
      </c>
      <c r="B125" s="43" t="s">
        <v>159</v>
      </c>
      <c r="C125" s="44" t="s">
        <v>275</v>
      </c>
      <c r="D125" s="45">
        <f>MROUND(MID($C125,6,3)/Basis!$E$3,0.5)</f>
        <v>12</v>
      </c>
      <c r="E125" s="45">
        <f>MROUND(MID($C125,9,3)/Basis!$E$3,0.5)</f>
        <v>63</v>
      </c>
      <c r="F125" s="124" t="s">
        <v>2946</v>
      </c>
      <c r="G125" s="45">
        <f>ROUND((ROUNDDOWN($F125/5,0)*5+1.8)/Basis!$E$3,1)</f>
        <v>4.5999999999999996</v>
      </c>
      <c r="H125" s="120">
        <f>ROUND($P125*Basis!$E$2*((TaH-TrH)/LN(1/µ)/Basis!$E$7)^$N125*$AA$4*Glycol,0)</f>
        <v>3806</v>
      </c>
      <c r="I125" s="83">
        <f>ROUND(H125/(MID($C125,9,3)/Basis!$E$3/Basis!$E$9)*Basis!$E$11,0)</f>
        <v>725</v>
      </c>
      <c r="J125" s="123">
        <f>IF(Basis!$E$1=1,ROUND(H125/((TaH-TrH)*1.163)/3600,3),ROUND(H125/(500*(TaH-TrH)),2))</f>
        <v>0.38</v>
      </c>
      <c r="K125" s="84"/>
      <c r="L125" s="177">
        <f>CHOOSE(Basis!$E$1,((AJ125*(J125*3600/Basis!$E$5)^AK125*(((MID(C125,9,3)*10)-144)/1000)*AL125+AM125*(J125*3600/Basis!$E$5)^2)*0.0098)/Basis!$E$10,((AJ125*(J125/Basis!$E$5)^AK125*(((MID(C125,9,3)*10)-144)/1000)*AL125+AM125*(J125/Basis!$E$5)^2)*0.0098)/Basis!$E$10)</f>
        <v>3.1233156332340511E-2</v>
      </c>
      <c r="M125" s="85"/>
      <c r="N125" s="109">
        <v>1.44</v>
      </c>
      <c r="O125" s="68"/>
      <c r="P125" s="67">
        <v>1794</v>
      </c>
      <c r="Q125" s="68"/>
      <c r="R125" s="69"/>
      <c r="S125" s="69"/>
      <c r="T125" s="69"/>
      <c r="U125" s="69"/>
      <c r="V125" s="69"/>
      <c r="W125" s="68"/>
      <c r="X125" s="70"/>
      <c r="Y125" s="70"/>
      <c r="Z125" s="70"/>
      <c r="AA125" s="70"/>
      <c r="AB125" s="70"/>
      <c r="AC125" s="68"/>
      <c r="AD125" s="71"/>
      <c r="AE125" s="71"/>
      <c r="AF125" s="71"/>
      <c r="AG125" s="71"/>
      <c r="AH125" s="71"/>
      <c r="AI125" s="68"/>
      <c r="AJ125" s="214">
        <v>3.9689999999999994E-4</v>
      </c>
      <c r="AK125" s="214">
        <v>1.7345999999999999</v>
      </c>
      <c r="AL125" s="214">
        <v>4</v>
      </c>
      <c r="AM125" s="214">
        <v>5.7428799999999995E-4</v>
      </c>
      <c r="AN125" s="68"/>
      <c r="AO125" s="67"/>
      <c r="AP125" s="67"/>
      <c r="AQ125" s="67"/>
      <c r="AR125" s="67"/>
      <c r="AS125" s="67"/>
      <c r="AT125" s="68"/>
      <c r="AU125" s="49"/>
      <c r="AV125" s="50"/>
    </row>
    <row r="126" spans="1:48" ht="12.75" customHeight="1" x14ac:dyDescent="0.25">
      <c r="A126" s="72" t="s">
        <v>23</v>
      </c>
      <c r="B126" s="43" t="s">
        <v>159</v>
      </c>
      <c r="C126" s="44" t="s">
        <v>276</v>
      </c>
      <c r="D126" s="45">
        <f>MROUND(MID($C126,6,3)/Basis!$E$3,0.5)</f>
        <v>12</v>
      </c>
      <c r="E126" s="45">
        <f>MROUND(MID($C126,9,3)/Basis!$E$3,0.5)</f>
        <v>63</v>
      </c>
      <c r="F126" s="124" t="s">
        <v>2944</v>
      </c>
      <c r="G126" s="45">
        <f>ROUND((ROUNDDOWN($F126/5,0)*5+1.8)/Basis!$E$3,1)</f>
        <v>6.6</v>
      </c>
      <c r="H126" s="120">
        <f>ROUND($P126*Basis!$E$2*((TaH-TrH)/LN(1/µ)/Basis!$E$7)^$N126*$AA$4*Glycol,0)</f>
        <v>4679</v>
      </c>
      <c r="I126" s="83">
        <f>ROUND(H126/(MID($C126,9,3)/Basis!$E$3/Basis!$E$9)*Basis!$E$11,0)</f>
        <v>891</v>
      </c>
      <c r="J126" s="123">
        <f>IF(Basis!$E$1=1,ROUND(H126/((TaH-TrH)*1.163)/3600,3),ROUND(H126/(500*(TaH-TrH)),2))</f>
        <v>0.47</v>
      </c>
      <c r="K126" s="84"/>
      <c r="L126" s="177">
        <f>CHOOSE(Basis!$E$1,((AJ126*(J126*3600/Basis!$E$5)^AK126*(((MID(C126,9,3)*10)-144)/1000)*AL126+AM126*(J126*3600/Basis!$E$5)^2)*0.0098)/Basis!$E$10,((AJ126*(J126/Basis!$E$5)^AK126*(((MID(C126,9,3)*10)-144)/1000)*AL126+AM126*(J126/Basis!$E$5)^2)*0.0098)/Basis!$E$10)</f>
        <v>2.3434543748815453E-2</v>
      </c>
      <c r="M126" s="85"/>
      <c r="N126" s="109">
        <v>1.3959999999999999</v>
      </c>
      <c r="O126" s="68"/>
      <c r="P126" s="67">
        <v>2174</v>
      </c>
      <c r="Q126" s="68"/>
      <c r="R126" s="69"/>
      <c r="S126" s="69"/>
      <c r="T126" s="69"/>
      <c r="U126" s="69"/>
      <c r="V126" s="69"/>
      <c r="W126" s="68"/>
      <c r="X126" s="70"/>
      <c r="Y126" s="70"/>
      <c r="Z126" s="70"/>
      <c r="AA126" s="70"/>
      <c r="AB126" s="70"/>
      <c r="AC126" s="68"/>
      <c r="AD126" s="71"/>
      <c r="AE126" s="71"/>
      <c r="AF126" s="71"/>
      <c r="AG126" s="71"/>
      <c r="AH126" s="71"/>
      <c r="AI126" s="68"/>
      <c r="AJ126" s="214">
        <v>2.0829999999999999E-4</v>
      </c>
      <c r="AK126" s="214">
        <v>1.724</v>
      </c>
      <c r="AL126" s="214">
        <v>2</v>
      </c>
      <c r="AM126" s="214">
        <v>4.6182900000000003E-4</v>
      </c>
      <c r="AN126" s="68"/>
      <c r="AO126" s="67"/>
      <c r="AP126" s="67"/>
      <c r="AQ126" s="67"/>
      <c r="AR126" s="67"/>
      <c r="AS126" s="67"/>
      <c r="AT126" s="68"/>
      <c r="AU126" s="49"/>
      <c r="AV126" s="50"/>
    </row>
    <row r="127" spans="1:48" ht="12.75" customHeight="1" x14ac:dyDescent="0.25">
      <c r="A127" s="72" t="s">
        <v>23</v>
      </c>
      <c r="B127" s="43" t="s">
        <v>159</v>
      </c>
      <c r="C127" s="44" t="s">
        <v>277</v>
      </c>
      <c r="D127" s="45">
        <f>MROUND(MID($C127,6,3)/Basis!$E$3,0.5)</f>
        <v>12</v>
      </c>
      <c r="E127" s="45">
        <f>MROUND(MID($C127,9,3)/Basis!$E$3,0.5)</f>
        <v>63</v>
      </c>
      <c r="F127" s="124" t="s">
        <v>2947</v>
      </c>
      <c r="G127" s="45">
        <f>ROUND((ROUNDDOWN($F127/5,0)*5+1.8)/Basis!$E$3,1)</f>
        <v>6.6</v>
      </c>
      <c r="H127" s="120">
        <f>ROUND($P127*Basis!$E$2*((TaH-TrH)/LN(1/µ)/Basis!$E$7)^$N127*$AA$4*Glycol,0)</f>
        <v>4997</v>
      </c>
      <c r="I127" s="83">
        <f>ROUND(H127/(MID($C127,9,3)/Basis!$E$3/Basis!$E$9)*Basis!$E$11,0)</f>
        <v>952</v>
      </c>
      <c r="J127" s="123">
        <f>IF(Basis!$E$1=1,ROUND(H127/((TaH-TrH)*1.163)/3600,3),ROUND(H127/(500*(TaH-TrH)),2))</f>
        <v>0.5</v>
      </c>
      <c r="K127" s="84"/>
      <c r="L127" s="177">
        <f>CHOOSE(Basis!$E$1,((AJ127*(J127*3600/Basis!$E$5)^AK127*(((MID(C127,9,3)*10)-144)/1000)*AL127+AM127*(J127*3600/Basis!$E$5)^2)*0.0098)/Basis!$E$10,((AJ127*(J127/Basis!$E$5)^AK127*(((MID(C127,9,3)*10)-144)/1000)*AL127+AM127*(J127/Basis!$E$5)^2)*0.0098)/Basis!$E$10)</f>
        <v>7.2587048252951133E-2</v>
      </c>
      <c r="M127" s="85"/>
      <c r="N127" s="110">
        <v>1.456</v>
      </c>
      <c r="O127" s="74"/>
      <c r="P127" s="73">
        <v>2368</v>
      </c>
      <c r="Q127" s="74"/>
      <c r="R127" s="75"/>
      <c r="S127" s="75"/>
      <c r="T127" s="75"/>
      <c r="U127" s="75"/>
      <c r="V127" s="75"/>
      <c r="W127" s="74"/>
      <c r="X127" s="76"/>
      <c r="Y127" s="76"/>
      <c r="Z127" s="76"/>
      <c r="AA127" s="76"/>
      <c r="AB127" s="76"/>
      <c r="AC127" s="74"/>
      <c r="AD127" s="77"/>
      <c r="AE127" s="77"/>
      <c r="AF127" s="77"/>
      <c r="AG127" s="77"/>
      <c r="AH127" s="77"/>
      <c r="AI127" s="68"/>
      <c r="AJ127" s="213">
        <v>2.0829999999999999E-4</v>
      </c>
      <c r="AK127" s="213">
        <v>1.724</v>
      </c>
      <c r="AL127" s="213">
        <v>4</v>
      </c>
      <c r="AM127" s="213">
        <v>1.392796E-3</v>
      </c>
      <c r="AN127" s="74"/>
      <c r="AO127" s="73"/>
      <c r="AP127" s="73"/>
      <c r="AQ127" s="73"/>
      <c r="AR127" s="73"/>
      <c r="AS127" s="73"/>
      <c r="AT127" s="74"/>
      <c r="AU127" s="47"/>
      <c r="AV127" s="48"/>
    </row>
    <row r="128" spans="1:48" ht="12.75" customHeight="1" x14ac:dyDescent="0.25">
      <c r="A128" s="72" t="s">
        <v>23</v>
      </c>
      <c r="B128" s="43" t="s">
        <v>159</v>
      </c>
      <c r="C128" s="44" t="s">
        <v>278</v>
      </c>
      <c r="D128" s="45">
        <f>MROUND(MID($C128,6,3)/Basis!$E$3,0.5)</f>
        <v>12</v>
      </c>
      <c r="E128" s="45">
        <f>MROUND(MID($C128,9,3)/Basis!$E$3,0.5)</f>
        <v>63</v>
      </c>
      <c r="F128" s="124" t="s">
        <v>2945</v>
      </c>
      <c r="G128" s="45">
        <f>ROUND((ROUNDDOWN($F128/5,0)*5+1.8)/Basis!$E$3,1)</f>
        <v>8.6</v>
      </c>
      <c r="H128" s="120">
        <f>ROUND($P128*Basis!$E$2*((TaH-TrH)/LN(1/µ)/Basis!$E$7)^$N128*$AA$4*Glycol,0)</f>
        <v>6565</v>
      </c>
      <c r="I128" s="83">
        <f>ROUND(H128/(MID($C128,9,3)/Basis!$E$3/Basis!$E$9)*Basis!$E$11,0)</f>
        <v>1251</v>
      </c>
      <c r="J128" s="123">
        <f>IF(Basis!$E$1=1,ROUND(H128/((TaH-TrH)*1.163)/3600,3),ROUND(H128/(500*(TaH-TrH)),2))</f>
        <v>0.66</v>
      </c>
      <c r="K128" s="84"/>
      <c r="L128" s="177">
        <f>CHOOSE(Basis!$E$1,((AJ128*(J128*3600/Basis!$E$5)^AK128*(((MID(C128,9,3)*10)-144)/1000)*AL128+AM128*(J128*3600/Basis!$E$5)^2)*0.0098)/Basis!$E$10,((AJ128*(J128/Basis!$E$5)^AK128*(((MID(C128,9,3)*10)-144)/1000)*AL128+AM128*(J128/Basis!$E$5)^2)*0.0098)/Basis!$E$10)</f>
        <v>3.4448267317705686E-2</v>
      </c>
      <c r="M128" s="85"/>
      <c r="N128" s="110">
        <v>1.3959999999999999</v>
      </c>
      <c r="O128" s="74"/>
      <c r="P128" s="73">
        <v>3050</v>
      </c>
      <c r="Q128" s="74"/>
      <c r="R128" s="75"/>
      <c r="S128" s="75"/>
      <c r="T128" s="75"/>
      <c r="U128" s="75"/>
      <c r="V128" s="75"/>
      <c r="W128" s="74"/>
      <c r="X128" s="76"/>
      <c r="Y128" s="76"/>
      <c r="Z128" s="76"/>
      <c r="AA128" s="76"/>
      <c r="AB128" s="76"/>
      <c r="AC128" s="74"/>
      <c r="AD128" s="77"/>
      <c r="AE128" s="77"/>
      <c r="AF128" s="77"/>
      <c r="AG128" s="77"/>
      <c r="AH128" s="77"/>
      <c r="AI128" s="68"/>
      <c r="AJ128" s="213">
        <v>1.2760000000000001E-4</v>
      </c>
      <c r="AK128" s="213">
        <v>1.7219</v>
      </c>
      <c r="AL128" s="213">
        <v>2</v>
      </c>
      <c r="AM128" s="213">
        <v>3.76611E-4</v>
      </c>
      <c r="AN128" s="74"/>
      <c r="AO128" s="73"/>
      <c r="AP128" s="73"/>
      <c r="AQ128" s="73"/>
      <c r="AR128" s="73"/>
      <c r="AS128" s="73"/>
      <c r="AT128" s="74"/>
      <c r="AU128" s="47"/>
      <c r="AV128" s="48"/>
    </row>
    <row r="129" spans="1:48" ht="12.75" customHeight="1" x14ac:dyDescent="0.25">
      <c r="A129" s="72" t="s">
        <v>23</v>
      </c>
      <c r="B129" s="43" t="s">
        <v>159</v>
      </c>
      <c r="C129" s="44" t="s">
        <v>279</v>
      </c>
      <c r="D129" s="45">
        <f>MROUND(MID($C129,6,3)/Basis!$E$3,0.5)</f>
        <v>12</v>
      </c>
      <c r="E129" s="45">
        <f>MROUND(MID($C129,9,3)/Basis!$E$3,0.5)</f>
        <v>63</v>
      </c>
      <c r="F129" s="124" t="s">
        <v>2948</v>
      </c>
      <c r="G129" s="45">
        <f>ROUND((ROUNDDOWN($F129/5,0)*5+1.8)/Basis!$E$3,1)</f>
        <v>8.6</v>
      </c>
      <c r="H129" s="120">
        <f>ROUND($P129*Basis!$E$2*((TaH-TrH)/LN(1/µ)/Basis!$E$7)^$N129*$AA$4*Glycol,0)</f>
        <v>6552</v>
      </c>
      <c r="I129" s="83">
        <f>ROUND(H129/(MID($C129,9,3)/Basis!$E$3/Basis!$E$9)*Basis!$E$11,0)</f>
        <v>1248</v>
      </c>
      <c r="J129" s="123">
        <f>IF(Basis!$E$1=1,ROUND(H129/((TaH-TrH)*1.163)/3600,3),ROUND(H129/(500*(TaH-TrH)),2))</f>
        <v>0.66</v>
      </c>
      <c r="K129" s="84"/>
      <c r="L129" s="177">
        <f>CHOOSE(Basis!$E$1,((AJ129*(J129*3600/Basis!$E$5)^AK129*(((MID(C129,9,3)*10)-144)/1000)*AL129+AM129*(J129*3600/Basis!$E$5)^2)*0.0098)/Basis!$E$10,((AJ129*(J129/Basis!$E$5)^AK129*(((MID(C129,9,3)*10)-144)/1000)*AL129+AM129*(J129/Basis!$E$5)^2)*0.0098)/Basis!$E$10)</f>
        <v>5.1335023325748387E-2</v>
      </c>
      <c r="M129" s="85"/>
      <c r="N129" s="109">
        <v>1.468</v>
      </c>
      <c r="O129" s="68"/>
      <c r="P129" s="67">
        <v>3117</v>
      </c>
      <c r="Q129" s="68"/>
      <c r="R129" s="69"/>
      <c r="S129" s="69"/>
      <c r="T129" s="69"/>
      <c r="U129" s="69"/>
      <c r="V129" s="69"/>
      <c r="W129" s="68"/>
      <c r="X129" s="70"/>
      <c r="Y129" s="70"/>
      <c r="Z129" s="70"/>
      <c r="AA129" s="70"/>
      <c r="AB129" s="70"/>
      <c r="AC129" s="68"/>
      <c r="AD129" s="71"/>
      <c r="AE129" s="71"/>
      <c r="AF129" s="71"/>
      <c r="AG129" s="71"/>
      <c r="AH129" s="71"/>
      <c r="AI129" s="68"/>
      <c r="AJ129" s="214">
        <v>1.2760000000000001E-4</v>
      </c>
      <c r="AK129" s="214">
        <v>1.7219</v>
      </c>
      <c r="AL129" s="214">
        <v>4</v>
      </c>
      <c r="AM129" s="214">
        <v>5.1420100000000005E-4</v>
      </c>
      <c r="AN129" s="68"/>
      <c r="AO129" s="67"/>
      <c r="AP129" s="67"/>
      <c r="AQ129" s="67"/>
      <c r="AR129" s="67"/>
      <c r="AS129" s="67"/>
      <c r="AT129" s="68"/>
      <c r="AU129" s="49"/>
      <c r="AV129" s="50"/>
    </row>
    <row r="130" spans="1:48" ht="12.75" customHeight="1" x14ac:dyDescent="0.25">
      <c r="A130" s="72" t="s">
        <v>23</v>
      </c>
      <c r="B130" s="43" t="s">
        <v>159</v>
      </c>
      <c r="C130" s="44" t="s">
        <v>280</v>
      </c>
      <c r="D130" s="45">
        <f>MROUND(MID($C130,6,3)/Basis!$E$3,0.5)</f>
        <v>12</v>
      </c>
      <c r="E130" s="45">
        <f>MROUND(MID($C130,9,3)/Basis!$E$3,0.5)</f>
        <v>71</v>
      </c>
      <c r="F130" s="124" t="s">
        <v>2943</v>
      </c>
      <c r="G130" s="45">
        <f>ROUND((ROUNDDOWN($F130/5,0)*5+1.8)/Basis!$E$3,1)</f>
        <v>4.5999999999999996</v>
      </c>
      <c r="H130" s="120">
        <f>ROUND($P130*Basis!$E$2*((TaH-TrH)/LN(1/µ)/Basis!$E$7)^$N130*$AA$4*Glycol,0)</f>
        <v>3193</v>
      </c>
      <c r="I130" s="83">
        <f>ROUND(H130/(MID($C130,9,3)/Basis!$E$3/Basis!$E$9)*Basis!$E$11,0)</f>
        <v>541</v>
      </c>
      <c r="J130" s="123">
        <f>IF(Basis!$E$1=1,ROUND(H130/((TaH-TrH)*1.163)/3600,3),ROUND(H130/(500*(TaH-TrH)),2))</f>
        <v>0.32</v>
      </c>
      <c r="K130" s="84"/>
      <c r="L130" s="177">
        <f>CHOOSE(Basis!$E$1,((AJ130*(J130*3600/Basis!$E$5)^AK130*(((MID(C130,9,3)*10)-144)/1000)*AL130+AM130*(J130*3600/Basis!$E$5)^2)*0.0098)/Basis!$E$10,((AJ130*(J130/Basis!$E$5)^AK130*(((MID(C130,9,3)*10)-144)/1000)*AL130+AM130*(J130/Basis!$E$5)^2)*0.0098)/Basis!$E$10)</f>
        <v>1.3624112526029368E-2</v>
      </c>
      <c r="M130" s="85"/>
      <c r="N130" s="109">
        <v>1.403</v>
      </c>
      <c r="O130" s="68"/>
      <c r="P130" s="67">
        <v>1487</v>
      </c>
      <c r="Q130" s="68"/>
      <c r="R130" s="69"/>
      <c r="S130" s="69"/>
      <c r="T130" s="69"/>
      <c r="U130" s="69"/>
      <c r="V130" s="69"/>
      <c r="W130" s="68"/>
      <c r="X130" s="70"/>
      <c r="Y130" s="70"/>
      <c r="Z130" s="70"/>
      <c r="AA130" s="70"/>
      <c r="AB130" s="70"/>
      <c r="AC130" s="68"/>
      <c r="AD130" s="71"/>
      <c r="AE130" s="71"/>
      <c r="AF130" s="71"/>
      <c r="AG130" s="71"/>
      <c r="AH130" s="71"/>
      <c r="AI130" s="68"/>
      <c r="AJ130" s="214">
        <v>3.9689999999999994E-4</v>
      </c>
      <c r="AK130" s="214">
        <v>1.7345999999999999</v>
      </c>
      <c r="AL130" s="214">
        <v>2</v>
      </c>
      <c r="AM130" s="214">
        <v>3.6734700000000002E-4</v>
      </c>
      <c r="AN130" s="68"/>
      <c r="AO130" s="67"/>
      <c r="AP130" s="67"/>
      <c r="AQ130" s="67"/>
      <c r="AR130" s="67"/>
      <c r="AS130" s="67"/>
      <c r="AT130" s="68"/>
      <c r="AU130" s="49"/>
      <c r="AV130" s="50"/>
    </row>
    <row r="131" spans="1:48" ht="12.75" customHeight="1" x14ac:dyDescent="0.25">
      <c r="A131" s="72" t="s">
        <v>23</v>
      </c>
      <c r="B131" s="43" t="s">
        <v>159</v>
      </c>
      <c r="C131" s="44" t="s">
        <v>281</v>
      </c>
      <c r="D131" s="45">
        <f>MROUND(MID($C131,6,3)/Basis!$E$3,0.5)</f>
        <v>12</v>
      </c>
      <c r="E131" s="45">
        <f>MROUND(MID($C131,9,3)/Basis!$E$3,0.5)</f>
        <v>71</v>
      </c>
      <c r="F131" s="124" t="s">
        <v>2946</v>
      </c>
      <c r="G131" s="45">
        <f>ROUND((ROUNDDOWN($F131/5,0)*5+1.8)/Basis!$E$3,1)</f>
        <v>4.5999999999999996</v>
      </c>
      <c r="H131" s="120">
        <f>ROUND($P131*Basis!$E$2*((TaH-TrH)/LN(1/µ)/Basis!$E$7)^$N131*$AA$4*Glycol,0)</f>
        <v>4281</v>
      </c>
      <c r="I131" s="83">
        <f>ROUND(H131/(MID($C131,9,3)/Basis!$E$3/Basis!$E$9)*Basis!$E$11,0)</f>
        <v>725</v>
      </c>
      <c r="J131" s="123">
        <f>IF(Basis!$E$1=1,ROUND(H131/((TaH-TrH)*1.163)/3600,3),ROUND(H131/(500*(TaH-TrH)),2))</f>
        <v>0.43</v>
      </c>
      <c r="K131" s="84"/>
      <c r="L131" s="177">
        <f>CHOOSE(Basis!$E$1,((AJ131*(J131*3600/Basis!$E$5)^AK131*(((MID(C131,9,3)*10)-144)/1000)*AL131+AM131*(J131*3600/Basis!$E$5)^2)*0.0098)/Basis!$E$10,((AJ131*(J131/Basis!$E$5)^AK131*(((MID(C131,9,3)*10)-144)/1000)*AL131+AM131*(J131/Basis!$E$5)^2)*0.0098)/Basis!$E$10)</f>
        <v>4.2215878037562757E-2</v>
      </c>
      <c r="M131" s="85"/>
      <c r="N131" s="110">
        <v>1.44</v>
      </c>
      <c r="O131" s="74"/>
      <c r="P131" s="73">
        <v>2018</v>
      </c>
      <c r="Q131" s="74"/>
      <c r="R131" s="75"/>
      <c r="S131" s="75"/>
      <c r="T131" s="75"/>
      <c r="U131" s="75"/>
      <c r="V131" s="75"/>
      <c r="W131" s="74"/>
      <c r="X131" s="76"/>
      <c r="Y131" s="76"/>
      <c r="Z131" s="76"/>
      <c r="AA131" s="76"/>
      <c r="AB131" s="76"/>
      <c r="AC131" s="74"/>
      <c r="AD131" s="77"/>
      <c r="AE131" s="77"/>
      <c r="AF131" s="77"/>
      <c r="AG131" s="77"/>
      <c r="AH131" s="77"/>
      <c r="AI131" s="68"/>
      <c r="AJ131" s="213">
        <v>3.9689999999999994E-4</v>
      </c>
      <c r="AK131" s="213">
        <v>1.7345999999999999</v>
      </c>
      <c r="AL131" s="213">
        <v>4</v>
      </c>
      <c r="AM131" s="213">
        <v>5.7428799999999995E-4</v>
      </c>
      <c r="AN131" s="74"/>
      <c r="AO131" s="73"/>
      <c r="AP131" s="73"/>
      <c r="AQ131" s="73"/>
      <c r="AR131" s="73"/>
      <c r="AS131" s="73"/>
      <c r="AT131" s="74"/>
      <c r="AU131" s="47"/>
      <c r="AV131" s="48"/>
    </row>
    <row r="132" spans="1:48" ht="12.75" customHeight="1" x14ac:dyDescent="0.25">
      <c r="A132" s="72" t="s">
        <v>23</v>
      </c>
      <c r="B132" s="43" t="s">
        <v>159</v>
      </c>
      <c r="C132" s="44" t="s">
        <v>282</v>
      </c>
      <c r="D132" s="45">
        <f>MROUND(MID($C132,6,3)/Basis!$E$3,0.5)</f>
        <v>12</v>
      </c>
      <c r="E132" s="45">
        <f>MROUND(MID($C132,9,3)/Basis!$E$3,0.5)</f>
        <v>71</v>
      </c>
      <c r="F132" s="124" t="s">
        <v>2944</v>
      </c>
      <c r="G132" s="45">
        <f>ROUND((ROUNDDOWN($F132/5,0)*5+1.8)/Basis!$E$3,1)</f>
        <v>6.6</v>
      </c>
      <c r="H132" s="120">
        <f>ROUND($P132*Basis!$E$2*((TaH-TrH)/LN(1/µ)/Basis!$E$7)^$N132*$AA$4*Glycol,0)</f>
        <v>5265</v>
      </c>
      <c r="I132" s="83">
        <f>ROUND(H132/(MID($C132,9,3)/Basis!$E$3/Basis!$E$9)*Basis!$E$11,0)</f>
        <v>892</v>
      </c>
      <c r="J132" s="123">
        <f>IF(Basis!$E$1=1,ROUND(H132/((TaH-TrH)*1.163)/3600,3),ROUND(H132/(500*(TaH-TrH)),2))</f>
        <v>0.53</v>
      </c>
      <c r="K132" s="84"/>
      <c r="L132" s="177">
        <f>CHOOSE(Basis!$E$1,((AJ132*(J132*3600/Basis!$E$5)^AK132*(((MID(C132,9,3)*10)-144)/1000)*AL132+AM132*(J132*3600/Basis!$E$5)^2)*0.0098)/Basis!$E$10,((AJ132*(J132/Basis!$E$5)^AK132*(((MID(C132,9,3)*10)-144)/1000)*AL132+AM132*(J132/Basis!$E$5)^2)*0.0098)/Basis!$E$10)</f>
        <v>3.059370806470316E-2</v>
      </c>
      <c r="M132" s="85"/>
      <c r="N132" s="110">
        <v>1.3959999999999999</v>
      </c>
      <c r="O132" s="74"/>
      <c r="P132" s="73">
        <v>2446</v>
      </c>
      <c r="Q132" s="74"/>
      <c r="R132" s="75"/>
      <c r="S132" s="75"/>
      <c r="T132" s="75"/>
      <c r="U132" s="75"/>
      <c r="V132" s="75"/>
      <c r="W132" s="74"/>
      <c r="X132" s="76"/>
      <c r="Y132" s="76"/>
      <c r="Z132" s="76"/>
      <c r="AA132" s="76"/>
      <c r="AB132" s="76"/>
      <c r="AC132" s="74"/>
      <c r="AD132" s="77"/>
      <c r="AE132" s="77"/>
      <c r="AF132" s="77"/>
      <c r="AG132" s="77"/>
      <c r="AH132" s="77"/>
      <c r="AI132" s="68"/>
      <c r="AJ132" s="213">
        <v>2.0829999999999999E-4</v>
      </c>
      <c r="AK132" s="213">
        <v>1.724</v>
      </c>
      <c r="AL132" s="213">
        <v>2</v>
      </c>
      <c r="AM132" s="213">
        <v>4.6182900000000003E-4</v>
      </c>
      <c r="AN132" s="74"/>
      <c r="AO132" s="73"/>
      <c r="AP132" s="73"/>
      <c r="AQ132" s="73"/>
      <c r="AR132" s="73"/>
      <c r="AS132" s="73"/>
      <c r="AT132" s="74"/>
      <c r="AU132" s="47"/>
      <c r="AV132" s="48"/>
    </row>
    <row r="133" spans="1:48" ht="12.75" customHeight="1" x14ac:dyDescent="0.25">
      <c r="A133" s="72" t="s">
        <v>23</v>
      </c>
      <c r="B133" s="43" t="s">
        <v>159</v>
      </c>
      <c r="C133" s="44" t="s">
        <v>283</v>
      </c>
      <c r="D133" s="45">
        <f>MROUND(MID($C133,6,3)/Basis!$E$3,0.5)</f>
        <v>12</v>
      </c>
      <c r="E133" s="45">
        <f>MROUND(MID($C133,9,3)/Basis!$E$3,0.5)</f>
        <v>71</v>
      </c>
      <c r="F133" s="124" t="s">
        <v>2947</v>
      </c>
      <c r="G133" s="45">
        <f>ROUND((ROUNDDOWN($F133/5,0)*5+1.8)/Basis!$E$3,1)</f>
        <v>6.6</v>
      </c>
      <c r="H133" s="120">
        <f>ROUND($P133*Basis!$E$2*((TaH-TrH)/LN(1/µ)/Basis!$E$7)^$N133*$AA$4*Glycol,0)</f>
        <v>5622</v>
      </c>
      <c r="I133" s="83">
        <f>ROUND(H133/(MID($C133,9,3)/Basis!$E$3/Basis!$E$9)*Basis!$E$11,0)</f>
        <v>952</v>
      </c>
      <c r="J133" s="123">
        <f>IF(Basis!$E$1=1,ROUND(H133/((TaH-TrH)*1.163)/3600,3),ROUND(H133/(500*(TaH-TrH)),2))</f>
        <v>0.56000000000000005</v>
      </c>
      <c r="K133" s="84"/>
      <c r="L133" s="177">
        <f>CHOOSE(Basis!$E$1,((AJ133*(J133*3600/Basis!$E$5)^AK133*(((MID(C133,9,3)*10)-144)/1000)*AL133+AM133*(J133*3600/Basis!$E$5)^2)*0.0098)/Basis!$E$10,((AJ133*(J133/Basis!$E$5)^AK133*(((MID(C133,9,3)*10)-144)/1000)*AL133+AM133*(J133/Basis!$E$5)^2)*0.0098)/Basis!$E$10)</f>
        <v>9.2831966363424973E-2</v>
      </c>
      <c r="M133" s="85"/>
      <c r="N133" s="109">
        <v>1.456</v>
      </c>
      <c r="O133" s="68"/>
      <c r="P133" s="67">
        <v>2664</v>
      </c>
      <c r="Q133" s="68"/>
      <c r="R133" s="69"/>
      <c r="S133" s="69"/>
      <c r="T133" s="69"/>
      <c r="U133" s="69"/>
      <c r="V133" s="69"/>
      <c r="W133" s="68"/>
      <c r="X133" s="70"/>
      <c r="Y133" s="70"/>
      <c r="Z133" s="70"/>
      <c r="AA133" s="70"/>
      <c r="AB133" s="70"/>
      <c r="AC133" s="68"/>
      <c r="AD133" s="71"/>
      <c r="AE133" s="71"/>
      <c r="AF133" s="71"/>
      <c r="AG133" s="71"/>
      <c r="AH133" s="71"/>
      <c r="AI133" s="68"/>
      <c r="AJ133" s="214">
        <v>2.0829999999999999E-4</v>
      </c>
      <c r="AK133" s="214">
        <v>1.724</v>
      </c>
      <c r="AL133" s="214">
        <v>4</v>
      </c>
      <c r="AM133" s="214">
        <v>1.392796E-3</v>
      </c>
      <c r="AN133" s="68"/>
      <c r="AO133" s="67"/>
      <c r="AP133" s="67"/>
      <c r="AQ133" s="67"/>
      <c r="AR133" s="67"/>
      <c r="AS133" s="67"/>
      <c r="AT133" s="68"/>
      <c r="AU133" s="49"/>
      <c r="AV133" s="50"/>
    </row>
    <row r="134" spans="1:48" ht="12.75" customHeight="1" x14ac:dyDescent="0.25">
      <c r="A134" s="72" t="s">
        <v>23</v>
      </c>
      <c r="B134" s="43" t="s">
        <v>159</v>
      </c>
      <c r="C134" s="44" t="s">
        <v>284</v>
      </c>
      <c r="D134" s="45">
        <f>MROUND(MID($C134,6,3)/Basis!$E$3,0.5)</f>
        <v>12</v>
      </c>
      <c r="E134" s="45">
        <f>MROUND(MID($C134,9,3)/Basis!$E$3,0.5)</f>
        <v>71</v>
      </c>
      <c r="F134" s="124" t="s">
        <v>2945</v>
      </c>
      <c r="G134" s="45">
        <f>ROUND((ROUNDDOWN($F134/5,0)*5+1.8)/Basis!$E$3,1)</f>
        <v>8.6</v>
      </c>
      <c r="H134" s="120">
        <f>ROUND($P134*Basis!$E$2*((TaH-TrH)/LN(1/µ)/Basis!$E$7)^$N134*$AA$4*Glycol,0)</f>
        <v>7385</v>
      </c>
      <c r="I134" s="83">
        <f>ROUND(H134/(MID($C134,9,3)/Basis!$E$3/Basis!$E$9)*Basis!$E$11,0)</f>
        <v>1251</v>
      </c>
      <c r="J134" s="123">
        <f>IF(Basis!$E$1=1,ROUND(H134/((TaH-TrH)*1.163)/3600,3),ROUND(H134/(500*(TaH-TrH)),2))</f>
        <v>0.74</v>
      </c>
      <c r="K134" s="84"/>
      <c r="L134" s="177">
        <f>CHOOSE(Basis!$E$1,((AJ134*(J134*3600/Basis!$E$5)^AK134*(((MID(C134,9,3)*10)-144)/1000)*AL134+AM134*(J134*3600/Basis!$E$5)^2)*0.0098)/Basis!$E$10,((AJ134*(J134/Basis!$E$5)^AK134*(((MID(C134,9,3)*10)-144)/1000)*AL134+AM134*(J134/Basis!$E$5)^2)*0.0098)/Basis!$E$10)</f>
        <v>4.4172380556741241E-2</v>
      </c>
      <c r="M134" s="85"/>
      <c r="N134" s="109">
        <v>1.3959999999999999</v>
      </c>
      <c r="O134" s="68"/>
      <c r="P134" s="67">
        <v>3431</v>
      </c>
      <c r="Q134" s="68"/>
      <c r="R134" s="69"/>
      <c r="S134" s="69"/>
      <c r="T134" s="69"/>
      <c r="U134" s="69"/>
      <c r="V134" s="69"/>
      <c r="W134" s="68"/>
      <c r="X134" s="70"/>
      <c r="Y134" s="70"/>
      <c r="Z134" s="70"/>
      <c r="AA134" s="70"/>
      <c r="AB134" s="70"/>
      <c r="AC134" s="68"/>
      <c r="AD134" s="71"/>
      <c r="AE134" s="71"/>
      <c r="AF134" s="71"/>
      <c r="AG134" s="71"/>
      <c r="AH134" s="71"/>
      <c r="AI134" s="68"/>
      <c r="AJ134" s="214">
        <v>1.2760000000000001E-4</v>
      </c>
      <c r="AK134" s="214">
        <v>1.7219</v>
      </c>
      <c r="AL134" s="214">
        <v>2</v>
      </c>
      <c r="AM134" s="214">
        <v>3.76611E-4</v>
      </c>
      <c r="AN134" s="68"/>
      <c r="AO134" s="67"/>
      <c r="AP134" s="67"/>
      <c r="AQ134" s="67"/>
      <c r="AR134" s="67"/>
      <c r="AS134" s="67"/>
      <c r="AT134" s="68"/>
      <c r="AU134" s="49"/>
      <c r="AV134" s="50"/>
    </row>
    <row r="135" spans="1:48" ht="12.75" customHeight="1" x14ac:dyDescent="0.25">
      <c r="A135" s="72" t="s">
        <v>23</v>
      </c>
      <c r="B135" s="43" t="s">
        <v>159</v>
      </c>
      <c r="C135" s="44" t="s">
        <v>285</v>
      </c>
      <c r="D135" s="45">
        <f>MROUND(MID($C135,6,3)/Basis!$E$3,0.5)</f>
        <v>12</v>
      </c>
      <c r="E135" s="45">
        <f>MROUND(MID($C135,9,3)/Basis!$E$3,0.5)</f>
        <v>71</v>
      </c>
      <c r="F135" s="124" t="s">
        <v>2948</v>
      </c>
      <c r="G135" s="45">
        <f>ROUND((ROUNDDOWN($F135/5,0)*5+1.8)/Basis!$E$3,1)</f>
        <v>8.6</v>
      </c>
      <c r="H135" s="120">
        <f>ROUND($P135*Basis!$E$2*((TaH-TrH)/LN(1/µ)/Basis!$E$7)^$N135*$AA$4*Glycol,0)</f>
        <v>7369</v>
      </c>
      <c r="I135" s="83">
        <f>ROUND(H135/(MID($C135,9,3)/Basis!$E$3/Basis!$E$9)*Basis!$E$11,0)</f>
        <v>1248</v>
      </c>
      <c r="J135" s="123">
        <f>IF(Basis!$E$1=1,ROUND(H135/((TaH-TrH)*1.163)/3600,3),ROUND(H135/(500*(TaH-TrH)),2))</f>
        <v>0.74</v>
      </c>
      <c r="K135" s="84"/>
      <c r="L135" s="177">
        <f>CHOOSE(Basis!$E$1,((AJ135*(J135*3600/Basis!$E$5)^AK135*(((MID(C135,9,3)*10)-144)/1000)*AL135+AM135*(J135*3600/Basis!$E$5)^2)*0.0098)/Basis!$E$10,((AJ135*(J135/Basis!$E$5)^AK135*(((MID(C135,9,3)*10)-144)/1000)*AL135+AM135*(J135/Basis!$E$5)^2)*0.0098)/Basis!$E$10)</f>
        <v>6.6267893360563629E-2</v>
      </c>
      <c r="M135" s="85"/>
      <c r="N135" s="110">
        <v>1.468</v>
      </c>
      <c r="O135" s="74"/>
      <c r="P135" s="73">
        <v>3506</v>
      </c>
      <c r="Q135" s="74"/>
      <c r="R135" s="75"/>
      <c r="S135" s="75"/>
      <c r="T135" s="75"/>
      <c r="U135" s="75"/>
      <c r="V135" s="75"/>
      <c r="W135" s="74"/>
      <c r="X135" s="76"/>
      <c r="Y135" s="76"/>
      <c r="Z135" s="76"/>
      <c r="AA135" s="76"/>
      <c r="AB135" s="76"/>
      <c r="AC135" s="74"/>
      <c r="AD135" s="77"/>
      <c r="AE135" s="77"/>
      <c r="AF135" s="77"/>
      <c r="AG135" s="77"/>
      <c r="AH135" s="77"/>
      <c r="AI135" s="68"/>
      <c r="AJ135" s="213">
        <v>1.2760000000000001E-4</v>
      </c>
      <c r="AK135" s="213">
        <v>1.7219</v>
      </c>
      <c r="AL135" s="213">
        <v>4</v>
      </c>
      <c r="AM135" s="213">
        <v>5.1420100000000005E-4</v>
      </c>
      <c r="AN135" s="74"/>
      <c r="AO135" s="73"/>
      <c r="AP135" s="73"/>
      <c r="AQ135" s="73"/>
      <c r="AR135" s="73"/>
      <c r="AS135" s="73"/>
      <c r="AT135" s="74"/>
      <c r="AU135" s="47"/>
      <c r="AV135" s="48"/>
    </row>
    <row r="136" spans="1:48" ht="12.75" customHeight="1" x14ac:dyDescent="0.25">
      <c r="A136" s="72" t="s">
        <v>23</v>
      </c>
      <c r="B136" s="43" t="s">
        <v>159</v>
      </c>
      <c r="C136" s="44" t="s">
        <v>286</v>
      </c>
      <c r="D136" s="45">
        <f>MROUND(MID($C136,6,3)/Basis!$E$3,0.5)</f>
        <v>12</v>
      </c>
      <c r="E136" s="45">
        <f>MROUND(MID($C136,9,3)/Basis!$E$3,0.5)</f>
        <v>78.5</v>
      </c>
      <c r="F136" s="124" t="s">
        <v>2943</v>
      </c>
      <c r="G136" s="45">
        <f>ROUND((ROUNDDOWN($F136/5,0)*5+1.8)/Basis!$E$3,1)</f>
        <v>4.5999999999999996</v>
      </c>
      <c r="H136" s="120">
        <f>ROUND($P136*Basis!$E$2*((TaH-TrH)/LN(1/µ)/Basis!$E$7)^$N136*$AA$4*Glycol,0)</f>
        <v>3548</v>
      </c>
      <c r="I136" s="83">
        <f>ROUND(H136/(MID($C136,9,3)/Basis!$E$3/Basis!$E$9)*Basis!$E$11,0)</f>
        <v>541</v>
      </c>
      <c r="J136" s="123">
        <f>IF(Basis!$E$1=1,ROUND(H136/((TaH-TrH)*1.163)/3600,3),ROUND(H136/(500*(TaH-TrH)),2))</f>
        <v>0.35</v>
      </c>
      <c r="K136" s="84"/>
      <c r="L136" s="177">
        <f>CHOOSE(Basis!$E$1,((AJ136*(J136*3600/Basis!$E$5)^AK136*(((MID(C136,9,3)*10)-144)/1000)*AL136+AM136*(J136*3600/Basis!$E$5)^2)*0.0098)/Basis!$E$10,((AJ136*(J136/Basis!$E$5)^AK136*(((MID(C136,9,3)*10)-144)/1000)*AL136+AM136*(J136/Basis!$E$5)^2)*0.0098)/Basis!$E$10)</f>
        <v>1.7120711809639085E-2</v>
      </c>
      <c r="M136" s="85"/>
      <c r="N136" s="110">
        <v>1.403</v>
      </c>
      <c r="O136" s="74"/>
      <c r="P136" s="73">
        <v>1652</v>
      </c>
      <c r="Q136" s="74"/>
      <c r="R136" s="75"/>
      <c r="S136" s="75"/>
      <c r="T136" s="75"/>
      <c r="U136" s="75"/>
      <c r="V136" s="75"/>
      <c r="W136" s="74"/>
      <c r="X136" s="76"/>
      <c r="Y136" s="76"/>
      <c r="Z136" s="76"/>
      <c r="AA136" s="76"/>
      <c r="AB136" s="76"/>
      <c r="AC136" s="74"/>
      <c r="AD136" s="77"/>
      <c r="AE136" s="77"/>
      <c r="AF136" s="77"/>
      <c r="AG136" s="77"/>
      <c r="AH136" s="77"/>
      <c r="AI136" s="68"/>
      <c r="AJ136" s="213">
        <v>3.9689999999999994E-4</v>
      </c>
      <c r="AK136" s="213">
        <v>1.7345999999999999</v>
      </c>
      <c r="AL136" s="213">
        <v>2</v>
      </c>
      <c r="AM136" s="213">
        <v>3.6734700000000002E-4</v>
      </c>
      <c r="AN136" s="74"/>
      <c r="AO136" s="73"/>
      <c r="AP136" s="73"/>
      <c r="AQ136" s="73"/>
      <c r="AR136" s="73"/>
      <c r="AS136" s="73"/>
      <c r="AT136" s="74"/>
      <c r="AU136" s="47"/>
      <c r="AV136" s="48"/>
    </row>
    <row r="137" spans="1:48" ht="12.75" customHeight="1" x14ac:dyDescent="0.25">
      <c r="A137" s="72" t="s">
        <v>23</v>
      </c>
      <c r="B137" s="43" t="s">
        <v>159</v>
      </c>
      <c r="C137" s="44" t="s">
        <v>287</v>
      </c>
      <c r="D137" s="45">
        <f>MROUND(MID($C137,6,3)/Basis!$E$3,0.5)</f>
        <v>12</v>
      </c>
      <c r="E137" s="45">
        <f>MROUND(MID($C137,9,3)/Basis!$E$3,0.5)</f>
        <v>78.5</v>
      </c>
      <c r="F137" s="124" t="s">
        <v>2946</v>
      </c>
      <c r="G137" s="45">
        <f>ROUND((ROUNDDOWN($F137/5,0)*5+1.8)/Basis!$E$3,1)</f>
        <v>4.5999999999999996</v>
      </c>
      <c r="H137" s="120">
        <f>ROUND($P137*Basis!$E$2*((TaH-TrH)/LN(1/µ)/Basis!$E$7)^$N137*$AA$4*Glycol,0)</f>
        <v>4756</v>
      </c>
      <c r="I137" s="83">
        <f>ROUND(H137/(MID($C137,9,3)/Basis!$E$3/Basis!$E$9)*Basis!$E$11,0)</f>
        <v>725</v>
      </c>
      <c r="J137" s="123">
        <f>IF(Basis!$E$1=1,ROUND(H137/((TaH-TrH)*1.163)/3600,3),ROUND(H137/(500*(TaH-TrH)),2))</f>
        <v>0.48</v>
      </c>
      <c r="K137" s="84"/>
      <c r="L137" s="177">
        <f>CHOOSE(Basis!$E$1,((AJ137*(J137*3600/Basis!$E$5)^AK137*(((MID(C137,9,3)*10)-144)/1000)*AL137+AM137*(J137*3600/Basis!$E$5)^2)*0.0098)/Basis!$E$10,((AJ137*(J137/Basis!$E$5)^AK137*(((MID(C137,9,3)*10)-144)/1000)*AL137+AM137*(J137/Basis!$E$5)^2)*0.0098)/Basis!$E$10)</f>
        <v>5.5285462370592307E-2</v>
      </c>
      <c r="M137" s="85"/>
      <c r="N137" s="109">
        <v>1.44</v>
      </c>
      <c r="O137" s="68"/>
      <c r="P137" s="67">
        <v>2242</v>
      </c>
      <c r="Q137" s="68"/>
      <c r="R137" s="69"/>
      <c r="S137" s="69"/>
      <c r="T137" s="69"/>
      <c r="U137" s="69"/>
      <c r="V137" s="69"/>
      <c r="W137" s="68"/>
      <c r="X137" s="70"/>
      <c r="Y137" s="70"/>
      <c r="Z137" s="70"/>
      <c r="AA137" s="70"/>
      <c r="AB137" s="70"/>
      <c r="AC137" s="68"/>
      <c r="AD137" s="71"/>
      <c r="AE137" s="71"/>
      <c r="AF137" s="71"/>
      <c r="AG137" s="71"/>
      <c r="AH137" s="71"/>
      <c r="AI137" s="68"/>
      <c r="AJ137" s="214">
        <v>3.9689999999999994E-4</v>
      </c>
      <c r="AK137" s="214">
        <v>1.7345999999999999</v>
      </c>
      <c r="AL137" s="214">
        <v>4</v>
      </c>
      <c r="AM137" s="214">
        <v>5.7428799999999995E-4</v>
      </c>
      <c r="AN137" s="68"/>
      <c r="AO137" s="67"/>
      <c r="AP137" s="67"/>
      <c r="AQ137" s="67"/>
      <c r="AR137" s="67"/>
      <c r="AS137" s="67"/>
      <c r="AT137" s="68"/>
      <c r="AU137" s="49"/>
      <c r="AV137" s="50"/>
    </row>
    <row r="138" spans="1:48" ht="12.75" customHeight="1" x14ac:dyDescent="0.25">
      <c r="A138" s="72" t="s">
        <v>23</v>
      </c>
      <c r="B138" s="43" t="s">
        <v>159</v>
      </c>
      <c r="C138" s="44" t="s">
        <v>288</v>
      </c>
      <c r="D138" s="45">
        <f>MROUND(MID($C138,6,3)/Basis!$E$3,0.5)</f>
        <v>12</v>
      </c>
      <c r="E138" s="45">
        <f>MROUND(MID($C138,9,3)/Basis!$E$3,0.5)</f>
        <v>78.5</v>
      </c>
      <c r="F138" s="124" t="s">
        <v>2944</v>
      </c>
      <c r="G138" s="45">
        <f>ROUND((ROUNDDOWN($F138/5,0)*5+1.8)/Basis!$E$3,1)</f>
        <v>6.6</v>
      </c>
      <c r="H138" s="120">
        <f>ROUND($P138*Basis!$E$2*((TaH-TrH)/LN(1/µ)/Basis!$E$7)^$N138*$AA$4*Glycol,0)</f>
        <v>5850</v>
      </c>
      <c r="I138" s="83">
        <f>ROUND(H138/(MID($C138,9,3)/Basis!$E$3/Basis!$E$9)*Basis!$E$11,0)</f>
        <v>892</v>
      </c>
      <c r="J138" s="123">
        <f>IF(Basis!$E$1=1,ROUND(H138/((TaH-TrH)*1.163)/3600,3),ROUND(H138/(500*(TaH-TrH)),2))</f>
        <v>0.59</v>
      </c>
      <c r="K138" s="84"/>
      <c r="L138" s="177">
        <f>CHOOSE(Basis!$E$1,((AJ138*(J138*3600/Basis!$E$5)^AK138*(((MID(C138,9,3)*10)-144)/1000)*AL138+AM138*(J138*3600/Basis!$E$5)^2)*0.0098)/Basis!$E$10,((AJ138*(J138/Basis!$E$5)^AK138*(((MID(C138,9,3)*10)-144)/1000)*AL138+AM138*(J138/Basis!$E$5)^2)*0.0098)/Basis!$E$10)</f>
        <v>3.886370573249482E-2</v>
      </c>
      <c r="M138" s="85"/>
      <c r="N138" s="109">
        <v>1.3959999999999999</v>
      </c>
      <c r="O138" s="68"/>
      <c r="P138" s="67">
        <v>2718</v>
      </c>
      <c r="Q138" s="68"/>
      <c r="R138" s="69"/>
      <c r="S138" s="69"/>
      <c r="T138" s="69"/>
      <c r="U138" s="69"/>
      <c r="V138" s="69"/>
      <c r="W138" s="68"/>
      <c r="X138" s="70"/>
      <c r="Y138" s="70"/>
      <c r="Z138" s="70"/>
      <c r="AA138" s="70"/>
      <c r="AB138" s="70"/>
      <c r="AC138" s="68"/>
      <c r="AD138" s="71"/>
      <c r="AE138" s="71"/>
      <c r="AF138" s="71"/>
      <c r="AG138" s="71"/>
      <c r="AH138" s="71"/>
      <c r="AI138" s="68"/>
      <c r="AJ138" s="214">
        <v>2.0829999999999999E-4</v>
      </c>
      <c r="AK138" s="214">
        <v>1.724</v>
      </c>
      <c r="AL138" s="214">
        <v>2</v>
      </c>
      <c r="AM138" s="214">
        <v>4.6182900000000003E-4</v>
      </c>
      <c r="AN138" s="68"/>
      <c r="AO138" s="67"/>
      <c r="AP138" s="67"/>
      <c r="AQ138" s="67"/>
      <c r="AR138" s="67"/>
      <c r="AS138" s="67"/>
      <c r="AT138" s="68"/>
      <c r="AU138" s="49"/>
      <c r="AV138" s="50"/>
    </row>
    <row r="139" spans="1:48" ht="12.75" customHeight="1" x14ac:dyDescent="0.25">
      <c r="A139" s="72" t="s">
        <v>23</v>
      </c>
      <c r="B139" s="43" t="s">
        <v>159</v>
      </c>
      <c r="C139" s="44" t="s">
        <v>289</v>
      </c>
      <c r="D139" s="45">
        <f>MROUND(MID($C139,6,3)/Basis!$E$3,0.5)</f>
        <v>12</v>
      </c>
      <c r="E139" s="45">
        <f>MROUND(MID($C139,9,3)/Basis!$E$3,0.5)</f>
        <v>78.5</v>
      </c>
      <c r="F139" s="124" t="s">
        <v>2947</v>
      </c>
      <c r="G139" s="45">
        <f>ROUND((ROUNDDOWN($F139/5,0)*5+1.8)/Basis!$E$3,1)</f>
        <v>6.6</v>
      </c>
      <c r="H139" s="120">
        <f>ROUND($P139*Basis!$E$2*((TaH-TrH)/LN(1/µ)/Basis!$E$7)^$N139*$AA$4*Glycol,0)</f>
        <v>6246</v>
      </c>
      <c r="I139" s="83">
        <f>ROUND(H139/(MID($C139,9,3)/Basis!$E$3/Basis!$E$9)*Basis!$E$11,0)</f>
        <v>952</v>
      </c>
      <c r="J139" s="123">
        <f>IF(Basis!$E$1=1,ROUND(H139/((TaH-TrH)*1.163)/3600,3),ROUND(H139/(500*(TaH-TrH)),2))</f>
        <v>0.62</v>
      </c>
      <c r="K139" s="84"/>
      <c r="L139" s="177">
        <f>CHOOSE(Basis!$E$1,((AJ139*(J139*3600/Basis!$E$5)^AK139*(((MID(C139,9,3)*10)-144)/1000)*AL139+AM139*(J139*3600/Basis!$E$5)^2)*0.0098)/Basis!$E$10,((AJ139*(J139/Basis!$E$5)^AK139*(((MID(C139,9,3)*10)-144)/1000)*AL139+AM139*(J139/Basis!$E$5)^2)*0.0098)/Basis!$E$10)</f>
        <v>0.11589749889594478</v>
      </c>
      <c r="M139" s="85"/>
      <c r="N139" s="110">
        <v>1.456</v>
      </c>
      <c r="O139" s="74"/>
      <c r="P139" s="73">
        <v>2960</v>
      </c>
      <c r="Q139" s="74"/>
      <c r="R139" s="75"/>
      <c r="S139" s="75"/>
      <c r="T139" s="75"/>
      <c r="U139" s="75"/>
      <c r="V139" s="75"/>
      <c r="W139" s="74"/>
      <c r="X139" s="76"/>
      <c r="Y139" s="76"/>
      <c r="Z139" s="76"/>
      <c r="AA139" s="76"/>
      <c r="AB139" s="76"/>
      <c r="AC139" s="74"/>
      <c r="AD139" s="77"/>
      <c r="AE139" s="77"/>
      <c r="AF139" s="77"/>
      <c r="AG139" s="77"/>
      <c r="AH139" s="77"/>
      <c r="AI139" s="68"/>
      <c r="AJ139" s="213">
        <v>2.0829999999999999E-4</v>
      </c>
      <c r="AK139" s="213">
        <v>1.724</v>
      </c>
      <c r="AL139" s="213">
        <v>4</v>
      </c>
      <c r="AM139" s="213">
        <v>1.392796E-3</v>
      </c>
      <c r="AN139" s="74"/>
      <c r="AO139" s="73"/>
      <c r="AP139" s="73"/>
      <c r="AQ139" s="73"/>
      <c r="AR139" s="73"/>
      <c r="AS139" s="73"/>
      <c r="AT139" s="74"/>
      <c r="AU139" s="47"/>
      <c r="AV139" s="48"/>
    </row>
    <row r="140" spans="1:48" ht="12.75" customHeight="1" x14ac:dyDescent="0.25">
      <c r="A140" s="72" t="s">
        <v>23</v>
      </c>
      <c r="B140" s="43" t="s">
        <v>159</v>
      </c>
      <c r="C140" s="44" t="s">
        <v>290</v>
      </c>
      <c r="D140" s="45">
        <f>MROUND(MID($C140,6,3)/Basis!$E$3,0.5)</f>
        <v>12</v>
      </c>
      <c r="E140" s="45">
        <f>MROUND(MID($C140,9,3)/Basis!$E$3,0.5)</f>
        <v>78.5</v>
      </c>
      <c r="F140" s="124" t="s">
        <v>2945</v>
      </c>
      <c r="G140" s="45">
        <f>ROUND((ROUNDDOWN($F140/5,0)*5+1.8)/Basis!$E$3,1)</f>
        <v>8.6</v>
      </c>
      <c r="H140" s="120">
        <f>ROUND($P140*Basis!$E$2*((TaH-TrH)/LN(1/µ)/Basis!$E$7)^$N140*$AA$4*Glycol,0)</f>
        <v>8205</v>
      </c>
      <c r="I140" s="83">
        <f>ROUND(H140/(MID($C140,9,3)/Basis!$E$3/Basis!$E$9)*Basis!$E$11,0)</f>
        <v>1250</v>
      </c>
      <c r="J140" s="123">
        <f>IF(Basis!$E$1=1,ROUND(H140/((TaH-TrH)*1.163)/3600,3),ROUND(H140/(500*(TaH-TrH)),2))</f>
        <v>0.82</v>
      </c>
      <c r="K140" s="84"/>
      <c r="L140" s="177">
        <f>CHOOSE(Basis!$E$1,((AJ140*(J140*3600/Basis!$E$5)^AK140*(((MID(C140,9,3)*10)-144)/1000)*AL140+AM140*(J140*3600/Basis!$E$5)^2)*0.0098)/Basis!$E$10,((AJ140*(J140/Basis!$E$5)^AK140*(((MID(C140,9,3)*10)-144)/1000)*AL140+AM140*(J140/Basis!$E$5)^2)*0.0098)/Basis!$E$10)</f>
        <v>5.5267932305902427E-2</v>
      </c>
      <c r="M140" s="85"/>
      <c r="N140" s="110">
        <v>1.3959999999999999</v>
      </c>
      <c r="O140" s="74"/>
      <c r="P140" s="73">
        <v>3812</v>
      </c>
      <c r="Q140" s="74"/>
      <c r="R140" s="75"/>
      <c r="S140" s="75"/>
      <c r="T140" s="75"/>
      <c r="U140" s="75"/>
      <c r="V140" s="75"/>
      <c r="W140" s="74"/>
      <c r="X140" s="76"/>
      <c r="Y140" s="76"/>
      <c r="Z140" s="76"/>
      <c r="AA140" s="76"/>
      <c r="AB140" s="76"/>
      <c r="AC140" s="74"/>
      <c r="AD140" s="77"/>
      <c r="AE140" s="77"/>
      <c r="AF140" s="77"/>
      <c r="AG140" s="77"/>
      <c r="AH140" s="77"/>
      <c r="AI140" s="68"/>
      <c r="AJ140" s="213">
        <v>1.2760000000000001E-4</v>
      </c>
      <c r="AK140" s="213">
        <v>1.7219</v>
      </c>
      <c r="AL140" s="213">
        <v>2</v>
      </c>
      <c r="AM140" s="213">
        <v>3.76611E-4</v>
      </c>
      <c r="AN140" s="74"/>
      <c r="AO140" s="73"/>
      <c r="AP140" s="73"/>
      <c r="AQ140" s="73"/>
      <c r="AR140" s="73"/>
      <c r="AS140" s="73"/>
      <c r="AT140" s="74"/>
      <c r="AU140" s="47"/>
      <c r="AV140" s="48"/>
    </row>
    <row r="141" spans="1:48" ht="12.75" customHeight="1" x14ac:dyDescent="0.25">
      <c r="A141" s="72" t="s">
        <v>23</v>
      </c>
      <c r="B141" s="43" t="s">
        <v>159</v>
      </c>
      <c r="C141" s="44" t="s">
        <v>291</v>
      </c>
      <c r="D141" s="45">
        <f>MROUND(MID($C141,6,3)/Basis!$E$3,0.5)</f>
        <v>12</v>
      </c>
      <c r="E141" s="45">
        <f>MROUND(MID($C141,9,3)/Basis!$E$3,0.5)</f>
        <v>78.5</v>
      </c>
      <c r="F141" s="124" t="s">
        <v>2948</v>
      </c>
      <c r="G141" s="45">
        <f>ROUND((ROUNDDOWN($F141/5,0)*5+1.8)/Basis!$E$3,1)</f>
        <v>8.6</v>
      </c>
      <c r="H141" s="120">
        <f>ROUND($P141*Basis!$E$2*((TaH-TrH)/LN(1/µ)/Basis!$E$7)^$N141*$AA$4*Glycol,0)</f>
        <v>8189</v>
      </c>
      <c r="I141" s="83">
        <f>ROUND(H141/(MID($C141,9,3)/Basis!$E$3/Basis!$E$9)*Basis!$E$11,0)</f>
        <v>1248</v>
      </c>
      <c r="J141" s="123">
        <f>IF(Basis!$E$1=1,ROUND(H141/((TaH-TrH)*1.163)/3600,3),ROUND(H141/(500*(TaH-TrH)),2))</f>
        <v>0.82</v>
      </c>
      <c r="K141" s="84"/>
      <c r="L141" s="177">
        <f>CHOOSE(Basis!$E$1,((AJ141*(J141*3600/Basis!$E$5)^AK141*(((MID(C141,9,3)*10)-144)/1000)*AL141+AM141*(J141*3600/Basis!$E$5)^2)*0.0098)/Basis!$E$10,((AJ141*(J141/Basis!$E$5)^AK141*(((MID(C141,9,3)*10)-144)/1000)*AL141+AM141*(J141/Basis!$E$5)^2)*0.0098)/Basis!$E$10)</f>
        <v>8.3427599679258058E-2</v>
      </c>
      <c r="M141" s="85"/>
      <c r="N141" s="109">
        <v>1.468</v>
      </c>
      <c r="O141" s="68"/>
      <c r="P141" s="67">
        <v>3896</v>
      </c>
      <c r="Q141" s="68"/>
      <c r="R141" s="69"/>
      <c r="S141" s="69"/>
      <c r="T141" s="69"/>
      <c r="U141" s="69"/>
      <c r="V141" s="69"/>
      <c r="W141" s="68"/>
      <c r="X141" s="70"/>
      <c r="Y141" s="70"/>
      <c r="Z141" s="70"/>
      <c r="AA141" s="70"/>
      <c r="AB141" s="70"/>
      <c r="AC141" s="68"/>
      <c r="AD141" s="71"/>
      <c r="AE141" s="71"/>
      <c r="AF141" s="71"/>
      <c r="AG141" s="71"/>
      <c r="AH141" s="71"/>
      <c r="AI141" s="68"/>
      <c r="AJ141" s="214">
        <v>1.2760000000000001E-4</v>
      </c>
      <c r="AK141" s="214">
        <v>1.7219</v>
      </c>
      <c r="AL141" s="214">
        <v>4</v>
      </c>
      <c r="AM141" s="214">
        <v>5.1420100000000005E-4</v>
      </c>
      <c r="AN141" s="68"/>
      <c r="AO141" s="67"/>
      <c r="AP141" s="67"/>
      <c r="AQ141" s="67"/>
      <c r="AR141" s="67"/>
      <c r="AS141" s="67"/>
      <c r="AT141" s="68"/>
      <c r="AU141" s="49"/>
      <c r="AV141" s="50"/>
    </row>
    <row r="142" spans="1:48" ht="12.75" customHeight="1" x14ac:dyDescent="0.25">
      <c r="A142" s="72" t="s">
        <v>23</v>
      </c>
      <c r="B142" s="43" t="s">
        <v>159</v>
      </c>
      <c r="C142" s="44" t="s">
        <v>292</v>
      </c>
      <c r="D142" s="45">
        <f>MROUND(MID($C142,6,3)/Basis!$E$3,0.5)</f>
        <v>12</v>
      </c>
      <c r="E142" s="45">
        <f>MROUND(MID($C142,9,3)/Basis!$E$3,0.5)</f>
        <v>86.5</v>
      </c>
      <c r="F142" s="124" t="s">
        <v>2943</v>
      </c>
      <c r="G142" s="45">
        <f>ROUND((ROUNDDOWN($F142/5,0)*5+1.8)/Basis!$E$3,1)</f>
        <v>4.5999999999999996</v>
      </c>
      <c r="H142" s="120">
        <f>ROUND($P142*Basis!$E$2*((TaH-TrH)/LN(1/µ)/Basis!$E$7)^$N142*$AA$4*Glycol,0)</f>
        <v>3902</v>
      </c>
      <c r="I142" s="83">
        <f>ROUND(H142/(MID($C142,9,3)/Basis!$E$3/Basis!$E$9)*Basis!$E$11,0)</f>
        <v>541</v>
      </c>
      <c r="J142" s="123">
        <f>IF(Basis!$E$1=1,ROUND(H142/((TaH-TrH)*1.163)/3600,3),ROUND(H142/(500*(TaH-TrH)),2))</f>
        <v>0.39</v>
      </c>
      <c r="K142" s="84"/>
      <c r="L142" s="177">
        <f>CHOOSE(Basis!$E$1,((AJ142*(J142*3600/Basis!$E$5)^AK142*(((MID(C142,9,3)*10)-144)/1000)*AL142+AM142*(J142*3600/Basis!$E$5)^2)*0.0098)/Basis!$E$10,((AJ142*(J142/Basis!$E$5)^AK142*(((MID(C142,9,3)*10)-144)/1000)*AL142+AM142*(J142/Basis!$E$5)^2)*0.0098)/Basis!$E$10)</f>
        <v>2.2161668428323237E-2</v>
      </c>
      <c r="M142" s="85"/>
      <c r="N142" s="109">
        <v>1.403</v>
      </c>
      <c r="O142" s="68"/>
      <c r="P142" s="67">
        <v>1817</v>
      </c>
      <c r="Q142" s="68"/>
      <c r="R142" s="69"/>
      <c r="S142" s="69"/>
      <c r="T142" s="69"/>
      <c r="U142" s="69"/>
      <c r="V142" s="69"/>
      <c r="W142" s="68"/>
      <c r="X142" s="70"/>
      <c r="Y142" s="70"/>
      <c r="Z142" s="70"/>
      <c r="AA142" s="70"/>
      <c r="AB142" s="70"/>
      <c r="AC142" s="68"/>
      <c r="AD142" s="71"/>
      <c r="AE142" s="71"/>
      <c r="AF142" s="71"/>
      <c r="AG142" s="71"/>
      <c r="AH142" s="71"/>
      <c r="AI142" s="68"/>
      <c r="AJ142" s="214">
        <v>3.9689999999999994E-4</v>
      </c>
      <c r="AK142" s="214">
        <v>1.7345999999999999</v>
      </c>
      <c r="AL142" s="214">
        <v>2</v>
      </c>
      <c r="AM142" s="214">
        <v>3.6734700000000002E-4</v>
      </c>
      <c r="AN142" s="68"/>
      <c r="AO142" s="67"/>
      <c r="AP142" s="67"/>
      <c r="AQ142" s="67"/>
      <c r="AR142" s="67"/>
      <c r="AS142" s="67"/>
      <c r="AT142" s="68"/>
      <c r="AU142" s="49"/>
      <c r="AV142" s="50"/>
    </row>
    <row r="143" spans="1:48" ht="12.75" customHeight="1" x14ac:dyDescent="0.25">
      <c r="A143" s="72" t="s">
        <v>23</v>
      </c>
      <c r="B143" s="43" t="s">
        <v>159</v>
      </c>
      <c r="C143" s="44" t="s">
        <v>293</v>
      </c>
      <c r="D143" s="45">
        <f>MROUND(MID($C143,6,3)/Basis!$E$3,0.5)</f>
        <v>12</v>
      </c>
      <c r="E143" s="45">
        <f>MROUND(MID($C143,9,3)/Basis!$E$3,0.5)</f>
        <v>86.5</v>
      </c>
      <c r="F143" s="124" t="s">
        <v>2946</v>
      </c>
      <c r="G143" s="45">
        <f>ROUND((ROUNDDOWN($F143/5,0)*5+1.8)/Basis!$E$3,1)</f>
        <v>4.5999999999999996</v>
      </c>
      <c r="H143" s="120">
        <f>ROUND($P143*Basis!$E$2*((TaH-TrH)/LN(1/µ)/Basis!$E$7)^$N143*$AA$4*Glycol,0)</f>
        <v>5231</v>
      </c>
      <c r="I143" s="83">
        <f>ROUND(H143/(MID($C143,9,3)/Basis!$E$3/Basis!$E$9)*Basis!$E$11,0)</f>
        <v>725</v>
      </c>
      <c r="J143" s="123">
        <f>IF(Basis!$E$1=1,ROUND(H143/((TaH-TrH)*1.163)/3600,3),ROUND(H143/(500*(TaH-TrH)),2))</f>
        <v>0.52</v>
      </c>
      <c r="K143" s="84"/>
      <c r="L143" s="177">
        <f>CHOOSE(Basis!$E$1,((AJ143*(J143*3600/Basis!$E$5)^AK143*(((MID(C143,9,3)*10)-144)/1000)*AL143+AM143*(J143*3600/Basis!$E$5)^2)*0.0098)/Basis!$E$10,((AJ143*(J143/Basis!$E$5)^AK143*(((MID(C143,9,3)*10)-144)/1000)*AL143+AM143*(J143/Basis!$E$5)^2)*0.0098)/Basis!$E$10)</f>
        <v>6.8152053420155456E-2</v>
      </c>
      <c r="M143" s="85"/>
      <c r="N143" s="110">
        <v>1.44</v>
      </c>
      <c r="O143" s="74"/>
      <c r="P143" s="73">
        <v>2466</v>
      </c>
      <c r="Q143" s="74"/>
      <c r="R143" s="75"/>
      <c r="S143" s="75"/>
      <c r="T143" s="75"/>
      <c r="U143" s="75"/>
      <c r="V143" s="75"/>
      <c r="W143" s="74"/>
      <c r="X143" s="76"/>
      <c r="Y143" s="76"/>
      <c r="Z143" s="76"/>
      <c r="AA143" s="76"/>
      <c r="AB143" s="76"/>
      <c r="AC143" s="74"/>
      <c r="AD143" s="77"/>
      <c r="AE143" s="77"/>
      <c r="AF143" s="77"/>
      <c r="AG143" s="77"/>
      <c r="AH143" s="77"/>
      <c r="AI143" s="68"/>
      <c r="AJ143" s="213">
        <v>3.9689999999999994E-4</v>
      </c>
      <c r="AK143" s="213">
        <v>1.7345999999999999</v>
      </c>
      <c r="AL143" s="213">
        <v>4</v>
      </c>
      <c r="AM143" s="213">
        <v>5.7428799999999995E-4</v>
      </c>
      <c r="AN143" s="74"/>
      <c r="AO143" s="73"/>
      <c r="AP143" s="73"/>
      <c r="AQ143" s="73"/>
      <c r="AR143" s="73"/>
      <c r="AS143" s="73"/>
      <c r="AT143" s="74"/>
      <c r="AU143" s="47"/>
      <c r="AV143" s="48"/>
    </row>
    <row r="144" spans="1:48" ht="12.75" customHeight="1" x14ac:dyDescent="0.25">
      <c r="A144" s="72" t="s">
        <v>23</v>
      </c>
      <c r="B144" s="43" t="s">
        <v>159</v>
      </c>
      <c r="C144" s="44" t="s">
        <v>294</v>
      </c>
      <c r="D144" s="45">
        <f>MROUND(MID($C144,6,3)/Basis!$E$3,0.5)</f>
        <v>12</v>
      </c>
      <c r="E144" s="45">
        <f>MROUND(MID($C144,9,3)/Basis!$E$3,0.5)</f>
        <v>86.5</v>
      </c>
      <c r="F144" s="124" t="s">
        <v>2944</v>
      </c>
      <c r="G144" s="45">
        <f>ROUND((ROUNDDOWN($F144/5,0)*5+1.8)/Basis!$E$3,1)</f>
        <v>6.6</v>
      </c>
      <c r="H144" s="120">
        <f>ROUND($P144*Basis!$E$2*((TaH-TrH)/LN(1/µ)/Basis!$E$7)^$N144*$AA$4*Glycol,0)</f>
        <v>6436</v>
      </c>
      <c r="I144" s="83">
        <f>ROUND(H144/(MID($C144,9,3)/Basis!$E$3/Basis!$E$9)*Basis!$E$11,0)</f>
        <v>892</v>
      </c>
      <c r="J144" s="123">
        <f>IF(Basis!$E$1=1,ROUND(H144/((TaH-TrH)*1.163)/3600,3),ROUND(H144/(500*(TaH-TrH)),2))</f>
        <v>0.64</v>
      </c>
      <c r="K144" s="84"/>
      <c r="L144" s="177">
        <f>CHOOSE(Basis!$E$1,((AJ144*(J144*3600/Basis!$E$5)^AK144*(((MID(C144,9,3)*10)-144)/1000)*AL144+AM144*(J144*3600/Basis!$E$5)^2)*0.0098)/Basis!$E$10,((AJ144*(J144/Basis!$E$5)^AK144*(((MID(C144,9,3)*10)-144)/1000)*AL144+AM144*(J144/Basis!$E$5)^2)*0.0098)/Basis!$E$10)</f>
        <v>4.6879510069230509E-2</v>
      </c>
      <c r="M144" s="85"/>
      <c r="N144" s="110">
        <v>1.3959999999999999</v>
      </c>
      <c r="O144" s="74"/>
      <c r="P144" s="73">
        <v>2990</v>
      </c>
      <c r="Q144" s="74"/>
      <c r="R144" s="75"/>
      <c r="S144" s="75"/>
      <c r="T144" s="75"/>
      <c r="U144" s="75"/>
      <c r="V144" s="75"/>
      <c r="W144" s="74"/>
      <c r="X144" s="76"/>
      <c r="Y144" s="76"/>
      <c r="Z144" s="76"/>
      <c r="AA144" s="76"/>
      <c r="AB144" s="76"/>
      <c r="AC144" s="74"/>
      <c r="AD144" s="77"/>
      <c r="AE144" s="77"/>
      <c r="AF144" s="77"/>
      <c r="AG144" s="77"/>
      <c r="AH144" s="77"/>
      <c r="AI144" s="68"/>
      <c r="AJ144" s="213">
        <v>2.0829999999999999E-4</v>
      </c>
      <c r="AK144" s="213">
        <v>1.724</v>
      </c>
      <c r="AL144" s="213">
        <v>2</v>
      </c>
      <c r="AM144" s="213">
        <v>4.6182900000000003E-4</v>
      </c>
      <c r="AN144" s="74"/>
      <c r="AO144" s="73"/>
      <c r="AP144" s="73"/>
      <c r="AQ144" s="73"/>
      <c r="AR144" s="73"/>
      <c r="AS144" s="73"/>
      <c r="AT144" s="74"/>
      <c r="AU144" s="47"/>
      <c r="AV144" s="48"/>
    </row>
    <row r="145" spans="1:48" ht="12.75" customHeight="1" x14ac:dyDescent="0.25">
      <c r="A145" s="72" t="s">
        <v>23</v>
      </c>
      <c r="B145" s="43" t="s">
        <v>159</v>
      </c>
      <c r="C145" s="44" t="s">
        <v>295</v>
      </c>
      <c r="D145" s="45">
        <f>MROUND(MID($C145,6,3)/Basis!$E$3,0.5)</f>
        <v>12</v>
      </c>
      <c r="E145" s="45">
        <f>MROUND(MID($C145,9,3)/Basis!$E$3,0.5)</f>
        <v>86.5</v>
      </c>
      <c r="F145" s="124" t="s">
        <v>2947</v>
      </c>
      <c r="G145" s="45">
        <f>ROUND((ROUNDDOWN($F145/5,0)*5+1.8)/Basis!$E$3,1)</f>
        <v>6.6</v>
      </c>
      <c r="H145" s="120">
        <f>ROUND($P145*Basis!$E$2*((TaH-TrH)/LN(1/µ)/Basis!$E$7)^$N145*$AA$4*Glycol,0)</f>
        <v>6871</v>
      </c>
      <c r="I145" s="83">
        <f>ROUND(H145/(MID($C145,9,3)/Basis!$E$3/Basis!$E$9)*Basis!$E$11,0)</f>
        <v>952</v>
      </c>
      <c r="J145" s="123">
        <f>IF(Basis!$E$1=1,ROUND(H145/((TaH-TrH)*1.163)/3600,3),ROUND(H145/(500*(TaH-TrH)),2))</f>
        <v>0.69</v>
      </c>
      <c r="K145" s="84"/>
      <c r="L145" s="177">
        <f>CHOOSE(Basis!$E$1,((AJ145*(J145*3600/Basis!$E$5)^AK145*(((MID(C145,9,3)*10)-144)/1000)*AL145+AM145*(J145*3600/Basis!$E$5)^2)*0.0098)/Basis!$E$10,((AJ145*(J145/Basis!$E$5)^AK145*(((MID(C145,9,3)*10)-144)/1000)*AL145+AM145*(J145/Basis!$E$5)^2)*0.0098)/Basis!$E$10)</f>
        <v>0.14593947538386273</v>
      </c>
      <c r="M145" s="85"/>
      <c r="N145" s="109">
        <v>1.456</v>
      </c>
      <c r="O145" s="68"/>
      <c r="P145" s="67">
        <v>3256</v>
      </c>
      <c r="Q145" s="68"/>
      <c r="R145" s="69"/>
      <c r="S145" s="69"/>
      <c r="T145" s="69"/>
      <c r="U145" s="69"/>
      <c r="V145" s="69"/>
      <c r="W145" s="68"/>
      <c r="X145" s="70"/>
      <c r="Y145" s="70"/>
      <c r="Z145" s="70"/>
      <c r="AA145" s="70"/>
      <c r="AB145" s="70"/>
      <c r="AC145" s="68"/>
      <c r="AD145" s="71"/>
      <c r="AE145" s="71"/>
      <c r="AF145" s="71"/>
      <c r="AG145" s="71"/>
      <c r="AH145" s="71"/>
      <c r="AI145" s="68"/>
      <c r="AJ145" s="214">
        <v>2.0829999999999999E-4</v>
      </c>
      <c r="AK145" s="214">
        <v>1.724</v>
      </c>
      <c r="AL145" s="214">
        <v>4</v>
      </c>
      <c r="AM145" s="214">
        <v>1.392796E-3</v>
      </c>
      <c r="AN145" s="68"/>
      <c r="AO145" s="67"/>
      <c r="AP145" s="67"/>
      <c r="AQ145" s="67"/>
      <c r="AR145" s="67"/>
      <c r="AS145" s="67"/>
      <c r="AT145" s="68"/>
      <c r="AU145" s="49"/>
      <c r="AV145" s="50"/>
    </row>
    <row r="146" spans="1:48" ht="12.75" customHeight="1" x14ac:dyDescent="0.25">
      <c r="A146" s="72" t="s">
        <v>23</v>
      </c>
      <c r="B146" s="43" t="s">
        <v>159</v>
      </c>
      <c r="C146" s="44" t="s">
        <v>296</v>
      </c>
      <c r="D146" s="45">
        <f>MROUND(MID($C146,6,3)/Basis!$E$3,0.5)</f>
        <v>12</v>
      </c>
      <c r="E146" s="45">
        <f>MROUND(MID($C146,9,3)/Basis!$E$3,0.5)</f>
        <v>86.5</v>
      </c>
      <c r="F146" s="124" t="s">
        <v>2945</v>
      </c>
      <c r="G146" s="45">
        <f>ROUND((ROUNDDOWN($F146/5,0)*5+1.8)/Basis!$E$3,1)</f>
        <v>8.6</v>
      </c>
      <c r="H146" s="120">
        <f>ROUND($P146*Basis!$E$2*((TaH-TrH)/LN(1/µ)/Basis!$E$7)^$N146*$AA$4*Glycol,0)</f>
        <v>9025</v>
      </c>
      <c r="I146" s="83">
        <f>ROUND(H146/(MID($C146,9,3)/Basis!$E$3/Basis!$E$9)*Basis!$E$11,0)</f>
        <v>1250</v>
      </c>
      <c r="J146" s="123">
        <f>IF(Basis!$E$1=1,ROUND(H146/((TaH-TrH)*1.163)/3600,3),ROUND(H146/(500*(TaH-TrH)),2))</f>
        <v>0.9</v>
      </c>
      <c r="K146" s="84"/>
      <c r="L146" s="177">
        <f>CHOOSE(Basis!$E$1,((AJ146*(J146*3600/Basis!$E$5)^AK146*(((MID(C146,9,3)*10)-144)/1000)*AL146+AM146*(J146*3600/Basis!$E$5)^2)*0.0098)/Basis!$E$10,((AJ146*(J146/Basis!$E$5)^AK146*(((MID(C146,9,3)*10)-144)/1000)*AL146+AM146*(J146/Basis!$E$5)^2)*0.0098)/Basis!$E$10)</f>
        <v>6.7779573601437368E-2</v>
      </c>
      <c r="M146" s="85"/>
      <c r="N146" s="109">
        <v>1.3959999999999999</v>
      </c>
      <c r="O146" s="68"/>
      <c r="P146" s="67">
        <v>4193</v>
      </c>
      <c r="Q146" s="68"/>
      <c r="R146" s="69"/>
      <c r="S146" s="69"/>
      <c r="T146" s="69"/>
      <c r="U146" s="69"/>
      <c r="V146" s="69"/>
      <c r="W146" s="68"/>
      <c r="X146" s="70"/>
      <c r="Y146" s="70"/>
      <c r="Z146" s="70"/>
      <c r="AA146" s="70"/>
      <c r="AB146" s="70"/>
      <c r="AC146" s="68"/>
      <c r="AD146" s="71"/>
      <c r="AE146" s="71"/>
      <c r="AF146" s="71"/>
      <c r="AG146" s="71"/>
      <c r="AH146" s="71"/>
      <c r="AI146" s="68"/>
      <c r="AJ146" s="214">
        <v>1.2760000000000001E-4</v>
      </c>
      <c r="AK146" s="214">
        <v>1.7219</v>
      </c>
      <c r="AL146" s="214">
        <v>2</v>
      </c>
      <c r="AM146" s="214">
        <v>3.76611E-4</v>
      </c>
      <c r="AN146" s="68"/>
      <c r="AO146" s="67"/>
      <c r="AP146" s="67"/>
      <c r="AQ146" s="67"/>
      <c r="AR146" s="67"/>
      <c r="AS146" s="67"/>
      <c r="AT146" s="68"/>
      <c r="AU146" s="49"/>
      <c r="AV146" s="50"/>
    </row>
    <row r="147" spans="1:48" ht="12.75" customHeight="1" x14ac:dyDescent="0.25">
      <c r="A147" s="72" t="s">
        <v>23</v>
      </c>
      <c r="B147" s="43" t="s">
        <v>159</v>
      </c>
      <c r="C147" s="44" t="s">
        <v>297</v>
      </c>
      <c r="D147" s="45">
        <f>MROUND(MID($C147,6,3)/Basis!$E$3,0.5)</f>
        <v>12</v>
      </c>
      <c r="E147" s="45">
        <f>MROUND(MID($C147,9,3)/Basis!$E$3,0.5)</f>
        <v>86.5</v>
      </c>
      <c r="F147" s="124" t="s">
        <v>2948</v>
      </c>
      <c r="G147" s="45">
        <f>ROUND((ROUNDDOWN($F147/5,0)*5+1.8)/Basis!$E$3,1)</f>
        <v>8.6</v>
      </c>
      <c r="H147" s="120">
        <f>ROUND($P147*Basis!$E$2*((TaH-TrH)/LN(1/µ)/Basis!$E$7)^$N147*$AA$4*Glycol,0)</f>
        <v>9009</v>
      </c>
      <c r="I147" s="83">
        <f>ROUND(H147/(MID($C147,9,3)/Basis!$E$3/Basis!$E$9)*Basis!$E$11,0)</f>
        <v>1248</v>
      </c>
      <c r="J147" s="123">
        <f>IF(Basis!$E$1=1,ROUND(H147/((TaH-TrH)*1.163)/3600,3),ROUND(H147/(500*(TaH-TrH)),2))</f>
        <v>0.9</v>
      </c>
      <c r="K147" s="84"/>
      <c r="L147" s="177">
        <f>CHOOSE(Basis!$E$1,((AJ147*(J147*3600/Basis!$E$5)^AK147*(((MID(C147,9,3)*10)-144)/1000)*AL147+AM147*(J147*3600/Basis!$E$5)^2)*0.0098)/Basis!$E$10,((AJ147*(J147/Basis!$E$5)^AK147*(((MID(C147,9,3)*10)-144)/1000)*AL147+AM147*(J147/Basis!$E$5)^2)*0.0098)/Basis!$E$10)</f>
        <v>0.1029034443543279</v>
      </c>
      <c r="M147" s="85"/>
      <c r="N147" s="110">
        <v>1.468</v>
      </c>
      <c r="O147" s="74"/>
      <c r="P147" s="73">
        <v>4286</v>
      </c>
      <c r="Q147" s="74"/>
      <c r="R147" s="75"/>
      <c r="S147" s="75"/>
      <c r="T147" s="75"/>
      <c r="U147" s="75"/>
      <c r="V147" s="75"/>
      <c r="W147" s="74"/>
      <c r="X147" s="76"/>
      <c r="Y147" s="76"/>
      <c r="Z147" s="76"/>
      <c r="AA147" s="76"/>
      <c r="AB147" s="76"/>
      <c r="AC147" s="74"/>
      <c r="AD147" s="77"/>
      <c r="AE147" s="77"/>
      <c r="AF147" s="77"/>
      <c r="AG147" s="77"/>
      <c r="AH147" s="77"/>
      <c r="AI147" s="68"/>
      <c r="AJ147" s="213">
        <v>1.2760000000000001E-4</v>
      </c>
      <c r="AK147" s="213">
        <v>1.7219</v>
      </c>
      <c r="AL147" s="213">
        <v>4</v>
      </c>
      <c r="AM147" s="213">
        <v>5.1420100000000005E-4</v>
      </c>
      <c r="AN147" s="74"/>
      <c r="AO147" s="73"/>
      <c r="AP147" s="73"/>
      <c r="AQ147" s="73"/>
      <c r="AR147" s="73"/>
      <c r="AS147" s="73"/>
      <c r="AT147" s="74"/>
      <c r="AU147" s="47"/>
      <c r="AV147" s="48"/>
    </row>
    <row r="148" spans="1:48" ht="12.75" customHeight="1" x14ac:dyDescent="0.25">
      <c r="A148" s="72" t="s">
        <v>23</v>
      </c>
      <c r="B148" s="43" t="s">
        <v>159</v>
      </c>
      <c r="C148" s="44" t="s">
        <v>298</v>
      </c>
      <c r="D148" s="45">
        <f>MROUND(MID($C148,6,3)/Basis!$E$3,0.5)</f>
        <v>12</v>
      </c>
      <c r="E148" s="45">
        <f>MROUND(MID($C148,9,3)/Basis!$E$3,0.5)</f>
        <v>94.5</v>
      </c>
      <c r="F148" s="124" t="s">
        <v>2943</v>
      </c>
      <c r="G148" s="45">
        <f>ROUND((ROUNDDOWN($F148/5,0)*5+1.8)/Basis!$E$3,1)</f>
        <v>4.5999999999999996</v>
      </c>
      <c r="H148" s="120">
        <f>ROUND($P148*Basis!$E$2*((TaH-TrH)/LN(1/µ)/Basis!$E$7)^$N148*$AA$4*Glycol,0)</f>
        <v>4256</v>
      </c>
      <c r="I148" s="83">
        <f>ROUND(H148/(MID($C148,9,3)/Basis!$E$3/Basis!$E$9)*Basis!$E$11,0)</f>
        <v>541</v>
      </c>
      <c r="J148" s="123">
        <f>IF(Basis!$E$1=1,ROUND(H148/((TaH-TrH)*1.163)/3600,3),ROUND(H148/(500*(TaH-TrH)),2))</f>
        <v>0.43</v>
      </c>
      <c r="K148" s="84"/>
      <c r="L148" s="177">
        <f>CHOOSE(Basis!$E$1,((AJ148*(J148*3600/Basis!$E$5)^AK148*(((MID(C148,9,3)*10)-144)/1000)*AL148+AM148*(J148*3600/Basis!$E$5)^2)*0.0098)/Basis!$E$10,((AJ148*(J148/Basis!$E$5)^AK148*(((MID(C148,9,3)*10)-144)/1000)*AL148+AM148*(J148/Basis!$E$5)^2)*0.0098)/Basis!$E$10)</f>
        <v>2.8012408638653365E-2</v>
      </c>
      <c r="M148" s="85"/>
      <c r="N148" s="110">
        <v>1.403</v>
      </c>
      <c r="O148" s="74"/>
      <c r="P148" s="73">
        <v>1982</v>
      </c>
      <c r="Q148" s="74"/>
      <c r="R148" s="75"/>
      <c r="S148" s="75"/>
      <c r="T148" s="75"/>
      <c r="U148" s="75"/>
      <c r="V148" s="75"/>
      <c r="W148" s="74"/>
      <c r="X148" s="76"/>
      <c r="Y148" s="76"/>
      <c r="Z148" s="76"/>
      <c r="AA148" s="76"/>
      <c r="AB148" s="76"/>
      <c r="AC148" s="74"/>
      <c r="AD148" s="77"/>
      <c r="AE148" s="77"/>
      <c r="AF148" s="77"/>
      <c r="AG148" s="77"/>
      <c r="AH148" s="77"/>
      <c r="AI148" s="68"/>
      <c r="AJ148" s="213">
        <v>3.9689999999999994E-4</v>
      </c>
      <c r="AK148" s="213">
        <v>1.7345999999999999</v>
      </c>
      <c r="AL148" s="213">
        <v>2</v>
      </c>
      <c r="AM148" s="213">
        <v>3.6734700000000002E-4</v>
      </c>
      <c r="AN148" s="74"/>
      <c r="AO148" s="73"/>
      <c r="AP148" s="73"/>
      <c r="AQ148" s="73"/>
      <c r="AR148" s="73"/>
      <c r="AS148" s="73"/>
      <c r="AT148" s="74"/>
      <c r="AU148" s="47"/>
      <c r="AV148" s="48"/>
    </row>
    <row r="149" spans="1:48" ht="12.75" customHeight="1" x14ac:dyDescent="0.25">
      <c r="A149" s="72" t="s">
        <v>23</v>
      </c>
      <c r="B149" s="43" t="s">
        <v>159</v>
      </c>
      <c r="C149" s="44" t="s">
        <v>299</v>
      </c>
      <c r="D149" s="45">
        <f>MROUND(MID($C149,6,3)/Basis!$E$3,0.5)</f>
        <v>12</v>
      </c>
      <c r="E149" s="45">
        <f>MROUND(MID($C149,9,3)/Basis!$E$3,0.5)</f>
        <v>94.5</v>
      </c>
      <c r="F149" s="124" t="s">
        <v>2946</v>
      </c>
      <c r="G149" s="45">
        <f>ROUND((ROUNDDOWN($F149/5,0)*5+1.8)/Basis!$E$3,1)</f>
        <v>4.5999999999999996</v>
      </c>
      <c r="H149" s="120">
        <f>ROUND($P149*Basis!$E$2*((TaH-TrH)/LN(1/µ)/Basis!$E$7)^$N149*$AA$4*Glycol,0)</f>
        <v>5707</v>
      </c>
      <c r="I149" s="83">
        <f>ROUND(H149/(MID($C149,9,3)/Basis!$E$3/Basis!$E$9)*Basis!$E$11,0)</f>
        <v>725</v>
      </c>
      <c r="J149" s="123">
        <f>IF(Basis!$E$1=1,ROUND(H149/((TaH-TrH)*1.163)/3600,3),ROUND(H149/(500*(TaH-TrH)),2))</f>
        <v>0.56999999999999995</v>
      </c>
      <c r="K149" s="84"/>
      <c r="L149" s="177">
        <f>CHOOSE(Basis!$E$1,((AJ149*(J149*3600/Basis!$E$5)^AK149*(((MID(C149,9,3)*10)-144)/1000)*AL149+AM149*(J149*3600/Basis!$E$5)^2)*0.0098)/Basis!$E$10,((AJ149*(J149/Basis!$E$5)^AK149*(((MID(C149,9,3)*10)-144)/1000)*AL149+AM149*(J149/Basis!$E$5)^2)*0.0098)/Basis!$E$10)</f>
        <v>8.5461030412244385E-2</v>
      </c>
      <c r="M149" s="85"/>
      <c r="N149" s="109">
        <v>1.44</v>
      </c>
      <c r="O149" s="68"/>
      <c r="P149" s="67">
        <v>2690</v>
      </c>
      <c r="Q149" s="68"/>
      <c r="R149" s="69"/>
      <c r="S149" s="69"/>
      <c r="T149" s="69"/>
      <c r="U149" s="69"/>
      <c r="V149" s="69"/>
      <c r="W149" s="68"/>
      <c r="X149" s="70"/>
      <c r="Y149" s="70"/>
      <c r="Z149" s="70"/>
      <c r="AA149" s="70"/>
      <c r="AB149" s="70"/>
      <c r="AC149" s="68"/>
      <c r="AD149" s="71"/>
      <c r="AE149" s="71"/>
      <c r="AF149" s="71"/>
      <c r="AG149" s="71"/>
      <c r="AH149" s="71"/>
      <c r="AI149" s="68"/>
      <c r="AJ149" s="214">
        <v>3.9689999999999994E-4</v>
      </c>
      <c r="AK149" s="214">
        <v>1.7345999999999999</v>
      </c>
      <c r="AL149" s="214">
        <v>4</v>
      </c>
      <c r="AM149" s="214">
        <v>5.7428799999999995E-4</v>
      </c>
      <c r="AN149" s="68"/>
      <c r="AO149" s="67"/>
      <c r="AP149" s="67"/>
      <c r="AQ149" s="67"/>
      <c r="AR149" s="67"/>
      <c r="AS149" s="67"/>
      <c r="AT149" s="68"/>
      <c r="AU149" s="49"/>
      <c r="AV149" s="50"/>
    </row>
    <row r="150" spans="1:48" ht="12.75" customHeight="1" x14ac:dyDescent="0.25">
      <c r="A150" s="72" t="s">
        <v>23</v>
      </c>
      <c r="B150" s="43" t="s">
        <v>159</v>
      </c>
      <c r="C150" s="44" t="s">
        <v>300</v>
      </c>
      <c r="D150" s="45">
        <f>MROUND(MID($C150,6,3)/Basis!$E$3,0.5)</f>
        <v>12</v>
      </c>
      <c r="E150" s="45">
        <f>MROUND(MID($C150,9,3)/Basis!$E$3,0.5)</f>
        <v>94.5</v>
      </c>
      <c r="F150" s="124" t="s">
        <v>2944</v>
      </c>
      <c r="G150" s="45">
        <f>ROUND((ROUNDDOWN($F150/5,0)*5+1.8)/Basis!$E$3,1)</f>
        <v>6.6</v>
      </c>
      <c r="H150" s="120">
        <f>ROUND($P150*Basis!$E$2*((TaH-TrH)/LN(1/µ)/Basis!$E$7)^$N150*$AA$4*Glycol,0)</f>
        <v>7021</v>
      </c>
      <c r="I150" s="83">
        <f>ROUND(H150/(MID($C150,9,3)/Basis!$E$3/Basis!$E$9)*Basis!$E$11,0)</f>
        <v>892</v>
      </c>
      <c r="J150" s="123">
        <f>IF(Basis!$E$1=1,ROUND(H150/((TaH-TrH)*1.163)/3600,3),ROUND(H150/(500*(TaH-TrH)),2))</f>
        <v>0.7</v>
      </c>
      <c r="K150" s="84"/>
      <c r="L150" s="177">
        <f>CHOOSE(Basis!$E$1,((AJ150*(J150*3600/Basis!$E$5)^AK150*(((MID(C150,9,3)*10)-144)/1000)*AL150+AM150*(J150*3600/Basis!$E$5)^2)*0.0098)/Basis!$E$10,((AJ150*(J150/Basis!$E$5)^AK150*(((MID(C150,9,3)*10)-144)/1000)*AL150+AM150*(J150/Basis!$E$5)^2)*0.0098)/Basis!$E$10)</f>
        <v>5.734371189294736E-2</v>
      </c>
      <c r="M150" s="85"/>
      <c r="N150" s="109">
        <v>1.3959999999999999</v>
      </c>
      <c r="O150" s="68"/>
      <c r="P150" s="67">
        <v>3262</v>
      </c>
      <c r="Q150" s="68"/>
      <c r="R150" s="69"/>
      <c r="S150" s="69"/>
      <c r="T150" s="69"/>
      <c r="U150" s="69"/>
      <c r="V150" s="69"/>
      <c r="W150" s="68"/>
      <c r="X150" s="70"/>
      <c r="Y150" s="70"/>
      <c r="Z150" s="70"/>
      <c r="AA150" s="70"/>
      <c r="AB150" s="70"/>
      <c r="AC150" s="68"/>
      <c r="AD150" s="71"/>
      <c r="AE150" s="71"/>
      <c r="AF150" s="71"/>
      <c r="AG150" s="71"/>
      <c r="AH150" s="71"/>
      <c r="AI150" s="68"/>
      <c r="AJ150" s="214">
        <v>2.0829999999999999E-4</v>
      </c>
      <c r="AK150" s="214">
        <v>1.724</v>
      </c>
      <c r="AL150" s="214">
        <v>2</v>
      </c>
      <c r="AM150" s="214">
        <v>4.6182900000000003E-4</v>
      </c>
      <c r="AN150" s="68"/>
      <c r="AO150" s="67"/>
      <c r="AP150" s="67"/>
      <c r="AQ150" s="67"/>
      <c r="AR150" s="67"/>
      <c r="AS150" s="67"/>
      <c r="AT150" s="68"/>
      <c r="AU150" s="49"/>
      <c r="AV150" s="50"/>
    </row>
    <row r="151" spans="1:48" ht="12.75" customHeight="1" x14ac:dyDescent="0.25">
      <c r="A151" s="72" t="s">
        <v>23</v>
      </c>
      <c r="B151" s="43" t="s">
        <v>159</v>
      </c>
      <c r="C151" s="44" t="s">
        <v>301</v>
      </c>
      <c r="D151" s="45">
        <f>MROUND(MID($C151,6,3)/Basis!$E$3,0.5)</f>
        <v>12</v>
      </c>
      <c r="E151" s="45">
        <f>MROUND(MID($C151,9,3)/Basis!$E$3,0.5)</f>
        <v>94.5</v>
      </c>
      <c r="F151" s="124" t="s">
        <v>2947</v>
      </c>
      <c r="G151" s="45">
        <f>ROUND((ROUNDDOWN($F151/5,0)*5+1.8)/Basis!$E$3,1)</f>
        <v>6.6</v>
      </c>
      <c r="H151" s="120">
        <f>ROUND($P151*Basis!$E$2*((TaH-TrH)/LN(1/µ)/Basis!$E$7)^$N151*$AA$4*Glycol,0)</f>
        <v>7496</v>
      </c>
      <c r="I151" s="83">
        <f>ROUND(H151/(MID($C151,9,3)/Basis!$E$3/Basis!$E$9)*Basis!$E$11,0)</f>
        <v>952</v>
      </c>
      <c r="J151" s="123">
        <f>IF(Basis!$E$1=1,ROUND(H151/((TaH-TrH)*1.163)/3600,3),ROUND(H151/(500*(TaH-TrH)),2))</f>
        <v>0.75</v>
      </c>
      <c r="K151" s="84"/>
      <c r="L151" s="177">
        <f>CHOOSE(Basis!$E$1,((AJ151*(J151*3600/Basis!$E$5)^AK151*(((MID(C151,9,3)*10)-144)/1000)*AL151+AM151*(J151*3600/Basis!$E$5)^2)*0.0098)/Basis!$E$10,((AJ151*(J151/Basis!$E$5)^AK151*(((MID(C151,9,3)*10)-144)/1000)*AL151+AM151*(J151/Basis!$E$5)^2)*0.0098)/Basis!$E$10)</f>
        <v>0.17533648999582349</v>
      </c>
      <c r="M151" s="85"/>
      <c r="N151" s="110">
        <v>1.456</v>
      </c>
      <c r="O151" s="74"/>
      <c r="P151" s="73">
        <v>3552</v>
      </c>
      <c r="Q151" s="74"/>
      <c r="R151" s="75"/>
      <c r="S151" s="75"/>
      <c r="T151" s="75"/>
      <c r="U151" s="75"/>
      <c r="V151" s="75"/>
      <c r="W151" s="74"/>
      <c r="X151" s="76"/>
      <c r="Y151" s="76"/>
      <c r="Z151" s="76"/>
      <c r="AA151" s="76"/>
      <c r="AB151" s="76"/>
      <c r="AC151" s="74"/>
      <c r="AD151" s="77"/>
      <c r="AE151" s="77"/>
      <c r="AF151" s="77"/>
      <c r="AG151" s="77"/>
      <c r="AH151" s="77"/>
      <c r="AI151" s="68"/>
      <c r="AJ151" s="213">
        <v>2.0829999999999999E-4</v>
      </c>
      <c r="AK151" s="213">
        <v>1.724</v>
      </c>
      <c r="AL151" s="213">
        <v>4</v>
      </c>
      <c r="AM151" s="213">
        <v>1.392796E-3</v>
      </c>
      <c r="AN151" s="74"/>
      <c r="AO151" s="73"/>
      <c r="AP151" s="73"/>
      <c r="AQ151" s="73"/>
      <c r="AR151" s="73"/>
      <c r="AS151" s="73"/>
      <c r="AT151" s="74"/>
      <c r="AU151" s="47"/>
      <c r="AV151" s="48"/>
    </row>
    <row r="152" spans="1:48" ht="12.75" customHeight="1" x14ac:dyDescent="0.25">
      <c r="A152" s="72" t="s">
        <v>23</v>
      </c>
      <c r="B152" s="43" t="s">
        <v>159</v>
      </c>
      <c r="C152" s="44" t="s">
        <v>302</v>
      </c>
      <c r="D152" s="45">
        <f>MROUND(MID($C152,6,3)/Basis!$E$3,0.5)</f>
        <v>12</v>
      </c>
      <c r="E152" s="45">
        <f>MROUND(MID($C152,9,3)/Basis!$E$3,0.5)</f>
        <v>94.5</v>
      </c>
      <c r="F152" s="124" t="s">
        <v>2945</v>
      </c>
      <c r="G152" s="45">
        <f>ROUND((ROUNDDOWN($F152/5,0)*5+1.8)/Basis!$E$3,1)</f>
        <v>8.6</v>
      </c>
      <c r="H152" s="120">
        <f>ROUND($P152*Basis!$E$2*((TaH-TrH)/LN(1/µ)/Basis!$E$7)^$N152*$AA$4*Glycol,0)</f>
        <v>9845</v>
      </c>
      <c r="I152" s="83">
        <f>ROUND(H152/(MID($C152,9,3)/Basis!$E$3/Basis!$E$9)*Basis!$E$11,0)</f>
        <v>1250</v>
      </c>
      <c r="J152" s="123">
        <f>IF(Basis!$E$1=1,ROUND(H152/((TaH-TrH)*1.163)/3600,3),ROUND(H152/(500*(TaH-TrH)),2))</f>
        <v>0.98</v>
      </c>
      <c r="K152" s="84"/>
      <c r="L152" s="177">
        <f>CHOOSE(Basis!$E$1,((AJ152*(J152*3600/Basis!$E$5)^AK152*(((MID(C152,9,3)*10)-144)/1000)*AL152+AM152*(J152*3600/Basis!$E$5)^2)*0.0098)/Basis!$E$10,((AJ152*(J152/Basis!$E$5)^AK152*(((MID(C152,9,3)*10)-144)/1000)*AL152+AM152*(J152/Basis!$E$5)^2)*0.0098)/Basis!$E$10)</f>
        <v>8.1750714693112583E-2</v>
      </c>
      <c r="M152" s="85"/>
      <c r="N152" s="110">
        <v>1.3959999999999999</v>
      </c>
      <c r="O152" s="74"/>
      <c r="P152" s="73">
        <v>4574</v>
      </c>
      <c r="Q152" s="74"/>
      <c r="R152" s="75"/>
      <c r="S152" s="75"/>
      <c r="T152" s="75"/>
      <c r="U152" s="75"/>
      <c r="V152" s="75"/>
      <c r="W152" s="74"/>
      <c r="X152" s="76"/>
      <c r="Y152" s="76"/>
      <c r="Z152" s="76"/>
      <c r="AA152" s="76"/>
      <c r="AB152" s="76"/>
      <c r="AC152" s="74"/>
      <c r="AD152" s="77"/>
      <c r="AE152" s="77"/>
      <c r="AF152" s="77"/>
      <c r="AG152" s="77"/>
      <c r="AH152" s="77"/>
      <c r="AI152" s="68"/>
      <c r="AJ152" s="213">
        <v>1.2760000000000001E-4</v>
      </c>
      <c r="AK152" s="213">
        <v>1.7219</v>
      </c>
      <c r="AL152" s="213">
        <v>2</v>
      </c>
      <c r="AM152" s="213">
        <v>3.76611E-4</v>
      </c>
      <c r="AN152" s="74"/>
      <c r="AO152" s="73"/>
      <c r="AP152" s="73"/>
      <c r="AQ152" s="73"/>
      <c r="AR152" s="73"/>
      <c r="AS152" s="73"/>
      <c r="AT152" s="74"/>
      <c r="AU152" s="47"/>
      <c r="AV152" s="48"/>
    </row>
    <row r="153" spans="1:48" ht="12.75" customHeight="1" x14ac:dyDescent="0.25">
      <c r="A153" s="72" t="s">
        <v>23</v>
      </c>
      <c r="B153" s="43" t="s">
        <v>159</v>
      </c>
      <c r="C153" s="44" t="s">
        <v>303</v>
      </c>
      <c r="D153" s="45">
        <f>MROUND(MID($C153,6,3)/Basis!$E$3,0.5)</f>
        <v>12</v>
      </c>
      <c r="E153" s="45">
        <f>MROUND(MID($C153,9,3)/Basis!$E$3,0.5)</f>
        <v>94.5</v>
      </c>
      <c r="F153" s="124" t="s">
        <v>2948</v>
      </c>
      <c r="G153" s="45">
        <f>ROUND((ROUNDDOWN($F153/5,0)*5+1.8)/Basis!$E$3,1)</f>
        <v>8.6</v>
      </c>
      <c r="H153" s="120">
        <f>ROUND($P153*Basis!$E$2*((TaH-TrH)/LN(1/µ)/Basis!$E$7)^$N153*$AA$4*Glycol,0)</f>
        <v>9826</v>
      </c>
      <c r="I153" s="83">
        <f>ROUND(H153/(MID($C153,9,3)/Basis!$E$3/Basis!$E$9)*Basis!$E$11,0)</f>
        <v>1248</v>
      </c>
      <c r="J153" s="123">
        <f>IF(Basis!$E$1=1,ROUND(H153/((TaH-TrH)*1.163)/3600,3),ROUND(H153/(500*(TaH-TrH)),2))</f>
        <v>0.98</v>
      </c>
      <c r="K153" s="84"/>
      <c r="L153" s="177">
        <f>CHOOSE(Basis!$E$1,((AJ153*(J153*3600/Basis!$E$5)^AK153*(((MID(C153,9,3)*10)-144)/1000)*AL153+AM153*(J153*3600/Basis!$E$5)^2)*0.0098)/Basis!$E$10,((AJ153*(J153/Basis!$E$5)^AK153*(((MID(C153,9,3)*10)-144)/1000)*AL153+AM153*(J153/Basis!$E$5)^2)*0.0098)/Basis!$E$10)</f>
        <v>0.12478224788530616</v>
      </c>
      <c r="M153" s="85"/>
      <c r="N153" s="109">
        <v>1.468</v>
      </c>
      <c r="O153" s="68"/>
      <c r="P153" s="67">
        <v>4675</v>
      </c>
      <c r="Q153" s="68"/>
      <c r="R153" s="69"/>
      <c r="S153" s="69"/>
      <c r="T153" s="69"/>
      <c r="U153" s="69"/>
      <c r="V153" s="69"/>
      <c r="W153" s="68"/>
      <c r="X153" s="70"/>
      <c r="Y153" s="70"/>
      <c r="Z153" s="70"/>
      <c r="AA153" s="70"/>
      <c r="AB153" s="70"/>
      <c r="AC153" s="68"/>
      <c r="AD153" s="71"/>
      <c r="AE153" s="71"/>
      <c r="AF153" s="71"/>
      <c r="AG153" s="71"/>
      <c r="AH153" s="71"/>
      <c r="AI153" s="68"/>
      <c r="AJ153" s="214">
        <v>1.2760000000000001E-4</v>
      </c>
      <c r="AK153" s="214">
        <v>1.7219</v>
      </c>
      <c r="AL153" s="214">
        <v>4</v>
      </c>
      <c r="AM153" s="214">
        <v>5.1420100000000005E-4</v>
      </c>
      <c r="AN153" s="68"/>
      <c r="AO153" s="67"/>
      <c r="AP153" s="67"/>
      <c r="AQ153" s="67"/>
      <c r="AR153" s="67"/>
      <c r="AS153" s="67"/>
      <c r="AT153" s="68"/>
      <c r="AU153" s="49"/>
      <c r="AV153" s="50"/>
    </row>
    <row r="154" spans="1:48" ht="12.75" customHeight="1" x14ac:dyDescent="0.25">
      <c r="A154" s="72" t="s">
        <v>23</v>
      </c>
      <c r="B154" s="43" t="s">
        <v>159</v>
      </c>
      <c r="C154" s="44" t="s">
        <v>304</v>
      </c>
      <c r="D154" s="45">
        <f>MROUND(MID($C154,6,3)/Basis!$E$3,0.5)</f>
        <v>12</v>
      </c>
      <c r="E154" s="45">
        <f>MROUND(MID($C154,9,3)/Basis!$E$3,0.5)</f>
        <v>102.5</v>
      </c>
      <c r="F154" s="124" t="s">
        <v>2943</v>
      </c>
      <c r="G154" s="45">
        <f>ROUND((ROUNDDOWN($F154/5,0)*5+1.8)/Basis!$E$3,1)</f>
        <v>4.5999999999999996</v>
      </c>
      <c r="H154" s="120">
        <f>ROUND($P154*Basis!$E$2*((TaH-TrH)/LN(1/µ)/Basis!$E$7)^$N154*$AA$4*Glycol,0)</f>
        <v>4613</v>
      </c>
      <c r="I154" s="83">
        <f>ROUND(H154/(MID($C154,9,3)/Basis!$E$3/Basis!$E$9)*Basis!$E$11,0)</f>
        <v>541</v>
      </c>
      <c r="J154" s="123">
        <f>IF(Basis!$E$1=1,ROUND(H154/((TaH-TrH)*1.163)/3600,3),ROUND(H154/(500*(TaH-TrH)),2))</f>
        <v>0.46</v>
      </c>
      <c r="K154" s="84"/>
      <c r="L154" s="177">
        <f>CHOOSE(Basis!$E$1,((AJ154*(J154*3600/Basis!$E$5)^AK154*(((MID(C154,9,3)*10)-144)/1000)*AL154+AM154*(J154*3600/Basis!$E$5)^2)*0.0098)/Basis!$E$10,((AJ154*(J154/Basis!$E$5)^AK154*(((MID(C154,9,3)*10)-144)/1000)*AL154+AM154*(J154/Basis!$E$5)^2)*0.0098)/Basis!$E$10)</f>
        <v>3.3371229597495694E-2</v>
      </c>
      <c r="M154" s="85"/>
      <c r="N154" s="109">
        <v>1.403</v>
      </c>
      <c r="O154" s="68"/>
      <c r="P154" s="67">
        <v>2148</v>
      </c>
      <c r="Q154" s="68"/>
      <c r="R154" s="69"/>
      <c r="S154" s="69"/>
      <c r="T154" s="69"/>
      <c r="U154" s="69"/>
      <c r="V154" s="69"/>
      <c r="W154" s="68"/>
      <c r="X154" s="70"/>
      <c r="Y154" s="70"/>
      <c r="Z154" s="70"/>
      <c r="AA154" s="70"/>
      <c r="AB154" s="70"/>
      <c r="AC154" s="68"/>
      <c r="AD154" s="71"/>
      <c r="AE154" s="71"/>
      <c r="AF154" s="71"/>
      <c r="AG154" s="71"/>
      <c r="AH154" s="71"/>
      <c r="AI154" s="68"/>
      <c r="AJ154" s="214">
        <v>3.9689999999999994E-4</v>
      </c>
      <c r="AK154" s="214">
        <v>1.7345999999999999</v>
      </c>
      <c r="AL154" s="214">
        <v>2</v>
      </c>
      <c r="AM154" s="214">
        <v>3.6734700000000002E-4</v>
      </c>
      <c r="AN154" s="68"/>
      <c r="AO154" s="67"/>
      <c r="AP154" s="67"/>
      <c r="AQ154" s="67"/>
      <c r="AR154" s="67"/>
      <c r="AS154" s="67"/>
      <c r="AT154" s="68"/>
      <c r="AU154" s="49"/>
      <c r="AV154" s="50"/>
    </row>
    <row r="155" spans="1:48" ht="12.75" customHeight="1" x14ac:dyDescent="0.25">
      <c r="A155" s="72" t="s">
        <v>23</v>
      </c>
      <c r="B155" s="43" t="s">
        <v>159</v>
      </c>
      <c r="C155" s="44" t="s">
        <v>305</v>
      </c>
      <c r="D155" s="45">
        <f>MROUND(MID($C155,6,3)/Basis!$E$3,0.5)</f>
        <v>12</v>
      </c>
      <c r="E155" s="45">
        <f>MROUND(MID($C155,9,3)/Basis!$E$3,0.5)</f>
        <v>102.5</v>
      </c>
      <c r="F155" s="124" t="s">
        <v>2946</v>
      </c>
      <c r="G155" s="45">
        <f>ROUND((ROUNDDOWN($F155/5,0)*5+1.8)/Basis!$E$3,1)</f>
        <v>4.5999999999999996</v>
      </c>
      <c r="H155" s="120">
        <f>ROUND($P155*Basis!$E$2*((TaH-TrH)/LN(1/µ)/Basis!$E$7)^$N155*$AA$4*Glycol,0)</f>
        <v>6184</v>
      </c>
      <c r="I155" s="83">
        <f>ROUND(H155/(MID($C155,9,3)/Basis!$E$3/Basis!$E$9)*Basis!$E$11,0)</f>
        <v>725</v>
      </c>
      <c r="J155" s="123">
        <f>IF(Basis!$E$1=1,ROUND(H155/((TaH-TrH)*1.163)/3600,3),ROUND(H155/(500*(TaH-TrH)),2))</f>
        <v>0.62</v>
      </c>
      <c r="K155" s="84"/>
      <c r="L155" s="177">
        <f>CHOOSE(Basis!$E$1,((AJ155*(J155*3600/Basis!$E$5)^AK155*(((MID(C155,9,3)*10)-144)/1000)*AL155+AM155*(J155*3600/Basis!$E$5)^2)*0.0098)/Basis!$E$10,((AJ155*(J155/Basis!$E$5)^AK155*(((MID(C155,9,3)*10)-144)/1000)*AL155+AM155*(J155/Basis!$E$5)^2)*0.0098)/Basis!$E$10)</f>
        <v>0.1052399902568954</v>
      </c>
      <c r="M155" s="85"/>
      <c r="N155" s="110">
        <v>1.44</v>
      </c>
      <c r="O155" s="74"/>
      <c r="P155" s="73">
        <v>2915</v>
      </c>
      <c r="Q155" s="74"/>
      <c r="R155" s="75"/>
      <c r="S155" s="75"/>
      <c r="T155" s="75"/>
      <c r="U155" s="75"/>
      <c r="V155" s="75"/>
      <c r="W155" s="74"/>
      <c r="X155" s="76"/>
      <c r="Y155" s="76"/>
      <c r="Z155" s="76"/>
      <c r="AA155" s="76"/>
      <c r="AB155" s="76"/>
      <c r="AC155" s="74"/>
      <c r="AD155" s="77"/>
      <c r="AE155" s="77"/>
      <c r="AF155" s="77"/>
      <c r="AG155" s="77"/>
      <c r="AH155" s="77"/>
      <c r="AI155" s="68"/>
      <c r="AJ155" s="213">
        <v>3.9689999999999994E-4</v>
      </c>
      <c r="AK155" s="213">
        <v>1.7345999999999999</v>
      </c>
      <c r="AL155" s="213">
        <v>4</v>
      </c>
      <c r="AM155" s="213">
        <v>5.7428799999999995E-4</v>
      </c>
      <c r="AN155" s="74"/>
      <c r="AO155" s="73"/>
      <c r="AP155" s="73"/>
      <c r="AQ155" s="73"/>
      <c r="AR155" s="73"/>
      <c r="AS155" s="73"/>
      <c r="AT155" s="74"/>
      <c r="AU155" s="47"/>
      <c r="AV155" s="48"/>
    </row>
    <row r="156" spans="1:48" ht="12.75" customHeight="1" x14ac:dyDescent="0.25">
      <c r="A156" s="72" t="s">
        <v>23</v>
      </c>
      <c r="B156" s="43" t="s">
        <v>159</v>
      </c>
      <c r="C156" s="44" t="s">
        <v>306</v>
      </c>
      <c r="D156" s="45">
        <f>MROUND(MID($C156,6,3)/Basis!$E$3,0.5)</f>
        <v>12</v>
      </c>
      <c r="E156" s="45">
        <f>MROUND(MID($C156,9,3)/Basis!$E$3,0.5)</f>
        <v>102.5</v>
      </c>
      <c r="F156" s="124" t="s">
        <v>2944</v>
      </c>
      <c r="G156" s="45">
        <f>ROUND((ROUNDDOWN($F156/5,0)*5+1.8)/Basis!$E$3,1)</f>
        <v>6.6</v>
      </c>
      <c r="H156" s="120">
        <f>ROUND($P156*Basis!$E$2*((TaH-TrH)/LN(1/µ)/Basis!$E$7)^$N156*$AA$4*Glycol,0)</f>
        <v>7605</v>
      </c>
      <c r="I156" s="83">
        <f>ROUND(H156/(MID($C156,9,3)/Basis!$E$3/Basis!$E$9)*Basis!$E$11,0)</f>
        <v>892</v>
      </c>
      <c r="J156" s="123">
        <f>IF(Basis!$E$1=1,ROUND(H156/((TaH-TrH)*1.163)/3600,3),ROUND(H156/(500*(TaH-TrH)),2))</f>
        <v>0.76</v>
      </c>
      <c r="K156" s="84"/>
      <c r="L156" s="177">
        <f>CHOOSE(Basis!$E$1,((AJ156*(J156*3600/Basis!$E$5)^AK156*(((MID(C156,9,3)*10)-144)/1000)*AL156+AM156*(J156*3600/Basis!$E$5)^2)*0.0098)/Basis!$E$10,((AJ156*(J156/Basis!$E$5)^AK156*(((MID(C156,9,3)*10)-144)/1000)*AL156+AM156*(J156/Basis!$E$5)^2)*0.0098)/Basis!$E$10)</f>
        <v>6.9046897602563176E-2</v>
      </c>
      <c r="M156" s="85"/>
      <c r="N156" s="110">
        <v>1.3959999999999999</v>
      </c>
      <c r="O156" s="74"/>
      <c r="P156" s="73">
        <v>3533</v>
      </c>
      <c r="Q156" s="74"/>
      <c r="R156" s="75"/>
      <c r="S156" s="75"/>
      <c r="T156" s="75"/>
      <c r="U156" s="75"/>
      <c r="V156" s="75"/>
      <c r="W156" s="74"/>
      <c r="X156" s="76"/>
      <c r="Y156" s="76"/>
      <c r="Z156" s="76"/>
      <c r="AA156" s="76"/>
      <c r="AB156" s="76"/>
      <c r="AC156" s="74"/>
      <c r="AD156" s="77"/>
      <c r="AE156" s="77"/>
      <c r="AF156" s="77"/>
      <c r="AG156" s="77"/>
      <c r="AH156" s="77"/>
      <c r="AI156" s="68"/>
      <c r="AJ156" s="213">
        <v>2.0829999999999999E-4</v>
      </c>
      <c r="AK156" s="213">
        <v>1.724</v>
      </c>
      <c r="AL156" s="213">
        <v>2</v>
      </c>
      <c r="AM156" s="213">
        <v>4.6182900000000003E-4</v>
      </c>
      <c r="AN156" s="74"/>
      <c r="AO156" s="73"/>
      <c r="AP156" s="73"/>
      <c r="AQ156" s="73"/>
      <c r="AR156" s="73"/>
      <c r="AS156" s="73"/>
      <c r="AT156" s="74"/>
      <c r="AU156" s="47"/>
      <c r="AV156" s="48"/>
    </row>
    <row r="157" spans="1:48" ht="12.75" customHeight="1" x14ac:dyDescent="0.25">
      <c r="A157" s="72" t="s">
        <v>23</v>
      </c>
      <c r="B157" s="43" t="s">
        <v>159</v>
      </c>
      <c r="C157" s="44" t="s">
        <v>307</v>
      </c>
      <c r="D157" s="45">
        <f>MROUND(MID($C157,6,3)/Basis!$E$3,0.5)</f>
        <v>12</v>
      </c>
      <c r="E157" s="45">
        <f>MROUND(MID($C157,9,3)/Basis!$E$3,0.5)</f>
        <v>102.5</v>
      </c>
      <c r="F157" s="124" t="s">
        <v>2947</v>
      </c>
      <c r="G157" s="45">
        <f>ROUND((ROUNDDOWN($F157/5,0)*5+1.8)/Basis!$E$3,1)</f>
        <v>6.6</v>
      </c>
      <c r="H157" s="120">
        <f>ROUND($P157*Basis!$E$2*((TaH-TrH)/LN(1/µ)/Basis!$E$7)^$N157*$AA$4*Glycol,0)</f>
        <v>8120</v>
      </c>
      <c r="I157" s="83">
        <f>ROUND(H157/(MID($C157,9,3)/Basis!$E$3/Basis!$E$9)*Basis!$E$11,0)</f>
        <v>952</v>
      </c>
      <c r="J157" s="123">
        <f>IF(Basis!$E$1=1,ROUND(H157/((TaH-TrH)*1.163)/3600,3),ROUND(H157/(500*(TaH-TrH)),2))</f>
        <v>0.81</v>
      </c>
      <c r="K157" s="84"/>
      <c r="L157" s="177">
        <f>CHOOSE(Basis!$E$1,((AJ157*(J157*3600/Basis!$E$5)^AK157*(((MID(C157,9,3)*10)-144)/1000)*AL157+AM157*(J157*3600/Basis!$E$5)^2)*0.0098)/Basis!$E$10,((AJ157*(J157/Basis!$E$5)^AK157*(((MID(C157,9,3)*10)-144)/1000)*AL157+AM157*(J157/Basis!$E$5)^2)*0.0098)/Basis!$E$10)</f>
        <v>0.20782604468334809</v>
      </c>
      <c r="M157" s="85"/>
      <c r="N157" s="109">
        <v>1.456</v>
      </c>
      <c r="O157" s="68"/>
      <c r="P157" s="67">
        <v>3848</v>
      </c>
      <c r="Q157" s="68"/>
      <c r="R157" s="69"/>
      <c r="S157" s="69"/>
      <c r="T157" s="69"/>
      <c r="U157" s="69"/>
      <c r="V157" s="69"/>
      <c r="W157" s="68"/>
      <c r="X157" s="70"/>
      <c r="Y157" s="70"/>
      <c r="Z157" s="70"/>
      <c r="AA157" s="70"/>
      <c r="AB157" s="70"/>
      <c r="AC157" s="68"/>
      <c r="AD157" s="71"/>
      <c r="AE157" s="71"/>
      <c r="AF157" s="71"/>
      <c r="AG157" s="71"/>
      <c r="AH157" s="71"/>
      <c r="AI157" s="68"/>
      <c r="AJ157" s="214">
        <v>2.0829999999999999E-4</v>
      </c>
      <c r="AK157" s="214">
        <v>1.724</v>
      </c>
      <c r="AL157" s="214">
        <v>4</v>
      </c>
      <c r="AM157" s="214">
        <v>1.392796E-3</v>
      </c>
      <c r="AN157" s="68"/>
      <c r="AO157" s="67"/>
      <c r="AP157" s="67"/>
      <c r="AQ157" s="67"/>
      <c r="AR157" s="67"/>
      <c r="AS157" s="67"/>
      <c r="AT157" s="68"/>
      <c r="AU157" s="49"/>
      <c r="AV157" s="50"/>
    </row>
    <row r="158" spans="1:48" ht="12.75" customHeight="1" x14ac:dyDescent="0.25">
      <c r="A158" s="72" t="s">
        <v>23</v>
      </c>
      <c r="B158" s="43" t="s">
        <v>159</v>
      </c>
      <c r="C158" s="44" t="s">
        <v>308</v>
      </c>
      <c r="D158" s="45">
        <f>MROUND(MID($C158,6,3)/Basis!$E$3,0.5)</f>
        <v>12</v>
      </c>
      <c r="E158" s="45">
        <f>MROUND(MID($C158,9,3)/Basis!$E$3,0.5)</f>
        <v>102.5</v>
      </c>
      <c r="F158" s="124" t="s">
        <v>2945</v>
      </c>
      <c r="G158" s="45">
        <f>ROUND((ROUNDDOWN($F158/5,0)*5+1.8)/Basis!$E$3,1)</f>
        <v>8.6</v>
      </c>
      <c r="H158" s="120">
        <f>ROUND($P158*Basis!$E$2*((TaH-TrH)/LN(1/µ)/Basis!$E$7)^$N158*$AA$4*Glycol,0)</f>
        <v>10667</v>
      </c>
      <c r="I158" s="83">
        <f>ROUND(H158/(MID($C158,9,3)/Basis!$E$3/Basis!$E$9)*Basis!$E$11,0)</f>
        <v>1251</v>
      </c>
      <c r="J158" s="123">
        <f>IF(Basis!$E$1=1,ROUND(H158/((TaH-TrH)*1.163)/3600,3),ROUND(H158/(500*(TaH-TrH)),2))</f>
        <v>1.07</v>
      </c>
      <c r="K158" s="84"/>
      <c r="L158" s="177">
        <f>CHOOSE(Basis!$E$1,((AJ158*(J158*3600/Basis!$E$5)^AK158*(((MID(C158,9,3)*10)-144)/1000)*AL158+AM158*(J158*3600/Basis!$E$5)^2)*0.0098)/Basis!$E$10,((AJ158*(J158/Basis!$E$5)^AK158*(((MID(C158,9,3)*10)-144)/1000)*AL158+AM158*(J158/Basis!$E$5)^2)*0.0098)/Basis!$E$10)</f>
        <v>9.8998041450911373E-2</v>
      </c>
      <c r="M158" s="85"/>
      <c r="N158" s="109">
        <v>1.3959999999999999</v>
      </c>
      <c r="O158" s="68"/>
      <c r="P158" s="67">
        <v>4956</v>
      </c>
      <c r="Q158" s="68"/>
      <c r="R158" s="69"/>
      <c r="S158" s="69"/>
      <c r="T158" s="69"/>
      <c r="U158" s="69"/>
      <c r="V158" s="69"/>
      <c r="W158" s="68"/>
      <c r="X158" s="70"/>
      <c r="Y158" s="70"/>
      <c r="Z158" s="70"/>
      <c r="AA158" s="70"/>
      <c r="AB158" s="70"/>
      <c r="AC158" s="68"/>
      <c r="AD158" s="71"/>
      <c r="AE158" s="71"/>
      <c r="AF158" s="71"/>
      <c r="AG158" s="71"/>
      <c r="AH158" s="71"/>
      <c r="AI158" s="68"/>
      <c r="AJ158" s="214">
        <v>1.2760000000000001E-4</v>
      </c>
      <c r="AK158" s="214">
        <v>1.7219</v>
      </c>
      <c r="AL158" s="214">
        <v>2</v>
      </c>
      <c r="AM158" s="214">
        <v>3.76611E-4</v>
      </c>
      <c r="AN158" s="68"/>
      <c r="AO158" s="67"/>
      <c r="AP158" s="67"/>
      <c r="AQ158" s="67"/>
      <c r="AR158" s="67"/>
      <c r="AS158" s="67"/>
      <c r="AT158" s="68"/>
      <c r="AU158" s="49"/>
      <c r="AV158" s="50"/>
    </row>
    <row r="159" spans="1:48" ht="12.75" customHeight="1" x14ac:dyDescent="0.25">
      <c r="A159" s="72" t="s">
        <v>23</v>
      </c>
      <c r="B159" s="43" t="s">
        <v>159</v>
      </c>
      <c r="C159" s="44" t="s">
        <v>309</v>
      </c>
      <c r="D159" s="45">
        <f>MROUND(MID($C159,6,3)/Basis!$E$3,0.5)</f>
        <v>12</v>
      </c>
      <c r="E159" s="45">
        <f>MROUND(MID($C159,9,3)/Basis!$E$3,0.5)</f>
        <v>102.5</v>
      </c>
      <c r="F159" s="124" t="s">
        <v>2948</v>
      </c>
      <c r="G159" s="45">
        <f>ROUND((ROUNDDOWN($F159/5,0)*5+1.8)/Basis!$E$3,1)</f>
        <v>8.6</v>
      </c>
      <c r="H159" s="120">
        <f>ROUND($P159*Basis!$E$2*((TaH-TrH)/LN(1/µ)/Basis!$E$7)^$N159*$AA$4*Glycol,0)</f>
        <v>10646</v>
      </c>
      <c r="I159" s="83">
        <f>ROUND(H159/(MID($C159,9,3)/Basis!$E$3/Basis!$E$9)*Basis!$E$11,0)</f>
        <v>1248</v>
      </c>
      <c r="J159" s="123">
        <f>IF(Basis!$E$1=1,ROUND(H159/((TaH-TrH)*1.163)/3600,3),ROUND(H159/(500*(TaH-TrH)),2))</f>
        <v>1.06</v>
      </c>
      <c r="K159" s="84"/>
      <c r="L159" s="177">
        <f>CHOOSE(Basis!$E$1,((AJ159*(J159*3600/Basis!$E$5)^AK159*(((MID(C159,9,3)*10)-144)/1000)*AL159+AM159*(J159*3600/Basis!$E$5)^2)*0.0098)/Basis!$E$10,((AJ159*(J159/Basis!$E$5)^AK159*(((MID(C159,9,3)*10)-144)/1000)*AL159+AM159*(J159/Basis!$E$5)^2)*0.0098)/Basis!$E$10)</f>
        <v>0.14914863781007984</v>
      </c>
      <c r="M159" s="85"/>
      <c r="N159" s="110">
        <v>1.468</v>
      </c>
      <c r="O159" s="74"/>
      <c r="P159" s="73">
        <v>5065</v>
      </c>
      <c r="Q159" s="74"/>
      <c r="R159" s="75"/>
      <c r="S159" s="75"/>
      <c r="T159" s="75"/>
      <c r="U159" s="75"/>
      <c r="V159" s="75"/>
      <c r="W159" s="74"/>
      <c r="X159" s="76"/>
      <c r="Y159" s="76"/>
      <c r="Z159" s="76"/>
      <c r="AA159" s="76"/>
      <c r="AB159" s="76"/>
      <c r="AC159" s="74"/>
      <c r="AD159" s="77"/>
      <c r="AE159" s="77"/>
      <c r="AF159" s="77"/>
      <c r="AG159" s="77"/>
      <c r="AH159" s="77"/>
      <c r="AI159" s="68"/>
      <c r="AJ159" s="213">
        <v>1.2760000000000001E-4</v>
      </c>
      <c r="AK159" s="213">
        <v>1.7219</v>
      </c>
      <c r="AL159" s="213">
        <v>4</v>
      </c>
      <c r="AM159" s="213">
        <v>5.1420100000000005E-4</v>
      </c>
      <c r="AN159" s="74"/>
      <c r="AO159" s="73"/>
      <c r="AP159" s="73"/>
      <c r="AQ159" s="73"/>
      <c r="AR159" s="73"/>
      <c r="AS159" s="73"/>
      <c r="AT159" s="74"/>
      <c r="AU159" s="47"/>
      <c r="AV159" s="48"/>
    </row>
    <row r="160" spans="1:48" ht="12.75" customHeight="1" x14ac:dyDescent="0.25">
      <c r="A160" s="72" t="s">
        <v>23</v>
      </c>
      <c r="B160" s="43" t="s">
        <v>159</v>
      </c>
      <c r="C160" s="44" t="s">
        <v>310</v>
      </c>
      <c r="D160" s="45">
        <f>MROUND(MID($C160,6,3)/Basis!$E$3,0.5)</f>
        <v>12</v>
      </c>
      <c r="E160" s="45">
        <f>MROUND(MID($C160,9,3)/Basis!$E$3,0.5)</f>
        <v>110</v>
      </c>
      <c r="F160" s="124" t="s">
        <v>2943</v>
      </c>
      <c r="G160" s="45">
        <f>ROUND((ROUNDDOWN($F160/5,0)*5+1.8)/Basis!$E$3,1)</f>
        <v>4.5999999999999996</v>
      </c>
      <c r="H160" s="120">
        <f>ROUND($P160*Basis!$E$2*((TaH-TrH)/LN(1/µ)/Basis!$E$7)^$N160*$AA$4*Glycol,0)</f>
        <v>4967</v>
      </c>
      <c r="I160" s="83">
        <f>ROUND(H160/(MID($C160,9,3)/Basis!$E$3/Basis!$E$9)*Basis!$E$11,0)</f>
        <v>541</v>
      </c>
      <c r="J160" s="123">
        <f>IF(Basis!$E$1=1,ROUND(H160/((TaH-TrH)*1.163)/3600,3),ROUND(H160/(500*(TaH-TrH)),2))</f>
        <v>0.5</v>
      </c>
      <c r="K160" s="84"/>
      <c r="L160" s="177">
        <f>CHOOSE(Basis!$E$1,((AJ160*(J160*3600/Basis!$E$5)^AK160*(((MID(C160,9,3)*10)-144)/1000)*AL160+AM160*(J160*3600/Basis!$E$5)^2)*0.0098)/Basis!$E$10,((AJ160*(J160/Basis!$E$5)^AK160*(((MID(C160,9,3)*10)-144)/1000)*AL160+AM160*(J160/Basis!$E$5)^2)*0.0098)/Basis!$E$10)</f>
        <v>4.0809974091191137E-2</v>
      </c>
      <c r="M160" s="85"/>
      <c r="N160" s="110">
        <v>1.403</v>
      </c>
      <c r="O160" s="74"/>
      <c r="P160" s="73">
        <v>2313</v>
      </c>
      <c r="Q160" s="74"/>
      <c r="R160" s="75"/>
      <c r="S160" s="75"/>
      <c r="T160" s="75"/>
      <c r="U160" s="75"/>
      <c r="V160" s="75"/>
      <c r="W160" s="74"/>
      <c r="X160" s="76"/>
      <c r="Y160" s="76"/>
      <c r="Z160" s="76"/>
      <c r="AA160" s="76"/>
      <c r="AB160" s="76"/>
      <c r="AC160" s="74"/>
      <c r="AD160" s="77"/>
      <c r="AE160" s="77"/>
      <c r="AF160" s="77"/>
      <c r="AG160" s="77"/>
      <c r="AH160" s="77"/>
      <c r="AI160" s="68"/>
      <c r="AJ160" s="213">
        <v>3.9689999999999994E-4</v>
      </c>
      <c r="AK160" s="213">
        <v>1.7345999999999999</v>
      </c>
      <c r="AL160" s="213">
        <v>2</v>
      </c>
      <c r="AM160" s="213">
        <v>3.6734700000000002E-4</v>
      </c>
      <c r="AN160" s="74"/>
      <c r="AO160" s="73"/>
      <c r="AP160" s="73"/>
      <c r="AQ160" s="73"/>
      <c r="AR160" s="73"/>
      <c r="AS160" s="73"/>
      <c r="AT160" s="74"/>
      <c r="AU160" s="47"/>
      <c r="AV160" s="48"/>
    </row>
    <row r="161" spans="1:48" ht="12.75" customHeight="1" x14ac:dyDescent="0.25">
      <c r="A161" s="72" t="s">
        <v>23</v>
      </c>
      <c r="B161" s="43" t="s">
        <v>159</v>
      </c>
      <c r="C161" s="44" t="s">
        <v>311</v>
      </c>
      <c r="D161" s="45">
        <f>MROUND(MID($C161,6,3)/Basis!$E$3,0.5)</f>
        <v>12</v>
      </c>
      <c r="E161" s="45">
        <f>MROUND(MID($C161,9,3)/Basis!$E$3,0.5)</f>
        <v>110</v>
      </c>
      <c r="F161" s="124" t="s">
        <v>2946</v>
      </c>
      <c r="G161" s="45">
        <f>ROUND((ROUNDDOWN($F161/5,0)*5+1.8)/Basis!$E$3,1)</f>
        <v>4.5999999999999996</v>
      </c>
      <c r="H161" s="120">
        <f>ROUND($P161*Basis!$E$2*((TaH-TrH)/LN(1/µ)/Basis!$E$7)^$N161*$AA$4*Glycol,0)</f>
        <v>6659</v>
      </c>
      <c r="I161" s="83">
        <f>ROUND(H161/(MID($C161,9,3)/Basis!$E$3/Basis!$E$9)*Basis!$E$11,0)</f>
        <v>725</v>
      </c>
      <c r="J161" s="123">
        <f>IF(Basis!$E$1=1,ROUND(H161/((TaH-TrH)*1.163)/3600,3),ROUND(H161/(500*(TaH-TrH)),2))</f>
        <v>0.67</v>
      </c>
      <c r="K161" s="84"/>
      <c r="L161" s="177">
        <f>CHOOSE(Basis!$E$1,((AJ161*(J161*3600/Basis!$E$5)^AK161*(((MID(C161,9,3)*10)-144)/1000)*AL161+AM161*(J161*3600/Basis!$E$5)^2)*0.0098)/Basis!$E$10,((AJ161*(J161/Basis!$E$5)^AK161*(((MID(C161,9,3)*10)-144)/1000)*AL161+AM161*(J161/Basis!$E$5)^2)*0.0098)/Basis!$E$10)</f>
        <v>0.12761597342636424</v>
      </c>
      <c r="M161" s="85"/>
      <c r="N161" s="109">
        <v>1.44</v>
      </c>
      <c r="O161" s="68"/>
      <c r="P161" s="67">
        <v>3139</v>
      </c>
      <c r="Q161" s="68"/>
      <c r="R161" s="69"/>
      <c r="S161" s="69"/>
      <c r="T161" s="69"/>
      <c r="U161" s="69"/>
      <c r="V161" s="69"/>
      <c r="W161" s="68"/>
      <c r="X161" s="70"/>
      <c r="Y161" s="70"/>
      <c r="Z161" s="70"/>
      <c r="AA161" s="70"/>
      <c r="AB161" s="70"/>
      <c r="AC161" s="68"/>
      <c r="AD161" s="71"/>
      <c r="AE161" s="71"/>
      <c r="AF161" s="71"/>
      <c r="AG161" s="71"/>
      <c r="AH161" s="71"/>
      <c r="AI161" s="68"/>
      <c r="AJ161" s="214">
        <v>3.9689999999999994E-4</v>
      </c>
      <c r="AK161" s="214">
        <v>1.7345999999999999</v>
      </c>
      <c r="AL161" s="214">
        <v>4</v>
      </c>
      <c r="AM161" s="214">
        <v>5.7428799999999995E-4</v>
      </c>
      <c r="AN161" s="68"/>
      <c r="AO161" s="67"/>
      <c r="AP161" s="67"/>
      <c r="AQ161" s="67"/>
      <c r="AR161" s="67"/>
      <c r="AS161" s="67"/>
      <c r="AT161" s="68"/>
      <c r="AU161" s="49"/>
      <c r="AV161" s="50"/>
    </row>
    <row r="162" spans="1:48" ht="12.75" customHeight="1" x14ac:dyDescent="0.25">
      <c r="A162" s="72" t="s">
        <v>23</v>
      </c>
      <c r="B162" s="43" t="s">
        <v>159</v>
      </c>
      <c r="C162" s="44" t="s">
        <v>312</v>
      </c>
      <c r="D162" s="45">
        <f>MROUND(MID($C162,6,3)/Basis!$E$3,0.5)</f>
        <v>12</v>
      </c>
      <c r="E162" s="45">
        <f>MROUND(MID($C162,9,3)/Basis!$E$3,0.5)</f>
        <v>110</v>
      </c>
      <c r="F162" s="124" t="s">
        <v>2944</v>
      </c>
      <c r="G162" s="45">
        <f>ROUND((ROUNDDOWN($F162/5,0)*5+1.8)/Basis!$E$3,1)</f>
        <v>6.6</v>
      </c>
      <c r="H162" s="120">
        <f>ROUND($P162*Basis!$E$2*((TaH-TrH)/LN(1/µ)/Basis!$E$7)^$N162*$AA$4*Glycol,0)</f>
        <v>8190</v>
      </c>
      <c r="I162" s="83">
        <f>ROUND(H162/(MID($C162,9,3)/Basis!$E$3/Basis!$E$9)*Basis!$E$11,0)</f>
        <v>892</v>
      </c>
      <c r="J162" s="123">
        <f>IF(Basis!$E$1=1,ROUND(H162/((TaH-TrH)*1.163)/3600,3),ROUND(H162/(500*(TaH-TrH)),2))</f>
        <v>0.82</v>
      </c>
      <c r="K162" s="84"/>
      <c r="L162" s="177">
        <f>CHOOSE(Basis!$E$1,((AJ162*(J162*3600/Basis!$E$5)^AK162*(((MID(C162,9,3)*10)-144)/1000)*AL162+AM162*(J162*3600/Basis!$E$5)^2)*0.0098)/Basis!$E$10,((AJ162*(J162/Basis!$E$5)^AK162*(((MID(C162,9,3)*10)-144)/1000)*AL162+AM162*(J162/Basis!$E$5)^2)*0.0098)/Basis!$E$10)</f>
        <v>8.2031188220578935E-2</v>
      </c>
      <c r="M162" s="85"/>
      <c r="N162" s="109">
        <v>1.3959999999999999</v>
      </c>
      <c r="O162" s="68"/>
      <c r="P162" s="67">
        <v>3805</v>
      </c>
      <c r="Q162" s="68"/>
      <c r="R162" s="69"/>
      <c r="S162" s="69"/>
      <c r="T162" s="69"/>
      <c r="U162" s="69"/>
      <c r="V162" s="69"/>
      <c r="W162" s="68"/>
      <c r="X162" s="70"/>
      <c r="Y162" s="70"/>
      <c r="Z162" s="70"/>
      <c r="AA162" s="70"/>
      <c r="AB162" s="70"/>
      <c r="AC162" s="68"/>
      <c r="AD162" s="71"/>
      <c r="AE162" s="71"/>
      <c r="AF162" s="71"/>
      <c r="AG162" s="71"/>
      <c r="AH162" s="71"/>
      <c r="AI162" s="68"/>
      <c r="AJ162" s="214">
        <v>2.0829999999999999E-4</v>
      </c>
      <c r="AK162" s="214">
        <v>1.724</v>
      </c>
      <c r="AL162" s="214">
        <v>2</v>
      </c>
      <c r="AM162" s="214">
        <v>4.6182900000000003E-4</v>
      </c>
      <c r="AN162" s="68"/>
      <c r="AO162" s="67"/>
      <c r="AP162" s="67"/>
      <c r="AQ162" s="67"/>
      <c r="AR162" s="67"/>
      <c r="AS162" s="67"/>
      <c r="AT162" s="68"/>
      <c r="AU162" s="49"/>
      <c r="AV162" s="50"/>
    </row>
    <row r="163" spans="1:48" ht="12.75" customHeight="1" x14ac:dyDescent="0.25">
      <c r="A163" s="72" t="s">
        <v>23</v>
      </c>
      <c r="B163" s="43" t="s">
        <v>159</v>
      </c>
      <c r="C163" s="44" t="s">
        <v>313</v>
      </c>
      <c r="D163" s="45">
        <f>MROUND(MID($C163,6,3)/Basis!$E$3,0.5)</f>
        <v>12</v>
      </c>
      <c r="E163" s="45">
        <f>MROUND(MID($C163,9,3)/Basis!$E$3,0.5)</f>
        <v>110</v>
      </c>
      <c r="F163" s="124" t="s">
        <v>2947</v>
      </c>
      <c r="G163" s="45">
        <f>ROUND((ROUNDDOWN($F163/5,0)*5+1.8)/Basis!$E$3,1)</f>
        <v>6.6</v>
      </c>
      <c r="H163" s="120">
        <f>ROUND($P163*Basis!$E$2*((TaH-TrH)/LN(1/µ)/Basis!$E$7)^$N163*$AA$4*Glycol,0)</f>
        <v>8745</v>
      </c>
      <c r="I163" s="83">
        <f>ROUND(H163/(MID($C163,9,3)/Basis!$E$3/Basis!$E$9)*Basis!$E$11,0)</f>
        <v>952</v>
      </c>
      <c r="J163" s="123">
        <f>IF(Basis!$E$1=1,ROUND(H163/((TaH-TrH)*1.163)/3600,3),ROUND(H163/(500*(TaH-TrH)),2))</f>
        <v>0.87</v>
      </c>
      <c r="K163" s="84"/>
      <c r="L163" s="177">
        <f>CHOOSE(Basis!$E$1,((AJ163*(J163*3600/Basis!$E$5)^AK163*(((MID(C163,9,3)*10)-144)/1000)*AL163+AM163*(J163*3600/Basis!$E$5)^2)*0.0098)/Basis!$E$10,((AJ163*(J163/Basis!$E$5)^AK163*(((MID(C163,9,3)*10)-144)/1000)*AL163+AM163*(J163/Basis!$E$5)^2)*0.0098)/Basis!$E$10)</f>
        <v>0.24349137145098571</v>
      </c>
      <c r="M163" s="85"/>
      <c r="N163" s="110">
        <v>1.456</v>
      </c>
      <c r="O163" s="74"/>
      <c r="P163" s="73">
        <v>4144</v>
      </c>
      <c r="Q163" s="74"/>
      <c r="R163" s="75"/>
      <c r="S163" s="75"/>
      <c r="T163" s="75"/>
      <c r="U163" s="75"/>
      <c r="V163" s="75"/>
      <c r="W163" s="74"/>
      <c r="X163" s="76"/>
      <c r="Y163" s="76"/>
      <c r="Z163" s="76"/>
      <c r="AA163" s="76"/>
      <c r="AB163" s="76"/>
      <c r="AC163" s="74"/>
      <c r="AD163" s="77"/>
      <c r="AE163" s="77"/>
      <c r="AF163" s="77"/>
      <c r="AG163" s="77"/>
      <c r="AH163" s="77"/>
      <c r="AI163" s="68"/>
      <c r="AJ163" s="213">
        <v>2.0829999999999999E-4</v>
      </c>
      <c r="AK163" s="213">
        <v>1.724</v>
      </c>
      <c r="AL163" s="213">
        <v>4</v>
      </c>
      <c r="AM163" s="213">
        <v>1.392796E-3</v>
      </c>
      <c r="AN163" s="74"/>
      <c r="AO163" s="73"/>
      <c r="AP163" s="73"/>
      <c r="AQ163" s="73"/>
      <c r="AR163" s="73"/>
      <c r="AS163" s="73"/>
      <c r="AT163" s="74"/>
      <c r="AU163" s="47"/>
      <c r="AV163" s="48"/>
    </row>
    <row r="164" spans="1:48" ht="12.75" customHeight="1" x14ac:dyDescent="0.25">
      <c r="A164" s="72" t="s">
        <v>23</v>
      </c>
      <c r="B164" s="43" t="s">
        <v>159</v>
      </c>
      <c r="C164" s="44" t="s">
        <v>314</v>
      </c>
      <c r="D164" s="45">
        <f>MROUND(MID($C164,6,3)/Basis!$E$3,0.5)</f>
        <v>12</v>
      </c>
      <c r="E164" s="45">
        <f>MROUND(MID($C164,9,3)/Basis!$E$3,0.5)</f>
        <v>110</v>
      </c>
      <c r="F164" s="124" t="s">
        <v>2945</v>
      </c>
      <c r="G164" s="45">
        <f>ROUND((ROUNDDOWN($F164/5,0)*5+1.8)/Basis!$E$3,1)</f>
        <v>8.6</v>
      </c>
      <c r="H164" s="120">
        <f>ROUND($P164*Basis!$E$2*((TaH-TrH)/LN(1/µ)/Basis!$E$7)^$N164*$AA$4*Glycol,0)</f>
        <v>11487</v>
      </c>
      <c r="I164" s="83">
        <f>ROUND(H164/(MID($C164,9,3)/Basis!$E$3/Basis!$E$9)*Basis!$E$11,0)</f>
        <v>1250</v>
      </c>
      <c r="J164" s="123">
        <f>IF(Basis!$E$1=1,ROUND(H164/((TaH-TrH)*1.163)/3600,3),ROUND(H164/(500*(TaH-TrH)),2))</f>
        <v>1.1499999999999999</v>
      </c>
      <c r="K164" s="84"/>
      <c r="L164" s="177">
        <f>CHOOSE(Basis!$E$1,((AJ164*(J164*3600/Basis!$E$5)^AK164*(((MID(C164,9,3)*10)-144)/1000)*AL164+AM164*(J164*3600/Basis!$E$5)^2)*0.0098)/Basis!$E$10,((AJ164*(J164/Basis!$E$5)^AK164*(((MID(C164,9,3)*10)-144)/1000)*AL164+AM164*(J164/Basis!$E$5)^2)*0.0098)/Basis!$E$10)</f>
        <v>0.11617454918544765</v>
      </c>
      <c r="M164" s="85"/>
      <c r="N164" s="110">
        <v>1.3959999999999999</v>
      </c>
      <c r="O164" s="74"/>
      <c r="P164" s="73">
        <v>5337</v>
      </c>
      <c r="Q164" s="74"/>
      <c r="R164" s="75"/>
      <c r="S164" s="75"/>
      <c r="T164" s="75"/>
      <c r="U164" s="75"/>
      <c r="V164" s="75"/>
      <c r="W164" s="74"/>
      <c r="X164" s="76"/>
      <c r="Y164" s="76"/>
      <c r="Z164" s="76"/>
      <c r="AA164" s="76"/>
      <c r="AB164" s="76"/>
      <c r="AC164" s="74"/>
      <c r="AD164" s="77"/>
      <c r="AE164" s="77"/>
      <c r="AF164" s="77"/>
      <c r="AG164" s="77"/>
      <c r="AH164" s="77"/>
      <c r="AI164" s="68"/>
      <c r="AJ164" s="213">
        <v>1.2760000000000001E-4</v>
      </c>
      <c r="AK164" s="213">
        <v>1.7219</v>
      </c>
      <c r="AL164" s="213">
        <v>2</v>
      </c>
      <c r="AM164" s="213">
        <v>3.76611E-4</v>
      </c>
      <c r="AN164" s="74"/>
      <c r="AO164" s="73"/>
      <c r="AP164" s="73"/>
      <c r="AQ164" s="73"/>
      <c r="AR164" s="73"/>
      <c r="AS164" s="73"/>
      <c r="AT164" s="74"/>
      <c r="AU164" s="47"/>
      <c r="AV164" s="48"/>
    </row>
    <row r="165" spans="1:48" ht="12.75" customHeight="1" x14ac:dyDescent="0.25">
      <c r="A165" s="72" t="s">
        <v>23</v>
      </c>
      <c r="B165" s="43" t="s">
        <v>159</v>
      </c>
      <c r="C165" s="44" t="s">
        <v>315</v>
      </c>
      <c r="D165" s="45">
        <f>MROUND(MID($C165,6,3)/Basis!$E$3,0.5)</f>
        <v>12</v>
      </c>
      <c r="E165" s="45">
        <f>MROUND(MID($C165,9,3)/Basis!$E$3,0.5)</f>
        <v>110</v>
      </c>
      <c r="F165" s="124" t="s">
        <v>2948</v>
      </c>
      <c r="G165" s="45">
        <f>ROUND((ROUNDDOWN($F165/5,0)*5+1.8)/Basis!$E$3,1)</f>
        <v>8.6</v>
      </c>
      <c r="H165" s="120">
        <f>ROUND($P165*Basis!$E$2*((TaH-TrH)/LN(1/µ)/Basis!$E$7)^$N165*$AA$4*Glycol,0)</f>
        <v>11464</v>
      </c>
      <c r="I165" s="83">
        <f>ROUND(H165/(MID($C165,9,3)/Basis!$E$3/Basis!$E$9)*Basis!$E$11,0)</f>
        <v>1248</v>
      </c>
      <c r="J165" s="123">
        <f>IF(Basis!$E$1=1,ROUND(H165/((TaH-TrH)*1.163)/3600,3),ROUND(H165/(500*(TaH-TrH)),2))</f>
        <v>1.1499999999999999</v>
      </c>
      <c r="K165" s="84"/>
      <c r="L165" s="177">
        <f>CHOOSE(Basis!$E$1,((AJ165*(J165*3600/Basis!$E$5)^AK165*(((MID(C165,9,3)*10)-144)/1000)*AL165+AM165*(J165*3600/Basis!$E$5)^2)*0.0098)/Basis!$E$10,((AJ165*(J165/Basis!$E$5)^AK165*(((MID(C165,9,3)*10)-144)/1000)*AL165+AM165*(J165/Basis!$E$5)^2)*0.0098)/Basis!$E$10)</f>
        <v>0.17903160822619996</v>
      </c>
      <c r="M165" s="85"/>
      <c r="N165" s="109">
        <v>1.468</v>
      </c>
      <c r="O165" s="68"/>
      <c r="P165" s="67">
        <v>5454</v>
      </c>
      <c r="Q165" s="68"/>
      <c r="R165" s="69"/>
      <c r="S165" s="69"/>
      <c r="T165" s="69"/>
      <c r="U165" s="69"/>
      <c r="V165" s="69"/>
      <c r="W165" s="68"/>
      <c r="X165" s="70"/>
      <c r="Y165" s="70"/>
      <c r="Z165" s="70"/>
      <c r="AA165" s="70"/>
      <c r="AB165" s="70"/>
      <c r="AC165" s="68"/>
      <c r="AD165" s="71"/>
      <c r="AE165" s="71"/>
      <c r="AF165" s="71"/>
      <c r="AG165" s="71"/>
      <c r="AH165" s="71"/>
      <c r="AI165" s="68"/>
      <c r="AJ165" s="214">
        <v>1.2760000000000001E-4</v>
      </c>
      <c r="AK165" s="214">
        <v>1.7219</v>
      </c>
      <c r="AL165" s="214">
        <v>4</v>
      </c>
      <c r="AM165" s="214">
        <v>5.1420100000000005E-4</v>
      </c>
      <c r="AN165" s="68"/>
      <c r="AO165" s="67"/>
      <c r="AP165" s="67"/>
      <c r="AQ165" s="67"/>
      <c r="AR165" s="67"/>
      <c r="AS165" s="67"/>
      <c r="AT165" s="68"/>
      <c r="AU165" s="49"/>
      <c r="AV165" s="50"/>
    </row>
    <row r="166" spans="1:48" ht="12.75" customHeight="1" x14ac:dyDescent="0.25">
      <c r="A166" s="72" t="s">
        <v>23</v>
      </c>
      <c r="B166" s="43" t="s">
        <v>159</v>
      </c>
      <c r="C166" s="44" t="s">
        <v>316</v>
      </c>
      <c r="D166" s="45">
        <f>MROUND(MID($C166,6,3)/Basis!$E$3,0.5)</f>
        <v>12</v>
      </c>
      <c r="E166" s="45">
        <f>MROUND(MID($C166,9,3)/Basis!$E$3,0.5)</f>
        <v>118</v>
      </c>
      <c r="F166" s="124" t="s">
        <v>2943</v>
      </c>
      <c r="G166" s="45">
        <f>ROUND((ROUNDDOWN($F166/5,0)*5+1.8)/Basis!$E$3,1)</f>
        <v>4.5999999999999996</v>
      </c>
      <c r="H166" s="120">
        <f>ROUND($P166*Basis!$E$2*((TaH-TrH)/LN(1/µ)/Basis!$E$7)^$N166*$AA$4*Glycol,0)</f>
        <v>5321</v>
      </c>
      <c r="I166" s="83">
        <f>ROUND(H166/(MID($C166,9,3)/Basis!$E$3/Basis!$E$9)*Basis!$E$11,0)</f>
        <v>541</v>
      </c>
      <c r="J166" s="123">
        <f>IF(Basis!$E$1=1,ROUND(H166/((TaH-TrH)*1.163)/3600,3),ROUND(H166/(500*(TaH-TrH)),2))</f>
        <v>0.53</v>
      </c>
      <c r="K166" s="84"/>
      <c r="L166" s="177">
        <f>CHOOSE(Basis!$E$1,((AJ166*(J166*3600/Basis!$E$5)^AK166*(((MID(C166,9,3)*10)-144)/1000)*AL166+AM166*(J166*3600/Basis!$E$5)^2)*0.0098)/Basis!$E$10,((AJ166*(J166/Basis!$E$5)^AK166*(((MID(C166,9,3)*10)-144)/1000)*AL166+AM166*(J166/Basis!$E$5)^2)*0.0098)/Basis!$E$10)</f>
        <v>4.7526913261861717E-2</v>
      </c>
      <c r="M166" s="85"/>
      <c r="N166" s="109">
        <v>1.403</v>
      </c>
      <c r="O166" s="68"/>
      <c r="P166" s="67">
        <v>2478</v>
      </c>
      <c r="Q166" s="68"/>
      <c r="R166" s="69"/>
      <c r="S166" s="69"/>
      <c r="T166" s="69"/>
      <c r="U166" s="69"/>
      <c r="V166" s="69"/>
      <c r="W166" s="68"/>
      <c r="X166" s="70"/>
      <c r="Y166" s="70"/>
      <c r="Z166" s="70"/>
      <c r="AA166" s="70"/>
      <c r="AB166" s="70"/>
      <c r="AC166" s="68"/>
      <c r="AD166" s="71"/>
      <c r="AE166" s="71"/>
      <c r="AF166" s="71"/>
      <c r="AG166" s="71"/>
      <c r="AH166" s="71"/>
      <c r="AI166" s="68"/>
      <c r="AJ166" s="214">
        <v>3.9689999999999994E-4</v>
      </c>
      <c r="AK166" s="214">
        <v>1.7345999999999999</v>
      </c>
      <c r="AL166" s="214">
        <v>2</v>
      </c>
      <c r="AM166" s="214">
        <v>3.6734700000000002E-4</v>
      </c>
      <c r="AN166" s="68"/>
      <c r="AO166" s="67"/>
      <c r="AP166" s="67"/>
      <c r="AQ166" s="67"/>
      <c r="AR166" s="67"/>
      <c r="AS166" s="67"/>
      <c r="AT166" s="68"/>
      <c r="AU166" s="49"/>
      <c r="AV166" s="50"/>
    </row>
    <row r="167" spans="1:48" ht="12.75" customHeight="1" x14ac:dyDescent="0.25">
      <c r="A167" s="72" t="s">
        <v>23</v>
      </c>
      <c r="B167" s="43" t="s">
        <v>159</v>
      </c>
      <c r="C167" s="44" t="s">
        <v>317</v>
      </c>
      <c r="D167" s="45">
        <f>MROUND(MID($C167,6,3)/Basis!$E$3,0.5)</f>
        <v>12</v>
      </c>
      <c r="E167" s="45">
        <f>MROUND(MID($C167,9,3)/Basis!$E$3,0.5)</f>
        <v>118</v>
      </c>
      <c r="F167" s="124" t="s">
        <v>2946</v>
      </c>
      <c r="G167" s="45">
        <f>ROUND((ROUNDDOWN($F167/5,0)*5+1.8)/Basis!$E$3,1)</f>
        <v>4.5999999999999996</v>
      </c>
      <c r="H167" s="120">
        <f>ROUND($P167*Basis!$E$2*((TaH-TrH)/LN(1/µ)/Basis!$E$7)^$N167*$AA$4*Glycol,0)</f>
        <v>7134</v>
      </c>
      <c r="I167" s="83">
        <f>ROUND(H167/(MID($C167,9,3)/Basis!$E$3/Basis!$E$9)*Basis!$E$11,0)</f>
        <v>725</v>
      </c>
      <c r="J167" s="123">
        <f>IF(Basis!$E$1=1,ROUND(H167/((TaH-TrH)*1.163)/3600,3),ROUND(H167/(500*(TaH-TrH)),2))</f>
        <v>0.71</v>
      </c>
      <c r="K167" s="84"/>
      <c r="L167" s="177">
        <f>CHOOSE(Basis!$E$1,((AJ167*(J167*3600/Basis!$E$5)^AK167*(((MID(C167,9,3)*10)-144)/1000)*AL167+AM167*(J167*3600/Basis!$E$5)^2)*0.0098)/Basis!$E$10,((AJ167*(J167/Basis!$E$5)^AK167*(((MID(C167,9,3)*10)-144)/1000)*AL167+AM167*(J167/Basis!$E$5)^2)*0.0098)/Basis!$E$10)</f>
        <v>0.14887139698823582</v>
      </c>
      <c r="M167" s="85"/>
      <c r="N167" s="110">
        <v>1.44</v>
      </c>
      <c r="O167" s="74"/>
      <c r="P167" s="73">
        <v>3363</v>
      </c>
      <c r="Q167" s="74"/>
      <c r="R167" s="75"/>
      <c r="S167" s="75"/>
      <c r="T167" s="75"/>
      <c r="U167" s="75"/>
      <c r="V167" s="75"/>
      <c r="W167" s="74"/>
      <c r="X167" s="76"/>
      <c r="Y167" s="76"/>
      <c r="Z167" s="76"/>
      <c r="AA167" s="76"/>
      <c r="AB167" s="76"/>
      <c r="AC167" s="74"/>
      <c r="AD167" s="77"/>
      <c r="AE167" s="77"/>
      <c r="AF167" s="77"/>
      <c r="AG167" s="77"/>
      <c r="AH167" s="77"/>
      <c r="AI167" s="68"/>
      <c r="AJ167" s="213">
        <v>3.9689999999999994E-4</v>
      </c>
      <c r="AK167" s="213">
        <v>1.7345999999999999</v>
      </c>
      <c r="AL167" s="213">
        <v>4</v>
      </c>
      <c r="AM167" s="213">
        <v>5.7428799999999995E-4</v>
      </c>
      <c r="AN167" s="74"/>
      <c r="AO167" s="73"/>
      <c r="AP167" s="73"/>
      <c r="AQ167" s="73"/>
      <c r="AR167" s="73"/>
      <c r="AS167" s="73"/>
      <c r="AT167" s="74"/>
      <c r="AU167" s="47"/>
      <c r="AV167" s="48"/>
    </row>
    <row r="168" spans="1:48" ht="12.75" customHeight="1" x14ac:dyDescent="0.25">
      <c r="A168" s="72" t="s">
        <v>23</v>
      </c>
      <c r="B168" s="43" t="s">
        <v>159</v>
      </c>
      <c r="C168" s="44" t="s">
        <v>318</v>
      </c>
      <c r="D168" s="45">
        <f>MROUND(MID($C168,6,3)/Basis!$E$3,0.5)</f>
        <v>12</v>
      </c>
      <c r="E168" s="45">
        <f>MROUND(MID($C168,9,3)/Basis!$E$3,0.5)</f>
        <v>118</v>
      </c>
      <c r="F168" s="124" t="s">
        <v>2944</v>
      </c>
      <c r="G168" s="45">
        <f>ROUND((ROUNDDOWN($F168/5,0)*5+1.8)/Basis!$E$3,1)</f>
        <v>6.6</v>
      </c>
      <c r="H168" s="120">
        <f>ROUND($P168*Basis!$E$2*((TaH-TrH)/LN(1/µ)/Basis!$E$7)^$N168*$AA$4*Glycol,0)</f>
        <v>8775</v>
      </c>
      <c r="I168" s="83">
        <f>ROUND(H168/(MID($C168,9,3)/Basis!$E$3/Basis!$E$9)*Basis!$E$11,0)</f>
        <v>892</v>
      </c>
      <c r="J168" s="123">
        <f>IF(Basis!$E$1=1,ROUND(H168/((TaH-TrH)*1.163)/3600,3),ROUND(H168/(500*(TaH-TrH)),2))</f>
        <v>0.88</v>
      </c>
      <c r="K168" s="84"/>
      <c r="L168" s="177">
        <f>CHOOSE(Basis!$E$1,((AJ168*(J168*3600/Basis!$E$5)^AK168*(((MID(C168,9,3)*10)-144)/1000)*AL168+AM168*(J168*3600/Basis!$E$5)^2)*0.0098)/Basis!$E$10,((AJ168*(J168/Basis!$E$5)^AK168*(((MID(C168,9,3)*10)-144)/1000)*AL168+AM168*(J168/Basis!$E$5)^2)*0.0098)/Basis!$E$10)</f>
        <v>9.6337784528164244E-2</v>
      </c>
      <c r="M168" s="85"/>
      <c r="N168" s="110">
        <v>1.3959999999999999</v>
      </c>
      <c r="O168" s="74"/>
      <c r="P168" s="73">
        <v>4077</v>
      </c>
      <c r="Q168" s="74"/>
      <c r="R168" s="75"/>
      <c r="S168" s="75"/>
      <c r="T168" s="75"/>
      <c r="U168" s="75"/>
      <c r="V168" s="75"/>
      <c r="W168" s="74"/>
      <c r="X168" s="76"/>
      <c r="Y168" s="76"/>
      <c r="Z168" s="76"/>
      <c r="AA168" s="76"/>
      <c r="AB168" s="76"/>
      <c r="AC168" s="74"/>
      <c r="AD168" s="77"/>
      <c r="AE168" s="77"/>
      <c r="AF168" s="77"/>
      <c r="AG168" s="77"/>
      <c r="AH168" s="77"/>
      <c r="AI168" s="68"/>
      <c r="AJ168" s="213">
        <v>2.0829999999999999E-4</v>
      </c>
      <c r="AK168" s="213">
        <v>1.724</v>
      </c>
      <c r="AL168" s="213">
        <v>2</v>
      </c>
      <c r="AM168" s="213">
        <v>4.6182900000000003E-4</v>
      </c>
      <c r="AN168" s="74"/>
      <c r="AO168" s="73"/>
      <c r="AP168" s="73"/>
      <c r="AQ168" s="73"/>
      <c r="AR168" s="73"/>
      <c r="AS168" s="73"/>
      <c r="AT168" s="74"/>
      <c r="AU168" s="47"/>
      <c r="AV168" s="48"/>
    </row>
    <row r="169" spans="1:48" ht="12.75" customHeight="1" x14ac:dyDescent="0.25">
      <c r="A169" s="72" t="s">
        <v>23</v>
      </c>
      <c r="B169" s="43" t="s">
        <v>159</v>
      </c>
      <c r="C169" s="44" t="s">
        <v>319</v>
      </c>
      <c r="D169" s="45">
        <f>MROUND(MID($C169,6,3)/Basis!$E$3,0.5)</f>
        <v>12</v>
      </c>
      <c r="E169" s="45">
        <f>MROUND(MID($C169,9,3)/Basis!$E$3,0.5)</f>
        <v>118</v>
      </c>
      <c r="F169" s="124" t="s">
        <v>2947</v>
      </c>
      <c r="G169" s="45">
        <f>ROUND((ROUNDDOWN($F169/5,0)*5+1.8)/Basis!$E$3,1)</f>
        <v>6.6</v>
      </c>
      <c r="H169" s="120">
        <f>ROUND($P169*Basis!$E$2*((TaH-TrH)/LN(1/µ)/Basis!$E$7)^$N169*$AA$4*Glycol,0)</f>
        <v>9369</v>
      </c>
      <c r="I169" s="83">
        <f>ROUND(H169/(MID($C169,9,3)/Basis!$E$3/Basis!$E$9)*Basis!$E$11,0)</f>
        <v>952</v>
      </c>
      <c r="J169" s="123">
        <f>IF(Basis!$E$1=1,ROUND(H169/((TaH-TrH)*1.163)/3600,3),ROUND(H169/(500*(TaH-TrH)),2))</f>
        <v>0.94</v>
      </c>
      <c r="K169" s="84"/>
      <c r="L169" s="177">
        <f>CHOOSE(Basis!$E$1,((AJ169*(J169*3600/Basis!$E$5)^AK169*(((MID(C169,9,3)*10)-144)/1000)*AL169+AM169*(J169*3600/Basis!$E$5)^2)*0.0098)/Basis!$E$10,((AJ169*(J169/Basis!$E$5)^AK169*(((MID(C169,9,3)*10)-144)/1000)*AL169+AM169*(J169/Basis!$E$5)^2)*0.0098)/Basis!$E$10)</f>
        <v>0.28828144969199865</v>
      </c>
      <c r="M169" s="85"/>
      <c r="N169" s="109">
        <v>1.456</v>
      </c>
      <c r="O169" s="68"/>
      <c r="P169" s="67">
        <v>4440</v>
      </c>
      <c r="Q169" s="68"/>
      <c r="R169" s="69"/>
      <c r="S169" s="69"/>
      <c r="T169" s="69"/>
      <c r="U169" s="69"/>
      <c r="V169" s="69"/>
      <c r="W169" s="68"/>
      <c r="X169" s="70"/>
      <c r="Y169" s="70"/>
      <c r="Z169" s="70"/>
      <c r="AA169" s="70"/>
      <c r="AB169" s="70"/>
      <c r="AC169" s="68"/>
      <c r="AD169" s="71"/>
      <c r="AE169" s="71"/>
      <c r="AF169" s="71"/>
      <c r="AG169" s="71"/>
      <c r="AH169" s="71"/>
      <c r="AI169" s="68"/>
      <c r="AJ169" s="214">
        <v>2.0829999999999999E-4</v>
      </c>
      <c r="AK169" s="214">
        <v>1.724</v>
      </c>
      <c r="AL169" s="214">
        <v>4</v>
      </c>
      <c r="AM169" s="214">
        <v>1.392796E-3</v>
      </c>
      <c r="AN169" s="68"/>
      <c r="AO169" s="67"/>
      <c r="AP169" s="67"/>
      <c r="AQ169" s="67"/>
      <c r="AR169" s="67"/>
      <c r="AS169" s="67"/>
      <c r="AT169" s="68"/>
      <c r="AU169" s="49"/>
      <c r="AV169" s="50"/>
    </row>
    <row r="170" spans="1:48" ht="12.75" customHeight="1" x14ac:dyDescent="0.25">
      <c r="A170" s="72" t="s">
        <v>23</v>
      </c>
      <c r="B170" s="43" t="s">
        <v>159</v>
      </c>
      <c r="C170" s="44" t="s">
        <v>320</v>
      </c>
      <c r="D170" s="45">
        <f>MROUND(MID($C170,6,3)/Basis!$E$3,0.5)</f>
        <v>12</v>
      </c>
      <c r="E170" s="45">
        <f>MROUND(MID($C170,9,3)/Basis!$E$3,0.5)</f>
        <v>118</v>
      </c>
      <c r="F170" s="124" t="s">
        <v>2945</v>
      </c>
      <c r="G170" s="45">
        <f>ROUND((ROUNDDOWN($F170/5,0)*5+1.8)/Basis!$E$3,1)</f>
        <v>8.6</v>
      </c>
      <c r="H170" s="120">
        <f>ROUND($P170*Basis!$E$2*((TaH-TrH)/LN(1/µ)/Basis!$E$7)^$N170*$AA$4*Glycol,0)</f>
        <v>12308</v>
      </c>
      <c r="I170" s="83">
        <f>ROUND(H170/(MID($C170,9,3)/Basis!$E$3/Basis!$E$9)*Basis!$E$11,0)</f>
        <v>1250</v>
      </c>
      <c r="J170" s="123">
        <f>IF(Basis!$E$1=1,ROUND(H170/((TaH-TrH)*1.163)/3600,3),ROUND(H170/(500*(TaH-TrH)),2))</f>
        <v>1.23</v>
      </c>
      <c r="K170" s="84"/>
      <c r="L170" s="177">
        <f>CHOOSE(Basis!$E$1,((AJ170*(J170*3600/Basis!$E$5)^AK170*(((MID(C170,9,3)*10)-144)/1000)*AL170+AM170*(J170*3600/Basis!$E$5)^2)*0.0098)/Basis!$E$10,((AJ170*(J170/Basis!$E$5)^AK170*(((MID(C170,9,3)*10)-144)/1000)*AL170+AM170*(J170/Basis!$E$5)^2)*0.0098)/Basis!$E$10)</f>
        <v>0.13493783235433826</v>
      </c>
      <c r="M170" s="85"/>
      <c r="N170" s="109">
        <v>1.3959999999999999</v>
      </c>
      <c r="O170" s="68"/>
      <c r="P170" s="67">
        <v>5718</v>
      </c>
      <c r="Q170" s="68"/>
      <c r="R170" s="69"/>
      <c r="S170" s="69"/>
      <c r="T170" s="69"/>
      <c r="U170" s="69"/>
      <c r="V170" s="69"/>
      <c r="W170" s="68"/>
      <c r="X170" s="70"/>
      <c r="Y170" s="70"/>
      <c r="Z170" s="70"/>
      <c r="AA170" s="70"/>
      <c r="AB170" s="70"/>
      <c r="AC170" s="68"/>
      <c r="AD170" s="71"/>
      <c r="AE170" s="71"/>
      <c r="AF170" s="71"/>
      <c r="AG170" s="71"/>
      <c r="AH170" s="71"/>
      <c r="AI170" s="68"/>
      <c r="AJ170" s="214">
        <v>1.2760000000000001E-4</v>
      </c>
      <c r="AK170" s="214">
        <v>1.7219</v>
      </c>
      <c r="AL170" s="214">
        <v>2</v>
      </c>
      <c r="AM170" s="214">
        <v>3.76611E-4</v>
      </c>
      <c r="AN170" s="68"/>
      <c r="AO170" s="67"/>
      <c r="AP170" s="67"/>
      <c r="AQ170" s="67"/>
      <c r="AR170" s="67"/>
      <c r="AS170" s="67"/>
      <c r="AT170" s="68"/>
      <c r="AU170" s="49"/>
      <c r="AV170" s="50"/>
    </row>
    <row r="171" spans="1:48" ht="12.75" customHeight="1" x14ac:dyDescent="0.25">
      <c r="A171" s="72" t="s">
        <v>23</v>
      </c>
      <c r="B171" s="43" t="s">
        <v>159</v>
      </c>
      <c r="C171" s="44" t="s">
        <v>321</v>
      </c>
      <c r="D171" s="45">
        <f>MROUND(MID($C171,6,3)/Basis!$E$3,0.5)</f>
        <v>12</v>
      </c>
      <c r="E171" s="45">
        <f>MROUND(MID($C171,9,3)/Basis!$E$3,0.5)</f>
        <v>118</v>
      </c>
      <c r="F171" s="124" t="s">
        <v>2948</v>
      </c>
      <c r="G171" s="45">
        <f>ROUND((ROUNDDOWN($F171/5,0)*5+1.8)/Basis!$E$3,1)</f>
        <v>8.6</v>
      </c>
      <c r="H171" s="120">
        <f>ROUND($P171*Basis!$E$2*((TaH-TrH)/LN(1/µ)/Basis!$E$7)^$N171*$AA$4*Glycol,0)</f>
        <v>12283</v>
      </c>
      <c r="I171" s="83">
        <f>ROUND(H171/(MID($C171,9,3)/Basis!$E$3/Basis!$E$9)*Basis!$E$11,0)</f>
        <v>1248</v>
      </c>
      <c r="J171" s="123">
        <f>IF(Basis!$E$1=1,ROUND(H171/((TaH-TrH)*1.163)/3600,3),ROUND(H171/(500*(TaH-TrH)),2))</f>
        <v>1.23</v>
      </c>
      <c r="K171" s="84"/>
      <c r="L171" s="177">
        <f>CHOOSE(Basis!$E$1,((AJ171*(J171*3600/Basis!$E$5)^AK171*(((MID(C171,9,3)*10)-144)/1000)*AL171+AM171*(J171*3600/Basis!$E$5)^2)*0.0098)/Basis!$E$10,((AJ171*(J171/Basis!$E$5)^AK171*(((MID(C171,9,3)*10)-144)/1000)*AL171+AM171*(J171/Basis!$E$5)^2)*0.0098)/Basis!$E$10)</f>
        <v>0.20888206861044623</v>
      </c>
      <c r="M171" s="85"/>
      <c r="N171" s="110">
        <v>1.468</v>
      </c>
      <c r="O171" s="74"/>
      <c r="P171" s="73">
        <v>5844</v>
      </c>
      <c r="Q171" s="74"/>
      <c r="R171" s="75"/>
      <c r="S171" s="75"/>
      <c r="T171" s="75"/>
      <c r="U171" s="75"/>
      <c r="V171" s="75"/>
      <c r="W171" s="74"/>
      <c r="X171" s="76"/>
      <c r="Y171" s="76"/>
      <c r="Z171" s="76"/>
      <c r="AA171" s="76"/>
      <c r="AB171" s="76"/>
      <c r="AC171" s="74"/>
      <c r="AD171" s="77"/>
      <c r="AE171" s="77"/>
      <c r="AF171" s="77"/>
      <c r="AG171" s="77"/>
      <c r="AH171" s="77"/>
      <c r="AI171" s="68"/>
      <c r="AJ171" s="213">
        <v>1.2760000000000001E-4</v>
      </c>
      <c r="AK171" s="213">
        <v>1.7219</v>
      </c>
      <c r="AL171" s="213">
        <v>4</v>
      </c>
      <c r="AM171" s="213">
        <v>5.1420100000000005E-4</v>
      </c>
      <c r="AN171" s="74"/>
      <c r="AO171" s="73"/>
      <c r="AP171" s="73"/>
      <c r="AQ171" s="73"/>
      <c r="AR171" s="73"/>
      <c r="AS171" s="73"/>
      <c r="AT171" s="74"/>
      <c r="AU171" s="47"/>
      <c r="AV171" s="48"/>
    </row>
    <row r="172" spans="1:48" ht="12.75" customHeight="1" x14ac:dyDescent="0.25">
      <c r="A172" s="72" t="s">
        <v>23</v>
      </c>
      <c r="B172" s="43" t="s">
        <v>159</v>
      </c>
      <c r="C172" s="44" t="s">
        <v>322</v>
      </c>
      <c r="D172" s="45">
        <f>MROUND(MID($C172,6,3)/Basis!$E$3,0.5)</f>
        <v>15.5</v>
      </c>
      <c r="E172" s="45">
        <f>MROUND(MID($C172,9,3)/Basis!$E$3,0.5)</f>
        <v>15.5</v>
      </c>
      <c r="F172" s="124" t="s">
        <v>2943</v>
      </c>
      <c r="G172" s="45">
        <f>ROUND((ROUNDDOWN($F172/5,0)*5+1.8)/Basis!$E$3,1)</f>
        <v>4.5999999999999996</v>
      </c>
      <c r="H172" s="120">
        <f>ROUND($P172*Basis!$E$2*((TaH-TrH)/LN(1/µ)/Basis!$E$7)^$N172*$AA$4*Glycol,0)</f>
        <v>829</v>
      </c>
      <c r="I172" s="83">
        <f>ROUND(H172/(MID($C172,9,3)/Basis!$E$3/Basis!$E$9)*Basis!$E$11,0)</f>
        <v>632</v>
      </c>
      <c r="J172" s="123">
        <f>IF(Basis!$E$1=1,ROUND(H172/((TaH-TrH)*1.163)/3600,3),ROUND(H172/(500*(TaH-TrH)),2))</f>
        <v>0.08</v>
      </c>
      <c r="K172" s="84"/>
      <c r="L172" s="177">
        <f>CHOOSE(Basis!$E$1,((AJ172*(J172*3600/Basis!$E$5)^AK172*(((MID(C172,9,3)*10)-144)/1000)*AL172+AM172*(J172*3600/Basis!$E$5)^2)*0.0098)/Basis!$E$10,((AJ172*(J172/Basis!$E$5)^AK172*(((MID(C172,9,3)*10)-144)/1000)*AL172+AM172*(J172/Basis!$E$5)^2)*0.0098)/Basis!$E$10)</f>
        <v>4.9815756702951681E-4</v>
      </c>
      <c r="M172" s="85"/>
      <c r="N172" s="110">
        <v>1.3939999999999999</v>
      </c>
      <c r="O172" s="74"/>
      <c r="P172" s="73">
        <v>385</v>
      </c>
      <c r="Q172" s="74"/>
      <c r="R172" s="75"/>
      <c r="S172" s="75"/>
      <c r="T172" s="75"/>
      <c r="U172" s="75"/>
      <c r="V172" s="75"/>
      <c r="W172" s="74"/>
      <c r="X172" s="76"/>
      <c r="Y172" s="76"/>
      <c r="Z172" s="76"/>
      <c r="AA172" s="76"/>
      <c r="AB172" s="76"/>
      <c r="AC172" s="74"/>
      <c r="AD172" s="77"/>
      <c r="AE172" s="77"/>
      <c r="AF172" s="77"/>
      <c r="AG172" s="77"/>
      <c r="AH172" s="77"/>
      <c r="AI172" s="68"/>
      <c r="AJ172" s="213">
        <v>3.9689999999999994E-4</v>
      </c>
      <c r="AK172" s="213">
        <v>1.7345999999999999</v>
      </c>
      <c r="AL172" s="213">
        <v>2</v>
      </c>
      <c r="AM172" s="213">
        <v>3.6734700000000002E-4</v>
      </c>
      <c r="AN172" s="74"/>
      <c r="AO172" s="73"/>
      <c r="AP172" s="73"/>
      <c r="AQ172" s="73"/>
      <c r="AR172" s="73"/>
      <c r="AS172" s="73"/>
      <c r="AT172" s="74"/>
      <c r="AU172" s="47"/>
      <c r="AV172" s="48"/>
    </row>
    <row r="173" spans="1:48" ht="12.75" customHeight="1" x14ac:dyDescent="0.25">
      <c r="A173" s="72" t="s">
        <v>23</v>
      </c>
      <c r="B173" s="43" t="s">
        <v>159</v>
      </c>
      <c r="C173" s="44" t="s">
        <v>323</v>
      </c>
      <c r="D173" s="45">
        <f>MROUND(MID($C173,6,3)/Basis!$E$3,0.5)</f>
        <v>15.5</v>
      </c>
      <c r="E173" s="45">
        <f>MROUND(MID($C173,9,3)/Basis!$E$3,0.5)</f>
        <v>15.5</v>
      </c>
      <c r="F173" s="124" t="s">
        <v>2946</v>
      </c>
      <c r="G173" s="45">
        <f>ROUND((ROUNDDOWN($F173/5,0)*5+1.8)/Basis!$E$3,1)</f>
        <v>4.5999999999999996</v>
      </c>
      <c r="H173" s="120">
        <f>ROUND($P173*Basis!$E$2*((TaH-TrH)/LN(1/µ)/Basis!$E$7)^$N173*$AA$4*Glycol,0)</f>
        <v>1074</v>
      </c>
      <c r="I173" s="83">
        <f>ROUND(H173/(MID($C173,9,3)/Basis!$E$3/Basis!$E$9)*Basis!$E$11,0)</f>
        <v>818</v>
      </c>
      <c r="J173" s="123">
        <f>IF(Basis!$E$1=1,ROUND(H173/((TaH-TrH)*1.163)/3600,3),ROUND(H173/(500*(TaH-TrH)),2))</f>
        <v>0.11</v>
      </c>
      <c r="K173" s="84"/>
      <c r="L173" s="177">
        <f>CHOOSE(Basis!$E$1,((AJ173*(J173*3600/Basis!$E$5)^AK173*(((MID(C173,9,3)*10)-144)/1000)*AL173+AM173*(J173*3600/Basis!$E$5)^2)*0.0098)/Basis!$E$10,((AJ173*(J173/Basis!$E$5)^AK173*(((MID(C173,9,3)*10)-144)/1000)*AL173+AM173*(J173/Basis!$E$5)^2)*0.0098)/Basis!$E$10)</f>
        <v>1.5251458968533742E-3</v>
      </c>
      <c r="M173" s="85"/>
      <c r="N173" s="109">
        <v>1.4390000000000001</v>
      </c>
      <c r="O173" s="68"/>
      <c r="P173" s="67">
        <v>506</v>
      </c>
      <c r="Q173" s="68"/>
      <c r="R173" s="69"/>
      <c r="S173" s="69"/>
      <c r="T173" s="69"/>
      <c r="U173" s="69"/>
      <c r="V173" s="69"/>
      <c r="W173" s="68"/>
      <c r="X173" s="70"/>
      <c r="Y173" s="70"/>
      <c r="Z173" s="70"/>
      <c r="AA173" s="70"/>
      <c r="AB173" s="70"/>
      <c r="AC173" s="68"/>
      <c r="AD173" s="71"/>
      <c r="AE173" s="71"/>
      <c r="AF173" s="71"/>
      <c r="AG173" s="71"/>
      <c r="AH173" s="71"/>
      <c r="AI173" s="68"/>
      <c r="AJ173" s="214">
        <v>3.9689999999999994E-4</v>
      </c>
      <c r="AK173" s="214">
        <v>1.7345999999999999</v>
      </c>
      <c r="AL173" s="214">
        <v>4</v>
      </c>
      <c r="AM173" s="214">
        <v>5.7428799999999995E-4</v>
      </c>
      <c r="AN173" s="68"/>
      <c r="AO173" s="67"/>
      <c r="AP173" s="67"/>
      <c r="AQ173" s="67"/>
      <c r="AR173" s="67"/>
      <c r="AS173" s="67"/>
      <c r="AT173" s="68"/>
      <c r="AU173" s="49"/>
      <c r="AV173" s="50"/>
    </row>
    <row r="174" spans="1:48" ht="12.75" customHeight="1" x14ac:dyDescent="0.25">
      <c r="A174" s="72" t="s">
        <v>23</v>
      </c>
      <c r="B174" s="43" t="s">
        <v>159</v>
      </c>
      <c r="C174" s="44" t="s">
        <v>324</v>
      </c>
      <c r="D174" s="45">
        <f>MROUND(MID($C174,6,3)/Basis!$E$3,0.5)</f>
        <v>15.5</v>
      </c>
      <c r="E174" s="45">
        <f>MROUND(MID($C174,9,3)/Basis!$E$3,0.5)</f>
        <v>15.5</v>
      </c>
      <c r="F174" s="124" t="s">
        <v>2944</v>
      </c>
      <c r="G174" s="45">
        <f>ROUND((ROUNDDOWN($F174/5,0)*5+1.8)/Basis!$E$3,1)</f>
        <v>6.6</v>
      </c>
      <c r="H174" s="120">
        <f>ROUND($P174*Basis!$E$2*((TaH-TrH)/LN(1/µ)/Basis!$E$7)^$N174*$AA$4*Glycol,0)</f>
        <v>1354</v>
      </c>
      <c r="I174" s="83">
        <f>ROUND(H174/(MID($C174,9,3)/Basis!$E$3/Basis!$E$9)*Basis!$E$11,0)</f>
        <v>1032</v>
      </c>
      <c r="J174" s="123">
        <f>IF(Basis!$E$1=1,ROUND(H174/((TaH-TrH)*1.163)/3600,3),ROUND(H174/(500*(TaH-TrH)),2))</f>
        <v>0.14000000000000001</v>
      </c>
      <c r="K174" s="84"/>
      <c r="L174" s="177">
        <f>CHOOSE(Basis!$E$1,((AJ174*(J174*3600/Basis!$E$5)^AK174*(((MID(C174,9,3)*10)-144)/1000)*AL174+AM174*(J174*3600/Basis!$E$5)^2)*0.0098)/Basis!$E$10,((AJ174*(J174/Basis!$E$5)^AK174*(((MID(C174,9,3)*10)-144)/1000)*AL174+AM174*(J174/Basis!$E$5)^2)*0.0098)/Basis!$E$10)</f>
        <v>1.6624808875258625E-3</v>
      </c>
      <c r="M174" s="85"/>
      <c r="N174" s="110">
        <v>1.385</v>
      </c>
      <c r="O174" s="74"/>
      <c r="P174" s="73">
        <v>627</v>
      </c>
      <c r="Q174" s="74"/>
      <c r="R174" s="75"/>
      <c r="S174" s="75"/>
      <c r="T174" s="75"/>
      <c r="U174" s="75"/>
      <c r="V174" s="75"/>
      <c r="W174" s="74"/>
      <c r="X174" s="76"/>
      <c r="Y174" s="76"/>
      <c r="Z174" s="76"/>
      <c r="AA174" s="76"/>
      <c r="AB174" s="76"/>
      <c r="AC174" s="74"/>
      <c r="AD174" s="77"/>
      <c r="AE174" s="77"/>
      <c r="AF174" s="77"/>
      <c r="AG174" s="77"/>
      <c r="AH174" s="77"/>
      <c r="AI174" s="68"/>
      <c r="AJ174" s="213">
        <v>2.0829999999999999E-4</v>
      </c>
      <c r="AK174" s="213">
        <v>1.724</v>
      </c>
      <c r="AL174" s="213">
        <v>2</v>
      </c>
      <c r="AM174" s="213">
        <v>4.6182900000000003E-4</v>
      </c>
      <c r="AN174" s="74"/>
      <c r="AO174" s="73"/>
      <c r="AP174" s="73"/>
      <c r="AQ174" s="73"/>
      <c r="AR174" s="73"/>
      <c r="AS174" s="73"/>
      <c r="AT174" s="74"/>
      <c r="AU174" s="47"/>
      <c r="AV174" s="48"/>
    </row>
    <row r="175" spans="1:48" ht="12.75" customHeight="1" x14ac:dyDescent="0.25">
      <c r="A175" s="72" t="s">
        <v>23</v>
      </c>
      <c r="B175" s="43" t="s">
        <v>159</v>
      </c>
      <c r="C175" s="44" t="s">
        <v>325</v>
      </c>
      <c r="D175" s="45">
        <f>MROUND(MID($C175,6,3)/Basis!$E$3,0.5)</f>
        <v>15.5</v>
      </c>
      <c r="E175" s="45">
        <f>MROUND(MID($C175,9,3)/Basis!$E$3,0.5)</f>
        <v>15.5</v>
      </c>
      <c r="F175" s="124" t="s">
        <v>2947</v>
      </c>
      <c r="G175" s="45">
        <f>ROUND((ROUNDDOWN($F175/5,0)*5+1.8)/Basis!$E$3,1)</f>
        <v>6.6</v>
      </c>
      <c r="H175" s="120">
        <f>ROUND($P175*Basis!$E$2*((TaH-TrH)/LN(1/µ)/Basis!$E$7)^$N175*$AA$4*Glycol,0)</f>
        <v>1433</v>
      </c>
      <c r="I175" s="83">
        <f>ROUND(H175/(MID($C175,9,3)/Basis!$E$3/Basis!$E$9)*Basis!$E$11,0)</f>
        <v>1092</v>
      </c>
      <c r="J175" s="123">
        <f>IF(Basis!$E$1=1,ROUND(H175/((TaH-TrH)*1.163)/3600,3),ROUND(H175/(500*(TaH-TrH)),2))</f>
        <v>0.14000000000000001</v>
      </c>
      <c r="K175" s="84"/>
      <c r="L175" s="177">
        <f>CHOOSE(Basis!$E$1,((AJ175*(J175*3600/Basis!$E$5)^AK175*(((MID(C175,9,3)*10)-144)/1000)*AL175+AM175*(J175*3600/Basis!$E$5)^2)*0.0098)/Basis!$E$10,((AJ175*(J175/Basis!$E$5)^AK175*(((MID(C175,9,3)*10)-144)/1000)*AL175+AM175*(J175/Basis!$E$5)^2)*0.0098)/Basis!$E$10)</f>
        <v>4.8759005040267082E-3</v>
      </c>
      <c r="M175" s="85"/>
      <c r="N175" s="109">
        <v>1.46</v>
      </c>
      <c r="O175" s="68"/>
      <c r="P175" s="67">
        <v>680</v>
      </c>
      <c r="Q175" s="68"/>
      <c r="R175" s="69"/>
      <c r="S175" s="69"/>
      <c r="T175" s="69"/>
      <c r="U175" s="69"/>
      <c r="V175" s="69"/>
      <c r="W175" s="68"/>
      <c r="X175" s="70"/>
      <c r="Y175" s="70"/>
      <c r="Z175" s="70"/>
      <c r="AA175" s="70"/>
      <c r="AB175" s="70"/>
      <c r="AC175" s="68"/>
      <c r="AD175" s="71"/>
      <c r="AE175" s="71"/>
      <c r="AF175" s="71"/>
      <c r="AG175" s="71"/>
      <c r="AH175" s="71"/>
      <c r="AI175" s="68"/>
      <c r="AJ175" s="214">
        <v>2.0829999999999999E-4</v>
      </c>
      <c r="AK175" s="214">
        <v>1.724</v>
      </c>
      <c r="AL175" s="214">
        <v>4</v>
      </c>
      <c r="AM175" s="214">
        <v>1.392796E-3</v>
      </c>
      <c r="AN175" s="68"/>
      <c r="AO175" s="67"/>
      <c r="AP175" s="67"/>
      <c r="AQ175" s="67"/>
      <c r="AR175" s="67"/>
      <c r="AS175" s="67"/>
      <c r="AT175" s="68"/>
      <c r="AU175" s="49"/>
      <c r="AV175" s="50"/>
    </row>
    <row r="176" spans="1:48" ht="12.75" customHeight="1" x14ac:dyDescent="0.25">
      <c r="A176" s="72" t="s">
        <v>23</v>
      </c>
      <c r="B176" s="43" t="s">
        <v>159</v>
      </c>
      <c r="C176" s="44" t="s">
        <v>326</v>
      </c>
      <c r="D176" s="45">
        <f>MROUND(MID($C176,6,3)/Basis!$E$3,0.5)</f>
        <v>15.5</v>
      </c>
      <c r="E176" s="45">
        <f>MROUND(MID($C176,9,3)/Basis!$E$3,0.5)</f>
        <v>15.5</v>
      </c>
      <c r="F176" s="124" t="s">
        <v>2945</v>
      </c>
      <c r="G176" s="45">
        <f>ROUND((ROUNDDOWN($F176/5,0)*5+1.8)/Basis!$E$3,1)</f>
        <v>8.6</v>
      </c>
      <c r="H176" s="120">
        <f>ROUND($P176*Basis!$E$2*((TaH-TrH)/LN(1/µ)/Basis!$E$7)^$N176*$AA$4*Glycol,0)</f>
        <v>1897</v>
      </c>
      <c r="I176" s="83">
        <f>ROUND(H176/(MID($C176,9,3)/Basis!$E$3/Basis!$E$9)*Basis!$E$11,0)</f>
        <v>1446</v>
      </c>
      <c r="J176" s="123">
        <f>IF(Basis!$E$1=1,ROUND(H176/((TaH-TrH)*1.163)/3600,3),ROUND(H176/(500*(TaH-TrH)),2))</f>
        <v>0.19</v>
      </c>
      <c r="K176" s="84"/>
      <c r="L176" s="177">
        <f>CHOOSE(Basis!$E$1,((AJ176*(J176*3600/Basis!$E$5)^AK176*(((MID(C176,9,3)*10)-144)/1000)*AL176+AM176*(J176*3600/Basis!$E$5)^2)*0.0098)/Basis!$E$10,((AJ176*(J176/Basis!$E$5)^AK176*(((MID(C176,9,3)*10)-144)/1000)*AL176+AM176*(J176/Basis!$E$5)^2)*0.0098)/Basis!$E$10)</f>
        <v>2.4328075669557414E-3</v>
      </c>
      <c r="M176" s="85"/>
      <c r="N176" s="110">
        <v>1.3839999999999999</v>
      </c>
      <c r="O176" s="74"/>
      <c r="P176" s="73">
        <v>878</v>
      </c>
      <c r="Q176" s="74"/>
      <c r="R176" s="75"/>
      <c r="S176" s="75"/>
      <c r="T176" s="75"/>
      <c r="U176" s="75"/>
      <c r="V176" s="75"/>
      <c r="W176" s="74"/>
      <c r="X176" s="76"/>
      <c r="Y176" s="76"/>
      <c r="Z176" s="76"/>
      <c r="AA176" s="76"/>
      <c r="AB176" s="76"/>
      <c r="AC176" s="74"/>
      <c r="AD176" s="77"/>
      <c r="AE176" s="77"/>
      <c r="AF176" s="77"/>
      <c r="AG176" s="77"/>
      <c r="AH176" s="77"/>
      <c r="AI176" s="68"/>
      <c r="AJ176" s="213">
        <v>1.2760000000000001E-4</v>
      </c>
      <c r="AK176" s="213">
        <v>1.7219</v>
      </c>
      <c r="AL176" s="213">
        <v>2</v>
      </c>
      <c r="AM176" s="213">
        <v>3.76611E-4</v>
      </c>
      <c r="AN176" s="74"/>
      <c r="AO176" s="73"/>
      <c r="AP176" s="73"/>
      <c r="AQ176" s="73"/>
      <c r="AR176" s="73"/>
      <c r="AS176" s="73"/>
      <c r="AT176" s="74"/>
      <c r="AU176" s="47"/>
      <c r="AV176" s="48"/>
    </row>
    <row r="177" spans="1:48" ht="12.75" customHeight="1" x14ac:dyDescent="0.25">
      <c r="A177" s="72" t="s">
        <v>23</v>
      </c>
      <c r="B177" s="43" t="s">
        <v>159</v>
      </c>
      <c r="C177" s="44" t="s">
        <v>327</v>
      </c>
      <c r="D177" s="45">
        <f>MROUND(MID($C177,6,3)/Basis!$E$3,0.5)</f>
        <v>15.5</v>
      </c>
      <c r="E177" s="45">
        <f>MROUND(MID($C177,9,3)/Basis!$E$3,0.5)</f>
        <v>15.5</v>
      </c>
      <c r="F177" s="124" t="s">
        <v>2948</v>
      </c>
      <c r="G177" s="45">
        <f>ROUND((ROUNDDOWN($F177/5,0)*5+1.8)/Basis!$E$3,1)</f>
        <v>8.6</v>
      </c>
      <c r="H177" s="120">
        <f>ROUND($P177*Basis!$E$2*((TaH-TrH)/LN(1/µ)/Basis!$E$7)^$N177*$AA$4*Glycol,0)</f>
        <v>1907</v>
      </c>
      <c r="I177" s="83">
        <f>ROUND(H177/(MID($C177,9,3)/Basis!$E$3/Basis!$E$9)*Basis!$E$11,0)</f>
        <v>1453</v>
      </c>
      <c r="J177" s="123">
        <f>IF(Basis!$E$1=1,ROUND(H177/((TaH-TrH)*1.163)/3600,3),ROUND(H177/(500*(TaH-TrH)),2))</f>
        <v>0.19</v>
      </c>
      <c r="K177" s="84"/>
      <c r="L177" s="177">
        <f>CHOOSE(Basis!$E$1,((AJ177*(J177*3600/Basis!$E$5)^AK177*(((MID(C177,9,3)*10)-144)/1000)*AL177+AM177*(J177*3600/Basis!$E$5)^2)*0.0098)/Basis!$E$10,((AJ177*(J177/Basis!$E$5)^AK177*(((MID(C177,9,3)*10)-144)/1000)*AL177+AM177*(J177/Basis!$E$5)^2)*0.0098)/Basis!$E$10)</f>
        <v>3.410218994612049E-3</v>
      </c>
      <c r="M177" s="85"/>
      <c r="N177" s="109">
        <v>1.4770000000000001</v>
      </c>
      <c r="O177" s="68"/>
      <c r="P177" s="67">
        <v>910</v>
      </c>
      <c r="Q177" s="68"/>
      <c r="R177" s="69"/>
      <c r="S177" s="69"/>
      <c r="T177" s="69"/>
      <c r="U177" s="69"/>
      <c r="V177" s="69"/>
      <c r="W177" s="68"/>
      <c r="X177" s="70"/>
      <c r="Y177" s="70"/>
      <c r="Z177" s="70"/>
      <c r="AA177" s="70"/>
      <c r="AB177" s="70"/>
      <c r="AC177" s="68"/>
      <c r="AD177" s="71"/>
      <c r="AE177" s="71"/>
      <c r="AF177" s="71"/>
      <c r="AG177" s="71"/>
      <c r="AH177" s="71"/>
      <c r="AI177" s="68"/>
      <c r="AJ177" s="214">
        <v>1.2760000000000001E-4</v>
      </c>
      <c r="AK177" s="214">
        <v>1.7219</v>
      </c>
      <c r="AL177" s="214">
        <v>4</v>
      </c>
      <c r="AM177" s="214">
        <v>5.1420100000000005E-4</v>
      </c>
      <c r="AN177" s="68"/>
      <c r="AO177" s="67"/>
      <c r="AP177" s="67"/>
      <c r="AQ177" s="67"/>
      <c r="AR177" s="67"/>
      <c r="AS177" s="67"/>
      <c r="AT177" s="68"/>
      <c r="AU177" s="49"/>
      <c r="AV177" s="50"/>
    </row>
    <row r="178" spans="1:48" ht="12.75" customHeight="1" x14ac:dyDescent="0.25">
      <c r="A178" s="72" t="s">
        <v>23</v>
      </c>
      <c r="B178" s="43" t="s">
        <v>159</v>
      </c>
      <c r="C178" s="44" t="s">
        <v>328</v>
      </c>
      <c r="D178" s="45">
        <f>MROUND(MID($C178,6,3)/Basis!$E$3,0.5)</f>
        <v>15.5</v>
      </c>
      <c r="E178" s="45">
        <f>MROUND(MID($C178,9,3)/Basis!$E$3,0.5)</f>
        <v>19.5</v>
      </c>
      <c r="F178" s="124" t="s">
        <v>2943</v>
      </c>
      <c r="G178" s="45">
        <f>ROUND((ROUNDDOWN($F178/5,0)*5+1.8)/Basis!$E$3,1)</f>
        <v>4.5999999999999996</v>
      </c>
      <c r="H178" s="120">
        <f>ROUND($P178*Basis!$E$2*((TaH-TrH)/LN(1/µ)/Basis!$E$7)^$N178*$AA$4*Glycol,0)</f>
        <v>1038</v>
      </c>
      <c r="I178" s="83">
        <f>ROUND(H178/(MID($C178,9,3)/Basis!$E$3/Basis!$E$9)*Basis!$E$11,0)</f>
        <v>633</v>
      </c>
      <c r="J178" s="123">
        <f>IF(Basis!$E$1=1,ROUND(H178/((TaH-TrH)*1.163)/3600,3),ROUND(H178/(500*(TaH-TrH)),2))</f>
        <v>0.1</v>
      </c>
      <c r="K178" s="84"/>
      <c r="L178" s="177">
        <f>CHOOSE(Basis!$E$1,((AJ178*(J178*3600/Basis!$E$5)^AK178*(((MID(C178,9,3)*10)-144)/1000)*AL178+AM178*(J178*3600/Basis!$E$5)^2)*0.0098)/Basis!$E$10,((AJ178*(J178/Basis!$E$5)^AK178*(((MID(C178,9,3)*10)-144)/1000)*AL178+AM178*(J178/Basis!$E$5)^2)*0.0098)/Basis!$E$10)</f>
        <v>8.2769374243100264E-4</v>
      </c>
      <c r="M178" s="85"/>
      <c r="N178" s="110">
        <v>1.3939999999999999</v>
      </c>
      <c r="O178" s="74"/>
      <c r="P178" s="73">
        <v>482</v>
      </c>
      <c r="Q178" s="74"/>
      <c r="R178" s="75"/>
      <c r="S178" s="75"/>
      <c r="T178" s="75"/>
      <c r="U178" s="75"/>
      <c r="V178" s="75"/>
      <c r="W178" s="74"/>
      <c r="X178" s="76"/>
      <c r="Y178" s="76"/>
      <c r="Z178" s="76"/>
      <c r="AA178" s="76"/>
      <c r="AB178" s="76"/>
      <c r="AC178" s="74"/>
      <c r="AD178" s="77"/>
      <c r="AE178" s="77"/>
      <c r="AF178" s="77"/>
      <c r="AG178" s="77"/>
      <c r="AH178" s="77"/>
      <c r="AI178" s="68"/>
      <c r="AJ178" s="213">
        <v>3.9689999999999994E-4</v>
      </c>
      <c r="AK178" s="213">
        <v>1.7345999999999999</v>
      </c>
      <c r="AL178" s="213">
        <v>2</v>
      </c>
      <c r="AM178" s="213">
        <v>3.6734700000000002E-4</v>
      </c>
      <c r="AN178" s="74"/>
      <c r="AO178" s="73"/>
      <c r="AP178" s="73"/>
      <c r="AQ178" s="73"/>
      <c r="AR178" s="73"/>
      <c r="AS178" s="73"/>
      <c r="AT178" s="74"/>
      <c r="AU178" s="47"/>
      <c r="AV178" s="48"/>
    </row>
    <row r="179" spans="1:48" ht="12.75" customHeight="1" x14ac:dyDescent="0.25">
      <c r="A179" s="72" t="s">
        <v>23</v>
      </c>
      <c r="B179" s="43" t="s">
        <v>159</v>
      </c>
      <c r="C179" s="44" t="s">
        <v>329</v>
      </c>
      <c r="D179" s="45">
        <f>MROUND(MID($C179,6,3)/Basis!$E$3,0.5)</f>
        <v>15.5</v>
      </c>
      <c r="E179" s="45">
        <f>MROUND(MID($C179,9,3)/Basis!$E$3,0.5)</f>
        <v>19.5</v>
      </c>
      <c r="F179" s="124" t="s">
        <v>2946</v>
      </c>
      <c r="G179" s="45">
        <f>ROUND((ROUNDDOWN($F179/5,0)*5+1.8)/Basis!$E$3,1)</f>
        <v>4.5999999999999996</v>
      </c>
      <c r="H179" s="120">
        <f>ROUND($P179*Basis!$E$2*((TaH-TrH)/LN(1/µ)/Basis!$E$7)^$N179*$AA$4*Glycol,0)</f>
        <v>1341</v>
      </c>
      <c r="I179" s="83">
        <f>ROUND(H179/(MID($C179,9,3)/Basis!$E$3/Basis!$E$9)*Basis!$E$11,0)</f>
        <v>817</v>
      </c>
      <c r="J179" s="123">
        <f>IF(Basis!$E$1=1,ROUND(H179/((TaH-TrH)*1.163)/3600,3),ROUND(H179/(500*(TaH-TrH)),2))</f>
        <v>0.13</v>
      </c>
      <c r="K179" s="84"/>
      <c r="L179" s="177">
        <f>CHOOSE(Basis!$E$1,((AJ179*(J179*3600/Basis!$E$5)^AK179*(((MID(C179,9,3)*10)-144)/1000)*AL179+AM179*(J179*3600/Basis!$E$5)^2)*0.0098)/Basis!$E$10,((AJ179*(J179/Basis!$E$5)^AK179*(((MID(C179,9,3)*10)-144)/1000)*AL179+AM179*(J179/Basis!$E$5)^2)*0.0098)/Basis!$E$10)</f>
        <v>2.2930551813665173E-3</v>
      </c>
      <c r="M179" s="85"/>
      <c r="N179" s="109">
        <v>1.4390000000000001</v>
      </c>
      <c r="O179" s="68"/>
      <c r="P179" s="67">
        <v>632</v>
      </c>
      <c r="Q179" s="68"/>
      <c r="R179" s="69"/>
      <c r="S179" s="69"/>
      <c r="T179" s="69"/>
      <c r="U179" s="69"/>
      <c r="V179" s="69"/>
      <c r="W179" s="68"/>
      <c r="X179" s="70"/>
      <c r="Y179" s="70"/>
      <c r="Z179" s="70"/>
      <c r="AA179" s="70"/>
      <c r="AB179" s="70"/>
      <c r="AC179" s="68"/>
      <c r="AD179" s="71"/>
      <c r="AE179" s="71"/>
      <c r="AF179" s="71"/>
      <c r="AG179" s="71"/>
      <c r="AH179" s="71"/>
      <c r="AI179" s="68"/>
      <c r="AJ179" s="214">
        <v>3.9689999999999994E-4</v>
      </c>
      <c r="AK179" s="214">
        <v>1.7345999999999999</v>
      </c>
      <c r="AL179" s="214">
        <v>4</v>
      </c>
      <c r="AM179" s="214">
        <v>5.7428799999999995E-4</v>
      </c>
      <c r="AN179" s="68"/>
      <c r="AO179" s="67"/>
      <c r="AP179" s="67"/>
      <c r="AQ179" s="67"/>
      <c r="AR179" s="67"/>
      <c r="AS179" s="67"/>
      <c r="AT179" s="68"/>
      <c r="AU179" s="49"/>
      <c r="AV179" s="50"/>
    </row>
    <row r="180" spans="1:48" ht="12.75" customHeight="1" x14ac:dyDescent="0.25">
      <c r="A180" s="72" t="s">
        <v>23</v>
      </c>
      <c r="B180" s="43" t="s">
        <v>159</v>
      </c>
      <c r="C180" s="44" t="s">
        <v>330</v>
      </c>
      <c r="D180" s="45">
        <f>MROUND(MID($C180,6,3)/Basis!$E$3,0.5)</f>
        <v>15.5</v>
      </c>
      <c r="E180" s="45">
        <f>MROUND(MID($C180,9,3)/Basis!$E$3,0.5)</f>
        <v>19.5</v>
      </c>
      <c r="F180" s="124" t="s">
        <v>2944</v>
      </c>
      <c r="G180" s="45">
        <f>ROUND((ROUNDDOWN($F180/5,0)*5+1.8)/Basis!$E$3,1)</f>
        <v>6.6</v>
      </c>
      <c r="H180" s="120">
        <f>ROUND($P180*Basis!$E$2*((TaH-TrH)/LN(1/µ)/Basis!$E$7)^$N180*$AA$4*Glycol,0)</f>
        <v>1694</v>
      </c>
      <c r="I180" s="83">
        <f>ROUND(H180/(MID($C180,9,3)/Basis!$E$3/Basis!$E$9)*Basis!$E$11,0)</f>
        <v>1033</v>
      </c>
      <c r="J180" s="123">
        <f>IF(Basis!$E$1=1,ROUND(H180/((TaH-TrH)*1.163)/3600,3),ROUND(H180/(500*(TaH-TrH)),2))</f>
        <v>0.17</v>
      </c>
      <c r="K180" s="84"/>
      <c r="L180" s="177">
        <f>CHOOSE(Basis!$E$1,((AJ180*(J180*3600/Basis!$E$5)^AK180*(((MID(C180,9,3)*10)-144)/1000)*AL180+AM180*(J180*3600/Basis!$E$5)^2)*0.0098)/Basis!$E$10,((AJ180*(J180/Basis!$E$5)^AK180*(((MID(C180,9,3)*10)-144)/1000)*AL180+AM180*(J180/Basis!$E$5)^2)*0.0098)/Basis!$E$10)</f>
        <v>2.5149550164641188E-3</v>
      </c>
      <c r="M180" s="85"/>
      <c r="N180" s="110">
        <v>1.385</v>
      </c>
      <c r="O180" s="74"/>
      <c r="P180" s="73">
        <v>784</v>
      </c>
      <c r="Q180" s="74"/>
      <c r="R180" s="75"/>
      <c r="S180" s="75"/>
      <c r="T180" s="75"/>
      <c r="U180" s="75"/>
      <c r="V180" s="75"/>
      <c r="W180" s="74"/>
      <c r="X180" s="76"/>
      <c r="Y180" s="76"/>
      <c r="Z180" s="76"/>
      <c r="AA180" s="76"/>
      <c r="AB180" s="76"/>
      <c r="AC180" s="74"/>
      <c r="AD180" s="77"/>
      <c r="AE180" s="77"/>
      <c r="AF180" s="77"/>
      <c r="AG180" s="77"/>
      <c r="AH180" s="77"/>
      <c r="AI180" s="68"/>
      <c r="AJ180" s="213">
        <v>2.0829999999999999E-4</v>
      </c>
      <c r="AK180" s="213">
        <v>1.724</v>
      </c>
      <c r="AL180" s="213">
        <v>2</v>
      </c>
      <c r="AM180" s="213">
        <v>4.6182900000000003E-4</v>
      </c>
      <c r="AN180" s="74"/>
      <c r="AO180" s="73"/>
      <c r="AP180" s="73"/>
      <c r="AQ180" s="73"/>
      <c r="AR180" s="73"/>
      <c r="AS180" s="73"/>
      <c r="AT180" s="74"/>
      <c r="AU180" s="47"/>
      <c r="AV180" s="48"/>
    </row>
    <row r="181" spans="1:48" ht="12.75" customHeight="1" x14ac:dyDescent="0.25">
      <c r="A181" s="72" t="s">
        <v>23</v>
      </c>
      <c r="B181" s="43" t="s">
        <v>159</v>
      </c>
      <c r="C181" s="44" t="s">
        <v>331</v>
      </c>
      <c r="D181" s="45">
        <f>MROUND(MID($C181,6,3)/Basis!$E$3,0.5)</f>
        <v>15.5</v>
      </c>
      <c r="E181" s="45">
        <f>MROUND(MID($C181,9,3)/Basis!$E$3,0.5)</f>
        <v>19.5</v>
      </c>
      <c r="F181" s="124" t="s">
        <v>2947</v>
      </c>
      <c r="G181" s="45">
        <f>ROUND((ROUNDDOWN($F181/5,0)*5+1.8)/Basis!$E$3,1)</f>
        <v>6.6</v>
      </c>
      <c r="H181" s="120">
        <f>ROUND($P181*Basis!$E$2*((TaH-TrH)/LN(1/µ)/Basis!$E$7)^$N181*$AA$4*Glycol,0)</f>
        <v>1791</v>
      </c>
      <c r="I181" s="83">
        <f>ROUND(H181/(MID($C181,9,3)/Basis!$E$3/Basis!$E$9)*Basis!$E$11,0)</f>
        <v>1092</v>
      </c>
      <c r="J181" s="123">
        <f>IF(Basis!$E$1=1,ROUND(H181/((TaH-TrH)*1.163)/3600,3),ROUND(H181/(500*(TaH-TrH)),2))</f>
        <v>0.18</v>
      </c>
      <c r="K181" s="84"/>
      <c r="L181" s="177">
        <f>CHOOSE(Basis!$E$1,((AJ181*(J181*3600/Basis!$E$5)^AK181*(((MID(C181,9,3)*10)-144)/1000)*AL181+AM181*(J181*3600/Basis!$E$5)^2)*0.0098)/Basis!$E$10,((AJ181*(J181/Basis!$E$5)^AK181*(((MID(C181,9,3)*10)-144)/1000)*AL181+AM181*(J181/Basis!$E$5)^2)*0.0098)/Basis!$E$10)</f>
        <v>8.1936094105515087E-3</v>
      </c>
      <c r="M181" s="85"/>
      <c r="N181" s="109">
        <v>1.46</v>
      </c>
      <c r="O181" s="68"/>
      <c r="P181" s="67">
        <v>850</v>
      </c>
      <c r="Q181" s="68"/>
      <c r="R181" s="69"/>
      <c r="S181" s="69"/>
      <c r="T181" s="69"/>
      <c r="U181" s="69"/>
      <c r="V181" s="69"/>
      <c r="W181" s="68"/>
      <c r="X181" s="70"/>
      <c r="Y181" s="70"/>
      <c r="Z181" s="70"/>
      <c r="AA181" s="70"/>
      <c r="AB181" s="70"/>
      <c r="AC181" s="68"/>
      <c r="AD181" s="71"/>
      <c r="AE181" s="71"/>
      <c r="AF181" s="71"/>
      <c r="AG181" s="71"/>
      <c r="AH181" s="71"/>
      <c r="AI181" s="68"/>
      <c r="AJ181" s="214">
        <v>2.0829999999999999E-4</v>
      </c>
      <c r="AK181" s="214">
        <v>1.724</v>
      </c>
      <c r="AL181" s="214">
        <v>4</v>
      </c>
      <c r="AM181" s="214">
        <v>1.392796E-3</v>
      </c>
      <c r="AN181" s="68"/>
      <c r="AO181" s="67"/>
      <c r="AP181" s="67"/>
      <c r="AQ181" s="67"/>
      <c r="AR181" s="67"/>
      <c r="AS181" s="67"/>
      <c r="AT181" s="68"/>
      <c r="AU181" s="49"/>
      <c r="AV181" s="50"/>
    </row>
    <row r="182" spans="1:48" ht="12.75" customHeight="1" x14ac:dyDescent="0.25">
      <c r="A182" s="72" t="s">
        <v>23</v>
      </c>
      <c r="B182" s="43" t="s">
        <v>159</v>
      </c>
      <c r="C182" s="44" t="s">
        <v>332</v>
      </c>
      <c r="D182" s="45">
        <f>MROUND(MID($C182,6,3)/Basis!$E$3,0.5)</f>
        <v>15.5</v>
      </c>
      <c r="E182" s="45">
        <f>MROUND(MID($C182,9,3)/Basis!$E$3,0.5)</f>
        <v>19.5</v>
      </c>
      <c r="F182" s="124" t="s">
        <v>2945</v>
      </c>
      <c r="G182" s="45">
        <f>ROUND((ROUNDDOWN($F182/5,0)*5+1.8)/Basis!$E$3,1)</f>
        <v>8.6</v>
      </c>
      <c r="H182" s="120">
        <f>ROUND($P182*Basis!$E$2*((TaH-TrH)/LN(1/µ)/Basis!$E$7)^$N182*$AA$4*Glycol,0)</f>
        <v>2373</v>
      </c>
      <c r="I182" s="83">
        <f>ROUND(H182/(MID($C182,9,3)/Basis!$E$3/Basis!$E$9)*Basis!$E$11,0)</f>
        <v>1447</v>
      </c>
      <c r="J182" s="123">
        <f>IF(Basis!$E$1=1,ROUND(H182/((TaH-TrH)*1.163)/3600,3),ROUND(H182/(500*(TaH-TrH)),2))</f>
        <v>0.24</v>
      </c>
      <c r="K182" s="84"/>
      <c r="L182" s="177">
        <f>CHOOSE(Basis!$E$1,((AJ182*(J182*3600/Basis!$E$5)^AK182*(((MID(C182,9,3)*10)-144)/1000)*AL182+AM182*(J182*3600/Basis!$E$5)^2)*0.0098)/Basis!$E$10,((AJ182*(J182/Basis!$E$5)^AK182*(((MID(C182,9,3)*10)-144)/1000)*AL182+AM182*(J182/Basis!$E$5)^2)*0.0098)/Basis!$E$10)</f>
        <v>3.9492470641896383E-3</v>
      </c>
      <c r="M182" s="85"/>
      <c r="N182" s="110">
        <v>1.3839999999999999</v>
      </c>
      <c r="O182" s="74"/>
      <c r="P182" s="73">
        <v>1098</v>
      </c>
      <c r="Q182" s="74"/>
      <c r="R182" s="75"/>
      <c r="S182" s="75"/>
      <c r="T182" s="75"/>
      <c r="U182" s="75"/>
      <c r="V182" s="75"/>
      <c r="W182" s="74"/>
      <c r="X182" s="76"/>
      <c r="Y182" s="76"/>
      <c r="Z182" s="76"/>
      <c r="AA182" s="76"/>
      <c r="AB182" s="76"/>
      <c r="AC182" s="74"/>
      <c r="AD182" s="77"/>
      <c r="AE182" s="77"/>
      <c r="AF182" s="77"/>
      <c r="AG182" s="77"/>
      <c r="AH182" s="77"/>
      <c r="AI182" s="68"/>
      <c r="AJ182" s="213">
        <v>1.2760000000000001E-4</v>
      </c>
      <c r="AK182" s="213">
        <v>1.7219</v>
      </c>
      <c r="AL182" s="213">
        <v>2</v>
      </c>
      <c r="AM182" s="213">
        <v>3.76611E-4</v>
      </c>
      <c r="AN182" s="74"/>
      <c r="AO182" s="73"/>
      <c r="AP182" s="73"/>
      <c r="AQ182" s="73"/>
      <c r="AR182" s="73"/>
      <c r="AS182" s="73"/>
      <c r="AT182" s="74"/>
      <c r="AU182" s="47"/>
      <c r="AV182" s="48"/>
    </row>
    <row r="183" spans="1:48" ht="12.75" customHeight="1" x14ac:dyDescent="0.25">
      <c r="A183" s="72" t="s">
        <v>23</v>
      </c>
      <c r="B183" s="43" t="s">
        <v>159</v>
      </c>
      <c r="C183" s="44" t="s">
        <v>333</v>
      </c>
      <c r="D183" s="45">
        <f>MROUND(MID($C183,6,3)/Basis!$E$3,0.5)</f>
        <v>15.5</v>
      </c>
      <c r="E183" s="45">
        <f>MROUND(MID($C183,9,3)/Basis!$E$3,0.5)</f>
        <v>19.5</v>
      </c>
      <c r="F183" s="124" t="s">
        <v>2948</v>
      </c>
      <c r="G183" s="45">
        <f>ROUND((ROUNDDOWN($F183/5,0)*5+1.8)/Basis!$E$3,1)</f>
        <v>8.6</v>
      </c>
      <c r="H183" s="120">
        <f>ROUND($P183*Basis!$E$2*((TaH-TrH)/LN(1/µ)/Basis!$E$7)^$N183*$AA$4*Glycol,0)</f>
        <v>2383</v>
      </c>
      <c r="I183" s="83">
        <f>ROUND(H183/(MID($C183,9,3)/Basis!$E$3/Basis!$E$9)*Basis!$E$11,0)</f>
        <v>1453</v>
      </c>
      <c r="J183" s="123">
        <f>IF(Basis!$E$1=1,ROUND(H183/((TaH-TrH)*1.163)/3600,3),ROUND(H183/(500*(TaH-TrH)),2))</f>
        <v>0.24</v>
      </c>
      <c r="K183" s="84"/>
      <c r="L183" s="177">
        <f>CHOOSE(Basis!$E$1,((AJ183*(J183*3600/Basis!$E$5)^AK183*(((MID(C183,9,3)*10)-144)/1000)*AL183+AM183*(J183*3600/Basis!$E$5)^2)*0.0098)/Basis!$E$10,((AJ183*(J183/Basis!$E$5)^AK183*(((MID(C183,9,3)*10)-144)/1000)*AL183+AM183*(J183/Basis!$E$5)^2)*0.0098)/Basis!$E$10)</f>
        <v>5.5763108147048341E-3</v>
      </c>
      <c r="M183" s="85"/>
      <c r="N183" s="109">
        <v>1.4770000000000001</v>
      </c>
      <c r="O183" s="68"/>
      <c r="P183" s="67">
        <v>1137</v>
      </c>
      <c r="Q183" s="68"/>
      <c r="R183" s="69"/>
      <c r="S183" s="69"/>
      <c r="T183" s="69"/>
      <c r="U183" s="69"/>
      <c r="V183" s="69"/>
      <c r="W183" s="68"/>
      <c r="X183" s="70"/>
      <c r="Y183" s="70"/>
      <c r="Z183" s="70"/>
      <c r="AA183" s="70"/>
      <c r="AB183" s="70"/>
      <c r="AC183" s="68"/>
      <c r="AD183" s="71"/>
      <c r="AE183" s="71"/>
      <c r="AF183" s="71"/>
      <c r="AG183" s="71"/>
      <c r="AH183" s="71"/>
      <c r="AI183" s="68"/>
      <c r="AJ183" s="214">
        <v>1.2760000000000001E-4</v>
      </c>
      <c r="AK183" s="214">
        <v>1.7219</v>
      </c>
      <c r="AL183" s="214">
        <v>4</v>
      </c>
      <c r="AM183" s="214">
        <v>5.1420100000000005E-4</v>
      </c>
      <c r="AN183" s="68"/>
      <c r="AO183" s="67"/>
      <c r="AP183" s="67"/>
      <c r="AQ183" s="67"/>
      <c r="AR183" s="67"/>
      <c r="AS183" s="67"/>
      <c r="AT183" s="68"/>
      <c r="AU183" s="49"/>
      <c r="AV183" s="50"/>
    </row>
    <row r="184" spans="1:48" ht="12.75" customHeight="1" x14ac:dyDescent="0.25">
      <c r="A184" s="72" t="s">
        <v>23</v>
      </c>
      <c r="B184" s="43" t="s">
        <v>159</v>
      </c>
      <c r="C184" s="44" t="s">
        <v>334</v>
      </c>
      <c r="D184" s="45">
        <f>MROUND(MID($C184,6,3)/Basis!$E$3,0.5)</f>
        <v>15.5</v>
      </c>
      <c r="E184" s="45">
        <f>MROUND(MID($C184,9,3)/Basis!$E$3,0.5)</f>
        <v>23.5</v>
      </c>
      <c r="F184" s="124" t="s">
        <v>2943</v>
      </c>
      <c r="G184" s="45">
        <f>ROUND((ROUNDDOWN($F184/5,0)*5+1.8)/Basis!$E$3,1)</f>
        <v>4.5999999999999996</v>
      </c>
      <c r="H184" s="120">
        <f>ROUND($P184*Basis!$E$2*((TaH-TrH)/LN(1/µ)/Basis!$E$7)^$N184*$AA$4*Glycol,0)</f>
        <v>1245</v>
      </c>
      <c r="I184" s="83">
        <f>ROUND(H184/(MID($C184,9,3)/Basis!$E$3/Basis!$E$9)*Basis!$E$11,0)</f>
        <v>632</v>
      </c>
      <c r="J184" s="123">
        <f>IF(Basis!$E$1=1,ROUND(H184/((TaH-TrH)*1.163)/3600,3),ROUND(H184/(500*(TaH-TrH)),2))</f>
        <v>0.12</v>
      </c>
      <c r="K184" s="84"/>
      <c r="L184" s="177">
        <f>CHOOSE(Basis!$E$1,((AJ184*(J184*3600/Basis!$E$5)^AK184*(((MID(C184,9,3)*10)-144)/1000)*AL184+AM184*(J184*3600/Basis!$E$5)^2)*0.0098)/Basis!$E$10,((AJ184*(J184/Basis!$E$5)^AK184*(((MID(C184,9,3)*10)-144)/1000)*AL184+AM184*(J184/Basis!$E$5)^2)*0.0098)/Basis!$E$10)</f>
        <v>1.2579198374497906E-3</v>
      </c>
      <c r="M184" s="85"/>
      <c r="N184" s="110">
        <v>1.3939999999999999</v>
      </c>
      <c r="O184" s="74"/>
      <c r="P184" s="73">
        <v>578</v>
      </c>
      <c r="Q184" s="74"/>
      <c r="R184" s="75"/>
      <c r="S184" s="75"/>
      <c r="T184" s="75"/>
      <c r="U184" s="75"/>
      <c r="V184" s="75"/>
      <c r="W184" s="74"/>
      <c r="X184" s="76"/>
      <c r="Y184" s="76"/>
      <c r="Z184" s="76"/>
      <c r="AA184" s="76"/>
      <c r="AB184" s="76"/>
      <c r="AC184" s="74"/>
      <c r="AD184" s="77"/>
      <c r="AE184" s="77"/>
      <c r="AF184" s="77"/>
      <c r="AG184" s="77"/>
      <c r="AH184" s="77"/>
      <c r="AI184" s="68"/>
      <c r="AJ184" s="213">
        <v>3.9689999999999994E-4</v>
      </c>
      <c r="AK184" s="213">
        <v>1.7345999999999999</v>
      </c>
      <c r="AL184" s="213">
        <v>2</v>
      </c>
      <c r="AM184" s="213">
        <v>3.6734700000000002E-4</v>
      </c>
      <c r="AN184" s="74"/>
      <c r="AO184" s="73"/>
      <c r="AP184" s="73"/>
      <c r="AQ184" s="73"/>
      <c r="AR184" s="73"/>
      <c r="AS184" s="73"/>
      <c r="AT184" s="74"/>
      <c r="AU184" s="47"/>
      <c r="AV184" s="48"/>
    </row>
    <row r="185" spans="1:48" ht="12.75" customHeight="1" x14ac:dyDescent="0.25">
      <c r="A185" s="72" t="s">
        <v>23</v>
      </c>
      <c r="B185" s="43" t="s">
        <v>159</v>
      </c>
      <c r="C185" s="44" t="s">
        <v>335</v>
      </c>
      <c r="D185" s="45">
        <f>MROUND(MID($C185,6,3)/Basis!$E$3,0.5)</f>
        <v>15.5</v>
      </c>
      <c r="E185" s="45">
        <f>MROUND(MID($C185,9,3)/Basis!$E$3,0.5)</f>
        <v>23.5</v>
      </c>
      <c r="F185" s="124" t="s">
        <v>2946</v>
      </c>
      <c r="G185" s="45">
        <f>ROUND((ROUNDDOWN($F185/5,0)*5+1.8)/Basis!$E$3,1)</f>
        <v>4.5999999999999996</v>
      </c>
      <c r="H185" s="120">
        <f>ROUND($P185*Basis!$E$2*((TaH-TrH)/LN(1/µ)/Basis!$E$7)^$N185*$AA$4*Glycol,0)</f>
        <v>1609</v>
      </c>
      <c r="I185" s="83">
        <f>ROUND(H185/(MID($C185,9,3)/Basis!$E$3/Basis!$E$9)*Basis!$E$11,0)</f>
        <v>817</v>
      </c>
      <c r="J185" s="123">
        <f>IF(Basis!$E$1=1,ROUND(H185/((TaH-TrH)*1.163)/3600,3),ROUND(H185/(500*(TaH-TrH)),2))</f>
        <v>0.16</v>
      </c>
      <c r="K185" s="84"/>
      <c r="L185" s="177">
        <f>CHOOSE(Basis!$E$1,((AJ185*(J185*3600/Basis!$E$5)^AK185*(((MID(C185,9,3)*10)-144)/1000)*AL185+AM185*(J185*3600/Basis!$E$5)^2)*0.0098)/Basis!$E$10,((AJ185*(J185/Basis!$E$5)^AK185*(((MID(C185,9,3)*10)-144)/1000)*AL185+AM185*(J185/Basis!$E$5)^2)*0.0098)/Basis!$E$10)</f>
        <v>3.6843998502735088E-3</v>
      </c>
      <c r="M185" s="85"/>
      <c r="N185" s="109">
        <v>1.4390000000000001</v>
      </c>
      <c r="O185" s="68"/>
      <c r="P185" s="67">
        <v>758</v>
      </c>
      <c r="Q185" s="68"/>
      <c r="R185" s="69"/>
      <c r="S185" s="69"/>
      <c r="T185" s="69"/>
      <c r="U185" s="69"/>
      <c r="V185" s="69"/>
      <c r="W185" s="68"/>
      <c r="X185" s="70"/>
      <c r="Y185" s="70"/>
      <c r="Z185" s="70"/>
      <c r="AA185" s="70"/>
      <c r="AB185" s="70"/>
      <c r="AC185" s="68"/>
      <c r="AD185" s="71"/>
      <c r="AE185" s="71"/>
      <c r="AF185" s="71"/>
      <c r="AG185" s="71"/>
      <c r="AH185" s="71"/>
      <c r="AI185" s="68"/>
      <c r="AJ185" s="214">
        <v>3.9689999999999994E-4</v>
      </c>
      <c r="AK185" s="214">
        <v>1.7345999999999999</v>
      </c>
      <c r="AL185" s="214">
        <v>4</v>
      </c>
      <c r="AM185" s="214">
        <v>5.7428799999999995E-4</v>
      </c>
      <c r="AN185" s="68"/>
      <c r="AO185" s="67"/>
      <c r="AP185" s="67"/>
      <c r="AQ185" s="67"/>
      <c r="AR185" s="67"/>
      <c r="AS185" s="67"/>
      <c r="AT185" s="68"/>
      <c r="AU185" s="49"/>
      <c r="AV185" s="50"/>
    </row>
    <row r="186" spans="1:48" ht="12.75" customHeight="1" x14ac:dyDescent="0.25">
      <c r="A186" s="72" t="s">
        <v>23</v>
      </c>
      <c r="B186" s="43" t="s">
        <v>159</v>
      </c>
      <c r="C186" s="44" t="s">
        <v>336</v>
      </c>
      <c r="D186" s="45">
        <f>MROUND(MID($C186,6,3)/Basis!$E$3,0.5)</f>
        <v>15.5</v>
      </c>
      <c r="E186" s="45">
        <f>MROUND(MID($C186,9,3)/Basis!$E$3,0.5)</f>
        <v>23.5</v>
      </c>
      <c r="F186" s="124" t="s">
        <v>2944</v>
      </c>
      <c r="G186" s="45">
        <f>ROUND((ROUNDDOWN($F186/5,0)*5+1.8)/Basis!$E$3,1)</f>
        <v>6.6</v>
      </c>
      <c r="H186" s="120">
        <f>ROUND($P186*Basis!$E$2*((TaH-TrH)/LN(1/µ)/Basis!$E$7)^$N186*$AA$4*Glycol,0)</f>
        <v>2033</v>
      </c>
      <c r="I186" s="83">
        <f>ROUND(H186/(MID($C186,9,3)/Basis!$E$3/Basis!$E$9)*Basis!$E$11,0)</f>
        <v>1033</v>
      </c>
      <c r="J186" s="123">
        <f>IF(Basis!$E$1=1,ROUND(H186/((TaH-TrH)*1.163)/3600,3),ROUND(H186/(500*(TaH-TrH)),2))</f>
        <v>0.2</v>
      </c>
      <c r="K186" s="84"/>
      <c r="L186" s="177">
        <f>CHOOSE(Basis!$E$1,((AJ186*(J186*3600/Basis!$E$5)^AK186*(((MID(C186,9,3)*10)-144)/1000)*AL186+AM186*(J186*3600/Basis!$E$5)^2)*0.0098)/Basis!$E$10,((AJ186*(J186/Basis!$E$5)^AK186*(((MID(C186,9,3)*10)-144)/1000)*AL186+AM186*(J186/Basis!$E$5)^2)*0.0098)/Basis!$E$10)</f>
        <v>3.5629355014562217E-3</v>
      </c>
      <c r="M186" s="85"/>
      <c r="N186" s="109">
        <v>1.385</v>
      </c>
      <c r="O186" s="68"/>
      <c r="P186" s="67">
        <v>941</v>
      </c>
      <c r="Q186" s="68"/>
      <c r="R186" s="69"/>
      <c r="S186" s="69"/>
      <c r="T186" s="69"/>
      <c r="U186" s="69"/>
      <c r="V186" s="69"/>
      <c r="W186" s="68"/>
      <c r="X186" s="70"/>
      <c r="Y186" s="70"/>
      <c r="Z186" s="70"/>
      <c r="AA186" s="70"/>
      <c r="AB186" s="70"/>
      <c r="AC186" s="68"/>
      <c r="AD186" s="71"/>
      <c r="AE186" s="71"/>
      <c r="AF186" s="71"/>
      <c r="AG186" s="71"/>
      <c r="AH186" s="71"/>
      <c r="AI186" s="68"/>
      <c r="AJ186" s="214">
        <v>2.0829999999999999E-4</v>
      </c>
      <c r="AK186" s="214">
        <v>1.724</v>
      </c>
      <c r="AL186" s="214">
        <v>2</v>
      </c>
      <c r="AM186" s="214">
        <v>4.6182900000000003E-4</v>
      </c>
      <c r="AN186" s="68"/>
      <c r="AO186" s="67"/>
      <c r="AP186" s="67"/>
      <c r="AQ186" s="67"/>
      <c r="AR186" s="67"/>
      <c r="AS186" s="67"/>
      <c r="AT186" s="68"/>
      <c r="AU186" s="49"/>
      <c r="AV186" s="50"/>
    </row>
    <row r="187" spans="1:48" ht="12.75" customHeight="1" x14ac:dyDescent="0.25">
      <c r="A187" s="72" t="s">
        <v>23</v>
      </c>
      <c r="B187" s="43" t="s">
        <v>159</v>
      </c>
      <c r="C187" s="44" t="s">
        <v>337</v>
      </c>
      <c r="D187" s="45">
        <f>MROUND(MID($C187,6,3)/Basis!$E$3,0.5)</f>
        <v>15.5</v>
      </c>
      <c r="E187" s="45">
        <f>MROUND(MID($C187,9,3)/Basis!$E$3,0.5)</f>
        <v>23.5</v>
      </c>
      <c r="F187" s="124" t="s">
        <v>2947</v>
      </c>
      <c r="G187" s="45">
        <f>ROUND((ROUNDDOWN($F187/5,0)*5+1.8)/Basis!$E$3,1)</f>
        <v>6.6</v>
      </c>
      <c r="H187" s="120">
        <f>ROUND($P187*Basis!$E$2*((TaH-TrH)/LN(1/µ)/Basis!$E$7)^$N187*$AA$4*Glycol,0)</f>
        <v>2150</v>
      </c>
      <c r="I187" s="83">
        <f>ROUND(H187/(MID($C187,9,3)/Basis!$E$3/Basis!$E$9)*Basis!$E$11,0)</f>
        <v>1092</v>
      </c>
      <c r="J187" s="123">
        <f>IF(Basis!$E$1=1,ROUND(H187/((TaH-TrH)*1.163)/3600,3),ROUND(H187/(500*(TaH-TrH)),2))</f>
        <v>0.22</v>
      </c>
      <c r="K187" s="84"/>
      <c r="L187" s="177">
        <f>CHOOSE(Basis!$E$1,((AJ187*(J187*3600/Basis!$E$5)^AK187*(((MID(C187,9,3)*10)-144)/1000)*AL187+AM187*(J187*3600/Basis!$E$5)^2)*0.0098)/Basis!$E$10,((AJ187*(J187/Basis!$E$5)^AK187*(((MID(C187,9,3)*10)-144)/1000)*AL187+AM187*(J187/Basis!$E$5)^2)*0.0098)/Basis!$E$10)</f>
        <v>1.2424084006467946E-2</v>
      </c>
      <c r="M187" s="85"/>
      <c r="N187" s="110">
        <v>1.46</v>
      </c>
      <c r="O187" s="74"/>
      <c r="P187" s="73">
        <v>1020</v>
      </c>
      <c r="Q187" s="74"/>
      <c r="R187" s="75"/>
      <c r="S187" s="75"/>
      <c r="T187" s="75"/>
      <c r="U187" s="75"/>
      <c r="V187" s="75"/>
      <c r="W187" s="74"/>
      <c r="X187" s="76"/>
      <c r="Y187" s="76"/>
      <c r="Z187" s="76"/>
      <c r="AA187" s="76"/>
      <c r="AB187" s="76"/>
      <c r="AC187" s="74"/>
      <c r="AD187" s="77"/>
      <c r="AE187" s="77"/>
      <c r="AF187" s="77"/>
      <c r="AG187" s="77"/>
      <c r="AH187" s="77"/>
      <c r="AI187" s="68"/>
      <c r="AJ187" s="213">
        <v>2.0829999999999999E-4</v>
      </c>
      <c r="AK187" s="213">
        <v>1.724</v>
      </c>
      <c r="AL187" s="213">
        <v>4</v>
      </c>
      <c r="AM187" s="213">
        <v>1.392796E-3</v>
      </c>
      <c r="AN187" s="74"/>
      <c r="AO187" s="73"/>
      <c r="AP187" s="73"/>
      <c r="AQ187" s="73"/>
      <c r="AR187" s="73"/>
      <c r="AS187" s="73"/>
      <c r="AT187" s="74"/>
      <c r="AU187" s="47"/>
      <c r="AV187" s="48"/>
    </row>
    <row r="188" spans="1:48" ht="12.75" customHeight="1" x14ac:dyDescent="0.25">
      <c r="A188" s="72" t="s">
        <v>23</v>
      </c>
      <c r="B188" s="43" t="s">
        <v>159</v>
      </c>
      <c r="C188" s="44" t="s">
        <v>338</v>
      </c>
      <c r="D188" s="45">
        <f>MROUND(MID($C188,6,3)/Basis!$E$3,0.5)</f>
        <v>15.5</v>
      </c>
      <c r="E188" s="45">
        <f>MROUND(MID($C188,9,3)/Basis!$E$3,0.5)</f>
        <v>23.5</v>
      </c>
      <c r="F188" s="124" t="s">
        <v>2945</v>
      </c>
      <c r="G188" s="45">
        <f>ROUND((ROUNDDOWN($F188/5,0)*5+1.8)/Basis!$E$3,1)</f>
        <v>8.6</v>
      </c>
      <c r="H188" s="120">
        <f>ROUND($P188*Basis!$E$2*((TaH-TrH)/LN(1/µ)/Basis!$E$7)^$N188*$AA$4*Glycol,0)</f>
        <v>2848</v>
      </c>
      <c r="I188" s="83">
        <f>ROUND(H188/(MID($C188,9,3)/Basis!$E$3/Basis!$E$9)*Basis!$E$11,0)</f>
        <v>1447</v>
      </c>
      <c r="J188" s="123">
        <f>IF(Basis!$E$1=1,ROUND(H188/((TaH-TrH)*1.163)/3600,3),ROUND(H188/(500*(TaH-TrH)),2))</f>
        <v>0.28000000000000003</v>
      </c>
      <c r="K188" s="84"/>
      <c r="L188" s="177">
        <f>CHOOSE(Basis!$E$1,((AJ188*(J188*3600/Basis!$E$5)^AK188*(((MID(C188,9,3)*10)-144)/1000)*AL188+AM188*(J188*3600/Basis!$E$5)^2)*0.0098)/Basis!$E$10,((AJ188*(J188/Basis!$E$5)^AK188*(((MID(C188,9,3)*10)-144)/1000)*AL188+AM188*(J188/Basis!$E$5)^2)*0.0098)/Basis!$E$10)</f>
        <v>5.4651241664767916E-3</v>
      </c>
      <c r="M188" s="85"/>
      <c r="N188" s="110">
        <v>1.3839999999999999</v>
      </c>
      <c r="O188" s="74"/>
      <c r="P188" s="73">
        <v>1318</v>
      </c>
      <c r="Q188" s="74"/>
      <c r="R188" s="75"/>
      <c r="S188" s="75"/>
      <c r="T188" s="75"/>
      <c r="U188" s="75"/>
      <c r="V188" s="75"/>
      <c r="W188" s="74"/>
      <c r="X188" s="76"/>
      <c r="Y188" s="76"/>
      <c r="Z188" s="76"/>
      <c r="AA188" s="76"/>
      <c r="AB188" s="76"/>
      <c r="AC188" s="74"/>
      <c r="AD188" s="77"/>
      <c r="AE188" s="77"/>
      <c r="AF188" s="77"/>
      <c r="AG188" s="77"/>
      <c r="AH188" s="77"/>
      <c r="AI188" s="68"/>
      <c r="AJ188" s="213">
        <v>1.2760000000000001E-4</v>
      </c>
      <c r="AK188" s="213">
        <v>1.7219</v>
      </c>
      <c r="AL188" s="213">
        <v>2</v>
      </c>
      <c r="AM188" s="213">
        <v>3.76611E-4</v>
      </c>
      <c r="AN188" s="74"/>
      <c r="AO188" s="73"/>
      <c r="AP188" s="73"/>
      <c r="AQ188" s="73"/>
      <c r="AR188" s="73"/>
      <c r="AS188" s="73"/>
      <c r="AT188" s="74"/>
      <c r="AU188" s="47"/>
      <c r="AV188" s="48"/>
    </row>
    <row r="189" spans="1:48" ht="12.75" customHeight="1" x14ac:dyDescent="0.25">
      <c r="A189" s="72" t="s">
        <v>23</v>
      </c>
      <c r="B189" s="43" t="s">
        <v>159</v>
      </c>
      <c r="C189" s="44" t="s">
        <v>339</v>
      </c>
      <c r="D189" s="45">
        <f>MROUND(MID($C189,6,3)/Basis!$E$3,0.5)</f>
        <v>15.5</v>
      </c>
      <c r="E189" s="45">
        <f>MROUND(MID($C189,9,3)/Basis!$E$3,0.5)</f>
        <v>23.5</v>
      </c>
      <c r="F189" s="124" t="s">
        <v>2948</v>
      </c>
      <c r="G189" s="45">
        <f>ROUND((ROUNDDOWN($F189/5,0)*5+1.8)/Basis!$E$3,1)</f>
        <v>8.6</v>
      </c>
      <c r="H189" s="120">
        <f>ROUND($P189*Basis!$E$2*((TaH-TrH)/LN(1/µ)/Basis!$E$7)^$N189*$AA$4*Glycol,0)</f>
        <v>2858</v>
      </c>
      <c r="I189" s="83">
        <f>ROUND(H189/(MID($C189,9,3)/Basis!$E$3/Basis!$E$9)*Basis!$E$11,0)</f>
        <v>1452</v>
      </c>
      <c r="J189" s="123">
        <f>IF(Basis!$E$1=1,ROUND(H189/((TaH-TrH)*1.163)/3600,3),ROUND(H189/(500*(TaH-TrH)),2))</f>
        <v>0.28999999999999998</v>
      </c>
      <c r="K189" s="84"/>
      <c r="L189" s="177">
        <f>CHOOSE(Basis!$E$1,((AJ189*(J189*3600/Basis!$E$5)^AK189*(((MID(C189,9,3)*10)-144)/1000)*AL189+AM189*(J189*3600/Basis!$E$5)^2)*0.0098)/Basis!$E$10,((AJ189*(J189/Basis!$E$5)^AK189*(((MID(C189,9,3)*10)-144)/1000)*AL189+AM189*(J189/Basis!$E$5)^2)*0.0098)/Basis!$E$10)</f>
        <v>8.3242697674187124E-3</v>
      </c>
      <c r="M189" s="85"/>
      <c r="N189" s="109">
        <v>1.4770000000000001</v>
      </c>
      <c r="O189" s="68"/>
      <c r="P189" s="67">
        <v>1364</v>
      </c>
      <c r="Q189" s="68"/>
      <c r="R189" s="69"/>
      <c r="S189" s="69"/>
      <c r="T189" s="69"/>
      <c r="U189" s="69"/>
      <c r="V189" s="69"/>
      <c r="W189" s="68"/>
      <c r="X189" s="70"/>
      <c r="Y189" s="70"/>
      <c r="Z189" s="70"/>
      <c r="AA189" s="70"/>
      <c r="AB189" s="70"/>
      <c r="AC189" s="68"/>
      <c r="AD189" s="71"/>
      <c r="AE189" s="71"/>
      <c r="AF189" s="71"/>
      <c r="AG189" s="71"/>
      <c r="AH189" s="71"/>
      <c r="AI189" s="68"/>
      <c r="AJ189" s="214">
        <v>1.2760000000000001E-4</v>
      </c>
      <c r="AK189" s="214">
        <v>1.7219</v>
      </c>
      <c r="AL189" s="214">
        <v>4</v>
      </c>
      <c r="AM189" s="214">
        <v>5.1420100000000005E-4</v>
      </c>
      <c r="AN189" s="68"/>
      <c r="AO189" s="67"/>
      <c r="AP189" s="67"/>
      <c r="AQ189" s="67"/>
      <c r="AR189" s="67"/>
      <c r="AS189" s="67"/>
      <c r="AT189" s="68"/>
      <c r="AU189" s="49"/>
      <c r="AV189" s="50"/>
    </row>
    <row r="190" spans="1:48" ht="12.75" customHeight="1" x14ac:dyDescent="0.25">
      <c r="A190" s="72" t="s">
        <v>23</v>
      </c>
      <c r="B190" s="43" t="s">
        <v>159</v>
      </c>
      <c r="C190" s="44" t="s">
        <v>340</v>
      </c>
      <c r="D190" s="45">
        <f>MROUND(MID($C190,6,3)/Basis!$E$3,0.5)</f>
        <v>15.5</v>
      </c>
      <c r="E190" s="45">
        <f>MROUND(MID($C190,9,3)/Basis!$E$3,0.5)</f>
        <v>27.5</v>
      </c>
      <c r="F190" s="124" t="s">
        <v>2943</v>
      </c>
      <c r="G190" s="45">
        <f>ROUND((ROUNDDOWN($F190/5,0)*5+1.8)/Basis!$E$3,1)</f>
        <v>4.5999999999999996</v>
      </c>
      <c r="H190" s="120">
        <f>ROUND($P190*Basis!$E$2*((TaH-TrH)/LN(1/µ)/Basis!$E$7)^$N190*$AA$4*Glycol,0)</f>
        <v>1452</v>
      </c>
      <c r="I190" s="83">
        <f>ROUND(H190/(MID($C190,9,3)/Basis!$E$3/Basis!$E$9)*Basis!$E$11,0)</f>
        <v>632</v>
      </c>
      <c r="J190" s="123">
        <f>IF(Basis!$E$1=1,ROUND(H190/((TaH-TrH)*1.163)/3600,3),ROUND(H190/(500*(TaH-TrH)),2))</f>
        <v>0.15</v>
      </c>
      <c r="K190" s="84"/>
      <c r="L190" s="177">
        <f>CHOOSE(Basis!$E$1,((AJ190*(J190*3600/Basis!$E$5)^AK190*(((MID(C190,9,3)*10)-144)/1000)*AL190+AM190*(J190*3600/Basis!$E$5)^2)*0.0098)/Basis!$E$10,((AJ190*(J190/Basis!$E$5)^AK190*(((MID(C190,9,3)*10)-144)/1000)*AL190+AM190*(J190/Basis!$E$5)^2)*0.0098)/Basis!$E$10)</f>
        <v>2.0507426836834869E-3</v>
      </c>
      <c r="M190" s="85"/>
      <c r="N190" s="109">
        <v>1.3939999999999999</v>
      </c>
      <c r="O190" s="68"/>
      <c r="P190" s="67">
        <v>674</v>
      </c>
      <c r="Q190" s="68"/>
      <c r="R190" s="69"/>
      <c r="S190" s="69"/>
      <c r="T190" s="69"/>
      <c r="U190" s="69"/>
      <c r="V190" s="69"/>
      <c r="W190" s="68"/>
      <c r="X190" s="70"/>
      <c r="Y190" s="70"/>
      <c r="Z190" s="70"/>
      <c r="AA190" s="70"/>
      <c r="AB190" s="70"/>
      <c r="AC190" s="68"/>
      <c r="AD190" s="71"/>
      <c r="AE190" s="71"/>
      <c r="AF190" s="71"/>
      <c r="AG190" s="71"/>
      <c r="AH190" s="71"/>
      <c r="AI190" s="68"/>
      <c r="AJ190" s="214">
        <v>3.9689999999999994E-4</v>
      </c>
      <c r="AK190" s="214">
        <v>1.7345999999999999</v>
      </c>
      <c r="AL190" s="214">
        <v>2</v>
      </c>
      <c r="AM190" s="214">
        <v>3.6734700000000002E-4</v>
      </c>
      <c r="AN190" s="68"/>
      <c r="AO190" s="67"/>
      <c r="AP190" s="67"/>
      <c r="AQ190" s="67"/>
      <c r="AR190" s="67"/>
      <c r="AS190" s="67"/>
      <c r="AT190" s="68"/>
      <c r="AU190" s="49"/>
      <c r="AV190" s="50"/>
    </row>
    <row r="191" spans="1:48" ht="12.75" customHeight="1" x14ac:dyDescent="0.25">
      <c r="A191" s="72" t="s">
        <v>23</v>
      </c>
      <c r="B191" s="43" t="s">
        <v>159</v>
      </c>
      <c r="C191" s="44" t="s">
        <v>341</v>
      </c>
      <c r="D191" s="45">
        <f>MROUND(MID($C191,6,3)/Basis!$E$3,0.5)</f>
        <v>15.5</v>
      </c>
      <c r="E191" s="45">
        <f>MROUND(MID($C191,9,3)/Basis!$E$3,0.5)</f>
        <v>27.5</v>
      </c>
      <c r="F191" s="124" t="s">
        <v>2946</v>
      </c>
      <c r="G191" s="45">
        <f>ROUND((ROUNDDOWN($F191/5,0)*5+1.8)/Basis!$E$3,1)</f>
        <v>4.5999999999999996</v>
      </c>
      <c r="H191" s="120">
        <f>ROUND($P191*Basis!$E$2*((TaH-TrH)/LN(1/µ)/Basis!$E$7)^$N191*$AA$4*Glycol,0)</f>
        <v>1878</v>
      </c>
      <c r="I191" s="83">
        <f>ROUND(H191/(MID($C191,9,3)/Basis!$E$3/Basis!$E$9)*Basis!$E$11,0)</f>
        <v>818</v>
      </c>
      <c r="J191" s="123">
        <f>IF(Basis!$E$1=1,ROUND(H191/((TaH-TrH)*1.163)/3600,3),ROUND(H191/(500*(TaH-TrH)),2))</f>
        <v>0.19</v>
      </c>
      <c r="K191" s="84"/>
      <c r="L191" s="177">
        <f>CHOOSE(Basis!$E$1,((AJ191*(J191*3600/Basis!$E$5)^AK191*(((MID(C191,9,3)*10)-144)/1000)*AL191+AM191*(J191*3600/Basis!$E$5)^2)*0.0098)/Basis!$E$10,((AJ191*(J191/Basis!$E$5)^AK191*(((MID(C191,9,3)*10)-144)/1000)*AL191+AM191*(J191/Basis!$E$5)^2)*0.0098)/Basis!$E$10)</f>
        <v>5.4757644605692391E-3</v>
      </c>
      <c r="M191" s="85"/>
      <c r="N191" s="110">
        <v>1.4390000000000001</v>
      </c>
      <c r="O191" s="74"/>
      <c r="P191" s="73">
        <v>885</v>
      </c>
      <c r="Q191" s="74"/>
      <c r="R191" s="75"/>
      <c r="S191" s="75"/>
      <c r="T191" s="75"/>
      <c r="U191" s="75"/>
      <c r="V191" s="75"/>
      <c r="W191" s="74"/>
      <c r="X191" s="76"/>
      <c r="Y191" s="76"/>
      <c r="Z191" s="76"/>
      <c r="AA191" s="76"/>
      <c r="AB191" s="76"/>
      <c r="AC191" s="74"/>
      <c r="AD191" s="77"/>
      <c r="AE191" s="77"/>
      <c r="AF191" s="77"/>
      <c r="AG191" s="77"/>
      <c r="AH191" s="77"/>
      <c r="AI191" s="68"/>
      <c r="AJ191" s="213">
        <v>3.9689999999999994E-4</v>
      </c>
      <c r="AK191" s="213">
        <v>1.7345999999999999</v>
      </c>
      <c r="AL191" s="213">
        <v>4</v>
      </c>
      <c r="AM191" s="213">
        <v>5.7428799999999995E-4</v>
      </c>
      <c r="AN191" s="74"/>
      <c r="AO191" s="73"/>
      <c r="AP191" s="73"/>
      <c r="AQ191" s="73"/>
      <c r="AR191" s="73"/>
      <c r="AS191" s="73"/>
      <c r="AT191" s="74"/>
      <c r="AU191" s="47"/>
      <c r="AV191" s="48"/>
    </row>
    <row r="192" spans="1:48" ht="12.75" customHeight="1" x14ac:dyDescent="0.25">
      <c r="A192" s="72" t="s">
        <v>23</v>
      </c>
      <c r="B192" s="43" t="s">
        <v>159</v>
      </c>
      <c r="C192" s="44" t="s">
        <v>342</v>
      </c>
      <c r="D192" s="45">
        <f>MROUND(MID($C192,6,3)/Basis!$E$3,0.5)</f>
        <v>15.5</v>
      </c>
      <c r="E192" s="45">
        <f>MROUND(MID($C192,9,3)/Basis!$E$3,0.5)</f>
        <v>27.5</v>
      </c>
      <c r="F192" s="124" t="s">
        <v>2944</v>
      </c>
      <c r="G192" s="45">
        <f>ROUND((ROUNDDOWN($F192/5,0)*5+1.8)/Basis!$E$3,1)</f>
        <v>6.6</v>
      </c>
      <c r="H192" s="120">
        <f>ROUND($P192*Basis!$E$2*((TaH-TrH)/LN(1/µ)/Basis!$E$7)^$N192*$AA$4*Glycol,0)</f>
        <v>2372</v>
      </c>
      <c r="I192" s="83">
        <f>ROUND(H192/(MID($C192,9,3)/Basis!$E$3/Basis!$E$9)*Basis!$E$11,0)</f>
        <v>1033</v>
      </c>
      <c r="J192" s="123">
        <f>IF(Basis!$E$1=1,ROUND(H192/((TaH-TrH)*1.163)/3600,3),ROUND(H192/(500*(TaH-TrH)),2))</f>
        <v>0.24</v>
      </c>
      <c r="K192" s="84"/>
      <c r="L192" s="177">
        <f>CHOOSE(Basis!$E$1,((AJ192*(J192*3600/Basis!$E$5)^AK192*(((MID(C192,9,3)*10)-144)/1000)*AL192+AM192*(J192*3600/Basis!$E$5)^2)*0.0098)/Basis!$E$10,((AJ192*(J192/Basis!$E$5)^AK192*(((MID(C192,9,3)*10)-144)/1000)*AL192+AM192*(J192/Basis!$E$5)^2)*0.0098)/Basis!$E$10)</f>
        <v>5.233283938143634E-3</v>
      </c>
      <c r="M192" s="85"/>
      <c r="N192" s="110">
        <v>1.385</v>
      </c>
      <c r="O192" s="74"/>
      <c r="P192" s="73">
        <v>1098</v>
      </c>
      <c r="Q192" s="74"/>
      <c r="R192" s="75"/>
      <c r="S192" s="75"/>
      <c r="T192" s="75"/>
      <c r="U192" s="75"/>
      <c r="V192" s="75"/>
      <c r="W192" s="74"/>
      <c r="X192" s="76"/>
      <c r="Y192" s="76"/>
      <c r="Z192" s="76"/>
      <c r="AA192" s="76"/>
      <c r="AB192" s="76"/>
      <c r="AC192" s="74"/>
      <c r="AD192" s="77"/>
      <c r="AE192" s="77"/>
      <c r="AF192" s="77"/>
      <c r="AG192" s="77"/>
      <c r="AH192" s="77"/>
      <c r="AI192" s="68"/>
      <c r="AJ192" s="213">
        <v>2.0829999999999999E-4</v>
      </c>
      <c r="AK192" s="213">
        <v>1.724</v>
      </c>
      <c r="AL192" s="213">
        <v>2</v>
      </c>
      <c r="AM192" s="213">
        <v>4.6182900000000003E-4</v>
      </c>
      <c r="AN192" s="74"/>
      <c r="AO192" s="73"/>
      <c r="AP192" s="73"/>
      <c r="AQ192" s="73"/>
      <c r="AR192" s="73"/>
      <c r="AS192" s="73"/>
      <c r="AT192" s="74"/>
      <c r="AU192" s="47"/>
      <c r="AV192" s="48"/>
    </row>
    <row r="193" spans="1:48" ht="12.75" customHeight="1" x14ac:dyDescent="0.25">
      <c r="A193" s="72" t="s">
        <v>23</v>
      </c>
      <c r="B193" s="43" t="s">
        <v>159</v>
      </c>
      <c r="C193" s="44" t="s">
        <v>343</v>
      </c>
      <c r="D193" s="45">
        <f>MROUND(MID($C193,6,3)/Basis!$E$3,0.5)</f>
        <v>15.5</v>
      </c>
      <c r="E193" s="45">
        <f>MROUND(MID($C193,9,3)/Basis!$E$3,0.5)</f>
        <v>27.5</v>
      </c>
      <c r="F193" s="124" t="s">
        <v>2947</v>
      </c>
      <c r="G193" s="45">
        <f>ROUND((ROUNDDOWN($F193/5,0)*5+1.8)/Basis!$E$3,1)</f>
        <v>6.6</v>
      </c>
      <c r="H193" s="120">
        <f>ROUND($P193*Basis!$E$2*((TaH-TrH)/LN(1/µ)/Basis!$E$7)^$N193*$AA$4*Glycol,0)</f>
        <v>2508</v>
      </c>
      <c r="I193" s="83">
        <f>ROUND(H193/(MID($C193,9,3)/Basis!$E$3/Basis!$E$9)*Basis!$E$11,0)</f>
        <v>1092</v>
      </c>
      <c r="J193" s="123">
        <f>IF(Basis!$E$1=1,ROUND(H193/((TaH-TrH)*1.163)/3600,3),ROUND(H193/(500*(TaH-TrH)),2))</f>
        <v>0.25</v>
      </c>
      <c r="K193" s="84"/>
      <c r="L193" s="177">
        <f>CHOOSE(Basis!$E$1,((AJ193*(J193*3600/Basis!$E$5)^AK193*(((MID(C193,9,3)*10)-144)/1000)*AL193+AM193*(J193*3600/Basis!$E$5)^2)*0.0098)/Basis!$E$10,((AJ193*(J193/Basis!$E$5)^AK193*(((MID(C193,9,3)*10)-144)/1000)*AL193+AM193*(J193/Basis!$E$5)^2)*0.0098)/Basis!$E$10)</f>
        <v>1.6284400067290292E-2</v>
      </c>
      <c r="M193" s="85"/>
      <c r="N193" s="109">
        <v>1.46</v>
      </c>
      <c r="O193" s="68"/>
      <c r="P193" s="67">
        <v>1190</v>
      </c>
      <c r="Q193" s="68"/>
      <c r="R193" s="69"/>
      <c r="S193" s="69"/>
      <c r="T193" s="69"/>
      <c r="U193" s="69"/>
      <c r="V193" s="69"/>
      <c r="W193" s="68"/>
      <c r="X193" s="70"/>
      <c r="Y193" s="70"/>
      <c r="Z193" s="70"/>
      <c r="AA193" s="70"/>
      <c r="AB193" s="70"/>
      <c r="AC193" s="68"/>
      <c r="AD193" s="71"/>
      <c r="AE193" s="71"/>
      <c r="AF193" s="71"/>
      <c r="AG193" s="71"/>
      <c r="AH193" s="71"/>
      <c r="AI193" s="68"/>
      <c r="AJ193" s="214">
        <v>2.0829999999999999E-4</v>
      </c>
      <c r="AK193" s="214">
        <v>1.724</v>
      </c>
      <c r="AL193" s="214">
        <v>4</v>
      </c>
      <c r="AM193" s="214">
        <v>1.392796E-3</v>
      </c>
      <c r="AN193" s="68"/>
      <c r="AO193" s="67"/>
      <c r="AP193" s="67"/>
      <c r="AQ193" s="67"/>
      <c r="AR193" s="67"/>
      <c r="AS193" s="67"/>
      <c r="AT193" s="68"/>
      <c r="AU193" s="49"/>
      <c r="AV193" s="50"/>
    </row>
    <row r="194" spans="1:48" ht="12.75" customHeight="1" x14ac:dyDescent="0.25">
      <c r="A194" s="72" t="s">
        <v>23</v>
      </c>
      <c r="B194" s="43" t="s">
        <v>159</v>
      </c>
      <c r="C194" s="44" t="s">
        <v>344</v>
      </c>
      <c r="D194" s="45">
        <f>MROUND(MID($C194,6,3)/Basis!$E$3,0.5)</f>
        <v>15.5</v>
      </c>
      <c r="E194" s="45">
        <f>MROUND(MID($C194,9,3)/Basis!$E$3,0.5)</f>
        <v>27.5</v>
      </c>
      <c r="F194" s="124" t="s">
        <v>2945</v>
      </c>
      <c r="G194" s="45">
        <f>ROUND((ROUNDDOWN($F194/5,0)*5+1.8)/Basis!$E$3,1)</f>
        <v>8.6</v>
      </c>
      <c r="H194" s="120">
        <f>ROUND($P194*Basis!$E$2*((TaH-TrH)/LN(1/µ)/Basis!$E$7)^$N194*$AA$4*Glycol,0)</f>
        <v>3321</v>
      </c>
      <c r="I194" s="83">
        <f>ROUND(H194/(MID($C194,9,3)/Basis!$E$3/Basis!$E$9)*Basis!$E$11,0)</f>
        <v>1446</v>
      </c>
      <c r="J194" s="123">
        <f>IF(Basis!$E$1=1,ROUND(H194/((TaH-TrH)*1.163)/3600,3),ROUND(H194/(500*(TaH-TrH)),2))</f>
        <v>0.33</v>
      </c>
      <c r="K194" s="84"/>
      <c r="L194" s="177">
        <f>CHOOSE(Basis!$E$1,((AJ194*(J194*3600/Basis!$E$5)^AK194*(((MID(C194,9,3)*10)-144)/1000)*AL194+AM194*(J194*3600/Basis!$E$5)^2)*0.0098)/Basis!$E$10,((AJ194*(J194/Basis!$E$5)^AK194*(((MID(C194,9,3)*10)-144)/1000)*AL194+AM194*(J194/Basis!$E$5)^2)*0.0098)/Basis!$E$10)</f>
        <v>7.7022554356669633E-3</v>
      </c>
      <c r="M194" s="85"/>
      <c r="N194" s="109">
        <v>1.3839999999999999</v>
      </c>
      <c r="O194" s="68"/>
      <c r="P194" s="67">
        <v>1537</v>
      </c>
      <c r="Q194" s="68"/>
      <c r="R194" s="69"/>
      <c r="S194" s="69"/>
      <c r="T194" s="69"/>
      <c r="U194" s="69"/>
      <c r="V194" s="69"/>
      <c r="W194" s="68"/>
      <c r="X194" s="70"/>
      <c r="Y194" s="70"/>
      <c r="Z194" s="70"/>
      <c r="AA194" s="70"/>
      <c r="AB194" s="70"/>
      <c r="AC194" s="68"/>
      <c r="AD194" s="71"/>
      <c r="AE194" s="71"/>
      <c r="AF194" s="71"/>
      <c r="AG194" s="71"/>
      <c r="AH194" s="71"/>
      <c r="AI194" s="68"/>
      <c r="AJ194" s="214">
        <v>1.2760000000000001E-4</v>
      </c>
      <c r="AK194" s="214">
        <v>1.7219</v>
      </c>
      <c r="AL194" s="214">
        <v>2</v>
      </c>
      <c r="AM194" s="214">
        <v>3.76611E-4</v>
      </c>
      <c r="AN194" s="68"/>
      <c r="AO194" s="67"/>
      <c r="AP194" s="67"/>
      <c r="AQ194" s="67"/>
      <c r="AR194" s="67"/>
      <c r="AS194" s="67"/>
      <c r="AT194" s="68"/>
      <c r="AU194" s="49"/>
      <c r="AV194" s="50"/>
    </row>
    <row r="195" spans="1:48" ht="12.75" customHeight="1" x14ac:dyDescent="0.25">
      <c r="A195" s="72" t="s">
        <v>23</v>
      </c>
      <c r="B195" s="43" t="s">
        <v>159</v>
      </c>
      <c r="C195" s="44" t="s">
        <v>345</v>
      </c>
      <c r="D195" s="45">
        <f>MROUND(MID($C195,6,3)/Basis!$E$3,0.5)</f>
        <v>15.5</v>
      </c>
      <c r="E195" s="45">
        <f>MROUND(MID($C195,9,3)/Basis!$E$3,0.5)</f>
        <v>27.5</v>
      </c>
      <c r="F195" s="124" t="s">
        <v>2948</v>
      </c>
      <c r="G195" s="45">
        <f>ROUND((ROUNDDOWN($F195/5,0)*5+1.8)/Basis!$E$3,1)</f>
        <v>8.6</v>
      </c>
      <c r="H195" s="120">
        <f>ROUND($P195*Basis!$E$2*((TaH-TrH)/LN(1/µ)/Basis!$E$7)^$N195*$AA$4*Glycol,0)</f>
        <v>3336</v>
      </c>
      <c r="I195" s="83">
        <f>ROUND(H195/(MID($C195,9,3)/Basis!$E$3/Basis!$E$9)*Basis!$E$11,0)</f>
        <v>1453</v>
      </c>
      <c r="J195" s="123">
        <f>IF(Basis!$E$1=1,ROUND(H195/((TaH-TrH)*1.163)/3600,3),ROUND(H195/(500*(TaH-TrH)),2))</f>
        <v>0.33</v>
      </c>
      <c r="K195" s="84"/>
      <c r="L195" s="177">
        <f>CHOOSE(Basis!$E$1,((AJ195*(J195*3600/Basis!$E$5)^AK195*(((MID(C195,9,3)*10)-144)/1000)*AL195+AM195*(J195*3600/Basis!$E$5)^2)*0.0098)/Basis!$E$10,((AJ195*(J195/Basis!$E$5)^AK195*(((MID(C195,9,3)*10)-144)/1000)*AL195+AM195*(J195/Basis!$E$5)^2)*0.0098)/Basis!$E$10)</f>
        <v>1.101413304391818E-2</v>
      </c>
      <c r="M195" s="85"/>
      <c r="N195" s="110">
        <v>1.4770000000000001</v>
      </c>
      <c r="O195" s="74"/>
      <c r="P195" s="73">
        <v>1592</v>
      </c>
      <c r="Q195" s="74"/>
      <c r="R195" s="75"/>
      <c r="S195" s="75"/>
      <c r="T195" s="75"/>
      <c r="U195" s="75"/>
      <c r="V195" s="75"/>
      <c r="W195" s="74"/>
      <c r="X195" s="76"/>
      <c r="Y195" s="76"/>
      <c r="Z195" s="76"/>
      <c r="AA195" s="76"/>
      <c r="AB195" s="76"/>
      <c r="AC195" s="74"/>
      <c r="AD195" s="77"/>
      <c r="AE195" s="77"/>
      <c r="AF195" s="77"/>
      <c r="AG195" s="77"/>
      <c r="AH195" s="77"/>
      <c r="AI195" s="68"/>
      <c r="AJ195" s="213">
        <v>1.2760000000000001E-4</v>
      </c>
      <c r="AK195" s="213">
        <v>1.7219</v>
      </c>
      <c r="AL195" s="213">
        <v>4</v>
      </c>
      <c r="AM195" s="213">
        <v>5.1420100000000005E-4</v>
      </c>
      <c r="AN195" s="74"/>
      <c r="AO195" s="73"/>
      <c r="AP195" s="73"/>
      <c r="AQ195" s="73"/>
      <c r="AR195" s="73"/>
      <c r="AS195" s="73"/>
      <c r="AT195" s="74"/>
      <c r="AU195" s="47"/>
      <c r="AV195" s="48"/>
    </row>
    <row r="196" spans="1:48" ht="12.75" customHeight="1" x14ac:dyDescent="0.25">
      <c r="A196" s="72" t="s">
        <v>23</v>
      </c>
      <c r="B196" s="43" t="s">
        <v>159</v>
      </c>
      <c r="C196" s="44" t="s">
        <v>346</v>
      </c>
      <c r="D196" s="45">
        <f>MROUND(MID($C196,6,3)/Basis!$E$3,0.5)</f>
        <v>15.5</v>
      </c>
      <c r="E196" s="45">
        <f>MROUND(MID($C196,9,3)/Basis!$E$3,0.5)</f>
        <v>31.5</v>
      </c>
      <c r="F196" s="124" t="s">
        <v>2943</v>
      </c>
      <c r="G196" s="45">
        <f>ROUND((ROUNDDOWN($F196/5,0)*5+1.8)/Basis!$E$3,1)</f>
        <v>4.5999999999999996</v>
      </c>
      <c r="H196" s="120">
        <f>ROUND($P196*Basis!$E$2*((TaH-TrH)/LN(1/µ)/Basis!$E$7)^$N196*$AA$4*Glycol,0)</f>
        <v>1658</v>
      </c>
      <c r="I196" s="83">
        <f>ROUND(H196/(MID($C196,9,3)/Basis!$E$3/Basis!$E$9)*Basis!$E$11,0)</f>
        <v>632</v>
      </c>
      <c r="J196" s="123">
        <f>IF(Basis!$E$1=1,ROUND(H196/((TaH-TrH)*1.163)/3600,3),ROUND(H196/(500*(TaH-TrH)),2))</f>
        <v>0.17</v>
      </c>
      <c r="K196" s="84"/>
      <c r="L196" s="177">
        <f>CHOOSE(Basis!$E$1,((AJ196*(J196*3600/Basis!$E$5)^AK196*(((MID(C196,9,3)*10)-144)/1000)*AL196+AM196*(J196*3600/Basis!$E$5)^2)*0.0098)/Basis!$E$10,((AJ196*(J196/Basis!$E$5)^AK196*(((MID(C196,9,3)*10)-144)/1000)*AL196+AM196*(J196/Basis!$E$5)^2)*0.0098)/Basis!$E$10)</f>
        <v>2.7532446661854364E-3</v>
      </c>
      <c r="M196" s="85"/>
      <c r="N196" s="110">
        <v>1.3939999999999999</v>
      </c>
      <c r="O196" s="74"/>
      <c r="P196" s="73">
        <v>770</v>
      </c>
      <c r="Q196" s="74"/>
      <c r="R196" s="75"/>
      <c r="S196" s="75"/>
      <c r="T196" s="75"/>
      <c r="U196" s="75"/>
      <c r="V196" s="75"/>
      <c r="W196" s="74"/>
      <c r="X196" s="76"/>
      <c r="Y196" s="76"/>
      <c r="Z196" s="76"/>
      <c r="AA196" s="76"/>
      <c r="AB196" s="76"/>
      <c r="AC196" s="74"/>
      <c r="AD196" s="77"/>
      <c r="AE196" s="77"/>
      <c r="AF196" s="77"/>
      <c r="AG196" s="77"/>
      <c r="AH196" s="77"/>
      <c r="AI196" s="68"/>
      <c r="AJ196" s="213">
        <v>3.9689999999999994E-4</v>
      </c>
      <c r="AK196" s="213">
        <v>1.7345999999999999</v>
      </c>
      <c r="AL196" s="213">
        <v>2</v>
      </c>
      <c r="AM196" s="213">
        <v>3.6734700000000002E-4</v>
      </c>
      <c r="AN196" s="74"/>
      <c r="AO196" s="73"/>
      <c r="AP196" s="73"/>
      <c r="AQ196" s="73"/>
      <c r="AR196" s="73"/>
      <c r="AS196" s="73"/>
      <c r="AT196" s="74"/>
      <c r="AU196" s="47"/>
      <c r="AV196" s="48"/>
    </row>
    <row r="197" spans="1:48" ht="12.75" customHeight="1" x14ac:dyDescent="0.25">
      <c r="A197" s="72" t="s">
        <v>23</v>
      </c>
      <c r="B197" s="43" t="s">
        <v>159</v>
      </c>
      <c r="C197" s="44" t="s">
        <v>347</v>
      </c>
      <c r="D197" s="45">
        <f>MROUND(MID($C197,6,3)/Basis!$E$3,0.5)</f>
        <v>15.5</v>
      </c>
      <c r="E197" s="45">
        <f>MROUND(MID($C197,9,3)/Basis!$E$3,0.5)</f>
        <v>31.5</v>
      </c>
      <c r="F197" s="124" t="s">
        <v>2946</v>
      </c>
      <c r="G197" s="45">
        <f>ROUND((ROUNDDOWN($F197/5,0)*5+1.8)/Basis!$E$3,1)</f>
        <v>4.5999999999999996</v>
      </c>
      <c r="H197" s="120">
        <f>ROUND($P197*Basis!$E$2*((TaH-TrH)/LN(1/µ)/Basis!$E$7)^$N197*$AA$4*Glycol,0)</f>
        <v>2145</v>
      </c>
      <c r="I197" s="83">
        <f>ROUND(H197/(MID($C197,9,3)/Basis!$E$3/Basis!$E$9)*Basis!$E$11,0)</f>
        <v>817</v>
      </c>
      <c r="J197" s="123">
        <f>IF(Basis!$E$1=1,ROUND(H197/((TaH-TrH)*1.163)/3600,3),ROUND(H197/(500*(TaH-TrH)),2))</f>
        <v>0.21</v>
      </c>
      <c r="K197" s="84"/>
      <c r="L197" s="177">
        <f>CHOOSE(Basis!$E$1,((AJ197*(J197*3600/Basis!$E$5)^AK197*(((MID(C197,9,3)*10)-144)/1000)*AL197+AM197*(J197*3600/Basis!$E$5)^2)*0.0098)/Basis!$E$10,((AJ197*(J197/Basis!$E$5)^AK197*(((MID(C197,9,3)*10)-144)/1000)*AL197+AM197*(J197/Basis!$E$5)^2)*0.0098)/Basis!$E$10)</f>
        <v>7.0492629041081934E-3</v>
      </c>
      <c r="M197" s="85"/>
      <c r="N197" s="109">
        <v>1.4390000000000001</v>
      </c>
      <c r="O197" s="68"/>
      <c r="P197" s="67">
        <v>1011</v>
      </c>
      <c r="Q197" s="68"/>
      <c r="R197" s="69"/>
      <c r="S197" s="69"/>
      <c r="T197" s="69"/>
      <c r="U197" s="69"/>
      <c r="V197" s="69"/>
      <c r="W197" s="68"/>
      <c r="X197" s="70"/>
      <c r="Y197" s="70"/>
      <c r="Z197" s="70"/>
      <c r="AA197" s="70"/>
      <c r="AB197" s="70"/>
      <c r="AC197" s="68"/>
      <c r="AD197" s="71"/>
      <c r="AE197" s="71"/>
      <c r="AF197" s="71"/>
      <c r="AG197" s="71"/>
      <c r="AH197" s="71"/>
      <c r="AI197" s="68"/>
      <c r="AJ197" s="214">
        <v>3.9689999999999994E-4</v>
      </c>
      <c r="AK197" s="214">
        <v>1.7345999999999999</v>
      </c>
      <c r="AL197" s="214">
        <v>4</v>
      </c>
      <c r="AM197" s="214">
        <v>5.7428799999999995E-4</v>
      </c>
      <c r="AN197" s="68"/>
      <c r="AO197" s="67"/>
      <c r="AP197" s="67"/>
      <c r="AQ197" s="67"/>
      <c r="AR197" s="67"/>
      <c r="AS197" s="67"/>
      <c r="AT197" s="68"/>
      <c r="AU197" s="49"/>
      <c r="AV197" s="50"/>
    </row>
    <row r="198" spans="1:48" ht="12.75" customHeight="1" x14ac:dyDescent="0.25">
      <c r="A198" s="72" t="s">
        <v>23</v>
      </c>
      <c r="B198" s="43" t="s">
        <v>159</v>
      </c>
      <c r="C198" s="44" t="s">
        <v>348</v>
      </c>
      <c r="D198" s="45">
        <f>MROUND(MID($C198,6,3)/Basis!$E$3,0.5)</f>
        <v>15.5</v>
      </c>
      <c r="E198" s="45">
        <f>MROUND(MID($C198,9,3)/Basis!$E$3,0.5)</f>
        <v>31.5</v>
      </c>
      <c r="F198" s="124" t="s">
        <v>2944</v>
      </c>
      <c r="G198" s="45">
        <f>ROUND((ROUNDDOWN($F198/5,0)*5+1.8)/Basis!$E$3,1)</f>
        <v>6.6</v>
      </c>
      <c r="H198" s="120">
        <f>ROUND($P198*Basis!$E$2*((TaH-TrH)/LN(1/µ)/Basis!$E$7)^$N198*$AA$4*Glycol,0)</f>
        <v>2709</v>
      </c>
      <c r="I198" s="83">
        <f>ROUND(H198/(MID($C198,9,3)/Basis!$E$3/Basis!$E$9)*Basis!$E$11,0)</f>
        <v>1032</v>
      </c>
      <c r="J198" s="123">
        <f>IF(Basis!$E$1=1,ROUND(H198/((TaH-TrH)*1.163)/3600,3),ROUND(H198/(500*(TaH-TrH)),2))</f>
        <v>0.27</v>
      </c>
      <c r="K198" s="84"/>
      <c r="L198" s="177">
        <f>CHOOSE(Basis!$E$1,((AJ198*(J198*3600/Basis!$E$5)^AK198*(((MID(C198,9,3)*10)-144)/1000)*AL198+AM198*(J198*3600/Basis!$E$5)^2)*0.0098)/Basis!$E$10,((AJ198*(J198/Basis!$E$5)^AK198*(((MID(C198,9,3)*10)-144)/1000)*AL198+AM198*(J198/Basis!$E$5)^2)*0.0098)/Basis!$E$10)</f>
        <v>6.7576344044190167E-3</v>
      </c>
      <c r="M198" s="85"/>
      <c r="N198" s="109">
        <v>1.385</v>
      </c>
      <c r="O198" s="68"/>
      <c r="P198" s="67">
        <v>1254</v>
      </c>
      <c r="Q198" s="68"/>
      <c r="R198" s="69"/>
      <c r="S198" s="69"/>
      <c r="T198" s="69"/>
      <c r="U198" s="69"/>
      <c r="V198" s="69"/>
      <c r="W198" s="68"/>
      <c r="X198" s="70"/>
      <c r="Y198" s="70"/>
      <c r="Z198" s="70"/>
      <c r="AA198" s="70"/>
      <c r="AB198" s="70"/>
      <c r="AC198" s="68"/>
      <c r="AD198" s="71"/>
      <c r="AE198" s="71"/>
      <c r="AF198" s="71"/>
      <c r="AG198" s="71"/>
      <c r="AH198" s="71"/>
      <c r="AI198" s="68"/>
      <c r="AJ198" s="214">
        <v>2.0829999999999999E-4</v>
      </c>
      <c r="AK198" s="214">
        <v>1.724</v>
      </c>
      <c r="AL198" s="214">
        <v>2</v>
      </c>
      <c r="AM198" s="214">
        <v>4.6182900000000003E-4</v>
      </c>
      <c r="AN198" s="68"/>
      <c r="AO198" s="67"/>
      <c r="AP198" s="67"/>
      <c r="AQ198" s="67"/>
      <c r="AR198" s="67"/>
      <c r="AS198" s="67"/>
      <c r="AT198" s="68"/>
      <c r="AU198" s="49"/>
      <c r="AV198" s="50"/>
    </row>
    <row r="199" spans="1:48" ht="12.75" customHeight="1" x14ac:dyDescent="0.25">
      <c r="A199" s="72" t="s">
        <v>23</v>
      </c>
      <c r="B199" s="43" t="s">
        <v>159</v>
      </c>
      <c r="C199" s="44" t="s">
        <v>349</v>
      </c>
      <c r="D199" s="45">
        <f>MROUND(MID($C199,6,3)/Basis!$E$3,0.5)</f>
        <v>15.5</v>
      </c>
      <c r="E199" s="45">
        <f>MROUND(MID($C199,9,3)/Basis!$E$3,0.5)</f>
        <v>31.5</v>
      </c>
      <c r="F199" s="124" t="s">
        <v>2947</v>
      </c>
      <c r="G199" s="45">
        <f>ROUND((ROUNDDOWN($F199/5,0)*5+1.8)/Basis!$E$3,1)</f>
        <v>6.6</v>
      </c>
      <c r="H199" s="120">
        <f>ROUND($P199*Basis!$E$2*((TaH-TrH)/LN(1/µ)/Basis!$E$7)^$N199*$AA$4*Glycol,0)</f>
        <v>2866</v>
      </c>
      <c r="I199" s="83">
        <f>ROUND(H199/(MID($C199,9,3)/Basis!$E$3/Basis!$E$9)*Basis!$E$11,0)</f>
        <v>1092</v>
      </c>
      <c r="J199" s="123">
        <f>IF(Basis!$E$1=1,ROUND(H199/((TaH-TrH)*1.163)/3600,3),ROUND(H199/(500*(TaH-TrH)),2))</f>
        <v>0.28999999999999998</v>
      </c>
      <c r="K199" s="84"/>
      <c r="L199" s="177">
        <f>CHOOSE(Basis!$E$1,((AJ199*(J199*3600/Basis!$E$5)^AK199*(((MID(C199,9,3)*10)-144)/1000)*AL199+AM199*(J199*3600/Basis!$E$5)^2)*0.0098)/Basis!$E$10,((AJ199*(J199/Basis!$E$5)^AK199*(((MID(C199,9,3)*10)-144)/1000)*AL199+AM199*(J199/Basis!$E$5)^2)*0.0098)/Basis!$E$10)</f>
        <v>2.2197864116481256E-2</v>
      </c>
      <c r="M199" s="85"/>
      <c r="N199" s="110">
        <v>1.46</v>
      </c>
      <c r="O199" s="74"/>
      <c r="P199" s="73">
        <v>1360</v>
      </c>
      <c r="Q199" s="74"/>
      <c r="R199" s="75"/>
      <c r="S199" s="75"/>
      <c r="T199" s="75"/>
      <c r="U199" s="75"/>
      <c r="V199" s="75"/>
      <c r="W199" s="74"/>
      <c r="X199" s="76"/>
      <c r="Y199" s="76"/>
      <c r="Z199" s="76"/>
      <c r="AA199" s="76"/>
      <c r="AB199" s="76"/>
      <c r="AC199" s="74"/>
      <c r="AD199" s="77"/>
      <c r="AE199" s="77"/>
      <c r="AF199" s="77"/>
      <c r="AG199" s="77"/>
      <c r="AH199" s="77"/>
      <c r="AI199" s="68"/>
      <c r="AJ199" s="213">
        <v>2.0829999999999999E-4</v>
      </c>
      <c r="AK199" s="213">
        <v>1.724</v>
      </c>
      <c r="AL199" s="213">
        <v>4</v>
      </c>
      <c r="AM199" s="213">
        <v>1.392796E-3</v>
      </c>
      <c r="AN199" s="74"/>
      <c r="AO199" s="73"/>
      <c r="AP199" s="73"/>
      <c r="AQ199" s="73"/>
      <c r="AR199" s="73"/>
      <c r="AS199" s="73"/>
      <c r="AT199" s="74"/>
      <c r="AU199" s="47"/>
      <c r="AV199" s="48"/>
    </row>
    <row r="200" spans="1:48" ht="12.75" customHeight="1" x14ac:dyDescent="0.25">
      <c r="A200" s="72" t="s">
        <v>23</v>
      </c>
      <c r="B200" s="43" t="s">
        <v>159</v>
      </c>
      <c r="C200" s="44" t="s">
        <v>350</v>
      </c>
      <c r="D200" s="45">
        <f>MROUND(MID($C200,6,3)/Basis!$E$3,0.5)</f>
        <v>15.5</v>
      </c>
      <c r="E200" s="45">
        <f>MROUND(MID($C200,9,3)/Basis!$E$3,0.5)</f>
        <v>31.5</v>
      </c>
      <c r="F200" s="124" t="s">
        <v>2945</v>
      </c>
      <c r="G200" s="45">
        <f>ROUND((ROUNDDOWN($F200/5,0)*5+1.8)/Basis!$E$3,1)</f>
        <v>8.6</v>
      </c>
      <c r="H200" s="120">
        <f>ROUND($P200*Basis!$E$2*((TaH-TrH)/LN(1/µ)/Basis!$E$7)^$N200*$AA$4*Glycol,0)</f>
        <v>3797</v>
      </c>
      <c r="I200" s="83">
        <f>ROUND(H200/(MID($C200,9,3)/Basis!$E$3/Basis!$E$9)*Basis!$E$11,0)</f>
        <v>1447</v>
      </c>
      <c r="J200" s="123">
        <f>IF(Basis!$E$1=1,ROUND(H200/((TaH-TrH)*1.163)/3600,3),ROUND(H200/(500*(TaH-TrH)),2))</f>
        <v>0.38</v>
      </c>
      <c r="K200" s="84"/>
      <c r="L200" s="177">
        <f>CHOOSE(Basis!$E$1,((AJ200*(J200*3600/Basis!$E$5)^AK200*(((MID(C200,9,3)*10)-144)/1000)*AL200+AM200*(J200*3600/Basis!$E$5)^2)*0.0098)/Basis!$E$10,((AJ200*(J200/Basis!$E$5)^AK200*(((MID(C200,9,3)*10)-144)/1000)*AL200+AM200*(J200/Basis!$E$5)^2)*0.0098)/Basis!$E$10)</f>
        <v>1.035298211287365E-2</v>
      </c>
      <c r="M200" s="85"/>
      <c r="N200" s="110">
        <v>1.3839999999999999</v>
      </c>
      <c r="O200" s="74"/>
      <c r="P200" s="73">
        <v>1757</v>
      </c>
      <c r="Q200" s="74"/>
      <c r="R200" s="75"/>
      <c r="S200" s="75"/>
      <c r="T200" s="75"/>
      <c r="U200" s="75"/>
      <c r="V200" s="75"/>
      <c r="W200" s="74"/>
      <c r="X200" s="76"/>
      <c r="Y200" s="76"/>
      <c r="Z200" s="76"/>
      <c r="AA200" s="76"/>
      <c r="AB200" s="76"/>
      <c r="AC200" s="74"/>
      <c r="AD200" s="77"/>
      <c r="AE200" s="77"/>
      <c r="AF200" s="77"/>
      <c r="AG200" s="77"/>
      <c r="AH200" s="77"/>
      <c r="AI200" s="68"/>
      <c r="AJ200" s="213">
        <v>1.2760000000000001E-4</v>
      </c>
      <c r="AK200" s="213">
        <v>1.7219</v>
      </c>
      <c r="AL200" s="213">
        <v>2</v>
      </c>
      <c r="AM200" s="213">
        <v>3.76611E-4</v>
      </c>
      <c r="AN200" s="74"/>
      <c r="AO200" s="73"/>
      <c r="AP200" s="73"/>
      <c r="AQ200" s="73"/>
      <c r="AR200" s="73"/>
      <c r="AS200" s="73"/>
      <c r="AT200" s="74"/>
      <c r="AU200" s="47"/>
      <c r="AV200" s="48"/>
    </row>
    <row r="201" spans="1:48" ht="12.75" customHeight="1" x14ac:dyDescent="0.25">
      <c r="A201" s="72" t="s">
        <v>23</v>
      </c>
      <c r="B201" s="43" t="s">
        <v>159</v>
      </c>
      <c r="C201" s="44" t="s">
        <v>351</v>
      </c>
      <c r="D201" s="45">
        <f>MROUND(MID($C201,6,3)/Basis!$E$3,0.5)</f>
        <v>15.5</v>
      </c>
      <c r="E201" s="45">
        <f>MROUND(MID($C201,9,3)/Basis!$E$3,0.5)</f>
        <v>31.5</v>
      </c>
      <c r="F201" s="124" t="s">
        <v>2948</v>
      </c>
      <c r="G201" s="45">
        <f>ROUND((ROUNDDOWN($F201/5,0)*5+1.8)/Basis!$E$3,1)</f>
        <v>8.6</v>
      </c>
      <c r="H201" s="120">
        <f>ROUND($P201*Basis!$E$2*((TaH-TrH)/LN(1/µ)/Basis!$E$7)^$N201*$AA$4*Glycol,0)</f>
        <v>3812</v>
      </c>
      <c r="I201" s="83">
        <f>ROUND(H201/(MID($C201,9,3)/Basis!$E$3/Basis!$E$9)*Basis!$E$11,0)</f>
        <v>1452</v>
      </c>
      <c r="J201" s="123">
        <f>IF(Basis!$E$1=1,ROUND(H201/((TaH-TrH)*1.163)/3600,3),ROUND(H201/(500*(TaH-TrH)),2))</f>
        <v>0.38</v>
      </c>
      <c r="K201" s="84"/>
      <c r="L201" s="177">
        <f>CHOOSE(Basis!$E$1,((AJ201*(J201*3600/Basis!$E$5)^AK201*(((MID(C201,9,3)*10)-144)/1000)*AL201+AM201*(J201*3600/Basis!$E$5)^2)*0.0098)/Basis!$E$10,((AJ201*(J201/Basis!$E$5)^AK201*(((MID(C201,9,3)*10)-144)/1000)*AL201+AM201*(J201/Basis!$E$5)^2)*0.0098)/Basis!$E$10)</f>
        <v>1.4884379668549564E-2</v>
      </c>
      <c r="M201" s="85"/>
      <c r="N201" s="109">
        <v>1.4770000000000001</v>
      </c>
      <c r="O201" s="68"/>
      <c r="P201" s="67">
        <v>1819</v>
      </c>
      <c r="Q201" s="68"/>
      <c r="R201" s="69"/>
      <c r="S201" s="69"/>
      <c r="T201" s="69"/>
      <c r="U201" s="69"/>
      <c r="V201" s="69"/>
      <c r="W201" s="68"/>
      <c r="X201" s="70"/>
      <c r="Y201" s="70"/>
      <c r="Z201" s="70"/>
      <c r="AA201" s="70"/>
      <c r="AB201" s="70"/>
      <c r="AC201" s="68"/>
      <c r="AD201" s="71"/>
      <c r="AE201" s="71"/>
      <c r="AF201" s="71"/>
      <c r="AG201" s="71"/>
      <c r="AH201" s="71"/>
      <c r="AI201" s="68"/>
      <c r="AJ201" s="214">
        <v>1.2760000000000001E-4</v>
      </c>
      <c r="AK201" s="214">
        <v>1.7219</v>
      </c>
      <c r="AL201" s="214">
        <v>4</v>
      </c>
      <c r="AM201" s="214">
        <v>5.1420100000000005E-4</v>
      </c>
      <c r="AN201" s="68"/>
      <c r="AO201" s="67"/>
      <c r="AP201" s="67"/>
      <c r="AQ201" s="67"/>
      <c r="AR201" s="67"/>
      <c r="AS201" s="67"/>
      <c r="AT201" s="68"/>
      <c r="AU201" s="49"/>
      <c r="AV201" s="50"/>
    </row>
    <row r="202" spans="1:48" ht="12.75" customHeight="1" x14ac:dyDescent="0.25">
      <c r="A202" s="72" t="s">
        <v>23</v>
      </c>
      <c r="B202" s="43" t="s">
        <v>159</v>
      </c>
      <c r="C202" s="44" t="s">
        <v>352</v>
      </c>
      <c r="D202" s="45">
        <f>MROUND(MID($C202,6,3)/Basis!$E$3,0.5)</f>
        <v>15.5</v>
      </c>
      <c r="E202" s="45">
        <f>MROUND(MID($C202,9,3)/Basis!$E$3,0.5)</f>
        <v>35.5</v>
      </c>
      <c r="F202" s="124" t="s">
        <v>2943</v>
      </c>
      <c r="G202" s="45">
        <f>ROUND((ROUNDDOWN($F202/5,0)*5+1.8)/Basis!$E$3,1)</f>
        <v>4.5999999999999996</v>
      </c>
      <c r="H202" s="120">
        <f>ROUND($P202*Basis!$E$2*((TaH-TrH)/LN(1/µ)/Basis!$E$7)^$N202*$AA$4*Glycol,0)</f>
        <v>1867</v>
      </c>
      <c r="I202" s="83">
        <f>ROUND(H202/(MID($C202,9,3)/Basis!$E$3/Basis!$E$9)*Basis!$E$11,0)</f>
        <v>632</v>
      </c>
      <c r="J202" s="123">
        <f>IF(Basis!$E$1=1,ROUND(H202/((TaH-TrH)*1.163)/3600,3),ROUND(H202/(500*(TaH-TrH)),2))</f>
        <v>0.19</v>
      </c>
      <c r="K202" s="84"/>
      <c r="L202" s="177">
        <f>CHOOSE(Basis!$E$1,((AJ202*(J202*3600/Basis!$E$5)^AK202*(((MID(C202,9,3)*10)-144)/1000)*AL202+AM202*(J202*3600/Basis!$E$5)^2)*0.0098)/Basis!$E$10,((AJ202*(J202/Basis!$E$5)^AK202*(((MID(C202,9,3)*10)-144)/1000)*AL202+AM202*(J202/Basis!$E$5)^2)*0.0098)/Basis!$E$10)</f>
        <v>3.582160292693978E-3</v>
      </c>
      <c r="M202" s="85"/>
      <c r="N202" s="109">
        <v>1.3939999999999999</v>
      </c>
      <c r="O202" s="68"/>
      <c r="P202" s="67">
        <v>867</v>
      </c>
      <c r="Q202" s="68"/>
      <c r="R202" s="69"/>
      <c r="S202" s="69"/>
      <c r="T202" s="69"/>
      <c r="U202" s="69"/>
      <c r="V202" s="69"/>
      <c r="W202" s="68"/>
      <c r="X202" s="70"/>
      <c r="Y202" s="70"/>
      <c r="Z202" s="70"/>
      <c r="AA202" s="70"/>
      <c r="AB202" s="70"/>
      <c r="AC202" s="68"/>
      <c r="AD202" s="71"/>
      <c r="AE202" s="71"/>
      <c r="AF202" s="71"/>
      <c r="AG202" s="71"/>
      <c r="AH202" s="71"/>
      <c r="AI202" s="68"/>
      <c r="AJ202" s="214">
        <v>3.9689999999999994E-4</v>
      </c>
      <c r="AK202" s="214">
        <v>1.7345999999999999</v>
      </c>
      <c r="AL202" s="214">
        <v>2</v>
      </c>
      <c r="AM202" s="214">
        <v>3.6734700000000002E-4</v>
      </c>
      <c r="AN202" s="68"/>
      <c r="AO202" s="67"/>
      <c r="AP202" s="67"/>
      <c r="AQ202" s="67"/>
      <c r="AR202" s="67"/>
      <c r="AS202" s="67"/>
      <c r="AT202" s="68"/>
      <c r="AU202" s="49"/>
      <c r="AV202" s="50"/>
    </row>
    <row r="203" spans="1:48" ht="12.75" customHeight="1" x14ac:dyDescent="0.25">
      <c r="A203" s="72" t="s">
        <v>23</v>
      </c>
      <c r="B203" s="43" t="s">
        <v>159</v>
      </c>
      <c r="C203" s="44" t="s">
        <v>353</v>
      </c>
      <c r="D203" s="45">
        <f>MROUND(MID($C203,6,3)/Basis!$E$3,0.5)</f>
        <v>15.5</v>
      </c>
      <c r="E203" s="45">
        <f>MROUND(MID($C203,9,3)/Basis!$E$3,0.5)</f>
        <v>35.5</v>
      </c>
      <c r="F203" s="124" t="s">
        <v>2946</v>
      </c>
      <c r="G203" s="45">
        <f>ROUND((ROUNDDOWN($F203/5,0)*5+1.8)/Basis!$E$3,1)</f>
        <v>4.5999999999999996</v>
      </c>
      <c r="H203" s="120">
        <f>ROUND($P203*Basis!$E$2*((TaH-TrH)/LN(1/µ)/Basis!$E$7)^$N203*$AA$4*Glycol,0)</f>
        <v>2415</v>
      </c>
      <c r="I203" s="83">
        <f>ROUND(H203/(MID($C203,9,3)/Basis!$E$3/Basis!$E$9)*Basis!$E$11,0)</f>
        <v>818</v>
      </c>
      <c r="J203" s="123">
        <f>IF(Basis!$E$1=1,ROUND(H203/((TaH-TrH)*1.163)/3600,3),ROUND(H203/(500*(TaH-TrH)),2))</f>
        <v>0.24</v>
      </c>
      <c r="K203" s="84"/>
      <c r="L203" s="177">
        <f>CHOOSE(Basis!$E$1,((AJ203*(J203*3600/Basis!$E$5)^AK203*(((MID(C203,9,3)*10)-144)/1000)*AL203+AM203*(J203*3600/Basis!$E$5)^2)*0.0098)/Basis!$E$10,((AJ203*(J203/Basis!$E$5)^AK203*(((MID(C203,9,3)*10)-144)/1000)*AL203+AM203*(J203/Basis!$E$5)^2)*0.0098)/Basis!$E$10)</f>
        <v>9.6146447036700219E-3</v>
      </c>
      <c r="M203" s="85"/>
      <c r="N203" s="110">
        <v>1.4390000000000001</v>
      </c>
      <c r="O203" s="74"/>
      <c r="P203" s="73">
        <v>1138</v>
      </c>
      <c r="Q203" s="74"/>
      <c r="R203" s="75"/>
      <c r="S203" s="75"/>
      <c r="T203" s="75"/>
      <c r="U203" s="75"/>
      <c r="V203" s="75"/>
      <c r="W203" s="74"/>
      <c r="X203" s="76"/>
      <c r="Y203" s="76"/>
      <c r="Z203" s="76"/>
      <c r="AA203" s="76"/>
      <c r="AB203" s="76"/>
      <c r="AC203" s="74"/>
      <c r="AD203" s="77"/>
      <c r="AE203" s="77"/>
      <c r="AF203" s="77"/>
      <c r="AG203" s="77"/>
      <c r="AH203" s="77"/>
      <c r="AI203" s="68"/>
      <c r="AJ203" s="213">
        <v>3.9689999999999994E-4</v>
      </c>
      <c r="AK203" s="213">
        <v>1.7345999999999999</v>
      </c>
      <c r="AL203" s="213">
        <v>4</v>
      </c>
      <c r="AM203" s="213">
        <v>5.7428799999999995E-4</v>
      </c>
      <c r="AN203" s="74"/>
      <c r="AO203" s="73"/>
      <c r="AP203" s="73"/>
      <c r="AQ203" s="73"/>
      <c r="AR203" s="73"/>
      <c r="AS203" s="73"/>
      <c r="AT203" s="74"/>
      <c r="AU203" s="47"/>
      <c r="AV203" s="48"/>
    </row>
    <row r="204" spans="1:48" ht="12.75" customHeight="1" x14ac:dyDescent="0.25">
      <c r="A204" s="72" t="s">
        <v>23</v>
      </c>
      <c r="B204" s="43" t="s">
        <v>159</v>
      </c>
      <c r="C204" s="44" t="s">
        <v>354</v>
      </c>
      <c r="D204" s="45">
        <f>MROUND(MID($C204,6,3)/Basis!$E$3,0.5)</f>
        <v>15.5</v>
      </c>
      <c r="E204" s="45">
        <f>MROUND(MID($C204,9,3)/Basis!$E$3,0.5)</f>
        <v>35.5</v>
      </c>
      <c r="F204" s="124" t="s">
        <v>2944</v>
      </c>
      <c r="G204" s="45">
        <f>ROUND((ROUNDDOWN($F204/5,0)*5+1.8)/Basis!$E$3,1)</f>
        <v>6.6</v>
      </c>
      <c r="H204" s="120">
        <f>ROUND($P204*Basis!$E$2*((TaH-TrH)/LN(1/µ)/Basis!$E$7)^$N204*$AA$4*Glycol,0)</f>
        <v>3048</v>
      </c>
      <c r="I204" s="83">
        <f>ROUND(H204/(MID($C204,9,3)/Basis!$E$3/Basis!$E$9)*Basis!$E$11,0)</f>
        <v>1032</v>
      </c>
      <c r="J204" s="123">
        <f>IF(Basis!$E$1=1,ROUND(H204/((TaH-TrH)*1.163)/3600,3),ROUND(H204/(500*(TaH-TrH)),2))</f>
        <v>0.3</v>
      </c>
      <c r="K204" s="84"/>
      <c r="L204" s="177">
        <f>CHOOSE(Basis!$E$1,((AJ204*(J204*3600/Basis!$E$5)^AK204*(((MID(C204,9,3)*10)-144)/1000)*AL204+AM204*(J204*3600/Basis!$E$5)^2)*0.0098)/Basis!$E$10,((AJ204*(J204/Basis!$E$5)^AK204*(((MID(C204,9,3)*10)-144)/1000)*AL204+AM204*(J204/Basis!$E$5)^2)*0.0098)/Basis!$E$10)</f>
        <v>8.5018180767186986E-3</v>
      </c>
      <c r="M204" s="85"/>
      <c r="N204" s="110">
        <v>1.385</v>
      </c>
      <c r="O204" s="74"/>
      <c r="P204" s="73">
        <v>1411</v>
      </c>
      <c r="Q204" s="74"/>
      <c r="R204" s="75"/>
      <c r="S204" s="75"/>
      <c r="T204" s="75"/>
      <c r="U204" s="75"/>
      <c r="V204" s="75"/>
      <c r="W204" s="74"/>
      <c r="X204" s="76"/>
      <c r="Y204" s="76"/>
      <c r="Z204" s="76"/>
      <c r="AA204" s="76"/>
      <c r="AB204" s="76"/>
      <c r="AC204" s="74"/>
      <c r="AD204" s="77"/>
      <c r="AE204" s="77"/>
      <c r="AF204" s="77"/>
      <c r="AG204" s="77"/>
      <c r="AH204" s="77"/>
      <c r="AI204" s="68"/>
      <c r="AJ204" s="213">
        <v>2.0829999999999999E-4</v>
      </c>
      <c r="AK204" s="213">
        <v>1.724</v>
      </c>
      <c r="AL204" s="213">
        <v>2</v>
      </c>
      <c r="AM204" s="213">
        <v>4.6182900000000003E-4</v>
      </c>
      <c r="AN204" s="74"/>
      <c r="AO204" s="73"/>
      <c r="AP204" s="73"/>
      <c r="AQ204" s="73"/>
      <c r="AR204" s="73"/>
      <c r="AS204" s="73"/>
      <c r="AT204" s="74"/>
      <c r="AU204" s="47"/>
      <c r="AV204" s="48"/>
    </row>
    <row r="205" spans="1:48" ht="12.75" customHeight="1" x14ac:dyDescent="0.25">
      <c r="A205" s="72" t="s">
        <v>23</v>
      </c>
      <c r="B205" s="43" t="s">
        <v>159</v>
      </c>
      <c r="C205" s="44" t="s">
        <v>355</v>
      </c>
      <c r="D205" s="45">
        <f>MROUND(MID($C205,6,3)/Basis!$E$3,0.5)</f>
        <v>15.5</v>
      </c>
      <c r="E205" s="45">
        <f>MROUND(MID($C205,9,3)/Basis!$E$3,0.5)</f>
        <v>35.5</v>
      </c>
      <c r="F205" s="124" t="s">
        <v>2947</v>
      </c>
      <c r="G205" s="45">
        <f>ROUND((ROUNDDOWN($F205/5,0)*5+1.8)/Basis!$E$3,1)</f>
        <v>6.6</v>
      </c>
      <c r="H205" s="120">
        <f>ROUND($P205*Basis!$E$2*((TaH-TrH)/LN(1/µ)/Basis!$E$7)^$N205*$AA$4*Glycol,0)</f>
        <v>3224</v>
      </c>
      <c r="I205" s="83">
        <f>ROUND(H205/(MID($C205,9,3)/Basis!$E$3/Basis!$E$9)*Basis!$E$11,0)</f>
        <v>1092</v>
      </c>
      <c r="J205" s="123">
        <f>IF(Basis!$E$1=1,ROUND(H205/((TaH-TrH)*1.163)/3600,3),ROUND(H205/(500*(TaH-TrH)),2))</f>
        <v>0.32</v>
      </c>
      <c r="K205" s="84"/>
      <c r="L205" s="177">
        <f>CHOOSE(Basis!$E$1,((AJ205*(J205*3600/Basis!$E$5)^AK205*(((MID(C205,9,3)*10)-144)/1000)*AL205+AM205*(J205*3600/Basis!$E$5)^2)*0.0098)/Basis!$E$10,((AJ205*(J205/Basis!$E$5)^AK205*(((MID(C205,9,3)*10)-144)/1000)*AL205+AM205*(J205/Basis!$E$5)^2)*0.0098)/Basis!$E$10)</f>
        <v>2.7389317790940518E-2</v>
      </c>
      <c r="M205" s="85"/>
      <c r="N205" s="109">
        <v>1.46</v>
      </c>
      <c r="O205" s="68"/>
      <c r="P205" s="67">
        <v>1530</v>
      </c>
      <c r="Q205" s="68"/>
      <c r="R205" s="69"/>
      <c r="S205" s="69"/>
      <c r="T205" s="69"/>
      <c r="U205" s="69"/>
      <c r="V205" s="69"/>
      <c r="W205" s="68"/>
      <c r="X205" s="70"/>
      <c r="Y205" s="70"/>
      <c r="Z205" s="70"/>
      <c r="AA205" s="70"/>
      <c r="AB205" s="70"/>
      <c r="AC205" s="68"/>
      <c r="AD205" s="71"/>
      <c r="AE205" s="71"/>
      <c r="AF205" s="71"/>
      <c r="AG205" s="71"/>
      <c r="AH205" s="71"/>
      <c r="AI205" s="68"/>
      <c r="AJ205" s="214">
        <v>2.0829999999999999E-4</v>
      </c>
      <c r="AK205" s="214">
        <v>1.724</v>
      </c>
      <c r="AL205" s="214">
        <v>4</v>
      </c>
      <c r="AM205" s="214">
        <v>1.392796E-3</v>
      </c>
      <c r="AN205" s="68"/>
      <c r="AO205" s="67"/>
      <c r="AP205" s="67"/>
      <c r="AQ205" s="67"/>
      <c r="AR205" s="67"/>
      <c r="AS205" s="67"/>
      <c r="AT205" s="68"/>
      <c r="AU205" s="49"/>
      <c r="AV205" s="50"/>
    </row>
    <row r="206" spans="1:48" ht="12.75" customHeight="1" x14ac:dyDescent="0.25">
      <c r="A206" s="72" t="s">
        <v>23</v>
      </c>
      <c r="B206" s="43" t="s">
        <v>159</v>
      </c>
      <c r="C206" s="44" t="s">
        <v>356</v>
      </c>
      <c r="D206" s="45">
        <f>MROUND(MID($C206,6,3)/Basis!$E$3,0.5)</f>
        <v>15.5</v>
      </c>
      <c r="E206" s="45">
        <f>MROUND(MID($C206,9,3)/Basis!$E$3,0.5)</f>
        <v>35.5</v>
      </c>
      <c r="F206" s="124" t="s">
        <v>2945</v>
      </c>
      <c r="G206" s="45">
        <f>ROUND((ROUNDDOWN($F206/5,0)*5+1.8)/Basis!$E$3,1)</f>
        <v>8.6</v>
      </c>
      <c r="H206" s="120">
        <f>ROUND($P206*Basis!$E$2*((TaH-TrH)/LN(1/µ)/Basis!$E$7)^$N206*$AA$4*Glycol,0)</f>
        <v>4270</v>
      </c>
      <c r="I206" s="83">
        <f>ROUND(H206/(MID($C206,9,3)/Basis!$E$3/Basis!$E$9)*Basis!$E$11,0)</f>
        <v>1446</v>
      </c>
      <c r="J206" s="123">
        <f>IF(Basis!$E$1=1,ROUND(H206/((TaH-TrH)*1.163)/3600,3),ROUND(H206/(500*(TaH-TrH)),2))</f>
        <v>0.43</v>
      </c>
      <c r="K206" s="84"/>
      <c r="L206" s="177">
        <f>CHOOSE(Basis!$E$1,((AJ206*(J206*3600/Basis!$E$5)^AK206*(((MID(C206,9,3)*10)-144)/1000)*AL206+AM206*(J206*3600/Basis!$E$5)^2)*0.0098)/Basis!$E$10,((AJ206*(J206/Basis!$E$5)^AK206*(((MID(C206,9,3)*10)-144)/1000)*AL206+AM206*(J206/Basis!$E$5)^2)*0.0098)/Basis!$E$10)</f>
        <v>1.34282161432991E-2</v>
      </c>
      <c r="M206" s="85"/>
      <c r="N206" s="109">
        <v>1.3839999999999999</v>
      </c>
      <c r="O206" s="68"/>
      <c r="P206" s="67">
        <v>1976</v>
      </c>
      <c r="Q206" s="68"/>
      <c r="R206" s="69"/>
      <c r="S206" s="69"/>
      <c r="T206" s="69"/>
      <c r="U206" s="69"/>
      <c r="V206" s="69"/>
      <c r="W206" s="68"/>
      <c r="X206" s="70"/>
      <c r="Y206" s="70"/>
      <c r="Z206" s="70"/>
      <c r="AA206" s="70"/>
      <c r="AB206" s="70"/>
      <c r="AC206" s="68"/>
      <c r="AD206" s="71"/>
      <c r="AE206" s="71"/>
      <c r="AF206" s="71"/>
      <c r="AG206" s="71"/>
      <c r="AH206" s="71"/>
      <c r="AI206" s="68"/>
      <c r="AJ206" s="214">
        <v>1.2760000000000001E-4</v>
      </c>
      <c r="AK206" s="214">
        <v>1.7219</v>
      </c>
      <c r="AL206" s="214">
        <v>2</v>
      </c>
      <c r="AM206" s="214">
        <v>3.76611E-4</v>
      </c>
      <c r="AN206" s="68"/>
      <c r="AO206" s="67"/>
      <c r="AP206" s="67"/>
      <c r="AQ206" s="67"/>
      <c r="AR206" s="67"/>
      <c r="AS206" s="67"/>
      <c r="AT206" s="68"/>
      <c r="AU206" s="49"/>
      <c r="AV206" s="50"/>
    </row>
    <row r="207" spans="1:48" ht="12.75" customHeight="1" x14ac:dyDescent="0.25">
      <c r="A207" s="72" t="s">
        <v>23</v>
      </c>
      <c r="B207" s="43" t="s">
        <v>159</v>
      </c>
      <c r="C207" s="44" t="s">
        <v>357</v>
      </c>
      <c r="D207" s="45">
        <f>MROUND(MID($C207,6,3)/Basis!$E$3,0.5)</f>
        <v>15.5</v>
      </c>
      <c r="E207" s="45">
        <f>MROUND(MID($C207,9,3)/Basis!$E$3,0.5)</f>
        <v>35.5</v>
      </c>
      <c r="F207" s="124" t="s">
        <v>2948</v>
      </c>
      <c r="G207" s="45">
        <f>ROUND((ROUNDDOWN($F207/5,0)*5+1.8)/Basis!$E$3,1)</f>
        <v>8.6</v>
      </c>
      <c r="H207" s="120">
        <f>ROUND($P207*Basis!$E$2*((TaH-TrH)/LN(1/µ)/Basis!$E$7)^$N207*$AA$4*Glycol,0)</f>
        <v>4290</v>
      </c>
      <c r="I207" s="83">
        <f>ROUND(H207/(MID($C207,9,3)/Basis!$E$3/Basis!$E$9)*Basis!$E$11,0)</f>
        <v>1453</v>
      </c>
      <c r="J207" s="123">
        <f>IF(Basis!$E$1=1,ROUND(H207/((TaH-TrH)*1.163)/3600,3),ROUND(H207/(500*(TaH-TrH)),2))</f>
        <v>0.43</v>
      </c>
      <c r="K207" s="84"/>
      <c r="L207" s="177">
        <f>CHOOSE(Basis!$E$1,((AJ207*(J207*3600/Basis!$E$5)^AK207*(((MID(C207,9,3)*10)-144)/1000)*AL207+AM207*(J207*3600/Basis!$E$5)^2)*0.0098)/Basis!$E$10,((AJ207*(J207/Basis!$E$5)^AK207*(((MID(C207,9,3)*10)-144)/1000)*AL207+AM207*(J207/Basis!$E$5)^2)*0.0098)/Basis!$E$10)</f>
        <v>1.9402062586973117E-2</v>
      </c>
      <c r="M207" s="85"/>
      <c r="N207" s="110">
        <v>1.4770000000000001</v>
      </c>
      <c r="O207" s="74"/>
      <c r="P207" s="73">
        <v>2047</v>
      </c>
      <c r="Q207" s="74"/>
      <c r="R207" s="75"/>
      <c r="S207" s="75"/>
      <c r="T207" s="75"/>
      <c r="U207" s="75"/>
      <c r="V207" s="75"/>
      <c r="W207" s="74"/>
      <c r="X207" s="76"/>
      <c r="Y207" s="76"/>
      <c r="Z207" s="76"/>
      <c r="AA207" s="76"/>
      <c r="AB207" s="76"/>
      <c r="AC207" s="74"/>
      <c r="AD207" s="77"/>
      <c r="AE207" s="77"/>
      <c r="AF207" s="77"/>
      <c r="AG207" s="77"/>
      <c r="AH207" s="77"/>
      <c r="AI207" s="68"/>
      <c r="AJ207" s="213">
        <v>1.2760000000000001E-4</v>
      </c>
      <c r="AK207" s="213">
        <v>1.7219</v>
      </c>
      <c r="AL207" s="213">
        <v>4</v>
      </c>
      <c r="AM207" s="213">
        <v>5.1420100000000005E-4</v>
      </c>
      <c r="AN207" s="74"/>
      <c r="AO207" s="73"/>
      <c r="AP207" s="73"/>
      <c r="AQ207" s="73"/>
      <c r="AR207" s="73"/>
      <c r="AS207" s="73"/>
      <c r="AT207" s="74"/>
      <c r="AU207" s="47"/>
      <c r="AV207" s="48"/>
    </row>
    <row r="208" spans="1:48" ht="12.75" customHeight="1" x14ac:dyDescent="0.25">
      <c r="A208" s="72" t="s">
        <v>23</v>
      </c>
      <c r="B208" s="43" t="s">
        <v>159</v>
      </c>
      <c r="C208" s="44" t="s">
        <v>358</v>
      </c>
      <c r="D208" s="45">
        <f>MROUND(MID($C208,6,3)/Basis!$E$3,0.5)</f>
        <v>15.5</v>
      </c>
      <c r="E208" s="45">
        <f>MROUND(MID($C208,9,3)/Basis!$E$3,0.5)</f>
        <v>39.5</v>
      </c>
      <c r="F208" s="124" t="s">
        <v>2943</v>
      </c>
      <c r="G208" s="45">
        <f>ROUND((ROUNDDOWN($F208/5,0)*5+1.8)/Basis!$E$3,1)</f>
        <v>4.5999999999999996</v>
      </c>
      <c r="H208" s="120">
        <f>ROUND($P208*Basis!$E$2*((TaH-TrH)/LN(1/µ)/Basis!$E$7)^$N208*$AA$4*Glycol,0)</f>
        <v>2074</v>
      </c>
      <c r="I208" s="83">
        <f>ROUND(H208/(MID($C208,9,3)/Basis!$E$3/Basis!$E$9)*Basis!$E$11,0)</f>
        <v>632</v>
      </c>
      <c r="J208" s="123">
        <f>IF(Basis!$E$1=1,ROUND(H208/((TaH-TrH)*1.163)/3600,3),ROUND(H208/(500*(TaH-TrH)),2))</f>
        <v>0.21</v>
      </c>
      <c r="K208" s="84"/>
      <c r="L208" s="177">
        <f>CHOOSE(Basis!$E$1,((AJ208*(J208*3600/Basis!$E$5)^AK208*(((MID(C208,9,3)*10)-144)/1000)*AL208+AM208*(J208*3600/Basis!$E$5)^2)*0.0098)/Basis!$E$10,((AJ208*(J208/Basis!$E$5)^AK208*(((MID(C208,9,3)*10)-144)/1000)*AL208+AM208*(J208/Basis!$E$5)^2)*0.0098)/Basis!$E$10)</f>
        <v>4.5446100180261493E-3</v>
      </c>
      <c r="M208" s="85"/>
      <c r="N208" s="110">
        <v>1.3939999999999999</v>
      </c>
      <c r="O208" s="74"/>
      <c r="P208" s="73">
        <v>963</v>
      </c>
      <c r="Q208" s="74"/>
      <c r="R208" s="75"/>
      <c r="S208" s="75"/>
      <c r="T208" s="75"/>
      <c r="U208" s="75"/>
      <c r="V208" s="75"/>
      <c r="W208" s="74"/>
      <c r="X208" s="76"/>
      <c r="Y208" s="76"/>
      <c r="Z208" s="76"/>
      <c r="AA208" s="76"/>
      <c r="AB208" s="76"/>
      <c r="AC208" s="74"/>
      <c r="AD208" s="77"/>
      <c r="AE208" s="77"/>
      <c r="AF208" s="77"/>
      <c r="AG208" s="77"/>
      <c r="AH208" s="77"/>
      <c r="AI208" s="68"/>
      <c r="AJ208" s="213">
        <v>3.9689999999999994E-4</v>
      </c>
      <c r="AK208" s="213">
        <v>1.7345999999999999</v>
      </c>
      <c r="AL208" s="213">
        <v>2</v>
      </c>
      <c r="AM208" s="213">
        <v>3.6734700000000002E-4</v>
      </c>
      <c r="AN208" s="74"/>
      <c r="AO208" s="73"/>
      <c r="AP208" s="73"/>
      <c r="AQ208" s="73"/>
      <c r="AR208" s="73"/>
      <c r="AS208" s="73"/>
      <c r="AT208" s="74"/>
      <c r="AU208" s="47"/>
      <c r="AV208" s="48"/>
    </row>
    <row r="209" spans="1:48" ht="12.75" customHeight="1" x14ac:dyDescent="0.25">
      <c r="A209" s="72" t="s">
        <v>23</v>
      </c>
      <c r="B209" s="43" t="s">
        <v>159</v>
      </c>
      <c r="C209" s="44" t="s">
        <v>359</v>
      </c>
      <c r="D209" s="45">
        <f>MROUND(MID($C209,6,3)/Basis!$E$3,0.5)</f>
        <v>15.5</v>
      </c>
      <c r="E209" s="45">
        <f>MROUND(MID($C209,9,3)/Basis!$E$3,0.5)</f>
        <v>39.5</v>
      </c>
      <c r="F209" s="124" t="s">
        <v>2946</v>
      </c>
      <c r="G209" s="45">
        <f>ROUND((ROUNDDOWN($F209/5,0)*5+1.8)/Basis!$E$3,1)</f>
        <v>4.5999999999999996</v>
      </c>
      <c r="H209" s="120">
        <f>ROUND($P209*Basis!$E$2*((TaH-TrH)/LN(1/µ)/Basis!$E$7)^$N209*$AA$4*Glycol,0)</f>
        <v>2682</v>
      </c>
      <c r="I209" s="83">
        <f>ROUND(H209/(MID($C209,9,3)/Basis!$E$3/Basis!$E$9)*Basis!$E$11,0)</f>
        <v>817</v>
      </c>
      <c r="J209" s="123">
        <f>IF(Basis!$E$1=1,ROUND(H209/((TaH-TrH)*1.163)/3600,3),ROUND(H209/(500*(TaH-TrH)),2))</f>
        <v>0.27</v>
      </c>
      <c r="K209" s="84"/>
      <c r="L209" s="177">
        <f>CHOOSE(Basis!$E$1,((AJ209*(J209*3600/Basis!$E$5)^AK209*(((MID(C209,9,3)*10)-144)/1000)*AL209+AM209*(J209*3600/Basis!$E$5)^2)*0.0098)/Basis!$E$10,((AJ209*(J209/Basis!$E$5)^AK209*(((MID(C209,9,3)*10)-144)/1000)*AL209+AM209*(J209/Basis!$E$5)^2)*0.0098)/Basis!$E$10)</f>
        <v>1.2666106314589625E-2</v>
      </c>
      <c r="M209" s="85"/>
      <c r="N209" s="109">
        <v>1.4390000000000001</v>
      </c>
      <c r="O209" s="68"/>
      <c r="P209" s="67">
        <v>1264</v>
      </c>
      <c r="Q209" s="68"/>
      <c r="R209" s="69"/>
      <c r="S209" s="69"/>
      <c r="T209" s="69"/>
      <c r="U209" s="69"/>
      <c r="V209" s="69"/>
      <c r="W209" s="68"/>
      <c r="X209" s="70"/>
      <c r="Y209" s="70"/>
      <c r="Z209" s="70"/>
      <c r="AA209" s="70"/>
      <c r="AB209" s="70"/>
      <c r="AC209" s="68"/>
      <c r="AD209" s="71"/>
      <c r="AE209" s="71"/>
      <c r="AF209" s="71"/>
      <c r="AG209" s="71"/>
      <c r="AH209" s="71"/>
      <c r="AI209" s="68"/>
      <c r="AJ209" s="214">
        <v>3.9689999999999994E-4</v>
      </c>
      <c r="AK209" s="214">
        <v>1.7345999999999999</v>
      </c>
      <c r="AL209" s="214">
        <v>4</v>
      </c>
      <c r="AM209" s="214">
        <v>5.7428799999999995E-4</v>
      </c>
      <c r="AN209" s="68"/>
      <c r="AO209" s="67"/>
      <c r="AP209" s="67"/>
      <c r="AQ209" s="67"/>
      <c r="AR209" s="67"/>
      <c r="AS209" s="67"/>
      <c r="AT209" s="68"/>
      <c r="AU209" s="49"/>
      <c r="AV209" s="50"/>
    </row>
    <row r="210" spans="1:48" ht="12.75" customHeight="1" x14ac:dyDescent="0.25">
      <c r="A210" s="72" t="s">
        <v>23</v>
      </c>
      <c r="B210" s="43" t="s">
        <v>159</v>
      </c>
      <c r="C210" s="44" t="s">
        <v>360</v>
      </c>
      <c r="D210" s="45">
        <f>MROUND(MID($C210,6,3)/Basis!$E$3,0.5)</f>
        <v>15.5</v>
      </c>
      <c r="E210" s="45">
        <f>MROUND(MID($C210,9,3)/Basis!$E$3,0.5)</f>
        <v>39.5</v>
      </c>
      <c r="F210" s="124" t="s">
        <v>2944</v>
      </c>
      <c r="G210" s="45">
        <f>ROUND((ROUNDDOWN($F210/5,0)*5+1.8)/Basis!$E$3,1)</f>
        <v>6.6</v>
      </c>
      <c r="H210" s="120">
        <f>ROUND($P210*Basis!$E$2*((TaH-TrH)/LN(1/µ)/Basis!$E$7)^$N210*$AA$4*Glycol,0)</f>
        <v>3387</v>
      </c>
      <c r="I210" s="83">
        <f>ROUND(H210/(MID($C210,9,3)/Basis!$E$3/Basis!$E$9)*Basis!$E$11,0)</f>
        <v>1032</v>
      </c>
      <c r="J210" s="123">
        <f>IF(Basis!$E$1=1,ROUND(H210/((TaH-TrH)*1.163)/3600,3),ROUND(H210/(500*(TaH-TrH)),2))</f>
        <v>0.34</v>
      </c>
      <c r="K210" s="84"/>
      <c r="L210" s="177">
        <f>CHOOSE(Basis!$E$1,((AJ210*(J210*3600/Basis!$E$5)^AK210*(((MID(C210,9,3)*10)-144)/1000)*AL210+AM210*(J210*3600/Basis!$E$5)^2)*0.0098)/Basis!$E$10,((AJ210*(J210/Basis!$E$5)^AK210*(((MID(C210,9,3)*10)-144)/1000)*AL210+AM210*(J210/Basis!$E$5)^2)*0.0098)/Basis!$E$10)</f>
        <v>1.1099818353828428E-2</v>
      </c>
      <c r="M210" s="85"/>
      <c r="N210" s="109">
        <v>1.385</v>
      </c>
      <c r="O210" s="68"/>
      <c r="P210" s="67">
        <v>1568</v>
      </c>
      <c r="Q210" s="68"/>
      <c r="R210" s="69"/>
      <c r="S210" s="69"/>
      <c r="T210" s="69"/>
      <c r="U210" s="69"/>
      <c r="V210" s="69"/>
      <c r="W210" s="68"/>
      <c r="X210" s="70"/>
      <c r="Y210" s="70"/>
      <c r="Z210" s="70"/>
      <c r="AA210" s="70"/>
      <c r="AB210" s="70"/>
      <c r="AC210" s="68"/>
      <c r="AD210" s="71"/>
      <c r="AE210" s="71"/>
      <c r="AF210" s="71"/>
      <c r="AG210" s="71"/>
      <c r="AH210" s="71"/>
      <c r="AI210" s="68"/>
      <c r="AJ210" s="214">
        <v>2.0829999999999999E-4</v>
      </c>
      <c r="AK210" s="214">
        <v>1.724</v>
      </c>
      <c r="AL210" s="214">
        <v>2</v>
      </c>
      <c r="AM210" s="214">
        <v>4.6182900000000003E-4</v>
      </c>
      <c r="AN210" s="68"/>
      <c r="AO210" s="67"/>
      <c r="AP210" s="67"/>
      <c r="AQ210" s="67"/>
      <c r="AR210" s="67"/>
      <c r="AS210" s="67"/>
      <c r="AT210" s="68"/>
      <c r="AU210" s="49"/>
      <c r="AV210" s="50"/>
    </row>
    <row r="211" spans="1:48" ht="12.75" customHeight="1" x14ac:dyDescent="0.25">
      <c r="A211" s="72" t="s">
        <v>23</v>
      </c>
      <c r="B211" s="43" t="s">
        <v>159</v>
      </c>
      <c r="C211" s="44" t="s">
        <v>361</v>
      </c>
      <c r="D211" s="45">
        <f>MROUND(MID($C211,6,3)/Basis!$E$3,0.5)</f>
        <v>15.5</v>
      </c>
      <c r="E211" s="45">
        <f>MROUND(MID($C211,9,3)/Basis!$E$3,0.5)</f>
        <v>39.5</v>
      </c>
      <c r="F211" s="124" t="s">
        <v>2947</v>
      </c>
      <c r="G211" s="45">
        <f>ROUND((ROUNDDOWN($F211/5,0)*5+1.8)/Basis!$E$3,1)</f>
        <v>6.6</v>
      </c>
      <c r="H211" s="120">
        <f>ROUND($P211*Basis!$E$2*((TaH-TrH)/LN(1/µ)/Basis!$E$7)^$N211*$AA$4*Glycol,0)</f>
        <v>3583</v>
      </c>
      <c r="I211" s="83">
        <f>ROUND(H211/(MID($C211,9,3)/Basis!$E$3/Basis!$E$9)*Basis!$E$11,0)</f>
        <v>1092</v>
      </c>
      <c r="J211" s="123">
        <f>IF(Basis!$E$1=1,ROUND(H211/((TaH-TrH)*1.163)/3600,3),ROUND(H211/(500*(TaH-TrH)),2))</f>
        <v>0.36</v>
      </c>
      <c r="K211" s="84"/>
      <c r="L211" s="177">
        <f>CHOOSE(Basis!$E$1,((AJ211*(J211*3600/Basis!$E$5)^AK211*(((MID(C211,9,3)*10)-144)/1000)*AL211+AM211*(J211*3600/Basis!$E$5)^2)*0.0098)/Basis!$E$10,((AJ211*(J211/Basis!$E$5)^AK211*(((MID(C211,9,3)*10)-144)/1000)*AL211+AM211*(J211/Basis!$E$5)^2)*0.0098)/Basis!$E$10)</f>
        <v>3.5069838176406944E-2</v>
      </c>
      <c r="M211" s="85"/>
      <c r="N211" s="110">
        <v>1.46</v>
      </c>
      <c r="O211" s="74"/>
      <c r="P211" s="73">
        <v>1700</v>
      </c>
      <c r="Q211" s="74"/>
      <c r="R211" s="75"/>
      <c r="S211" s="75"/>
      <c r="T211" s="75"/>
      <c r="U211" s="75"/>
      <c r="V211" s="75"/>
      <c r="W211" s="74"/>
      <c r="X211" s="76"/>
      <c r="Y211" s="76"/>
      <c r="Z211" s="76"/>
      <c r="AA211" s="76"/>
      <c r="AB211" s="76"/>
      <c r="AC211" s="74"/>
      <c r="AD211" s="77"/>
      <c r="AE211" s="77"/>
      <c r="AF211" s="77"/>
      <c r="AG211" s="77"/>
      <c r="AH211" s="77"/>
      <c r="AI211" s="68"/>
      <c r="AJ211" s="213">
        <v>2.0829999999999999E-4</v>
      </c>
      <c r="AK211" s="213">
        <v>1.724</v>
      </c>
      <c r="AL211" s="213">
        <v>4</v>
      </c>
      <c r="AM211" s="213">
        <v>1.392796E-3</v>
      </c>
      <c r="AN211" s="74"/>
      <c r="AO211" s="73"/>
      <c r="AP211" s="73"/>
      <c r="AQ211" s="73"/>
      <c r="AR211" s="73"/>
      <c r="AS211" s="73"/>
      <c r="AT211" s="74"/>
      <c r="AU211" s="47"/>
      <c r="AV211" s="48"/>
    </row>
    <row r="212" spans="1:48" ht="12.75" customHeight="1" x14ac:dyDescent="0.25">
      <c r="A212" s="72" t="s">
        <v>23</v>
      </c>
      <c r="B212" s="43" t="s">
        <v>159</v>
      </c>
      <c r="C212" s="44" t="s">
        <v>362</v>
      </c>
      <c r="D212" s="45">
        <f>MROUND(MID($C212,6,3)/Basis!$E$3,0.5)</f>
        <v>15.5</v>
      </c>
      <c r="E212" s="45">
        <f>MROUND(MID($C212,9,3)/Basis!$E$3,0.5)</f>
        <v>39.5</v>
      </c>
      <c r="F212" s="124" t="s">
        <v>2945</v>
      </c>
      <c r="G212" s="45">
        <f>ROUND((ROUNDDOWN($F212/5,0)*5+1.8)/Basis!$E$3,1)</f>
        <v>8.6</v>
      </c>
      <c r="H212" s="120">
        <f>ROUND($P212*Basis!$E$2*((TaH-TrH)/LN(1/µ)/Basis!$E$7)^$N212*$AA$4*Glycol,0)</f>
        <v>4745</v>
      </c>
      <c r="I212" s="83">
        <f>ROUND(H212/(MID($C212,9,3)/Basis!$E$3/Basis!$E$9)*Basis!$E$11,0)</f>
        <v>1446</v>
      </c>
      <c r="J212" s="123">
        <f>IF(Basis!$E$1=1,ROUND(H212/((TaH-TrH)*1.163)/3600,3),ROUND(H212/(500*(TaH-TrH)),2))</f>
        <v>0.47</v>
      </c>
      <c r="K212" s="84"/>
      <c r="L212" s="177">
        <f>CHOOSE(Basis!$E$1,((AJ212*(J212*3600/Basis!$E$5)^AK212*(((MID(C212,9,3)*10)-144)/1000)*AL212+AM212*(J212*3600/Basis!$E$5)^2)*0.0098)/Basis!$E$10,((AJ212*(J212/Basis!$E$5)^AK212*(((MID(C212,9,3)*10)-144)/1000)*AL212+AM212*(J212/Basis!$E$5)^2)*0.0098)/Basis!$E$10)</f>
        <v>1.6253002518565554E-2</v>
      </c>
      <c r="M212" s="85"/>
      <c r="N212" s="110">
        <v>1.3839999999999999</v>
      </c>
      <c r="O212" s="74"/>
      <c r="P212" s="73">
        <v>2196</v>
      </c>
      <c r="Q212" s="74"/>
      <c r="R212" s="75"/>
      <c r="S212" s="75"/>
      <c r="T212" s="75"/>
      <c r="U212" s="75"/>
      <c r="V212" s="75"/>
      <c r="W212" s="74"/>
      <c r="X212" s="76"/>
      <c r="Y212" s="76"/>
      <c r="Z212" s="76"/>
      <c r="AA212" s="76"/>
      <c r="AB212" s="76"/>
      <c r="AC212" s="74"/>
      <c r="AD212" s="77"/>
      <c r="AE212" s="77"/>
      <c r="AF212" s="77"/>
      <c r="AG212" s="77"/>
      <c r="AH212" s="77"/>
      <c r="AI212" s="68"/>
      <c r="AJ212" s="213">
        <v>1.2760000000000001E-4</v>
      </c>
      <c r="AK212" s="213">
        <v>1.7219</v>
      </c>
      <c r="AL212" s="213">
        <v>2</v>
      </c>
      <c r="AM212" s="213">
        <v>3.76611E-4</v>
      </c>
      <c r="AN212" s="74"/>
      <c r="AO212" s="73"/>
      <c r="AP212" s="73"/>
      <c r="AQ212" s="73"/>
      <c r="AR212" s="73"/>
      <c r="AS212" s="73"/>
      <c r="AT212" s="74"/>
      <c r="AU212" s="47"/>
      <c r="AV212" s="48"/>
    </row>
    <row r="213" spans="1:48" ht="12.75" customHeight="1" x14ac:dyDescent="0.25">
      <c r="A213" s="72" t="s">
        <v>23</v>
      </c>
      <c r="B213" s="43" t="s">
        <v>159</v>
      </c>
      <c r="C213" s="44" t="s">
        <v>363</v>
      </c>
      <c r="D213" s="45">
        <f>MROUND(MID($C213,6,3)/Basis!$E$3,0.5)</f>
        <v>15.5</v>
      </c>
      <c r="E213" s="45">
        <f>MROUND(MID($C213,9,3)/Basis!$E$3,0.5)</f>
        <v>39.5</v>
      </c>
      <c r="F213" s="124" t="s">
        <v>2948</v>
      </c>
      <c r="G213" s="45">
        <f>ROUND((ROUNDDOWN($F213/5,0)*5+1.8)/Basis!$E$3,1)</f>
        <v>8.6</v>
      </c>
      <c r="H213" s="120">
        <f>ROUND($P213*Basis!$E$2*((TaH-TrH)/LN(1/µ)/Basis!$E$7)^$N213*$AA$4*Glycol,0)</f>
        <v>4765</v>
      </c>
      <c r="I213" s="83">
        <f>ROUND(H213/(MID($C213,9,3)/Basis!$E$3/Basis!$E$9)*Basis!$E$11,0)</f>
        <v>1452</v>
      </c>
      <c r="J213" s="123">
        <f>IF(Basis!$E$1=1,ROUND(H213/((TaH-TrH)*1.163)/3600,3),ROUND(H213/(500*(TaH-TrH)),2))</f>
        <v>0.48</v>
      </c>
      <c r="K213" s="84"/>
      <c r="L213" s="177">
        <f>CHOOSE(Basis!$E$1,((AJ213*(J213*3600/Basis!$E$5)^AK213*(((MID(C213,9,3)*10)-144)/1000)*AL213+AM213*(J213*3600/Basis!$E$5)^2)*0.0098)/Basis!$E$10,((AJ213*(J213/Basis!$E$5)^AK213*(((MID(C213,9,3)*10)-144)/1000)*AL213+AM213*(J213/Basis!$E$5)^2)*0.0098)/Basis!$E$10)</f>
        <v>2.45881771302199E-2</v>
      </c>
      <c r="M213" s="85"/>
      <c r="N213" s="109">
        <v>1.4770000000000001</v>
      </c>
      <c r="O213" s="68"/>
      <c r="P213" s="67">
        <v>2274</v>
      </c>
      <c r="Q213" s="68"/>
      <c r="R213" s="69"/>
      <c r="S213" s="69"/>
      <c r="T213" s="69"/>
      <c r="U213" s="69"/>
      <c r="V213" s="69"/>
      <c r="W213" s="68"/>
      <c r="X213" s="70"/>
      <c r="Y213" s="70"/>
      <c r="Z213" s="70"/>
      <c r="AA213" s="70"/>
      <c r="AB213" s="70"/>
      <c r="AC213" s="68"/>
      <c r="AD213" s="71"/>
      <c r="AE213" s="71"/>
      <c r="AF213" s="71"/>
      <c r="AG213" s="71"/>
      <c r="AH213" s="71"/>
      <c r="AI213" s="68"/>
      <c r="AJ213" s="214">
        <v>1.2760000000000001E-4</v>
      </c>
      <c r="AK213" s="214">
        <v>1.7219</v>
      </c>
      <c r="AL213" s="214">
        <v>4</v>
      </c>
      <c r="AM213" s="214">
        <v>5.1420100000000005E-4</v>
      </c>
      <c r="AN213" s="68"/>
      <c r="AO213" s="67"/>
      <c r="AP213" s="67"/>
      <c r="AQ213" s="67"/>
      <c r="AR213" s="67"/>
      <c r="AS213" s="67"/>
      <c r="AT213" s="68"/>
      <c r="AU213" s="49"/>
      <c r="AV213" s="50"/>
    </row>
    <row r="214" spans="1:48" ht="12.75" customHeight="1" x14ac:dyDescent="0.25">
      <c r="A214" s="72" t="s">
        <v>23</v>
      </c>
      <c r="B214" s="43" t="s">
        <v>159</v>
      </c>
      <c r="C214" s="44" t="s">
        <v>364</v>
      </c>
      <c r="D214" s="45">
        <f>MROUND(MID($C214,6,3)/Basis!$E$3,0.5)</f>
        <v>15.5</v>
      </c>
      <c r="E214" s="45">
        <f>MROUND(MID($C214,9,3)/Basis!$E$3,0.5)</f>
        <v>43.5</v>
      </c>
      <c r="F214" s="124" t="s">
        <v>2943</v>
      </c>
      <c r="G214" s="45">
        <f>ROUND((ROUNDDOWN($F214/5,0)*5+1.8)/Basis!$E$3,1)</f>
        <v>4.5999999999999996</v>
      </c>
      <c r="H214" s="120">
        <f>ROUND($P214*Basis!$E$2*((TaH-TrH)/LN(1/µ)/Basis!$E$7)^$N214*$AA$4*Glycol,0)</f>
        <v>2281</v>
      </c>
      <c r="I214" s="83">
        <f>ROUND(H214/(MID($C214,9,3)/Basis!$E$3/Basis!$E$9)*Basis!$E$11,0)</f>
        <v>632</v>
      </c>
      <c r="J214" s="123">
        <f>IF(Basis!$E$1=1,ROUND(H214/((TaH-TrH)*1.163)/3600,3),ROUND(H214/(500*(TaH-TrH)),2))</f>
        <v>0.23</v>
      </c>
      <c r="K214" s="84"/>
      <c r="L214" s="177">
        <f>CHOOSE(Basis!$E$1,((AJ214*(J214*3600/Basis!$E$5)^AK214*(((MID(C214,9,3)*10)-144)/1000)*AL214+AM214*(J214*3600/Basis!$E$5)^2)*0.0098)/Basis!$E$10,((AJ214*(J214/Basis!$E$5)^AK214*(((MID(C214,9,3)*10)-144)/1000)*AL214+AM214*(J214/Basis!$E$5)^2)*0.0098)/Basis!$E$10)</f>
        <v>5.6475029220575106E-3</v>
      </c>
      <c r="M214" s="85"/>
      <c r="N214" s="109">
        <v>1.3939999999999999</v>
      </c>
      <c r="O214" s="68"/>
      <c r="P214" s="67">
        <v>1059</v>
      </c>
      <c r="Q214" s="68"/>
      <c r="R214" s="69"/>
      <c r="S214" s="69"/>
      <c r="T214" s="69"/>
      <c r="U214" s="69"/>
      <c r="V214" s="69"/>
      <c r="W214" s="68"/>
      <c r="X214" s="70"/>
      <c r="Y214" s="70"/>
      <c r="Z214" s="70"/>
      <c r="AA214" s="70"/>
      <c r="AB214" s="70"/>
      <c r="AC214" s="68"/>
      <c r="AD214" s="71"/>
      <c r="AE214" s="71"/>
      <c r="AF214" s="71"/>
      <c r="AG214" s="71"/>
      <c r="AH214" s="71"/>
      <c r="AI214" s="68"/>
      <c r="AJ214" s="214">
        <v>3.9689999999999994E-4</v>
      </c>
      <c r="AK214" s="214">
        <v>1.7345999999999999</v>
      </c>
      <c r="AL214" s="214">
        <v>2</v>
      </c>
      <c r="AM214" s="214">
        <v>3.6734700000000002E-4</v>
      </c>
      <c r="AN214" s="68"/>
      <c r="AO214" s="67"/>
      <c r="AP214" s="67"/>
      <c r="AQ214" s="67"/>
      <c r="AR214" s="67"/>
      <c r="AS214" s="67"/>
      <c r="AT214" s="68"/>
      <c r="AU214" s="49"/>
      <c r="AV214" s="50"/>
    </row>
    <row r="215" spans="1:48" ht="12.75" customHeight="1" x14ac:dyDescent="0.25">
      <c r="A215" s="72" t="s">
        <v>23</v>
      </c>
      <c r="B215" s="43" t="s">
        <v>159</v>
      </c>
      <c r="C215" s="44" t="s">
        <v>365</v>
      </c>
      <c r="D215" s="45">
        <f>MROUND(MID($C215,6,3)/Basis!$E$3,0.5)</f>
        <v>15.5</v>
      </c>
      <c r="E215" s="45">
        <f>MROUND(MID($C215,9,3)/Basis!$E$3,0.5)</f>
        <v>43.5</v>
      </c>
      <c r="F215" s="124" t="s">
        <v>2946</v>
      </c>
      <c r="G215" s="45">
        <f>ROUND((ROUNDDOWN($F215/5,0)*5+1.8)/Basis!$E$3,1)</f>
        <v>4.5999999999999996</v>
      </c>
      <c r="H215" s="120">
        <f>ROUND($P215*Basis!$E$2*((TaH-TrH)/LN(1/µ)/Basis!$E$7)^$N215*$AA$4*Glycol,0)</f>
        <v>2950</v>
      </c>
      <c r="I215" s="83">
        <f>ROUND(H215/(MID($C215,9,3)/Basis!$E$3/Basis!$E$9)*Basis!$E$11,0)</f>
        <v>817</v>
      </c>
      <c r="J215" s="123">
        <f>IF(Basis!$E$1=1,ROUND(H215/((TaH-TrH)*1.163)/3600,3),ROUND(H215/(500*(TaH-TrH)),2))</f>
        <v>0.3</v>
      </c>
      <c r="K215" s="84"/>
      <c r="L215" s="177">
        <f>CHOOSE(Basis!$E$1,((AJ215*(J215*3600/Basis!$E$5)^AK215*(((MID(C215,9,3)*10)-144)/1000)*AL215+AM215*(J215*3600/Basis!$E$5)^2)*0.0098)/Basis!$E$10,((AJ215*(J215/Basis!$E$5)^AK215*(((MID(C215,9,3)*10)-144)/1000)*AL215+AM215*(J215/Basis!$E$5)^2)*0.0098)/Basis!$E$10)</f>
        <v>1.6232405853752151E-2</v>
      </c>
      <c r="M215" s="85"/>
      <c r="N215" s="110">
        <v>1.4390000000000001</v>
      </c>
      <c r="O215" s="74"/>
      <c r="P215" s="73">
        <v>1390</v>
      </c>
      <c r="Q215" s="74"/>
      <c r="R215" s="75"/>
      <c r="S215" s="75"/>
      <c r="T215" s="75"/>
      <c r="U215" s="75"/>
      <c r="V215" s="75"/>
      <c r="W215" s="74"/>
      <c r="X215" s="76"/>
      <c r="Y215" s="76"/>
      <c r="Z215" s="76"/>
      <c r="AA215" s="76"/>
      <c r="AB215" s="76"/>
      <c r="AC215" s="74"/>
      <c r="AD215" s="77"/>
      <c r="AE215" s="77"/>
      <c r="AF215" s="77"/>
      <c r="AG215" s="77"/>
      <c r="AH215" s="77"/>
      <c r="AI215" s="68"/>
      <c r="AJ215" s="213">
        <v>3.9689999999999994E-4</v>
      </c>
      <c r="AK215" s="213">
        <v>1.7345999999999999</v>
      </c>
      <c r="AL215" s="213">
        <v>4</v>
      </c>
      <c r="AM215" s="213">
        <v>5.7428799999999995E-4</v>
      </c>
      <c r="AN215" s="74"/>
      <c r="AO215" s="73"/>
      <c r="AP215" s="73"/>
      <c r="AQ215" s="73"/>
      <c r="AR215" s="73"/>
      <c r="AS215" s="73"/>
      <c r="AT215" s="74"/>
      <c r="AU215" s="47"/>
      <c r="AV215" s="48"/>
    </row>
    <row r="216" spans="1:48" ht="12.75" customHeight="1" x14ac:dyDescent="0.25">
      <c r="A216" s="72" t="s">
        <v>23</v>
      </c>
      <c r="B216" s="43" t="s">
        <v>159</v>
      </c>
      <c r="C216" s="44" t="s">
        <v>366</v>
      </c>
      <c r="D216" s="45">
        <f>MROUND(MID($C216,6,3)/Basis!$E$3,0.5)</f>
        <v>15.5</v>
      </c>
      <c r="E216" s="45">
        <f>MROUND(MID($C216,9,3)/Basis!$E$3,0.5)</f>
        <v>43.5</v>
      </c>
      <c r="F216" s="124" t="s">
        <v>2944</v>
      </c>
      <c r="G216" s="45">
        <f>ROUND((ROUNDDOWN($F216/5,0)*5+1.8)/Basis!$E$3,1)</f>
        <v>6.6</v>
      </c>
      <c r="H216" s="120">
        <f>ROUND($P216*Basis!$E$2*((TaH-TrH)/LN(1/µ)/Basis!$E$7)^$N216*$AA$4*Glycol,0)</f>
        <v>3726</v>
      </c>
      <c r="I216" s="83">
        <f>ROUND(H216/(MID($C216,9,3)/Basis!$E$3/Basis!$E$9)*Basis!$E$11,0)</f>
        <v>1032</v>
      </c>
      <c r="J216" s="123">
        <f>IF(Basis!$E$1=1,ROUND(H216/((TaH-TrH)*1.163)/3600,3),ROUND(H216/(500*(TaH-TrH)),2))</f>
        <v>0.37</v>
      </c>
      <c r="K216" s="84"/>
      <c r="L216" s="177">
        <f>CHOOSE(Basis!$E$1,((AJ216*(J216*3600/Basis!$E$5)^AK216*(((MID(C216,9,3)*10)-144)/1000)*AL216+AM216*(J216*3600/Basis!$E$5)^2)*0.0098)/Basis!$E$10,((AJ216*(J216/Basis!$E$5)^AK216*(((MID(C216,9,3)*10)-144)/1000)*AL216+AM216*(J216/Basis!$E$5)^2)*0.0098)/Basis!$E$10)</f>
        <v>1.337094389631195E-2</v>
      </c>
      <c r="M216" s="85"/>
      <c r="N216" s="110">
        <v>1.385</v>
      </c>
      <c r="O216" s="74"/>
      <c r="P216" s="73">
        <v>1725</v>
      </c>
      <c r="Q216" s="74"/>
      <c r="R216" s="75"/>
      <c r="S216" s="75"/>
      <c r="T216" s="75"/>
      <c r="U216" s="75"/>
      <c r="V216" s="75"/>
      <c r="W216" s="74"/>
      <c r="X216" s="76"/>
      <c r="Y216" s="76"/>
      <c r="Z216" s="76"/>
      <c r="AA216" s="76"/>
      <c r="AB216" s="76"/>
      <c r="AC216" s="74"/>
      <c r="AD216" s="77"/>
      <c r="AE216" s="77"/>
      <c r="AF216" s="77"/>
      <c r="AG216" s="77"/>
      <c r="AH216" s="77"/>
      <c r="AI216" s="68"/>
      <c r="AJ216" s="213">
        <v>2.0829999999999999E-4</v>
      </c>
      <c r="AK216" s="213">
        <v>1.724</v>
      </c>
      <c r="AL216" s="213">
        <v>2</v>
      </c>
      <c r="AM216" s="213">
        <v>4.6182900000000003E-4</v>
      </c>
      <c r="AN216" s="74"/>
      <c r="AO216" s="73"/>
      <c r="AP216" s="73"/>
      <c r="AQ216" s="73"/>
      <c r="AR216" s="73"/>
      <c r="AS216" s="73"/>
      <c r="AT216" s="74"/>
      <c r="AU216" s="47"/>
      <c r="AV216" s="48"/>
    </row>
    <row r="217" spans="1:48" ht="12.75" customHeight="1" x14ac:dyDescent="0.25">
      <c r="A217" s="72" t="s">
        <v>23</v>
      </c>
      <c r="B217" s="43" t="s">
        <v>159</v>
      </c>
      <c r="C217" s="44" t="s">
        <v>367</v>
      </c>
      <c r="D217" s="45">
        <f>MROUND(MID($C217,6,3)/Basis!$E$3,0.5)</f>
        <v>15.5</v>
      </c>
      <c r="E217" s="45">
        <f>MROUND(MID($C217,9,3)/Basis!$E$3,0.5)</f>
        <v>43.5</v>
      </c>
      <c r="F217" s="124" t="s">
        <v>2947</v>
      </c>
      <c r="G217" s="45">
        <f>ROUND((ROUNDDOWN($F217/5,0)*5+1.8)/Basis!$E$3,1)</f>
        <v>6.6</v>
      </c>
      <c r="H217" s="120">
        <f>ROUND($P217*Basis!$E$2*((TaH-TrH)/LN(1/µ)/Basis!$E$7)^$N217*$AA$4*Glycol,0)</f>
        <v>3941</v>
      </c>
      <c r="I217" s="83">
        <f>ROUND(H217/(MID($C217,9,3)/Basis!$E$3/Basis!$E$9)*Basis!$E$11,0)</f>
        <v>1092</v>
      </c>
      <c r="J217" s="123">
        <f>IF(Basis!$E$1=1,ROUND(H217/((TaH-TrH)*1.163)/3600,3),ROUND(H217/(500*(TaH-TrH)),2))</f>
        <v>0.39</v>
      </c>
      <c r="K217" s="84"/>
      <c r="L217" s="177">
        <f>CHOOSE(Basis!$E$1,((AJ217*(J217*3600/Basis!$E$5)^AK217*(((MID(C217,9,3)*10)-144)/1000)*AL217+AM217*(J217*3600/Basis!$E$5)^2)*0.0098)/Basis!$E$10,((AJ217*(J217/Basis!$E$5)^AK217*(((MID(C217,9,3)*10)-144)/1000)*AL217+AM217*(J217/Basis!$E$5)^2)*0.0098)/Basis!$E$10)</f>
        <v>4.1659877234250998E-2</v>
      </c>
      <c r="M217" s="85"/>
      <c r="N217" s="109">
        <v>1.46</v>
      </c>
      <c r="O217" s="68"/>
      <c r="P217" s="67">
        <v>1870</v>
      </c>
      <c r="Q217" s="68"/>
      <c r="R217" s="69"/>
      <c r="S217" s="69"/>
      <c r="T217" s="69"/>
      <c r="U217" s="69"/>
      <c r="V217" s="69"/>
      <c r="W217" s="68"/>
      <c r="X217" s="70"/>
      <c r="Y217" s="70"/>
      <c r="Z217" s="70"/>
      <c r="AA217" s="70"/>
      <c r="AB217" s="70"/>
      <c r="AC217" s="68"/>
      <c r="AD217" s="71"/>
      <c r="AE217" s="71"/>
      <c r="AF217" s="71"/>
      <c r="AG217" s="71"/>
      <c r="AH217" s="71"/>
      <c r="AI217" s="68"/>
      <c r="AJ217" s="214">
        <v>2.0829999999999999E-4</v>
      </c>
      <c r="AK217" s="214">
        <v>1.724</v>
      </c>
      <c r="AL217" s="214">
        <v>4</v>
      </c>
      <c r="AM217" s="214">
        <v>1.392796E-3</v>
      </c>
      <c r="AN217" s="68"/>
      <c r="AO217" s="67"/>
      <c r="AP217" s="67"/>
      <c r="AQ217" s="67"/>
      <c r="AR217" s="67"/>
      <c r="AS217" s="67"/>
      <c r="AT217" s="68"/>
      <c r="AU217" s="49"/>
      <c r="AV217" s="50"/>
    </row>
    <row r="218" spans="1:48" ht="12.75" customHeight="1" x14ac:dyDescent="0.25">
      <c r="A218" s="72" t="s">
        <v>23</v>
      </c>
      <c r="B218" s="43" t="s">
        <v>159</v>
      </c>
      <c r="C218" s="44" t="s">
        <v>368</v>
      </c>
      <c r="D218" s="45">
        <f>MROUND(MID($C218,6,3)/Basis!$E$3,0.5)</f>
        <v>15.5</v>
      </c>
      <c r="E218" s="45">
        <f>MROUND(MID($C218,9,3)/Basis!$E$3,0.5)</f>
        <v>43.5</v>
      </c>
      <c r="F218" s="124" t="s">
        <v>2945</v>
      </c>
      <c r="G218" s="45">
        <f>ROUND((ROUNDDOWN($F218/5,0)*5+1.8)/Basis!$E$3,1)</f>
        <v>8.6</v>
      </c>
      <c r="H218" s="120">
        <f>ROUND($P218*Basis!$E$2*((TaH-TrH)/LN(1/µ)/Basis!$E$7)^$N218*$AA$4*Glycol,0)</f>
        <v>5221</v>
      </c>
      <c r="I218" s="83">
        <f>ROUND(H218/(MID($C218,9,3)/Basis!$E$3/Basis!$E$9)*Basis!$E$11,0)</f>
        <v>1447</v>
      </c>
      <c r="J218" s="123">
        <f>IF(Basis!$E$1=1,ROUND(H218/((TaH-TrH)*1.163)/3600,3),ROUND(H218/(500*(TaH-TrH)),2))</f>
        <v>0.52</v>
      </c>
      <c r="K218" s="84"/>
      <c r="L218" s="177">
        <f>CHOOSE(Basis!$E$1,((AJ218*(J218*3600/Basis!$E$5)^AK218*(((MID(C218,9,3)*10)-144)/1000)*AL218+AM218*(J218*3600/Basis!$E$5)^2)*0.0098)/Basis!$E$10,((AJ218*(J218/Basis!$E$5)^AK218*(((MID(C218,9,3)*10)-144)/1000)*AL218+AM218*(J218/Basis!$E$5)^2)*0.0098)/Basis!$E$10)</f>
        <v>2.0128432886468813E-2</v>
      </c>
      <c r="M218" s="85"/>
      <c r="N218" s="109">
        <v>1.3839999999999999</v>
      </c>
      <c r="O218" s="68"/>
      <c r="P218" s="67">
        <v>2416</v>
      </c>
      <c r="Q218" s="68"/>
      <c r="R218" s="69"/>
      <c r="S218" s="69"/>
      <c r="T218" s="69"/>
      <c r="U218" s="69"/>
      <c r="V218" s="69"/>
      <c r="W218" s="68"/>
      <c r="X218" s="70"/>
      <c r="Y218" s="70"/>
      <c r="Z218" s="70"/>
      <c r="AA218" s="70"/>
      <c r="AB218" s="70"/>
      <c r="AC218" s="68"/>
      <c r="AD218" s="71"/>
      <c r="AE218" s="71"/>
      <c r="AF218" s="71"/>
      <c r="AG218" s="71"/>
      <c r="AH218" s="71"/>
      <c r="AI218" s="68"/>
      <c r="AJ218" s="214">
        <v>1.2760000000000001E-4</v>
      </c>
      <c r="AK218" s="214">
        <v>1.7219</v>
      </c>
      <c r="AL218" s="214">
        <v>2</v>
      </c>
      <c r="AM218" s="214">
        <v>3.76611E-4</v>
      </c>
      <c r="AN218" s="68"/>
      <c r="AO218" s="67"/>
      <c r="AP218" s="67"/>
      <c r="AQ218" s="67"/>
      <c r="AR218" s="67"/>
      <c r="AS218" s="67"/>
      <c r="AT218" s="68"/>
      <c r="AU218" s="49"/>
      <c r="AV218" s="50"/>
    </row>
    <row r="219" spans="1:48" ht="12.75" customHeight="1" x14ac:dyDescent="0.25">
      <c r="A219" s="72" t="s">
        <v>23</v>
      </c>
      <c r="B219" s="43" t="s">
        <v>159</v>
      </c>
      <c r="C219" s="44" t="s">
        <v>369</v>
      </c>
      <c r="D219" s="45">
        <f>MROUND(MID($C219,6,3)/Basis!$E$3,0.5)</f>
        <v>15.5</v>
      </c>
      <c r="E219" s="45">
        <f>MROUND(MID($C219,9,3)/Basis!$E$3,0.5)</f>
        <v>43.5</v>
      </c>
      <c r="F219" s="124" t="s">
        <v>2948</v>
      </c>
      <c r="G219" s="45">
        <f>ROUND((ROUNDDOWN($F219/5,0)*5+1.8)/Basis!$E$3,1)</f>
        <v>8.6</v>
      </c>
      <c r="H219" s="120">
        <f>ROUND($P219*Basis!$E$2*((TaH-TrH)/LN(1/µ)/Basis!$E$7)^$N219*$AA$4*Glycol,0)</f>
        <v>5241</v>
      </c>
      <c r="I219" s="83">
        <f>ROUND(H219/(MID($C219,9,3)/Basis!$E$3/Basis!$E$9)*Basis!$E$11,0)</f>
        <v>1452</v>
      </c>
      <c r="J219" s="123">
        <f>IF(Basis!$E$1=1,ROUND(H219/((TaH-TrH)*1.163)/3600,3),ROUND(H219/(500*(TaH-TrH)),2))</f>
        <v>0.52</v>
      </c>
      <c r="K219" s="84"/>
      <c r="L219" s="177">
        <f>CHOOSE(Basis!$E$1,((AJ219*(J219*3600/Basis!$E$5)^AK219*(((MID(C219,9,3)*10)-144)/1000)*AL219+AM219*(J219*3600/Basis!$E$5)^2)*0.0098)/Basis!$E$10,((AJ219*(J219/Basis!$E$5)^AK219*(((MID(C219,9,3)*10)-144)/1000)*AL219+AM219*(J219/Basis!$E$5)^2)*0.0098)/Basis!$E$10)</f>
        <v>2.9355505217077048E-2</v>
      </c>
      <c r="M219" s="85"/>
      <c r="N219" s="110">
        <v>1.4770000000000001</v>
      </c>
      <c r="O219" s="74"/>
      <c r="P219" s="73">
        <v>2501</v>
      </c>
      <c r="Q219" s="74"/>
      <c r="R219" s="75"/>
      <c r="S219" s="75"/>
      <c r="T219" s="75"/>
      <c r="U219" s="75"/>
      <c r="V219" s="75"/>
      <c r="W219" s="74"/>
      <c r="X219" s="76"/>
      <c r="Y219" s="76"/>
      <c r="Z219" s="76"/>
      <c r="AA219" s="76"/>
      <c r="AB219" s="76"/>
      <c r="AC219" s="74"/>
      <c r="AD219" s="77"/>
      <c r="AE219" s="77"/>
      <c r="AF219" s="77"/>
      <c r="AG219" s="77"/>
      <c r="AH219" s="77"/>
      <c r="AI219" s="68"/>
      <c r="AJ219" s="213">
        <v>1.2760000000000001E-4</v>
      </c>
      <c r="AK219" s="213">
        <v>1.7219</v>
      </c>
      <c r="AL219" s="213">
        <v>4</v>
      </c>
      <c r="AM219" s="213">
        <v>5.1420100000000005E-4</v>
      </c>
      <c r="AN219" s="74"/>
      <c r="AO219" s="73"/>
      <c r="AP219" s="73"/>
      <c r="AQ219" s="73"/>
      <c r="AR219" s="73"/>
      <c r="AS219" s="73"/>
      <c r="AT219" s="74"/>
      <c r="AU219" s="47"/>
      <c r="AV219" s="48"/>
    </row>
    <row r="220" spans="1:48" ht="12.75" customHeight="1" x14ac:dyDescent="0.25">
      <c r="A220" s="72" t="s">
        <v>23</v>
      </c>
      <c r="B220" s="43" t="s">
        <v>159</v>
      </c>
      <c r="C220" s="44" t="s">
        <v>370</v>
      </c>
      <c r="D220" s="45">
        <f>MROUND(MID($C220,6,3)/Basis!$E$3,0.5)</f>
        <v>15.5</v>
      </c>
      <c r="E220" s="45">
        <f>MROUND(MID($C220,9,3)/Basis!$E$3,0.5)</f>
        <v>47</v>
      </c>
      <c r="F220" s="124" t="s">
        <v>2943</v>
      </c>
      <c r="G220" s="45">
        <f>ROUND((ROUNDDOWN($F220/5,0)*5+1.8)/Basis!$E$3,1)</f>
        <v>4.5999999999999996</v>
      </c>
      <c r="H220" s="120">
        <f>ROUND($P220*Basis!$E$2*((TaH-TrH)/LN(1/µ)/Basis!$E$7)^$N220*$AA$4*Glycol,0)</f>
        <v>2490</v>
      </c>
      <c r="I220" s="83">
        <f>ROUND(H220/(MID($C220,9,3)/Basis!$E$3/Basis!$E$9)*Basis!$E$11,0)</f>
        <v>632</v>
      </c>
      <c r="J220" s="123">
        <f>IF(Basis!$E$1=1,ROUND(H220/((TaH-TrH)*1.163)/3600,3),ROUND(H220/(500*(TaH-TrH)),2))</f>
        <v>0.25</v>
      </c>
      <c r="K220" s="84"/>
      <c r="L220" s="177">
        <f>CHOOSE(Basis!$E$1,((AJ220*(J220*3600/Basis!$E$5)^AK220*(((MID(C220,9,3)*10)-144)/1000)*AL220+AM220*(J220*3600/Basis!$E$5)^2)*0.0098)/Basis!$E$10,((AJ220*(J220/Basis!$E$5)^AK220*(((MID(C220,9,3)*10)-144)/1000)*AL220+AM220*(J220/Basis!$E$5)^2)*0.0098)/Basis!$E$10)</f>
        <v>6.8975635998613921E-3</v>
      </c>
      <c r="M220" s="85"/>
      <c r="N220" s="110">
        <v>1.3939999999999999</v>
      </c>
      <c r="O220" s="74"/>
      <c r="P220" s="73">
        <v>1156</v>
      </c>
      <c r="Q220" s="74"/>
      <c r="R220" s="75"/>
      <c r="S220" s="75"/>
      <c r="T220" s="75"/>
      <c r="U220" s="75"/>
      <c r="V220" s="75"/>
      <c r="W220" s="74"/>
      <c r="X220" s="76"/>
      <c r="Y220" s="76"/>
      <c r="Z220" s="76"/>
      <c r="AA220" s="76"/>
      <c r="AB220" s="76"/>
      <c r="AC220" s="74"/>
      <c r="AD220" s="77"/>
      <c r="AE220" s="77"/>
      <c r="AF220" s="77"/>
      <c r="AG220" s="77"/>
      <c r="AH220" s="77"/>
      <c r="AI220" s="68"/>
      <c r="AJ220" s="213">
        <v>3.9689999999999994E-4</v>
      </c>
      <c r="AK220" s="213">
        <v>1.7345999999999999</v>
      </c>
      <c r="AL220" s="213">
        <v>2</v>
      </c>
      <c r="AM220" s="213">
        <v>3.6734700000000002E-4</v>
      </c>
      <c r="AN220" s="74"/>
      <c r="AO220" s="73"/>
      <c r="AP220" s="73"/>
      <c r="AQ220" s="73"/>
      <c r="AR220" s="73"/>
      <c r="AS220" s="73"/>
      <c r="AT220" s="74"/>
      <c r="AU220" s="47"/>
      <c r="AV220" s="48"/>
    </row>
    <row r="221" spans="1:48" ht="12.75" customHeight="1" x14ac:dyDescent="0.25">
      <c r="A221" s="72" t="s">
        <v>23</v>
      </c>
      <c r="B221" s="43" t="s">
        <v>159</v>
      </c>
      <c r="C221" s="44" t="s">
        <v>371</v>
      </c>
      <c r="D221" s="45">
        <f>MROUND(MID($C221,6,3)/Basis!$E$3,0.5)</f>
        <v>15.5</v>
      </c>
      <c r="E221" s="45">
        <f>MROUND(MID($C221,9,3)/Basis!$E$3,0.5)</f>
        <v>47</v>
      </c>
      <c r="F221" s="124" t="s">
        <v>2946</v>
      </c>
      <c r="G221" s="45">
        <f>ROUND((ROUNDDOWN($F221/5,0)*5+1.8)/Basis!$E$3,1)</f>
        <v>4.5999999999999996</v>
      </c>
      <c r="H221" s="120">
        <f>ROUND($P221*Basis!$E$2*((TaH-TrH)/LN(1/µ)/Basis!$E$7)^$N221*$AA$4*Glycol,0)</f>
        <v>3219</v>
      </c>
      <c r="I221" s="83">
        <f>ROUND(H221/(MID($C221,9,3)/Basis!$E$3/Basis!$E$9)*Basis!$E$11,0)</f>
        <v>818</v>
      </c>
      <c r="J221" s="123">
        <f>IF(Basis!$E$1=1,ROUND(H221/((TaH-TrH)*1.163)/3600,3),ROUND(H221/(500*(TaH-TrH)),2))</f>
        <v>0.32</v>
      </c>
      <c r="K221" s="84"/>
      <c r="L221" s="177">
        <f>CHOOSE(Basis!$E$1,((AJ221*(J221*3600/Basis!$E$5)^AK221*(((MID(C221,9,3)*10)-144)/1000)*AL221+AM221*(J221*3600/Basis!$E$5)^2)*0.0098)/Basis!$E$10,((AJ221*(J221/Basis!$E$5)^AK221*(((MID(C221,9,3)*10)-144)/1000)*AL221+AM221*(J221/Basis!$E$5)^2)*0.0098)/Basis!$E$10)</f>
        <v>1.9202821230681795E-2</v>
      </c>
      <c r="M221" s="85"/>
      <c r="N221" s="109">
        <v>1.4390000000000001</v>
      </c>
      <c r="O221" s="68"/>
      <c r="P221" s="67">
        <v>1517</v>
      </c>
      <c r="Q221" s="68"/>
      <c r="R221" s="69"/>
      <c r="S221" s="69"/>
      <c r="T221" s="69"/>
      <c r="U221" s="69"/>
      <c r="V221" s="69"/>
      <c r="W221" s="68"/>
      <c r="X221" s="70"/>
      <c r="Y221" s="70"/>
      <c r="Z221" s="70"/>
      <c r="AA221" s="70"/>
      <c r="AB221" s="70"/>
      <c r="AC221" s="68"/>
      <c r="AD221" s="71"/>
      <c r="AE221" s="71"/>
      <c r="AF221" s="71"/>
      <c r="AG221" s="71"/>
      <c r="AH221" s="71"/>
      <c r="AI221" s="68"/>
      <c r="AJ221" s="214">
        <v>3.9689999999999994E-4</v>
      </c>
      <c r="AK221" s="214">
        <v>1.7345999999999999</v>
      </c>
      <c r="AL221" s="214">
        <v>4</v>
      </c>
      <c r="AM221" s="214">
        <v>5.7428799999999995E-4</v>
      </c>
      <c r="AN221" s="68"/>
      <c r="AO221" s="67"/>
      <c r="AP221" s="67"/>
      <c r="AQ221" s="67"/>
      <c r="AR221" s="67"/>
      <c r="AS221" s="67"/>
      <c r="AT221" s="68"/>
      <c r="AU221" s="49"/>
      <c r="AV221" s="50"/>
    </row>
    <row r="222" spans="1:48" ht="12.75" customHeight="1" x14ac:dyDescent="0.25">
      <c r="A222" s="72" t="s">
        <v>23</v>
      </c>
      <c r="B222" s="43" t="s">
        <v>159</v>
      </c>
      <c r="C222" s="44" t="s">
        <v>372</v>
      </c>
      <c r="D222" s="45">
        <f>MROUND(MID($C222,6,3)/Basis!$E$3,0.5)</f>
        <v>15.5</v>
      </c>
      <c r="E222" s="45">
        <f>MROUND(MID($C222,9,3)/Basis!$E$3,0.5)</f>
        <v>47</v>
      </c>
      <c r="F222" s="124" t="s">
        <v>2944</v>
      </c>
      <c r="G222" s="45">
        <f>ROUND((ROUNDDOWN($F222/5,0)*5+1.8)/Basis!$E$3,1)</f>
        <v>6.6</v>
      </c>
      <c r="H222" s="120">
        <f>ROUND($P222*Basis!$E$2*((TaH-TrH)/LN(1/µ)/Basis!$E$7)^$N222*$AA$4*Glycol,0)</f>
        <v>4066</v>
      </c>
      <c r="I222" s="83">
        <f>ROUND(H222/(MID($C222,9,3)/Basis!$E$3/Basis!$E$9)*Basis!$E$11,0)</f>
        <v>1033</v>
      </c>
      <c r="J222" s="123">
        <f>IF(Basis!$E$1=1,ROUND(H222/((TaH-TrH)*1.163)/3600,3),ROUND(H222/(500*(TaH-TrH)),2))</f>
        <v>0.41</v>
      </c>
      <c r="K222" s="84"/>
      <c r="L222" s="177">
        <f>CHOOSE(Basis!$E$1,((AJ222*(J222*3600/Basis!$E$5)^AK222*(((MID(C222,9,3)*10)-144)/1000)*AL222+AM222*(J222*3600/Basis!$E$5)^2)*0.0098)/Basis!$E$10,((AJ222*(J222/Basis!$E$5)^AK222*(((MID(C222,9,3)*10)-144)/1000)*AL222+AM222*(J222/Basis!$E$5)^2)*0.0098)/Basis!$E$10)</f>
        <v>1.6663344548849223E-2</v>
      </c>
      <c r="M222" s="85"/>
      <c r="N222" s="109">
        <v>1.385</v>
      </c>
      <c r="O222" s="68"/>
      <c r="P222" s="67">
        <v>1882</v>
      </c>
      <c r="Q222" s="68"/>
      <c r="R222" s="69"/>
      <c r="S222" s="69"/>
      <c r="T222" s="69"/>
      <c r="U222" s="69"/>
      <c r="V222" s="69"/>
      <c r="W222" s="68"/>
      <c r="X222" s="70"/>
      <c r="Y222" s="70"/>
      <c r="Z222" s="70"/>
      <c r="AA222" s="70"/>
      <c r="AB222" s="70"/>
      <c r="AC222" s="68"/>
      <c r="AD222" s="71"/>
      <c r="AE222" s="71"/>
      <c r="AF222" s="71"/>
      <c r="AG222" s="71"/>
      <c r="AH222" s="71"/>
      <c r="AI222" s="68"/>
      <c r="AJ222" s="214">
        <v>2.0829999999999999E-4</v>
      </c>
      <c r="AK222" s="214">
        <v>1.724</v>
      </c>
      <c r="AL222" s="214">
        <v>2</v>
      </c>
      <c r="AM222" s="214">
        <v>4.6182900000000003E-4</v>
      </c>
      <c r="AN222" s="68"/>
      <c r="AO222" s="67"/>
      <c r="AP222" s="67"/>
      <c r="AQ222" s="67"/>
      <c r="AR222" s="67"/>
      <c r="AS222" s="67"/>
      <c r="AT222" s="68"/>
      <c r="AU222" s="49"/>
      <c r="AV222" s="50"/>
    </row>
    <row r="223" spans="1:48" ht="12.75" customHeight="1" x14ac:dyDescent="0.25">
      <c r="A223" s="72" t="s">
        <v>23</v>
      </c>
      <c r="B223" s="43" t="s">
        <v>159</v>
      </c>
      <c r="C223" s="44" t="s">
        <v>373</v>
      </c>
      <c r="D223" s="45">
        <f>MROUND(MID($C223,6,3)/Basis!$E$3,0.5)</f>
        <v>15.5</v>
      </c>
      <c r="E223" s="45">
        <f>MROUND(MID($C223,9,3)/Basis!$E$3,0.5)</f>
        <v>47</v>
      </c>
      <c r="F223" s="124" t="s">
        <v>2947</v>
      </c>
      <c r="G223" s="45">
        <f>ROUND((ROUNDDOWN($F223/5,0)*5+1.8)/Basis!$E$3,1)</f>
        <v>6.6</v>
      </c>
      <c r="H223" s="120">
        <f>ROUND($P223*Basis!$E$2*((TaH-TrH)/LN(1/µ)/Basis!$E$7)^$N223*$AA$4*Glycol,0)</f>
        <v>4299</v>
      </c>
      <c r="I223" s="83">
        <f>ROUND(H223/(MID($C223,9,3)/Basis!$E$3/Basis!$E$9)*Basis!$E$11,0)</f>
        <v>1092</v>
      </c>
      <c r="J223" s="123">
        <f>IF(Basis!$E$1=1,ROUND(H223/((TaH-TrH)*1.163)/3600,3),ROUND(H223/(500*(TaH-TrH)),2))</f>
        <v>0.43</v>
      </c>
      <c r="K223" s="84"/>
      <c r="L223" s="177">
        <f>CHOOSE(Basis!$E$1,((AJ223*(J223*3600/Basis!$E$5)^AK223*(((MID(C223,9,3)*10)-144)/1000)*AL223+AM223*(J223*3600/Basis!$E$5)^2)*0.0098)/Basis!$E$10,((AJ223*(J223/Basis!$E$5)^AK223*(((MID(C223,9,3)*10)-144)/1000)*AL223+AM223*(J223/Basis!$E$5)^2)*0.0098)/Basis!$E$10)</f>
        <v>5.1185894073245801E-2</v>
      </c>
      <c r="M223" s="85"/>
      <c r="N223" s="110">
        <v>1.46</v>
      </c>
      <c r="O223" s="74"/>
      <c r="P223" s="73">
        <v>2040</v>
      </c>
      <c r="Q223" s="74"/>
      <c r="R223" s="75"/>
      <c r="S223" s="75"/>
      <c r="T223" s="75"/>
      <c r="U223" s="75"/>
      <c r="V223" s="75"/>
      <c r="W223" s="74"/>
      <c r="X223" s="76"/>
      <c r="Y223" s="76"/>
      <c r="Z223" s="76"/>
      <c r="AA223" s="76"/>
      <c r="AB223" s="76"/>
      <c r="AC223" s="74"/>
      <c r="AD223" s="77"/>
      <c r="AE223" s="77"/>
      <c r="AF223" s="77"/>
      <c r="AG223" s="77"/>
      <c r="AH223" s="77"/>
      <c r="AI223" s="68"/>
      <c r="AJ223" s="213">
        <v>2.0829999999999999E-4</v>
      </c>
      <c r="AK223" s="213">
        <v>1.724</v>
      </c>
      <c r="AL223" s="213">
        <v>4</v>
      </c>
      <c r="AM223" s="213">
        <v>1.392796E-3</v>
      </c>
      <c r="AN223" s="74"/>
      <c r="AO223" s="73"/>
      <c r="AP223" s="73"/>
      <c r="AQ223" s="73"/>
      <c r="AR223" s="73"/>
      <c r="AS223" s="73"/>
      <c r="AT223" s="74"/>
      <c r="AU223" s="47"/>
      <c r="AV223" s="48"/>
    </row>
    <row r="224" spans="1:48" ht="12.75" customHeight="1" x14ac:dyDescent="0.25">
      <c r="A224" s="72" t="s">
        <v>23</v>
      </c>
      <c r="B224" s="43" t="s">
        <v>159</v>
      </c>
      <c r="C224" s="44" t="s">
        <v>374</v>
      </c>
      <c r="D224" s="45">
        <f>MROUND(MID($C224,6,3)/Basis!$E$3,0.5)</f>
        <v>15.5</v>
      </c>
      <c r="E224" s="45">
        <f>MROUND(MID($C224,9,3)/Basis!$E$3,0.5)</f>
        <v>47</v>
      </c>
      <c r="F224" s="124" t="s">
        <v>2945</v>
      </c>
      <c r="G224" s="45">
        <f>ROUND((ROUNDDOWN($F224/5,0)*5+1.8)/Basis!$E$3,1)</f>
        <v>8.6</v>
      </c>
      <c r="H224" s="120">
        <f>ROUND($P224*Basis!$E$2*((TaH-TrH)/LN(1/µ)/Basis!$E$7)^$N224*$AA$4*Glycol,0)</f>
        <v>5694</v>
      </c>
      <c r="I224" s="83">
        <f>ROUND(H224/(MID($C224,9,3)/Basis!$E$3/Basis!$E$9)*Basis!$E$11,0)</f>
        <v>1446</v>
      </c>
      <c r="J224" s="123">
        <f>IF(Basis!$E$1=1,ROUND(H224/((TaH-TrH)*1.163)/3600,3),ROUND(H224/(500*(TaH-TrH)),2))</f>
        <v>0.56999999999999995</v>
      </c>
      <c r="K224" s="84"/>
      <c r="L224" s="177">
        <f>CHOOSE(Basis!$E$1,((AJ224*(J224*3600/Basis!$E$5)^AK224*(((MID(C224,9,3)*10)-144)/1000)*AL224+AM224*(J224*3600/Basis!$E$5)^2)*0.0098)/Basis!$E$10,((AJ224*(J224/Basis!$E$5)^AK224*(((MID(C224,9,3)*10)-144)/1000)*AL224+AM224*(J224/Basis!$E$5)^2)*0.0098)/Basis!$E$10)</f>
        <v>2.4457623435534776E-2</v>
      </c>
      <c r="M224" s="85"/>
      <c r="N224" s="110">
        <v>1.3839999999999999</v>
      </c>
      <c r="O224" s="74"/>
      <c r="P224" s="73">
        <v>2635</v>
      </c>
      <c r="Q224" s="74"/>
      <c r="R224" s="75"/>
      <c r="S224" s="75"/>
      <c r="T224" s="75"/>
      <c r="U224" s="75"/>
      <c r="V224" s="75"/>
      <c r="W224" s="74"/>
      <c r="X224" s="76"/>
      <c r="Y224" s="76"/>
      <c r="Z224" s="76"/>
      <c r="AA224" s="76"/>
      <c r="AB224" s="76"/>
      <c r="AC224" s="74"/>
      <c r="AD224" s="77"/>
      <c r="AE224" s="77"/>
      <c r="AF224" s="77"/>
      <c r="AG224" s="77"/>
      <c r="AH224" s="77"/>
      <c r="AI224" s="68"/>
      <c r="AJ224" s="213">
        <v>1.2760000000000001E-4</v>
      </c>
      <c r="AK224" s="213">
        <v>1.7219</v>
      </c>
      <c r="AL224" s="213">
        <v>2</v>
      </c>
      <c r="AM224" s="213">
        <v>3.76611E-4</v>
      </c>
      <c r="AN224" s="74"/>
      <c r="AO224" s="73"/>
      <c r="AP224" s="73"/>
      <c r="AQ224" s="73"/>
      <c r="AR224" s="73"/>
      <c r="AS224" s="73"/>
      <c r="AT224" s="74"/>
      <c r="AU224" s="47"/>
      <c r="AV224" s="48"/>
    </row>
    <row r="225" spans="1:48" ht="12.75" customHeight="1" x14ac:dyDescent="0.25">
      <c r="A225" s="72" t="s">
        <v>23</v>
      </c>
      <c r="B225" s="43" t="s">
        <v>159</v>
      </c>
      <c r="C225" s="44" t="s">
        <v>375</v>
      </c>
      <c r="D225" s="45">
        <f>MROUND(MID($C225,6,3)/Basis!$E$3,0.5)</f>
        <v>15.5</v>
      </c>
      <c r="E225" s="45">
        <f>MROUND(MID($C225,9,3)/Basis!$E$3,0.5)</f>
        <v>47</v>
      </c>
      <c r="F225" s="124" t="s">
        <v>2948</v>
      </c>
      <c r="G225" s="45">
        <f>ROUND((ROUNDDOWN($F225/5,0)*5+1.8)/Basis!$E$3,1)</f>
        <v>8.6</v>
      </c>
      <c r="H225" s="120">
        <f>ROUND($P225*Basis!$E$2*((TaH-TrH)/LN(1/µ)/Basis!$E$7)^$N225*$AA$4*Glycol,0)</f>
        <v>5719</v>
      </c>
      <c r="I225" s="83">
        <f>ROUND(H225/(MID($C225,9,3)/Basis!$E$3/Basis!$E$9)*Basis!$E$11,0)</f>
        <v>1453</v>
      </c>
      <c r="J225" s="123">
        <f>IF(Basis!$E$1=1,ROUND(H225/((TaH-TrH)*1.163)/3600,3),ROUND(H225/(500*(TaH-TrH)),2))</f>
        <v>0.56999999999999995</v>
      </c>
      <c r="K225" s="84"/>
      <c r="L225" s="177">
        <f>CHOOSE(Basis!$E$1,((AJ225*(J225*3600/Basis!$E$5)^AK225*(((MID(C225,9,3)*10)-144)/1000)*AL225+AM225*(J225*3600/Basis!$E$5)^2)*0.0098)/Basis!$E$10,((AJ225*(J225/Basis!$E$5)^AK225*(((MID(C225,9,3)*10)-144)/1000)*AL225+AM225*(J225/Basis!$E$5)^2)*0.0098)/Basis!$E$10)</f>
        <v>3.5816681617374654E-2</v>
      </c>
      <c r="M225" s="85"/>
      <c r="N225" s="109">
        <v>1.4770000000000001</v>
      </c>
      <c r="O225" s="68"/>
      <c r="P225" s="67">
        <v>2729</v>
      </c>
      <c r="Q225" s="68"/>
      <c r="R225" s="69"/>
      <c r="S225" s="69"/>
      <c r="T225" s="69"/>
      <c r="U225" s="69"/>
      <c r="V225" s="69"/>
      <c r="W225" s="68"/>
      <c r="X225" s="70"/>
      <c r="Y225" s="70"/>
      <c r="Z225" s="70"/>
      <c r="AA225" s="70"/>
      <c r="AB225" s="70"/>
      <c r="AC225" s="68"/>
      <c r="AD225" s="71"/>
      <c r="AE225" s="71"/>
      <c r="AF225" s="71"/>
      <c r="AG225" s="71"/>
      <c r="AH225" s="71"/>
      <c r="AI225" s="68"/>
      <c r="AJ225" s="214">
        <v>1.2760000000000001E-4</v>
      </c>
      <c r="AK225" s="214">
        <v>1.7219</v>
      </c>
      <c r="AL225" s="214">
        <v>4</v>
      </c>
      <c r="AM225" s="214">
        <v>5.1420100000000005E-4</v>
      </c>
      <c r="AN225" s="68"/>
      <c r="AO225" s="67"/>
      <c r="AP225" s="67"/>
      <c r="AQ225" s="67"/>
      <c r="AR225" s="67"/>
      <c r="AS225" s="67"/>
      <c r="AT225" s="68"/>
      <c r="AU225" s="49"/>
      <c r="AV225" s="50"/>
    </row>
    <row r="226" spans="1:48" ht="12.75" customHeight="1" x14ac:dyDescent="0.25">
      <c r="A226" s="72" t="s">
        <v>23</v>
      </c>
      <c r="B226" s="43" t="s">
        <v>159</v>
      </c>
      <c r="C226" s="44" t="s">
        <v>376</v>
      </c>
      <c r="D226" s="45">
        <f>MROUND(MID($C226,6,3)/Basis!$E$3,0.5)</f>
        <v>15.5</v>
      </c>
      <c r="E226" s="45">
        <f>MROUND(MID($C226,9,3)/Basis!$E$3,0.5)</f>
        <v>55</v>
      </c>
      <c r="F226" s="124" t="s">
        <v>2943</v>
      </c>
      <c r="G226" s="45">
        <f>ROUND((ROUNDDOWN($F226/5,0)*5+1.8)/Basis!$E$3,1)</f>
        <v>4.5999999999999996</v>
      </c>
      <c r="H226" s="120">
        <f>ROUND($P226*Basis!$E$2*((TaH-TrH)/LN(1/µ)/Basis!$E$7)^$N226*$AA$4*Glycol,0)</f>
        <v>2903</v>
      </c>
      <c r="I226" s="83">
        <f>ROUND(H226/(MID($C226,9,3)/Basis!$E$3/Basis!$E$9)*Basis!$E$11,0)</f>
        <v>632</v>
      </c>
      <c r="J226" s="123">
        <f>IF(Basis!$E$1=1,ROUND(H226/((TaH-TrH)*1.163)/3600,3),ROUND(H226/(500*(TaH-TrH)),2))</f>
        <v>0.28999999999999998</v>
      </c>
      <c r="K226" s="84"/>
      <c r="L226" s="177">
        <f>CHOOSE(Basis!$E$1,((AJ226*(J226*3600/Basis!$E$5)^AK226*(((MID(C226,9,3)*10)-144)/1000)*AL226+AM226*(J226*3600/Basis!$E$5)^2)*0.0098)/Basis!$E$10,((AJ226*(J226/Basis!$E$5)^AK226*(((MID(C226,9,3)*10)-144)/1000)*AL226+AM226*(J226/Basis!$E$5)^2)*0.0098)/Basis!$E$10)</f>
        <v>9.8652881504699749E-3</v>
      </c>
      <c r="M226" s="85"/>
      <c r="N226" s="109">
        <v>1.3939999999999999</v>
      </c>
      <c r="O226" s="68"/>
      <c r="P226" s="67">
        <v>1348</v>
      </c>
      <c r="Q226" s="68"/>
      <c r="R226" s="69"/>
      <c r="S226" s="69"/>
      <c r="T226" s="69"/>
      <c r="U226" s="69"/>
      <c r="V226" s="69"/>
      <c r="W226" s="68"/>
      <c r="X226" s="70"/>
      <c r="Y226" s="70"/>
      <c r="Z226" s="70"/>
      <c r="AA226" s="70"/>
      <c r="AB226" s="70"/>
      <c r="AC226" s="68"/>
      <c r="AD226" s="71"/>
      <c r="AE226" s="71"/>
      <c r="AF226" s="71"/>
      <c r="AG226" s="71"/>
      <c r="AH226" s="71"/>
      <c r="AI226" s="68"/>
      <c r="AJ226" s="214">
        <v>3.9689999999999994E-4</v>
      </c>
      <c r="AK226" s="214">
        <v>1.7345999999999999</v>
      </c>
      <c r="AL226" s="214">
        <v>2</v>
      </c>
      <c r="AM226" s="214">
        <v>3.6734700000000002E-4</v>
      </c>
      <c r="AN226" s="68"/>
      <c r="AO226" s="67"/>
      <c r="AP226" s="67"/>
      <c r="AQ226" s="67"/>
      <c r="AR226" s="67"/>
      <c r="AS226" s="67"/>
      <c r="AT226" s="68"/>
      <c r="AU226" s="49"/>
      <c r="AV226" s="50"/>
    </row>
    <row r="227" spans="1:48" ht="12.75" customHeight="1" x14ac:dyDescent="0.25">
      <c r="A227" s="72" t="s">
        <v>23</v>
      </c>
      <c r="B227" s="43" t="s">
        <v>159</v>
      </c>
      <c r="C227" s="44" t="s">
        <v>377</v>
      </c>
      <c r="D227" s="45">
        <f>MROUND(MID($C227,6,3)/Basis!$E$3,0.5)</f>
        <v>15.5</v>
      </c>
      <c r="E227" s="45">
        <f>MROUND(MID($C227,9,3)/Basis!$E$3,0.5)</f>
        <v>55</v>
      </c>
      <c r="F227" s="124" t="s">
        <v>2946</v>
      </c>
      <c r="G227" s="45">
        <f>ROUND((ROUNDDOWN($F227/5,0)*5+1.8)/Basis!$E$3,1)</f>
        <v>4.5999999999999996</v>
      </c>
      <c r="H227" s="120">
        <f>ROUND($P227*Basis!$E$2*((TaH-TrH)/LN(1/µ)/Basis!$E$7)^$N227*$AA$4*Glycol,0)</f>
        <v>3756</v>
      </c>
      <c r="I227" s="83">
        <f>ROUND(H227/(MID($C227,9,3)/Basis!$E$3/Basis!$E$9)*Basis!$E$11,0)</f>
        <v>818</v>
      </c>
      <c r="J227" s="123">
        <f>IF(Basis!$E$1=1,ROUND(H227/((TaH-TrH)*1.163)/3600,3),ROUND(H227/(500*(TaH-TrH)),2))</f>
        <v>0.38</v>
      </c>
      <c r="K227" s="84"/>
      <c r="L227" s="177">
        <f>CHOOSE(Basis!$E$1,((AJ227*(J227*3600/Basis!$E$5)^AK227*(((MID(C227,9,3)*10)-144)/1000)*AL227+AM227*(J227*3600/Basis!$E$5)^2)*0.0098)/Basis!$E$10,((AJ227*(J227/Basis!$E$5)^AK227*(((MID(C227,9,3)*10)-144)/1000)*AL227+AM227*(J227/Basis!$E$5)^2)*0.0098)/Basis!$E$10)</f>
        <v>2.8864224458907496E-2</v>
      </c>
      <c r="M227" s="85"/>
      <c r="N227" s="110">
        <v>1.4390000000000001</v>
      </c>
      <c r="O227" s="74"/>
      <c r="P227" s="73">
        <v>1770</v>
      </c>
      <c r="Q227" s="74"/>
      <c r="R227" s="75"/>
      <c r="S227" s="75"/>
      <c r="T227" s="75"/>
      <c r="U227" s="75"/>
      <c r="V227" s="75"/>
      <c r="W227" s="74"/>
      <c r="X227" s="76"/>
      <c r="Y227" s="76"/>
      <c r="Z227" s="76"/>
      <c r="AA227" s="76"/>
      <c r="AB227" s="76"/>
      <c r="AC227" s="74"/>
      <c r="AD227" s="77"/>
      <c r="AE227" s="77"/>
      <c r="AF227" s="77"/>
      <c r="AG227" s="77"/>
      <c r="AH227" s="77"/>
      <c r="AI227" s="68"/>
      <c r="AJ227" s="213">
        <v>3.9689999999999994E-4</v>
      </c>
      <c r="AK227" s="213">
        <v>1.7345999999999999</v>
      </c>
      <c r="AL227" s="213">
        <v>4</v>
      </c>
      <c r="AM227" s="213">
        <v>5.7428799999999995E-4</v>
      </c>
      <c r="AN227" s="74"/>
      <c r="AO227" s="73"/>
      <c r="AP227" s="73"/>
      <c r="AQ227" s="73"/>
      <c r="AR227" s="73"/>
      <c r="AS227" s="73"/>
      <c r="AT227" s="74"/>
      <c r="AU227" s="47"/>
      <c r="AV227" s="48"/>
    </row>
    <row r="228" spans="1:48" ht="12.75" customHeight="1" x14ac:dyDescent="0.25">
      <c r="A228" s="72" t="s">
        <v>23</v>
      </c>
      <c r="B228" s="43" t="s">
        <v>159</v>
      </c>
      <c r="C228" s="44" t="s">
        <v>378</v>
      </c>
      <c r="D228" s="45">
        <f>MROUND(MID($C228,6,3)/Basis!$E$3,0.5)</f>
        <v>15.5</v>
      </c>
      <c r="E228" s="45">
        <f>MROUND(MID($C228,9,3)/Basis!$E$3,0.5)</f>
        <v>55</v>
      </c>
      <c r="F228" s="124" t="s">
        <v>2944</v>
      </c>
      <c r="G228" s="45">
        <f>ROUND((ROUNDDOWN($F228/5,0)*5+1.8)/Basis!$E$3,1)</f>
        <v>6.6</v>
      </c>
      <c r="H228" s="120">
        <f>ROUND($P228*Basis!$E$2*((TaH-TrH)/LN(1/µ)/Basis!$E$7)^$N228*$AA$4*Glycol,0)</f>
        <v>4742</v>
      </c>
      <c r="I228" s="83">
        <f>ROUND(H228/(MID($C228,9,3)/Basis!$E$3/Basis!$E$9)*Basis!$E$11,0)</f>
        <v>1032</v>
      </c>
      <c r="J228" s="123">
        <f>IF(Basis!$E$1=1,ROUND(H228/((TaH-TrH)*1.163)/3600,3),ROUND(H228/(500*(TaH-TrH)),2))</f>
        <v>0.47</v>
      </c>
      <c r="K228" s="84"/>
      <c r="L228" s="177">
        <f>CHOOSE(Basis!$E$1,((AJ228*(J228*3600/Basis!$E$5)^AK228*(((MID(C228,9,3)*10)-144)/1000)*AL228+AM228*(J228*3600/Basis!$E$5)^2)*0.0098)/Basis!$E$10,((AJ228*(J228/Basis!$E$5)^AK228*(((MID(C228,9,3)*10)-144)/1000)*AL228+AM228*(J228/Basis!$E$5)^2)*0.0098)/Basis!$E$10)</f>
        <v>2.2579164789690694E-2</v>
      </c>
      <c r="M228" s="85"/>
      <c r="N228" s="110">
        <v>1.385</v>
      </c>
      <c r="O228" s="74"/>
      <c r="P228" s="73">
        <v>2195</v>
      </c>
      <c r="Q228" s="74"/>
      <c r="R228" s="75"/>
      <c r="S228" s="75"/>
      <c r="T228" s="75"/>
      <c r="U228" s="75"/>
      <c r="V228" s="75"/>
      <c r="W228" s="74"/>
      <c r="X228" s="76"/>
      <c r="Y228" s="76"/>
      <c r="Z228" s="76"/>
      <c r="AA228" s="76"/>
      <c r="AB228" s="76"/>
      <c r="AC228" s="74"/>
      <c r="AD228" s="77"/>
      <c r="AE228" s="77"/>
      <c r="AF228" s="77"/>
      <c r="AG228" s="77"/>
      <c r="AH228" s="77"/>
      <c r="AI228" s="68"/>
      <c r="AJ228" s="213">
        <v>2.0829999999999999E-4</v>
      </c>
      <c r="AK228" s="213">
        <v>1.724</v>
      </c>
      <c r="AL228" s="213">
        <v>2</v>
      </c>
      <c r="AM228" s="213">
        <v>4.6182900000000003E-4</v>
      </c>
      <c r="AN228" s="74"/>
      <c r="AO228" s="73"/>
      <c r="AP228" s="73"/>
      <c r="AQ228" s="73"/>
      <c r="AR228" s="73"/>
      <c r="AS228" s="73"/>
      <c r="AT228" s="74"/>
      <c r="AU228" s="47"/>
      <c r="AV228" s="48"/>
    </row>
    <row r="229" spans="1:48" ht="12.75" customHeight="1" x14ac:dyDescent="0.25">
      <c r="A229" s="72" t="s">
        <v>23</v>
      </c>
      <c r="B229" s="43" t="s">
        <v>159</v>
      </c>
      <c r="C229" s="44" t="s">
        <v>379</v>
      </c>
      <c r="D229" s="45">
        <f>MROUND(MID($C229,6,3)/Basis!$E$3,0.5)</f>
        <v>15.5</v>
      </c>
      <c r="E229" s="45">
        <f>MROUND(MID($C229,9,3)/Basis!$E$3,0.5)</f>
        <v>55</v>
      </c>
      <c r="F229" s="124" t="s">
        <v>2947</v>
      </c>
      <c r="G229" s="45">
        <f>ROUND((ROUNDDOWN($F229/5,0)*5+1.8)/Basis!$E$3,1)</f>
        <v>6.6</v>
      </c>
      <c r="H229" s="120">
        <f>ROUND($P229*Basis!$E$2*((TaH-TrH)/LN(1/µ)/Basis!$E$7)^$N229*$AA$4*Glycol,0)</f>
        <v>5016</v>
      </c>
      <c r="I229" s="83">
        <f>ROUND(H229/(MID($C229,9,3)/Basis!$E$3/Basis!$E$9)*Basis!$E$11,0)</f>
        <v>1092</v>
      </c>
      <c r="J229" s="123">
        <f>IF(Basis!$E$1=1,ROUND(H229/((TaH-TrH)*1.163)/3600,3),ROUND(H229/(500*(TaH-TrH)),2))</f>
        <v>0.5</v>
      </c>
      <c r="K229" s="84"/>
      <c r="L229" s="177">
        <f>CHOOSE(Basis!$E$1,((AJ229*(J229*3600/Basis!$E$5)^AK229*(((MID(C229,9,3)*10)-144)/1000)*AL229+AM229*(J229*3600/Basis!$E$5)^2)*0.0098)/Basis!$E$10,((AJ229*(J229/Basis!$E$5)^AK229*(((MID(C229,9,3)*10)-144)/1000)*AL229+AM229*(J229/Basis!$E$5)^2)*0.0098)/Basis!$E$10)</f>
        <v>7.0683709285028748E-2</v>
      </c>
      <c r="M229" s="85"/>
      <c r="N229" s="109">
        <v>1.46</v>
      </c>
      <c r="O229" s="68"/>
      <c r="P229" s="67">
        <v>2380</v>
      </c>
      <c r="Q229" s="68"/>
      <c r="R229" s="69"/>
      <c r="S229" s="69"/>
      <c r="T229" s="69"/>
      <c r="U229" s="69"/>
      <c r="V229" s="69"/>
      <c r="W229" s="68"/>
      <c r="X229" s="70"/>
      <c r="Y229" s="70"/>
      <c r="Z229" s="70"/>
      <c r="AA229" s="70"/>
      <c r="AB229" s="70"/>
      <c r="AC229" s="68"/>
      <c r="AD229" s="71"/>
      <c r="AE229" s="71"/>
      <c r="AF229" s="71"/>
      <c r="AG229" s="71"/>
      <c r="AH229" s="71"/>
      <c r="AI229" s="68"/>
      <c r="AJ229" s="214">
        <v>2.0829999999999999E-4</v>
      </c>
      <c r="AK229" s="214">
        <v>1.724</v>
      </c>
      <c r="AL229" s="214">
        <v>4</v>
      </c>
      <c r="AM229" s="214">
        <v>1.392796E-3</v>
      </c>
      <c r="AN229" s="68"/>
      <c r="AO229" s="67"/>
      <c r="AP229" s="67"/>
      <c r="AQ229" s="67"/>
      <c r="AR229" s="67"/>
      <c r="AS229" s="67"/>
      <c r="AT229" s="68"/>
      <c r="AU229" s="49"/>
      <c r="AV229" s="50"/>
    </row>
    <row r="230" spans="1:48" ht="12.75" customHeight="1" x14ac:dyDescent="0.25">
      <c r="A230" s="72" t="s">
        <v>23</v>
      </c>
      <c r="B230" s="43" t="s">
        <v>159</v>
      </c>
      <c r="C230" s="44" t="s">
        <v>380</v>
      </c>
      <c r="D230" s="45">
        <f>MROUND(MID($C230,6,3)/Basis!$E$3,0.5)</f>
        <v>15.5</v>
      </c>
      <c r="E230" s="45">
        <f>MROUND(MID($C230,9,3)/Basis!$E$3,0.5)</f>
        <v>55</v>
      </c>
      <c r="F230" s="124" t="s">
        <v>2945</v>
      </c>
      <c r="G230" s="45">
        <f>ROUND((ROUNDDOWN($F230/5,0)*5+1.8)/Basis!$E$3,1)</f>
        <v>8.6</v>
      </c>
      <c r="H230" s="120">
        <f>ROUND($P230*Basis!$E$2*((TaH-TrH)/LN(1/µ)/Basis!$E$7)^$N230*$AA$4*Glycol,0)</f>
        <v>6643</v>
      </c>
      <c r="I230" s="83">
        <f>ROUND(H230/(MID($C230,9,3)/Basis!$E$3/Basis!$E$9)*Basis!$E$11,0)</f>
        <v>1446</v>
      </c>
      <c r="J230" s="123">
        <f>IF(Basis!$E$1=1,ROUND(H230/((TaH-TrH)*1.163)/3600,3),ROUND(H230/(500*(TaH-TrH)),2))</f>
        <v>0.66</v>
      </c>
      <c r="K230" s="84"/>
      <c r="L230" s="177">
        <f>CHOOSE(Basis!$E$1,((AJ230*(J230*3600/Basis!$E$5)^AK230*(((MID(C230,9,3)*10)-144)/1000)*AL230+AM230*(J230*3600/Basis!$E$5)^2)*0.0098)/Basis!$E$10,((AJ230*(J230/Basis!$E$5)^AK230*(((MID(C230,9,3)*10)-144)/1000)*AL230+AM230*(J230/Basis!$E$5)^2)*0.0098)/Basis!$E$10)</f>
        <v>3.3517271274194078E-2</v>
      </c>
      <c r="M230" s="85"/>
      <c r="N230" s="109">
        <v>1.3839999999999999</v>
      </c>
      <c r="O230" s="68"/>
      <c r="P230" s="67">
        <v>3074</v>
      </c>
      <c r="Q230" s="68"/>
      <c r="R230" s="69"/>
      <c r="S230" s="69"/>
      <c r="T230" s="69"/>
      <c r="U230" s="69"/>
      <c r="V230" s="69"/>
      <c r="W230" s="68"/>
      <c r="X230" s="70"/>
      <c r="Y230" s="70"/>
      <c r="Z230" s="70"/>
      <c r="AA230" s="70"/>
      <c r="AB230" s="70"/>
      <c r="AC230" s="68"/>
      <c r="AD230" s="71"/>
      <c r="AE230" s="71"/>
      <c r="AF230" s="71"/>
      <c r="AG230" s="71"/>
      <c r="AH230" s="71"/>
      <c r="AI230" s="68"/>
      <c r="AJ230" s="214">
        <v>1.2760000000000001E-4</v>
      </c>
      <c r="AK230" s="214">
        <v>1.7219</v>
      </c>
      <c r="AL230" s="214">
        <v>2</v>
      </c>
      <c r="AM230" s="214">
        <v>3.76611E-4</v>
      </c>
      <c r="AN230" s="68"/>
      <c r="AO230" s="67"/>
      <c r="AP230" s="67"/>
      <c r="AQ230" s="67"/>
      <c r="AR230" s="67"/>
      <c r="AS230" s="67"/>
      <c r="AT230" s="68"/>
      <c r="AU230" s="49"/>
      <c r="AV230" s="50"/>
    </row>
    <row r="231" spans="1:48" ht="12.75" customHeight="1" x14ac:dyDescent="0.25">
      <c r="A231" s="72" t="s">
        <v>23</v>
      </c>
      <c r="B231" s="43" t="s">
        <v>159</v>
      </c>
      <c r="C231" s="44" t="s">
        <v>381</v>
      </c>
      <c r="D231" s="45">
        <f>MROUND(MID($C231,6,3)/Basis!$E$3,0.5)</f>
        <v>15.5</v>
      </c>
      <c r="E231" s="45">
        <f>MROUND(MID($C231,9,3)/Basis!$E$3,0.5)</f>
        <v>55</v>
      </c>
      <c r="F231" s="124" t="s">
        <v>2948</v>
      </c>
      <c r="G231" s="45">
        <f>ROUND((ROUNDDOWN($F231/5,0)*5+1.8)/Basis!$E$3,1)</f>
        <v>8.6</v>
      </c>
      <c r="H231" s="120">
        <f>ROUND($P231*Basis!$E$2*((TaH-TrH)/LN(1/µ)/Basis!$E$7)^$N231*$AA$4*Glycol,0)</f>
        <v>6673</v>
      </c>
      <c r="I231" s="83">
        <f>ROUND(H231/(MID($C231,9,3)/Basis!$E$3/Basis!$E$9)*Basis!$E$11,0)</f>
        <v>1453</v>
      </c>
      <c r="J231" s="123">
        <f>IF(Basis!$E$1=1,ROUND(H231/((TaH-TrH)*1.163)/3600,3),ROUND(H231/(500*(TaH-TrH)),2))</f>
        <v>0.67</v>
      </c>
      <c r="K231" s="84"/>
      <c r="L231" s="177">
        <f>CHOOSE(Basis!$E$1,((AJ231*(J231*3600/Basis!$E$5)^AK231*(((MID(C231,9,3)*10)-144)/1000)*AL231+AM231*(J231*3600/Basis!$E$5)^2)*0.0098)/Basis!$E$10,((AJ231*(J231/Basis!$E$5)^AK231*(((MID(C231,9,3)*10)-144)/1000)*AL231+AM231*(J231/Basis!$E$5)^2)*0.0098)/Basis!$E$10)</f>
        <v>5.0933281761315986E-2</v>
      </c>
      <c r="M231" s="85"/>
      <c r="N231" s="110">
        <v>1.4770000000000001</v>
      </c>
      <c r="O231" s="74"/>
      <c r="P231" s="73">
        <v>3184</v>
      </c>
      <c r="Q231" s="74"/>
      <c r="R231" s="75"/>
      <c r="S231" s="75"/>
      <c r="T231" s="75"/>
      <c r="U231" s="75"/>
      <c r="V231" s="75"/>
      <c r="W231" s="74"/>
      <c r="X231" s="76"/>
      <c r="Y231" s="76"/>
      <c r="Z231" s="76"/>
      <c r="AA231" s="76"/>
      <c r="AB231" s="76"/>
      <c r="AC231" s="74"/>
      <c r="AD231" s="77"/>
      <c r="AE231" s="77"/>
      <c r="AF231" s="77"/>
      <c r="AG231" s="77"/>
      <c r="AH231" s="77"/>
      <c r="AI231" s="68"/>
      <c r="AJ231" s="213">
        <v>1.2760000000000001E-4</v>
      </c>
      <c r="AK231" s="213">
        <v>1.7219</v>
      </c>
      <c r="AL231" s="213">
        <v>4</v>
      </c>
      <c r="AM231" s="213">
        <v>5.1420100000000005E-4</v>
      </c>
      <c r="AN231" s="74"/>
      <c r="AO231" s="73"/>
      <c r="AP231" s="73"/>
      <c r="AQ231" s="73"/>
      <c r="AR231" s="73"/>
      <c r="AS231" s="73"/>
      <c r="AT231" s="74"/>
      <c r="AU231" s="47"/>
      <c r="AV231" s="48"/>
    </row>
    <row r="232" spans="1:48" ht="12.75" customHeight="1" x14ac:dyDescent="0.25">
      <c r="A232" s="72" t="s">
        <v>23</v>
      </c>
      <c r="B232" s="43" t="s">
        <v>159</v>
      </c>
      <c r="C232" s="44" t="s">
        <v>382</v>
      </c>
      <c r="D232" s="45">
        <f>MROUND(MID($C232,6,3)/Basis!$E$3,0.5)</f>
        <v>15.5</v>
      </c>
      <c r="E232" s="45">
        <f>MROUND(MID($C232,9,3)/Basis!$E$3,0.5)</f>
        <v>63</v>
      </c>
      <c r="F232" s="124" t="s">
        <v>2943</v>
      </c>
      <c r="G232" s="45">
        <f>ROUND((ROUNDDOWN($F232/5,0)*5+1.8)/Basis!$E$3,1)</f>
        <v>4.5999999999999996</v>
      </c>
      <c r="H232" s="120">
        <f>ROUND($P232*Basis!$E$2*((TaH-TrH)/LN(1/µ)/Basis!$E$7)^$N232*$AA$4*Glycol,0)</f>
        <v>3319</v>
      </c>
      <c r="I232" s="83">
        <f>ROUND(H232/(MID($C232,9,3)/Basis!$E$3/Basis!$E$9)*Basis!$E$11,0)</f>
        <v>632</v>
      </c>
      <c r="J232" s="123">
        <f>IF(Basis!$E$1=1,ROUND(H232/((TaH-TrH)*1.163)/3600,3),ROUND(H232/(500*(TaH-TrH)),2))</f>
        <v>0.33</v>
      </c>
      <c r="K232" s="84"/>
      <c r="L232" s="177">
        <f>CHOOSE(Basis!$E$1,((AJ232*(J232*3600/Basis!$E$5)^AK232*(((MID(C232,9,3)*10)-144)/1000)*AL232+AM232*(J232*3600/Basis!$E$5)^2)*0.0098)/Basis!$E$10,((AJ232*(J232/Basis!$E$5)^AK232*(((MID(C232,9,3)*10)-144)/1000)*AL232+AM232*(J232/Basis!$E$5)^2)*0.0098)/Basis!$E$10)</f>
        <v>1.3498607916789571E-2</v>
      </c>
      <c r="M232" s="85"/>
      <c r="N232" s="110">
        <v>1.3939999999999999</v>
      </c>
      <c r="O232" s="74"/>
      <c r="P232" s="73">
        <v>1541</v>
      </c>
      <c r="Q232" s="74"/>
      <c r="R232" s="75"/>
      <c r="S232" s="75"/>
      <c r="T232" s="75"/>
      <c r="U232" s="75"/>
      <c r="V232" s="75"/>
      <c r="W232" s="74"/>
      <c r="X232" s="76"/>
      <c r="Y232" s="76"/>
      <c r="Z232" s="76"/>
      <c r="AA232" s="76"/>
      <c r="AB232" s="76"/>
      <c r="AC232" s="74"/>
      <c r="AD232" s="77"/>
      <c r="AE232" s="77"/>
      <c r="AF232" s="77"/>
      <c r="AG232" s="77"/>
      <c r="AH232" s="77"/>
      <c r="AI232" s="68"/>
      <c r="AJ232" s="213">
        <v>3.9689999999999994E-4</v>
      </c>
      <c r="AK232" s="213">
        <v>1.7345999999999999</v>
      </c>
      <c r="AL232" s="213">
        <v>2</v>
      </c>
      <c r="AM232" s="213">
        <v>3.6734700000000002E-4</v>
      </c>
      <c r="AN232" s="74"/>
      <c r="AO232" s="73"/>
      <c r="AP232" s="73"/>
      <c r="AQ232" s="73"/>
      <c r="AR232" s="73"/>
      <c r="AS232" s="73"/>
      <c r="AT232" s="74"/>
      <c r="AU232" s="47"/>
      <c r="AV232" s="48"/>
    </row>
    <row r="233" spans="1:48" ht="12.75" customHeight="1" x14ac:dyDescent="0.25">
      <c r="A233" s="72" t="s">
        <v>23</v>
      </c>
      <c r="B233" s="43" t="s">
        <v>159</v>
      </c>
      <c r="C233" s="44" t="s">
        <v>383</v>
      </c>
      <c r="D233" s="45">
        <f>MROUND(MID($C233,6,3)/Basis!$E$3,0.5)</f>
        <v>15.5</v>
      </c>
      <c r="E233" s="45">
        <f>MROUND(MID($C233,9,3)/Basis!$E$3,0.5)</f>
        <v>63</v>
      </c>
      <c r="F233" s="124" t="s">
        <v>2946</v>
      </c>
      <c r="G233" s="45">
        <f>ROUND((ROUNDDOWN($F233/5,0)*5+1.8)/Basis!$E$3,1)</f>
        <v>4.5999999999999996</v>
      </c>
      <c r="H233" s="120">
        <f>ROUND($P233*Basis!$E$2*((TaH-TrH)/LN(1/µ)/Basis!$E$7)^$N233*$AA$4*Glycol,0)</f>
        <v>4291</v>
      </c>
      <c r="I233" s="83">
        <f>ROUND(H233/(MID($C233,9,3)/Basis!$E$3/Basis!$E$9)*Basis!$E$11,0)</f>
        <v>817</v>
      </c>
      <c r="J233" s="123">
        <f>IF(Basis!$E$1=1,ROUND(H233/((TaH-TrH)*1.163)/3600,3),ROUND(H233/(500*(TaH-TrH)),2))</f>
        <v>0.43</v>
      </c>
      <c r="K233" s="84"/>
      <c r="L233" s="177">
        <f>CHOOSE(Basis!$E$1,((AJ233*(J233*3600/Basis!$E$5)^AK233*(((MID(C233,9,3)*10)-144)/1000)*AL233+AM233*(J233*3600/Basis!$E$5)^2)*0.0098)/Basis!$E$10,((AJ233*(J233/Basis!$E$5)^AK233*(((MID(C233,9,3)*10)-144)/1000)*AL233+AM233*(J233/Basis!$E$5)^2)*0.0098)/Basis!$E$10)</f>
        <v>3.9280430468820841E-2</v>
      </c>
      <c r="M233" s="85"/>
      <c r="N233" s="109">
        <v>1.4390000000000001</v>
      </c>
      <c r="O233" s="68"/>
      <c r="P233" s="67">
        <v>2022</v>
      </c>
      <c r="Q233" s="68"/>
      <c r="R233" s="69"/>
      <c r="S233" s="69"/>
      <c r="T233" s="69"/>
      <c r="U233" s="69"/>
      <c r="V233" s="69"/>
      <c r="W233" s="68"/>
      <c r="X233" s="70"/>
      <c r="Y233" s="70"/>
      <c r="Z233" s="70"/>
      <c r="AA233" s="70"/>
      <c r="AB233" s="70"/>
      <c r="AC233" s="68"/>
      <c r="AD233" s="71"/>
      <c r="AE233" s="71"/>
      <c r="AF233" s="71"/>
      <c r="AG233" s="71"/>
      <c r="AH233" s="71"/>
      <c r="AI233" s="68"/>
      <c r="AJ233" s="214">
        <v>3.9689999999999994E-4</v>
      </c>
      <c r="AK233" s="214">
        <v>1.7345999999999999</v>
      </c>
      <c r="AL233" s="214">
        <v>4</v>
      </c>
      <c r="AM233" s="214">
        <v>5.7428799999999995E-4</v>
      </c>
      <c r="AN233" s="68"/>
      <c r="AO233" s="67"/>
      <c r="AP233" s="67"/>
      <c r="AQ233" s="67"/>
      <c r="AR233" s="67"/>
      <c r="AS233" s="67"/>
      <c r="AT233" s="68"/>
      <c r="AU233" s="49"/>
      <c r="AV233" s="50"/>
    </row>
    <row r="234" spans="1:48" ht="12.75" customHeight="1" x14ac:dyDescent="0.25">
      <c r="A234" s="72" t="s">
        <v>23</v>
      </c>
      <c r="B234" s="43" t="s">
        <v>159</v>
      </c>
      <c r="C234" s="44" t="s">
        <v>384</v>
      </c>
      <c r="D234" s="45">
        <f>MROUND(MID($C234,6,3)/Basis!$E$3,0.5)</f>
        <v>15.5</v>
      </c>
      <c r="E234" s="45">
        <f>MROUND(MID($C234,9,3)/Basis!$E$3,0.5)</f>
        <v>63</v>
      </c>
      <c r="F234" s="124" t="s">
        <v>2944</v>
      </c>
      <c r="G234" s="45">
        <f>ROUND((ROUNDDOWN($F234/5,0)*5+1.8)/Basis!$E$3,1)</f>
        <v>6.6</v>
      </c>
      <c r="H234" s="120">
        <f>ROUND($P234*Basis!$E$2*((TaH-TrH)/LN(1/µ)/Basis!$E$7)^$N234*$AA$4*Glycol,0)</f>
        <v>5420</v>
      </c>
      <c r="I234" s="83">
        <f>ROUND(H234/(MID($C234,9,3)/Basis!$E$3/Basis!$E$9)*Basis!$E$11,0)</f>
        <v>1033</v>
      </c>
      <c r="J234" s="123">
        <f>IF(Basis!$E$1=1,ROUND(H234/((TaH-TrH)*1.163)/3600,3),ROUND(H234/(500*(TaH-TrH)),2))</f>
        <v>0.54</v>
      </c>
      <c r="K234" s="84"/>
      <c r="L234" s="177">
        <f>CHOOSE(Basis!$E$1,((AJ234*(J234*3600/Basis!$E$5)^AK234*(((MID(C234,9,3)*10)-144)/1000)*AL234+AM234*(J234*3600/Basis!$E$5)^2)*0.0098)/Basis!$E$10,((AJ234*(J234/Basis!$E$5)^AK234*(((MID(C234,9,3)*10)-144)/1000)*AL234+AM234*(J234/Basis!$E$5)^2)*0.0098)/Basis!$E$10)</f>
        <v>3.0625841210836433E-2</v>
      </c>
      <c r="M234" s="85"/>
      <c r="N234" s="109">
        <v>1.385</v>
      </c>
      <c r="O234" s="68"/>
      <c r="P234" s="67">
        <v>2509</v>
      </c>
      <c r="Q234" s="68"/>
      <c r="R234" s="69"/>
      <c r="S234" s="69"/>
      <c r="T234" s="69"/>
      <c r="U234" s="69"/>
      <c r="V234" s="69"/>
      <c r="W234" s="68"/>
      <c r="X234" s="70"/>
      <c r="Y234" s="70"/>
      <c r="Z234" s="70"/>
      <c r="AA234" s="70"/>
      <c r="AB234" s="70"/>
      <c r="AC234" s="68"/>
      <c r="AD234" s="71"/>
      <c r="AE234" s="71"/>
      <c r="AF234" s="71"/>
      <c r="AG234" s="71"/>
      <c r="AH234" s="71"/>
      <c r="AI234" s="68"/>
      <c r="AJ234" s="214">
        <v>2.0829999999999999E-4</v>
      </c>
      <c r="AK234" s="214">
        <v>1.724</v>
      </c>
      <c r="AL234" s="214">
        <v>2</v>
      </c>
      <c r="AM234" s="214">
        <v>4.6182900000000003E-4</v>
      </c>
      <c r="AN234" s="68"/>
      <c r="AO234" s="67"/>
      <c r="AP234" s="67"/>
      <c r="AQ234" s="67"/>
      <c r="AR234" s="67"/>
      <c r="AS234" s="67"/>
      <c r="AT234" s="68"/>
      <c r="AU234" s="49"/>
      <c r="AV234" s="50"/>
    </row>
    <row r="235" spans="1:48" ht="12.75" customHeight="1" x14ac:dyDescent="0.25">
      <c r="A235" s="72" t="s">
        <v>23</v>
      </c>
      <c r="B235" s="43" t="s">
        <v>159</v>
      </c>
      <c r="C235" s="44" t="s">
        <v>385</v>
      </c>
      <c r="D235" s="45">
        <f>MROUND(MID($C235,6,3)/Basis!$E$3,0.5)</f>
        <v>15.5</v>
      </c>
      <c r="E235" s="45">
        <f>MROUND(MID($C235,9,3)/Basis!$E$3,0.5)</f>
        <v>63</v>
      </c>
      <c r="F235" s="124" t="s">
        <v>2947</v>
      </c>
      <c r="G235" s="45">
        <f>ROUND((ROUNDDOWN($F235/5,0)*5+1.8)/Basis!$E$3,1)</f>
        <v>6.6</v>
      </c>
      <c r="H235" s="120">
        <f>ROUND($P235*Basis!$E$2*((TaH-TrH)/LN(1/µ)/Basis!$E$7)^$N235*$AA$4*Glycol,0)</f>
        <v>5732</v>
      </c>
      <c r="I235" s="83">
        <f>ROUND(H235/(MID($C235,9,3)/Basis!$E$3/Basis!$E$9)*Basis!$E$11,0)</f>
        <v>1092</v>
      </c>
      <c r="J235" s="123">
        <f>IF(Basis!$E$1=1,ROUND(H235/((TaH-TrH)*1.163)/3600,3),ROUND(H235/(500*(TaH-TrH)),2))</f>
        <v>0.56999999999999995</v>
      </c>
      <c r="K235" s="84"/>
      <c r="L235" s="177">
        <f>CHOOSE(Basis!$E$1,((AJ235*(J235*3600/Basis!$E$5)^AK235*(((MID(C235,9,3)*10)-144)/1000)*AL235+AM235*(J235*3600/Basis!$E$5)^2)*0.0098)/Basis!$E$10,((AJ235*(J235/Basis!$E$5)^AK235*(((MID(C235,9,3)*10)-144)/1000)*AL235+AM235*(J235/Basis!$E$5)^2)*0.0098)/Basis!$E$10)</f>
        <v>9.3694537296634406E-2</v>
      </c>
      <c r="M235" s="85"/>
      <c r="N235" s="110">
        <v>1.46</v>
      </c>
      <c r="O235" s="74"/>
      <c r="P235" s="73">
        <v>2720</v>
      </c>
      <c r="Q235" s="74"/>
      <c r="R235" s="75"/>
      <c r="S235" s="75"/>
      <c r="T235" s="75"/>
      <c r="U235" s="75"/>
      <c r="V235" s="75"/>
      <c r="W235" s="74"/>
      <c r="X235" s="76"/>
      <c r="Y235" s="76"/>
      <c r="Z235" s="76"/>
      <c r="AA235" s="76"/>
      <c r="AB235" s="76"/>
      <c r="AC235" s="74"/>
      <c r="AD235" s="77"/>
      <c r="AE235" s="77"/>
      <c r="AF235" s="77"/>
      <c r="AG235" s="77"/>
      <c r="AH235" s="77"/>
      <c r="AI235" s="68"/>
      <c r="AJ235" s="213">
        <v>2.0829999999999999E-4</v>
      </c>
      <c r="AK235" s="213">
        <v>1.724</v>
      </c>
      <c r="AL235" s="213">
        <v>4</v>
      </c>
      <c r="AM235" s="213">
        <v>1.392796E-3</v>
      </c>
      <c r="AN235" s="74"/>
      <c r="AO235" s="73"/>
      <c r="AP235" s="73"/>
      <c r="AQ235" s="73"/>
      <c r="AR235" s="73"/>
      <c r="AS235" s="73"/>
      <c r="AT235" s="74"/>
      <c r="AU235" s="47"/>
      <c r="AV235" s="48"/>
    </row>
    <row r="236" spans="1:48" ht="12.75" customHeight="1" x14ac:dyDescent="0.25">
      <c r="A236" s="72" t="s">
        <v>23</v>
      </c>
      <c r="B236" s="43" t="s">
        <v>159</v>
      </c>
      <c r="C236" s="44" t="s">
        <v>386</v>
      </c>
      <c r="D236" s="45">
        <f>MROUND(MID($C236,6,3)/Basis!$E$3,0.5)</f>
        <v>15.5</v>
      </c>
      <c r="E236" s="45">
        <f>MROUND(MID($C236,9,3)/Basis!$E$3,0.5)</f>
        <v>63</v>
      </c>
      <c r="F236" s="124" t="s">
        <v>2945</v>
      </c>
      <c r="G236" s="45">
        <f>ROUND((ROUNDDOWN($F236/5,0)*5+1.8)/Basis!$E$3,1)</f>
        <v>8.6</v>
      </c>
      <c r="H236" s="120">
        <f>ROUND($P236*Basis!$E$2*((TaH-TrH)/LN(1/µ)/Basis!$E$7)^$N236*$AA$4*Glycol,0)</f>
        <v>7594</v>
      </c>
      <c r="I236" s="83">
        <f>ROUND(H236/(MID($C236,9,3)/Basis!$E$3/Basis!$E$9)*Basis!$E$11,0)</f>
        <v>1447</v>
      </c>
      <c r="J236" s="123">
        <f>IF(Basis!$E$1=1,ROUND(H236/((TaH-TrH)*1.163)/3600,3),ROUND(H236/(500*(TaH-TrH)),2))</f>
        <v>0.76</v>
      </c>
      <c r="K236" s="84"/>
      <c r="L236" s="177">
        <f>CHOOSE(Basis!$E$1,((AJ236*(J236*3600/Basis!$E$5)^AK236*(((MID(C236,9,3)*10)-144)/1000)*AL236+AM236*(J236*3600/Basis!$E$5)^2)*0.0098)/Basis!$E$10,((AJ236*(J236/Basis!$E$5)^AK236*(((MID(C236,9,3)*10)-144)/1000)*AL236+AM236*(J236/Basis!$E$5)^2)*0.0098)/Basis!$E$10)</f>
        <v>4.5332188287315632E-2</v>
      </c>
      <c r="M236" s="85"/>
      <c r="N236" s="110">
        <v>1.3839999999999999</v>
      </c>
      <c r="O236" s="74"/>
      <c r="P236" s="73">
        <v>3514</v>
      </c>
      <c r="Q236" s="74"/>
      <c r="R236" s="75"/>
      <c r="S236" s="75"/>
      <c r="T236" s="75"/>
      <c r="U236" s="75"/>
      <c r="V236" s="75"/>
      <c r="W236" s="74"/>
      <c r="X236" s="76"/>
      <c r="Y236" s="76"/>
      <c r="Z236" s="76"/>
      <c r="AA236" s="76"/>
      <c r="AB236" s="76"/>
      <c r="AC236" s="74"/>
      <c r="AD236" s="77"/>
      <c r="AE236" s="77"/>
      <c r="AF236" s="77"/>
      <c r="AG236" s="77"/>
      <c r="AH236" s="77"/>
      <c r="AI236" s="68"/>
      <c r="AJ236" s="213">
        <v>1.2760000000000001E-4</v>
      </c>
      <c r="AK236" s="213">
        <v>1.7219</v>
      </c>
      <c r="AL236" s="213">
        <v>2</v>
      </c>
      <c r="AM236" s="213">
        <v>3.76611E-4</v>
      </c>
      <c r="AN236" s="74"/>
      <c r="AO236" s="73"/>
      <c r="AP236" s="73"/>
      <c r="AQ236" s="73"/>
      <c r="AR236" s="73"/>
      <c r="AS236" s="73"/>
      <c r="AT236" s="74"/>
      <c r="AU236" s="47"/>
      <c r="AV236" s="48"/>
    </row>
    <row r="237" spans="1:48" ht="12.75" customHeight="1" x14ac:dyDescent="0.25">
      <c r="A237" s="72" t="s">
        <v>23</v>
      </c>
      <c r="B237" s="43" t="s">
        <v>159</v>
      </c>
      <c r="C237" s="44" t="s">
        <v>387</v>
      </c>
      <c r="D237" s="45">
        <f>MROUND(MID($C237,6,3)/Basis!$E$3,0.5)</f>
        <v>15.5</v>
      </c>
      <c r="E237" s="45">
        <f>MROUND(MID($C237,9,3)/Basis!$E$3,0.5)</f>
        <v>63</v>
      </c>
      <c r="F237" s="124" t="s">
        <v>2948</v>
      </c>
      <c r="G237" s="45">
        <f>ROUND((ROUNDDOWN($F237/5,0)*5+1.8)/Basis!$E$3,1)</f>
        <v>8.6</v>
      </c>
      <c r="H237" s="120">
        <f>ROUND($P237*Basis!$E$2*((TaH-TrH)/LN(1/µ)/Basis!$E$7)^$N237*$AA$4*Glycol,0)</f>
        <v>7624</v>
      </c>
      <c r="I237" s="83">
        <f>ROUND(H237/(MID($C237,9,3)/Basis!$E$3/Basis!$E$9)*Basis!$E$11,0)</f>
        <v>1452</v>
      </c>
      <c r="J237" s="123">
        <f>IF(Basis!$E$1=1,ROUND(H237/((TaH-TrH)*1.163)/3600,3),ROUND(H237/(500*(TaH-TrH)),2))</f>
        <v>0.76</v>
      </c>
      <c r="K237" s="84"/>
      <c r="L237" s="177">
        <f>CHOOSE(Basis!$E$1,((AJ237*(J237*3600/Basis!$E$5)^AK237*(((MID(C237,9,3)*10)-144)/1000)*AL237+AM237*(J237*3600/Basis!$E$5)^2)*0.0098)/Basis!$E$10,((AJ237*(J237/Basis!$E$5)^AK237*(((MID(C237,9,3)*10)-144)/1000)*AL237+AM237*(J237/Basis!$E$5)^2)*0.0098)/Basis!$E$10)</f>
        <v>6.737803834584033E-2</v>
      </c>
      <c r="M237" s="85"/>
      <c r="N237" s="109">
        <v>1.4770000000000001</v>
      </c>
      <c r="O237" s="68"/>
      <c r="P237" s="67">
        <v>3638</v>
      </c>
      <c r="Q237" s="68"/>
      <c r="R237" s="69"/>
      <c r="S237" s="69"/>
      <c r="T237" s="69"/>
      <c r="U237" s="69"/>
      <c r="V237" s="69"/>
      <c r="W237" s="68"/>
      <c r="X237" s="70"/>
      <c r="Y237" s="70"/>
      <c r="Z237" s="70"/>
      <c r="AA237" s="70"/>
      <c r="AB237" s="70"/>
      <c r="AC237" s="68"/>
      <c r="AD237" s="71"/>
      <c r="AE237" s="71"/>
      <c r="AF237" s="71"/>
      <c r="AG237" s="71"/>
      <c r="AH237" s="71"/>
      <c r="AI237" s="68"/>
      <c r="AJ237" s="214">
        <v>1.2760000000000001E-4</v>
      </c>
      <c r="AK237" s="214">
        <v>1.7219</v>
      </c>
      <c r="AL237" s="214">
        <v>4</v>
      </c>
      <c r="AM237" s="214">
        <v>5.1420100000000005E-4</v>
      </c>
      <c r="AN237" s="68"/>
      <c r="AO237" s="67"/>
      <c r="AP237" s="67"/>
      <c r="AQ237" s="67"/>
      <c r="AR237" s="67"/>
      <c r="AS237" s="67"/>
      <c r="AT237" s="68"/>
      <c r="AU237" s="49"/>
      <c r="AV237" s="50"/>
    </row>
    <row r="238" spans="1:48" ht="12.75" customHeight="1" x14ac:dyDescent="0.25">
      <c r="A238" s="72" t="s">
        <v>23</v>
      </c>
      <c r="B238" s="43" t="s">
        <v>159</v>
      </c>
      <c r="C238" s="44" t="s">
        <v>388</v>
      </c>
      <c r="D238" s="45">
        <f>MROUND(MID($C238,6,3)/Basis!$E$3,0.5)</f>
        <v>15.5</v>
      </c>
      <c r="E238" s="45">
        <f>MROUND(MID($C238,9,3)/Basis!$E$3,0.5)</f>
        <v>71</v>
      </c>
      <c r="F238" s="124" t="s">
        <v>2943</v>
      </c>
      <c r="G238" s="45">
        <f>ROUND((ROUNDDOWN($F238/5,0)*5+1.8)/Basis!$E$3,1)</f>
        <v>4.5999999999999996</v>
      </c>
      <c r="H238" s="120">
        <f>ROUND($P238*Basis!$E$2*((TaH-TrH)/LN(1/µ)/Basis!$E$7)^$N238*$AA$4*Glycol,0)</f>
        <v>3733</v>
      </c>
      <c r="I238" s="83">
        <f>ROUND(H238/(MID($C238,9,3)/Basis!$E$3/Basis!$E$9)*Basis!$E$11,0)</f>
        <v>632</v>
      </c>
      <c r="J238" s="123">
        <f>IF(Basis!$E$1=1,ROUND(H238/((TaH-TrH)*1.163)/3600,3),ROUND(H238/(500*(TaH-TrH)),2))</f>
        <v>0.37</v>
      </c>
      <c r="K238" s="84"/>
      <c r="L238" s="177">
        <f>CHOOSE(Basis!$E$1,((AJ238*(J238*3600/Basis!$E$5)^AK238*(((MID(C238,9,3)*10)-144)/1000)*AL238+AM238*(J238*3600/Basis!$E$5)^2)*0.0098)/Basis!$E$10,((AJ238*(J238/Basis!$E$5)^AK238*(((MID(C238,9,3)*10)-144)/1000)*AL238+AM238*(J238/Basis!$E$5)^2)*0.0098)/Basis!$E$10)</f>
        <v>1.7846417802200337E-2</v>
      </c>
      <c r="M238" s="85"/>
      <c r="N238" s="109">
        <v>1.3939999999999999</v>
      </c>
      <c r="O238" s="68"/>
      <c r="P238" s="67">
        <v>1733</v>
      </c>
      <c r="Q238" s="68"/>
      <c r="R238" s="69"/>
      <c r="S238" s="69"/>
      <c r="T238" s="69"/>
      <c r="U238" s="69"/>
      <c r="V238" s="69"/>
      <c r="W238" s="68"/>
      <c r="X238" s="70"/>
      <c r="Y238" s="70"/>
      <c r="Z238" s="70"/>
      <c r="AA238" s="70"/>
      <c r="AB238" s="70"/>
      <c r="AC238" s="68"/>
      <c r="AD238" s="71"/>
      <c r="AE238" s="71"/>
      <c r="AF238" s="71"/>
      <c r="AG238" s="71"/>
      <c r="AH238" s="71"/>
      <c r="AI238" s="68"/>
      <c r="AJ238" s="214">
        <v>3.9689999999999994E-4</v>
      </c>
      <c r="AK238" s="214">
        <v>1.7345999999999999</v>
      </c>
      <c r="AL238" s="214">
        <v>2</v>
      </c>
      <c r="AM238" s="214">
        <v>3.6734700000000002E-4</v>
      </c>
      <c r="AN238" s="68"/>
      <c r="AO238" s="67"/>
      <c r="AP238" s="67"/>
      <c r="AQ238" s="67"/>
      <c r="AR238" s="67"/>
      <c r="AS238" s="67"/>
      <c r="AT238" s="68"/>
      <c r="AU238" s="49"/>
      <c r="AV238" s="50"/>
    </row>
    <row r="239" spans="1:48" ht="12.75" customHeight="1" x14ac:dyDescent="0.25">
      <c r="A239" s="72" t="s">
        <v>23</v>
      </c>
      <c r="B239" s="43" t="s">
        <v>159</v>
      </c>
      <c r="C239" s="44" t="s">
        <v>389</v>
      </c>
      <c r="D239" s="45">
        <f>MROUND(MID($C239,6,3)/Basis!$E$3,0.5)</f>
        <v>15.5</v>
      </c>
      <c r="E239" s="45">
        <f>MROUND(MID($C239,9,3)/Basis!$E$3,0.5)</f>
        <v>71</v>
      </c>
      <c r="F239" s="124" t="s">
        <v>2946</v>
      </c>
      <c r="G239" s="45">
        <f>ROUND((ROUNDDOWN($F239/5,0)*5+1.8)/Basis!$E$3,1)</f>
        <v>4.5999999999999996</v>
      </c>
      <c r="H239" s="120">
        <f>ROUND($P239*Basis!$E$2*((TaH-TrH)/LN(1/µ)/Basis!$E$7)^$N239*$AA$4*Glycol,0)</f>
        <v>4828</v>
      </c>
      <c r="I239" s="83">
        <f>ROUND(H239/(MID($C239,9,3)/Basis!$E$3/Basis!$E$9)*Basis!$E$11,0)</f>
        <v>818</v>
      </c>
      <c r="J239" s="123">
        <f>IF(Basis!$E$1=1,ROUND(H239/((TaH-TrH)*1.163)/3600,3),ROUND(H239/(500*(TaH-TrH)),2))</f>
        <v>0.48</v>
      </c>
      <c r="K239" s="84"/>
      <c r="L239" s="177">
        <f>CHOOSE(Basis!$E$1,((AJ239*(J239*3600/Basis!$E$5)^AK239*(((MID(C239,9,3)*10)-144)/1000)*AL239+AM239*(J239*3600/Basis!$E$5)^2)*0.0098)/Basis!$E$10,((AJ239*(J239/Basis!$E$5)^AK239*(((MID(C239,9,3)*10)-144)/1000)*AL239+AM239*(J239/Basis!$E$5)^2)*0.0098)/Basis!$E$10)</f>
        <v>5.1732905860125418E-2</v>
      </c>
      <c r="M239" s="85"/>
      <c r="N239" s="110">
        <v>1.4390000000000001</v>
      </c>
      <c r="O239" s="74"/>
      <c r="P239" s="73">
        <v>2275</v>
      </c>
      <c r="Q239" s="74"/>
      <c r="R239" s="75"/>
      <c r="S239" s="75"/>
      <c r="T239" s="75"/>
      <c r="U239" s="75"/>
      <c r="V239" s="75"/>
      <c r="W239" s="74"/>
      <c r="X239" s="76"/>
      <c r="Y239" s="76"/>
      <c r="Z239" s="76"/>
      <c r="AA239" s="76"/>
      <c r="AB239" s="76"/>
      <c r="AC239" s="74"/>
      <c r="AD239" s="77"/>
      <c r="AE239" s="77"/>
      <c r="AF239" s="77"/>
      <c r="AG239" s="77"/>
      <c r="AH239" s="77"/>
      <c r="AI239" s="68"/>
      <c r="AJ239" s="213">
        <v>3.9689999999999994E-4</v>
      </c>
      <c r="AK239" s="213">
        <v>1.7345999999999999</v>
      </c>
      <c r="AL239" s="213">
        <v>4</v>
      </c>
      <c r="AM239" s="213">
        <v>5.7428799999999995E-4</v>
      </c>
      <c r="AN239" s="74"/>
      <c r="AO239" s="73"/>
      <c r="AP239" s="73"/>
      <c r="AQ239" s="73"/>
      <c r="AR239" s="73"/>
      <c r="AS239" s="73"/>
      <c r="AT239" s="74"/>
      <c r="AU239" s="47"/>
      <c r="AV239" s="48"/>
    </row>
    <row r="240" spans="1:48" ht="12.75" customHeight="1" x14ac:dyDescent="0.25">
      <c r="A240" s="72" t="s">
        <v>23</v>
      </c>
      <c r="B240" s="43" t="s">
        <v>159</v>
      </c>
      <c r="C240" s="44" t="s">
        <v>390</v>
      </c>
      <c r="D240" s="45">
        <f>MROUND(MID($C240,6,3)/Basis!$E$3,0.5)</f>
        <v>15.5</v>
      </c>
      <c r="E240" s="45">
        <f>MROUND(MID($C240,9,3)/Basis!$E$3,0.5)</f>
        <v>71</v>
      </c>
      <c r="F240" s="124" t="s">
        <v>2944</v>
      </c>
      <c r="G240" s="45">
        <f>ROUND((ROUNDDOWN($F240/5,0)*5+1.8)/Basis!$E$3,1)</f>
        <v>6.6</v>
      </c>
      <c r="H240" s="120">
        <f>ROUND($P240*Basis!$E$2*((TaH-TrH)/LN(1/µ)/Basis!$E$7)^$N240*$AA$4*Glycol,0)</f>
        <v>6096</v>
      </c>
      <c r="I240" s="83">
        <f>ROUND(H240/(MID($C240,9,3)/Basis!$E$3/Basis!$E$9)*Basis!$E$11,0)</f>
        <v>1032</v>
      </c>
      <c r="J240" s="123">
        <f>IF(Basis!$E$1=1,ROUND(H240/((TaH-TrH)*1.163)/3600,3),ROUND(H240/(500*(TaH-TrH)),2))</f>
        <v>0.61</v>
      </c>
      <c r="K240" s="84"/>
      <c r="L240" s="177">
        <f>CHOOSE(Basis!$E$1,((AJ240*(J240*3600/Basis!$E$5)^AK240*(((MID(C240,9,3)*10)-144)/1000)*AL240+AM240*(J240*3600/Basis!$E$5)^2)*0.0098)/Basis!$E$10,((AJ240*(J240/Basis!$E$5)^AK240*(((MID(C240,9,3)*10)-144)/1000)*AL240+AM240*(J240/Basis!$E$5)^2)*0.0098)/Basis!$E$10)</f>
        <v>4.0087358546316731E-2</v>
      </c>
      <c r="M240" s="85"/>
      <c r="N240" s="110">
        <v>1.385</v>
      </c>
      <c r="O240" s="74"/>
      <c r="P240" s="73">
        <v>2822</v>
      </c>
      <c r="Q240" s="74"/>
      <c r="R240" s="75"/>
      <c r="S240" s="75"/>
      <c r="T240" s="75"/>
      <c r="U240" s="75"/>
      <c r="V240" s="75"/>
      <c r="W240" s="74"/>
      <c r="X240" s="76"/>
      <c r="Y240" s="76"/>
      <c r="Z240" s="76"/>
      <c r="AA240" s="76"/>
      <c r="AB240" s="76"/>
      <c r="AC240" s="74"/>
      <c r="AD240" s="77"/>
      <c r="AE240" s="77"/>
      <c r="AF240" s="77"/>
      <c r="AG240" s="77"/>
      <c r="AH240" s="77"/>
      <c r="AI240" s="68"/>
      <c r="AJ240" s="213">
        <v>2.0829999999999999E-4</v>
      </c>
      <c r="AK240" s="213">
        <v>1.724</v>
      </c>
      <c r="AL240" s="213">
        <v>2</v>
      </c>
      <c r="AM240" s="213">
        <v>4.6182900000000003E-4</v>
      </c>
      <c r="AN240" s="74"/>
      <c r="AO240" s="73"/>
      <c r="AP240" s="73"/>
      <c r="AQ240" s="73"/>
      <c r="AR240" s="73"/>
      <c r="AS240" s="73"/>
      <c r="AT240" s="74"/>
      <c r="AU240" s="47"/>
      <c r="AV240" s="48"/>
    </row>
    <row r="241" spans="1:48" ht="12.75" customHeight="1" x14ac:dyDescent="0.25">
      <c r="A241" s="72" t="s">
        <v>23</v>
      </c>
      <c r="B241" s="43" t="s">
        <v>159</v>
      </c>
      <c r="C241" s="44" t="s">
        <v>391</v>
      </c>
      <c r="D241" s="45">
        <f>MROUND(MID($C241,6,3)/Basis!$E$3,0.5)</f>
        <v>15.5</v>
      </c>
      <c r="E241" s="45">
        <f>MROUND(MID($C241,9,3)/Basis!$E$3,0.5)</f>
        <v>71</v>
      </c>
      <c r="F241" s="124" t="s">
        <v>2947</v>
      </c>
      <c r="G241" s="45">
        <f>ROUND((ROUNDDOWN($F241/5,0)*5+1.8)/Basis!$E$3,1)</f>
        <v>6.6</v>
      </c>
      <c r="H241" s="120">
        <f>ROUND($P241*Basis!$E$2*((TaH-TrH)/LN(1/µ)/Basis!$E$7)^$N241*$AA$4*Glycol,0)</f>
        <v>6449</v>
      </c>
      <c r="I241" s="83">
        <f>ROUND(H241/(MID($C241,9,3)/Basis!$E$3/Basis!$E$9)*Basis!$E$11,0)</f>
        <v>1092</v>
      </c>
      <c r="J241" s="123">
        <f>IF(Basis!$E$1=1,ROUND(H241/((TaH-TrH)*1.163)/3600,3),ROUND(H241/(500*(TaH-TrH)),2))</f>
        <v>0.64</v>
      </c>
      <c r="K241" s="84"/>
      <c r="L241" s="177">
        <f>CHOOSE(Basis!$E$1,((AJ241*(J241*3600/Basis!$E$5)^AK241*(((MID(C241,9,3)*10)-144)/1000)*AL241+AM241*(J241*3600/Basis!$E$5)^2)*0.0098)/Basis!$E$10,((AJ241*(J241/Basis!$E$5)^AK241*(((MID(C241,9,3)*10)-144)/1000)*AL241+AM241*(J241/Basis!$E$5)^2)*0.0098)/Basis!$E$10)</f>
        <v>0.12034439870252203</v>
      </c>
      <c r="M241" s="85"/>
      <c r="N241" s="109">
        <v>1.46</v>
      </c>
      <c r="O241" s="68"/>
      <c r="P241" s="67">
        <v>3060</v>
      </c>
      <c r="Q241" s="68"/>
      <c r="R241" s="69"/>
      <c r="S241" s="69"/>
      <c r="T241" s="69"/>
      <c r="U241" s="69"/>
      <c r="V241" s="69"/>
      <c r="W241" s="68"/>
      <c r="X241" s="70"/>
      <c r="Y241" s="70"/>
      <c r="Z241" s="70"/>
      <c r="AA241" s="70"/>
      <c r="AB241" s="70"/>
      <c r="AC241" s="68"/>
      <c r="AD241" s="71"/>
      <c r="AE241" s="71"/>
      <c r="AF241" s="71"/>
      <c r="AG241" s="71"/>
      <c r="AH241" s="71"/>
      <c r="AI241" s="68"/>
      <c r="AJ241" s="214">
        <v>2.0829999999999999E-4</v>
      </c>
      <c r="AK241" s="214">
        <v>1.724</v>
      </c>
      <c r="AL241" s="214">
        <v>4</v>
      </c>
      <c r="AM241" s="214">
        <v>1.392796E-3</v>
      </c>
      <c r="AN241" s="68"/>
      <c r="AO241" s="67"/>
      <c r="AP241" s="67"/>
      <c r="AQ241" s="67"/>
      <c r="AR241" s="67"/>
      <c r="AS241" s="67"/>
      <c r="AT241" s="68"/>
      <c r="AU241" s="49"/>
      <c r="AV241" s="50"/>
    </row>
    <row r="242" spans="1:48" ht="12.75" customHeight="1" x14ac:dyDescent="0.25">
      <c r="A242" s="72" t="s">
        <v>23</v>
      </c>
      <c r="B242" s="43" t="s">
        <v>159</v>
      </c>
      <c r="C242" s="44" t="s">
        <v>392</v>
      </c>
      <c r="D242" s="45">
        <f>MROUND(MID($C242,6,3)/Basis!$E$3,0.5)</f>
        <v>15.5</v>
      </c>
      <c r="E242" s="45">
        <f>MROUND(MID($C242,9,3)/Basis!$E$3,0.5)</f>
        <v>71</v>
      </c>
      <c r="F242" s="124" t="s">
        <v>2945</v>
      </c>
      <c r="G242" s="45">
        <f>ROUND((ROUNDDOWN($F242/5,0)*5+1.8)/Basis!$E$3,1)</f>
        <v>8.6</v>
      </c>
      <c r="H242" s="120">
        <f>ROUND($P242*Basis!$E$2*((TaH-TrH)/LN(1/µ)/Basis!$E$7)^$N242*$AA$4*Glycol,0)</f>
        <v>8542</v>
      </c>
      <c r="I242" s="83">
        <f>ROUND(H242/(MID($C242,9,3)/Basis!$E$3/Basis!$E$9)*Basis!$E$11,0)</f>
        <v>1446</v>
      </c>
      <c r="J242" s="123">
        <f>IF(Basis!$E$1=1,ROUND(H242/((TaH-TrH)*1.163)/3600,3),ROUND(H242/(500*(TaH-TrH)),2))</f>
        <v>0.85</v>
      </c>
      <c r="K242" s="84"/>
      <c r="L242" s="177">
        <f>CHOOSE(Basis!$E$1,((AJ242*(J242*3600/Basis!$E$5)^AK242*(((MID(C242,9,3)*10)-144)/1000)*AL242+AM242*(J242*3600/Basis!$E$5)^2)*0.0098)/Basis!$E$10,((AJ242*(J242/Basis!$E$5)^AK242*(((MID(C242,9,3)*10)-144)/1000)*AL242+AM242*(J242/Basis!$E$5)^2)*0.0098)/Basis!$E$10)</f>
        <v>5.7812499663101917E-2</v>
      </c>
      <c r="M242" s="85"/>
      <c r="N242" s="109">
        <v>1.3839999999999999</v>
      </c>
      <c r="O242" s="68"/>
      <c r="P242" s="67">
        <v>3953</v>
      </c>
      <c r="Q242" s="68"/>
      <c r="R242" s="69"/>
      <c r="S242" s="69"/>
      <c r="T242" s="69"/>
      <c r="U242" s="69"/>
      <c r="V242" s="69"/>
      <c r="W242" s="68"/>
      <c r="X242" s="70"/>
      <c r="Y242" s="70"/>
      <c r="Z242" s="70"/>
      <c r="AA242" s="70"/>
      <c r="AB242" s="70"/>
      <c r="AC242" s="68"/>
      <c r="AD242" s="71"/>
      <c r="AE242" s="71"/>
      <c r="AF242" s="71"/>
      <c r="AG242" s="71"/>
      <c r="AH242" s="71"/>
      <c r="AI242" s="68"/>
      <c r="AJ242" s="214">
        <v>1.2760000000000001E-4</v>
      </c>
      <c r="AK242" s="214">
        <v>1.7219</v>
      </c>
      <c r="AL242" s="214">
        <v>2</v>
      </c>
      <c r="AM242" s="214">
        <v>3.76611E-4</v>
      </c>
      <c r="AN242" s="68"/>
      <c r="AO242" s="67"/>
      <c r="AP242" s="67"/>
      <c r="AQ242" s="67"/>
      <c r="AR242" s="67"/>
      <c r="AS242" s="67"/>
      <c r="AT242" s="68"/>
      <c r="AU242" s="49"/>
      <c r="AV242" s="50"/>
    </row>
    <row r="243" spans="1:48" ht="12.75" customHeight="1" x14ac:dyDescent="0.25">
      <c r="A243" s="72" t="s">
        <v>23</v>
      </c>
      <c r="B243" s="43" t="s">
        <v>159</v>
      </c>
      <c r="C243" s="44" t="s">
        <v>393</v>
      </c>
      <c r="D243" s="45">
        <f>MROUND(MID($C243,6,3)/Basis!$E$3,0.5)</f>
        <v>15.5</v>
      </c>
      <c r="E243" s="45">
        <f>MROUND(MID($C243,9,3)/Basis!$E$3,0.5)</f>
        <v>71</v>
      </c>
      <c r="F243" s="124" t="s">
        <v>2948</v>
      </c>
      <c r="G243" s="45">
        <f>ROUND((ROUNDDOWN($F243/5,0)*5+1.8)/Basis!$E$3,1)</f>
        <v>8.6</v>
      </c>
      <c r="H243" s="120">
        <f>ROUND($P243*Basis!$E$2*((TaH-TrH)/LN(1/µ)/Basis!$E$7)^$N243*$AA$4*Glycol,0)</f>
        <v>8577</v>
      </c>
      <c r="I243" s="83">
        <f>ROUND(H243/(MID($C243,9,3)/Basis!$E$3/Basis!$E$9)*Basis!$E$11,0)</f>
        <v>1452</v>
      </c>
      <c r="J243" s="123">
        <f>IF(Basis!$E$1=1,ROUND(H243/((TaH-TrH)*1.163)/3600,3),ROUND(H243/(500*(TaH-TrH)),2))</f>
        <v>0.86</v>
      </c>
      <c r="K243" s="84"/>
      <c r="L243" s="177">
        <f>CHOOSE(Basis!$E$1,((AJ243*(J243*3600/Basis!$E$5)^AK243*(((MID(C243,9,3)*10)-144)/1000)*AL243+AM243*(J243*3600/Basis!$E$5)^2)*0.0098)/Basis!$E$10,((AJ243*(J243/Basis!$E$5)^AK243*(((MID(C243,9,3)*10)-144)/1000)*AL243+AM243*(J243/Basis!$E$5)^2)*0.0098)/Basis!$E$10)</f>
        <v>8.846488129200264E-2</v>
      </c>
      <c r="M243" s="85"/>
      <c r="N243" s="110">
        <v>1.4770000000000001</v>
      </c>
      <c r="O243" s="74"/>
      <c r="P243" s="73">
        <v>4093</v>
      </c>
      <c r="Q243" s="74"/>
      <c r="R243" s="75"/>
      <c r="S243" s="75"/>
      <c r="T243" s="75"/>
      <c r="U243" s="75"/>
      <c r="V243" s="75"/>
      <c r="W243" s="74"/>
      <c r="X243" s="76"/>
      <c r="Y243" s="76"/>
      <c r="Z243" s="76"/>
      <c r="AA243" s="76"/>
      <c r="AB243" s="76"/>
      <c r="AC243" s="74"/>
      <c r="AD243" s="77"/>
      <c r="AE243" s="77"/>
      <c r="AF243" s="77"/>
      <c r="AG243" s="77"/>
      <c r="AH243" s="77"/>
      <c r="AI243" s="68"/>
      <c r="AJ243" s="213">
        <v>1.2760000000000001E-4</v>
      </c>
      <c r="AK243" s="213">
        <v>1.7219</v>
      </c>
      <c r="AL243" s="213">
        <v>4</v>
      </c>
      <c r="AM243" s="213">
        <v>5.1420100000000005E-4</v>
      </c>
      <c r="AN243" s="74"/>
      <c r="AO243" s="73"/>
      <c r="AP243" s="73"/>
      <c r="AQ243" s="73"/>
      <c r="AR243" s="73"/>
      <c r="AS243" s="73"/>
      <c r="AT243" s="74"/>
      <c r="AU243" s="47"/>
      <c r="AV243" s="48"/>
    </row>
    <row r="244" spans="1:48" ht="12.75" customHeight="1" x14ac:dyDescent="0.25">
      <c r="A244" s="72" t="s">
        <v>23</v>
      </c>
      <c r="B244" s="43" t="s">
        <v>159</v>
      </c>
      <c r="C244" s="44" t="s">
        <v>394</v>
      </c>
      <c r="D244" s="45">
        <f>MROUND(MID($C244,6,3)/Basis!$E$3,0.5)</f>
        <v>15.5</v>
      </c>
      <c r="E244" s="45">
        <f>MROUND(MID($C244,9,3)/Basis!$E$3,0.5)</f>
        <v>78.5</v>
      </c>
      <c r="F244" s="124" t="s">
        <v>2943</v>
      </c>
      <c r="G244" s="45">
        <f>ROUND((ROUNDDOWN($F244/5,0)*5+1.8)/Basis!$E$3,1)</f>
        <v>4.5999999999999996</v>
      </c>
      <c r="H244" s="120">
        <f>ROUND($P244*Basis!$E$2*((TaH-TrH)/LN(1/µ)/Basis!$E$7)^$N244*$AA$4*Glycol,0)</f>
        <v>4148</v>
      </c>
      <c r="I244" s="83">
        <f>ROUND(H244/(MID($C244,9,3)/Basis!$E$3/Basis!$E$9)*Basis!$E$11,0)</f>
        <v>632</v>
      </c>
      <c r="J244" s="123">
        <f>IF(Basis!$E$1=1,ROUND(H244/((TaH-TrH)*1.163)/3600,3),ROUND(H244/(500*(TaH-TrH)),2))</f>
        <v>0.41</v>
      </c>
      <c r="K244" s="84"/>
      <c r="L244" s="177">
        <f>CHOOSE(Basis!$E$1,((AJ244*(J244*3600/Basis!$E$5)^AK244*(((MID(C244,9,3)*10)-144)/1000)*AL244+AM244*(J244*3600/Basis!$E$5)^2)*0.0098)/Basis!$E$10,((AJ244*(J244/Basis!$E$5)^AK244*(((MID(C244,9,3)*10)-144)/1000)*AL244+AM244*(J244/Basis!$E$5)^2)*0.0098)/Basis!$E$10)</f>
        <v>2.2955989870610902E-2</v>
      </c>
      <c r="M244" s="85"/>
      <c r="N244" s="110">
        <v>1.3939999999999999</v>
      </c>
      <c r="O244" s="74"/>
      <c r="P244" s="73">
        <v>1926</v>
      </c>
      <c r="Q244" s="74"/>
      <c r="R244" s="75"/>
      <c r="S244" s="75"/>
      <c r="T244" s="75"/>
      <c r="U244" s="75"/>
      <c r="V244" s="75"/>
      <c r="W244" s="74"/>
      <c r="X244" s="76"/>
      <c r="Y244" s="76"/>
      <c r="Z244" s="76"/>
      <c r="AA244" s="76"/>
      <c r="AB244" s="76"/>
      <c r="AC244" s="74"/>
      <c r="AD244" s="77"/>
      <c r="AE244" s="77"/>
      <c r="AF244" s="77"/>
      <c r="AG244" s="77"/>
      <c r="AH244" s="77"/>
      <c r="AI244" s="68"/>
      <c r="AJ244" s="213">
        <v>3.9689999999999994E-4</v>
      </c>
      <c r="AK244" s="213">
        <v>1.7345999999999999</v>
      </c>
      <c r="AL244" s="213">
        <v>2</v>
      </c>
      <c r="AM244" s="213">
        <v>3.6734700000000002E-4</v>
      </c>
      <c r="AN244" s="74"/>
      <c r="AO244" s="73"/>
      <c r="AP244" s="73"/>
      <c r="AQ244" s="73"/>
      <c r="AR244" s="73"/>
      <c r="AS244" s="73"/>
      <c r="AT244" s="74"/>
      <c r="AU244" s="47"/>
      <c r="AV244" s="48"/>
    </row>
    <row r="245" spans="1:48" ht="12.75" customHeight="1" x14ac:dyDescent="0.25">
      <c r="A245" s="72" t="s">
        <v>23</v>
      </c>
      <c r="B245" s="43" t="s">
        <v>159</v>
      </c>
      <c r="C245" s="44" t="s">
        <v>395</v>
      </c>
      <c r="D245" s="45">
        <f>MROUND(MID($C245,6,3)/Basis!$E$3,0.5)</f>
        <v>15.5</v>
      </c>
      <c r="E245" s="45">
        <f>MROUND(MID($C245,9,3)/Basis!$E$3,0.5)</f>
        <v>78.5</v>
      </c>
      <c r="F245" s="124" t="s">
        <v>2946</v>
      </c>
      <c r="G245" s="45">
        <f>ROUND((ROUNDDOWN($F245/5,0)*5+1.8)/Basis!$E$3,1)</f>
        <v>4.5999999999999996</v>
      </c>
      <c r="H245" s="120">
        <f>ROUND($P245*Basis!$E$2*((TaH-TrH)/LN(1/µ)/Basis!$E$7)^$N245*$AA$4*Glycol,0)</f>
        <v>5365</v>
      </c>
      <c r="I245" s="83">
        <f>ROUND(H245/(MID($C245,9,3)/Basis!$E$3/Basis!$E$9)*Basis!$E$11,0)</f>
        <v>818</v>
      </c>
      <c r="J245" s="123">
        <f>IF(Basis!$E$1=1,ROUND(H245/((TaH-TrH)*1.163)/3600,3),ROUND(H245/(500*(TaH-TrH)),2))</f>
        <v>0.54</v>
      </c>
      <c r="K245" s="84"/>
      <c r="L245" s="177">
        <f>CHOOSE(Basis!$E$1,((AJ245*(J245*3600/Basis!$E$5)^AK245*(((MID(C245,9,3)*10)-144)/1000)*AL245+AM245*(J245*3600/Basis!$E$5)^2)*0.0098)/Basis!$E$10,((AJ245*(J245/Basis!$E$5)^AK245*(((MID(C245,9,3)*10)-144)/1000)*AL245+AM245*(J245/Basis!$E$5)^2)*0.0098)/Basis!$E$10)</f>
        <v>6.8686537960003527E-2</v>
      </c>
      <c r="M245" s="85"/>
      <c r="N245" s="109">
        <v>1.4390000000000001</v>
      </c>
      <c r="O245" s="68"/>
      <c r="P245" s="67">
        <v>2528</v>
      </c>
      <c r="Q245" s="68"/>
      <c r="R245" s="69"/>
      <c r="S245" s="69"/>
      <c r="T245" s="69"/>
      <c r="U245" s="69"/>
      <c r="V245" s="69"/>
      <c r="W245" s="68"/>
      <c r="X245" s="70"/>
      <c r="Y245" s="70"/>
      <c r="Z245" s="70"/>
      <c r="AA245" s="70"/>
      <c r="AB245" s="70"/>
      <c r="AC245" s="68"/>
      <c r="AD245" s="71"/>
      <c r="AE245" s="71"/>
      <c r="AF245" s="71"/>
      <c r="AG245" s="71"/>
      <c r="AH245" s="71"/>
      <c r="AI245" s="68"/>
      <c r="AJ245" s="214">
        <v>3.9689999999999994E-4</v>
      </c>
      <c r="AK245" s="214">
        <v>1.7345999999999999</v>
      </c>
      <c r="AL245" s="214">
        <v>4</v>
      </c>
      <c r="AM245" s="214">
        <v>5.7428799999999995E-4</v>
      </c>
      <c r="AN245" s="68"/>
      <c r="AO245" s="67"/>
      <c r="AP245" s="67"/>
      <c r="AQ245" s="67"/>
      <c r="AR245" s="67"/>
      <c r="AS245" s="67"/>
      <c r="AT245" s="68"/>
      <c r="AU245" s="49"/>
      <c r="AV245" s="50"/>
    </row>
    <row r="246" spans="1:48" ht="12.75" customHeight="1" x14ac:dyDescent="0.25">
      <c r="A246" s="72" t="s">
        <v>23</v>
      </c>
      <c r="B246" s="43" t="s">
        <v>159</v>
      </c>
      <c r="C246" s="44" t="s">
        <v>396</v>
      </c>
      <c r="D246" s="45">
        <f>MROUND(MID($C246,6,3)/Basis!$E$3,0.5)</f>
        <v>15.5</v>
      </c>
      <c r="E246" s="45">
        <f>MROUND(MID($C246,9,3)/Basis!$E$3,0.5)</f>
        <v>78.5</v>
      </c>
      <c r="F246" s="124" t="s">
        <v>2944</v>
      </c>
      <c r="G246" s="45">
        <f>ROUND((ROUNDDOWN($F246/5,0)*5+1.8)/Basis!$E$3,1)</f>
        <v>6.6</v>
      </c>
      <c r="H246" s="120">
        <f>ROUND($P246*Basis!$E$2*((TaH-TrH)/LN(1/µ)/Basis!$E$7)^$N246*$AA$4*Glycol,0)</f>
        <v>6775</v>
      </c>
      <c r="I246" s="83">
        <f>ROUND(H246/(MID($C246,9,3)/Basis!$E$3/Basis!$E$9)*Basis!$E$11,0)</f>
        <v>1033</v>
      </c>
      <c r="J246" s="123">
        <f>IF(Basis!$E$1=1,ROUND(H246/((TaH-TrH)*1.163)/3600,3),ROUND(H246/(500*(TaH-TrH)),2))</f>
        <v>0.68</v>
      </c>
      <c r="K246" s="84"/>
      <c r="L246" s="177">
        <f>CHOOSE(Basis!$E$1,((AJ246*(J246*3600/Basis!$E$5)^AK246*(((MID(C246,9,3)*10)-144)/1000)*AL246+AM246*(J246*3600/Basis!$E$5)^2)*0.0098)/Basis!$E$10,((AJ246*(J246/Basis!$E$5)^AK246*(((MID(C246,9,3)*10)-144)/1000)*AL246+AM246*(J246/Basis!$E$5)^2)*0.0098)/Basis!$E$10)</f>
        <v>5.1025105548111897E-2</v>
      </c>
      <c r="M246" s="85"/>
      <c r="N246" s="109">
        <v>1.385</v>
      </c>
      <c r="O246" s="68"/>
      <c r="P246" s="67">
        <v>3136</v>
      </c>
      <c r="Q246" s="68"/>
      <c r="R246" s="69"/>
      <c r="S246" s="69"/>
      <c r="T246" s="69"/>
      <c r="U246" s="69"/>
      <c r="V246" s="69"/>
      <c r="W246" s="68"/>
      <c r="X246" s="70"/>
      <c r="Y246" s="70"/>
      <c r="Z246" s="70"/>
      <c r="AA246" s="70"/>
      <c r="AB246" s="70"/>
      <c r="AC246" s="68"/>
      <c r="AD246" s="71"/>
      <c r="AE246" s="71"/>
      <c r="AF246" s="71"/>
      <c r="AG246" s="71"/>
      <c r="AH246" s="71"/>
      <c r="AI246" s="68"/>
      <c r="AJ246" s="214">
        <v>2.0829999999999999E-4</v>
      </c>
      <c r="AK246" s="214">
        <v>1.724</v>
      </c>
      <c r="AL246" s="214">
        <v>2</v>
      </c>
      <c r="AM246" s="214">
        <v>4.6182900000000003E-4</v>
      </c>
      <c r="AN246" s="68"/>
      <c r="AO246" s="67"/>
      <c r="AP246" s="67"/>
      <c r="AQ246" s="67"/>
      <c r="AR246" s="67"/>
      <c r="AS246" s="67"/>
      <c r="AT246" s="68"/>
      <c r="AU246" s="49"/>
      <c r="AV246" s="50"/>
    </row>
    <row r="247" spans="1:48" ht="12.75" customHeight="1" x14ac:dyDescent="0.25">
      <c r="A247" s="72" t="s">
        <v>23</v>
      </c>
      <c r="B247" s="43" t="s">
        <v>159</v>
      </c>
      <c r="C247" s="44" t="s">
        <v>397</v>
      </c>
      <c r="D247" s="45">
        <f>MROUND(MID($C247,6,3)/Basis!$E$3,0.5)</f>
        <v>15.5</v>
      </c>
      <c r="E247" s="45">
        <f>MROUND(MID($C247,9,3)/Basis!$E$3,0.5)</f>
        <v>78.5</v>
      </c>
      <c r="F247" s="124" t="s">
        <v>2947</v>
      </c>
      <c r="G247" s="45">
        <f>ROUND((ROUNDDOWN($F247/5,0)*5+1.8)/Basis!$E$3,1)</f>
        <v>6.6</v>
      </c>
      <c r="H247" s="120">
        <f>ROUND($P247*Basis!$E$2*((TaH-TrH)/LN(1/µ)/Basis!$E$7)^$N247*$AA$4*Glycol,0)</f>
        <v>7165</v>
      </c>
      <c r="I247" s="83">
        <f>ROUND(H247/(MID($C247,9,3)/Basis!$E$3/Basis!$E$9)*Basis!$E$11,0)</f>
        <v>1092</v>
      </c>
      <c r="J247" s="123">
        <f>IF(Basis!$E$1=1,ROUND(H247/((TaH-TrH)*1.163)/3600,3),ROUND(H247/(500*(TaH-TrH)),2))</f>
        <v>0.72</v>
      </c>
      <c r="K247" s="84"/>
      <c r="L247" s="177">
        <f>CHOOSE(Basis!$E$1,((AJ247*(J247*3600/Basis!$E$5)^AK247*(((MID(C247,9,3)*10)-144)/1000)*AL247+AM247*(J247*3600/Basis!$E$5)^2)*0.0098)/Basis!$E$10,((AJ247*(J247/Basis!$E$5)^AK247*(((MID(C247,9,3)*10)-144)/1000)*AL247+AM247*(J247/Basis!$E$5)^2)*0.0098)/Basis!$E$10)</f>
        <v>0.15490335621894971</v>
      </c>
      <c r="M247" s="85"/>
      <c r="N247" s="110">
        <v>1.46</v>
      </c>
      <c r="O247" s="74"/>
      <c r="P247" s="73">
        <v>3400</v>
      </c>
      <c r="Q247" s="74"/>
      <c r="R247" s="75"/>
      <c r="S247" s="75"/>
      <c r="T247" s="75"/>
      <c r="U247" s="75"/>
      <c r="V247" s="75"/>
      <c r="W247" s="74"/>
      <c r="X247" s="76"/>
      <c r="Y247" s="76"/>
      <c r="Z247" s="76"/>
      <c r="AA247" s="76"/>
      <c r="AB247" s="76"/>
      <c r="AC247" s="74"/>
      <c r="AD247" s="77"/>
      <c r="AE247" s="77"/>
      <c r="AF247" s="77"/>
      <c r="AG247" s="77"/>
      <c r="AH247" s="77"/>
      <c r="AI247" s="68"/>
      <c r="AJ247" s="213">
        <v>2.0829999999999999E-4</v>
      </c>
      <c r="AK247" s="213">
        <v>1.724</v>
      </c>
      <c r="AL247" s="213">
        <v>4</v>
      </c>
      <c r="AM247" s="213">
        <v>1.392796E-3</v>
      </c>
      <c r="AN247" s="74"/>
      <c r="AO247" s="73"/>
      <c r="AP247" s="73"/>
      <c r="AQ247" s="73"/>
      <c r="AR247" s="73"/>
      <c r="AS247" s="73"/>
      <c r="AT247" s="74"/>
      <c r="AU247" s="47"/>
      <c r="AV247" s="48"/>
    </row>
    <row r="248" spans="1:48" ht="12.75" customHeight="1" x14ac:dyDescent="0.25">
      <c r="A248" s="72" t="s">
        <v>23</v>
      </c>
      <c r="B248" s="43" t="s">
        <v>159</v>
      </c>
      <c r="C248" s="44" t="s">
        <v>398</v>
      </c>
      <c r="D248" s="45">
        <f>MROUND(MID($C248,6,3)/Basis!$E$3,0.5)</f>
        <v>15.5</v>
      </c>
      <c r="E248" s="45">
        <f>MROUND(MID($C248,9,3)/Basis!$E$3,0.5)</f>
        <v>78.5</v>
      </c>
      <c r="F248" s="124" t="s">
        <v>2945</v>
      </c>
      <c r="G248" s="45">
        <f>ROUND((ROUNDDOWN($F248/5,0)*5+1.8)/Basis!$E$3,1)</f>
        <v>8.6</v>
      </c>
      <c r="H248" s="120">
        <f>ROUND($P248*Basis!$E$2*((TaH-TrH)/LN(1/µ)/Basis!$E$7)^$N248*$AA$4*Glycol,0)</f>
        <v>9491</v>
      </c>
      <c r="I248" s="83">
        <f>ROUND(H248/(MID($C248,9,3)/Basis!$E$3/Basis!$E$9)*Basis!$E$11,0)</f>
        <v>1446</v>
      </c>
      <c r="J248" s="123">
        <f>IF(Basis!$E$1=1,ROUND(H248/((TaH-TrH)*1.163)/3600,3),ROUND(H248/(500*(TaH-TrH)),2))</f>
        <v>0.95</v>
      </c>
      <c r="K248" s="84"/>
      <c r="L248" s="177">
        <f>CHOOSE(Basis!$E$1,((AJ248*(J248*3600/Basis!$E$5)^AK248*(((MID(C248,9,3)*10)-144)/1000)*AL248+AM248*(J248*3600/Basis!$E$5)^2)*0.0098)/Basis!$E$10,((AJ248*(J248/Basis!$E$5)^AK248*(((MID(C248,9,3)*10)-144)/1000)*AL248+AM248*(J248/Basis!$E$5)^2)*0.0098)/Basis!$E$10)</f>
        <v>7.350528765824435E-2</v>
      </c>
      <c r="M248" s="85"/>
      <c r="N248" s="110">
        <v>1.3839999999999999</v>
      </c>
      <c r="O248" s="74"/>
      <c r="P248" s="73">
        <v>4392</v>
      </c>
      <c r="Q248" s="74"/>
      <c r="R248" s="75"/>
      <c r="S248" s="75"/>
      <c r="T248" s="75"/>
      <c r="U248" s="75"/>
      <c r="V248" s="75"/>
      <c r="W248" s="74"/>
      <c r="X248" s="76"/>
      <c r="Y248" s="76"/>
      <c r="Z248" s="76"/>
      <c r="AA248" s="76"/>
      <c r="AB248" s="76"/>
      <c r="AC248" s="74"/>
      <c r="AD248" s="77"/>
      <c r="AE248" s="77"/>
      <c r="AF248" s="77"/>
      <c r="AG248" s="77"/>
      <c r="AH248" s="77"/>
      <c r="AI248" s="68"/>
      <c r="AJ248" s="213">
        <v>1.2760000000000001E-4</v>
      </c>
      <c r="AK248" s="213">
        <v>1.7219</v>
      </c>
      <c r="AL248" s="213">
        <v>2</v>
      </c>
      <c r="AM248" s="213">
        <v>3.76611E-4</v>
      </c>
      <c r="AN248" s="74"/>
      <c r="AO248" s="73"/>
      <c r="AP248" s="73"/>
      <c r="AQ248" s="73"/>
      <c r="AR248" s="73"/>
      <c r="AS248" s="73"/>
      <c r="AT248" s="74"/>
      <c r="AU248" s="47"/>
      <c r="AV248" s="48"/>
    </row>
    <row r="249" spans="1:48" ht="12.75" customHeight="1" x14ac:dyDescent="0.25">
      <c r="A249" s="72" t="s">
        <v>23</v>
      </c>
      <c r="B249" s="43" t="s">
        <v>159</v>
      </c>
      <c r="C249" s="44" t="s">
        <v>399</v>
      </c>
      <c r="D249" s="45">
        <f>MROUND(MID($C249,6,3)/Basis!$E$3,0.5)</f>
        <v>15.5</v>
      </c>
      <c r="E249" s="45">
        <f>MROUND(MID($C249,9,3)/Basis!$E$3,0.5)</f>
        <v>78.5</v>
      </c>
      <c r="F249" s="124" t="s">
        <v>2948</v>
      </c>
      <c r="G249" s="45">
        <f>ROUND((ROUNDDOWN($F249/5,0)*5+1.8)/Basis!$E$3,1)</f>
        <v>8.6</v>
      </c>
      <c r="H249" s="120">
        <f>ROUND($P249*Basis!$E$2*((TaH-TrH)/LN(1/µ)/Basis!$E$7)^$N249*$AA$4*Glycol,0)</f>
        <v>9531</v>
      </c>
      <c r="I249" s="83">
        <f>ROUND(H249/(MID($C249,9,3)/Basis!$E$3/Basis!$E$9)*Basis!$E$11,0)</f>
        <v>1453</v>
      </c>
      <c r="J249" s="123">
        <f>IF(Basis!$E$1=1,ROUND(H249/((TaH-TrH)*1.163)/3600,3),ROUND(H249/(500*(TaH-TrH)),2))</f>
        <v>0.95</v>
      </c>
      <c r="K249" s="84"/>
      <c r="L249" s="177">
        <f>CHOOSE(Basis!$E$1,((AJ249*(J249*3600/Basis!$E$5)^AK249*(((MID(C249,9,3)*10)-144)/1000)*AL249+AM249*(J249*3600/Basis!$E$5)^2)*0.0098)/Basis!$E$10,((AJ249*(J249/Basis!$E$5)^AK249*(((MID(C249,9,3)*10)-144)/1000)*AL249+AM249*(J249/Basis!$E$5)^2)*0.0098)/Basis!$E$10)</f>
        <v>0.11062567183400288</v>
      </c>
      <c r="M249" s="85"/>
      <c r="N249" s="109">
        <v>1.4770000000000001</v>
      </c>
      <c r="O249" s="68"/>
      <c r="P249" s="67">
        <v>4548</v>
      </c>
      <c r="Q249" s="68"/>
      <c r="R249" s="69"/>
      <c r="S249" s="69"/>
      <c r="T249" s="69"/>
      <c r="U249" s="69"/>
      <c r="V249" s="69"/>
      <c r="W249" s="68"/>
      <c r="X249" s="70"/>
      <c r="Y249" s="70"/>
      <c r="Z249" s="70"/>
      <c r="AA249" s="70"/>
      <c r="AB249" s="70"/>
      <c r="AC249" s="68"/>
      <c r="AD249" s="71"/>
      <c r="AE249" s="71"/>
      <c r="AF249" s="71"/>
      <c r="AG249" s="71"/>
      <c r="AH249" s="71"/>
      <c r="AI249" s="68"/>
      <c r="AJ249" s="214">
        <v>1.2760000000000001E-4</v>
      </c>
      <c r="AK249" s="214">
        <v>1.7219</v>
      </c>
      <c r="AL249" s="214">
        <v>4</v>
      </c>
      <c r="AM249" s="214">
        <v>5.1420100000000005E-4</v>
      </c>
      <c r="AN249" s="68"/>
      <c r="AO249" s="67"/>
      <c r="AP249" s="67"/>
      <c r="AQ249" s="67"/>
      <c r="AR249" s="67"/>
      <c r="AS249" s="67"/>
      <c r="AT249" s="68"/>
      <c r="AU249" s="49"/>
      <c r="AV249" s="50"/>
    </row>
    <row r="250" spans="1:48" ht="12.75" customHeight="1" x14ac:dyDescent="0.25">
      <c r="A250" s="72" t="s">
        <v>23</v>
      </c>
      <c r="B250" s="43" t="s">
        <v>159</v>
      </c>
      <c r="C250" s="44" t="s">
        <v>400</v>
      </c>
      <c r="D250" s="45">
        <f>MROUND(MID($C250,6,3)/Basis!$E$3,0.5)</f>
        <v>15.5</v>
      </c>
      <c r="E250" s="45">
        <f>MROUND(MID($C250,9,3)/Basis!$E$3,0.5)</f>
        <v>86.5</v>
      </c>
      <c r="F250" s="124" t="s">
        <v>2943</v>
      </c>
      <c r="G250" s="45">
        <f>ROUND((ROUNDDOWN($F250/5,0)*5+1.8)/Basis!$E$3,1)</f>
        <v>4.5999999999999996</v>
      </c>
      <c r="H250" s="120">
        <f>ROUND($P250*Basis!$E$2*((TaH-TrH)/LN(1/µ)/Basis!$E$7)^$N250*$AA$4*Glycol,0)</f>
        <v>4564</v>
      </c>
      <c r="I250" s="83">
        <f>ROUND(H250/(MID($C250,9,3)/Basis!$E$3/Basis!$E$9)*Basis!$E$11,0)</f>
        <v>632</v>
      </c>
      <c r="J250" s="123">
        <f>IF(Basis!$E$1=1,ROUND(H250/((TaH-TrH)*1.163)/3600,3),ROUND(H250/(500*(TaH-TrH)),2))</f>
        <v>0.46</v>
      </c>
      <c r="K250" s="84"/>
      <c r="L250" s="177">
        <f>CHOOSE(Basis!$E$1,((AJ250*(J250*3600/Basis!$E$5)^AK250*(((MID(C250,9,3)*10)-144)/1000)*AL250+AM250*(J250*3600/Basis!$E$5)^2)*0.0098)/Basis!$E$10,((AJ250*(J250/Basis!$E$5)^AK250*(((MID(C250,9,3)*10)-144)/1000)*AL250+AM250*(J250/Basis!$E$5)^2)*0.0098)/Basis!$E$10)</f>
        <v>3.007148991611484E-2</v>
      </c>
      <c r="M250" s="85"/>
      <c r="N250" s="109">
        <v>1.3939999999999999</v>
      </c>
      <c r="O250" s="68"/>
      <c r="P250" s="67">
        <v>2119</v>
      </c>
      <c r="Q250" s="68"/>
      <c r="R250" s="69"/>
      <c r="S250" s="69"/>
      <c r="T250" s="69"/>
      <c r="U250" s="69"/>
      <c r="V250" s="69"/>
      <c r="W250" s="68"/>
      <c r="X250" s="70"/>
      <c r="Y250" s="70"/>
      <c r="Z250" s="70"/>
      <c r="AA250" s="70"/>
      <c r="AB250" s="70"/>
      <c r="AC250" s="68"/>
      <c r="AD250" s="71"/>
      <c r="AE250" s="71"/>
      <c r="AF250" s="71"/>
      <c r="AG250" s="71"/>
      <c r="AH250" s="71"/>
      <c r="AI250" s="68"/>
      <c r="AJ250" s="214">
        <v>3.9689999999999994E-4</v>
      </c>
      <c r="AK250" s="214">
        <v>1.7345999999999999</v>
      </c>
      <c r="AL250" s="214">
        <v>2</v>
      </c>
      <c r="AM250" s="214">
        <v>3.6734700000000002E-4</v>
      </c>
      <c r="AN250" s="68"/>
      <c r="AO250" s="67"/>
      <c r="AP250" s="67"/>
      <c r="AQ250" s="67"/>
      <c r="AR250" s="67"/>
      <c r="AS250" s="67"/>
      <c r="AT250" s="68"/>
      <c r="AU250" s="49"/>
      <c r="AV250" s="50"/>
    </row>
    <row r="251" spans="1:48" ht="12.75" customHeight="1" x14ac:dyDescent="0.25">
      <c r="A251" s="72" t="s">
        <v>23</v>
      </c>
      <c r="B251" s="43" t="s">
        <v>159</v>
      </c>
      <c r="C251" s="44" t="s">
        <v>401</v>
      </c>
      <c r="D251" s="45">
        <f>MROUND(MID($C251,6,3)/Basis!$E$3,0.5)</f>
        <v>15.5</v>
      </c>
      <c r="E251" s="45">
        <f>MROUND(MID($C251,9,3)/Basis!$E$3,0.5)</f>
        <v>86.5</v>
      </c>
      <c r="F251" s="124" t="s">
        <v>2946</v>
      </c>
      <c r="G251" s="45">
        <f>ROUND((ROUNDDOWN($F251/5,0)*5+1.8)/Basis!$E$3,1)</f>
        <v>4.5999999999999996</v>
      </c>
      <c r="H251" s="120">
        <f>ROUND($P251*Basis!$E$2*((TaH-TrH)/LN(1/µ)/Basis!$E$7)^$N251*$AA$4*Glycol,0)</f>
        <v>5902</v>
      </c>
      <c r="I251" s="83">
        <f>ROUND(H251/(MID($C251,9,3)/Basis!$E$3/Basis!$E$9)*Basis!$E$11,0)</f>
        <v>818</v>
      </c>
      <c r="J251" s="123">
        <f>IF(Basis!$E$1=1,ROUND(H251/((TaH-TrH)*1.163)/3600,3),ROUND(H251/(500*(TaH-TrH)),2))</f>
        <v>0.59</v>
      </c>
      <c r="K251" s="84"/>
      <c r="L251" s="177">
        <f>CHOOSE(Basis!$E$1,((AJ251*(J251*3600/Basis!$E$5)^AK251*(((MID(C251,9,3)*10)-144)/1000)*AL251+AM251*(J251*3600/Basis!$E$5)^2)*0.0098)/Basis!$E$10,((AJ251*(J251/Basis!$E$5)^AK251*(((MID(C251,9,3)*10)-144)/1000)*AL251+AM251*(J251/Basis!$E$5)^2)*0.0098)/Basis!$E$10)</f>
        <v>8.5955136188962222E-2</v>
      </c>
      <c r="M251" s="85"/>
      <c r="N251" s="110">
        <v>1.4390000000000001</v>
      </c>
      <c r="O251" s="74"/>
      <c r="P251" s="73">
        <v>2781</v>
      </c>
      <c r="Q251" s="74"/>
      <c r="R251" s="75"/>
      <c r="S251" s="75"/>
      <c r="T251" s="75"/>
      <c r="U251" s="75"/>
      <c r="V251" s="75"/>
      <c r="W251" s="74"/>
      <c r="X251" s="76"/>
      <c r="Y251" s="76"/>
      <c r="Z251" s="76"/>
      <c r="AA251" s="76"/>
      <c r="AB251" s="76"/>
      <c r="AC251" s="74"/>
      <c r="AD251" s="77"/>
      <c r="AE251" s="77"/>
      <c r="AF251" s="77"/>
      <c r="AG251" s="77"/>
      <c r="AH251" s="77"/>
      <c r="AI251" s="68"/>
      <c r="AJ251" s="213">
        <v>3.9689999999999994E-4</v>
      </c>
      <c r="AK251" s="213">
        <v>1.7345999999999999</v>
      </c>
      <c r="AL251" s="213">
        <v>4</v>
      </c>
      <c r="AM251" s="213">
        <v>5.7428799999999995E-4</v>
      </c>
      <c r="AN251" s="74"/>
      <c r="AO251" s="73"/>
      <c r="AP251" s="73"/>
      <c r="AQ251" s="73"/>
      <c r="AR251" s="73"/>
      <c r="AS251" s="73"/>
      <c r="AT251" s="74"/>
      <c r="AU251" s="47"/>
      <c r="AV251" s="48"/>
    </row>
    <row r="252" spans="1:48" ht="12.75" customHeight="1" x14ac:dyDescent="0.25">
      <c r="A252" s="72" t="s">
        <v>23</v>
      </c>
      <c r="B252" s="43" t="s">
        <v>159</v>
      </c>
      <c r="C252" s="44" t="s">
        <v>402</v>
      </c>
      <c r="D252" s="45">
        <f>MROUND(MID($C252,6,3)/Basis!$E$3,0.5)</f>
        <v>15.5</v>
      </c>
      <c r="E252" s="45">
        <f>MROUND(MID($C252,9,3)/Basis!$E$3,0.5)</f>
        <v>86.5</v>
      </c>
      <c r="F252" s="124" t="s">
        <v>2944</v>
      </c>
      <c r="G252" s="45">
        <f>ROUND((ROUNDDOWN($F252/5,0)*5+1.8)/Basis!$E$3,1)</f>
        <v>6.6</v>
      </c>
      <c r="H252" s="120">
        <f>ROUND($P252*Basis!$E$2*((TaH-TrH)/LN(1/µ)/Basis!$E$7)^$N252*$AA$4*Glycol,0)</f>
        <v>7453</v>
      </c>
      <c r="I252" s="83">
        <f>ROUND(H252/(MID($C252,9,3)/Basis!$E$3/Basis!$E$9)*Basis!$E$11,0)</f>
        <v>1033</v>
      </c>
      <c r="J252" s="123">
        <f>IF(Basis!$E$1=1,ROUND(H252/((TaH-TrH)*1.163)/3600,3),ROUND(H252/(500*(TaH-TrH)),2))</f>
        <v>0.75</v>
      </c>
      <c r="K252" s="84"/>
      <c r="L252" s="177">
        <f>CHOOSE(Basis!$E$1,((AJ252*(J252*3600/Basis!$E$5)^AK252*(((MID(C252,9,3)*10)-144)/1000)*AL252+AM252*(J252*3600/Basis!$E$5)^2)*0.0098)/Basis!$E$10,((AJ252*(J252/Basis!$E$5)^AK252*(((MID(C252,9,3)*10)-144)/1000)*AL252+AM252*(J252/Basis!$E$5)^2)*0.0098)/Basis!$E$10)</f>
        <v>6.3498512175952149E-2</v>
      </c>
      <c r="M252" s="85"/>
      <c r="N252" s="110">
        <v>1.385</v>
      </c>
      <c r="O252" s="74"/>
      <c r="P252" s="73">
        <v>3450</v>
      </c>
      <c r="Q252" s="74"/>
      <c r="R252" s="75"/>
      <c r="S252" s="75"/>
      <c r="T252" s="75"/>
      <c r="U252" s="75"/>
      <c r="V252" s="75"/>
      <c r="W252" s="74"/>
      <c r="X252" s="76"/>
      <c r="Y252" s="76"/>
      <c r="Z252" s="76"/>
      <c r="AA252" s="76"/>
      <c r="AB252" s="76"/>
      <c r="AC252" s="74"/>
      <c r="AD252" s="77"/>
      <c r="AE252" s="77"/>
      <c r="AF252" s="77"/>
      <c r="AG252" s="77"/>
      <c r="AH252" s="77"/>
      <c r="AI252" s="68"/>
      <c r="AJ252" s="213">
        <v>2.0829999999999999E-4</v>
      </c>
      <c r="AK252" s="213">
        <v>1.724</v>
      </c>
      <c r="AL252" s="213">
        <v>2</v>
      </c>
      <c r="AM252" s="213">
        <v>4.6182900000000003E-4</v>
      </c>
      <c r="AN252" s="74"/>
      <c r="AO252" s="73"/>
      <c r="AP252" s="73"/>
      <c r="AQ252" s="73"/>
      <c r="AR252" s="73"/>
      <c r="AS252" s="73"/>
      <c r="AT252" s="74"/>
      <c r="AU252" s="47"/>
      <c r="AV252" s="48"/>
    </row>
    <row r="253" spans="1:48" ht="12.75" customHeight="1" x14ac:dyDescent="0.25">
      <c r="A253" s="72" t="s">
        <v>23</v>
      </c>
      <c r="B253" s="43" t="s">
        <v>159</v>
      </c>
      <c r="C253" s="44" t="s">
        <v>403</v>
      </c>
      <c r="D253" s="45">
        <f>MROUND(MID($C253,6,3)/Basis!$E$3,0.5)</f>
        <v>15.5</v>
      </c>
      <c r="E253" s="45">
        <f>MROUND(MID($C253,9,3)/Basis!$E$3,0.5)</f>
        <v>86.5</v>
      </c>
      <c r="F253" s="124" t="s">
        <v>2947</v>
      </c>
      <c r="G253" s="45">
        <f>ROUND((ROUNDDOWN($F253/5,0)*5+1.8)/Basis!$E$3,1)</f>
        <v>6.6</v>
      </c>
      <c r="H253" s="120">
        <f>ROUND($P253*Basis!$E$2*((TaH-TrH)/LN(1/µ)/Basis!$E$7)^$N253*$AA$4*Glycol,0)</f>
        <v>7882</v>
      </c>
      <c r="I253" s="83">
        <f>ROUND(H253/(MID($C253,9,3)/Basis!$E$3/Basis!$E$9)*Basis!$E$11,0)</f>
        <v>1092</v>
      </c>
      <c r="J253" s="123">
        <f>IF(Basis!$E$1=1,ROUND(H253/((TaH-TrH)*1.163)/3600,3),ROUND(H253/(500*(TaH-TrH)),2))</f>
        <v>0.79</v>
      </c>
      <c r="K253" s="84"/>
      <c r="L253" s="177">
        <f>CHOOSE(Basis!$E$1,((AJ253*(J253*3600/Basis!$E$5)^AK253*(((MID(C253,9,3)*10)-144)/1000)*AL253+AM253*(J253*3600/Basis!$E$5)^2)*0.0098)/Basis!$E$10,((AJ253*(J253/Basis!$E$5)^AK253*(((MID(C253,9,3)*10)-144)/1000)*AL253+AM253*(J253/Basis!$E$5)^2)*0.0098)/Basis!$E$10)</f>
        <v>0.18966749412351994</v>
      </c>
      <c r="M253" s="85"/>
      <c r="N253" s="109">
        <v>1.46</v>
      </c>
      <c r="O253" s="68"/>
      <c r="P253" s="67">
        <v>3740</v>
      </c>
      <c r="Q253" s="68"/>
      <c r="R253" s="69"/>
      <c r="S253" s="69"/>
      <c r="T253" s="69"/>
      <c r="U253" s="69"/>
      <c r="V253" s="69"/>
      <c r="W253" s="68"/>
      <c r="X253" s="70"/>
      <c r="Y253" s="70"/>
      <c r="Z253" s="70"/>
      <c r="AA253" s="70"/>
      <c r="AB253" s="70"/>
      <c r="AC253" s="68"/>
      <c r="AD253" s="71"/>
      <c r="AE253" s="71"/>
      <c r="AF253" s="71"/>
      <c r="AG253" s="71"/>
      <c r="AH253" s="71"/>
      <c r="AI253" s="68"/>
      <c r="AJ253" s="214">
        <v>2.0829999999999999E-4</v>
      </c>
      <c r="AK253" s="214">
        <v>1.724</v>
      </c>
      <c r="AL253" s="214">
        <v>4</v>
      </c>
      <c r="AM253" s="214">
        <v>1.392796E-3</v>
      </c>
      <c r="AN253" s="68"/>
      <c r="AO253" s="67"/>
      <c r="AP253" s="67"/>
      <c r="AQ253" s="67"/>
      <c r="AR253" s="67"/>
      <c r="AS253" s="67"/>
      <c r="AT253" s="68"/>
      <c r="AU253" s="49"/>
      <c r="AV253" s="50"/>
    </row>
    <row r="254" spans="1:48" ht="12.75" customHeight="1" x14ac:dyDescent="0.25">
      <c r="A254" s="72" t="s">
        <v>23</v>
      </c>
      <c r="B254" s="43" t="s">
        <v>159</v>
      </c>
      <c r="C254" s="44" t="s">
        <v>404</v>
      </c>
      <c r="D254" s="45">
        <f>MROUND(MID($C254,6,3)/Basis!$E$3,0.5)</f>
        <v>15.5</v>
      </c>
      <c r="E254" s="45">
        <f>MROUND(MID($C254,9,3)/Basis!$E$3,0.5)</f>
        <v>86.5</v>
      </c>
      <c r="F254" s="124" t="s">
        <v>2945</v>
      </c>
      <c r="G254" s="45">
        <f>ROUND((ROUNDDOWN($F254/5,0)*5+1.8)/Basis!$E$3,1)</f>
        <v>8.6</v>
      </c>
      <c r="H254" s="120">
        <f>ROUND($P254*Basis!$E$2*((TaH-TrH)/LN(1/µ)/Basis!$E$7)^$N254*$AA$4*Glycol,0)</f>
        <v>10440</v>
      </c>
      <c r="I254" s="83">
        <f>ROUND(H254/(MID($C254,9,3)/Basis!$E$3/Basis!$E$9)*Basis!$E$11,0)</f>
        <v>1446</v>
      </c>
      <c r="J254" s="123">
        <f>IF(Basis!$E$1=1,ROUND(H254/((TaH-TrH)*1.163)/3600,3),ROUND(H254/(500*(TaH-TrH)),2))</f>
        <v>1.04</v>
      </c>
      <c r="K254" s="84"/>
      <c r="L254" s="177">
        <f>CHOOSE(Basis!$E$1,((AJ254*(J254*3600/Basis!$E$5)^AK254*(((MID(C254,9,3)*10)-144)/1000)*AL254+AM254*(J254*3600/Basis!$E$5)^2)*0.0098)/Basis!$E$10,((AJ254*(J254/Basis!$E$5)^AK254*(((MID(C254,9,3)*10)-144)/1000)*AL254+AM254*(J254/Basis!$E$5)^2)*0.0098)/Basis!$E$10)</f>
        <v>8.9647496067313245E-2</v>
      </c>
      <c r="M254" s="85"/>
      <c r="N254" s="109">
        <v>1.3839999999999999</v>
      </c>
      <c r="O254" s="68"/>
      <c r="P254" s="67">
        <v>4831</v>
      </c>
      <c r="Q254" s="68"/>
      <c r="R254" s="69"/>
      <c r="S254" s="69"/>
      <c r="T254" s="69"/>
      <c r="U254" s="69"/>
      <c r="V254" s="69"/>
      <c r="W254" s="68"/>
      <c r="X254" s="70"/>
      <c r="Y254" s="70"/>
      <c r="Z254" s="70"/>
      <c r="AA254" s="70"/>
      <c r="AB254" s="70"/>
      <c r="AC254" s="68"/>
      <c r="AD254" s="71"/>
      <c r="AE254" s="71"/>
      <c r="AF254" s="71"/>
      <c r="AG254" s="71"/>
      <c r="AH254" s="71"/>
      <c r="AI254" s="68"/>
      <c r="AJ254" s="214">
        <v>1.2760000000000001E-4</v>
      </c>
      <c r="AK254" s="214">
        <v>1.7219</v>
      </c>
      <c r="AL254" s="214">
        <v>2</v>
      </c>
      <c r="AM254" s="214">
        <v>3.76611E-4</v>
      </c>
      <c r="AN254" s="68"/>
      <c r="AO254" s="67"/>
      <c r="AP254" s="67"/>
      <c r="AQ254" s="67"/>
      <c r="AR254" s="67"/>
      <c r="AS254" s="67"/>
      <c r="AT254" s="68"/>
      <c r="AU254" s="49"/>
      <c r="AV254" s="50"/>
    </row>
    <row r="255" spans="1:48" ht="12.75" customHeight="1" x14ac:dyDescent="0.25">
      <c r="A255" s="72" t="s">
        <v>23</v>
      </c>
      <c r="B255" s="43" t="s">
        <v>159</v>
      </c>
      <c r="C255" s="44" t="s">
        <v>405</v>
      </c>
      <c r="D255" s="45">
        <f>MROUND(MID($C255,6,3)/Basis!$E$3,0.5)</f>
        <v>15.5</v>
      </c>
      <c r="E255" s="45">
        <f>MROUND(MID($C255,9,3)/Basis!$E$3,0.5)</f>
        <v>86.5</v>
      </c>
      <c r="F255" s="124" t="s">
        <v>2948</v>
      </c>
      <c r="G255" s="45">
        <f>ROUND((ROUNDDOWN($F255/5,0)*5+1.8)/Basis!$E$3,1)</f>
        <v>8.6</v>
      </c>
      <c r="H255" s="120">
        <f>ROUND($P255*Basis!$E$2*((TaH-TrH)/LN(1/µ)/Basis!$E$7)^$N255*$AA$4*Glycol,0)</f>
        <v>10485</v>
      </c>
      <c r="I255" s="83">
        <f>ROUND(H255/(MID($C255,9,3)/Basis!$E$3/Basis!$E$9)*Basis!$E$11,0)</f>
        <v>1453</v>
      </c>
      <c r="J255" s="123">
        <f>IF(Basis!$E$1=1,ROUND(H255/((TaH-TrH)*1.163)/3600,3),ROUND(H255/(500*(TaH-TrH)),2))</f>
        <v>1.05</v>
      </c>
      <c r="K255" s="84"/>
      <c r="L255" s="177">
        <f>CHOOSE(Basis!$E$1,((AJ255*(J255*3600/Basis!$E$5)^AK255*(((MID(C255,9,3)*10)-144)/1000)*AL255+AM255*(J255*3600/Basis!$E$5)^2)*0.0098)/Basis!$E$10,((AJ255*(J255/Basis!$E$5)^AK255*(((MID(C255,9,3)*10)-144)/1000)*AL255+AM255*(J255/Basis!$E$5)^2)*0.0098)/Basis!$E$10)</f>
        <v>0.13819804767532545</v>
      </c>
      <c r="M255" s="85"/>
      <c r="N255" s="110">
        <v>1.4770000000000001</v>
      </c>
      <c r="O255" s="74"/>
      <c r="P255" s="73">
        <v>5003</v>
      </c>
      <c r="Q255" s="74"/>
      <c r="R255" s="75"/>
      <c r="S255" s="75"/>
      <c r="T255" s="75"/>
      <c r="U255" s="75"/>
      <c r="V255" s="75"/>
      <c r="W255" s="74"/>
      <c r="X255" s="76"/>
      <c r="Y255" s="76"/>
      <c r="Z255" s="76"/>
      <c r="AA255" s="76"/>
      <c r="AB255" s="76"/>
      <c r="AC255" s="74"/>
      <c r="AD255" s="77"/>
      <c r="AE255" s="77"/>
      <c r="AF255" s="77"/>
      <c r="AG255" s="77"/>
      <c r="AH255" s="77"/>
      <c r="AI255" s="68"/>
      <c r="AJ255" s="213">
        <v>1.2760000000000001E-4</v>
      </c>
      <c r="AK255" s="213">
        <v>1.7219</v>
      </c>
      <c r="AL255" s="213">
        <v>4</v>
      </c>
      <c r="AM255" s="213">
        <v>5.1420100000000005E-4</v>
      </c>
      <c r="AN255" s="74"/>
      <c r="AO255" s="73"/>
      <c r="AP255" s="73"/>
      <c r="AQ255" s="73"/>
      <c r="AR255" s="73"/>
      <c r="AS255" s="73"/>
      <c r="AT255" s="74"/>
      <c r="AU255" s="47"/>
      <c r="AV255" s="48"/>
    </row>
    <row r="256" spans="1:48" ht="12.75" customHeight="1" x14ac:dyDescent="0.25">
      <c r="A256" s="72" t="s">
        <v>23</v>
      </c>
      <c r="B256" s="43" t="s">
        <v>159</v>
      </c>
      <c r="C256" s="44" t="s">
        <v>406</v>
      </c>
      <c r="D256" s="45">
        <f>MROUND(MID($C256,6,3)/Basis!$E$3,0.5)</f>
        <v>15.5</v>
      </c>
      <c r="E256" s="45">
        <f>MROUND(MID($C256,9,3)/Basis!$E$3,0.5)</f>
        <v>94.5</v>
      </c>
      <c r="F256" s="124" t="s">
        <v>2943</v>
      </c>
      <c r="G256" s="45">
        <f>ROUND((ROUNDDOWN($F256/5,0)*5+1.8)/Basis!$E$3,1)</f>
        <v>4.5999999999999996</v>
      </c>
      <c r="H256" s="120">
        <f>ROUND($P256*Basis!$E$2*((TaH-TrH)/LN(1/µ)/Basis!$E$7)^$N256*$AA$4*Glycol,0)</f>
        <v>4978</v>
      </c>
      <c r="I256" s="83">
        <f>ROUND(H256/(MID($C256,9,3)/Basis!$E$3/Basis!$E$9)*Basis!$E$11,0)</f>
        <v>632</v>
      </c>
      <c r="J256" s="123">
        <f>IF(Basis!$E$1=1,ROUND(H256/((TaH-TrH)*1.163)/3600,3),ROUND(H256/(500*(TaH-TrH)),2))</f>
        <v>0.5</v>
      </c>
      <c r="K256" s="84"/>
      <c r="L256" s="177">
        <f>CHOOSE(Basis!$E$1,((AJ256*(J256*3600/Basis!$E$5)^AK256*(((MID(C256,9,3)*10)-144)/1000)*AL256+AM256*(J256*3600/Basis!$E$5)^2)*0.0098)/Basis!$E$10,((AJ256*(J256/Basis!$E$5)^AK256*(((MID(C256,9,3)*10)-144)/1000)*AL256+AM256*(J256/Basis!$E$5)^2)*0.0098)/Basis!$E$10)</f>
        <v>3.6996741342681681E-2</v>
      </c>
      <c r="M256" s="85"/>
      <c r="N256" s="110">
        <v>1.3939999999999999</v>
      </c>
      <c r="O256" s="74"/>
      <c r="P256" s="73">
        <v>2311</v>
      </c>
      <c r="Q256" s="74"/>
      <c r="R256" s="75"/>
      <c r="S256" s="75"/>
      <c r="T256" s="75"/>
      <c r="U256" s="75"/>
      <c r="V256" s="75"/>
      <c r="W256" s="74"/>
      <c r="X256" s="76"/>
      <c r="Y256" s="76"/>
      <c r="Z256" s="76"/>
      <c r="AA256" s="76"/>
      <c r="AB256" s="76"/>
      <c r="AC256" s="74"/>
      <c r="AD256" s="77"/>
      <c r="AE256" s="77"/>
      <c r="AF256" s="77"/>
      <c r="AG256" s="77"/>
      <c r="AH256" s="77"/>
      <c r="AI256" s="68"/>
      <c r="AJ256" s="213">
        <v>3.9689999999999994E-4</v>
      </c>
      <c r="AK256" s="213">
        <v>1.7345999999999999</v>
      </c>
      <c r="AL256" s="213">
        <v>2</v>
      </c>
      <c r="AM256" s="213">
        <v>3.6734700000000002E-4</v>
      </c>
      <c r="AN256" s="74"/>
      <c r="AO256" s="73"/>
      <c r="AP256" s="73"/>
      <c r="AQ256" s="73"/>
      <c r="AR256" s="73"/>
      <c r="AS256" s="73"/>
      <c r="AT256" s="74"/>
      <c r="AU256" s="47"/>
      <c r="AV256" s="48"/>
    </row>
    <row r="257" spans="1:48" ht="12.75" customHeight="1" x14ac:dyDescent="0.25">
      <c r="A257" s="72" t="s">
        <v>23</v>
      </c>
      <c r="B257" s="43" t="s">
        <v>159</v>
      </c>
      <c r="C257" s="44" t="s">
        <v>407</v>
      </c>
      <c r="D257" s="45">
        <f>MROUND(MID($C257,6,3)/Basis!$E$3,0.5)</f>
        <v>15.5</v>
      </c>
      <c r="E257" s="45">
        <f>MROUND(MID($C257,9,3)/Basis!$E$3,0.5)</f>
        <v>94.5</v>
      </c>
      <c r="F257" s="124" t="s">
        <v>2946</v>
      </c>
      <c r="G257" s="45">
        <f>ROUND((ROUNDDOWN($F257/5,0)*5+1.8)/Basis!$E$3,1)</f>
        <v>4.5999999999999996</v>
      </c>
      <c r="H257" s="120">
        <f>ROUND($P257*Basis!$E$2*((TaH-TrH)/LN(1/µ)/Basis!$E$7)^$N257*$AA$4*Glycol,0)</f>
        <v>6438</v>
      </c>
      <c r="I257" s="83">
        <f>ROUND(H257/(MID($C257,9,3)/Basis!$E$3/Basis!$E$9)*Basis!$E$11,0)</f>
        <v>818</v>
      </c>
      <c r="J257" s="123">
        <f>IF(Basis!$E$1=1,ROUND(H257/((TaH-TrH)*1.163)/3600,3),ROUND(H257/(500*(TaH-TrH)),2))</f>
        <v>0.64</v>
      </c>
      <c r="K257" s="84"/>
      <c r="L257" s="177">
        <f>CHOOSE(Basis!$E$1,((AJ257*(J257*3600/Basis!$E$5)^AK257*(((MID(C257,9,3)*10)-144)/1000)*AL257+AM257*(J257*3600/Basis!$E$5)^2)*0.0098)/Basis!$E$10,((AJ257*(J257/Basis!$E$5)^AK257*(((MID(C257,9,3)*10)-144)/1000)*AL257+AM257*(J257/Basis!$E$5)^2)*0.0098)/Basis!$E$10)</f>
        <v>0.10567976148365835</v>
      </c>
      <c r="M257" s="85"/>
      <c r="N257" s="109">
        <v>1.4390000000000001</v>
      </c>
      <c r="O257" s="68"/>
      <c r="P257" s="67">
        <v>3034</v>
      </c>
      <c r="Q257" s="68"/>
      <c r="R257" s="69"/>
      <c r="S257" s="69"/>
      <c r="T257" s="69"/>
      <c r="U257" s="69"/>
      <c r="V257" s="69"/>
      <c r="W257" s="68"/>
      <c r="X257" s="70"/>
      <c r="Y257" s="70"/>
      <c r="Z257" s="70"/>
      <c r="AA257" s="70"/>
      <c r="AB257" s="70"/>
      <c r="AC257" s="68"/>
      <c r="AD257" s="71"/>
      <c r="AE257" s="71"/>
      <c r="AF257" s="71"/>
      <c r="AG257" s="71"/>
      <c r="AH257" s="71"/>
      <c r="AI257" s="68"/>
      <c r="AJ257" s="214">
        <v>3.9689999999999994E-4</v>
      </c>
      <c r="AK257" s="214">
        <v>1.7345999999999999</v>
      </c>
      <c r="AL257" s="214">
        <v>4</v>
      </c>
      <c r="AM257" s="214">
        <v>5.7428799999999995E-4</v>
      </c>
      <c r="AN257" s="68"/>
      <c r="AO257" s="67"/>
      <c r="AP257" s="67"/>
      <c r="AQ257" s="67"/>
      <c r="AR257" s="67"/>
      <c r="AS257" s="67"/>
      <c r="AT257" s="68"/>
      <c r="AU257" s="49"/>
      <c r="AV257" s="50"/>
    </row>
    <row r="258" spans="1:48" ht="12.75" customHeight="1" x14ac:dyDescent="0.25">
      <c r="A258" s="72" t="s">
        <v>23</v>
      </c>
      <c r="B258" s="43" t="s">
        <v>159</v>
      </c>
      <c r="C258" s="44" t="s">
        <v>408</v>
      </c>
      <c r="D258" s="45">
        <f>MROUND(MID($C258,6,3)/Basis!$E$3,0.5)</f>
        <v>15.5</v>
      </c>
      <c r="E258" s="45">
        <f>MROUND(MID($C258,9,3)/Basis!$E$3,0.5)</f>
        <v>94.5</v>
      </c>
      <c r="F258" s="124" t="s">
        <v>2944</v>
      </c>
      <c r="G258" s="45">
        <f>ROUND((ROUNDDOWN($F258/5,0)*5+1.8)/Basis!$E$3,1)</f>
        <v>6.6</v>
      </c>
      <c r="H258" s="120">
        <f>ROUND($P258*Basis!$E$2*((TaH-TrH)/LN(1/µ)/Basis!$E$7)^$N258*$AA$4*Glycol,0)</f>
        <v>8129</v>
      </c>
      <c r="I258" s="83">
        <f>ROUND(H258/(MID($C258,9,3)/Basis!$E$3/Basis!$E$9)*Basis!$E$11,0)</f>
        <v>1032</v>
      </c>
      <c r="J258" s="123">
        <f>IF(Basis!$E$1=1,ROUND(H258/((TaH-TrH)*1.163)/3600,3),ROUND(H258/(500*(TaH-TrH)),2))</f>
        <v>0.81</v>
      </c>
      <c r="K258" s="84"/>
      <c r="L258" s="177">
        <f>CHOOSE(Basis!$E$1,((AJ258*(J258*3600/Basis!$E$5)^AK258*(((MID(C258,9,3)*10)-144)/1000)*AL258+AM258*(J258*3600/Basis!$E$5)^2)*0.0098)/Basis!$E$10,((AJ258*(J258/Basis!$E$5)^AK258*(((MID(C258,9,3)*10)-144)/1000)*AL258+AM258*(J258/Basis!$E$5)^2)*0.0098)/Basis!$E$10)</f>
        <v>7.5768380315179462E-2</v>
      </c>
      <c r="M258" s="85"/>
      <c r="N258" s="109">
        <v>1.385</v>
      </c>
      <c r="O258" s="68"/>
      <c r="P258" s="67">
        <v>3763</v>
      </c>
      <c r="Q258" s="68"/>
      <c r="R258" s="69"/>
      <c r="S258" s="69"/>
      <c r="T258" s="69"/>
      <c r="U258" s="69"/>
      <c r="V258" s="69"/>
      <c r="W258" s="68"/>
      <c r="X258" s="70"/>
      <c r="Y258" s="70"/>
      <c r="Z258" s="70"/>
      <c r="AA258" s="70"/>
      <c r="AB258" s="70"/>
      <c r="AC258" s="68"/>
      <c r="AD258" s="71"/>
      <c r="AE258" s="71"/>
      <c r="AF258" s="71"/>
      <c r="AG258" s="71"/>
      <c r="AH258" s="71"/>
      <c r="AI258" s="68"/>
      <c r="AJ258" s="214">
        <v>2.0829999999999999E-4</v>
      </c>
      <c r="AK258" s="214">
        <v>1.724</v>
      </c>
      <c r="AL258" s="214">
        <v>2</v>
      </c>
      <c r="AM258" s="214">
        <v>4.6182900000000003E-4</v>
      </c>
      <c r="AN258" s="68"/>
      <c r="AO258" s="67"/>
      <c r="AP258" s="67"/>
      <c r="AQ258" s="67"/>
      <c r="AR258" s="67"/>
      <c r="AS258" s="67"/>
      <c r="AT258" s="68"/>
      <c r="AU258" s="49"/>
      <c r="AV258" s="50"/>
    </row>
    <row r="259" spans="1:48" ht="12.75" customHeight="1" x14ac:dyDescent="0.25">
      <c r="A259" s="72" t="s">
        <v>23</v>
      </c>
      <c r="B259" s="43" t="s">
        <v>159</v>
      </c>
      <c r="C259" s="44" t="s">
        <v>409</v>
      </c>
      <c r="D259" s="45">
        <f>MROUND(MID($C259,6,3)/Basis!$E$3,0.5)</f>
        <v>15.5</v>
      </c>
      <c r="E259" s="45">
        <f>MROUND(MID($C259,9,3)/Basis!$E$3,0.5)</f>
        <v>94.5</v>
      </c>
      <c r="F259" s="124" t="s">
        <v>2947</v>
      </c>
      <c r="G259" s="45">
        <f>ROUND((ROUNDDOWN($F259/5,0)*5+1.8)/Basis!$E$3,1)</f>
        <v>6.6</v>
      </c>
      <c r="H259" s="120">
        <f>ROUND($P259*Basis!$E$2*((TaH-TrH)/LN(1/µ)/Basis!$E$7)^$N259*$AA$4*Glycol,0)</f>
        <v>8598</v>
      </c>
      <c r="I259" s="83">
        <f>ROUND(H259/(MID($C259,9,3)/Basis!$E$3/Basis!$E$9)*Basis!$E$11,0)</f>
        <v>1092</v>
      </c>
      <c r="J259" s="123">
        <f>IF(Basis!$E$1=1,ROUND(H259/((TaH-TrH)*1.163)/3600,3),ROUND(H259/(500*(TaH-TrH)),2))</f>
        <v>0.86</v>
      </c>
      <c r="K259" s="84"/>
      <c r="L259" s="177">
        <f>CHOOSE(Basis!$E$1,((AJ259*(J259*3600/Basis!$E$5)^AK259*(((MID(C259,9,3)*10)-144)/1000)*AL259+AM259*(J259*3600/Basis!$E$5)^2)*0.0098)/Basis!$E$10,((AJ259*(J259/Basis!$E$5)^AK259*(((MID(C259,9,3)*10)-144)/1000)*AL259+AM259*(J259/Basis!$E$5)^2)*0.0098)/Basis!$E$10)</f>
        <v>0.2284350384039629</v>
      </c>
      <c r="M259" s="85"/>
      <c r="N259" s="110">
        <v>1.46</v>
      </c>
      <c r="O259" s="74"/>
      <c r="P259" s="73">
        <v>4080</v>
      </c>
      <c r="Q259" s="74"/>
      <c r="R259" s="75"/>
      <c r="S259" s="75"/>
      <c r="T259" s="75"/>
      <c r="U259" s="75"/>
      <c r="V259" s="75"/>
      <c r="W259" s="74"/>
      <c r="X259" s="76"/>
      <c r="Y259" s="76"/>
      <c r="Z259" s="76"/>
      <c r="AA259" s="76"/>
      <c r="AB259" s="76"/>
      <c r="AC259" s="74"/>
      <c r="AD259" s="77"/>
      <c r="AE259" s="77"/>
      <c r="AF259" s="77"/>
      <c r="AG259" s="77"/>
      <c r="AH259" s="77"/>
      <c r="AI259" s="68"/>
      <c r="AJ259" s="213">
        <v>2.0829999999999999E-4</v>
      </c>
      <c r="AK259" s="213">
        <v>1.724</v>
      </c>
      <c r="AL259" s="213">
        <v>4</v>
      </c>
      <c r="AM259" s="213">
        <v>1.392796E-3</v>
      </c>
      <c r="AN259" s="74"/>
      <c r="AO259" s="73"/>
      <c r="AP259" s="73"/>
      <c r="AQ259" s="73"/>
      <c r="AR259" s="73"/>
      <c r="AS259" s="73"/>
      <c r="AT259" s="74"/>
      <c r="AU259" s="47"/>
      <c r="AV259" s="48"/>
    </row>
    <row r="260" spans="1:48" ht="12.75" customHeight="1" x14ac:dyDescent="0.25">
      <c r="A260" s="72" t="s">
        <v>23</v>
      </c>
      <c r="B260" s="43" t="s">
        <v>159</v>
      </c>
      <c r="C260" s="44" t="s">
        <v>410</v>
      </c>
      <c r="D260" s="45">
        <f>MROUND(MID($C260,6,3)/Basis!$E$3,0.5)</f>
        <v>15.5</v>
      </c>
      <c r="E260" s="45">
        <f>MROUND(MID($C260,9,3)/Basis!$E$3,0.5)</f>
        <v>94.5</v>
      </c>
      <c r="F260" s="124" t="s">
        <v>2945</v>
      </c>
      <c r="G260" s="45">
        <f>ROUND((ROUNDDOWN($F260/5,0)*5+1.8)/Basis!$E$3,1)</f>
        <v>8.6</v>
      </c>
      <c r="H260" s="120">
        <f>ROUND($P260*Basis!$E$2*((TaH-TrH)/LN(1/µ)/Basis!$E$7)^$N260*$AA$4*Glycol,0)</f>
        <v>11388</v>
      </c>
      <c r="I260" s="83">
        <f>ROUND(H260/(MID($C260,9,3)/Basis!$E$3/Basis!$E$9)*Basis!$E$11,0)</f>
        <v>1446</v>
      </c>
      <c r="J260" s="123">
        <f>IF(Basis!$E$1=1,ROUND(H260/((TaH-TrH)*1.163)/3600,3),ROUND(H260/(500*(TaH-TrH)),2))</f>
        <v>1.1399999999999999</v>
      </c>
      <c r="K260" s="84"/>
      <c r="L260" s="177">
        <f>CHOOSE(Basis!$E$1,((AJ260*(J260*3600/Basis!$E$5)^AK260*(((MID(C260,9,3)*10)-144)/1000)*AL260+AM260*(J260*3600/Basis!$E$5)^2)*0.0098)/Basis!$E$10,((AJ260*(J260/Basis!$E$5)^AK260*(((MID(C260,9,3)*10)-144)/1000)*AL260+AM260*(J260/Basis!$E$5)^2)*0.0098)/Basis!$E$10)</f>
        <v>0.1094678908485998</v>
      </c>
      <c r="M260" s="85"/>
      <c r="N260" s="110">
        <v>1.3839999999999999</v>
      </c>
      <c r="O260" s="74"/>
      <c r="P260" s="73">
        <v>5270</v>
      </c>
      <c r="Q260" s="74"/>
      <c r="R260" s="75"/>
      <c r="S260" s="75"/>
      <c r="T260" s="75"/>
      <c r="U260" s="75"/>
      <c r="V260" s="75"/>
      <c r="W260" s="74"/>
      <c r="X260" s="76"/>
      <c r="Y260" s="76"/>
      <c r="Z260" s="76"/>
      <c r="AA260" s="76"/>
      <c r="AB260" s="76"/>
      <c r="AC260" s="74"/>
      <c r="AD260" s="77"/>
      <c r="AE260" s="77"/>
      <c r="AF260" s="77"/>
      <c r="AG260" s="77"/>
      <c r="AH260" s="77"/>
      <c r="AI260" s="68"/>
      <c r="AJ260" s="213">
        <v>1.2760000000000001E-4</v>
      </c>
      <c r="AK260" s="213">
        <v>1.7219</v>
      </c>
      <c r="AL260" s="213">
        <v>2</v>
      </c>
      <c r="AM260" s="213">
        <v>3.76611E-4</v>
      </c>
      <c r="AN260" s="74"/>
      <c r="AO260" s="73"/>
      <c r="AP260" s="73"/>
      <c r="AQ260" s="73"/>
      <c r="AR260" s="73"/>
      <c r="AS260" s="73"/>
      <c r="AT260" s="74"/>
      <c r="AU260" s="47"/>
      <c r="AV260" s="48"/>
    </row>
    <row r="261" spans="1:48" ht="12.75" customHeight="1" x14ac:dyDescent="0.25">
      <c r="A261" s="72" t="s">
        <v>23</v>
      </c>
      <c r="B261" s="43" t="s">
        <v>159</v>
      </c>
      <c r="C261" s="44" t="s">
        <v>411</v>
      </c>
      <c r="D261" s="45">
        <f>MROUND(MID($C261,6,3)/Basis!$E$3,0.5)</f>
        <v>15.5</v>
      </c>
      <c r="E261" s="45">
        <f>MROUND(MID($C261,9,3)/Basis!$E$3,0.5)</f>
        <v>94.5</v>
      </c>
      <c r="F261" s="124" t="s">
        <v>2948</v>
      </c>
      <c r="G261" s="45">
        <f>ROUND((ROUNDDOWN($F261/5,0)*5+1.8)/Basis!$E$3,1)</f>
        <v>8.6</v>
      </c>
      <c r="H261" s="120">
        <f>ROUND($P261*Basis!$E$2*((TaH-TrH)/LN(1/µ)/Basis!$E$7)^$N261*$AA$4*Glycol,0)</f>
        <v>11438</v>
      </c>
      <c r="I261" s="83">
        <f>ROUND(H261/(MID($C261,9,3)/Basis!$E$3/Basis!$E$9)*Basis!$E$11,0)</f>
        <v>1453</v>
      </c>
      <c r="J261" s="123">
        <f>IF(Basis!$E$1=1,ROUND(H261/((TaH-TrH)*1.163)/3600,3),ROUND(H261/(500*(TaH-TrH)),2))</f>
        <v>1.1399999999999999</v>
      </c>
      <c r="K261" s="84"/>
      <c r="L261" s="177">
        <f>CHOOSE(Basis!$E$1,((AJ261*(J261*3600/Basis!$E$5)^AK261*(((MID(C261,9,3)*10)-144)/1000)*AL261+AM261*(J261*3600/Basis!$E$5)^2)*0.0098)/Basis!$E$10,((AJ261*(J261/Basis!$E$5)^AK261*(((MID(C261,9,3)*10)-144)/1000)*AL261+AM261*(J261/Basis!$E$5)^2)*0.0098)/Basis!$E$10)</f>
        <v>0.16654152068242004</v>
      </c>
      <c r="M261" s="85"/>
      <c r="N261" s="109">
        <v>1.4770000000000001</v>
      </c>
      <c r="O261" s="68"/>
      <c r="P261" s="67">
        <v>5458</v>
      </c>
      <c r="Q261" s="68"/>
      <c r="R261" s="69"/>
      <c r="S261" s="69"/>
      <c r="T261" s="69"/>
      <c r="U261" s="69"/>
      <c r="V261" s="69"/>
      <c r="W261" s="68"/>
      <c r="X261" s="70"/>
      <c r="Y261" s="70"/>
      <c r="Z261" s="70"/>
      <c r="AA261" s="70"/>
      <c r="AB261" s="70"/>
      <c r="AC261" s="68"/>
      <c r="AD261" s="71"/>
      <c r="AE261" s="71"/>
      <c r="AF261" s="71"/>
      <c r="AG261" s="71"/>
      <c r="AH261" s="71"/>
      <c r="AI261" s="68"/>
      <c r="AJ261" s="214">
        <v>1.2760000000000001E-4</v>
      </c>
      <c r="AK261" s="214">
        <v>1.7219</v>
      </c>
      <c r="AL261" s="214">
        <v>4</v>
      </c>
      <c r="AM261" s="214">
        <v>5.1420100000000005E-4</v>
      </c>
      <c r="AN261" s="68"/>
      <c r="AO261" s="67"/>
      <c r="AP261" s="67"/>
      <c r="AQ261" s="67"/>
      <c r="AR261" s="67"/>
      <c r="AS261" s="67"/>
      <c r="AT261" s="68"/>
      <c r="AU261" s="49"/>
      <c r="AV261" s="50"/>
    </row>
    <row r="262" spans="1:48" ht="12.75" customHeight="1" x14ac:dyDescent="0.25">
      <c r="A262" s="72" t="s">
        <v>23</v>
      </c>
      <c r="B262" s="43" t="s">
        <v>159</v>
      </c>
      <c r="C262" s="44" t="s">
        <v>412</v>
      </c>
      <c r="D262" s="45">
        <f>MROUND(MID($C262,6,3)/Basis!$E$3,0.5)</f>
        <v>15.5</v>
      </c>
      <c r="E262" s="45">
        <f>MROUND(MID($C262,9,3)/Basis!$E$3,0.5)</f>
        <v>102.5</v>
      </c>
      <c r="F262" s="124" t="s">
        <v>2943</v>
      </c>
      <c r="G262" s="45">
        <f>ROUND((ROUNDDOWN($F262/5,0)*5+1.8)/Basis!$E$3,1)</f>
        <v>4.5999999999999996</v>
      </c>
      <c r="H262" s="120">
        <f>ROUND($P262*Basis!$E$2*((TaH-TrH)/LN(1/µ)/Basis!$E$7)^$N262*$AA$4*Glycol,0)</f>
        <v>5393</v>
      </c>
      <c r="I262" s="83">
        <f>ROUND(H262/(MID($C262,9,3)/Basis!$E$3/Basis!$E$9)*Basis!$E$11,0)</f>
        <v>632</v>
      </c>
      <c r="J262" s="123">
        <f>IF(Basis!$E$1=1,ROUND(H262/((TaH-TrH)*1.163)/3600,3),ROUND(H262/(500*(TaH-TrH)),2))</f>
        <v>0.54</v>
      </c>
      <c r="K262" s="84"/>
      <c r="L262" s="177">
        <f>CHOOSE(Basis!$E$1,((AJ262*(J262*3600/Basis!$E$5)^AK262*(((MID(C262,9,3)*10)-144)/1000)*AL262+AM262*(J262*3600/Basis!$E$5)^2)*0.0098)/Basis!$E$10,((AJ262*(J262/Basis!$E$5)^AK262*(((MID(C262,9,3)*10)-144)/1000)*AL262+AM262*(J262/Basis!$E$5)^2)*0.0098)/Basis!$E$10)</f>
        <v>4.4824731285421207E-2</v>
      </c>
      <c r="M262" s="85"/>
      <c r="N262" s="109">
        <v>1.3939999999999999</v>
      </c>
      <c r="O262" s="68"/>
      <c r="P262" s="67">
        <v>2504</v>
      </c>
      <c r="Q262" s="68"/>
      <c r="R262" s="69"/>
      <c r="S262" s="69"/>
      <c r="T262" s="69"/>
      <c r="U262" s="69"/>
      <c r="V262" s="69"/>
      <c r="W262" s="68"/>
      <c r="X262" s="70"/>
      <c r="Y262" s="70"/>
      <c r="Z262" s="70"/>
      <c r="AA262" s="70"/>
      <c r="AB262" s="70"/>
      <c r="AC262" s="68"/>
      <c r="AD262" s="71"/>
      <c r="AE262" s="71"/>
      <c r="AF262" s="71"/>
      <c r="AG262" s="71"/>
      <c r="AH262" s="71"/>
      <c r="AI262" s="68"/>
      <c r="AJ262" s="214">
        <v>3.9689999999999994E-4</v>
      </c>
      <c r="AK262" s="214">
        <v>1.7345999999999999</v>
      </c>
      <c r="AL262" s="214">
        <v>2</v>
      </c>
      <c r="AM262" s="214">
        <v>3.6734700000000002E-4</v>
      </c>
      <c r="AN262" s="68"/>
      <c r="AO262" s="67"/>
      <c r="AP262" s="67"/>
      <c r="AQ262" s="67"/>
      <c r="AR262" s="67"/>
      <c r="AS262" s="67"/>
      <c r="AT262" s="68"/>
      <c r="AU262" s="49"/>
      <c r="AV262" s="50"/>
    </row>
    <row r="263" spans="1:48" ht="12.75" customHeight="1" x14ac:dyDescent="0.25">
      <c r="A263" s="72" t="s">
        <v>23</v>
      </c>
      <c r="B263" s="43" t="s">
        <v>159</v>
      </c>
      <c r="C263" s="44" t="s">
        <v>413</v>
      </c>
      <c r="D263" s="45">
        <f>MROUND(MID($C263,6,3)/Basis!$E$3,0.5)</f>
        <v>15.5</v>
      </c>
      <c r="E263" s="45">
        <f>MROUND(MID($C263,9,3)/Basis!$E$3,0.5)</f>
        <v>102.5</v>
      </c>
      <c r="F263" s="124" t="s">
        <v>2946</v>
      </c>
      <c r="G263" s="45">
        <f>ROUND((ROUNDDOWN($F263/5,0)*5+1.8)/Basis!$E$3,1)</f>
        <v>4.5999999999999996</v>
      </c>
      <c r="H263" s="120">
        <f>ROUND($P263*Basis!$E$2*((TaH-TrH)/LN(1/µ)/Basis!$E$7)^$N263*$AA$4*Glycol,0)</f>
        <v>6973</v>
      </c>
      <c r="I263" s="83">
        <f>ROUND(H263/(MID($C263,9,3)/Basis!$E$3/Basis!$E$9)*Basis!$E$11,0)</f>
        <v>817</v>
      </c>
      <c r="J263" s="123">
        <f>IF(Basis!$E$1=1,ROUND(H263/((TaH-TrH)*1.163)/3600,3),ROUND(H263/(500*(TaH-TrH)),2))</f>
        <v>0.7</v>
      </c>
      <c r="K263" s="84"/>
      <c r="L263" s="177">
        <f>CHOOSE(Basis!$E$1,((AJ263*(J263*3600/Basis!$E$5)^AK263*(((MID(C263,9,3)*10)-144)/1000)*AL263+AM263*(J263*3600/Basis!$E$5)^2)*0.0098)/Basis!$E$10,((AJ263*(J263/Basis!$E$5)^AK263*(((MID(C263,9,3)*10)-144)/1000)*AL263+AM263*(J263/Basis!$E$5)^2)*0.0098)/Basis!$E$10)</f>
        <v>0.13140324472850723</v>
      </c>
      <c r="M263" s="85"/>
      <c r="N263" s="110">
        <v>1.4390000000000001</v>
      </c>
      <c r="O263" s="74"/>
      <c r="P263" s="73">
        <v>3286</v>
      </c>
      <c r="Q263" s="74"/>
      <c r="R263" s="75"/>
      <c r="S263" s="75"/>
      <c r="T263" s="75"/>
      <c r="U263" s="75"/>
      <c r="V263" s="75"/>
      <c r="W263" s="74"/>
      <c r="X263" s="76"/>
      <c r="Y263" s="76"/>
      <c r="Z263" s="76"/>
      <c r="AA263" s="76"/>
      <c r="AB263" s="76"/>
      <c r="AC263" s="74"/>
      <c r="AD263" s="77"/>
      <c r="AE263" s="77"/>
      <c r="AF263" s="77"/>
      <c r="AG263" s="77"/>
      <c r="AH263" s="77"/>
      <c r="AI263" s="68"/>
      <c r="AJ263" s="213">
        <v>3.9689999999999994E-4</v>
      </c>
      <c r="AK263" s="213">
        <v>1.7345999999999999</v>
      </c>
      <c r="AL263" s="213">
        <v>4</v>
      </c>
      <c r="AM263" s="213">
        <v>5.7428799999999995E-4</v>
      </c>
      <c r="AN263" s="74"/>
      <c r="AO263" s="73"/>
      <c r="AP263" s="73"/>
      <c r="AQ263" s="73"/>
      <c r="AR263" s="73"/>
      <c r="AS263" s="73"/>
      <c r="AT263" s="74"/>
      <c r="AU263" s="47"/>
      <c r="AV263" s="48"/>
    </row>
    <row r="264" spans="1:48" ht="12.75" customHeight="1" x14ac:dyDescent="0.25">
      <c r="A264" s="72" t="s">
        <v>23</v>
      </c>
      <c r="B264" s="43" t="s">
        <v>159</v>
      </c>
      <c r="C264" s="44" t="s">
        <v>414</v>
      </c>
      <c r="D264" s="45">
        <f>MROUND(MID($C264,6,3)/Basis!$E$3,0.5)</f>
        <v>15.5</v>
      </c>
      <c r="E264" s="45">
        <f>MROUND(MID($C264,9,3)/Basis!$E$3,0.5)</f>
        <v>102.5</v>
      </c>
      <c r="F264" s="124" t="s">
        <v>2944</v>
      </c>
      <c r="G264" s="45">
        <f>ROUND((ROUNDDOWN($F264/5,0)*5+1.8)/Basis!$E$3,1)</f>
        <v>6.6</v>
      </c>
      <c r="H264" s="120">
        <f>ROUND($P264*Basis!$E$2*((TaH-TrH)/LN(1/µ)/Basis!$E$7)^$N264*$AA$4*Glycol,0)</f>
        <v>8807</v>
      </c>
      <c r="I264" s="83">
        <f>ROUND(H264/(MID($C264,9,3)/Basis!$E$3/Basis!$E$9)*Basis!$E$11,0)</f>
        <v>1032</v>
      </c>
      <c r="J264" s="123">
        <f>IF(Basis!$E$1=1,ROUND(H264/((TaH-TrH)*1.163)/3600,3),ROUND(H264/(500*(TaH-TrH)),2))</f>
        <v>0.88</v>
      </c>
      <c r="K264" s="84"/>
      <c r="L264" s="177">
        <f>CHOOSE(Basis!$E$1,((AJ264*(J264*3600/Basis!$E$5)^AK264*(((MID(C264,9,3)*10)-144)/1000)*AL264+AM264*(J264*3600/Basis!$E$5)^2)*0.0098)/Basis!$E$10,((AJ264*(J264/Basis!$E$5)^AK264*(((MID(C264,9,3)*10)-144)/1000)*AL264+AM264*(J264/Basis!$E$5)^2)*0.0098)/Basis!$E$10)</f>
        <v>9.1293727610970876E-2</v>
      </c>
      <c r="M264" s="85"/>
      <c r="N264" s="110">
        <v>1.385</v>
      </c>
      <c r="O264" s="74"/>
      <c r="P264" s="73">
        <v>4077</v>
      </c>
      <c r="Q264" s="74"/>
      <c r="R264" s="75"/>
      <c r="S264" s="75"/>
      <c r="T264" s="75"/>
      <c r="U264" s="75"/>
      <c r="V264" s="75"/>
      <c r="W264" s="74"/>
      <c r="X264" s="76"/>
      <c r="Y264" s="76"/>
      <c r="Z264" s="76"/>
      <c r="AA264" s="76"/>
      <c r="AB264" s="76"/>
      <c r="AC264" s="74"/>
      <c r="AD264" s="77"/>
      <c r="AE264" s="77"/>
      <c r="AF264" s="77"/>
      <c r="AG264" s="77"/>
      <c r="AH264" s="77"/>
      <c r="AI264" s="68"/>
      <c r="AJ264" s="213">
        <v>2.0829999999999999E-4</v>
      </c>
      <c r="AK264" s="213">
        <v>1.724</v>
      </c>
      <c r="AL264" s="213">
        <v>2</v>
      </c>
      <c r="AM264" s="213">
        <v>4.6182900000000003E-4</v>
      </c>
      <c r="AN264" s="74"/>
      <c r="AO264" s="73"/>
      <c r="AP264" s="73"/>
      <c r="AQ264" s="73"/>
      <c r="AR264" s="73"/>
      <c r="AS264" s="73"/>
      <c r="AT264" s="74"/>
      <c r="AU264" s="47"/>
      <c r="AV264" s="48"/>
    </row>
    <row r="265" spans="1:48" ht="12.75" customHeight="1" x14ac:dyDescent="0.25">
      <c r="A265" s="72" t="s">
        <v>23</v>
      </c>
      <c r="B265" s="43" t="s">
        <v>159</v>
      </c>
      <c r="C265" s="44" t="s">
        <v>415</v>
      </c>
      <c r="D265" s="45">
        <f>MROUND(MID($C265,6,3)/Basis!$E$3,0.5)</f>
        <v>15.5</v>
      </c>
      <c r="E265" s="45">
        <f>MROUND(MID($C265,9,3)/Basis!$E$3,0.5)</f>
        <v>102.5</v>
      </c>
      <c r="F265" s="124" t="s">
        <v>2947</v>
      </c>
      <c r="G265" s="45">
        <f>ROUND((ROUNDDOWN($F265/5,0)*5+1.8)/Basis!$E$3,1)</f>
        <v>6.6</v>
      </c>
      <c r="H265" s="120">
        <f>ROUND($P265*Basis!$E$2*((TaH-TrH)/LN(1/µ)/Basis!$E$7)^$N265*$AA$4*Glycol,0)</f>
        <v>9315</v>
      </c>
      <c r="I265" s="83">
        <f>ROUND(H265/(MID($C265,9,3)/Basis!$E$3/Basis!$E$9)*Basis!$E$11,0)</f>
        <v>1092</v>
      </c>
      <c r="J265" s="123">
        <f>IF(Basis!$E$1=1,ROUND(H265/((TaH-TrH)*1.163)/3600,3),ROUND(H265/(500*(TaH-TrH)),2))</f>
        <v>0.93</v>
      </c>
      <c r="K265" s="84"/>
      <c r="L265" s="177">
        <f>CHOOSE(Basis!$E$1,((AJ265*(J265*3600/Basis!$E$5)^AK265*(((MID(C265,9,3)*10)-144)/1000)*AL265+AM265*(J265*3600/Basis!$E$5)^2)*0.0098)/Basis!$E$10,((AJ265*(J265/Basis!$E$5)^AK265*(((MID(C265,9,3)*10)-144)/1000)*AL265+AM265*(J265/Basis!$E$5)^2)*0.0098)/Basis!$E$10)</f>
        <v>0.27131744802547247</v>
      </c>
      <c r="M265" s="85"/>
      <c r="N265" s="109">
        <v>1.46</v>
      </c>
      <c r="O265" s="68"/>
      <c r="P265" s="67">
        <v>4420</v>
      </c>
      <c r="Q265" s="68"/>
      <c r="R265" s="69"/>
      <c r="S265" s="69"/>
      <c r="T265" s="69"/>
      <c r="U265" s="69"/>
      <c r="V265" s="69"/>
      <c r="W265" s="68"/>
      <c r="X265" s="70"/>
      <c r="Y265" s="70"/>
      <c r="Z265" s="70"/>
      <c r="AA265" s="70"/>
      <c r="AB265" s="70"/>
      <c r="AC265" s="68"/>
      <c r="AD265" s="71"/>
      <c r="AE265" s="71"/>
      <c r="AF265" s="71"/>
      <c r="AG265" s="71"/>
      <c r="AH265" s="71"/>
      <c r="AI265" s="68"/>
      <c r="AJ265" s="214">
        <v>2.0829999999999999E-4</v>
      </c>
      <c r="AK265" s="214">
        <v>1.724</v>
      </c>
      <c r="AL265" s="214">
        <v>4</v>
      </c>
      <c r="AM265" s="214">
        <v>1.392796E-3</v>
      </c>
      <c r="AN265" s="68"/>
      <c r="AO265" s="67"/>
      <c r="AP265" s="67"/>
      <c r="AQ265" s="67"/>
      <c r="AR265" s="67"/>
      <c r="AS265" s="67"/>
      <c r="AT265" s="68"/>
      <c r="AU265" s="49"/>
      <c r="AV265" s="50"/>
    </row>
    <row r="266" spans="1:48" ht="12.75" customHeight="1" x14ac:dyDescent="0.25">
      <c r="A266" s="72" t="s">
        <v>23</v>
      </c>
      <c r="B266" s="43" t="s">
        <v>159</v>
      </c>
      <c r="C266" s="44" t="s">
        <v>416</v>
      </c>
      <c r="D266" s="45">
        <f>MROUND(MID($C266,6,3)/Basis!$E$3,0.5)</f>
        <v>15.5</v>
      </c>
      <c r="E266" s="45">
        <f>MROUND(MID($C266,9,3)/Basis!$E$3,0.5)</f>
        <v>102.5</v>
      </c>
      <c r="F266" s="124" t="s">
        <v>2945</v>
      </c>
      <c r="G266" s="45">
        <f>ROUND((ROUNDDOWN($F266/5,0)*5+1.8)/Basis!$E$3,1)</f>
        <v>8.6</v>
      </c>
      <c r="H266" s="120">
        <f>ROUND($P266*Basis!$E$2*((TaH-TrH)/LN(1/µ)/Basis!$E$7)^$N266*$AA$4*Glycol,0)</f>
        <v>12339</v>
      </c>
      <c r="I266" s="83">
        <f>ROUND(H266/(MID($C266,9,3)/Basis!$E$3/Basis!$E$9)*Basis!$E$11,0)</f>
        <v>1447</v>
      </c>
      <c r="J266" s="123">
        <f>IF(Basis!$E$1=1,ROUND(H266/((TaH-TrH)*1.163)/3600,3),ROUND(H266/(500*(TaH-TrH)),2))</f>
        <v>1.23</v>
      </c>
      <c r="K266" s="84"/>
      <c r="L266" s="177">
        <f>CHOOSE(Basis!$E$1,((AJ266*(J266*3600/Basis!$E$5)^AK266*(((MID(C266,9,3)*10)-144)/1000)*AL266+AM266*(J266*3600/Basis!$E$5)^2)*0.0098)/Basis!$E$10,((AJ266*(J266/Basis!$E$5)^AK266*(((MID(C266,9,3)*10)-144)/1000)*AL266+AM266*(J266/Basis!$E$5)^2)*0.0098)/Basis!$E$10)</f>
        <v>0.12949891149172119</v>
      </c>
      <c r="M266" s="85"/>
      <c r="N266" s="109">
        <v>1.3839999999999999</v>
      </c>
      <c r="O266" s="68"/>
      <c r="P266" s="67">
        <v>5710</v>
      </c>
      <c r="Q266" s="68"/>
      <c r="R266" s="69"/>
      <c r="S266" s="69"/>
      <c r="T266" s="69"/>
      <c r="U266" s="69"/>
      <c r="V266" s="69"/>
      <c r="W266" s="68"/>
      <c r="X266" s="70"/>
      <c r="Y266" s="70"/>
      <c r="Z266" s="70"/>
      <c r="AA266" s="70"/>
      <c r="AB266" s="70"/>
      <c r="AC266" s="68"/>
      <c r="AD266" s="71"/>
      <c r="AE266" s="71"/>
      <c r="AF266" s="71"/>
      <c r="AG266" s="71"/>
      <c r="AH266" s="71"/>
      <c r="AI266" s="68"/>
      <c r="AJ266" s="214">
        <v>1.2760000000000001E-4</v>
      </c>
      <c r="AK266" s="214">
        <v>1.7219</v>
      </c>
      <c r="AL266" s="214">
        <v>2</v>
      </c>
      <c r="AM266" s="214">
        <v>3.76611E-4</v>
      </c>
      <c r="AN266" s="68"/>
      <c r="AO266" s="67"/>
      <c r="AP266" s="67"/>
      <c r="AQ266" s="67"/>
      <c r="AR266" s="67"/>
      <c r="AS266" s="67"/>
      <c r="AT266" s="68"/>
      <c r="AU266" s="49"/>
      <c r="AV266" s="50"/>
    </row>
    <row r="267" spans="1:48" ht="12.75" customHeight="1" x14ac:dyDescent="0.25">
      <c r="A267" s="72" t="s">
        <v>23</v>
      </c>
      <c r="B267" s="43" t="s">
        <v>159</v>
      </c>
      <c r="C267" s="44" t="s">
        <v>417</v>
      </c>
      <c r="D267" s="45">
        <f>MROUND(MID($C267,6,3)/Basis!$E$3,0.5)</f>
        <v>15.5</v>
      </c>
      <c r="E267" s="45">
        <f>MROUND(MID($C267,9,3)/Basis!$E$3,0.5)</f>
        <v>102.5</v>
      </c>
      <c r="F267" s="124" t="s">
        <v>2948</v>
      </c>
      <c r="G267" s="45">
        <f>ROUND((ROUNDDOWN($F267/5,0)*5+1.8)/Basis!$E$3,1)</f>
        <v>8.6</v>
      </c>
      <c r="H267" s="120">
        <f>ROUND($P267*Basis!$E$2*((TaH-TrH)/LN(1/µ)/Basis!$E$7)^$N267*$AA$4*Glycol,0)</f>
        <v>12389</v>
      </c>
      <c r="I267" s="83">
        <f>ROUND(H267/(MID($C267,9,3)/Basis!$E$3/Basis!$E$9)*Basis!$E$11,0)</f>
        <v>1452</v>
      </c>
      <c r="J267" s="123">
        <f>IF(Basis!$E$1=1,ROUND(H267/((TaH-TrH)*1.163)/3600,3),ROUND(H267/(500*(TaH-TrH)),2))</f>
        <v>1.24</v>
      </c>
      <c r="K267" s="84"/>
      <c r="L267" s="177">
        <f>CHOOSE(Basis!$E$1,((AJ267*(J267*3600/Basis!$E$5)^AK267*(((MID(C267,9,3)*10)-144)/1000)*AL267+AM267*(J267*3600/Basis!$E$5)^2)*0.0098)/Basis!$E$10,((AJ267*(J267/Basis!$E$5)^AK267*(((MID(C267,9,3)*10)-144)/1000)*AL267+AM267*(J267/Basis!$E$5)^2)*0.0098)/Basis!$E$10)</f>
        <v>0.20108421215580527</v>
      </c>
      <c r="M267" s="85"/>
      <c r="N267" s="110">
        <v>1.4770000000000001</v>
      </c>
      <c r="O267" s="74"/>
      <c r="P267" s="73">
        <v>5912</v>
      </c>
      <c r="Q267" s="74"/>
      <c r="R267" s="75"/>
      <c r="S267" s="75"/>
      <c r="T267" s="75"/>
      <c r="U267" s="75"/>
      <c r="V267" s="75"/>
      <c r="W267" s="74"/>
      <c r="X267" s="76"/>
      <c r="Y267" s="76"/>
      <c r="Z267" s="76"/>
      <c r="AA267" s="76"/>
      <c r="AB267" s="76"/>
      <c r="AC267" s="74"/>
      <c r="AD267" s="77"/>
      <c r="AE267" s="77"/>
      <c r="AF267" s="77"/>
      <c r="AG267" s="77"/>
      <c r="AH267" s="77"/>
      <c r="AI267" s="68"/>
      <c r="AJ267" s="213">
        <v>1.2760000000000001E-4</v>
      </c>
      <c r="AK267" s="213">
        <v>1.7219</v>
      </c>
      <c r="AL267" s="213">
        <v>4</v>
      </c>
      <c r="AM267" s="213">
        <v>5.1420100000000005E-4</v>
      </c>
      <c r="AN267" s="74"/>
      <c r="AO267" s="73"/>
      <c r="AP267" s="73"/>
      <c r="AQ267" s="73"/>
      <c r="AR267" s="73"/>
      <c r="AS267" s="73"/>
      <c r="AT267" s="74"/>
      <c r="AU267" s="47"/>
      <c r="AV267" s="48"/>
    </row>
    <row r="268" spans="1:48" ht="12.75" customHeight="1" x14ac:dyDescent="0.25">
      <c r="A268" s="72" t="s">
        <v>23</v>
      </c>
      <c r="B268" s="43" t="s">
        <v>159</v>
      </c>
      <c r="C268" s="44" t="s">
        <v>418</v>
      </c>
      <c r="D268" s="45">
        <f>MROUND(MID($C268,6,3)/Basis!$E$3,0.5)</f>
        <v>15.5</v>
      </c>
      <c r="E268" s="45">
        <f>MROUND(MID($C268,9,3)/Basis!$E$3,0.5)</f>
        <v>110</v>
      </c>
      <c r="F268" s="124" t="s">
        <v>2943</v>
      </c>
      <c r="G268" s="45">
        <f>ROUND((ROUNDDOWN($F268/5,0)*5+1.8)/Basis!$E$3,1)</f>
        <v>4.5999999999999996</v>
      </c>
      <c r="H268" s="120">
        <f>ROUND($P268*Basis!$E$2*((TaH-TrH)/LN(1/µ)/Basis!$E$7)^$N268*$AA$4*Glycol,0)</f>
        <v>5807</v>
      </c>
      <c r="I268" s="83">
        <f>ROUND(H268/(MID($C268,9,3)/Basis!$E$3/Basis!$E$9)*Basis!$E$11,0)</f>
        <v>632</v>
      </c>
      <c r="J268" s="123">
        <f>IF(Basis!$E$1=1,ROUND(H268/((TaH-TrH)*1.163)/3600,3),ROUND(H268/(500*(TaH-TrH)),2))</f>
        <v>0.57999999999999996</v>
      </c>
      <c r="K268" s="84"/>
      <c r="L268" s="177">
        <f>CHOOSE(Basis!$E$1,((AJ268*(J268*3600/Basis!$E$5)^AK268*(((MID(C268,9,3)*10)-144)/1000)*AL268+AM268*(J268*3600/Basis!$E$5)^2)*0.0098)/Basis!$E$10,((AJ268*(J268/Basis!$E$5)^AK268*(((MID(C268,9,3)*10)-144)/1000)*AL268+AM268*(J268/Basis!$E$5)^2)*0.0098)/Basis!$E$10)</f>
        <v>5.3597933422008824E-2</v>
      </c>
      <c r="M268" s="85"/>
      <c r="N268" s="110">
        <v>1.3939999999999999</v>
      </c>
      <c r="O268" s="74"/>
      <c r="P268" s="73">
        <v>2696</v>
      </c>
      <c r="Q268" s="74"/>
      <c r="R268" s="75"/>
      <c r="S268" s="75"/>
      <c r="T268" s="75"/>
      <c r="U268" s="75"/>
      <c r="V268" s="75"/>
      <c r="W268" s="74"/>
      <c r="X268" s="76"/>
      <c r="Y268" s="76"/>
      <c r="Z268" s="76"/>
      <c r="AA268" s="76"/>
      <c r="AB268" s="76"/>
      <c r="AC268" s="74"/>
      <c r="AD268" s="77"/>
      <c r="AE268" s="77"/>
      <c r="AF268" s="77"/>
      <c r="AG268" s="77"/>
      <c r="AH268" s="77"/>
      <c r="AI268" s="68"/>
      <c r="AJ268" s="213">
        <v>3.9689999999999994E-4</v>
      </c>
      <c r="AK268" s="213">
        <v>1.7345999999999999</v>
      </c>
      <c r="AL268" s="213">
        <v>2</v>
      </c>
      <c r="AM268" s="213">
        <v>3.6734700000000002E-4</v>
      </c>
      <c r="AN268" s="74"/>
      <c r="AO268" s="73"/>
      <c r="AP268" s="73"/>
      <c r="AQ268" s="73"/>
      <c r="AR268" s="73"/>
      <c r="AS268" s="73"/>
      <c r="AT268" s="74"/>
      <c r="AU268" s="47"/>
      <c r="AV268" s="48"/>
    </row>
    <row r="269" spans="1:48" ht="12.75" customHeight="1" x14ac:dyDescent="0.25">
      <c r="A269" s="72" t="s">
        <v>23</v>
      </c>
      <c r="B269" s="43" t="s">
        <v>159</v>
      </c>
      <c r="C269" s="44" t="s">
        <v>419</v>
      </c>
      <c r="D269" s="45">
        <f>MROUND(MID($C269,6,3)/Basis!$E$3,0.5)</f>
        <v>15.5</v>
      </c>
      <c r="E269" s="45">
        <f>MROUND(MID($C269,9,3)/Basis!$E$3,0.5)</f>
        <v>110</v>
      </c>
      <c r="F269" s="124" t="s">
        <v>2946</v>
      </c>
      <c r="G269" s="45">
        <f>ROUND((ROUNDDOWN($F269/5,0)*5+1.8)/Basis!$E$3,1)</f>
        <v>4.5999999999999996</v>
      </c>
      <c r="H269" s="120">
        <f>ROUND($P269*Basis!$E$2*((TaH-TrH)/LN(1/µ)/Basis!$E$7)^$N269*$AA$4*Glycol,0)</f>
        <v>7510</v>
      </c>
      <c r="I269" s="83">
        <f>ROUND(H269/(MID($C269,9,3)/Basis!$E$3/Basis!$E$9)*Basis!$E$11,0)</f>
        <v>818</v>
      </c>
      <c r="J269" s="123">
        <f>IF(Basis!$E$1=1,ROUND(H269/((TaH-TrH)*1.163)/3600,3),ROUND(H269/(500*(TaH-TrH)),2))</f>
        <v>0.75</v>
      </c>
      <c r="K269" s="84"/>
      <c r="L269" s="177">
        <f>CHOOSE(Basis!$E$1,((AJ269*(J269*3600/Basis!$E$5)^AK269*(((MID(C269,9,3)*10)-144)/1000)*AL269+AM269*(J269*3600/Basis!$E$5)^2)*0.0098)/Basis!$E$10,((AJ269*(J269/Basis!$E$5)^AK269*(((MID(C269,9,3)*10)-144)/1000)*AL269+AM269*(J269/Basis!$E$5)^2)*0.0098)/Basis!$E$10)</f>
        <v>0.15680165987050948</v>
      </c>
      <c r="M269" s="85"/>
      <c r="N269" s="109">
        <v>1.4390000000000001</v>
      </c>
      <c r="O269" s="68"/>
      <c r="P269" s="67">
        <v>3539</v>
      </c>
      <c r="Q269" s="68"/>
      <c r="R269" s="69"/>
      <c r="S269" s="69"/>
      <c r="T269" s="69"/>
      <c r="U269" s="69"/>
      <c r="V269" s="69"/>
      <c r="W269" s="68"/>
      <c r="X269" s="70"/>
      <c r="Y269" s="70"/>
      <c r="Z269" s="70"/>
      <c r="AA269" s="70"/>
      <c r="AB269" s="70"/>
      <c r="AC269" s="68"/>
      <c r="AD269" s="71"/>
      <c r="AE269" s="71"/>
      <c r="AF269" s="71"/>
      <c r="AG269" s="71"/>
      <c r="AH269" s="71"/>
      <c r="AI269" s="68"/>
      <c r="AJ269" s="214">
        <v>3.9689999999999994E-4</v>
      </c>
      <c r="AK269" s="214">
        <v>1.7345999999999999</v>
      </c>
      <c r="AL269" s="214">
        <v>4</v>
      </c>
      <c r="AM269" s="214">
        <v>5.7428799999999995E-4</v>
      </c>
      <c r="AN269" s="68"/>
      <c r="AO269" s="67"/>
      <c r="AP269" s="67"/>
      <c r="AQ269" s="67"/>
      <c r="AR269" s="67"/>
      <c r="AS269" s="67"/>
      <c r="AT269" s="68"/>
      <c r="AU269" s="49"/>
      <c r="AV269" s="50"/>
    </row>
    <row r="270" spans="1:48" ht="12.75" customHeight="1" x14ac:dyDescent="0.25">
      <c r="A270" s="72" t="s">
        <v>23</v>
      </c>
      <c r="B270" s="43" t="s">
        <v>159</v>
      </c>
      <c r="C270" s="44" t="s">
        <v>420</v>
      </c>
      <c r="D270" s="45">
        <f>MROUND(MID($C270,6,3)/Basis!$E$3,0.5)</f>
        <v>15.5</v>
      </c>
      <c r="E270" s="45">
        <f>MROUND(MID($C270,9,3)/Basis!$E$3,0.5)</f>
        <v>110</v>
      </c>
      <c r="F270" s="124" t="s">
        <v>2944</v>
      </c>
      <c r="G270" s="45">
        <f>ROUND((ROUNDDOWN($F270/5,0)*5+1.8)/Basis!$E$3,1)</f>
        <v>6.6</v>
      </c>
      <c r="H270" s="120">
        <f>ROUND($P270*Basis!$E$2*((TaH-TrH)/LN(1/µ)/Basis!$E$7)^$N270*$AA$4*Glycol,0)</f>
        <v>9484</v>
      </c>
      <c r="I270" s="83">
        <f>ROUND(H270/(MID($C270,9,3)/Basis!$E$3/Basis!$E$9)*Basis!$E$11,0)</f>
        <v>1032</v>
      </c>
      <c r="J270" s="123">
        <f>IF(Basis!$E$1=1,ROUND(H270/((TaH-TrH)*1.163)/3600,3),ROUND(H270/(500*(TaH-TrH)),2))</f>
        <v>0.95</v>
      </c>
      <c r="K270" s="84"/>
      <c r="L270" s="177">
        <f>CHOOSE(Basis!$E$1,((AJ270*(J270*3600/Basis!$E$5)^AK270*(((MID(C270,9,3)*10)-144)/1000)*AL270+AM270*(J270*3600/Basis!$E$5)^2)*0.0098)/Basis!$E$10,((AJ270*(J270/Basis!$E$5)^AK270*(((MID(C270,9,3)*10)-144)/1000)*AL270+AM270*(J270/Basis!$E$5)^2)*0.0098)/Basis!$E$10)</f>
        <v>0.10851868508808526</v>
      </c>
      <c r="M270" s="85"/>
      <c r="N270" s="109">
        <v>1.385</v>
      </c>
      <c r="O270" s="68"/>
      <c r="P270" s="67">
        <v>4390</v>
      </c>
      <c r="Q270" s="68"/>
      <c r="R270" s="69"/>
      <c r="S270" s="69"/>
      <c r="T270" s="69"/>
      <c r="U270" s="69"/>
      <c r="V270" s="69"/>
      <c r="W270" s="68"/>
      <c r="X270" s="70"/>
      <c r="Y270" s="70"/>
      <c r="Z270" s="70"/>
      <c r="AA270" s="70"/>
      <c r="AB270" s="70"/>
      <c r="AC270" s="68"/>
      <c r="AD270" s="71"/>
      <c r="AE270" s="71"/>
      <c r="AF270" s="71"/>
      <c r="AG270" s="71"/>
      <c r="AH270" s="71"/>
      <c r="AI270" s="68"/>
      <c r="AJ270" s="214">
        <v>2.0829999999999999E-4</v>
      </c>
      <c r="AK270" s="214">
        <v>1.724</v>
      </c>
      <c r="AL270" s="214">
        <v>2</v>
      </c>
      <c r="AM270" s="214">
        <v>4.6182900000000003E-4</v>
      </c>
      <c r="AN270" s="68"/>
      <c r="AO270" s="67"/>
      <c r="AP270" s="67"/>
      <c r="AQ270" s="67"/>
      <c r="AR270" s="67"/>
      <c r="AS270" s="67"/>
      <c r="AT270" s="68"/>
      <c r="AU270" s="49"/>
      <c r="AV270" s="50"/>
    </row>
    <row r="271" spans="1:48" ht="12.75" customHeight="1" x14ac:dyDescent="0.25">
      <c r="A271" s="72" t="s">
        <v>23</v>
      </c>
      <c r="B271" s="43" t="s">
        <v>159</v>
      </c>
      <c r="C271" s="44" t="s">
        <v>421</v>
      </c>
      <c r="D271" s="45">
        <f>MROUND(MID($C271,6,3)/Basis!$E$3,0.5)</f>
        <v>15.5</v>
      </c>
      <c r="E271" s="45">
        <f>MROUND(MID($C271,9,3)/Basis!$E$3,0.5)</f>
        <v>110</v>
      </c>
      <c r="F271" s="124" t="s">
        <v>2947</v>
      </c>
      <c r="G271" s="45">
        <f>ROUND((ROUNDDOWN($F271/5,0)*5+1.8)/Basis!$E$3,1)</f>
        <v>6.6</v>
      </c>
      <c r="H271" s="120">
        <f>ROUND($P271*Basis!$E$2*((TaH-TrH)/LN(1/µ)/Basis!$E$7)^$N271*$AA$4*Glycol,0)</f>
        <v>10031</v>
      </c>
      <c r="I271" s="83">
        <f>ROUND(H271/(MID($C271,9,3)/Basis!$E$3/Basis!$E$9)*Basis!$E$11,0)</f>
        <v>1092</v>
      </c>
      <c r="J271" s="123">
        <f>IF(Basis!$E$1=1,ROUND(H271/((TaH-TrH)*1.163)/3600,3),ROUND(H271/(500*(TaH-TrH)),2))</f>
        <v>1</v>
      </c>
      <c r="K271" s="84"/>
      <c r="L271" s="177">
        <f>CHOOSE(Basis!$E$1,((AJ271*(J271*3600/Basis!$E$5)^AK271*(((MID(C271,9,3)*10)-144)/1000)*AL271+AM271*(J271*3600/Basis!$E$5)^2)*0.0098)/Basis!$E$10,((AJ271*(J271/Basis!$E$5)^AK271*(((MID(C271,9,3)*10)-144)/1000)*AL271+AM271*(J271/Basis!$E$5)^2)*0.0098)/Basis!$E$10)</f>
        <v>0.31842362583066558</v>
      </c>
      <c r="M271" s="85"/>
      <c r="N271" s="110">
        <v>1.46</v>
      </c>
      <c r="O271" s="74"/>
      <c r="P271" s="73">
        <v>4760</v>
      </c>
      <c r="Q271" s="74"/>
      <c r="R271" s="75"/>
      <c r="S271" s="75"/>
      <c r="T271" s="75"/>
      <c r="U271" s="75"/>
      <c r="V271" s="75"/>
      <c r="W271" s="74"/>
      <c r="X271" s="76"/>
      <c r="Y271" s="76"/>
      <c r="Z271" s="76"/>
      <c r="AA271" s="76"/>
      <c r="AB271" s="76"/>
      <c r="AC271" s="74"/>
      <c r="AD271" s="77"/>
      <c r="AE271" s="77"/>
      <c r="AF271" s="77"/>
      <c r="AG271" s="77"/>
      <c r="AH271" s="77"/>
      <c r="AI271" s="68"/>
      <c r="AJ271" s="213">
        <v>2.0829999999999999E-4</v>
      </c>
      <c r="AK271" s="213">
        <v>1.724</v>
      </c>
      <c r="AL271" s="213">
        <v>4</v>
      </c>
      <c r="AM271" s="213">
        <v>1.392796E-3</v>
      </c>
      <c r="AN271" s="74"/>
      <c r="AO271" s="73"/>
      <c r="AP271" s="73"/>
      <c r="AQ271" s="73"/>
      <c r="AR271" s="73"/>
      <c r="AS271" s="73"/>
      <c r="AT271" s="74"/>
      <c r="AU271" s="47"/>
      <c r="AV271" s="48"/>
    </row>
    <row r="272" spans="1:48" ht="12.75" customHeight="1" x14ac:dyDescent="0.25">
      <c r="A272" s="72" t="s">
        <v>23</v>
      </c>
      <c r="B272" s="43" t="s">
        <v>159</v>
      </c>
      <c r="C272" s="44" t="s">
        <v>422</v>
      </c>
      <c r="D272" s="45">
        <f>MROUND(MID($C272,6,3)/Basis!$E$3,0.5)</f>
        <v>15.5</v>
      </c>
      <c r="E272" s="45">
        <f>MROUND(MID($C272,9,3)/Basis!$E$3,0.5)</f>
        <v>110</v>
      </c>
      <c r="F272" s="124" t="s">
        <v>2945</v>
      </c>
      <c r="G272" s="45">
        <f>ROUND((ROUNDDOWN($F272/5,0)*5+1.8)/Basis!$E$3,1)</f>
        <v>8.6</v>
      </c>
      <c r="H272" s="120">
        <f>ROUND($P272*Basis!$E$2*((TaH-TrH)/LN(1/µ)/Basis!$E$7)^$N272*$AA$4*Glycol,0)</f>
        <v>13288</v>
      </c>
      <c r="I272" s="83">
        <f>ROUND(H272/(MID($C272,9,3)/Basis!$E$3/Basis!$E$9)*Basis!$E$11,0)</f>
        <v>1446</v>
      </c>
      <c r="J272" s="123">
        <f>IF(Basis!$E$1=1,ROUND(H272/((TaH-TrH)*1.163)/3600,3),ROUND(H272/(500*(TaH-TrH)),2))</f>
        <v>1.33</v>
      </c>
      <c r="K272" s="84"/>
      <c r="L272" s="177">
        <f>CHOOSE(Basis!$E$1,((AJ272*(J272*3600/Basis!$E$5)^AK272*(((MID(C272,9,3)*10)-144)/1000)*AL272+AM272*(J272*3600/Basis!$E$5)^2)*0.0098)/Basis!$E$10,((AJ272*(J272/Basis!$E$5)^AK272*(((MID(C272,9,3)*10)-144)/1000)*AL272+AM272*(J272/Basis!$E$5)^2)*0.0098)/Basis!$E$10)</f>
        <v>0.15368325842234151</v>
      </c>
      <c r="M272" s="85"/>
      <c r="N272" s="110">
        <v>1.3839999999999999</v>
      </c>
      <c r="O272" s="74"/>
      <c r="P272" s="73">
        <v>6149</v>
      </c>
      <c r="Q272" s="74"/>
      <c r="R272" s="75"/>
      <c r="S272" s="75"/>
      <c r="T272" s="75"/>
      <c r="U272" s="75"/>
      <c r="V272" s="75"/>
      <c r="W272" s="74"/>
      <c r="X272" s="76"/>
      <c r="Y272" s="76"/>
      <c r="Z272" s="76"/>
      <c r="AA272" s="76"/>
      <c r="AB272" s="76"/>
      <c r="AC272" s="74"/>
      <c r="AD272" s="77"/>
      <c r="AE272" s="77"/>
      <c r="AF272" s="77"/>
      <c r="AG272" s="77"/>
      <c r="AH272" s="77"/>
      <c r="AI272" s="68"/>
      <c r="AJ272" s="213">
        <v>1.2760000000000001E-4</v>
      </c>
      <c r="AK272" s="213">
        <v>1.7219</v>
      </c>
      <c r="AL272" s="213">
        <v>2</v>
      </c>
      <c r="AM272" s="213">
        <v>3.76611E-4</v>
      </c>
      <c r="AN272" s="74"/>
      <c r="AO272" s="73"/>
      <c r="AP272" s="73"/>
      <c r="AQ272" s="73"/>
      <c r="AR272" s="73"/>
      <c r="AS272" s="73"/>
      <c r="AT272" s="74"/>
      <c r="AU272" s="47"/>
      <c r="AV272" s="48"/>
    </row>
    <row r="273" spans="1:48" ht="12.75" customHeight="1" x14ac:dyDescent="0.25">
      <c r="A273" s="72" t="s">
        <v>23</v>
      </c>
      <c r="B273" s="43" t="s">
        <v>159</v>
      </c>
      <c r="C273" s="44" t="s">
        <v>423</v>
      </c>
      <c r="D273" s="45">
        <f>MROUND(MID($C273,6,3)/Basis!$E$3,0.5)</f>
        <v>15.5</v>
      </c>
      <c r="E273" s="45">
        <f>MROUND(MID($C273,9,3)/Basis!$E$3,0.5)</f>
        <v>110</v>
      </c>
      <c r="F273" s="124" t="s">
        <v>2948</v>
      </c>
      <c r="G273" s="45">
        <f>ROUND((ROUNDDOWN($F273/5,0)*5+1.8)/Basis!$E$3,1)</f>
        <v>8.6</v>
      </c>
      <c r="H273" s="120">
        <f>ROUND($P273*Basis!$E$2*((TaH-TrH)/LN(1/µ)/Basis!$E$7)^$N273*$AA$4*Glycol,0)</f>
        <v>13343</v>
      </c>
      <c r="I273" s="83">
        <f>ROUND(H273/(MID($C273,9,3)/Basis!$E$3/Basis!$E$9)*Basis!$E$11,0)</f>
        <v>1452</v>
      </c>
      <c r="J273" s="123">
        <f>IF(Basis!$E$1=1,ROUND(H273/((TaH-TrH)*1.163)/3600,3),ROUND(H273/(500*(TaH-TrH)),2))</f>
        <v>1.33</v>
      </c>
      <c r="K273" s="84"/>
      <c r="L273" s="177">
        <f>CHOOSE(Basis!$E$1,((AJ273*(J273*3600/Basis!$E$5)^AK273*(((MID(C273,9,3)*10)-144)/1000)*AL273+AM273*(J273*3600/Basis!$E$5)^2)*0.0098)/Basis!$E$10,((AJ273*(J273/Basis!$E$5)^AK273*(((MID(C273,9,3)*10)-144)/1000)*AL273+AM273*(J273/Basis!$E$5)^2)*0.0098)/Basis!$E$10)</f>
        <v>0.23605210601901075</v>
      </c>
      <c r="M273" s="85"/>
      <c r="N273" s="109">
        <v>1.4770000000000001</v>
      </c>
      <c r="O273" s="68"/>
      <c r="P273" s="67">
        <v>6367</v>
      </c>
      <c r="Q273" s="68"/>
      <c r="R273" s="69"/>
      <c r="S273" s="69"/>
      <c r="T273" s="69"/>
      <c r="U273" s="69"/>
      <c r="V273" s="69"/>
      <c r="W273" s="68"/>
      <c r="X273" s="70"/>
      <c r="Y273" s="70"/>
      <c r="Z273" s="70"/>
      <c r="AA273" s="70"/>
      <c r="AB273" s="70"/>
      <c r="AC273" s="68"/>
      <c r="AD273" s="71"/>
      <c r="AE273" s="71"/>
      <c r="AF273" s="71"/>
      <c r="AG273" s="71"/>
      <c r="AH273" s="71"/>
      <c r="AI273" s="68"/>
      <c r="AJ273" s="214">
        <v>1.2760000000000001E-4</v>
      </c>
      <c r="AK273" s="214">
        <v>1.7219</v>
      </c>
      <c r="AL273" s="214">
        <v>4</v>
      </c>
      <c r="AM273" s="214">
        <v>5.1420100000000005E-4</v>
      </c>
      <c r="AN273" s="68"/>
      <c r="AO273" s="67"/>
      <c r="AP273" s="67"/>
      <c r="AQ273" s="67"/>
      <c r="AR273" s="67"/>
      <c r="AS273" s="67"/>
      <c r="AT273" s="68"/>
      <c r="AU273" s="49"/>
      <c r="AV273" s="50"/>
    </row>
    <row r="274" spans="1:48" ht="12.75" customHeight="1" x14ac:dyDescent="0.25">
      <c r="A274" s="72" t="s">
        <v>23</v>
      </c>
      <c r="B274" s="43" t="s">
        <v>159</v>
      </c>
      <c r="C274" s="44" t="s">
        <v>424</v>
      </c>
      <c r="D274" s="45">
        <f>MROUND(MID($C274,6,3)/Basis!$E$3,0.5)</f>
        <v>15.5</v>
      </c>
      <c r="E274" s="45">
        <f>MROUND(MID($C274,9,3)/Basis!$E$3,0.5)</f>
        <v>118</v>
      </c>
      <c r="F274" s="124" t="s">
        <v>2943</v>
      </c>
      <c r="G274" s="45">
        <f>ROUND((ROUNDDOWN($F274/5,0)*5+1.8)/Basis!$E$3,1)</f>
        <v>4.5999999999999996</v>
      </c>
      <c r="H274" s="120">
        <f>ROUND($P274*Basis!$E$2*((TaH-TrH)/LN(1/µ)/Basis!$E$7)^$N274*$AA$4*Glycol,0)</f>
        <v>6222</v>
      </c>
      <c r="I274" s="83">
        <f>ROUND(H274/(MID($C274,9,3)/Basis!$E$3/Basis!$E$9)*Basis!$E$11,0)</f>
        <v>632</v>
      </c>
      <c r="J274" s="123">
        <f>IF(Basis!$E$1=1,ROUND(H274/((TaH-TrH)*1.163)/3600,3),ROUND(H274/(500*(TaH-TrH)),2))</f>
        <v>0.62</v>
      </c>
      <c r="K274" s="84"/>
      <c r="L274" s="177">
        <f>CHOOSE(Basis!$E$1,((AJ274*(J274*3600/Basis!$E$5)^AK274*(((MID(C274,9,3)*10)-144)/1000)*AL274+AM274*(J274*3600/Basis!$E$5)^2)*0.0098)/Basis!$E$10,((AJ274*(J274/Basis!$E$5)^AK274*(((MID(C274,9,3)*10)-144)/1000)*AL274+AM274*(J274/Basis!$E$5)^2)*0.0098)/Basis!$E$10)</f>
        <v>6.3357965788232565E-2</v>
      </c>
      <c r="M274" s="85"/>
      <c r="N274" s="109">
        <v>1.3939999999999999</v>
      </c>
      <c r="O274" s="68"/>
      <c r="P274" s="67">
        <v>2889</v>
      </c>
      <c r="Q274" s="68"/>
      <c r="R274" s="69"/>
      <c r="S274" s="69"/>
      <c r="T274" s="69"/>
      <c r="U274" s="69"/>
      <c r="V274" s="69"/>
      <c r="W274" s="68"/>
      <c r="X274" s="70"/>
      <c r="Y274" s="70"/>
      <c r="Z274" s="70"/>
      <c r="AA274" s="70"/>
      <c r="AB274" s="70"/>
      <c r="AC274" s="68"/>
      <c r="AD274" s="71"/>
      <c r="AE274" s="71"/>
      <c r="AF274" s="71"/>
      <c r="AG274" s="71"/>
      <c r="AH274" s="71"/>
      <c r="AI274" s="68"/>
      <c r="AJ274" s="214">
        <v>3.9689999999999994E-4</v>
      </c>
      <c r="AK274" s="214">
        <v>1.7345999999999999</v>
      </c>
      <c r="AL274" s="214">
        <v>2</v>
      </c>
      <c r="AM274" s="214">
        <v>3.6734700000000002E-4</v>
      </c>
      <c r="AN274" s="68"/>
      <c r="AO274" s="67"/>
      <c r="AP274" s="67"/>
      <c r="AQ274" s="67"/>
      <c r="AR274" s="67"/>
      <c r="AS274" s="67"/>
      <c r="AT274" s="68"/>
      <c r="AU274" s="49"/>
      <c r="AV274" s="50"/>
    </row>
    <row r="275" spans="1:48" ht="12.75" customHeight="1" x14ac:dyDescent="0.25">
      <c r="A275" s="72" t="s">
        <v>23</v>
      </c>
      <c r="B275" s="43" t="s">
        <v>159</v>
      </c>
      <c r="C275" s="44" t="s">
        <v>425</v>
      </c>
      <c r="D275" s="45">
        <f>MROUND(MID($C275,6,3)/Basis!$E$3,0.5)</f>
        <v>15.5</v>
      </c>
      <c r="E275" s="45">
        <f>MROUND(MID($C275,9,3)/Basis!$E$3,0.5)</f>
        <v>118</v>
      </c>
      <c r="F275" s="124" t="s">
        <v>2946</v>
      </c>
      <c r="G275" s="45">
        <f>ROUND((ROUNDDOWN($F275/5,0)*5+1.8)/Basis!$E$3,1)</f>
        <v>4.5999999999999996</v>
      </c>
      <c r="H275" s="120">
        <f>ROUND($P275*Basis!$E$2*((TaH-TrH)/LN(1/µ)/Basis!$E$7)^$N275*$AA$4*Glycol,0)</f>
        <v>8047</v>
      </c>
      <c r="I275" s="83">
        <f>ROUND(H275/(MID($C275,9,3)/Basis!$E$3/Basis!$E$9)*Basis!$E$11,0)</f>
        <v>818</v>
      </c>
      <c r="J275" s="123">
        <f>IF(Basis!$E$1=1,ROUND(H275/((TaH-TrH)*1.163)/3600,3),ROUND(H275/(500*(TaH-TrH)),2))</f>
        <v>0.8</v>
      </c>
      <c r="K275" s="84"/>
      <c r="L275" s="177">
        <f>CHOOSE(Basis!$E$1,((AJ275*(J275*3600/Basis!$E$5)^AK275*(((MID(C275,9,3)*10)-144)/1000)*AL275+AM275*(J275*3600/Basis!$E$5)^2)*0.0098)/Basis!$E$10,((AJ275*(J275/Basis!$E$5)^AK275*(((MID(C275,9,3)*10)-144)/1000)*AL275+AM275*(J275/Basis!$E$5)^2)*0.0098)/Basis!$E$10)</f>
        <v>0.18504553709536173</v>
      </c>
      <c r="M275" s="85"/>
      <c r="N275" s="110">
        <v>1.4390000000000001</v>
      </c>
      <c r="O275" s="74"/>
      <c r="P275" s="73">
        <v>3792</v>
      </c>
      <c r="Q275" s="74"/>
      <c r="R275" s="75"/>
      <c r="S275" s="75"/>
      <c r="T275" s="75"/>
      <c r="U275" s="75"/>
      <c r="V275" s="75"/>
      <c r="W275" s="74"/>
      <c r="X275" s="76"/>
      <c r="Y275" s="76"/>
      <c r="Z275" s="76"/>
      <c r="AA275" s="76"/>
      <c r="AB275" s="76"/>
      <c r="AC275" s="74"/>
      <c r="AD275" s="77"/>
      <c r="AE275" s="77"/>
      <c r="AF275" s="77"/>
      <c r="AG275" s="77"/>
      <c r="AH275" s="77"/>
      <c r="AI275" s="68"/>
      <c r="AJ275" s="213">
        <v>3.9689999999999994E-4</v>
      </c>
      <c r="AK275" s="213">
        <v>1.7345999999999999</v>
      </c>
      <c r="AL275" s="213">
        <v>4</v>
      </c>
      <c r="AM275" s="213">
        <v>5.7428799999999995E-4</v>
      </c>
      <c r="AN275" s="74"/>
      <c r="AO275" s="73"/>
      <c r="AP275" s="73"/>
      <c r="AQ275" s="73"/>
      <c r="AR275" s="73"/>
      <c r="AS275" s="73"/>
      <c r="AT275" s="74"/>
      <c r="AU275" s="47"/>
      <c r="AV275" s="48"/>
    </row>
    <row r="276" spans="1:48" ht="12.75" customHeight="1" x14ac:dyDescent="0.25">
      <c r="A276" s="72" t="s">
        <v>23</v>
      </c>
      <c r="B276" s="43" t="s">
        <v>159</v>
      </c>
      <c r="C276" s="44" t="s">
        <v>426</v>
      </c>
      <c r="D276" s="45">
        <f>MROUND(MID($C276,6,3)/Basis!$E$3,0.5)</f>
        <v>15.5</v>
      </c>
      <c r="E276" s="45">
        <f>MROUND(MID($C276,9,3)/Basis!$E$3,0.5)</f>
        <v>118</v>
      </c>
      <c r="F276" s="124" t="s">
        <v>2944</v>
      </c>
      <c r="G276" s="45">
        <f>ROUND((ROUNDDOWN($F276/5,0)*5+1.8)/Basis!$E$3,1)</f>
        <v>6.6</v>
      </c>
      <c r="H276" s="120">
        <f>ROUND($P276*Basis!$E$2*((TaH-TrH)/LN(1/µ)/Basis!$E$7)^$N276*$AA$4*Glycol,0)</f>
        <v>10162</v>
      </c>
      <c r="I276" s="83">
        <f>ROUND(H276/(MID($C276,9,3)/Basis!$E$3/Basis!$E$9)*Basis!$E$11,0)</f>
        <v>1032</v>
      </c>
      <c r="J276" s="123">
        <f>IF(Basis!$E$1=1,ROUND(H276/((TaH-TrH)*1.163)/3600,3),ROUND(H276/(500*(TaH-TrH)),2))</f>
        <v>1.02</v>
      </c>
      <c r="K276" s="84"/>
      <c r="L276" s="177">
        <f>CHOOSE(Basis!$E$1,((AJ276*(J276*3600/Basis!$E$5)^AK276*(((MID(C276,9,3)*10)-144)/1000)*AL276+AM276*(J276*3600/Basis!$E$5)^2)*0.0098)/Basis!$E$10,((AJ276*(J276/Basis!$E$5)^AK276*(((MID(C276,9,3)*10)-144)/1000)*AL276+AM276*(J276/Basis!$E$5)^2)*0.0098)/Basis!$E$10)</f>
        <v>0.1274970651734792</v>
      </c>
      <c r="M276" s="85"/>
      <c r="N276" s="110">
        <v>1.385</v>
      </c>
      <c r="O276" s="74"/>
      <c r="P276" s="73">
        <v>4704</v>
      </c>
      <c r="Q276" s="74"/>
      <c r="R276" s="75"/>
      <c r="S276" s="75"/>
      <c r="T276" s="75"/>
      <c r="U276" s="75"/>
      <c r="V276" s="75"/>
      <c r="W276" s="74"/>
      <c r="X276" s="76"/>
      <c r="Y276" s="76"/>
      <c r="Z276" s="76"/>
      <c r="AA276" s="76"/>
      <c r="AB276" s="76"/>
      <c r="AC276" s="74"/>
      <c r="AD276" s="77"/>
      <c r="AE276" s="77"/>
      <c r="AF276" s="77"/>
      <c r="AG276" s="77"/>
      <c r="AH276" s="77"/>
      <c r="AI276" s="68"/>
      <c r="AJ276" s="213">
        <v>2.0829999999999999E-4</v>
      </c>
      <c r="AK276" s="213">
        <v>1.724</v>
      </c>
      <c r="AL276" s="213">
        <v>2</v>
      </c>
      <c r="AM276" s="213">
        <v>4.6182900000000003E-4</v>
      </c>
      <c r="AN276" s="74"/>
      <c r="AO276" s="73"/>
      <c r="AP276" s="73"/>
      <c r="AQ276" s="73"/>
      <c r="AR276" s="73"/>
      <c r="AS276" s="73"/>
      <c r="AT276" s="74"/>
      <c r="AU276" s="47"/>
      <c r="AV276" s="48"/>
    </row>
    <row r="277" spans="1:48" ht="12.75" customHeight="1" x14ac:dyDescent="0.25">
      <c r="A277" s="72" t="s">
        <v>23</v>
      </c>
      <c r="B277" s="43" t="s">
        <v>159</v>
      </c>
      <c r="C277" s="44" t="s">
        <v>427</v>
      </c>
      <c r="D277" s="45">
        <f>MROUND(MID($C277,6,3)/Basis!$E$3,0.5)</f>
        <v>15.5</v>
      </c>
      <c r="E277" s="45">
        <f>MROUND(MID($C277,9,3)/Basis!$E$3,0.5)</f>
        <v>118</v>
      </c>
      <c r="F277" s="124" t="s">
        <v>2947</v>
      </c>
      <c r="G277" s="45">
        <f>ROUND((ROUNDDOWN($F277/5,0)*5+1.8)/Basis!$E$3,1)</f>
        <v>6.6</v>
      </c>
      <c r="H277" s="120">
        <f>ROUND($P277*Basis!$E$2*((TaH-TrH)/LN(1/µ)/Basis!$E$7)^$N277*$AA$4*Glycol,0)</f>
        <v>10748</v>
      </c>
      <c r="I277" s="83">
        <f>ROUND(H277/(MID($C277,9,3)/Basis!$E$3/Basis!$E$9)*Basis!$E$11,0)</f>
        <v>1092</v>
      </c>
      <c r="J277" s="123">
        <f>IF(Basis!$E$1=1,ROUND(H277/((TaH-TrH)*1.163)/3600,3),ROUND(H277/(500*(TaH-TrH)),2))</f>
        <v>1.07</v>
      </c>
      <c r="K277" s="84"/>
      <c r="L277" s="177">
        <f>CHOOSE(Basis!$E$1,((AJ277*(J277*3600/Basis!$E$5)^AK277*(((MID(C277,9,3)*10)-144)/1000)*AL277+AM277*(J277*3600/Basis!$E$5)^2)*0.0098)/Basis!$E$10,((AJ277*(J277/Basis!$E$5)^AK277*(((MID(C277,9,3)*10)-144)/1000)*AL277+AM277*(J277/Basis!$E$5)^2)*0.0098)/Basis!$E$10)</f>
        <v>0.36986016904166402</v>
      </c>
      <c r="M277" s="85"/>
      <c r="N277" s="109">
        <v>1.46</v>
      </c>
      <c r="O277" s="68"/>
      <c r="P277" s="67">
        <v>5100</v>
      </c>
      <c r="Q277" s="68"/>
      <c r="R277" s="69"/>
      <c r="S277" s="69"/>
      <c r="T277" s="69"/>
      <c r="U277" s="69"/>
      <c r="V277" s="69"/>
      <c r="W277" s="68"/>
      <c r="X277" s="70"/>
      <c r="Y277" s="70"/>
      <c r="Z277" s="70"/>
      <c r="AA277" s="70"/>
      <c r="AB277" s="70"/>
      <c r="AC277" s="68"/>
      <c r="AD277" s="71"/>
      <c r="AE277" s="71"/>
      <c r="AF277" s="71"/>
      <c r="AG277" s="71"/>
      <c r="AH277" s="71"/>
      <c r="AI277" s="68"/>
      <c r="AJ277" s="214">
        <v>2.0829999999999999E-4</v>
      </c>
      <c r="AK277" s="214">
        <v>1.724</v>
      </c>
      <c r="AL277" s="214">
        <v>4</v>
      </c>
      <c r="AM277" s="214">
        <v>1.392796E-3</v>
      </c>
      <c r="AN277" s="68"/>
      <c r="AO277" s="67"/>
      <c r="AP277" s="67"/>
      <c r="AQ277" s="67"/>
      <c r="AR277" s="67"/>
      <c r="AS277" s="67"/>
      <c r="AT277" s="68"/>
      <c r="AU277" s="49"/>
      <c r="AV277" s="50"/>
    </row>
    <row r="278" spans="1:48" ht="12.75" customHeight="1" x14ac:dyDescent="0.25">
      <c r="A278" s="72" t="s">
        <v>23</v>
      </c>
      <c r="B278" s="43" t="s">
        <v>159</v>
      </c>
      <c r="C278" s="44" t="s">
        <v>428</v>
      </c>
      <c r="D278" s="45">
        <f>MROUND(MID($C278,6,3)/Basis!$E$3,0.5)</f>
        <v>15.5</v>
      </c>
      <c r="E278" s="45">
        <f>MROUND(MID($C278,9,3)/Basis!$E$3,0.5)</f>
        <v>118</v>
      </c>
      <c r="F278" s="124" t="s">
        <v>2945</v>
      </c>
      <c r="G278" s="45">
        <f>ROUND((ROUNDDOWN($F278/5,0)*5+1.8)/Basis!$E$3,1)</f>
        <v>8.6</v>
      </c>
      <c r="H278" s="120">
        <f>ROUND($P278*Basis!$E$2*((TaH-TrH)/LN(1/µ)/Basis!$E$7)^$N278*$AA$4*Glycol,0)</f>
        <v>14236</v>
      </c>
      <c r="I278" s="83">
        <f>ROUND(H278/(MID($C278,9,3)/Basis!$E$3/Basis!$E$9)*Basis!$E$11,0)</f>
        <v>1446</v>
      </c>
      <c r="J278" s="123">
        <f>IF(Basis!$E$1=1,ROUND(H278/((TaH-TrH)*1.163)/3600,3),ROUND(H278/(500*(TaH-TrH)),2))</f>
        <v>1.42</v>
      </c>
      <c r="K278" s="84"/>
      <c r="L278" s="177">
        <f>CHOOSE(Basis!$E$1,((AJ278*(J278*3600/Basis!$E$5)^AK278*(((MID(C278,9,3)*10)-144)/1000)*AL278+AM278*(J278*3600/Basis!$E$5)^2)*0.0098)/Basis!$E$10,((AJ278*(J278/Basis!$E$5)^AK278*(((MID(C278,9,3)*10)-144)/1000)*AL278+AM278*(J278/Basis!$E$5)^2)*0.0098)/Basis!$E$10)</f>
        <v>0.17781893062966114</v>
      </c>
      <c r="M278" s="85"/>
      <c r="N278" s="109">
        <v>1.3839999999999999</v>
      </c>
      <c r="O278" s="68"/>
      <c r="P278" s="67">
        <v>6588</v>
      </c>
      <c r="Q278" s="68"/>
      <c r="R278" s="69"/>
      <c r="S278" s="69"/>
      <c r="T278" s="69"/>
      <c r="U278" s="69"/>
      <c r="V278" s="69"/>
      <c r="W278" s="68"/>
      <c r="X278" s="70"/>
      <c r="Y278" s="70"/>
      <c r="Z278" s="70"/>
      <c r="AA278" s="70"/>
      <c r="AB278" s="70"/>
      <c r="AC278" s="68"/>
      <c r="AD278" s="71"/>
      <c r="AE278" s="71"/>
      <c r="AF278" s="71"/>
      <c r="AG278" s="71"/>
      <c r="AH278" s="71"/>
      <c r="AI278" s="68"/>
      <c r="AJ278" s="214">
        <v>1.2760000000000001E-4</v>
      </c>
      <c r="AK278" s="214">
        <v>1.7219</v>
      </c>
      <c r="AL278" s="214">
        <v>2</v>
      </c>
      <c r="AM278" s="214">
        <v>3.76611E-4</v>
      </c>
      <c r="AN278" s="68"/>
      <c r="AO278" s="67"/>
      <c r="AP278" s="67"/>
      <c r="AQ278" s="67"/>
      <c r="AR278" s="67"/>
      <c r="AS278" s="67"/>
      <c r="AT278" s="68"/>
      <c r="AU278" s="49"/>
      <c r="AV278" s="50"/>
    </row>
    <row r="279" spans="1:48" ht="12.75" customHeight="1" x14ac:dyDescent="0.25">
      <c r="A279" s="72" t="s">
        <v>23</v>
      </c>
      <c r="B279" s="43" t="s">
        <v>159</v>
      </c>
      <c r="C279" s="44" t="s">
        <v>429</v>
      </c>
      <c r="D279" s="45">
        <f>MROUND(MID($C279,6,3)/Basis!$E$3,0.5)</f>
        <v>15.5</v>
      </c>
      <c r="E279" s="45">
        <f>MROUND(MID($C279,9,3)/Basis!$E$3,0.5)</f>
        <v>118</v>
      </c>
      <c r="F279" s="124" t="s">
        <v>2948</v>
      </c>
      <c r="G279" s="45">
        <f>ROUND((ROUNDDOWN($F279/5,0)*5+1.8)/Basis!$E$3,1)</f>
        <v>8.6</v>
      </c>
      <c r="H279" s="120">
        <f>ROUND($P279*Basis!$E$2*((TaH-TrH)/LN(1/µ)/Basis!$E$7)^$N279*$AA$4*Glycol,0)</f>
        <v>14296</v>
      </c>
      <c r="I279" s="83">
        <f>ROUND(H279/(MID($C279,9,3)/Basis!$E$3/Basis!$E$9)*Basis!$E$11,0)</f>
        <v>1452</v>
      </c>
      <c r="J279" s="123">
        <f>IF(Basis!$E$1=1,ROUND(H279/((TaH-TrH)*1.163)/3600,3),ROUND(H279/(500*(TaH-TrH)),2))</f>
        <v>1.43</v>
      </c>
      <c r="K279" s="84"/>
      <c r="L279" s="177">
        <f>CHOOSE(Basis!$E$1,((AJ279*(J279*3600/Basis!$E$5)^AK279*(((MID(C279,9,3)*10)-144)/1000)*AL279+AM279*(J279*3600/Basis!$E$5)^2)*0.0098)/Basis!$E$10,((AJ279*(J279/Basis!$E$5)^AK279*(((MID(C279,9,3)*10)-144)/1000)*AL279+AM279*(J279/Basis!$E$5)^2)*0.0098)/Basis!$E$10)</f>
        <v>0.27802628229671106</v>
      </c>
      <c r="M279" s="85"/>
      <c r="N279" s="110">
        <v>1.4770000000000001</v>
      </c>
      <c r="O279" s="74"/>
      <c r="P279" s="73">
        <v>6822</v>
      </c>
      <c r="Q279" s="74"/>
      <c r="R279" s="75"/>
      <c r="S279" s="75"/>
      <c r="T279" s="75"/>
      <c r="U279" s="75"/>
      <c r="V279" s="75"/>
      <c r="W279" s="74"/>
      <c r="X279" s="76"/>
      <c r="Y279" s="76"/>
      <c r="Z279" s="76"/>
      <c r="AA279" s="76"/>
      <c r="AB279" s="76"/>
      <c r="AC279" s="74"/>
      <c r="AD279" s="77"/>
      <c r="AE279" s="77"/>
      <c r="AF279" s="77"/>
      <c r="AG279" s="77"/>
      <c r="AH279" s="77"/>
      <c r="AI279" s="68"/>
      <c r="AJ279" s="213">
        <v>1.2760000000000001E-4</v>
      </c>
      <c r="AK279" s="213">
        <v>1.7219</v>
      </c>
      <c r="AL279" s="213">
        <v>4</v>
      </c>
      <c r="AM279" s="213">
        <v>5.1420100000000005E-4</v>
      </c>
      <c r="AN279" s="74"/>
      <c r="AO279" s="73"/>
      <c r="AP279" s="73"/>
      <c r="AQ279" s="73"/>
      <c r="AR279" s="73"/>
      <c r="AS279" s="73"/>
      <c r="AT279" s="74"/>
      <c r="AU279" s="47"/>
      <c r="AV279" s="48"/>
    </row>
    <row r="280" spans="1:48" ht="12.75" customHeight="1" x14ac:dyDescent="0.25">
      <c r="A280" s="72" t="s">
        <v>23</v>
      </c>
      <c r="B280" s="43" t="s">
        <v>159</v>
      </c>
      <c r="C280" s="44" t="s">
        <v>430</v>
      </c>
      <c r="D280" s="45">
        <f>MROUND(MID($C280,6,3)/Basis!$E$3,0.5)</f>
        <v>19.5</v>
      </c>
      <c r="E280" s="45">
        <f>MROUND(MID($C280,9,3)/Basis!$E$3,0.5)</f>
        <v>15.5</v>
      </c>
      <c r="F280" s="124" t="s">
        <v>2943</v>
      </c>
      <c r="G280" s="45">
        <f>ROUND((ROUNDDOWN($F280/5,0)*5+1.8)/Basis!$E$3,1)</f>
        <v>4.5999999999999996</v>
      </c>
      <c r="H280" s="120">
        <f>ROUND($P280*Basis!$E$2*((TaH-TrH)/LN(1/µ)/Basis!$E$7)^$N280*$AA$4*Glycol,0)</f>
        <v>929</v>
      </c>
      <c r="I280" s="83">
        <f>ROUND(H280/(MID($C280,9,3)/Basis!$E$3/Basis!$E$9)*Basis!$E$11,0)</f>
        <v>708</v>
      </c>
      <c r="J280" s="123">
        <f>IF(Basis!$E$1=1,ROUND(H280/((TaH-TrH)*1.163)/3600,3),ROUND(H280/(500*(TaH-TrH)),2))</f>
        <v>0.09</v>
      </c>
      <c r="K280" s="84"/>
      <c r="L280" s="177">
        <f>CHOOSE(Basis!$E$1,((AJ280*(J280*3600/Basis!$E$5)^AK280*(((MID(C280,9,3)*10)-144)/1000)*AL280+AM280*(J280*3600/Basis!$E$5)^2)*0.0098)/Basis!$E$10,((AJ280*(J280/Basis!$E$5)^AK280*(((MID(C280,9,3)*10)-144)/1000)*AL280+AM280*(J280/Basis!$E$5)^2)*0.0098)/Basis!$E$10)</f>
        <v>6.2652283053583565E-4</v>
      </c>
      <c r="M280" s="85"/>
      <c r="N280" s="110">
        <v>1.385</v>
      </c>
      <c r="O280" s="74"/>
      <c r="P280" s="73">
        <v>430</v>
      </c>
      <c r="Q280" s="74"/>
      <c r="R280" s="75"/>
      <c r="S280" s="75"/>
      <c r="T280" s="75"/>
      <c r="U280" s="75"/>
      <c r="V280" s="75"/>
      <c r="W280" s="74"/>
      <c r="X280" s="76"/>
      <c r="Y280" s="76"/>
      <c r="Z280" s="76"/>
      <c r="AA280" s="76"/>
      <c r="AB280" s="76"/>
      <c r="AC280" s="74"/>
      <c r="AD280" s="77"/>
      <c r="AE280" s="77"/>
      <c r="AF280" s="77"/>
      <c r="AG280" s="77"/>
      <c r="AH280" s="77"/>
      <c r="AI280" s="68"/>
      <c r="AJ280" s="213">
        <v>3.9689999999999994E-4</v>
      </c>
      <c r="AK280" s="213">
        <v>1.7345999999999999</v>
      </c>
      <c r="AL280" s="213">
        <v>2</v>
      </c>
      <c r="AM280" s="213">
        <v>3.6734700000000002E-4</v>
      </c>
      <c r="AN280" s="74"/>
      <c r="AO280" s="73"/>
      <c r="AP280" s="73"/>
      <c r="AQ280" s="73"/>
      <c r="AR280" s="73"/>
      <c r="AS280" s="73"/>
      <c r="AT280" s="74"/>
      <c r="AU280" s="47"/>
      <c r="AV280" s="48"/>
    </row>
    <row r="281" spans="1:48" ht="12.75" customHeight="1" x14ac:dyDescent="0.25">
      <c r="A281" s="72" t="s">
        <v>23</v>
      </c>
      <c r="B281" s="43" t="s">
        <v>159</v>
      </c>
      <c r="C281" s="44" t="s">
        <v>431</v>
      </c>
      <c r="D281" s="45">
        <f>MROUND(MID($C281,6,3)/Basis!$E$3,0.5)</f>
        <v>19.5</v>
      </c>
      <c r="E281" s="45">
        <f>MROUND(MID($C281,9,3)/Basis!$E$3,0.5)</f>
        <v>15.5</v>
      </c>
      <c r="F281" s="124" t="s">
        <v>2946</v>
      </c>
      <c r="G281" s="45">
        <f>ROUND((ROUNDDOWN($F281/5,0)*5+1.8)/Basis!$E$3,1)</f>
        <v>4.5999999999999996</v>
      </c>
      <c r="H281" s="120">
        <f>ROUND($P281*Basis!$E$2*((TaH-TrH)/LN(1/µ)/Basis!$E$7)^$N281*$AA$4*Glycol,0)</f>
        <v>1176</v>
      </c>
      <c r="I281" s="83">
        <f>ROUND(H281/(MID($C281,9,3)/Basis!$E$3/Basis!$E$9)*Basis!$E$11,0)</f>
        <v>896</v>
      </c>
      <c r="J281" s="123">
        <f>IF(Basis!$E$1=1,ROUND(H281/((TaH-TrH)*1.163)/3600,3),ROUND(H281/(500*(TaH-TrH)),2))</f>
        <v>0.12</v>
      </c>
      <c r="K281" s="84"/>
      <c r="L281" s="177">
        <f>CHOOSE(Basis!$E$1,((AJ281*(J281*3600/Basis!$E$5)^AK281*(((MID(C281,9,3)*10)-144)/1000)*AL281+AM281*(J281*3600/Basis!$E$5)^2)*0.0098)/Basis!$E$10,((AJ281*(J281/Basis!$E$5)^AK281*(((MID(C281,9,3)*10)-144)/1000)*AL281+AM281*(J281/Basis!$E$5)^2)*0.0098)/Basis!$E$10)</f>
        <v>1.8054574484469873E-3</v>
      </c>
      <c r="M281" s="85"/>
      <c r="N281" s="109">
        <v>1.4379999999999999</v>
      </c>
      <c r="O281" s="68"/>
      <c r="P281" s="67">
        <v>554</v>
      </c>
      <c r="Q281" s="68"/>
      <c r="R281" s="69"/>
      <c r="S281" s="69"/>
      <c r="T281" s="69"/>
      <c r="U281" s="69"/>
      <c r="V281" s="69"/>
      <c r="W281" s="68"/>
      <c r="X281" s="70"/>
      <c r="Y281" s="70"/>
      <c r="Z281" s="70"/>
      <c r="AA281" s="70"/>
      <c r="AB281" s="70"/>
      <c r="AC281" s="68"/>
      <c r="AD281" s="71"/>
      <c r="AE281" s="71"/>
      <c r="AF281" s="71"/>
      <c r="AG281" s="71"/>
      <c r="AH281" s="71"/>
      <c r="AI281" s="68"/>
      <c r="AJ281" s="214">
        <v>3.9689999999999994E-4</v>
      </c>
      <c r="AK281" s="214">
        <v>1.7345999999999999</v>
      </c>
      <c r="AL281" s="214">
        <v>4</v>
      </c>
      <c r="AM281" s="214">
        <v>5.7428799999999995E-4</v>
      </c>
      <c r="AN281" s="68"/>
      <c r="AO281" s="67"/>
      <c r="AP281" s="67"/>
      <c r="AQ281" s="67"/>
      <c r="AR281" s="67"/>
      <c r="AS281" s="67"/>
      <c r="AT281" s="68"/>
      <c r="AU281" s="49"/>
      <c r="AV281" s="50"/>
    </row>
    <row r="282" spans="1:48" ht="12.75" customHeight="1" x14ac:dyDescent="0.25">
      <c r="A282" s="72" t="s">
        <v>23</v>
      </c>
      <c r="B282" s="43" t="s">
        <v>159</v>
      </c>
      <c r="C282" s="44" t="s">
        <v>432</v>
      </c>
      <c r="D282" s="45">
        <f>MROUND(MID($C282,6,3)/Basis!$E$3,0.5)</f>
        <v>19.5</v>
      </c>
      <c r="E282" s="45">
        <f>MROUND(MID($C282,9,3)/Basis!$E$3,0.5)</f>
        <v>15.5</v>
      </c>
      <c r="F282" s="124" t="s">
        <v>2944</v>
      </c>
      <c r="G282" s="45">
        <f>ROUND((ROUNDDOWN($F282/5,0)*5+1.8)/Basis!$E$3,1)</f>
        <v>6.6</v>
      </c>
      <c r="H282" s="120">
        <f>ROUND($P282*Basis!$E$2*((TaH-TrH)/LN(1/µ)/Basis!$E$7)^$N282*$AA$4*Glycol,0)</f>
        <v>1505</v>
      </c>
      <c r="I282" s="83">
        <f>ROUND(H282/(MID($C282,9,3)/Basis!$E$3/Basis!$E$9)*Basis!$E$11,0)</f>
        <v>1147</v>
      </c>
      <c r="J282" s="123">
        <f>IF(Basis!$E$1=1,ROUND(H282/((TaH-TrH)*1.163)/3600,3),ROUND(H282/(500*(TaH-TrH)),2))</f>
        <v>0.15</v>
      </c>
      <c r="K282" s="84"/>
      <c r="L282" s="177">
        <f>CHOOSE(Basis!$E$1,((AJ282*(J282*3600/Basis!$E$5)^AK282*(((MID(C282,9,3)*10)-144)/1000)*AL282+AM282*(J282*3600/Basis!$E$5)^2)*0.0098)/Basis!$E$10,((AJ282*(J282/Basis!$E$5)^AK282*(((MID(C282,9,3)*10)-144)/1000)*AL282+AM282*(J282/Basis!$E$5)^2)*0.0098)/Basis!$E$10)</f>
        <v>1.9055218226117349E-3</v>
      </c>
      <c r="M282" s="85"/>
      <c r="N282" s="110">
        <v>1.373</v>
      </c>
      <c r="O282" s="74"/>
      <c r="P282" s="73">
        <v>694</v>
      </c>
      <c r="Q282" s="74"/>
      <c r="R282" s="75"/>
      <c r="S282" s="75"/>
      <c r="T282" s="75"/>
      <c r="U282" s="75"/>
      <c r="V282" s="75"/>
      <c r="W282" s="74"/>
      <c r="X282" s="76"/>
      <c r="Y282" s="76"/>
      <c r="Z282" s="76"/>
      <c r="AA282" s="76"/>
      <c r="AB282" s="76"/>
      <c r="AC282" s="74"/>
      <c r="AD282" s="77"/>
      <c r="AE282" s="77"/>
      <c r="AF282" s="77"/>
      <c r="AG282" s="77"/>
      <c r="AH282" s="77"/>
      <c r="AI282" s="68"/>
      <c r="AJ282" s="213">
        <v>2.0829999999999999E-4</v>
      </c>
      <c r="AK282" s="213">
        <v>1.724</v>
      </c>
      <c r="AL282" s="213">
        <v>2</v>
      </c>
      <c r="AM282" s="213">
        <v>4.6182900000000003E-4</v>
      </c>
      <c r="AN282" s="74"/>
      <c r="AO282" s="73"/>
      <c r="AP282" s="73"/>
      <c r="AQ282" s="73"/>
      <c r="AR282" s="73"/>
      <c r="AS282" s="73"/>
      <c r="AT282" s="74"/>
      <c r="AU282" s="47"/>
      <c r="AV282" s="48"/>
    </row>
    <row r="283" spans="1:48" ht="12.75" customHeight="1" x14ac:dyDescent="0.25">
      <c r="A283" s="72" t="s">
        <v>23</v>
      </c>
      <c r="B283" s="43" t="s">
        <v>159</v>
      </c>
      <c r="C283" s="44" t="s">
        <v>433</v>
      </c>
      <c r="D283" s="45">
        <f>MROUND(MID($C283,6,3)/Basis!$E$3,0.5)</f>
        <v>19.5</v>
      </c>
      <c r="E283" s="45">
        <f>MROUND(MID($C283,9,3)/Basis!$E$3,0.5)</f>
        <v>15.5</v>
      </c>
      <c r="F283" s="124" t="s">
        <v>2947</v>
      </c>
      <c r="G283" s="45">
        <f>ROUND((ROUNDDOWN($F283/5,0)*5+1.8)/Basis!$E$3,1)</f>
        <v>6.6</v>
      </c>
      <c r="H283" s="120">
        <f>ROUND($P283*Basis!$E$2*((TaH-TrH)/LN(1/µ)/Basis!$E$7)^$N283*$AA$4*Glycol,0)</f>
        <v>1597</v>
      </c>
      <c r="I283" s="83">
        <f>ROUND(H283/(MID($C283,9,3)/Basis!$E$3/Basis!$E$9)*Basis!$E$11,0)</f>
        <v>1217</v>
      </c>
      <c r="J283" s="123">
        <f>IF(Basis!$E$1=1,ROUND(H283/((TaH-TrH)*1.163)/3600,3),ROUND(H283/(500*(TaH-TrH)),2))</f>
        <v>0.16</v>
      </c>
      <c r="K283" s="84"/>
      <c r="L283" s="177">
        <f>CHOOSE(Basis!$E$1,((AJ283*(J283*3600/Basis!$E$5)^AK283*(((MID(C283,9,3)*10)-144)/1000)*AL283+AM283*(J283*3600/Basis!$E$5)^2)*0.0098)/Basis!$E$10,((AJ283*(J283/Basis!$E$5)^AK283*(((MID(C283,9,3)*10)-144)/1000)*AL283+AM283*(J283/Basis!$E$5)^2)*0.0098)/Basis!$E$10)</f>
        <v>6.3556961219432342E-3</v>
      </c>
      <c r="M283" s="85"/>
      <c r="N283" s="109">
        <v>1.464</v>
      </c>
      <c r="O283" s="68"/>
      <c r="P283" s="67">
        <v>759</v>
      </c>
      <c r="Q283" s="68"/>
      <c r="R283" s="69"/>
      <c r="S283" s="69"/>
      <c r="T283" s="69"/>
      <c r="U283" s="69"/>
      <c r="V283" s="69"/>
      <c r="W283" s="68"/>
      <c r="X283" s="70"/>
      <c r="Y283" s="70"/>
      <c r="Z283" s="70"/>
      <c r="AA283" s="70"/>
      <c r="AB283" s="70"/>
      <c r="AC283" s="68"/>
      <c r="AD283" s="71"/>
      <c r="AE283" s="71"/>
      <c r="AF283" s="71"/>
      <c r="AG283" s="71"/>
      <c r="AH283" s="71"/>
      <c r="AI283" s="68"/>
      <c r="AJ283" s="214">
        <v>2.0829999999999999E-4</v>
      </c>
      <c r="AK283" s="214">
        <v>1.724</v>
      </c>
      <c r="AL283" s="214">
        <v>4</v>
      </c>
      <c r="AM283" s="214">
        <v>1.392796E-3</v>
      </c>
      <c r="AN283" s="68"/>
      <c r="AO283" s="67"/>
      <c r="AP283" s="67"/>
      <c r="AQ283" s="67"/>
      <c r="AR283" s="67"/>
      <c r="AS283" s="67"/>
      <c r="AT283" s="68"/>
      <c r="AU283" s="49"/>
      <c r="AV283" s="50"/>
    </row>
    <row r="284" spans="1:48" ht="12.75" customHeight="1" x14ac:dyDescent="0.25">
      <c r="A284" s="72" t="s">
        <v>23</v>
      </c>
      <c r="B284" s="43" t="s">
        <v>159</v>
      </c>
      <c r="C284" s="44" t="s">
        <v>434</v>
      </c>
      <c r="D284" s="45">
        <f>MROUND(MID($C284,6,3)/Basis!$E$3,0.5)</f>
        <v>19.5</v>
      </c>
      <c r="E284" s="45">
        <f>MROUND(MID($C284,9,3)/Basis!$E$3,0.5)</f>
        <v>15.5</v>
      </c>
      <c r="F284" s="124" t="s">
        <v>2945</v>
      </c>
      <c r="G284" s="45">
        <f>ROUND((ROUNDDOWN($F284/5,0)*5+1.8)/Basis!$E$3,1)</f>
        <v>8.6</v>
      </c>
      <c r="H284" s="120">
        <f>ROUND($P284*Basis!$E$2*((TaH-TrH)/LN(1/µ)/Basis!$E$7)^$N284*$AA$4*Glycol,0)</f>
        <v>2104</v>
      </c>
      <c r="I284" s="83">
        <f>ROUND(H284/(MID($C284,9,3)/Basis!$E$3/Basis!$E$9)*Basis!$E$11,0)</f>
        <v>1603</v>
      </c>
      <c r="J284" s="123">
        <f>IF(Basis!$E$1=1,ROUND(H284/((TaH-TrH)*1.163)/3600,3),ROUND(H284/(500*(TaH-TrH)),2))</f>
        <v>0.21</v>
      </c>
      <c r="K284" s="84"/>
      <c r="L284" s="177">
        <f>CHOOSE(Basis!$E$1,((AJ284*(J284*3600/Basis!$E$5)^AK284*(((MID(C284,9,3)*10)-144)/1000)*AL284+AM284*(J284*3600/Basis!$E$5)^2)*0.0098)/Basis!$E$10,((AJ284*(J284/Basis!$E$5)^AK284*(((MID(C284,9,3)*10)-144)/1000)*AL284+AM284*(J284/Basis!$E$5)^2)*0.0098)/Basis!$E$10)</f>
        <v>2.9672518510823862E-3</v>
      </c>
      <c r="M284" s="85"/>
      <c r="N284" s="110">
        <v>1.373</v>
      </c>
      <c r="O284" s="74"/>
      <c r="P284" s="73">
        <v>970</v>
      </c>
      <c r="Q284" s="74"/>
      <c r="R284" s="75"/>
      <c r="S284" s="75"/>
      <c r="T284" s="75"/>
      <c r="U284" s="75"/>
      <c r="V284" s="75"/>
      <c r="W284" s="74"/>
      <c r="X284" s="76"/>
      <c r="Y284" s="76"/>
      <c r="Z284" s="76"/>
      <c r="AA284" s="76"/>
      <c r="AB284" s="76"/>
      <c r="AC284" s="74"/>
      <c r="AD284" s="77"/>
      <c r="AE284" s="77"/>
      <c r="AF284" s="77"/>
      <c r="AG284" s="77"/>
      <c r="AH284" s="77"/>
      <c r="AI284" s="68"/>
      <c r="AJ284" s="213">
        <v>1.2760000000000001E-4</v>
      </c>
      <c r="AK284" s="213">
        <v>1.7219</v>
      </c>
      <c r="AL284" s="213">
        <v>2</v>
      </c>
      <c r="AM284" s="213">
        <v>3.76611E-4</v>
      </c>
      <c r="AN284" s="74"/>
      <c r="AO284" s="73"/>
      <c r="AP284" s="73"/>
      <c r="AQ284" s="73"/>
      <c r="AR284" s="73"/>
      <c r="AS284" s="73"/>
      <c r="AT284" s="74"/>
      <c r="AU284" s="47"/>
      <c r="AV284" s="48"/>
    </row>
    <row r="285" spans="1:48" ht="12.75" customHeight="1" x14ac:dyDescent="0.25">
      <c r="A285" s="72" t="s">
        <v>23</v>
      </c>
      <c r="B285" s="43" t="s">
        <v>159</v>
      </c>
      <c r="C285" s="44" t="s">
        <v>435</v>
      </c>
      <c r="D285" s="45">
        <f>MROUND(MID($C285,6,3)/Basis!$E$3,0.5)</f>
        <v>19.5</v>
      </c>
      <c r="E285" s="45">
        <f>MROUND(MID($C285,9,3)/Basis!$E$3,0.5)</f>
        <v>15.5</v>
      </c>
      <c r="F285" s="124" t="s">
        <v>2948</v>
      </c>
      <c r="G285" s="45">
        <f>ROUND((ROUNDDOWN($F285/5,0)*5+1.8)/Basis!$E$3,1)</f>
        <v>8.6</v>
      </c>
      <c r="H285" s="120">
        <f>ROUND($P285*Basis!$E$2*((TaH-TrH)/LN(1/µ)/Basis!$E$7)^$N285*$AA$4*Glycol,0)</f>
        <v>2159</v>
      </c>
      <c r="I285" s="83">
        <f>ROUND(H285/(MID($C285,9,3)/Basis!$E$3/Basis!$E$9)*Basis!$E$11,0)</f>
        <v>1645</v>
      </c>
      <c r="J285" s="123">
        <f>IF(Basis!$E$1=1,ROUND(H285/((TaH-TrH)*1.163)/3600,3),ROUND(H285/(500*(TaH-TrH)),2))</f>
        <v>0.22</v>
      </c>
      <c r="K285" s="84"/>
      <c r="L285" s="177">
        <f>CHOOSE(Basis!$E$1,((AJ285*(J285*3600/Basis!$E$5)^AK285*(((MID(C285,9,3)*10)-144)/1000)*AL285+AM285*(J285*3600/Basis!$E$5)^2)*0.0098)/Basis!$E$10,((AJ285*(J285/Basis!$E$5)^AK285*(((MID(C285,9,3)*10)-144)/1000)*AL285+AM285*(J285/Basis!$E$5)^2)*0.0098)/Basis!$E$10)</f>
        <v>4.5571919898640548E-3</v>
      </c>
      <c r="M285" s="85"/>
      <c r="N285" s="109">
        <v>1.4850000000000001</v>
      </c>
      <c r="O285" s="68"/>
      <c r="P285" s="67">
        <v>1033</v>
      </c>
      <c r="Q285" s="68"/>
      <c r="R285" s="69"/>
      <c r="S285" s="69"/>
      <c r="T285" s="69"/>
      <c r="U285" s="69"/>
      <c r="V285" s="69"/>
      <c r="W285" s="68"/>
      <c r="X285" s="70"/>
      <c r="Y285" s="70"/>
      <c r="Z285" s="70"/>
      <c r="AA285" s="70"/>
      <c r="AB285" s="70"/>
      <c r="AC285" s="68"/>
      <c r="AD285" s="71"/>
      <c r="AE285" s="71"/>
      <c r="AF285" s="71"/>
      <c r="AG285" s="71"/>
      <c r="AH285" s="71"/>
      <c r="AI285" s="68"/>
      <c r="AJ285" s="214">
        <v>1.2760000000000001E-4</v>
      </c>
      <c r="AK285" s="214">
        <v>1.7219</v>
      </c>
      <c r="AL285" s="214">
        <v>4</v>
      </c>
      <c r="AM285" s="214">
        <v>5.1420100000000005E-4</v>
      </c>
      <c r="AN285" s="68"/>
      <c r="AO285" s="67"/>
      <c r="AP285" s="67"/>
      <c r="AQ285" s="67"/>
      <c r="AR285" s="67"/>
      <c r="AS285" s="67"/>
      <c r="AT285" s="68"/>
      <c r="AU285" s="49"/>
      <c r="AV285" s="50"/>
    </row>
    <row r="286" spans="1:48" ht="12.75" customHeight="1" x14ac:dyDescent="0.25">
      <c r="A286" s="72" t="s">
        <v>23</v>
      </c>
      <c r="B286" s="43" t="s">
        <v>159</v>
      </c>
      <c r="C286" s="44" t="s">
        <v>436</v>
      </c>
      <c r="D286" s="45">
        <f>MROUND(MID($C286,6,3)/Basis!$E$3,0.5)</f>
        <v>19.5</v>
      </c>
      <c r="E286" s="45">
        <f>MROUND(MID($C286,9,3)/Basis!$E$3,0.5)</f>
        <v>19.5</v>
      </c>
      <c r="F286" s="124" t="s">
        <v>2943</v>
      </c>
      <c r="G286" s="45">
        <f>ROUND((ROUNDDOWN($F286/5,0)*5+1.8)/Basis!$E$3,1)</f>
        <v>4.5999999999999996</v>
      </c>
      <c r="H286" s="120">
        <f>ROUND($P286*Basis!$E$2*((TaH-TrH)/LN(1/µ)/Basis!$E$7)^$N286*$AA$4*Glycol,0)</f>
        <v>1162</v>
      </c>
      <c r="I286" s="83">
        <f>ROUND(H286/(MID($C286,9,3)/Basis!$E$3/Basis!$E$9)*Basis!$E$11,0)</f>
        <v>708</v>
      </c>
      <c r="J286" s="123">
        <f>IF(Basis!$E$1=1,ROUND(H286/((TaH-TrH)*1.163)/3600,3),ROUND(H286/(500*(TaH-TrH)),2))</f>
        <v>0.12</v>
      </c>
      <c r="K286" s="84"/>
      <c r="L286" s="177">
        <f>CHOOSE(Basis!$E$1,((AJ286*(J286*3600/Basis!$E$5)^AK286*(((MID(C286,9,3)*10)-144)/1000)*AL286+AM286*(J286*3600/Basis!$E$5)^2)*0.0098)/Basis!$E$10,((AJ286*(J286/Basis!$E$5)^AK286*(((MID(C286,9,3)*10)-144)/1000)*AL286+AM286*(J286/Basis!$E$5)^2)*0.0098)/Basis!$E$10)</f>
        <v>1.177724754177181E-3</v>
      </c>
      <c r="M286" s="85"/>
      <c r="N286" s="110">
        <v>1.385</v>
      </c>
      <c r="O286" s="74"/>
      <c r="P286" s="73">
        <v>538</v>
      </c>
      <c r="Q286" s="74"/>
      <c r="R286" s="75"/>
      <c r="S286" s="75"/>
      <c r="T286" s="75"/>
      <c r="U286" s="75"/>
      <c r="V286" s="75"/>
      <c r="W286" s="74"/>
      <c r="X286" s="76"/>
      <c r="Y286" s="76"/>
      <c r="Z286" s="76"/>
      <c r="AA286" s="76"/>
      <c r="AB286" s="76"/>
      <c r="AC286" s="74"/>
      <c r="AD286" s="77"/>
      <c r="AE286" s="77"/>
      <c r="AF286" s="77"/>
      <c r="AG286" s="77"/>
      <c r="AH286" s="77"/>
      <c r="AI286" s="68"/>
      <c r="AJ286" s="213">
        <v>3.9689999999999994E-4</v>
      </c>
      <c r="AK286" s="213">
        <v>1.7345999999999999</v>
      </c>
      <c r="AL286" s="213">
        <v>2</v>
      </c>
      <c r="AM286" s="213">
        <v>3.6734700000000002E-4</v>
      </c>
      <c r="AN286" s="74"/>
      <c r="AO286" s="73"/>
      <c r="AP286" s="73"/>
      <c r="AQ286" s="73"/>
      <c r="AR286" s="73"/>
      <c r="AS286" s="73"/>
      <c r="AT286" s="74"/>
      <c r="AU286" s="47"/>
      <c r="AV286" s="48"/>
    </row>
    <row r="287" spans="1:48" ht="12.75" customHeight="1" x14ac:dyDescent="0.25">
      <c r="A287" s="72" t="s">
        <v>23</v>
      </c>
      <c r="B287" s="43" t="s">
        <v>159</v>
      </c>
      <c r="C287" s="44" t="s">
        <v>437</v>
      </c>
      <c r="D287" s="45">
        <f>MROUND(MID($C287,6,3)/Basis!$E$3,0.5)</f>
        <v>19.5</v>
      </c>
      <c r="E287" s="45">
        <f>MROUND(MID($C287,9,3)/Basis!$E$3,0.5)</f>
        <v>19.5</v>
      </c>
      <c r="F287" s="124" t="s">
        <v>2946</v>
      </c>
      <c r="G287" s="45">
        <f>ROUND((ROUNDDOWN($F287/5,0)*5+1.8)/Basis!$E$3,1)</f>
        <v>4.5999999999999996</v>
      </c>
      <c r="H287" s="120">
        <f>ROUND($P287*Basis!$E$2*((TaH-TrH)/LN(1/µ)/Basis!$E$7)^$N287*$AA$4*Glycol,0)</f>
        <v>1471</v>
      </c>
      <c r="I287" s="83">
        <f>ROUND(H287/(MID($C287,9,3)/Basis!$E$3/Basis!$E$9)*Basis!$E$11,0)</f>
        <v>897</v>
      </c>
      <c r="J287" s="123">
        <f>IF(Basis!$E$1=1,ROUND(H287/((TaH-TrH)*1.163)/3600,3),ROUND(H287/(500*(TaH-TrH)),2))</f>
        <v>0.15</v>
      </c>
      <c r="K287" s="84"/>
      <c r="L287" s="177">
        <f>CHOOSE(Basis!$E$1,((AJ287*(J287*3600/Basis!$E$5)^AK287*(((MID(C287,9,3)*10)-144)/1000)*AL287+AM287*(J287*3600/Basis!$E$5)^2)*0.0098)/Basis!$E$10,((AJ287*(J287/Basis!$E$5)^AK287*(((MID(C287,9,3)*10)-144)/1000)*AL287+AM287*(J287/Basis!$E$5)^2)*0.0098)/Basis!$E$10)</f>
        <v>3.0203346348982953E-3</v>
      </c>
      <c r="M287" s="85"/>
      <c r="N287" s="109">
        <v>1.4379999999999999</v>
      </c>
      <c r="O287" s="68"/>
      <c r="P287" s="67">
        <v>693</v>
      </c>
      <c r="Q287" s="68"/>
      <c r="R287" s="69"/>
      <c r="S287" s="69"/>
      <c r="T287" s="69"/>
      <c r="U287" s="69"/>
      <c r="V287" s="69"/>
      <c r="W287" s="68"/>
      <c r="X287" s="70"/>
      <c r="Y287" s="70"/>
      <c r="Z287" s="70"/>
      <c r="AA287" s="70"/>
      <c r="AB287" s="70"/>
      <c r="AC287" s="68"/>
      <c r="AD287" s="71"/>
      <c r="AE287" s="71"/>
      <c r="AF287" s="71"/>
      <c r="AG287" s="71"/>
      <c r="AH287" s="71"/>
      <c r="AI287" s="68"/>
      <c r="AJ287" s="214">
        <v>3.9689999999999994E-4</v>
      </c>
      <c r="AK287" s="214">
        <v>1.7345999999999999</v>
      </c>
      <c r="AL287" s="214">
        <v>4</v>
      </c>
      <c r="AM287" s="214">
        <v>5.7428799999999995E-4</v>
      </c>
      <c r="AN287" s="68"/>
      <c r="AO287" s="67"/>
      <c r="AP287" s="67"/>
      <c r="AQ287" s="67"/>
      <c r="AR287" s="67"/>
      <c r="AS287" s="67"/>
      <c r="AT287" s="68"/>
      <c r="AU287" s="49"/>
      <c r="AV287" s="50"/>
    </row>
    <row r="288" spans="1:48" ht="12.75" customHeight="1" x14ac:dyDescent="0.25">
      <c r="A288" s="72" t="s">
        <v>23</v>
      </c>
      <c r="B288" s="43" t="s">
        <v>159</v>
      </c>
      <c r="C288" s="44" t="s">
        <v>438</v>
      </c>
      <c r="D288" s="45">
        <f>MROUND(MID($C288,6,3)/Basis!$E$3,0.5)</f>
        <v>19.5</v>
      </c>
      <c r="E288" s="45">
        <f>MROUND(MID($C288,9,3)/Basis!$E$3,0.5)</f>
        <v>19.5</v>
      </c>
      <c r="F288" s="124" t="s">
        <v>2944</v>
      </c>
      <c r="G288" s="45">
        <f>ROUND((ROUNDDOWN($F288/5,0)*5+1.8)/Basis!$E$3,1)</f>
        <v>6.6</v>
      </c>
      <c r="H288" s="120">
        <f>ROUND($P288*Basis!$E$2*((TaH-TrH)/LN(1/µ)/Basis!$E$7)^$N288*$AA$4*Glycol,0)</f>
        <v>1880</v>
      </c>
      <c r="I288" s="83">
        <f>ROUND(H288/(MID($C288,9,3)/Basis!$E$3/Basis!$E$9)*Basis!$E$11,0)</f>
        <v>1146</v>
      </c>
      <c r="J288" s="123">
        <f>IF(Basis!$E$1=1,ROUND(H288/((TaH-TrH)*1.163)/3600,3),ROUND(H288/(500*(TaH-TrH)),2))</f>
        <v>0.19</v>
      </c>
      <c r="K288" s="84"/>
      <c r="L288" s="177">
        <f>CHOOSE(Basis!$E$1,((AJ288*(J288*3600/Basis!$E$5)^AK288*(((MID(C288,9,3)*10)-144)/1000)*AL288+AM288*(J288*3600/Basis!$E$5)^2)*0.0098)/Basis!$E$10,((AJ288*(J288/Basis!$E$5)^AK288*(((MID(C288,9,3)*10)-144)/1000)*AL288+AM288*(J288/Basis!$E$5)^2)*0.0098)/Basis!$E$10)</f>
        <v>3.1315584148762171E-3</v>
      </c>
      <c r="M288" s="85"/>
      <c r="N288" s="110">
        <v>1.373</v>
      </c>
      <c r="O288" s="74"/>
      <c r="P288" s="73">
        <v>867</v>
      </c>
      <c r="Q288" s="74"/>
      <c r="R288" s="75"/>
      <c r="S288" s="75"/>
      <c r="T288" s="75"/>
      <c r="U288" s="75"/>
      <c r="V288" s="75"/>
      <c r="W288" s="74"/>
      <c r="X288" s="76"/>
      <c r="Y288" s="76"/>
      <c r="Z288" s="76"/>
      <c r="AA288" s="76"/>
      <c r="AB288" s="76"/>
      <c r="AC288" s="74"/>
      <c r="AD288" s="77"/>
      <c r="AE288" s="77"/>
      <c r="AF288" s="77"/>
      <c r="AG288" s="77"/>
      <c r="AH288" s="77"/>
      <c r="AI288" s="68"/>
      <c r="AJ288" s="213">
        <v>2.0829999999999999E-4</v>
      </c>
      <c r="AK288" s="213">
        <v>1.724</v>
      </c>
      <c r="AL288" s="213">
        <v>2</v>
      </c>
      <c r="AM288" s="213">
        <v>4.6182900000000003E-4</v>
      </c>
      <c r="AN288" s="74"/>
      <c r="AO288" s="73"/>
      <c r="AP288" s="73"/>
      <c r="AQ288" s="73"/>
      <c r="AR288" s="73"/>
      <c r="AS288" s="73"/>
      <c r="AT288" s="74"/>
      <c r="AU288" s="47"/>
      <c r="AV288" s="48"/>
    </row>
    <row r="289" spans="1:48" ht="12.75" customHeight="1" x14ac:dyDescent="0.25">
      <c r="A289" s="72" t="s">
        <v>23</v>
      </c>
      <c r="B289" s="43" t="s">
        <v>159</v>
      </c>
      <c r="C289" s="44" t="s">
        <v>439</v>
      </c>
      <c r="D289" s="45">
        <f>MROUND(MID($C289,6,3)/Basis!$E$3,0.5)</f>
        <v>19.5</v>
      </c>
      <c r="E289" s="45">
        <f>MROUND(MID($C289,9,3)/Basis!$E$3,0.5)</f>
        <v>19.5</v>
      </c>
      <c r="F289" s="124" t="s">
        <v>2947</v>
      </c>
      <c r="G289" s="45">
        <f>ROUND((ROUNDDOWN($F289/5,0)*5+1.8)/Basis!$E$3,1)</f>
        <v>6.6</v>
      </c>
      <c r="H289" s="120">
        <f>ROUND($P289*Basis!$E$2*((TaH-TrH)/LN(1/µ)/Basis!$E$7)^$N289*$AA$4*Glycol,0)</f>
        <v>1997</v>
      </c>
      <c r="I289" s="83">
        <f>ROUND(H289/(MID($C289,9,3)/Basis!$E$3/Basis!$E$9)*Basis!$E$11,0)</f>
        <v>1217</v>
      </c>
      <c r="J289" s="123">
        <f>IF(Basis!$E$1=1,ROUND(H289/((TaH-TrH)*1.163)/3600,3),ROUND(H289/(500*(TaH-TrH)),2))</f>
        <v>0.2</v>
      </c>
      <c r="K289" s="84"/>
      <c r="L289" s="177">
        <f>CHOOSE(Basis!$E$1,((AJ289*(J289*3600/Basis!$E$5)^AK289*(((MID(C289,9,3)*10)-144)/1000)*AL289+AM289*(J289*3600/Basis!$E$5)^2)*0.0098)/Basis!$E$10,((AJ289*(J289/Basis!$E$5)^AK289*(((MID(C289,9,3)*10)-144)/1000)*AL289+AM289*(J289/Basis!$E$5)^2)*0.0098)/Basis!$E$10)</f>
        <v>1.0094970154423176E-2</v>
      </c>
      <c r="M289" s="85"/>
      <c r="N289" s="109">
        <v>1.464</v>
      </c>
      <c r="O289" s="68"/>
      <c r="P289" s="67">
        <v>949</v>
      </c>
      <c r="Q289" s="68"/>
      <c r="R289" s="69"/>
      <c r="S289" s="69"/>
      <c r="T289" s="69"/>
      <c r="U289" s="69"/>
      <c r="V289" s="69"/>
      <c r="W289" s="68"/>
      <c r="X289" s="70"/>
      <c r="Y289" s="70"/>
      <c r="Z289" s="70"/>
      <c r="AA289" s="70"/>
      <c r="AB289" s="70"/>
      <c r="AC289" s="68"/>
      <c r="AD289" s="71"/>
      <c r="AE289" s="71"/>
      <c r="AF289" s="71"/>
      <c r="AG289" s="71"/>
      <c r="AH289" s="71"/>
      <c r="AI289" s="68"/>
      <c r="AJ289" s="214">
        <v>2.0829999999999999E-4</v>
      </c>
      <c r="AK289" s="214">
        <v>1.724</v>
      </c>
      <c r="AL289" s="214">
        <v>4</v>
      </c>
      <c r="AM289" s="214">
        <v>1.392796E-3</v>
      </c>
      <c r="AN289" s="68"/>
      <c r="AO289" s="67"/>
      <c r="AP289" s="67"/>
      <c r="AQ289" s="67"/>
      <c r="AR289" s="67"/>
      <c r="AS289" s="67"/>
      <c r="AT289" s="68"/>
      <c r="AU289" s="49"/>
      <c r="AV289" s="50"/>
    </row>
    <row r="290" spans="1:48" ht="12.75" customHeight="1" x14ac:dyDescent="0.25">
      <c r="A290" s="72" t="s">
        <v>23</v>
      </c>
      <c r="B290" s="43" t="s">
        <v>159</v>
      </c>
      <c r="C290" s="44" t="s">
        <v>440</v>
      </c>
      <c r="D290" s="45">
        <f>MROUND(MID($C290,6,3)/Basis!$E$3,0.5)</f>
        <v>19.5</v>
      </c>
      <c r="E290" s="45">
        <f>MROUND(MID($C290,9,3)/Basis!$E$3,0.5)</f>
        <v>19.5</v>
      </c>
      <c r="F290" s="124" t="s">
        <v>2945</v>
      </c>
      <c r="G290" s="45">
        <f>ROUND((ROUNDDOWN($F290/5,0)*5+1.8)/Basis!$E$3,1)</f>
        <v>8.6</v>
      </c>
      <c r="H290" s="120">
        <f>ROUND($P290*Basis!$E$2*((TaH-TrH)/LN(1/µ)/Basis!$E$7)^$N290*$AA$4*Glycol,0)</f>
        <v>2631</v>
      </c>
      <c r="I290" s="83">
        <f>ROUND(H290/(MID($C290,9,3)/Basis!$E$3/Basis!$E$9)*Basis!$E$11,0)</f>
        <v>1604</v>
      </c>
      <c r="J290" s="123">
        <f>IF(Basis!$E$1=1,ROUND(H290/((TaH-TrH)*1.163)/3600,3),ROUND(H290/(500*(TaH-TrH)),2))</f>
        <v>0.26</v>
      </c>
      <c r="K290" s="84"/>
      <c r="L290" s="177">
        <f>CHOOSE(Basis!$E$1,((AJ290*(J290*3600/Basis!$E$5)^AK290*(((MID(C290,9,3)*10)-144)/1000)*AL290+AM290*(J290*3600/Basis!$E$5)^2)*0.0098)/Basis!$E$10,((AJ290*(J290/Basis!$E$5)^AK290*(((MID(C290,9,3)*10)-144)/1000)*AL290+AM290*(J290/Basis!$E$5)^2)*0.0098)/Basis!$E$10)</f>
        <v>4.6273795118290505E-3</v>
      </c>
      <c r="M290" s="85"/>
      <c r="N290" s="110">
        <v>1.373</v>
      </c>
      <c r="O290" s="74"/>
      <c r="P290" s="73">
        <v>1213</v>
      </c>
      <c r="Q290" s="74"/>
      <c r="R290" s="75"/>
      <c r="S290" s="75"/>
      <c r="T290" s="75"/>
      <c r="U290" s="75"/>
      <c r="V290" s="75"/>
      <c r="W290" s="74"/>
      <c r="X290" s="76"/>
      <c r="Y290" s="76"/>
      <c r="Z290" s="76"/>
      <c r="AA290" s="76"/>
      <c r="AB290" s="76"/>
      <c r="AC290" s="74"/>
      <c r="AD290" s="77"/>
      <c r="AE290" s="77"/>
      <c r="AF290" s="77"/>
      <c r="AG290" s="77"/>
      <c r="AH290" s="77"/>
      <c r="AI290" s="68"/>
      <c r="AJ290" s="213">
        <v>1.2760000000000001E-4</v>
      </c>
      <c r="AK290" s="213">
        <v>1.7219</v>
      </c>
      <c r="AL290" s="213">
        <v>2</v>
      </c>
      <c r="AM290" s="213">
        <v>3.76611E-4</v>
      </c>
      <c r="AN290" s="74"/>
      <c r="AO290" s="73"/>
      <c r="AP290" s="73"/>
      <c r="AQ290" s="73"/>
      <c r="AR290" s="73"/>
      <c r="AS290" s="73"/>
      <c r="AT290" s="74"/>
      <c r="AU290" s="47"/>
      <c r="AV290" s="48"/>
    </row>
    <row r="291" spans="1:48" ht="12.75" customHeight="1" x14ac:dyDescent="0.25">
      <c r="A291" s="72" t="s">
        <v>23</v>
      </c>
      <c r="B291" s="43" t="s">
        <v>159</v>
      </c>
      <c r="C291" s="44" t="s">
        <v>441</v>
      </c>
      <c r="D291" s="45">
        <f>MROUND(MID($C291,6,3)/Basis!$E$3,0.5)</f>
        <v>19.5</v>
      </c>
      <c r="E291" s="45">
        <f>MROUND(MID($C291,9,3)/Basis!$E$3,0.5)</f>
        <v>19.5</v>
      </c>
      <c r="F291" s="124" t="s">
        <v>2948</v>
      </c>
      <c r="G291" s="45">
        <f>ROUND((ROUNDDOWN($F291/5,0)*5+1.8)/Basis!$E$3,1)</f>
        <v>8.6</v>
      </c>
      <c r="H291" s="120">
        <f>ROUND($P291*Basis!$E$2*((TaH-TrH)/LN(1/µ)/Basis!$E$7)^$N291*$AA$4*Glycol,0)</f>
        <v>2698</v>
      </c>
      <c r="I291" s="83">
        <f>ROUND(H291/(MID($C291,9,3)/Basis!$E$3/Basis!$E$9)*Basis!$E$11,0)</f>
        <v>1645</v>
      </c>
      <c r="J291" s="123">
        <f>IF(Basis!$E$1=1,ROUND(H291/((TaH-TrH)*1.163)/3600,3),ROUND(H291/(500*(TaH-TrH)),2))</f>
        <v>0.27</v>
      </c>
      <c r="K291" s="84"/>
      <c r="L291" s="177">
        <f>CHOOSE(Basis!$E$1,((AJ291*(J291*3600/Basis!$E$5)^AK291*(((MID(C291,9,3)*10)-144)/1000)*AL291+AM291*(J291*3600/Basis!$E$5)^2)*0.0098)/Basis!$E$10,((AJ291*(J291/Basis!$E$5)^AK291*(((MID(C291,9,3)*10)-144)/1000)*AL291+AM291*(J291/Basis!$E$5)^2)*0.0098)/Basis!$E$10)</f>
        <v>7.0338370333079383E-3</v>
      </c>
      <c r="M291" s="85"/>
      <c r="N291" s="109">
        <v>1.4850000000000001</v>
      </c>
      <c r="O291" s="68"/>
      <c r="P291" s="67">
        <v>1291</v>
      </c>
      <c r="Q291" s="68"/>
      <c r="R291" s="69"/>
      <c r="S291" s="69"/>
      <c r="T291" s="69"/>
      <c r="U291" s="69"/>
      <c r="V291" s="69"/>
      <c r="W291" s="68"/>
      <c r="X291" s="70"/>
      <c r="Y291" s="70"/>
      <c r="Z291" s="70"/>
      <c r="AA291" s="70"/>
      <c r="AB291" s="70"/>
      <c r="AC291" s="68"/>
      <c r="AD291" s="71"/>
      <c r="AE291" s="71"/>
      <c r="AF291" s="71"/>
      <c r="AG291" s="71"/>
      <c r="AH291" s="71"/>
      <c r="AI291" s="68"/>
      <c r="AJ291" s="214">
        <v>1.2760000000000001E-4</v>
      </c>
      <c r="AK291" s="214">
        <v>1.7219</v>
      </c>
      <c r="AL291" s="214">
        <v>4</v>
      </c>
      <c r="AM291" s="214">
        <v>5.1420100000000005E-4</v>
      </c>
      <c r="AN291" s="68"/>
      <c r="AO291" s="67"/>
      <c r="AP291" s="67"/>
      <c r="AQ291" s="67"/>
      <c r="AR291" s="67"/>
      <c r="AS291" s="67"/>
      <c r="AT291" s="68"/>
      <c r="AU291" s="49"/>
      <c r="AV291" s="50"/>
    </row>
    <row r="292" spans="1:48" ht="12.75" customHeight="1" x14ac:dyDescent="0.25">
      <c r="A292" s="72" t="s">
        <v>23</v>
      </c>
      <c r="B292" s="43" t="s">
        <v>159</v>
      </c>
      <c r="C292" s="44" t="s">
        <v>442</v>
      </c>
      <c r="D292" s="45">
        <f>MROUND(MID($C292,6,3)/Basis!$E$3,0.5)</f>
        <v>19.5</v>
      </c>
      <c r="E292" s="45">
        <f>MROUND(MID($C292,9,3)/Basis!$E$3,0.5)</f>
        <v>23.5</v>
      </c>
      <c r="F292" s="124" t="s">
        <v>2943</v>
      </c>
      <c r="G292" s="45">
        <f>ROUND((ROUNDDOWN($F292/5,0)*5+1.8)/Basis!$E$3,1)</f>
        <v>4.5999999999999996</v>
      </c>
      <c r="H292" s="120">
        <f>ROUND($P292*Basis!$E$2*((TaH-TrH)/LN(1/µ)/Basis!$E$7)^$N292*$AA$4*Glycol,0)</f>
        <v>1396</v>
      </c>
      <c r="I292" s="83">
        <f>ROUND(H292/(MID($C292,9,3)/Basis!$E$3/Basis!$E$9)*Basis!$E$11,0)</f>
        <v>709</v>
      </c>
      <c r="J292" s="123">
        <f>IF(Basis!$E$1=1,ROUND(H292/((TaH-TrH)*1.163)/3600,3),ROUND(H292/(500*(TaH-TrH)),2))</f>
        <v>0.14000000000000001</v>
      </c>
      <c r="K292" s="84"/>
      <c r="L292" s="177">
        <f>CHOOSE(Basis!$E$1,((AJ292*(J292*3600/Basis!$E$5)^AK292*(((MID(C292,9,3)*10)-144)/1000)*AL292+AM292*(J292*3600/Basis!$E$5)^2)*0.0098)/Basis!$E$10,((AJ292*(J292/Basis!$E$5)^AK292*(((MID(C292,9,3)*10)-144)/1000)*AL292+AM292*(J292/Basis!$E$5)^2)*0.0098)/Basis!$E$10)</f>
        <v>1.6922160915461598E-3</v>
      </c>
      <c r="M292" s="85"/>
      <c r="N292" s="110">
        <v>1.385</v>
      </c>
      <c r="O292" s="74"/>
      <c r="P292" s="73">
        <v>646</v>
      </c>
      <c r="Q292" s="74"/>
      <c r="R292" s="75"/>
      <c r="S292" s="75"/>
      <c r="T292" s="75"/>
      <c r="U292" s="75"/>
      <c r="V292" s="75"/>
      <c r="W292" s="74"/>
      <c r="X292" s="76"/>
      <c r="Y292" s="76"/>
      <c r="Z292" s="76"/>
      <c r="AA292" s="76"/>
      <c r="AB292" s="76"/>
      <c r="AC292" s="74"/>
      <c r="AD292" s="77"/>
      <c r="AE292" s="77"/>
      <c r="AF292" s="77"/>
      <c r="AG292" s="77"/>
      <c r="AH292" s="77"/>
      <c r="AI292" s="68"/>
      <c r="AJ292" s="213">
        <v>3.9689999999999994E-4</v>
      </c>
      <c r="AK292" s="213">
        <v>1.7345999999999999</v>
      </c>
      <c r="AL292" s="213">
        <v>2</v>
      </c>
      <c r="AM292" s="213">
        <v>3.6734700000000002E-4</v>
      </c>
      <c r="AN292" s="74"/>
      <c r="AO292" s="73"/>
      <c r="AP292" s="73"/>
      <c r="AQ292" s="73"/>
      <c r="AR292" s="73"/>
      <c r="AS292" s="73"/>
      <c r="AT292" s="74"/>
      <c r="AU292" s="47"/>
      <c r="AV292" s="48"/>
    </row>
    <row r="293" spans="1:48" ht="12.75" customHeight="1" x14ac:dyDescent="0.25">
      <c r="A293" s="72" t="s">
        <v>23</v>
      </c>
      <c r="B293" s="43" t="s">
        <v>159</v>
      </c>
      <c r="C293" s="44" t="s">
        <v>443</v>
      </c>
      <c r="D293" s="45">
        <f>MROUND(MID($C293,6,3)/Basis!$E$3,0.5)</f>
        <v>19.5</v>
      </c>
      <c r="E293" s="45">
        <f>MROUND(MID($C293,9,3)/Basis!$E$3,0.5)</f>
        <v>23.5</v>
      </c>
      <c r="F293" s="124" t="s">
        <v>2946</v>
      </c>
      <c r="G293" s="45">
        <f>ROUND((ROUNDDOWN($F293/5,0)*5+1.8)/Basis!$E$3,1)</f>
        <v>4.5999999999999996</v>
      </c>
      <c r="H293" s="120">
        <f>ROUND($P293*Basis!$E$2*((TaH-TrH)/LN(1/µ)/Basis!$E$7)^$N293*$AA$4*Glycol,0)</f>
        <v>1766</v>
      </c>
      <c r="I293" s="83">
        <f>ROUND(H293/(MID($C293,9,3)/Basis!$E$3/Basis!$E$9)*Basis!$E$11,0)</f>
        <v>897</v>
      </c>
      <c r="J293" s="123">
        <f>IF(Basis!$E$1=1,ROUND(H293/((TaH-TrH)*1.163)/3600,3),ROUND(H293/(500*(TaH-TrH)),2))</f>
        <v>0.18</v>
      </c>
      <c r="K293" s="84"/>
      <c r="L293" s="177">
        <f>CHOOSE(Basis!$E$1,((AJ293*(J293*3600/Basis!$E$5)^AK293*(((MID(C293,9,3)*10)-144)/1000)*AL293+AM293*(J293*3600/Basis!$E$5)^2)*0.0098)/Basis!$E$10,((AJ293*(J293/Basis!$E$5)^AK293*(((MID(C293,9,3)*10)-144)/1000)*AL293+AM293*(J293/Basis!$E$5)^2)*0.0098)/Basis!$E$10)</f>
        <v>4.6161462096240054E-3</v>
      </c>
      <c r="M293" s="85"/>
      <c r="N293" s="109">
        <v>1.4379999999999999</v>
      </c>
      <c r="O293" s="68"/>
      <c r="P293" s="67">
        <v>832</v>
      </c>
      <c r="Q293" s="68"/>
      <c r="R293" s="69"/>
      <c r="S293" s="69"/>
      <c r="T293" s="69"/>
      <c r="U293" s="69"/>
      <c r="V293" s="69"/>
      <c r="W293" s="68"/>
      <c r="X293" s="70"/>
      <c r="Y293" s="70"/>
      <c r="Z293" s="70"/>
      <c r="AA293" s="70"/>
      <c r="AB293" s="70"/>
      <c r="AC293" s="68"/>
      <c r="AD293" s="71"/>
      <c r="AE293" s="71"/>
      <c r="AF293" s="71"/>
      <c r="AG293" s="71"/>
      <c r="AH293" s="71"/>
      <c r="AI293" s="68"/>
      <c r="AJ293" s="214">
        <v>3.9689999999999994E-4</v>
      </c>
      <c r="AK293" s="214">
        <v>1.7345999999999999</v>
      </c>
      <c r="AL293" s="214">
        <v>4</v>
      </c>
      <c r="AM293" s="214">
        <v>5.7428799999999995E-4</v>
      </c>
      <c r="AN293" s="68"/>
      <c r="AO293" s="67"/>
      <c r="AP293" s="67"/>
      <c r="AQ293" s="67"/>
      <c r="AR293" s="67"/>
      <c r="AS293" s="67"/>
      <c r="AT293" s="68"/>
      <c r="AU293" s="49"/>
      <c r="AV293" s="50"/>
    </row>
    <row r="294" spans="1:48" ht="12.75" customHeight="1" x14ac:dyDescent="0.25">
      <c r="A294" s="72" t="s">
        <v>23</v>
      </c>
      <c r="B294" s="43" t="s">
        <v>159</v>
      </c>
      <c r="C294" s="44" t="s">
        <v>444</v>
      </c>
      <c r="D294" s="45">
        <f>MROUND(MID($C294,6,3)/Basis!$E$3,0.5)</f>
        <v>19.5</v>
      </c>
      <c r="E294" s="45">
        <f>MROUND(MID($C294,9,3)/Basis!$E$3,0.5)</f>
        <v>23.5</v>
      </c>
      <c r="F294" s="124" t="s">
        <v>2944</v>
      </c>
      <c r="G294" s="45">
        <f>ROUND((ROUNDDOWN($F294/5,0)*5+1.8)/Basis!$E$3,1)</f>
        <v>6.6</v>
      </c>
      <c r="H294" s="120">
        <f>ROUND($P294*Basis!$E$2*((TaH-TrH)/LN(1/µ)/Basis!$E$7)^$N294*$AA$4*Glycol,0)</f>
        <v>2256</v>
      </c>
      <c r="I294" s="83">
        <f>ROUND(H294/(MID($C294,9,3)/Basis!$E$3/Basis!$E$9)*Basis!$E$11,0)</f>
        <v>1146</v>
      </c>
      <c r="J294" s="123">
        <f>IF(Basis!$E$1=1,ROUND(H294/((TaH-TrH)*1.163)/3600,3),ROUND(H294/(500*(TaH-TrH)),2))</f>
        <v>0.23</v>
      </c>
      <c r="K294" s="84"/>
      <c r="L294" s="177">
        <f>CHOOSE(Basis!$E$1,((AJ294*(J294*3600/Basis!$E$5)^AK294*(((MID(C294,9,3)*10)-144)/1000)*AL294+AM294*(J294*3600/Basis!$E$5)^2)*0.0098)/Basis!$E$10,((AJ294*(J294/Basis!$E$5)^AK294*(((MID(C294,9,3)*10)-144)/1000)*AL294+AM294*(J294/Basis!$E$5)^2)*0.0098)/Basis!$E$10)</f>
        <v>4.6896095866809625E-3</v>
      </c>
      <c r="M294" s="85"/>
      <c r="N294" s="109">
        <v>1.373</v>
      </c>
      <c r="O294" s="68"/>
      <c r="P294" s="67">
        <v>1040</v>
      </c>
      <c r="Q294" s="68"/>
      <c r="R294" s="69"/>
      <c r="S294" s="69"/>
      <c r="T294" s="69"/>
      <c r="U294" s="69"/>
      <c r="V294" s="69"/>
      <c r="W294" s="68"/>
      <c r="X294" s="70"/>
      <c r="Y294" s="70"/>
      <c r="Z294" s="70"/>
      <c r="AA294" s="70"/>
      <c r="AB294" s="70"/>
      <c r="AC294" s="68"/>
      <c r="AD294" s="71"/>
      <c r="AE294" s="71"/>
      <c r="AF294" s="71"/>
      <c r="AG294" s="71"/>
      <c r="AH294" s="71"/>
      <c r="AI294" s="68"/>
      <c r="AJ294" s="214">
        <v>2.0829999999999999E-4</v>
      </c>
      <c r="AK294" s="214">
        <v>1.724</v>
      </c>
      <c r="AL294" s="214">
        <v>2</v>
      </c>
      <c r="AM294" s="214">
        <v>4.6182900000000003E-4</v>
      </c>
      <c r="AN294" s="68"/>
      <c r="AO294" s="67"/>
      <c r="AP294" s="67"/>
      <c r="AQ294" s="67"/>
      <c r="AR294" s="67"/>
      <c r="AS294" s="67"/>
      <c r="AT294" s="68"/>
      <c r="AU294" s="49"/>
      <c r="AV294" s="50"/>
    </row>
    <row r="295" spans="1:48" ht="12.75" customHeight="1" x14ac:dyDescent="0.25">
      <c r="A295" s="72" t="s">
        <v>23</v>
      </c>
      <c r="B295" s="43" t="s">
        <v>159</v>
      </c>
      <c r="C295" s="44" t="s">
        <v>445</v>
      </c>
      <c r="D295" s="45">
        <f>MROUND(MID($C295,6,3)/Basis!$E$3,0.5)</f>
        <v>19.5</v>
      </c>
      <c r="E295" s="45">
        <f>MROUND(MID($C295,9,3)/Basis!$E$3,0.5)</f>
        <v>23.5</v>
      </c>
      <c r="F295" s="124" t="s">
        <v>2947</v>
      </c>
      <c r="G295" s="45">
        <f>ROUND((ROUNDDOWN($F295/5,0)*5+1.8)/Basis!$E$3,1)</f>
        <v>6.6</v>
      </c>
      <c r="H295" s="120">
        <f>ROUND($P295*Basis!$E$2*((TaH-TrH)/LN(1/µ)/Basis!$E$7)^$N295*$AA$4*Glycol,0)</f>
        <v>2397</v>
      </c>
      <c r="I295" s="83">
        <f>ROUND(H295/(MID($C295,9,3)/Basis!$E$3/Basis!$E$9)*Basis!$E$11,0)</f>
        <v>1218</v>
      </c>
      <c r="J295" s="123">
        <f>IF(Basis!$E$1=1,ROUND(H295/((TaH-TrH)*1.163)/3600,3),ROUND(H295/(500*(TaH-TrH)),2))</f>
        <v>0.24</v>
      </c>
      <c r="K295" s="84"/>
      <c r="L295" s="177">
        <f>CHOOSE(Basis!$E$1,((AJ295*(J295*3600/Basis!$E$5)^AK295*(((MID(C295,9,3)*10)-144)/1000)*AL295+AM295*(J295*3600/Basis!$E$5)^2)*0.0098)/Basis!$E$10,((AJ295*(J295/Basis!$E$5)^AK295*(((MID(C295,9,3)*10)-144)/1000)*AL295+AM295*(J295/Basis!$E$5)^2)*0.0098)/Basis!$E$10)</f>
        <v>1.4755927550914144E-2</v>
      </c>
      <c r="M295" s="85"/>
      <c r="N295" s="110">
        <v>1.464</v>
      </c>
      <c r="O295" s="74"/>
      <c r="P295" s="73">
        <v>1139</v>
      </c>
      <c r="Q295" s="74"/>
      <c r="R295" s="75"/>
      <c r="S295" s="75"/>
      <c r="T295" s="75"/>
      <c r="U295" s="75"/>
      <c r="V295" s="75"/>
      <c r="W295" s="74"/>
      <c r="X295" s="76"/>
      <c r="Y295" s="76"/>
      <c r="Z295" s="76"/>
      <c r="AA295" s="76"/>
      <c r="AB295" s="76"/>
      <c r="AC295" s="74"/>
      <c r="AD295" s="77"/>
      <c r="AE295" s="77"/>
      <c r="AF295" s="77"/>
      <c r="AG295" s="77"/>
      <c r="AH295" s="77"/>
      <c r="AI295" s="68"/>
      <c r="AJ295" s="213">
        <v>2.0829999999999999E-4</v>
      </c>
      <c r="AK295" s="213">
        <v>1.724</v>
      </c>
      <c r="AL295" s="213">
        <v>4</v>
      </c>
      <c r="AM295" s="213">
        <v>1.392796E-3</v>
      </c>
      <c r="AN295" s="74"/>
      <c r="AO295" s="73"/>
      <c r="AP295" s="73"/>
      <c r="AQ295" s="73"/>
      <c r="AR295" s="73"/>
      <c r="AS295" s="73"/>
      <c r="AT295" s="74"/>
      <c r="AU295" s="47"/>
      <c r="AV295" s="48"/>
    </row>
    <row r="296" spans="1:48" ht="12.75" customHeight="1" x14ac:dyDescent="0.25">
      <c r="A296" s="72" t="s">
        <v>23</v>
      </c>
      <c r="B296" s="43" t="s">
        <v>159</v>
      </c>
      <c r="C296" s="44" t="s">
        <v>446</v>
      </c>
      <c r="D296" s="45">
        <f>MROUND(MID($C296,6,3)/Basis!$E$3,0.5)</f>
        <v>19.5</v>
      </c>
      <c r="E296" s="45">
        <f>MROUND(MID($C296,9,3)/Basis!$E$3,0.5)</f>
        <v>23.5</v>
      </c>
      <c r="F296" s="124" t="s">
        <v>2945</v>
      </c>
      <c r="G296" s="45">
        <f>ROUND((ROUNDDOWN($F296/5,0)*5+1.8)/Basis!$E$3,1)</f>
        <v>8.6</v>
      </c>
      <c r="H296" s="120">
        <f>ROUND($P296*Basis!$E$2*((TaH-TrH)/LN(1/µ)/Basis!$E$7)^$N296*$AA$4*Glycol,0)</f>
        <v>3156</v>
      </c>
      <c r="I296" s="83">
        <f>ROUND(H296/(MID($C296,9,3)/Basis!$E$3/Basis!$E$9)*Basis!$E$11,0)</f>
        <v>1603</v>
      </c>
      <c r="J296" s="123">
        <f>IF(Basis!$E$1=1,ROUND(H296/((TaH-TrH)*1.163)/3600,3),ROUND(H296/(500*(TaH-TrH)),2))</f>
        <v>0.32</v>
      </c>
      <c r="K296" s="84"/>
      <c r="L296" s="177">
        <f>CHOOSE(Basis!$E$1,((AJ296*(J296*3600/Basis!$E$5)^AK296*(((MID(C296,9,3)*10)-144)/1000)*AL296+AM296*(J296*3600/Basis!$E$5)^2)*0.0098)/Basis!$E$10,((AJ296*(J296/Basis!$E$5)^AK296*(((MID(C296,9,3)*10)-144)/1000)*AL296+AM296*(J296/Basis!$E$5)^2)*0.0098)/Basis!$E$10)</f>
        <v>7.1150325886397423E-3</v>
      </c>
      <c r="M296" s="85"/>
      <c r="N296" s="110">
        <v>1.373</v>
      </c>
      <c r="O296" s="74"/>
      <c r="P296" s="73">
        <v>1455</v>
      </c>
      <c r="Q296" s="74"/>
      <c r="R296" s="75"/>
      <c r="S296" s="75"/>
      <c r="T296" s="75"/>
      <c r="U296" s="75"/>
      <c r="V296" s="75"/>
      <c r="W296" s="74"/>
      <c r="X296" s="76"/>
      <c r="Y296" s="76"/>
      <c r="Z296" s="76"/>
      <c r="AA296" s="76"/>
      <c r="AB296" s="76"/>
      <c r="AC296" s="74"/>
      <c r="AD296" s="77"/>
      <c r="AE296" s="77"/>
      <c r="AF296" s="77"/>
      <c r="AG296" s="77"/>
      <c r="AH296" s="77"/>
      <c r="AI296" s="68"/>
      <c r="AJ296" s="213">
        <v>1.2760000000000001E-4</v>
      </c>
      <c r="AK296" s="213">
        <v>1.7219</v>
      </c>
      <c r="AL296" s="213">
        <v>2</v>
      </c>
      <c r="AM296" s="213">
        <v>3.76611E-4</v>
      </c>
      <c r="AN296" s="74"/>
      <c r="AO296" s="73"/>
      <c r="AP296" s="73"/>
      <c r="AQ296" s="73"/>
      <c r="AR296" s="73"/>
      <c r="AS296" s="73"/>
      <c r="AT296" s="74"/>
      <c r="AU296" s="47"/>
      <c r="AV296" s="48"/>
    </row>
    <row r="297" spans="1:48" ht="12.75" customHeight="1" x14ac:dyDescent="0.25">
      <c r="A297" s="72" t="s">
        <v>23</v>
      </c>
      <c r="B297" s="43" t="s">
        <v>159</v>
      </c>
      <c r="C297" s="44" t="s">
        <v>447</v>
      </c>
      <c r="D297" s="45">
        <f>MROUND(MID($C297,6,3)/Basis!$E$3,0.5)</f>
        <v>19.5</v>
      </c>
      <c r="E297" s="45">
        <f>MROUND(MID($C297,9,3)/Basis!$E$3,0.5)</f>
        <v>23.5</v>
      </c>
      <c r="F297" s="124" t="s">
        <v>2948</v>
      </c>
      <c r="G297" s="45">
        <f>ROUND((ROUNDDOWN($F297/5,0)*5+1.8)/Basis!$E$3,1)</f>
        <v>8.6</v>
      </c>
      <c r="H297" s="120">
        <f>ROUND($P297*Basis!$E$2*((TaH-TrH)/LN(1/µ)/Basis!$E$7)^$N297*$AA$4*Glycol,0)</f>
        <v>3238</v>
      </c>
      <c r="I297" s="83">
        <f>ROUND(H297/(MID($C297,9,3)/Basis!$E$3/Basis!$E$9)*Basis!$E$11,0)</f>
        <v>1645</v>
      </c>
      <c r="J297" s="123">
        <f>IF(Basis!$E$1=1,ROUND(H297/((TaH-TrH)*1.163)/3600,3),ROUND(H297/(500*(TaH-TrH)),2))</f>
        <v>0.32</v>
      </c>
      <c r="K297" s="84"/>
      <c r="L297" s="177">
        <f>CHOOSE(Basis!$E$1,((AJ297*(J297*3600/Basis!$E$5)^AK297*(((MID(C297,9,3)*10)-144)/1000)*AL297+AM297*(J297*3600/Basis!$E$5)^2)*0.0098)/Basis!$E$10,((AJ297*(J297/Basis!$E$5)^AK297*(((MID(C297,9,3)*10)-144)/1000)*AL297+AM297*(J297/Basis!$E$5)^2)*0.0098)/Basis!$E$10)</f>
        <v>1.0101739286302699E-2</v>
      </c>
      <c r="M297" s="85"/>
      <c r="N297" s="109">
        <v>1.4850000000000001</v>
      </c>
      <c r="O297" s="68"/>
      <c r="P297" s="67">
        <v>1549</v>
      </c>
      <c r="Q297" s="68"/>
      <c r="R297" s="69"/>
      <c r="S297" s="69"/>
      <c r="T297" s="69"/>
      <c r="U297" s="69"/>
      <c r="V297" s="69"/>
      <c r="W297" s="68"/>
      <c r="X297" s="70"/>
      <c r="Y297" s="70"/>
      <c r="Z297" s="70"/>
      <c r="AA297" s="70"/>
      <c r="AB297" s="70"/>
      <c r="AC297" s="68"/>
      <c r="AD297" s="71"/>
      <c r="AE297" s="71"/>
      <c r="AF297" s="71"/>
      <c r="AG297" s="71"/>
      <c r="AH297" s="71"/>
      <c r="AI297" s="68"/>
      <c r="AJ297" s="214">
        <v>1.2760000000000001E-4</v>
      </c>
      <c r="AK297" s="214">
        <v>1.7219</v>
      </c>
      <c r="AL297" s="214">
        <v>4</v>
      </c>
      <c r="AM297" s="214">
        <v>5.1420100000000005E-4</v>
      </c>
      <c r="AN297" s="68"/>
      <c r="AO297" s="67"/>
      <c r="AP297" s="67"/>
      <c r="AQ297" s="67"/>
      <c r="AR297" s="67"/>
      <c r="AS297" s="67"/>
      <c r="AT297" s="68"/>
      <c r="AU297" s="49"/>
      <c r="AV297" s="50"/>
    </row>
    <row r="298" spans="1:48" ht="12.75" customHeight="1" x14ac:dyDescent="0.25">
      <c r="A298" s="72" t="s">
        <v>23</v>
      </c>
      <c r="B298" s="43" t="s">
        <v>159</v>
      </c>
      <c r="C298" s="44" t="s">
        <v>448</v>
      </c>
      <c r="D298" s="45">
        <f>MROUND(MID($C298,6,3)/Basis!$E$3,0.5)</f>
        <v>19.5</v>
      </c>
      <c r="E298" s="45">
        <f>MROUND(MID($C298,9,3)/Basis!$E$3,0.5)</f>
        <v>27.5</v>
      </c>
      <c r="F298" s="124" t="s">
        <v>2943</v>
      </c>
      <c r="G298" s="45">
        <f>ROUND((ROUNDDOWN($F298/5,0)*5+1.8)/Basis!$E$3,1)</f>
        <v>4.5999999999999996</v>
      </c>
      <c r="H298" s="120">
        <f>ROUND($P298*Basis!$E$2*((TaH-TrH)/LN(1/µ)/Basis!$E$7)^$N298*$AA$4*Glycol,0)</f>
        <v>1627</v>
      </c>
      <c r="I298" s="83">
        <f>ROUND(H298/(MID($C298,9,3)/Basis!$E$3/Basis!$E$9)*Basis!$E$11,0)</f>
        <v>708</v>
      </c>
      <c r="J298" s="123">
        <f>IF(Basis!$E$1=1,ROUND(H298/((TaH-TrH)*1.163)/3600,3),ROUND(H298/(500*(TaH-TrH)),2))</f>
        <v>0.16</v>
      </c>
      <c r="K298" s="84"/>
      <c r="L298" s="177">
        <f>CHOOSE(Basis!$E$1,((AJ298*(J298*3600/Basis!$E$5)^AK298*(((MID(C298,9,3)*10)-144)/1000)*AL298+AM298*(J298*3600/Basis!$E$5)^2)*0.0098)/Basis!$E$10,((AJ298*(J298/Basis!$E$5)^AK298*(((MID(C298,9,3)*10)-144)/1000)*AL298+AM298*(J298/Basis!$E$5)^2)*0.0098)/Basis!$E$10)</f>
        <v>2.3206016653743865E-3</v>
      </c>
      <c r="M298" s="85"/>
      <c r="N298" s="109">
        <v>1.385</v>
      </c>
      <c r="O298" s="68"/>
      <c r="P298" s="67">
        <v>753</v>
      </c>
      <c r="Q298" s="68"/>
      <c r="R298" s="69"/>
      <c r="S298" s="69"/>
      <c r="T298" s="69"/>
      <c r="U298" s="69"/>
      <c r="V298" s="69"/>
      <c r="W298" s="68"/>
      <c r="X298" s="70"/>
      <c r="Y298" s="70"/>
      <c r="Z298" s="70"/>
      <c r="AA298" s="70"/>
      <c r="AB298" s="70"/>
      <c r="AC298" s="68"/>
      <c r="AD298" s="71"/>
      <c r="AE298" s="71"/>
      <c r="AF298" s="71"/>
      <c r="AG298" s="71"/>
      <c r="AH298" s="71"/>
      <c r="AI298" s="68"/>
      <c r="AJ298" s="214">
        <v>3.9689999999999994E-4</v>
      </c>
      <c r="AK298" s="214">
        <v>1.7345999999999999</v>
      </c>
      <c r="AL298" s="214">
        <v>2</v>
      </c>
      <c r="AM298" s="214">
        <v>3.6734700000000002E-4</v>
      </c>
      <c r="AN298" s="68"/>
      <c r="AO298" s="67"/>
      <c r="AP298" s="67"/>
      <c r="AQ298" s="67"/>
      <c r="AR298" s="67"/>
      <c r="AS298" s="67"/>
      <c r="AT298" s="68"/>
      <c r="AU298" s="49"/>
      <c r="AV298" s="50"/>
    </row>
    <row r="299" spans="1:48" ht="12.75" customHeight="1" x14ac:dyDescent="0.25">
      <c r="A299" s="72" t="s">
        <v>23</v>
      </c>
      <c r="B299" s="43" t="s">
        <v>159</v>
      </c>
      <c r="C299" s="44" t="s">
        <v>449</v>
      </c>
      <c r="D299" s="45">
        <f>MROUND(MID($C299,6,3)/Basis!$E$3,0.5)</f>
        <v>19.5</v>
      </c>
      <c r="E299" s="45">
        <f>MROUND(MID($C299,9,3)/Basis!$E$3,0.5)</f>
        <v>27.5</v>
      </c>
      <c r="F299" s="124" t="s">
        <v>2946</v>
      </c>
      <c r="G299" s="45">
        <f>ROUND((ROUNDDOWN($F299/5,0)*5+1.8)/Basis!$E$3,1)</f>
        <v>4.5999999999999996</v>
      </c>
      <c r="H299" s="120">
        <f>ROUND($P299*Basis!$E$2*((TaH-TrH)/LN(1/µ)/Basis!$E$7)^$N299*$AA$4*Glycol,0)</f>
        <v>2059</v>
      </c>
      <c r="I299" s="83">
        <f>ROUND(H299/(MID($C299,9,3)/Basis!$E$3/Basis!$E$9)*Basis!$E$11,0)</f>
        <v>897</v>
      </c>
      <c r="J299" s="123">
        <f>IF(Basis!$E$1=1,ROUND(H299/((TaH-TrH)*1.163)/3600,3),ROUND(H299/(500*(TaH-TrH)),2))</f>
        <v>0.21</v>
      </c>
      <c r="K299" s="84"/>
      <c r="L299" s="177">
        <f>CHOOSE(Basis!$E$1,((AJ299*(J299*3600/Basis!$E$5)^AK299*(((MID(C299,9,3)*10)-144)/1000)*AL299+AM299*(J299*3600/Basis!$E$5)^2)*0.0098)/Basis!$E$10,((AJ299*(J299/Basis!$E$5)^AK299*(((MID(C299,9,3)*10)-144)/1000)*AL299+AM299*(J299/Basis!$E$5)^2)*0.0098)/Basis!$E$10)</f>
        <v>6.6258622373469422E-3</v>
      </c>
      <c r="M299" s="85"/>
      <c r="N299" s="110">
        <v>1.4379999999999999</v>
      </c>
      <c r="O299" s="74"/>
      <c r="P299" s="73">
        <v>970</v>
      </c>
      <c r="Q299" s="74"/>
      <c r="R299" s="75"/>
      <c r="S299" s="75"/>
      <c r="T299" s="75"/>
      <c r="U299" s="75"/>
      <c r="V299" s="75"/>
      <c r="W299" s="74"/>
      <c r="X299" s="76"/>
      <c r="Y299" s="76"/>
      <c r="Z299" s="76"/>
      <c r="AA299" s="76"/>
      <c r="AB299" s="76"/>
      <c r="AC299" s="74"/>
      <c r="AD299" s="77"/>
      <c r="AE299" s="77"/>
      <c r="AF299" s="77"/>
      <c r="AG299" s="77"/>
      <c r="AH299" s="77"/>
      <c r="AI299" s="68"/>
      <c r="AJ299" s="213">
        <v>3.9689999999999994E-4</v>
      </c>
      <c r="AK299" s="213">
        <v>1.7345999999999999</v>
      </c>
      <c r="AL299" s="213">
        <v>4</v>
      </c>
      <c r="AM299" s="213">
        <v>5.7428799999999995E-4</v>
      </c>
      <c r="AN299" s="74"/>
      <c r="AO299" s="73"/>
      <c r="AP299" s="73"/>
      <c r="AQ299" s="73"/>
      <c r="AR299" s="73"/>
      <c r="AS299" s="73"/>
      <c r="AT299" s="74"/>
      <c r="AU299" s="47"/>
      <c r="AV299" s="48"/>
    </row>
    <row r="300" spans="1:48" ht="12.75" customHeight="1" x14ac:dyDescent="0.25">
      <c r="A300" s="72" t="s">
        <v>23</v>
      </c>
      <c r="B300" s="43" t="s">
        <v>159</v>
      </c>
      <c r="C300" s="44" t="s">
        <v>450</v>
      </c>
      <c r="D300" s="45">
        <f>MROUND(MID($C300,6,3)/Basis!$E$3,0.5)</f>
        <v>19.5</v>
      </c>
      <c r="E300" s="45">
        <f>MROUND(MID($C300,9,3)/Basis!$E$3,0.5)</f>
        <v>27.5</v>
      </c>
      <c r="F300" s="124" t="s">
        <v>2944</v>
      </c>
      <c r="G300" s="45">
        <f>ROUND((ROUNDDOWN($F300/5,0)*5+1.8)/Basis!$E$3,1)</f>
        <v>6.6</v>
      </c>
      <c r="H300" s="120">
        <f>ROUND($P300*Basis!$E$2*((TaH-TrH)/LN(1/µ)/Basis!$E$7)^$N300*$AA$4*Glycol,0)</f>
        <v>2633</v>
      </c>
      <c r="I300" s="83">
        <f>ROUND(H300/(MID($C300,9,3)/Basis!$E$3/Basis!$E$9)*Basis!$E$11,0)</f>
        <v>1146</v>
      </c>
      <c r="J300" s="123">
        <f>IF(Basis!$E$1=1,ROUND(H300/((TaH-TrH)*1.163)/3600,3),ROUND(H300/(500*(TaH-TrH)),2))</f>
        <v>0.26</v>
      </c>
      <c r="K300" s="84"/>
      <c r="L300" s="177">
        <f>CHOOSE(Basis!$E$1,((AJ300*(J300*3600/Basis!$E$5)^AK300*(((MID(C300,9,3)*10)-144)/1000)*AL300+AM300*(J300*3600/Basis!$E$5)^2)*0.0098)/Basis!$E$10,((AJ300*(J300/Basis!$E$5)^AK300*(((MID(C300,9,3)*10)-144)/1000)*AL300+AM300*(J300/Basis!$E$5)^2)*0.0098)/Basis!$E$10)</f>
        <v>6.122699488726722E-3</v>
      </c>
      <c r="M300" s="85"/>
      <c r="N300" s="110">
        <v>1.373</v>
      </c>
      <c r="O300" s="74"/>
      <c r="P300" s="73">
        <v>1214</v>
      </c>
      <c r="Q300" s="74"/>
      <c r="R300" s="75"/>
      <c r="S300" s="75"/>
      <c r="T300" s="75"/>
      <c r="U300" s="75"/>
      <c r="V300" s="75"/>
      <c r="W300" s="74"/>
      <c r="X300" s="76"/>
      <c r="Y300" s="76"/>
      <c r="Z300" s="76"/>
      <c r="AA300" s="76"/>
      <c r="AB300" s="76"/>
      <c r="AC300" s="74"/>
      <c r="AD300" s="77"/>
      <c r="AE300" s="77"/>
      <c r="AF300" s="77"/>
      <c r="AG300" s="77"/>
      <c r="AH300" s="77"/>
      <c r="AI300" s="68"/>
      <c r="AJ300" s="213">
        <v>2.0829999999999999E-4</v>
      </c>
      <c r="AK300" s="213">
        <v>1.724</v>
      </c>
      <c r="AL300" s="213">
        <v>2</v>
      </c>
      <c r="AM300" s="213">
        <v>4.6182900000000003E-4</v>
      </c>
      <c r="AN300" s="74"/>
      <c r="AO300" s="73"/>
      <c r="AP300" s="73"/>
      <c r="AQ300" s="73"/>
      <c r="AR300" s="73"/>
      <c r="AS300" s="73"/>
      <c r="AT300" s="74"/>
      <c r="AU300" s="47"/>
      <c r="AV300" s="48"/>
    </row>
    <row r="301" spans="1:48" ht="12.75" customHeight="1" x14ac:dyDescent="0.25">
      <c r="A301" s="72" t="s">
        <v>23</v>
      </c>
      <c r="B301" s="43" t="s">
        <v>159</v>
      </c>
      <c r="C301" s="44" t="s">
        <v>451</v>
      </c>
      <c r="D301" s="45">
        <f>MROUND(MID($C301,6,3)/Basis!$E$3,0.5)</f>
        <v>19.5</v>
      </c>
      <c r="E301" s="45">
        <f>MROUND(MID($C301,9,3)/Basis!$E$3,0.5)</f>
        <v>27.5</v>
      </c>
      <c r="F301" s="124" t="s">
        <v>2947</v>
      </c>
      <c r="G301" s="45">
        <f>ROUND((ROUNDDOWN($F301/5,0)*5+1.8)/Basis!$E$3,1)</f>
        <v>6.6</v>
      </c>
      <c r="H301" s="120">
        <f>ROUND($P301*Basis!$E$2*((TaH-TrH)/LN(1/µ)/Basis!$E$7)^$N301*$AA$4*Glycol,0)</f>
        <v>2797</v>
      </c>
      <c r="I301" s="83">
        <f>ROUND(H301/(MID($C301,9,3)/Basis!$E$3/Basis!$E$9)*Basis!$E$11,0)</f>
        <v>1218</v>
      </c>
      <c r="J301" s="123">
        <f>IF(Basis!$E$1=1,ROUND(H301/((TaH-TrH)*1.163)/3600,3),ROUND(H301/(500*(TaH-TrH)),2))</f>
        <v>0.28000000000000003</v>
      </c>
      <c r="K301" s="84"/>
      <c r="L301" s="177">
        <f>CHOOSE(Basis!$E$1,((AJ301*(J301*3600/Basis!$E$5)^AK301*(((MID(C301,9,3)*10)-144)/1000)*AL301+AM301*(J301*3600/Basis!$E$5)^2)*0.0098)/Basis!$E$10,((AJ301*(J301/Basis!$E$5)^AK301*(((MID(C301,9,3)*10)-144)/1000)*AL301+AM301*(J301/Basis!$E$5)^2)*0.0098)/Basis!$E$10)</f>
        <v>2.0365279207537831E-2</v>
      </c>
      <c r="M301" s="85"/>
      <c r="N301" s="109">
        <v>1.464</v>
      </c>
      <c r="O301" s="68"/>
      <c r="P301" s="67">
        <v>1329</v>
      </c>
      <c r="Q301" s="68"/>
      <c r="R301" s="69"/>
      <c r="S301" s="69"/>
      <c r="T301" s="69"/>
      <c r="U301" s="69"/>
      <c r="V301" s="69"/>
      <c r="W301" s="68"/>
      <c r="X301" s="70"/>
      <c r="Y301" s="70"/>
      <c r="Z301" s="70"/>
      <c r="AA301" s="70"/>
      <c r="AB301" s="70"/>
      <c r="AC301" s="68"/>
      <c r="AD301" s="71"/>
      <c r="AE301" s="71"/>
      <c r="AF301" s="71"/>
      <c r="AG301" s="71"/>
      <c r="AH301" s="71"/>
      <c r="AI301" s="68"/>
      <c r="AJ301" s="214">
        <v>2.0829999999999999E-4</v>
      </c>
      <c r="AK301" s="214">
        <v>1.724</v>
      </c>
      <c r="AL301" s="214">
        <v>4</v>
      </c>
      <c r="AM301" s="214">
        <v>1.392796E-3</v>
      </c>
      <c r="AN301" s="68"/>
      <c r="AO301" s="67"/>
      <c r="AP301" s="67"/>
      <c r="AQ301" s="67"/>
      <c r="AR301" s="67"/>
      <c r="AS301" s="67"/>
      <c r="AT301" s="68"/>
      <c r="AU301" s="49"/>
      <c r="AV301" s="50"/>
    </row>
    <row r="302" spans="1:48" ht="12.75" customHeight="1" x14ac:dyDescent="0.25">
      <c r="A302" s="72" t="s">
        <v>23</v>
      </c>
      <c r="B302" s="43" t="s">
        <v>159</v>
      </c>
      <c r="C302" s="44" t="s">
        <v>452</v>
      </c>
      <c r="D302" s="45">
        <f>MROUND(MID($C302,6,3)/Basis!$E$3,0.5)</f>
        <v>19.5</v>
      </c>
      <c r="E302" s="45">
        <f>MROUND(MID($C302,9,3)/Basis!$E$3,0.5)</f>
        <v>27.5</v>
      </c>
      <c r="F302" s="124" t="s">
        <v>2945</v>
      </c>
      <c r="G302" s="45">
        <f>ROUND((ROUNDDOWN($F302/5,0)*5+1.8)/Basis!$E$3,1)</f>
        <v>8.6</v>
      </c>
      <c r="H302" s="120">
        <f>ROUND($P302*Basis!$E$2*((TaH-TrH)/LN(1/µ)/Basis!$E$7)^$N302*$AA$4*Glycol,0)</f>
        <v>3683</v>
      </c>
      <c r="I302" s="83">
        <f>ROUND(H302/(MID($C302,9,3)/Basis!$E$3/Basis!$E$9)*Basis!$E$11,0)</f>
        <v>1604</v>
      </c>
      <c r="J302" s="123">
        <f>IF(Basis!$E$1=1,ROUND(H302/((TaH-TrH)*1.163)/3600,3),ROUND(H302/(500*(TaH-TrH)),2))</f>
        <v>0.37</v>
      </c>
      <c r="K302" s="84"/>
      <c r="L302" s="177">
        <f>CHOOSE(Basis!$E$1,((AJ302*(J302*3600/Basis!$E$5)^AK302*(((MID(C302,9,3)*10)-144)/1000)*AL302+AM302*(J302*3600/Basis!$E$5)^2)*0.0098)/Basis!$E$10,((AJ302*(J302/Basis!$E$5)^AK302*(((MID(C302,9,3)*10)-144)/1000)*AL302+AM302*(J302/Basis!$E$5)^2)*0.0098)/Basis!$E$10)</f>
        <v>9.6517445856657263E-3</v>
      </c>
      <c r="M302" s="85"/>
      <c r="N302" s="109">
        <v>1.373</v>
      </c>
      <c r="O302" s="68"/>
      <c r="P302" s="67">
        <v>1698</v>
      </c>
      <c r="Q302" s="68"/>
      <c r="R302" s="69"/>
      <c r="S302" s="69"/>
      <c r="T302" s="69"/>
      <c r="U302" s="69"/>
      <c r="V302" s="69"/>
      <c r="W302" s="68"/>
      <c r="X302" s="70"/>
      <c r="Y302" s="70"/>
      <c r="Z302" s="70"/>
      <c r="AA302" s="70"/>
      <c r="AB302" s="70"/>
      <c r="AC302" s="68"/>
      <c r="AD302" s="71"/>
      <c r="AE302" s="71"/>
      <c r="AF302" s="71"/>
      <c r="AG302" s="71"/>
      <c r="AH302" s="71"/>
      <c r="AI302" s="68"/>
      <c r="AJ302" s="214">
        <v>1.2760000000000001E-4</v>
      </c>
      <c r="AK302" s="214">
        <v>1.7219</v>
      </c>
      <c r="AL302" s="214">
        <v>2</v>
      </c>
      <c r="AM302" s="214">
        <v>3.76611E-4</v>
      </c>
      <c r="AN302" s="68"/>
      <c r="AO302" s="67"/>
      <c r="AP302" s="67"/>
      <c r="AQ302" s="67"/>
      <c r="AR302" s="67"/>
      <c r="AS302" s="67"/>
      <c r="AT302" s="68"/>
      <c r="AU302" s="49"/>
      <c r="AV302" s="50"/>
    </row>
    <row r="303" spans="1:48" ht="12.75" customHeight="1" x14ac:dyDescent="0.25">
      <c r="A303" s="72" t="s">
        <v>23</v>
      </c>
      <c r="B303" s="43" t="s">
        <v>159</v>
      </c>
      <c r="C303" s="44" t="s">
        <v>453</v>
      </c>
      <c r="D303" s="45">
        <f>MROUND(MID($C303,6,3)/Basis!$E$3,0.5)</f>
        <v>19.5</v>
      </c>
      <c r="E303" s="45">
        <f>MROUND(MID($C303,9,3)/Basis!$E$3,0.5)</f>
        <v>27.5</v>
      </c>
      <c r="F303" s="124" t="s">
        <v>2948</v>
      </c>
      <c r="G303" s="45">
        <f>ROUND((ROUNDDOWN($F303/5,0)*5+1.8)/Basis!$E$3,1)</f>
        <v>8.6</v>
      </c>
      <c r="H303" s="120">
        <f>ROUND($P303*Basis!$E$2*((TaH-TrH)/LN(1/µ)/Basis!$E$7)^$N303*$AA$4*Glycol,0)</f>
        <v>3777</v>
      </c>
      <c r="I303" s="83">
        <f>ROUND(H303/(MID($C303,9,3)/Basis!$E$3/Basis!$E$9)*Basis!$E$11,0)</f>
        <v>1645</v>
      </c>
      <c r="J303" s="123">
        <f>IF(Basis!$E$1=1,ROUND(H303/((TaH-TrH)*1.163)/3600,3),ROUND(H303/(500*(TaH-TrH)),2))</f>
        <v>0.38</v>
      </c>
      <c r="K303" s="84"/>
      <c r="L303" s="177">
        <f>CHOOSE(Basis!$E$1,((AJ303*(J303*3600/Basis!$E$5)^AK303*(((MID(C303,9,3)*10)-144)/1000)*AL303+AM303*(J303*3600/Basis!$E$5)^2)*0.0098)/Basis!$E$10,((AJ303*(J303/Basis!$E$5)^AK303*(((MID(C303,9,3)*10)-144)/1000)*AL303+AM303*(J303/Basis!$E$5)^2)*0.0098)/Basis!$E$10)</f>
        <v>1.4524543753618762E-2</v>
      </c>
      <c r="M303" s="85"/>
      <c r="N303" s="110">
        <v>1.4850000000000001</v>
      </c>
      <c r="O303" s="74"/>
      <c r="P303" s="73">
        <v>1807</v>
      </c>
      <c r="Q303" s="74"/>
      <c r="R303" s="75"/>
      <c r="S303" s="75"/>
      <c r="T303" s="75"/>
      <c r="U303" s="75"/>
      <c r="V303" s="75"/>
      <c r="W303" s="74"/>
      <c r="X303" s="76"/>
      <c r="Y303" s="76"/>
      <c r="Z303" s="76"/>
      <c r="AA303" s="76"/>
      <c r="AB303" s="76"/>
      <c r="AC303" s="74"/>
      <c r="AD303" s="77"/>
      <c r="AE303" s="77"/>
      <c r="AF303" s="77"/>
      <c r="AG303" s="77"/>
      <c r="AH303" s="77"/>
      <c r="AI303" s="68"/>
      <c r="AJ303" s="213">
        <v>1.2760000000000001E-4</v>
      </c>
      <c r="AK303" s="213">
        <v>1.7219</v>
      </c>
      <c r="AL303" s="213">
        <v>4</v>
      </c>
      <c r="AM303" s="213">
        <v>5.1420100000000005E-4</v>
      </c>
      <c r="AN303" s="74"/>
      <c r="AO303" s="73"/>
      <c r="AP303" s="73"/>
      <c r="AQ303" s="73"/>
      <c r="AR303" s="73"/>
      <c r="AS303" s="73"/>
      <c r="AT303" s="74"/>
      <c r="AU303" s="47"/>
      <c r="AV303" s="48"/>
    </row>
    <row r="304" spans="1:48" ht="12.75" customHeight="1" x14ac:dyDescent="0.25">
      <c r="A304" s="72" t="s">
        <v>23</v>
      </c>
      <c r="B304" s="43" t="s">
        <v>159</v>
      </c>
      <c r="C304" s="44" t="s">
        <v>454</v>
      </c>
      <c r="D304" s="45">
        <f>MROUND(MID($C304,6,3)/Basis!$E$3,0.5)</f>
        <v>19.5</v>
      </c>
      <c r="E304" s="45">
        <f>MROUND(MID($C304,9,3)/Basis!$E$3,0.5)</f>
        <v>31.5</v>
      </c>
      <c r="F304" s="124" t="s">
        <v>2943</v>
      </c>
      <c r="G304" s="45">
        <f>ROUND((ROUNDDOWN($F304/5,0)*5+1.8)/Basis!$E$3,1)</f>
        <v>4.5999999999999996</v>
      </c>
      <c r="H304" s="120">
        <f>ROUND($P304*Basis!$E$2*((TaH-TrH)/LN(1/µ)/Basis!$E$7)^$N304*$AA$4*Glycol,0)</f>
        <v>1860</v>
      </c>
      <c r="I304" s="83">
        <f>ROUND(H304/(MID($C304,9,3)/Basis!$E$3/Basis!$E$9)*Basis!$E$11,0)</f>
        <v>709</v>
      </c>
      <c r="J304" s="123">
        <f>IF(Basis!$E$1=1,ROUND(H304/((TaH-TrH)*1.163)/3600,3),ROUND(H304/(500*(TaH-TrH)),2))</f>
        <v>0.19</v>
      </c>
      <c r="K304" s="84"/>
      <c r="L304" s="177">
        <f>CHOOSE(Basis!$E$1,((AJ304*(J304*3600/Basis!$E$5)^AK304*(((MID(C304,9,3)*10)-144)/1000)*AL304+AM304*(J304*3600/Basis!$E$5)^2)*0.0098)/Basis!$E$10,((AJ304*(J304/Basis!$E$5)^AK304*(((MID(C304,9,3)*10)-144)/1000)*AL304+AM304*(J304/Basis!$E$5)^2)*0.0098)/Basis!$E$10)</f>
        <v>3.404198837016622E-3</v>
      </c>
      <c r="M304" s="85"/>
      <c r="N304" s="110">
        <v>1.385</v>
      </c>
      <c r="O304" s="74"/>
      <c r="P304" s="73">
        <v>861</v>
      </c>
      <c r="Q304" s="74"/>
      <c r="R304" s="75"/>
      <c r="S304" s="75"/>
      <c r="T304" s="75"/>
      <c r="U304" s="75"/>
      <c r="V304" s="75"/>
      <c r="W304" s="74"/>
      <c r="X304" s="76"/>
      <c r="Y304" s="76"/>
      <c r="Z304" s="76"/>
      <c r="AA304" s="76"/>
      <c r="AB304" s="76"/>
      <c r="AC304" s="74"/>
      <c r="AD304" s="77"/>
      <c r="AE304" s="77"/>
      <c r="AF304" s="77"/>
      <c r="AG304" s="77"/>
      <c r="AH304" s="77"/>
      <c r="AI304" s="68"/>
      <c r="AJ304" s="213">
        <v>3.9689999999999994E-4</v>
      </c>
      <c r="AK304" s="213">
        <v>1.7345999999999999</v>
      </c>
      <c r="AL304" s="213">
        <v>2</v>
      </c>
      <c r="AM304" s="213">
        <v>3.6734700000000002E-4</v>
      </c>
      <c r="AN304" s="74"/>
      <c r="AO304" s="73"/>
      <c r="AP304" s="73"/>
      <c r="AQ304" s="73"/>
      <c r="AR304" s="73"/>
      <c r="AS304" s="73"/>
      <c r="AT304" s="74"/>
      <c r="AU304" s="47"/>
      <c r="AV304" s="48"/>
    </row>
    <row r="305" spans="1:48" ht="12.75" customHeight="1" x14ac:dyDescent="0.25">
      <c r="A305" s="72" t="s">
        <v>23</v>
      </c>
      <c r="B305" s="43" t="s">
        <v>159</v>
      </c>
      <c r="C305" s="44" t="s">
        <v>455</v>
      </c>
      <c r="D305" s="45">
        <f>MROUND(MID($C305,6,3)/Basis!$E$3,0.5)</f>
        <v>19.5</v>
      </c>
      <c r="E305" s="45">
        <f>MROUND(MID($C305,9,3)/Basis!$E$3,0.5)</f>
        <v>31.5</v>
      </c>
      <c r="F305" s="124" t="s">
        <v>2946</v>
      </c>
      <c r="G305" s="45">
        <f>ROUND((ROUNDDOWN($F305/5,0)*5+1.8)/Basis!$E$3,1)</f>
        <v>4.5999999999999996</v>
      </c>
      <c r="H305" s="120">
        <f>ROUND($P305*Basis!$E$2*((TaH-TrH)/LN(1/µ)/Basis!$E$7)^$N305*$AA$4*Glycol,0)</f>
        <v>2354</v>
      </c>
      <c r="I305" s="83">
        <f>ROUND(H305/(MID($C305,9,3)/Basis!$E$3/Basis!$E$9)*Basis!$E$11,0)</f>
        <v>897</v>
      </c>
      <c r="J305" s="123">
        <f>IF(Basis!$E$1=1,ROUND(H305/((TaH-TrH)*1.163)/3600,3),ROUND(H305/(500*(TaH-TrH)),2))</f>
        <v>0.24</v>
      </c>
      <c r="K305" s="84"/>
      <c r="L305" s="177">
        <f>CHOOSE(Basis!$E$1,((AJ305*(J305*3600/Basis!$E$5)^AK305*(((MID(C305,9,3)*10)-144)/1000)*AL305+AM305*(J305*3600/Basis!$E$5)^2)*0.0098)/Basis!$E$10,((AJ305*(J305/Basis!$E$5)^AK305*(((MID(C305,9,3)*10)-144)/1000)*AL305+AM305*(J305/Basis!$E$5)^2)*0.0098)/Basis!$E$10)</f>
        <v>9.0808867386825715E-3</v>
      </c>
      <c r="M305" s="85"/>
      <c r="N305" s="109">
        <v>1.4379999999999999</v>
      </c>
      <c r="O305" s="68"/>
      <c r="P305" s="67">
        <v>1109</v>
      </c>
      <c r="Q305" s="68"/>
      <c r="R305" s="69"/>
      <c r="S305" s="69"/>
      <c r="T305" s="69"/>
      <c r="U305" s="69"/>
      <c r="V305" s="69"/>
      <c r="W305" s="68"/>
      <c r="X305" s="70"/>
      <c r="Y305" s="70"/>
      <c r="Z305" s="70"/>
      <c r="AA305" s="70"/>
      <c r="AB305" s="70"/>
      <c r="AC305" s="68"/>
      <c r="AD305" s="71"/>
      <c r="AE305" s="71"/>
      <c r="AF305" s="71"/>
      <c r="AG305" s="71"/>
      <c r="AH305" s="71"/>
      <c r="AI305" s="68"/>
      <c r="AJ305" s="214">
        <v>3.9689999999999994E-4</v>
      </c>
      <c r="AK305" s="214">
        <v>1.7345999999999999</v>
      </c>
      <c r="AL305" s="214">
        <v>4</v>
      </c>
      <c r="AM305" s="214">
        <v>5.7428799999999995E-4</v>
      </c>
      <c r="AN305" s="68"/>
      <c r="AO305" s="67"/>
      <c r="AP305" s="67"/>
      <c r="AQ305" s="67"/>
      <c r="AR305" s="67"/>
      <c r="AS305" s="67"/>
      <c r="AT305" s="68"/>
      <c r="AU305" s="49"/>
      <c r="AV305" s="50"/>
    </row>
    <row r="306" spans="1:48" ht="12.75" customHeight="1" x14ac:dyDescent="0.25">
      <c r="A306" s="72" t="s">
        <v>23</v>
      </c>
      <c r="B306" s="43" t="s">
        <v>159</v>
      </c>
      <c r="C306" s="44" t="s">
        <v>456</v>
      </c>
      <c r="D306" s="45">
        <f>MROUND(MID($C306,6,3)/Basis!$E$3,0.5)</f>
        <v>19.5</v>
      </c>
      <c r="E306" s="45">
        <f>MROUND(MID($C306,9,3)/Basis!$E$3,0.5)</f>
        <v>31.5</v>
      </c>
      <c r="F306" s="124" t="s">
        <v>2944</v>
      </c>
      <c r="G306" s="45">
        <f>ROUND((ROUNDDOWN($F306/5,0)*5+1.8)/Basis!$E$3,1)</f>
        <v>6.6</v>
      </c>
      <c r="H306" s="120">
        <f>ROUND($P306*Basis!$E$2*((TaH-TrH)/LN(1/µ)/Basis!$E$7)^$N306*$AA$4*Glycol,0)</f>
        <v>3008</v>
      </c>
      <c r="I306" s="83">
        <f>ROUND(H306/(MID($C306,9,3)/Basis!$E$3/Basis!$E$9)*Basis!$E$11,0)</f>
        <v>1146</v>
      </c>
      <c r="J306" s="123">
        <f>IF(Basis!$E$1=1,ROUND(H306/((TaH-TrH)*1.163)/3600,3),ROUND(H306/(500*(TaH-TrH)),2))</f>
        <v>0.3</v>
      </c>
      <c r="K306" s="84"/>
      <c r="L306" s="177">
        <f>CHOOSE(Basis!$E$1,((AJ306*(J306*3600/Basis!$E$5)^AK306*(((MID(C306,9,3)*10)-144)/1000)*AL306+AM306*(J306*3600/Basis!$E$5)^2)*0.0098)/Basis!$E$10,((AJ306*(J306/Basis!$E$5)^AK306*(((MID(C306,9,3)*10)-144)/1000)*AL306+AM306*(J306/Basis!$E$5)^2)*0.0098)/Basis!$E$10)</f>
        <v>8.304580842692727E-3</v>
      </c>
      <c r="M306" s="85"/>
      <c r="N306" s="109">
        <v>1.373</v>
      </c>
      <c r="O306" s="68"/>
      <c r="P306" s="67">
        <v>1387</v>
      </c>
      <c r="Q306" s="68"/>
      <c r="R306" s="69"/>
      <c r="S306" s="69"/>
      <c r="T306" s="69"/>
      <c r="U306" s="69"/>
      <c r="V306" s="69"/>
      <c r="W306" s="68"/>
      <c r="X306" s="70"/>
      <c r="Y306" s="70"/>
      <c r="Z306" s="70"/>
      <c r="AA306" s="70"/>
      <c r="AB306" s="70"/>
      <c r="AC306" s="68"/>
      <c r="AD306" s="71"/>
      <c r="AE306" s="71"/>
      <c r="AF306" s="71"/>
      <c r="AG306" s="71"/>
      <c r="AH306" s="71"/>
      <c r="AI306" s="68"/>
      <c r="AJ306" s="214">
        <v>2.0829999999999999E-4</v>
      </c>
      <c r="AK306" s="214">
        <v>1.724</v>
      </c>
      <c r="AL306" s="214">
        <v>2</v>
      </c>
      <c r="AM306" s="214">
        <v>4.6182900000000003E-4</v>
      </c>
      <c r="AN306" s="68"/>
      <c r="AO306" s="67"/>
      <c r="AP306" s="67"/>
      <c r="AQ306" s="67"/>
      <c r="AR306" s="67"/>
      <c r="AS306" s="67"/>
      <c r="AT306" s="68"/>
      <c r="AU306" s="49"/>
      <c r="AV306" s="50"/>
    </row>
    <row r="307" spans="1:48" ht="12.75" customHeight="1" x14ac:dyDescent="0.25">
      <c r="A307" s="72" t="s">
        <v>23</v>
      </c>
      <c r="B307" s="43" t="s">
        <v>159</v>
      </c>
      <c r="C307" s="44" t="s">
        <v>457</v>
      </c>
      <c r="D307" s="45">
        <f>MROUND(MID($C307,6,3)/Basis!$E$3,0.5)</f>
        <v>19.5</v>
      </c>
      <c r="E307" s="45">
        <f>MROUND(MID($C307,9,3)/Basis!$E$3,0.5)</f>
        <v>31.5</v>
      </c>
      <c r="F307" s="124" t="s">
        <v>2947</v>
      </c>
      <c r="G307" s="45">
        <f>ROUND((ROUNDDOWN($F307/5,0)*5+1.8)/Basis!$E$3,1)</f>
        <v>6.6</v>
      </c>
      <c r="H307" s="120">
        <f>ROUND($P307*Basis!$E$2*((TaH-TrH)/LN(1/µ)/Basis!$E$7)^$N307*$AA$4*Glycol,0)</f>
        <v>3195</v>
      </c>
      <c r="I307" s="83">
        <f>ROUND(H307/(MID($C307,9,3)/Basis!$E$3/Basis!$E$9)*Basis!$E$11,0)</f>
        <v>1217</v>
      </c>
      <c r="J307" s="123">
        <f>IF(Basis!$E$1=1,ROUND(H307/((TaH-TrH)*1.163)/3600,3),ROUND(H307/(500*(TaH-TrH)),2))</f>
        <v>0.32</v>
      </c>
      <c r="K307" s="84"/>
      <c r="L307" s="177">
        <f>CHOOSE(Basis!$E$1,((AJ307*(J307*3600/Basis!$E$5)^AK307*(((MID(C307,9,3)*10)-144)/1000)*AL307+AM307*(J307*3600/Basis!$E$5)^2)*0.0098)/Basis!$E$10,((AJ307*(J307/Basis!$E$5)^AK307*(((MID(C307,9,3)*10)-144)/1000)*AL307+AM307*(J307/Basis!$E$5)^2)*0.0098)/Basis!$E$10)</f>
        <v>2.6948417466216731E-2</v>
      </c>
      <c r="M307" s="85"/>
      <c r="N307" s="110">
        <v>1.464</v>
      </c>
      <c r="O307" s="74"/>
      <c r="P307" s="73">
        <v>1518</v>
      </c>
      <c r="Q307" s="74"/>
      <c r="R307" s="75"/>
      <c r="S307" s="75"/>
      <c r="T307" s="75"/>
      <c r="U307" s="75"/>
      <c r="V307" s="75"/>
      <c r="W307" s="74"/>
      <c r="X307" s="76"/>
      <c r="Y307" s="76"/>
      <c r="Z307" s="76"/>
      <c r="AA307" s="76"/>
      <c r="AB307" s="76"/>
      <c r="AC307" s="74"/>
      <c r="AD307" s="77"/>
      <c r="AE307" s="77"/>
      <c r="AF307" s="77"/>
      <c r="AG307" s="77"/>
      <c r="AH307" s="77"/>
      <c r="AI307" s="68"/>
      <c r="AJ307" s="213">
        <v>2.0829999999999999E-4</v>
      </c>
      <c r="AK307" s="213">
        <v>1.724</v>
      </c>
      <c r="AL307" s="213">
        <v>4</v>
      </c>
      <c r="AM307" s="213">
        <v>1.392796E-3</v>
      </c>
      <c r="AN307" s="74"/>
      <c r="AO307" s="73"/>
      <c r="AP307" s="73"/>
      <c r="AQ307" s="73"/>
      <c r="AR307" s="73"/>
      <c r="AS307" s="73"/>
      <c r="AT307" s="74"/>
      <c r="AU307" s="47"/>
      <c r="AV307" s="48"/>
    </row>
    <row r="308" spans="1:48" ht="12.75" customHeight="1" x14ac:dyDescent="0.25">
      <c r="A308" s="72" t="s">
        <v>23</v>
      </c>
      <c r="B308" s="43" t="s">
        <v>159</v>
      </c>
      <c r="C308" s="44" t="s">
        <v>458</v>
      </c>
      <c r="D308" s="45">
        <f>MROUND(MID($C308,6,3)/Basis!$E$3,0.5)</f>
        <v>19.5</v>
      </c>
      <c r="E308" s="45">
        <f>MROUND(MID($C308,9,3)/Basis!$E$3,0.5)</f>
        <v>31.5</v>
      </c>
      <c r="F308" s="124" t="s">
        <v>2945</v>
      </c>
      <c r="G308" s="45">
        <f>ROUND((ROUNDDOWN($F308/5,0)*5+1.8)/Basis!$E$3,1)</f>
        <v>8.6</v>
      </c>
      <c r="H308" s="120">
        <f>ROUND($P308*Basis!$E$2*((TaH-TrH)/LN(1/µ)/Basis!$E$7)^$N308*$AA$4*Glycol,0)</f>
        <v>4208</v>
      </c>
      <c r="I308" s="83">
        <f>ROUND(H308/(MID($C308,9,3)/Basis!$E$3/Basis!$E$9)*Basis!$E$11,0)</f>
        <v>1603</v>
      </c>
      <c r="J308" s="123">
        <f>IF(Basis!$E$1=1,ROUND(H308/((TaH-TrH)*1.163)/3600,3),ROUND(H308/(500*(TaH-TrH)),2))</f>
        <v>0.42</v>
      </c>
      <c r="K308" s="84"/>
      <c r="L308" s="177">
        <f>CHOOSE(Basis!$E$1,((AJ308*(J308*3600/Basis!$E$5)^AK308*(((MID(C308,9,3)*10)-144)/1000)*AL308+AM308*(J308*3600/Basis!$E$5)^2)*0.0098)/Basis!$E$10,((AJ308*(J308/Basis!$E$5)^AK308*(((MID(C308,9,3)*10)-144)/1000)*AL308+AM308*(J308/Basis!$E$5)^2)*0.0098)/Basis!$E$10)</f>
        <v>1.2607694752682985E-2</v>
      </c>
      <c r="M308" s="85"/>
      <c r="N308" s="110">
        <v>1.373</v>
      </c>
      <c r="O308" s="74"/>
      <c r="P308" s="73">
        <v>1940</v>
      </c>
      <c r="Q308" s="74"/>
      <c r="R308" s="75"/>
      <c r="S308" s="75"/>
      <c r="T308" s="75"/>
      <c r="U308" s="75"/>
      <c r="V308" s="75"/>
      <c r="W308" s="74"/>
      <c r="X308" s="76"/>
      <c r="Y308" s="76"/>
      <c r="Z308" s="76"/>
      <c r="AA308" s="76"/>
      <c r="AB308" s="76"/>
      <c r="AC308" s="74"/>
      <c r="AD308" s="77"/>
      <c r="AE308" s="77"/>
      <c r="AF308" s="77"/>
      <c r="AG308" s="77"/>
      <c r="AH308" s="77"/>
      <c r="AI308" s="68"/>
      <c r="AJ308" s="213">
        <v>1.2760000000000001E-4</v>
      </c>
      <c r="AK308" s="213">
        <v>1.7219</v>
      </c>
      <c r="AL308" s="213">
        <v>2</v>
      </c>
      <c r="AM308" s="213">
        <v>3.76611E-4</v>
      </c>
      <c r="AN308" s="74"/>
      <c r="AO308" s="73"/>
      <c r="AP308" s="73"/>
      <c r="AQ308" s="73"/>
      <c r="AR308" s="73"/>
      <c r="AS308" s="73"/>
      <c r="AT308" s="74"/>
      <c r="AU308" s="47"/>
      <c r="AV308" s="48"/>
    </row>
    <row r="309" spans="1:48" ht="12.75" customHeight="1" x14ac:dyDescent="0.25">
      <c r="A309" s="72" t="s">
        <v>23</v>
      </c>
      <c r="B309" s="43" t="s">
        <v>159</v>
      </c>
      <c r="C309" s="44" t="s">
        <v>459</v>
      </c>
      <c r="D309" s="45">
        <f>MROUND(MID($C309,6,3)/Basis!$E$3,0.5)</f>
        <v>19.5</v>
      </c>
      <c r="E309" s="45">
        <f>MROUND(MID($C309,9,3)/Basis!$E$3,0.5)</f>
        <v>31.5</v>
      </c>
      <c r="F309" s="124" t="s">
        <v>2948</v>
      </c>
      <c r="G309" s="45">
        <f>ROUND((ROUNDDOWN($F309/5,0)*5+1.8)/Basis!$E$3,1)</f>
        <v>8.6</v>
      </c>
      <c r="H309" s="120">
        <f>ROUND($P309*Basis!$E$2*((TaH-TrH)/LN(1/µ)/Basis!$E$7)^$N309*$AA$4*Glycol,0)</f>
        <v>4318</v>
      </c>
      <c r="I309" s="83">
        <f>ROUND(H309/(MID($C309,9,3)/Basis!$E$3/Basis!$E$9)*Basis!$E$11,0)</f>
        <v>1645</v>
      </c>
      <c r="J309" s="123">
        <f>IF(Basis!$E$1=1,ROUND(H309/((TaH-TrH)*1.163)/3600,3),ROUND(H309/(500*(TaH-TrH)),2))</f>
        <v>0.43</v>
      </c>
      <c r="K309" s="84"/>
      <c r="L309" s="177">
        <f>CHOOSE(Basis!$E$1,((AJ309*(J309*3600/Basis!$E$5)^AK309*(((MID(C309,9,3)*10)-144)/1000)*AL309+AM309*(J309*3600/Basis!$E$5)^2)*0.0098)/Basis!$E$10,((AJ309*(J309/Basis!$E$5)^AK309*(((MID(C309,9,3)*10)-144)/1000)*AL309+AM309*(J309/Basis!$E$5)^2)*0.0098)/Basis!$E$10)</f>
        <v>1.8956873544516892E-2</v>
      </c>
      <c r="M309" s="85"/>
      <c r="N309" s="109">
        <v>1.4850000000000001</v>
      </c>
      <c r="O309" s="68"/>
      <c r="P309" s="67">
        <v>2066</v>
      </c>
      <c r="Q309" s="68"/>
      <c r="R309" s="69"/>
      <c r="S309" s="69"/>
      <c r="T309" s="69"/>
      <c r="U309" s="69"/>
      <c r="V309" s="69"/>
      <c r="W309" s="68"/>
      <c r="X309" s="70"/>
      <c r="Y309" s="70"/>
      <c r="Z309" s="70"/>
      <c r="AA309" s="70"/>
      <c r="AB309" s="70"/>
      <c r="AC309" s="68"/>
      <c r="AD309" s="71"/>
      <c r="AE309" s="71"/>
      <c r="AF309" s="71"/>
      <c r="AG309" s="71"/>
      <c r="AH309" s="71"/>
      <c r="AI309" s="68"/>
      <c r="AJ309" s="214">
        <v>1.2760000000000001E-4</v>
      </c>
      <c r="AK309" s="214">
        <v>1.7219</v>
      </c>
      <c r="AL309" s="214">
        <v>4</v>
      </c>
      <c r="AM309" s="214">
        <v>5.1420100000000005E-4</v>
      </c>
      <c r="AN309" s="68"/>
      <c r="AO309" s="67"/>
      <c r="AP309" s="67"/>
      <c r="AQ309" s="67"/>
      <c r="AR309" s="67"/>
      <c r="AS309" s="67"/>
      <c r="AT309" s="68"/>
      <c r="AU309" s="49"/>
      <c r="AV309" s="50"/>
    </row>
    <row r="310" spans="1:48" ht="12.75" customHeight="1" x14ac:dyDescent="0.25">
      <c r="A310" s="72" t="s">
        <v>23</v>
      </c>
      <c r="B310" s="43" t="s">
        <v>159</v>
      </c>
      <c r="C310" s="44" t="s">
        <v>460</v>
      </c>
      <c r="D310" s="45">
        <f>MROUND(MID($C310,6,3)/Basis!$E$3,0.5)</f>
        <v>19.5</v>
      </c>
      <c r="E310" s="45">
        <f>MROUND(MID($C310,9,3)/Basis!$E$3,0.5)</f>
        <v>35.5</v>
      </c>
      <c r="F310" s="124" t="s">
        <v>2943</v>
      </c>
      <c r="G310" s="45">
        <f>ROUND((ROUNDDOWN($F310/5,0)*5+1.8)/Basis!$E$3,1)</f>
        <v>4.5999999999999996</v>
      </c>
      <c r="H310" s="120">
        <f>ROUND($P310*Basis!$E$2*((TaH-TrH)/LN(1/µ)/Basis!$E$7)^$N310*$AA$4*Glycol,0)</f>
        <v>2091</v>
      </c>
      <c r="I310" s="83">
        <f>ROUND(H310/(MID($C310,9,3)/Basis!$E$3/Basis!$E$9)*Basis!$E$11,0)</f>
        <v>708</v>
      </c>
      <c r="J310" s="123">
        <f>IF(Basis!$E$1=1,ROUND(H310/((TaH-TrH)*1.163)/3600,3),ROUND(H310/(500*(TaH-TrH)),2))</f>
        <v>0.21</v>
      </c>
      <c r="K310" s="84"/>
      <c r="L310" s="177">
        <f>CHOOSE(Basis!$E$1,((AJ310*(J310*3600/Basis!$E$5)^AK310*(((MID(C310,9,3)*10)-144)/1000)*AL310+AM310*(J310*3600/Basis!$E$5)^2)*0.0098)/Basis!$E$10,((AJ310*(J310/Basis!$E$5)^AK310*(((MID(C310,9,3)*10)-144)/1000)*AL310+AM310*(J310/Basis!$E$5)^2)*0.0098)/Basis!$E$10)</f>
        <v>4.3329096846455228E-3</v>
      </c>
      <c r="M310" s="85"/>
      <c r="N310" s="109">
        <v>1.385</v>
      </c>
      <c r="O310" s="68"/>
      <c r="P310" s="67">
        <v>968</v>
      </c>
      <c r="Q310" s="68"/>
      <c r="R310" s="69"/>
      <c r="S310" s="69"/>
      <c r="T310" s="69"/>
      <c r="U310" s="69"/>
      <c r="V310" s="69"/>
      <c r="W310" s="68"/>
      <c r="X310" s="70"/>
      <c r="Y310" s="70"/>
      <c r="Z310" s="70"/>
      <c r="AA310" s="70"/>
      <c r="AB310" s="70"/>
      <c r="AC310" s="68"/>
      <c r="AD310" s="71"/>
      <c r="AE310" s="71"/>
      <c r="AF310" s="71"/>
      <c r="AG310" s="71"/>
      <c r="AH310" s="71"/>
      <c r="AI310" s="68"/>
      <c r="AJ310" s="214">
        <v>3.9689999999999994E-4</v>
      </c>
      <c r="AK310" s="214">
        <v>1.7345999999999999</v>
      </c>
      <c r="AL310" s="214">
        <v>2</v>
      </c>
      <c r="AM310" s="214">
        <v>3.6734700000000002E-4</v>
      </c>
      <c r="AN310" s="68"/>
      <c r="AO310" s="67"/>
      <c r="AP310" s="67"/>
      <c r="AQ310" s="67"/>
      <c r="AR310" s="67"/>
      <c r="AS310" s="67"/>
      <c r="AT310" s="68"/>
      <c r="AU310" s="49"/>
      <c r="AV310" s="50"/>
    </row>
    <row r="311" spans="1:48" ht="12.75" customHeight="1" x14ac:dyDescent="0.25">
      <c r="A311" s="72" t="s">
        <v>23</v>
      </c>
      <c r="B311" s="43" t="s">
        <v>159</v>
      </c>
      <c r="C311" s="44" t="s">
        <v>461</v>
      </c>
      <c r="D311" s="45">
        <f>MROUND(MID($C311,6,3)/Basis!$E$3,0.5)</f>
        <v>19.5</v>
      </c>
      <c r="E311" s="45">
        <f>MROUND(MID($C311,9,3)/Basis!$E$3,0.5)</f>
        <v>35.5</v>
      </c>
      <c r="F311" s="124" t="s">
        <v>2946</v>
      </c>
      <c r="G311" s="45">
        <f>ROUND((ROUNDDOWN($F311/5,0)*5+1.8)/Basis!$E$3,1)</f>
        <v>4.5999999999999996</v>
      </c>
      <c r="H311" s="120">
        <f>ROUND($P311*Basis!$E$2*((TaH-TrH)/LN(1/µ)/Basis!$E$7)^$N311*$AA$4*Glycol,0)</f>
        <v>2647</v>
      </c>
      <c r="I311" s="83">
        <f>ROUND(H311/(MID($C311,9,3)/Basis!$E$3/Basis!$E$9)*Basis!$E$11,0)</f>
        <v>896</v>
      </c>
      <c r="J311" s="123">
        <f>IF(Basis!$E$1=1,ROUND(H311/((TaH-TrH)*1.163)/3600,3),ROUND(H311/(500*(TaH-TrH)),2))</f>
        <v>0.26</v>
      </c>
      <c r="K311" s="84"/>
      <c r="L311" s="177">
        <f>CHOOSE(Basis!$E$1,((AJ311*(J311*3600/Basis!$E$5)^AK311*(((MID(C311,9,3)*10)-144)/1000)*AL311+AM311*(J311*3600/Basis!$E$5)^2)*0.0098)/Basis!$E$10,((AJ311*(J311/Basis!$E$5)^AK311*(((MID(C311,9,3)*10)-144)/1000)*AL311+AM311*(J311/Basis!$E$5)^2)*0.0098)/Basis!$E$10)</f>
        <v>1.1184311409155216E-2</v>
      </c>
      <c r="M311" s="85"/>
      <c r="N311" s="110">
        <v>1.4379999999999999</v>
      </c>
      <c r="O311" s="74"/>
      <c r="P311" s="73">
        <v>1247</v>
      </c>
      <c r="Q311" s="74"/>
      <c r="R311" s="75"/>
      <c r="S311" s="75"/>
      <c r="T311" s="75"/>
      <c r="U311" s="75"/>
      <c r="V311" s="75"/>
      <c r="W311" s="74"/>
      <c r="X311" s="76"/>
      <c r="Y311" s="76"/>
      <c r="Z311" s="76"/>
      <c r="AA311" s="76"/>
      <c r="AB311" s="76"/>
      <c r="AC311" s="74"/>
      <c r="AD311" s="77"/>
      <c r="AE311" s="77"/>
      <c r="AF311" s="77"/>
      <c r="AG311" s="77"/>
      <c r="AH311" s="77"/>
      <c r="AI311" s="68"/>
      <c r="AJ311" s="213">
        <v>3.9689999999999994E-4</v>
      </c>
      <c r="AK311" s="213">
        <v>1.7345999999999999</v>
      </c>
      <c r="AL311" s="213">
        <v>4</v>
      </c>
      <c r="AM311" s="213">
        <v>5.7428799999999995E-4</v>
      </c>
      <c r="AN311" s="74"/>
      <c r="AO311" s="73"/>
      <c r="AP311" s="73"/>
      <c r="AQ311" s="73"/>
      <c r="AR311" s="73"/>
      <c r="AS311" s="73"/>
      <c r="AT311" s="74"/>
      <c r="AU311" s="47"/>
      <c r="AV311" s="48"/>
    </row>
    <row r="312" spans="1:48" ht="12.75" customHeight="1" x14ac:dyDescent="0.25">
      <c r="A312" s="72" t="s">
        <v>23</v>
      </c>
      <c r="B312" s="43" t="s">
        <v>159</v>
      </c>
      <c r="C312" s="44" t="s">
        <v>462</v>
      </c>
      <c r="D312" s="45">
        <f>MROUND(MID($C312,6,3)/Basis!$E$3,0.5)</f>
        <v>19.5</v>
      </c>
      <c r="E312" s="45">
        <f>MROUND(MID($C312,9,3)/Basis!$E$3,0.5)</f>
        <v>35.5</v>
      </c>
      <c r="F312" s="124" t="s">
        <v>2944</v>
      </c>
      <c r="G312" s="45">
        <f>ROUND((ROUNDDOWN($F312/5,0)*5+1.8)/Basis!$E$3,1)</f>
        <v>6.6</v>
      </c>
      <c r="H312" s="120">
        <f>ROUND($P312*Basis!$E$2*((TaH-TrH)/LN(1/µ)/Basis!$E$7)^$N312*$AA$4*Glycol,0)</f>
        <v>3386</v>
      </c>
      <c r="I312" s="83">
        <f>ROUND(H312/(MID($C312,9,3)/Basis!$E$3/Basis!$E$9)*Basis!$E$11,0)</f>
        <v>1147</v>
      </c>
      <c r="J312" s="123">
        <f>IF(Basis!$E$1=1,ROUND(H312/((TaH-TrH)*1.163)/3600,3),ROUND(H312/(500*(TaH-TrH)),2))</f>
        <v>0.34</v>
      </c>
      <c r="K312" s="84"/>
      <c r="L312" s="177">
        <f>CHOOSE(Basis!$E$1,((AJ312*(J312*3600/Basis!$E$5)^AK312*(((MID(C312,9,3)*10)-144)/1000)*AL312+AM312*(J312*3600/Basis!$E$5)^2)*0.0098)/Basis!$E$10,((AJ312*(J312/Basis!$E$5)^AK312*(((MID(C312,9,3)*10)-144)/1000)*AL312+AM312*(J312/Basis!$E$5)^2)*0.0098)/Basis!$E$10)</f>
        <v>1.085508029368876E-2</v>
      </c>
      <c r="M312" s="85"/>
      <c r="N312" s="110">
        <v>1.373</v>
      </c>
      <c r="O312" s="74"/>
      <c r="P312" s="73">
        <v>1561</v>
      </c>
      <c r="Q312" s="74"/>
      <c r="R312" s="75"/>
      <c r="S312" s="75"/>
      <c r="T312" s="75"/>
      <c r="U312" s="75"/>
      <c r="V312" s="75"/>
      <c r="W312" s="74"/>
      <c r="X312" s="76"/>
      <c r="Y312" s="76"/>
      <c r="Z312" s="76"/>
      <c r="AA312" s="76"/>
      <c r="AB312" s="76"/>
      <c r="AC312" s="74"/>
      <c r="AD312" s="77"/>
      <c r="AE312" s="77"/>
      <c r="AF312" s="77"/>
      <c r="AG312" s="77"/>
      <c r="AH312" s="77"/>
      <c r="AI312" s="68"/>
      <c r="AJ312" s="213">
        <v>2.0829999999999999E-4</v>
      </c>
      <c r="AK312" s="213">
        <v>1.724</v>
      </c>
      <c r="AL312" s="213">
        <v>2</v>
      </c>
      <c r="AM312" s="213">
        <v>4.6182900000000003E-4</v>
      </c>
      <c r="AN312" s="74"/>
      <c r="AO312" s="73"/>
      <c r="AP312" s="73"/>
      <c r="AQ312" s="73"/>
      <c r="AR312" s="73"/>
      <c r="AS312" s="73"/>
      <c r="AT312" s="74"/>
      <c r="AU312" s="47"/>
      <c r="AV312" s="48"/>
    </row>
    <row r="313" spans="1:48" ht="12.75" customHeight="1" x14ac:dyDescent="0.25">
      <c r="A313" s="72" t="s">
        <v>23</v>
      </c>
      <c r="B313" s="43" t="s">
        <v>159</v>
      </c>
      <c r="C313" s="44" t="s">
        <v>463</v>
      </c>
      <c r="D313" s="45">
        <f>MROUND(MID($C313,6,3)/Basis!$E$3,0.5)</f>
        <v>19.5</v>
      </c>
      <c r="E313" s="45">
        <f>MROUND(MID($C313,9,3)/Basis!$E$3,0.5)</f>
        <v>35.5</v>
      </c>
      <c r="F313" s="124" t="s">
        <v>2947</v>
      </c>
      <c r="G313" s="45">
        <f>ROUND((ROUNDDOWN($F313/5,0)*5+1.8)/Basis!$E$3,1)</f>
        <v>6.6</v>
      </c>
      <c r="H313" s="120">
        <f>ROUND($P313*Basis!$E$2*((TaH-TrH)/LN(1/µ)/Basis!$E$7)^$N313*$AA$4*Glycol,0)</f>
        <v>3595</v>
      </c>
      <c r="I313" s="83">
        <f>ROUND(H313/(MID($C313,9,3)/Basis!$E$3/Basis!$E$9)*Basis!$E$11,0)</f>
        <v>1218</v>
      </c>
      <c r="J313" s="123">
        <f>IF(Basis!$E$1=1,ROUND(H313/((TaH-TrH)*1.163)/3600,3),ROUND(H313/(500*(TaH-TrH)),2))</f>
        <v>0.36</v>
      </c>
      <c r="K313" s="84"/>
      <c r="L313" s="177">
        <f>CHOOSE(Basis!$E$1,((AJ313*(J313*3600/Basis!$E$5)^AK313*(((MID(C313,9,3)*10)-144)/1000)*AL313+AM313*(J313*3600/Basis!$E$5)^2)*0.0098)/Basis!$E$10,((AJ313*(J313/Basis!$E$5)^AK313*(((MID(C313,9,3)*10)-144)/1000)*AL313+AM313*(J313/Basis!$E$5)^2)*0.0098)/Basis!$E$10)</f>
        <v>3.4529672023749736E-2</v>
      </c>
      <c r="M313" s="85"/>
      <c r="N313" s="109">
        <v>1.464</v>
      </c>
      <c r="O313" s="68"/>
      <c r="P313" s="67">
        <v>1708</v>
      </c>
      <c r="Q313" s="68"/>
      <c r="R313" s="69"/>
      <c r="S313" s="69"/>
      <c r="T313" s="69"/>
      <c r="U313" s="69"/>
      <c r="V313" s="69"/>
      <c r="W313" s="68"/>
      <c r="X313" s="70"/>
      <c r="Y313" s="70"/>
      <c r="Z313" s="70"/>
      <c r="AA313" s="70"/>
      <c r="AB313" s="70"/>
      <c r="AC313" s="68"/>
      <c r="AD313" s="71"/>
      <c r="AE313" s="71"/>
      <c r="AF313" s="71"/>
      <c r="AG313" s="71"/>
      <c r="AH313" s="71"/>
      <c r="AI313" s="68"/>
      <c r="AJ313" s="214">
        <v>2.0829999999999999E-4</v>
      </c>
      <c r="AK313" s="214">
        <v>1.724</v>
      </c>
      <c r="AL313" s="214">
        <v>4</v>
      </c>
      <c r="AM313" s="214">
        <v>1.392796E-3</v>
      </c>
      <c r="AN313" s="68"/>
      <c r="AO313" s="67"/>
      <c r="AP313" s="67"/>
      <c r="AQ313" s="67"/>
      <c r="AR313" s="67"/>
      <c r="AS313" s="67"/>
      <c r="AT313" s="68"/>
      <c r="AU313" s="49"/>
      <c r="AV313" s="50"/>
    </row>
    <row r="314" spans="1:48" ht="12.75" customHeight="1" x14ac:dyDescent="0.25">
      <c r="A314" s="72" t="s">
        <v>23</v>
      </c>
      <c r="B314" s="43" t="s">
        <v>159</v>
      </c>
      <c r="C314" s="44" t="s">
        <v>464</v>
      </c>
      <c r="D314" s="45">
        <f>MROUND(MID($C314,6,3)/Basis!$E$3,0.5)</f>
        <v>19.5</v>
      </c>
      <c r="E314" s="45">
        <f>MROUND(MID($C314,9,3)/Basis!$E$3,0.5)</f>
        <v>35.5</v>
      </c>
      <c r="F314" s="124" t="s">
        <v>2945</v>
      </c>
      <c r="G314" s="45">
        <f>ROUND((ROUNDDOWN($F314/5,0)*5+1.8)/Basis!$E$3,1)</f>
        <v>8.6</v>
      </c>
      <c r="H314" s="120">
        <f>ROUND($P314*Basis!$E$2*((TaH-TrH)/LN(1/µ)/Basis!$E$7)^$N314*$AA$4*Glycol,0)</f>
        <v>4735</v>
      </c>
      <c r="I314" s="83">
        <f>ROUND(H314/(MID($C314,9,3)/Basis!$E$3/Basis!$E$9)*Basis!$E$11,0)</f>
        <v>1604</v>
      </c>
      <c r="J314" s="123">
        <f>IF(Basis!$E$1=1,ROUND(H314/((TaH-TrH)*1.163)/3600,3),ROUND(H314/(500*(TaH-TrH)),2))</f>
        <v>0.47</v>
      </c>
      <c r="K314" s="84"/>
      <c r="L314" s="177">
        <f>CHOOSE(Basis!$E$1,((AJ314*(J314*3600/Basis!$E$5)^AK314*(((MID(C314,9,3)*10)-144)/1000)*AL314+AM314*(J314*3600/Basis!$E$5)^2)*0.0098)/Basis!$E$10,((AJ314*(J314/Basis!$E$5)^AK314*(((MID(C314,9,3)*10)-144)/1000)*AL314+AM314*(J314/Basis!$E$5)^2)*0.0098)/Basis!$E$10)</f>
        <v>1.5993566399738358E-2</v>
      </c>
      <c r="M314" s="85"/>
      <c r="N314" s="109">
        <v>1.373</v>
      </c>
      <c r="O314" s="68"/>
      <c r="P314" s="67">
        <v>2183</v>
      </c>
      <c r="Q314" s="68"/>
      <c r="R314" s="69"/>
      <c r="S314" s="69"/>
      <c r="T314" s="69"/>
      <c r="U314" s="69"/>
      <c r="V314" s="69"/>
      <c r="W314" s="68"/>
      <c r="X314" s="70"/>
      <c r="Y314" s="70"/>
      <c r="Z314" s="70"/>
      <c r="AA314" s="70"/>
      <c r="AB314" s="70"/>
      <c r="AC314" s="68"/>
      <c r="AD314" s="71"/>
      <c r="AE314" s="71"/>
      <c r="AF314" s="71"/>
      <c r="AG314" s="71"/>
      <c r="AH314" s="71"/>
      <c r="AI314" s="68"/>
      <c r="AJ314" s="214">
        <v>1.2760000000000001E-4</v>
      </c>
      <c r="AK314" s="214">
        <v>1.7219</v>
      </c>
      <c r="AL314" s="214">
        <v>2</v>
      </c>
      <c r="AM314" s="214">
        <v>3.76611E-4</v>
      </c>
      <c r="AN314" s="68"/>
      <c r="AO314" s="67"/>
      <c r="AP314" s="67"/>
      <c r="AQ314" s="67"/>
      <c r="AR314" s="67"/>
      <c r="AS314" s="67"/>
      <c r="AT314" s="68"/>
      <c r="AU314" s="49"/>
      <c r="AV314" s="50"/>
    </row>
    <row r="315" spans="1:48" ht="12.75" customHeight="1" x14ac:dyDescent="0.25">
      <c r="A315" s="72" t="s">
        <v>23</v>
      </c>
      <c r="B315" s="43" t="s">
        <v>159</v>
      </c>
      <c r="C315" s="44" t="s">
        <v>465</v>
      </c>
      <c r="D315" s="45">
        <f>MROUND(MID($C315,6,3)/Basis!$E$3,0.5)</f>
        <v>19.5</v>
      </c>
      <c r="E315" s="45">
        <f>MROUND(MID($C315,9,3)/Basis!$E$3,0.5)</f>
        <v>35.5</v>
      </c>
      <c r="F315" s="124" t="s">
        <v>2948</v>
      </c>
      <c r="G315" s="45">
        <f>ROUND((ROUNDDOWN($F315/5,0)*5+1.8)/Basis!$E$3,1)</f>
        <v>8.6</v>
      </c>
      <c r="H315" s="120">
        <f>ROUND($P315*Basis!$E$2*((TaH-TrH)/LN(1/µ)/Basis!$E$7)^$N315*$AA$4*Glycol,0)</f>
        <v>4857</v>
      </c>
      <c r="I315" s="83">
        <f>ROUND(H315/(MID($C315,9,3)/Basis!$E$3/Basis!$E$9)*Basis!$E$11,0)</f>
        <v>1645</v>
      </c>
      <c r="J315" s="123">
        <f>IF(Basis!$E$1=1,ROUND(H315/((TaH-TrH)*1.163)/3600,3),ROUND(H315/(500*(TaH-TrH)),2))</f>
        <v>0.49</v>
      </c>
      <c r="K315" s="84"/>
      <c r="L315" s="177">
        <f>CHOOSE(Basis!$E$1,((AJ315*(J315*3600/Basis!$E$5)^AK315*(((MID(C315,9,3)*10)-144)/1000)*AL315+AM315*(J315*3600/Basis!$E$5)^2)*0.0098)/Basis!$E$10,((AJ315*(J315/Basis!$E$5)^AK315*(((MID(C315,9,3)*10)-144)/1000)*AL315+AM315*(J315/Basis!$E$5)^2)*0.0098)/Basis!$E$10)</f>
        <v>2.5038441421889414E-2</v>
      </c>
      <c r="M315" s="85"/>
      <c r="N315" s="110">
        <v>1.4850000000000001</v>
      </c>
      <c r="O315" s="74"/>
      <c r="P315" s="73">
        <v>2324</v>
      </c>
      <c r="Q315" s="74"/>
      <c r="R315" s="75"/>
      <c r="S315" s="75"/>
      <c r="T315" s="75"/>
      <c r="U315" s="75"/>
      <c r="V315" s="75"/>
      <c r="W315" s="74"/>
      <c r="X315" s="76"/>
      <c r="Y315" s="76"/>
      <c r="Z315" s="76"/>
      <c r="AA315" s="76"/>
      <c r="AB315" s="76"/>
      <c r="AC315" s="74"/>
      <c r="AD315" s="77"/>
      <c r="AE315" s="77"/>
      <c r="AF315" s="77"/>
      <c r="AG315" s="77"/>
      <c r="AH315" s="77"/>
      <c r="AI315" s="68"/>
      <c r="AJ315" s="213">
        <v>1.2760000000000001E-4</v>
      </c>
      <c r="AK315" s="213">
        <v>1.7219</v>
      </c>
      <c r="AL315" s="213">
        <v>4</v>
      </c>
      <c r="AM315" s="213">
        <v>5.1420100000000005E-4</v>
      </c>
      <c r="AN315" s="74"/>
      <c r="AO315" s="73"/>
      <c r="AP315" s="73"/>
      <c r="AQ315" s="73"/>
      <c r="AR315" s="73"/>
      <c r="AS315" s="73"/>
      <c r="AT315" s="74"/>
      <c r="AU315" s="47"/>
      <c r="AV315" s="48"/>
    </row>
    <row r="316" spans="1:48" ht="12.75" customHeight="1" x14ac:dyDescent="0.25">
      <c r="A316" s="72" t="s">
        <v>23</v>
      </c>
      <c r="B316" s="43" t="s">
        <v>159</v>
      </c>
      <c r="C316" s="44" t="s">
        <v>466</v>
      </c>
      <c r="D316" s="45">
        <f>MROUND(MID($C316,6,3)/Basis!$E$3,0.5)</f>
        <v>19.5</v>
      </c>
      <c r="E316" s="45">
        <f>MROUND(MID($C316,9,3)/Basis!$E$3,0.5)</f>
        <v>39.5</v>
      </c>
      <c r="F316" s="124" t="s">
        <v>2943</v>
      </c>
      <c r="G316" s="45">
        <f>ROUND((ROUNDDOWN($F316/5,0)*5+1.8)/Basis!$E$3,1)</f>
        <v>4.5999999999999996</v>
      </c>
      <c r="H316" s="120">
        <f>ROUND($P316*Basis!$E$2*((TaH-TrH)/LN(1/µ)/Basis!$E$7)^$N316*$AA$4*Glycol,0)</f>
        <v>2324</v>
      </c>
      <c r="I316" s="83">
        <f>ROUND(H316/(MID($C316,9,3)/Basis!$E$3/Basis!$E$9)*Basis!$E$11,0)</f>
        <v>708</v>
      </c>
      <c r="J316" s="123">
        <f>IF(Basis!$E$1=1,ROUND(H316/((TaH-TrH)*1.163)/3600,3),ROUND(H316/(500*(TaH-TrH)),2))</f>
        <v>0.23</v>
      </c>
      <c r="K316" s="84"/>
      <c r="L316" s="177">
        <f>CHOOSE(Basis!$E$1,((AJ316*(J316*3600/Basis!$E$5)^AK316*(((MID(C316,9,3)*10)-144)/1000)*AL316+AM316*(J316*3600/Basis!$E$5)^2)*0.0098)/Basis!$E$10,((AJ316*(J316/Basis!$E$5)^AK316*(((MID(C316,9,3)*10)-144)/1000)*AL316+AM316*(J316/Basis!$E$5)^2)*0.0098)/Basis!$E$10)</f>
        <v>5.3996163181241211E-3</v>
      </c>
      <c r="M316" s="85"/>
      <c r="N316" s="110">
        <v>1.385</v>
      </c>
      <c r="O316" s="74"/>
      <c r="P316" s="73">
        <v>1076</v>
      </c>
      <c r="Q316" s="74"/>
      <c r="R316" s="75"/>
      <c r="S316" s="75"/>
      <c r="T316" s="75"/>
      <c r="U316" s="75"/>
      <c r="V316" s="75"/>
      <c r="W316" s="74"/>
      <c r="X316" s="76"/>
      <c r="Y316" s="76"/>
      <c r="Z316" s="76"/>
      <c r="AA316" s="76"/>
      <c r="AB316" s="76"/>
      <c r="AC316" s="74"/>
      <c r="AD316" s="77"/>
      <c r="AE316" s="77"/>
      <c r="AF316" s="77"/>
      <c r="AG316" s="77"/>
      <c r="AH316" s="77"/>
      <c r="AI316" s="68"/>
      <c r="AJ316" s="213">
        <v>3.9689999999999994E-4</v>
      </c>
      <c r="AK316" s="213">
        <v>1.7345999999999999</v>
      </c>
      <c r="AL316" s="213">
        <v>2</v>
      </c>
      <c r="AM316" s="213">
        <v>3.6734700000000002E-4</v>
      </c>
      <c r="AN316" s="74"/>
      <c r="AO316" s="73"/>
      <c r="AP316" s="73"/>
      <c r="AQ316" s="73"/>
      <c r="AR316" s="73"/>
      <c r="AS316" s="73"/>
      <c r="AT316" s="74"/>
      <c r="AU316" s="47"/>
      <c r="AV316" s="48"/>
    </row>
    <row r="317" spans="1:48" ht="12.75" customHeight="1" x14ac:dyDescent="0.25">
      <c r="A317" s="72" t="s">
        <v>23</v>
      </c>
      <c r="B317" s="43" t="s">
        <v>159</v>
      </c>
      <c r="C317" s="44" t="s">
        <v>467</v>
      </c>
      <c r="D317" s="45">
        <f>MROUND(MID($C317,6,3)/Basis!$E$3,0.5)</f>
        <v>19.5</v>
      </c>
      <c r="E317" s="45">
        <f>MROUND(MID($C317,9,3)/Basis!$E$3,0.5)</f>
        <v>39.5</v>
      </c>
      <c r="F317" s="124" t="s">
        <v>2946</v>
      </c>
      <c r="G317" s="45">
        <f>ROUND((ROUNDDOWN($F317/5,0)*5+1.8)/Basis!$E$3,1)</f>
        <v>4.5999999999999996</v>
      </c>
      <c r="H317" s="120">
        <f>ROUND($P317*Basis!$E$2*((TaH-TrH)/LN(1/µ)/Basis!$E$7)^$N317*$AA$4*Glycol,0)</f>
        <v>2942</v>
      </c>
      <c r="I317" s="83">
        <f>ROUND(H317/(MID($C317,9,3)/Basis!$E$3/Basis!$E$9)*Basis!$E$11,0)</f>
        <v>897</v>
      </c>
      <c r="J317" s="123">
        <f>IF(Basis!$E$1=1,ROUND(H317/((TaH-TrH)*1.163)/3600,3),ROUND(H317/(500*(TaH-TrH)),2))</f>
        <v>0.28999999999999998</v>
      </c>
      <c r="K317" s="84"/>
      <c r="L317" s="177">
        <f>CHOOSE(Basis!$E$1,((AJ317*(J317*3600/Basis!$E$5)^AK317*(((MID(C317,9,3)*10)-144)/1000)*AL317+AM317*(J317*3600/Basis!$E$5)^2)*0.0098)/Basis!$E$10,((AJ317*(J317/Basis!$E$5)^AK317*(((MID(C317,9,3)*10)-144)/1000)*AL317+AM317*(J317/Basis!$E$5)^2)*0.0098)/Basis!$E$10)</f>
        <v>1.4490597095091937E-2</v>
      </c>
      <c r="M317" s="85"/>
      <c r="N317" s="109">
        <v>1.4379999999999999</v>
      </c>
      <c r="O317" s="68"/>
      <c r="P317" s="67">
        <v>1386</v>
      </c>
      <c r="Q317" s="68"/>
      <c r="R317" s="69"/>
      <c r="S317" s="69"/>
      <c r="T317" s="69"/>
      <c r="U317" s="69"/>
      <c r="V317" s="69"/>
      <c r="W317" s="68"/>
      <c r="X317" s="70"/>
      <c r="Y317" s="70"/>
      <c r="Z317" s="70"/>
      <c r="AA317" s="70"/>
      <c r="AB317" s="70"/>
      <c r="AC317" s="68"/>
      <c r="AD317" s="71"/>
      <c r="AE317" s="71"/>
      <c r="AF317" s="71"/>
      <c r="AG317" s="71"/>
      <c r="AH317" s="71"/>
      <c r="AI317" s="68"/>
      <c r="AJ317" s="214">
        <v>3.9689999999999994E-4</v>
      </c>
      <c r="AK317" s="214">
        <v>1.7345999999999999</v>
      </c>
      <c r="AL317" s="214">
        <v>4</v>
      </c>
      <c r="AM317" s="214">
        <v>5.7428799999999995E-4</v>
      </c>
      <c r="AN317" s="68"/>
      <c r="AO317" s="67"/>
      <c r="AP317" s="67"/>
      <c r="AQ317" s="67"/>
      <c r="AR317" s="67"/>
      <c r="AS317" s="67"/>
      <c r="AT317" s="68"/>
      <c r="AU317" s="49"/>
      <c r="AV317" s="50"/>
    </row>
    <row r="318" spans="1:48" ht="12.75" customHeight="1" x14ac:dyDescent="0.25">
      <c r="A318" s="72" t="s">
        <v>23</v>
      </c>
      <c r="B318" s="43" t="s">
        <v>159</v>
      </c>
      <c r="C318" s="44" t="s">
        <v>468</v>
      </c>
      <c r="D318" s="45">
        <f>MROUND(MID($C318,6,3)/Basis!$E$3,0.5)</f>
        <v>19.5</v>
      </c>
      <c r="E318" s="45">
        <f>MROUND(MID($C318,9,3)/Basis!$E$3,0.5)</f>
        <v>39.5</v>
      </c>
      <c r="F318" s="124" t="s">
        <v>2944</v>
      </c>
      <c r="G318" s="45">
        <f>ROUND((ROUNDDOWN($F318/5,0)*5+1.8)/Basis!$E$3,1)</f>
        <v>6.6</v>
      </c>
      <c r="H318" s="120">
        <f>ROUND($P318*Basis!$E$2*((TaH-TrH)/LN(1/µ)/Basis!$E$7)^$N318*$AA$4*Glycol,0)</f>
        <v>3761</v>
      </c>
      <c r="I318" s="83">
        <f>ROUND(H318/(MID($C318,9,3)/Basis!$E$3/Basis!$E$9)*Basis!$E$11,0)</f>
        <v>1146</v>
      </c>
      <c r="J318" s="123">
        <f>IF(Basis!$E$1=1,ROUND(H318/((TaH-TrH)*1.163)/3600,3),ROUND(H318/(500*(TaH-TrH)),2))</f>
        <v>0.38</v>
      </c>
      <c r="K318" s="84"/>
      <c r="L318" s="177">
        <f>CHOOSE(Basis!$E$1,((AJ318*(J318*3600/Basis!$E$5)^AK318*(((MID(C318,9,3)*10)-144)/1000)*AL318+AM318*(J318*3600/Basis!$E$5)^2)*0.0098)/Basis!$E$10,((AJ318*(J318/Basis!$E$5)^AK318*(((MID(C318,9,3)*10)-144)/1000)*AL318+AM318*(J318/Basis!$E$5)^2)*0.0098)/Basis!$E$10)</f>
        <v>1.3786057701373792E-2</v>
      </c>
      <c r="M318" s="85"/>
      <c r="N318" s="109">
        <v>1.373</v>
      </c>
      <c r="O318" s="68"/>
      <c r="P318" s="67">
        <v>1734</v>
      </c>
      <c r="Q318" s="68"/>
      <c r="R318" s="69"/>
      <c r="S318" s="69"/>
      <c r="T318" s="69"/>
      <c r="U318" s="69"/>
      <c r="V318" s="69"/>
      <c r="W318" s="68"/>
      <c r="X318" s="70"/>
      <c r="Y318" s="70"/>
      <c r="Z318" s="70"/>
      <c r="AA318" s="70"/>
      <c r="AB318" s="70"/>
      <c r="AC318" s="68"/>
      <c r="AD318" s="71"/>
      <c r="AE318" s="71"/>
      <c r="AF318" s="71"/>
      <c r="AG318" s="71"/>
      <c r="AH318" s="71"/>
      <c r="AI318" s="68"/>
      <c r="AJ318" s="214">
        <v>2.0829999999999999E-4</v>
      </c>
      <c r="AK318" s="214">
        <v>1.724</v>
      </c>
      <c r="AL318" s="214">
        <v>2</v>
      </c>
      <c r="AM318" s="214">
        <v>4.6182900000000003E-4</v>
      </c>
      <c r="AN318" s="68"/>
      <c r="AO318" s="67"/>
      <c r="AP318" s="67"/>
      <c r="AQ318" s="67"/>
      <c r="AR318" s="67"/>
      <c r="AS318" s="67"/>
      <c r="AT318" s="68"/>
      <c r="AU318" s="49"/>
      <c r="AV318" s="50"/>
    </row>
    <row r="319" spans="1:48" ht="12.75" customHeight="1" x14ac:dyDescent="0.25">
      <c r="A319" s="72" t="s">
        <v>23</v>
      </c>
      <c r="B319" s="43" t="s">
        <v>159</v>
      </c>
      <c r="C319" s="44" t="s">
        <v>469</v>
      </c>
      <c r="D319" s="45">
        <f>MROUND(MID($C319,6,3)/Basis!$E$3,0.5)</f>
        <v>19.5</v>
      </c>
      <c r="E319" s="45">
        <f>MROUND(MID($C319,9,3)/Basis!$E$3,0.5)</f>
        <v>39.5</v>
      </c>
      <c r="F319" s="124" t="s">
        <v>2947</v>
      </c>
      <c r="G319" s="45">
        <f>ROUND((ROUNDDOWN($F319/5,0)*5+1.8)/Basis!$E$3,1)</f>
        <v>6.6</v>
      </c>
      <c r="H319" s="120">
        <f>ROUND($P319*Basis!$E$2*((TaH-TrH)/LN(1/µ)/Basis!$E$7)^$N319*$AA$4*Glycol,0)</f>
        <v>3995</v>
      </c>
      <c r="I319" s="83">
        <f>ROUND(H319/(MID($C319,9,3)/Basis!$E$3/Basis!$E$9)*Basis!$E$11,0)</f>
        <v>1218</v>
      </c>
      <c r="J319" s="123">
        <f>IF(Basis!$E$1=1,ROUND(H319/((TaH-TrH)*1.163)/3600,3),ROUND(H319/(500*(TaH-TrH)),2))</f>
        <v>0.4</v>
      </c>
      <c r="K319" s="84"/>
      <c r="L319" s="177">
        <f>CHOOSE(Basis!$E$1,((AJ319*(J319*3600/Basis!$E$5)^AK319*(((MID(C319,9,3)*10)-144)/1000)*AL319+AM319*(J319*3600/Basis!$E$5)^2)*0.0098)/Basis!$E$10,((AJ319*(J319/Basis!$E$5)^AK319*(((MID(C319,9,3)*10)-144)/1000)*AL319+AM319*(J319/Basis!$E$5)^2)*0.0098)/Basis!$E$10)</f>
        <v>4.3132488772067358E-2</v>
      </c>
      <c r="M319" s="85"/>
      <c r="N319" s="110">
        <v>1.464</v>
      </c>
      <c r="O319" s="74"/>
      <c r="P319" s="73">
        <v>1898</v>
      </c>
      <c r="Q319" s="74"/>
      <c r="R319" s="75"/>
      <c r="S319" s="75"/>
      <c r="T319" s="75"/>
      <c r="U319" s="75"/>
      <c r="V319" s="75"/>
      <c r="W319" s="74"/>
      <c r="X319" s="76"/>
      <c r="Y319" s="76"/>
      <c r="Z319" s="76"/>
      <c r="AA319" s="76"/>
      <c r="AB319" s="76"/>
      <c r="AC319" s="74"/>
      <c r="AD319" s="77"/>
      <c r="AE319" s="77"/>
      <c r="AF319" s="77"/>
      <c r="AG319" s="77"/>
      <c r="AH319" s="77"/>
      <c r="AI319" s="68"/>
      <c r="AJ319" s="213">
        <v>2.0829999999999999E-4</v>
      </c>
      <c r="AK319" s="213">
        <v>1.724</v>
      </c>
      <c r="AL319" s="213">
        <v>4</v>
      </c>
      <c r="AM319" s="213">
        <v>1.392796E-3</v>
      </c>
      <c r="AN319" s="74"/>
      <c r="AO319" s="73"/>
      <c r="AP319" s="73"/>
      <c r="AQ319" s="73"/>
      <c r="AR319" s="73"/>
      <c r="AS319" s="73"/>
      <c r="AT319" s="74"/>
      <c r="AU319" s="47"/>
      <c r="AV319" s="48"/>
    </row>
    <row r="320" spans="1:48" ht="12.75" customHeight="1" x14ac:dyDescent="0.25">
      <c r="A320" s="72" t="s">
        <v>23</v>
      </c>
      <c r="B320" s="43" t="s">
        <v>159</v>
      </c>
      <c r="C320" s="44" t="s">
        <v>470</v>
      </c>
      <c r="D320" s="45">
        <f>MROUND(MID($C320,6,3)/Basis!$E$3,0.5)</f>
        <v>19.5</v>
      </c>
      <c r="E320" s="45">
        <f>MROUND(MID($C320,9,3)/Basis!$E$3,0.5)</f>
        <v>39.5</v>
      </c>
      <c r="F320" s="124" t="s">
        <v>2945</v>
      </c>
      <c r="G320" s="45">
        <f>ROUND((ROUNDDOWN($F320/5,0)*5+1.8)/Basis!$E$3,1)</f>
        <v>8.6</v>
      </c>
      <c r="H320" s="120">
        <f>ROUND($P320*Basis!$E$2*((TaH-TrH)/LN(1/µ)/Basis!$E$7)^$N320*$AA$4*Glycol,0)</f>
        <v>5259</v>
      </c>
      <c r="I320" s="83">
        <f>ROUND(H320/(MID($C320,9,3)/Basis!$E$3/Basis!$E$9)*Basis!$E$11,0)</f>
        <v>1603</v>
      </c>
      <c r="J320" s="123">
        <f>IF(Basis!$E$1=1,ROUND(H320/((TaH-TrH)*1.163)/3600,3),ROUND(H320/(500*(TaH-TrH)),2))</f>
        <v>0.53</v>
      </c>
      <c r="K320" s="84"/>
      <c r="L320" s="177">
        <f>CHOOSE(Basis!$E$1,((AJ320*(J320*3600/Basis!$E$5)^AK320*(((MID(C320,9,3)*10)-144)/1000)*AL320+AM320*(J320*3600/Basis!$E$5)^2)*0.0098)/Basis!$E$10,((AJ320*(J320/Basis!$E$5)^AK320*(((MID(C320,9,3)*10)-144)/1000)*AL320+AM320*(J320/Basis!$E$5)^2)*0.0098)/Basis!$E$10)</f>
        <v>2.0574783929454853E-2</v>
      </c>
      <c r="M320" s="85"/>
      <c r="N320" s="110">
        <v>1.373</v>
      </c>
      <c r="O320" s="74"/>
      <c r="P320" s="73">
        <v>2425</v>
      </c>
      <c r="Q320" s="74"/>
      <c r="R320" s="75"/>
      <c r="S320" s="75"/>
      <c r="T320" s="75"/>
      <c r="U320" s="75"/>
      <c r="V320" s="75"/>
      <c r="W320" s="74"/>
      <c r="X320" s="76"/>
      <c r="Y320" s="76"/>
      <c r="Z320" s="76"/>
      <c r="AA320" s="76"/>
      <c r="AB320" s="76"/>
      <c r="AC320" s="74"/>
      <c r="AD320" s="77"/>
      <c r="AE320" s="77"/>
      <c r="AF320" s="77"/>
      <c r="AG320" s="77"/>
      <c r="AH320" s="77"/>
      <c r="AI320" s="68"/>
      <c r="AJ320" s="213">
        <v>1.2760000000000001E-4</v>
      </c>
      <c r="AK320" s="213">
        <v>1.7219</v>
      </c>
      <c r="AL320" s="213">
        <v>2</v>
      </c>
      <c r="AM320" s="213">
        <v>3.76611E-4</v>
      </c>
      <c r="AN320" s="74"/>
      <c r="AO320" s="73"/>
      <c r="AP320" s="73"/>
      <c r="AQ320" s="73"/>
      <c r="AR320" s="73"/>
      <c r="AS320" s="73"/>
      <c r="AT320" s="74"/>
      <c r="AU320" s="47"/>
      <c r="AV320" s="48"/>
    </row>
    <row r="321" spans="1:48" ht="12.75" customHeight="1" x14ac:dyDescent="0.25">
      <c r="A321" s="72" t="s">
        <v>23</v>
      </c>
      <c r="B321" s="43" t="s">
        <v>159</v>
      </c>
      <c r="C321" s="44" t="s">
        <v>471</v>
      </c>
      <c r="D321" s="45">
        <f>MROUND(MID($C321,6,3)/Basis!$E$3,0.5)</f>
        <v>19.5</v>
      </c>
      <c r="E321" s="45">
        <f>MROUND(MID($C321,9,3)/Basis!$E$3,0.5)</f>
        <v>39.5</v>
      </c>
      <c r="F321" s="124" t="s">
        <v>2948</v>
      </c>
      <c r="G321" s="45">
        <f>ROUND((ROUNDDOWN($F321/5,0)*5+1.8)/Basis!$E$3,1)</f>
        <v>8.6</v>
      </c>
      <c r="H321" s="120">
        <f>ROUND($P321*Basis!$E$2*((TaH-TrH)/LN(1/µ)/Basis!$E$7)^$N321*$AA$4*Glycol,0)</f>
        <v>5397</v>
      </c>
      <c r="I321" s="83">
        <f>ROUND(H321/(MID($C321,9,3)/Basis!$E$3/Basis!$E$9)*Basis!$E$11,0)</f>
        <v>1645</v>
      </c>
      <c r="J321" s="123">
        <f>IF(Basis!$E$1=1,ROUND(H321/((TaH-TrH)*1.163)/3600,3),ROUND(H321/(500*(TaH-TrH)),2))</f>
        <v>0.54</v>
      </c>
      <c r="K321" s="84"/>
      <c r="L321" s="177">
        <f>CHOOSE(Basis!$E$1,((AJ321*(J321*3600/Basis!$E$5)^AK321*(((MID(C321,9,3)*10)-144)/1000)*AL321+AM321*(J321*3600/Basis!$E$5)^2)*0.0098)/Basis!$E$10,((AJ321*(J321/Basis!$E$5)^AK321*(((MID(C321,9,3)*10)-144)/1000)*AL321+AM321*(J321/Basis!$E$5)^2)*0.0098)/Basis!$E$10)</f>
        <v>3.093157793527427E-2</v>
      </c>
      <c r="M321" s="85"/>
      <c r="N321" s="109">
        <v>1.4850000000000001</v>
      </c>
      <c r="O321" s="68"/>
      <c r="P321" s="67">
        <v>2582</v>
      </c>
      <c r="Q321" s="68"/>
      <c r="R321" s="69"/>
      <c r="S321" s="69"/>
      <c r="T321" s="69"/>
      <c r="U321" s="69"/>
      <c r="V321" s="69"/>
      <c r="W321" s="68"/>
      <c r="X321" s="70"/>
      <c r="Y321" s="70"/>
      <c r="Z321" s="70"/>
      <c r="AA321" s="70"/>
      <c r="AB321" s="70"/>
      <c r="AC321" s="68"/>
      <c r="AD321" s="71"/>
      <c r="AE321" s="71"/>
      <c r="AF321" s="71"/>
      <c r="AG321" s="71"/>
      <c r="AH321" s="71"/>
      <c r="AI321" s="68"/>
      <c r="AJ321" s="214">
        <v>1.2760000000000001E-4</v>
      </c>
      <c r="AK321" s="214">
        <v>1.7219</v>
      </c>
      <c r="AL321" s="214">
        <v>4</v>
      </c>
      <c r="AM321" s="214">
        <v>5.1420100000000005E-4</v>
      </c>
      <c r="AN321" s="68"/>
      <c r="AO321" s="67"/>
      <c r="AP321" s="67"/>
      <c r="AQ321" s="67"/>
      <c r="AR321" s="67"/>
      <c r="AS321" s="67"/>
      <c r="AT321" s="68"/>
      <c r="AU321" s="49"/>
      <c r="AV321" s="50"/>
    </row>
    <row r="322" spans="1:48" ht="12.75" customHeight="1" x14ac:dyDescent="0.25">
      <c r="A322" s="72" t="s">
        <v>23</v>
      </c>
      <c r="B322" s="43" t="s">
        <v>159</v>
      </c>
      <c r="C322" s="44" t="s">
        <v>472</v>
      </c>
      <c r="D322" s="45">
        <f>MROUND(MID($C322,6,3)/Basis!$E$3,0.5)</f>
        <v>19.5</v>
      </c>
      <c r="E322" s="45">
        <f>MROUND(MID($C322,9,3)/Basis!$E$3,0.5)</f>
        <v>43.5</v>
      </c>
      <c r="F322" s="124" t="s">
        <v>2943</v>
      </c>
      <c r="G322" s="45">
        <f>ROUND((ROUNDDOWN($F322/5,0)*5+1.8)/Basis!$E$3,1)</f>
        <v>4.5999999999999996</v>
      </c>
      <c r="H322" s="120">
        <f>ROUND($P322*Basis!$E$2*((TaH-TrH)/LN(1/µ)/Basis!$E$7)^$N322*$AA$4*Glycol,0)</f>
        <v>2558</v>
      </c>
      <c r="I322" s="83">
        <f>ROUND(H322/(MID($C322,9,3)/Basis!$E$3/Basis!$E$9)*Basis!$E$11,0)</f>
        <v>709</v>
      </c>
      <c r="J322" s="123">
        <f>IF(Basis!$E$1=1,ROUND(H322/((TaH-TrH)*1.163)/3600,3),ROUND(H322/(500*(TaH-TrH)),2))</f>
        <v>0.26</v>
      </c>
      <c r="K322" s="84"/>
      <c r="L322" s="177">
        <f>CHOOSE(Basis!$E$1,((AJ322*(J322*3600/Basis!$E$5)^AK322*(((MID(C322,9,3)*10)-144)/1000)*AL322+AM322*(J322*3600/Basis!$E$5)^2)*0.0098)/Basis!$E$10,((AJ322*(J322/Basis!$E$5)^AK322*(((MID(C322,9,3)*10)-144)/1000)*AL322+AM322*(J322/Basis!$E$5)^2)*0.0098)/Basis!$E$10)</f>
        <v>7.1198952148428278E-3</v>
      </c>
      <c r="M322" s="85"/>
      <c r="N322" s="109">
        <v>1.385</v>
      </c>
      <c r="O322" s="68"/>
      <c r="P322" s="67">
        <v>1184</v>
      </c>
      <c r="Q322" s="68"/>
      <c r="R322" s="69"/>
      <c r="S322" s="69"/>
      <c r="T322" s="69"/>
      <c r="U322" s="69"/>
      <c r="V322" s="69"/>
      <c r="W322" s="68"/>
      <c r="X322" s="70"/>
      <c r="Y322" s="70"/>
      <c r="Z322" s="70"/>
      <c r="AA322" s="70"/>
      <c r="AB322" s="70"/>
      <c r="AC322" s="68"/>
      <c r="AD322" s="71"/>
      <c r="AE322" s="71"/>
      <c r="AF322" s="71"/>
      <c r="AG322" s="71"/>
      <c r="AH322" s="71"/>
      <c r="AI322" s="68"/>
      <c r="AJ322" s="214">
        <v>3.9689999999999994E-4</v>
      </c>
      <c r="AK322" s="214">
        <v>1.7345999999999999</v>
      </c>
      <c r="AL322" s="214">
        <v>2</v>
      </c>
      <c r="AM322" s="214">
        <v>3.6734700000000002E-4</v>
      </c>
      <c r="AN322" s="68"/>
      <c r="AO322" s="67"/>
      <c r="AP322" s="67"/>
      <c r="AQ322" s="67"/>
      <c r="AR322" s="67"/>
      <c r="AS322" s="67"/>
      <c r="AT322" s="68"/>
      <c r="AU322" s="49"/>
      <c r="AV322" s="50"/>
    </row>
    <row r="323" spans="1:48" ht="12.75" customHeight="1" x14ac:dyDescent="0.25">
      <c r="A323" s="72" t="s">
        <v>23</v>
      </c>
      <c r="B323" s="43" t="s">
        <v>159</v>
      </c>
      <c r="C323" s="44" t="s">
        <v>473</v>
      </c>
      <c r="D323" s="45">
        <f>MROUND(MID($C323,6,3)/Basis!$E$3,0.5)</f>
        <v>19.5</v>
      </c>
      <c r="E323" s="45">
        <f>MROUND(MID($C323,9,3)/Basis!$E$3,0.5)</f>
        <v>43.5</v>
      </c>
      <c r="F323" s="124" t="s">
        <v>2946</v>
      </c>
      <c r="G323" s="45">
        <f>ROUND((ROUNDDOWN($F323/5,0)*5+1.8)/Basis!$E$3,1)</f>
        <v>4.5999999999999996</v>
      </c>
      <c r="H323" s="120">
        <f>ROUND($P323*Basis!$E$2*((TaH-TrH)/LN(1/µ)/Basis!$E$7)^$N323*$AA$4*Glycol,0)</f>
        <v>3237</v>
      </c>
      <c r="I323" s="83">
        <f>ROUND(H323/(MID($C323,9,3)/Basis!$E$3/Basis!$E$9)*Basis!$E$11,0)</f>
        <v>897</v>
      </c>
      <c r="J323" s="123">
        <f>IF(Basis!$E$1=1,ROUND(H323/((TaH-TrH)*1.163)/3600,3),ROUND(H323/(500*(TaH-TrH)),2))</f>
        <v>0.32</v>
      </c>
      <c r="K323" s="84"/>
      <c r="L323" s="177">
        <f>CHOOSE(Basis!$E$1,((AJ323*(J323*3600/Basis!$E$5)^AK323*(((MID(C323,9,3)*10)-144)/1000)*AL323+AM323*(J323*3600/Basis!$E$5)^2)*0.0098)/Basis!$E$10,((AJ323*(J323/Basis!$E$5)^AK323*(((MID(C323,9,3)*10)-144)/1000)*AL323+AM323*(J323/Basis!$E$5)^2)*0.0098)/Basis!$E$10)</f>
        <v>1.8323670985918562E-2</v>
      </c>
      <c r="M323" s="85"/>
      <c r="N323" s="110">
        <v>1.4379999999999999</v>
      </c>
      <c r="O323" s="74"/>
      <c r="P323" s="73">
        <v>1525</v>
      </c>
      <c r="Q323" s="74"/>
      <c r="R323" s="75"/>
      <c r="S323" s="75"/>
      <c r="T323" s="75"/>
      <c r="U323" s="75"/>
      <c r="V323" s="75"/>
      <c r="W323" s="74"/>
      <c r="X323" s="76"/>
      <c r="Y323" s="76"/>
      <c r="Z323" s="76"/>
      <c r="AA323" s="76"/>
      <c r="AB323" s="76"/>
      <c r="AC323" s="74"/>
      <c r="AD323" s="77"/>
      <c r="AE323" s="77"/>
      <c r="AF323" s="77"/>
      <c r="AG323" s="77"/>
      <c r="AH323" s="77"/>
      <c r="AI323" s="68"/>
      <c r="AJ323" s="213">
        <v>3.9689999999999994E-4</v>
      </c>
      <c r="AK323" s="213">
        <v>1.7345999999999999</v>
      </c>
      <c r="AL323" s="213">
        <v>4</v>
      </c>
      <c r="AM323" s="213">
        <v>5.7428799999999995E-4</v>
      </c>
      <c r="AN323" s="74"/>
      <c r="AO323" s="73"/>
      <c r="AP323" s="73"/>
      <c r="AQ323" s="73"/>
      <c r="AR323" s="73"/>
      <c r="AS323" s="73"/>
      <c r="AT323" s="74"/>
      <c r="AU323" s="47"/>
      <c r="AV323" s="48"/>
    </row>
    <row r="324" spans="1:48" ht="12.75" customHeight="1" x14ac:dyDescent="0.25">
      <c r="A324" s="72" t="s">
        <v>23</v>
      </c>
      <c r="B324" s="43" t="s">
        <v>159</v>
      </c>
      <c r="C324" s="44" t="s">
        <v>474</v>
      </c>
      <c r="D324" s="45">
        <f>MROUND(MID($C324,6,3)/Basis!$E$3,0.5)</f>
        <v>19.5</v>
      </c>
      <c r="E324" s="45">
        <f>MROUND(MID($C324,9,3)/Basis!$E$3,0.5)</f>
        <v>43.5</v>
      </c>
      <c r="F324" s="124" t="s">
        <v>2944</v>
      </c>
      <c r="G324" s="45">
        <f>ROUND((ROUNDDOWN($F324/5,0)*5+1.8)/Basis!$E$3,1)</f>
        <v>6.6</v>
      </c>
      <c r="H324" s="120">
        <f>ROUND($P324*Basis!$E$2*((TaH-TrH)/LN(1/µ)/Basis!$E$7)^$N324*$AA$4*Glycol,0)</f>
        <v>4136</v>
      </c>
      <c r="I324" s="83">
        <f>ROUND(H324/(MID($C324,9,3)/Basis!$E$3/Basis!$E$9)*Basis!$E$11,0)</f>
        <v>1146</v>
      </c>
      <c r="J324" s="123">
        <f>IF(Basis!$E$1=1,ROUND(H324/((TaH-TrH)*1.163)/3600,3),ROUND(H324/(500*(TaH-TrH)),2))</f>
        <v>0.41</v>
      </c>
      <c r="K324" s="84"/>
      <c r="L324" s="177">
        <f>CHOOSE(Basis!$E$1,((AJ324*(J324*3600/Basis!$E$5)^AK324*(((MID(C324,9,3)*10)-144)/1000)*AL324+AM324*(J324*3600/Basis!$E$5)^2)*0.0098)/Basis!$E$10,((AJ324*(J324/Basis!$E$5)^AK324*(((MID(C324,9,3)*10)-144)/1000)*AL324+AM324*(J324/Basis!$E$5)^2)*0.0098)/Basis!$E$10)</f>
        <v>1.6325379935801403E-2</v>
      </c>
      <c r="M324" s="85"/>
      <c r="N324" s="110">
        <v>1.373</v>
      </c>
      <c r="O324" s="74"/>
      <c r="P324" s="73">
        <v>1907</v>
      </c>
      <c r="Q324" s="74"/>
      <c r="R324" s="75"/>
      <c r="S324" s="75"/>
      <c r="T324" s="75"/>
      <c r="U324" s="75"/>
      <c r="V324" s="75"/>
      <c r="W324" s="74"/>
      <c r="X324" s="76"/>
      <c r="Y324" s="76"/>
      <c r="Z324" s="76"/>
      <c r="AA324" s="76"/>
      <c r="AB324" s="76"/>
      <c r="AC324" s="74"/>
      <c r="AD324" s="77"/>
      <c r="AE324" s="77"/>
      <c r="AF324" s="77"/>
      <c r="AG324" s="77"/>
      <c r="AH324" s="77"/>
      <c r="AI324" s="68"/>
      <c r="AJ324" s="213">
        <v>2.0829999999999999E-4</v>
      </c>
      <c r="AK324" s="213">
        <v>1.724</v>
      </c>
      <c r="AL324" s="213">
        <v>2</v>
      </c>
      <c r="AM324" s="213">
        <v>4.6182900000000003E-4</v>
      </c>
      <c r="AN324" s="74"/>
      <c r="AO324" s="73"/>
      <c r="AP324" s="73"/>
      <c r="AQ324" s="73"/>
      <c r="AR324" s="73"/>
      <c r="AS324" s="73"/>
      <c r="AT324" s="74"/>
      <c r="AU324" s="47"/>
      <c r="AV324" s="48"/>
    </row>
    <row r="325" spans="1:48" ht="12.75" customHeight="1" x14ac:dyDescent="0.25">
      <c r="A325" s="72" t="s">
        <v>23</v>
      </c>
      <c r="B325" s="43" t="s">
        <v>159</v>
      </c>
      <c r="C325" s="44" t="s">
        <v>475</v>
      </c>
      <c r="D325" s="45">
        <f>MROUND(MID($C325,6,3)/Basis!$E$3,0.5)</f>
        <v>19.5</v>
      </c>
      <c r="E325" s="45">
        <f>MROUND(MID($C325,9,3)/Basis!$E$3,0.5)</f>
        <v>43.5</v>
      </c>
      <c r="F325" s="124" t="s">
        <v>2947</v>
      </c>
      <c r="G325" s="45">
        <f>ROUND((ROUNDDOWN($F325/5,0)*5+1.8)/Basis!$E$3,1)</f>
        <v>6.6</v>
      </c>
      <c r="H325" s="120">
        <f>ROUND($P325*Basis!$E$2*((TaH-TrH)/LN(1/µ)/Basis!$E$7)^$N325*$AA$4*Glycol,0)</f>
        <v>4395</v>
      </c>
      <c r="I325" s="83">
        <f>ROUND(H325/(MID($C325,9,3)/Basis!$E$3/Basis!$E$9)*Basis!$E$11,0)</f>
        <v>1218</v>
      </c>
      <c r="J325" s="123">
        <f>IF(Basis!$E$1=1,ROUND(H325/((TaH-TrH)*1.163)/3600,3),ROUND(H325/(500*(TaH-TrH)),2))</f>
        <v>0.44</v>
      </c>
      <c r="K325" s="84"/>
      <c r="L325" s="177">
        <f>CHOOSE(Basis!$E$1,((AJ325*(J325*3600/Basis!$E$5)^AK325*(((MID(C325,9,3)*10)-144)/1000)*AL325+AM325*(J325*3600/Basis!$E$5)^2)*0.0098)/Basis!$E$10,((AJ325*(J325/Basis!$E$5)^AK325*(((MID(C325,9,3)*10)-144)/1000)*AL325+AM325*(J325/Basis!$E$5)^2)*0.0098)/Basis!$E$10)</f>
        <v>5.2779561130916697E-2</v>
      </c>
      <c r="M325" s="85"/>
      <c r="N325" s="109">
        <v>1.464</v>
      </c>
      <c r="O325" s="68"/>
      <c r="P325" s="67">
        <v>2088</v>
      </c>
      <c r="Q325" s="68"/>
      <c r="R325" s="69"/>
      <c r="S325" s="69"/>
      <c r="T325" s="69"/>
      <c r="U325" s="69"/>
      <c r="V325" s="69"/>
      <c r="W325" s="68"/>
      <c r="X325" s="70"/>
      <c r="Y325" s="70"/>
      <c r="Z325" s="70"/>
      <c r="AA325" s="70"/>
      <c r="AB325" s="70"/>
      <c r="AC325" s="68"/>
      <c r="AD325" s="71"/>
      <c r="AE325" s="71"/>
      <c r="AF325" s="71"/>
      <c r="AG325" s="71"/>
      <c r="AH325" s="71"/>
      <c r="AI325" s="68"/>
      <c r="AJ325" s="214">
        <v>2.0829999999999999E-4</v>
      </c>
      <c r="AK325" s="214">
        <v>1.724</v>
      </c>
      <c r="AL325" s="214">
        <v>4</v>
      </c>
      <c r="AM325" s="214">
        <v>1.392796E-3</v>
      </c>
      <c r="AN325" s="68"/>
      <c r="AO325" s="67"/>
      <c r="AP325" s="67"/>
      <c r="AQ325" s="67"/>
      <c r="AR325" s="67"/>
      <c r="AS325" s="67"/>
      <c r="AT325" s="68"/>
      <c r="AU325" s="49"/>
      <c r="AV325" s="50"/>
    </row>
    <row r="326" spans="1:48" ht="12.75" customHeight="1" x14ac:dyDescent="0.25">
      <c r="A326" s="72" t="s">
        <v>23</v>
      </c>
      <c r="B326" s="43" t="s">
        <v>159</v>
      </c>
      <c r="C326" s="44" t="s">
        <v>476</v>
      </c>
      <c r="D326" s="45">
        <f>MROUND(MID($C326,6,3)/Basis!$E$3,0.5)</f>
        <v>19.5</v>
      </c>
      <c r="E326" s="45">
        <f>MROUND(MID($C326,9,3)/Basis!$E$3,0.5)</f>
        <v>43.5</v>
      </c>
      <c r="F326" s="124" t="s">
        <v>2945</v>
      </c>
      <c r="G326" s="45">
        <f>ROUND((ROUNDDOWN($F326/5,0)*5+1.8)/Basis!$E$3,1)</f>
        <v>8.6</v>
      </c>
      <c r="H326" s="120">
        <f>ROUND($P326*Basis!$E$2*((TaH-TrH)/LN(1/µ)/Basis!$E$7)^$N326*$AA$4*Glycol,0)</f>
        <v>5786</v>
      </c>
      <c r="I326" s="83">
        <f>ROUND(H326/(MID($C326,9,3)/Basis!$E$3/Basis!$E$9)*Basis!$E$11,0)</f>
        <v>1603</v>
      </c>
      <c r="J326" s="123">
        <f>IF(Basis!$E$1=1,ROUND(H326/((TaH-TrH)*1.163)/3600,3),ROUND(H326/(500*(TaH-TrH)),2))</f>
        <v>0.57999999999999996</v>
      </c>
      <c r="K326" s="84"/>
      <c r="L326" s="177">
        <f>CHOOSE(Basis!$E$1,((AJ326*(J326*3600/Basis!$E$5)^AK326*(((MID(C326,9,3)*10)-144)/1000)*AL326+AM326*(J326*3600/Basis!$E$5)^2)*0.0098)/Basis!$E$10,((AJ326*(J326/Basis!$E$5)^AK326*(((MID(C326,9,3)*10)-144)/1000)*AL326+AM326*(J326/Basis!$E$5)^2)*0.0098)/Basis!$E$10)</f>
        <v>2.4931592627257033E-2</v>
      </c>
      <c r="M326" s="85"/>
      <c r="N326" s="109">
        <v>1.373</v>
      </c>
      <c r="O326" s="68"/>
      <c r="P326" s="67">
        <v>2668</v>
      </c>
      <c r="Q326" s="68"/>
      <c r="R326" s="69"/>
      <c r="S326" s="69"/>
      <c r="T326" s="69"/>
      <c r="U326" s="69"/>
      <c r="V326" s="69"/>
      <c r="W326" s="68"/>
      <c r="X326" s="70"/>
      <c r="Y326" s="70"/>
      <c r="Z326" s="70"/>
      <c r="AA326" s="70"/>
      <c r="AB326" s="70"/>
      <c r="AC326" s="68"/>
      <c r="AD326" s="71"/>
      <c r="AE326" s="71"/>
      <c r="AF326" s="71"/>
      <c r="AG326" s="71"/>
      <c r="AH326" s="71"/>
      <c r="AI326" s="68"/>
      <c r="AJ326" s="214">
        <v>1.2760000000000001E-4</v>
      </c>
      <c r="AK326" s="214">
        <v>1.7219</v>
      </c>
      <c r="AL326" s="214">
        <v>2</v>
      </c>
      <c r="AM326" s="214">
        <v>3.76611E-4</v>
      </c>
      <c r="AN326" s="68"/>
      <c r="AO326" s="67"/>
      <c r="AP326" s="67"/>
      <c r="AQ326" s="67"/>
      <c r="AR326" s="67"/>
      <c r="AS326" s="67"/>
      <c r="AT326" s="68"/>
      <c r="AU326" s="49"/>
      <c r="AV326" s="50"/>
    </row>
    <row r="327" spans="1:48" ht="12.75" customHeight="1" x14ac:dyDescent="0.25">
      <c r="A327" s="72" t="s">
        <v>23</v>
      </c>
      <c r="B327" s="43" t="s">
        <v>159</v>
      </c>
      <c r="C327" s="44" t="s">
        <v>477</v>
      </c>
      <c r="D327" s="45">
        <f>MROUND(MID($C327,6,3)/Basis!$E$3,0.5)</f>
        <v>19.5</v>
      </c>
      <c r="E327" s="45">
        <f>MROUND(MID($C327,9,3)/Basis!$E$3,0.5)</f>
        <v>43.5</v>
      </c>
      <c r="F327" s="124" t="s">
        <v>2948</v>
      </c>
      <c r="G327" s="45">
        <f>ROUND((ROUNDDOWN($F327/5,0)*5+1.8)/Basis!$E$3,1)</f>
        <v>8.6</v>
      </c>
      <c r="H327" s="120">
        <f>ROUND($P327*Basis!$E$2*((TaH-TrH)/LN(1/µ)/Basis!$E$7)^$N327*$AA$4*Glycol,0)</f>
        <v>5936</v>
      </c>
      <c r="I327" s="83">
        <f>ROUND(H327/(MID($C327,9,3)/Basis!$E$3/Basis!$E$9)*Basis!$E$11,0)</f>
        <v>1645</v>
      </c>
      <c r="J327" s="123">
        <f>IF(Basis!$E$1=1,ROUND(H327/((TaH-TrH)*1.163)/3600,3),ROUND(H327/(500*(TaH-TrH)),2))</f>
        <v>0.59</v>
      </c>
      <c r="K327" s="84"/>
      <c r="L327" s="177">
        <f>CHOOSE(Basis!$E$1,((AJ327*(J327*3600/Basis!$E$5)^AK327*(((MID(C327,9,3)*10)-144)/1000)*AL327+AM327*(J327*3600/Basis!$E$5)^2)*0.0098)/Basis!$E$10,((AJ327*(J327/Basis!$E$5)^AK327*(((MID(C327,9,3)*10)-144)/1000)*AL327+AM327*(J327/Basis!$E$5)^2)*0.0098)/Basis!$E$10)</f>
        <v>3.7528572486834083E-2</v>
      </c>
      <c r="M327" s="85"/>
      <c r="N327" s="110">
        <v>1.4850000000000001</v>
      </c>
      <c r="O327" s="74"/>
      <c r="P327" s="73">
        <v>2840</v>
      </c>
      <c r="Q327" s="74"/>
      <c r="R327" s="75"/>
      <c r="S327" s="75"/>
      <c r="T327" s="75"/>
      <c r="U327" s="75"/>
      <c r="V327" s="75"/>
      <c r="W327" s="74"/>
      <c r="X327" s="76"/>
      <c r="Y327" s="76"/>
      <c r="Z327" s="76"/>
      <c r="AA327" s="76"/>
      <c r="AB327" s="76"/>
      <c r="AC327" s="74"/>
      <c r="AD327" s="77"/>
      <c r="AE327" s="77"/>
      <c r="AF327" s="77"/>
      <c r="AG327" s="77"/>
      <c r="AH327" s="77"/>
      <c r="AI327" s="68"/>
      <c r="AJ327" s="213">
        <v>1.2760000000000001E-4</v>
      </c>
      <c r="AK327" s="213">
        <v>1.7219</v>
      </c>
      <c r="AL327" s="213">
        <v>4</v>
      </c>
      <c r="AM327" s="213">
        <v>5.1420100000000005E-4</v>
      </c>
      <c r="AN327" s="74"/>
      <c r="AO327" s="73"/>
      <c r="AP327" s="73"/>
      <c r="AQ327" s="73"/>
      <c r="AR327" s="73"/>
      <c r="AS327" s="73"/>
      <c r="AT327" s="74"/>
      <c r="AU327" s="47"/>
      <c r="AV327" s="48"/>
    </row>
    <row r="328" spans="1:48" ht="12.75" customHeight="1" x14ac:dyDescent="0.25">
      <c r="A328" s="72" t="s">
        <v>23</v>
      </c>
      <c r="B328" s="43" t="s">
        <v>159</v>
      </c>
      <c r="C328" s="44" t="s">
        <v>478</v>
      </c>
      <c r="D328" s="45">
        <f>MROUND(MID($C328,6,3)/Basis!$E$3,0.5)</f>
        <v>19.5</v>
      </c>
      <c r="E328" s="45">
        <f>MROUND(MID($C328,9,3)/Basis!$E$3,0.5)</f>
        <v>47</v>
      </c>
      <c r="F328" s="124" t="s">
        <v>2943</v>
      </c>
      <c r="G328" s="45">
        <f>ROUND((ROUNDDOWN($F328/5,0)*5+1.8)/Basis!$E$3,1)</f>
        <v>4.5999999999999996</v>
      </c>
      <c r="H328" s="120">
        <f>ROUND($P328*Basis!$E$2*((TaH-TrH)/LN(1/µ)/Basis!$E$7)^$N328*$AA$4*Glycol,0)</f>
        <v>2789</v>
      </c>
      <c r="I328" s="83">
        <f>ROUND(H328/(MID($C328,9,3)/Basis!$E$3/Basis!$E$9)*Basis!$E$11,0)</f>
        <v>708</v>
      </c>
      <c r="J328" s="123">
        <f>IF(Basis!$E$1=1,ROUND(H328/((TaH-TrH)*1.163)/3600,3),ROUND(H328/(500*(TaH-TrH)),2))</f>
        <v>0.28000000000000003</v>
      </c>
      <c r="K328" s="84"/>
      <c r="L328" s="177">
        <f>CHOOSE(Basis!$E$1,((AJ328*(J328*3600/Basis!$E$5)^AK328*(((MID(C328,9,3)*10)-144)/1000)*AL328+AM328*(J328*3600/Basis!$E$5)^2)*0.0098)/Basis!$E$10,((AJ328*(J328/Basis!$E$5)^AK328*(((MID(C328,9,3)*10)-144)/1000)*AL328+AM328*(J328/Basis!$E$5)^2)*0.0098)/Basis!$E$10)</f>
        <v>8.5398710994788306E-3</v>
      </c>
      <c r="M328" s="85"/>
      <c r="N328" s="110">
        <v>1.385</v>
      </c>
      <c r="O328" s="74"/>
      <c r="P328" s="73">
        <v>1291</v>
      </c>
      <c r="Q328" s="74"/>
      <c r="R328" s="75"/>
      <c r="S328" s="75"/>
      <c r="T328" s="75"/>
      <c r="U328" s="75"/>
      <c r="V328" s="75"/>
      <c r="W328" s="74"/>
      <c r="X328" s="76"/>
      <c r="Y328" s="76"/>
      <c r="Z328" s="76"/>
      <c r="AA328" s="76"/>
      <c r="AB328" s="76"/>
      <c r="AC328" s="74"/>
      <c r="AD328" s="77"/>
      <c r="AE328" s="77"/>
      <c r="AF328" s="77"/>
      <c r="AG328" s="77"/>
      <c r="AH328" s="77"/>
      <c r="AI328" s="68"/>
      <c r="AJ328" s="213">
        <v>3.9689999999999994E-4</v>
      </c>
      <c r="AK328" s="213">
        <v>1.7345999999999999</v>
      </c>
      <c r="AL328" s="213">
        <v>2</v>
      </c>
      <c r="AM328" s="213">
        <v>3.6734700000000002E-4</v>
      </c>
      <c r="AN328" s="74"/>
      <c r="AO328" s="73"/>
      <c r="AP328" s="73"/>
      <c r="AQ328" s="73"/>
      <c r="AR328" s="73"/>
      <c r="AS328" s="73"/>
      <c r="AT328" s="74"/>
      <c r="AU328" s="47"/>
      <c r="AV328" s="48"/>
    </row>
    <row r="329" spans="1:48" ht="12.75" customHeight="1" x14ac:dyDescent="0.25">
      <c r="A329" s="72" t="s">
        <v>23</v>
      </c>
      <c r="B329" s="43" t="s">
        <v>159</v>
      </c>
      <c r="C329" s="44" t="s">
        <v>479</v>
      </c>
      <c r="D329" s="45">
        <f>MROUND(MID($C329,6,3)/Basis!$E$3,0.5)</f>
        <v>19.5</v>
      </c>
      <c r="E329" s="45">
        <f>MROUND(MID($C329,9,3)/Basis!$E$3,0.5)</f>
        <v>47</v>
      </c>
      <c r="F329" s="124" t="s">
        <v>2946</v>
      </c>
      <c r="G329" s="45">
        <f>ROUND((ROUNDDOWN($F329/5,0)*5+1.8)/Basis!$E$3,1)</f>
        <v>4.5999999999999996</v>
      </c>
      <c r="H329" s="120">
        <f>ROUND($P329*Basis!$E$2*((TaH-TrH)/LN(1/µ)/Basis!$E$7)^$N329*$AA$4*Glycol,0)</f>
        <v>3530</v>
      </c>
      <c r="I329" s="83">
        <f>ROUND(H329/(MID($C329,9,3)/Basis!$E$3/Basis!$E$9)*Basis!$E$11,0)</f>
        <v>897</v>
      </c>
      <c r="J329" s="123">
        <f>IF(Basis!$E$1=1,ROUND(H329/((TaH-TrH)*1.163)/3600,3),ROUND(H329/(500*(TaH-TrH)),2))</f>
        <v>0.35</v>
      </c>
      <c r="K329" s="84"/>
      <c r="L329" s="177">
        <f>CHOOSE(Basis!$E$1,((AJ329*(J329*3600/Basis!$E$5)^AK329*(((MID(C329,9,3)*10)-144)/1000)*AL329+AM329*(J329*3600/Basis!$E$5)^2)*0.0098)/Basis!$E$10,((AJ329*(J329/Basis!$E$5)^AK329*(((MID(C329,9,3)*10)-144)/1000)*AL329+AM329*(J329/Basis!$E$5)^2)*0.0098)/Basis!$E$10)</f>
        <v>2.2711103185008207E-2</v>
      </c>
      <c r="M329" s="85"/>
      <c r="N329" s="109">
        <v>1.4379999999999999</v>
      </c>
      <c r="O329" s="68"/>
      <c r="P329" s="67">
        <v>1663</v>
      </c>
      <c r="Q329" s="68"/>
      <c r="R329" s="69"/>
      <c r="S329" s="69"/>
      <c r="T329" s="69"/>
      <c r="U329" s="69"/>
      <c r="V329" s="69"/>
      <c r="W329" s="68"/>
      <c r="X329" s="70"/>
      <c r="Y329" s="70"/>
      <c r="Z329" s="70"/>
      <c r="AA329" s="70"/>
      <c r="AB329" s="70"/>
      <c r="AC329" s="68"/>
      <c r="AD329" s="71"/>
      <c r="AE329" s="71"/>
      <c r="AF329" s="71"/>
      <c r="AG329" s="71"/>
      <c r="AH329" s="71"/>
      <c r="AI329" s="68"/>
      <c r="AJ329" s="214">
        <v>3.9689999999999994E-4</v>
      </c>
      <c r="AK329" s="214">
        <v>1.7345999999999999</v>
      </c>
      <c r="AL329" s="214">
        <v>4</v>
      </c>
      <c r="AM329" s="214">
        <v>5.7428799999999995E-4</v>
      </c>
      <c r="AN329" s="68"/>
      <c r="AO329" s="67"/>
      <c r="AP329" s="67"/>
      <c r="AQ329" s="67"/>
      <c r="AR329" s="67"/>
      <c r="AS329" s="67"/>
      <c r="AT329" s="68"/>
      <c r="AU329" s="49"/>
      <c r="AV329" s="50"/>
    </row>
    <row r="330" spans="1:48" ht="12.75" customHeight="1" x14ac:dyDescent="0.25">
      <c r="A330" s="72" t="s">
        <v>23</v>
      </c>
      <c r="B330" s="43" t="s">
        <v>159</v>
      </c>
      <c r="C330" s="44" t="s">
        <v>480</v>
      </c>
      <c r="D330" s="45">
        <f>MROUND(MID($C330,6,3)/Basis!$E$3,0.5)</f>
        <v>19.5</v>
      </c>
      <c r="E330" s="45">
        <f>MROUND(MID($C330,9,3)/Basis!$E$3,0.5)</f>
        <v>47</v>
      </c>
      <c r="F330" s="124" t="s">
        <v>2944</v>
      </c>
      <c r="G330" s="45">
        <f>ROUND((ROUNDDOWN($F330/5,0)*5+1.8)/Basis!$E$3,1)</f>
        <v>6.6</v>
      </c>
      <c r="H330" s="120">
        <f>ROUND($P330*Basis!$E$2*((TaH-TrH)/LN(1/µ)/Basis!$E$7)^$N330*$AA$4*Glycol,0)</f>
        <v>4513</v>
      </c>
      <c r="I330" s="83">
        <f>ROUND(H330/(MID($C330,9,3)/Basis!$E$3/Basis!$E$9)*Basis!$E$11,0)</f>
        <v>1146</v>
      </c>
      <c r="J330" s="123">
        <f>IF(Basis!$E$1=1,ROUND(H330/((TaH-TrH)*1.163)/3600,3),ROUND(H330/(500*(TaH-TrH)),2))</f>
        <v>0.45</v>
      </c>
      <c r="K330" s="84"/>
      <c r="L330" s="177">
        <f>CHOOSE(Basis!$E$1,((AJ330*(J330*3600/Basis!$E$5)^AK330*(((MID(C330,9,3)*10)-144)/1000)*AL330+AM330*(J330*3600/Basis!$E$5)^2)*0.0098)/Basis!$E$10,((AJ330*(J330/Basis!$E$5)^AK330*(((MID(C330,9,3)*10)-144)/1000)*AL330+AM330*(J330/Basis!$E$5)^2)*0.0098)/Basis!$E$10)</f>
        <v>1.9964279531181142E-2</v>
      </c>
      <c r="M330" s="85"/>
      <c r="N330" s="109">
        <v>1.373</v>
      </c>
      <c r="O330" s="68"/>
      <c r="P330" s="67">
        <v>2081</v>
      </c>
      <c r="Q330" s="68"/>
      <c r="R330" s="69"/>
      <c r="S330" s="69"/>
      <c r="T330" s="69"/>
      <c r="U330" s="69"/>
      <c r="V330" s="69"/>
      <c r="W330" s="68"/>
      <c r="X330" s="70"/>
      <c r="Y330" s="70"/>
      <c r="Z330" s="70"/>
      <c r="AA330" s="70"/>
      <c r="AB330" s="70"/>
      <c r="AC330" s="68"/>
      <c r="AD330" s="71"/>
      <c r="AE330" s="71"/>
      <c r="AF330" s="71"/>
      <c r="AG330" s="71"/>
      <c r="AH330" s="71"/>
      <c r="AI330" s="68"/>
      <c r="AJ330" s="214">
        <v>2.0829999999999999E-4</v>
      </c>
      <c r="AK330" s="214">
        <v>1.724</v>
      </c>
      <c r="AL330" s="214">
        <v>2</v>
      </c>
      <c r="AM330" s="214">
        <v>4.6182900000000003E-4</v>
      </c>
      <c r="AN330" s="68"/>
      <c r="AO330" s="67"/>
      <c r="AP330" s="67"/>
      <c r="AQ330" s="67"/>
      <c r="AR330" s="67"/>
      <c r="AS330" s="67"/>
      <c r="AT330" s="68"/>
      <c r="AU330" s="49"/>
      <c r="AV330" s="50"/>
    </row>
    <row r="331" spans="1:48" ht="12.75" customHeight="1" x14ac:dyDescent="0.25">
      <c r="A331" s="72" t="s">
        <v>23</v>
      </c>
      <c r="B331" s="43" t="s">
        <v>159</v>
      </c>
      <c r="C331" s="44" t="s">
        <v>481</v>
      </c>
      <c r="D331" s="45">
        <f>MROUND(MID($C331,6,3)/Basis!$E$3,0.5)</f>
        <v>19.5</v>
      </c>
      <c r="E331" s="45">
        <f>MROUND(MID($C331,9,3)/Basis!$E$3,0.5)</f>
        <v>47</v>
      </c>
      <c r="F331" s="124" t="s">
        <v>2947</v>
      </c>
      <c r="G331" s="45">
        <f>ROUND((ROUNDDOWN($F331/5,0)*5+1.8)/Basis!$E$3,1)</f>
        <v>6.6</v>
      </c>
      <c r="H331" s="120">
        <f>ROUND($P331*Basis!$E$2*((TaH-TrH)/LN(1/µ)/Basis!$E$7)^$N331*$AA$4*Glycol,0)</f>
        <v>4794</v>
      </c>
      <c r="I331" s="83">
        <f>ROUND(H331/(MID($C331,9,3)/Basis!$E$3/Basis!$E$9)*Basis!$E$11,0)</f>
        <v>1218</v>
      </c>
      <c r="J331" s="123">
        <f>IF(Basis!$E$1=1,ROUND(H331/((TaH-TrH)*1.163)/3600,3),ROUND(H331/(500*(TaH-TrH)),2))</f>
        <v>0.48</v>
      </c>
      <c r="K331" s="84"/>
      <c r="L331" s="177">
        <f>CHOOSE(Basis!$E$1,((AJ331*(J331*3600/Basis!$E$5)^AK331*(((MID(C331,9,3)*10)-144)/1000)*AL331+AM331*(J331*3600/Basis!$E$5)^2)*0.0098)/Basis!$E$10,((AJ331*(J331/Basis!$E$5)^AK331*(((MID(C331,9,3)*10)-144)/1000)*AL331+AM331*(J331/Basis!$E$5)^2)*0.0098)/Basis!$E$10)</f>
        <v>6.3492930163076236E-2</v>
      </c>
      <c r="M331" s="85"/>
      <c r="N331" s="110">
        <v>1.464</v>
      </c>
      <c r="O331" s="74"/>
      <c r="P331" s="73">
        <v>2278</v>
      </c>
      <c r="Q331" s="74"/>
      <c r="R331" s="75"/>
      <c r="S331" s="75"/>
      <c r="T331" s="75"/>
      <c r="U331" s="75"/>
      <c r="V331" s="75"/>
      <c r="W331" s="74"/>
      <c r="X331" s="76"/>
      <c r="Y331" s="76"/>
      <c r="Z331" s="76"/>
      <c r="AA331" s="76"/>
      <c r="AB331" s="76"/>
      <c r="AC331" s="74"/>
      <c r="AD331" s="77"/>
      <c r="AE331" s="77"/>
      <c r="AF331" s="77"/>
      <c r="AG331" s="77"/>
      <c r="AH331" s="77"/>
      <c r="AI331" s="68"/>
      <c r="AJ331" s="213">
        <v>2.0829999999999999E-4</v>
      </c>
      <c r="AK331" s="213">
        <v>1.724</v>
      </c>
      <c r="AL331" s="213">
        <v>4</v>
      </c>
      <c r="AM331" s="213">
        <v>1.392796E-3</v>
      </c>
      <c r="AN331" s="74"/>
      <c r="AO331" s="73"/>
      <c r="AP331" s="73"/>
      <c r="AQ331" s="73"/>
      <c r="AR331" s="73"/>
      <c r="AS331" s="73"/>
      <c r="AT331" s="74"/>
      <c r="AU331" s="47"/>
      <c r="AV331" s="48"/>
    </row>
    <row r="332" spans="1:48" ht="12.75" customHeight="1" x14ac:dyDescent="0.25">
      <c r="A332" s="72" t="s">
        <v>23</v>
      </c>
      <c r="B332" s="43" t="s">
        <v>159</v>
      </c>
      <c r="C332" s="44" t="s">
        <v>482</v>
      </c>
      <c r="D332" s="45">
        <f>MROUND(MID($C332,6,3)/Basis!$E$3,0.5)</f>
        <v>19.5</v>
      </c>
      <c r="E332" s="45">
        <f>MROUND(MID($C332,9,3)/Basis!$E$3,0.5)</f>
        <v>47</v>
      </c>
      <c r="F332" s="124" t="s">
        <v>2945</v>
      </c>
      <c r="G332" s="45">
        <f>ROUND((ROUNDDOWN($F332/5,0)*5+1.8)/Basis!$E$3,1)</f>
        <v>8.6</v>
      </c>
      <c r="H332" s="120">
        <f>ROUND($P332*Basis!$E$2*((TaH-TrH)/LN(1/µ)/Basis!$E$7)^$N332*$AA$4*Glycol,0)</f>
        <v>6311</v>
      </c>
      <c r="I332" s="83">
        <f>ROUND(H332/(MID($C332,9,3)/Basis!$E$3/Basis!$E$9)*Basis!$E$11,0)</f>
        <v>1603</v>
      </c>
      <c r="J332" s="123">
        <f>IF(Basis!$E$1=1,ROUND(H332/((TaH-TrH)*1.163)/3600,3),ROUND(H332/(500*(TaH-TrH)),2))</f>
        <v>0.63</v>
      </c>
      <c r="K332" s="84"/>
      <c r="L332" s="177">
        <f>CHOOSE(Basis!$E$1,((AJ332*(J332*3600/Basis!$E$5)^AK332*(((MID(C332,9,3)*10)-144)/1000)*AL332+AM332*(J332*3600/Basis!$E$5)^2)*0.0098)/Basis!$E$10,((AJ332*(J332/Basis!$E$5)^AK332*(((MID(C332,9,3)*10)-144)/1000)*AL332+AM332*(J332/Basis!$E$5)^2)*0.0098)/Basis!$E$10)</f>
        <v>2.9749535014537223E-2</v>
      </c>
      <c r="M332" s="85"/>
      <c r="N332" s="110">
        <v>1.373</v>
      </c>
      <c r="O332" s="74"/>
      <c r="P332" s="73">
        <v>2910</v>
      </c>
      <c r="Q332" s="74"/>
      <c r="R332" s="75"/>
      <c r="S332" s="75"/>
      <c r="T332" s="75"/>
      <c r="U332" s="75"/>
      <c r="V332" s="75"/>
      <c r="W332" s="74"/>
      <c r="X332" s="76"/>
      <c r="Y332" s="76"/>
      <c r="Z332" s="76"/>
      <c r="AA332" s="76"/>
      <c r="AB332" s="76"/>
      <c r="AC332" s="74"/>
      <c r="AD332" s="77"/>
      <c r="AE332" s="77"/>
      <c r="AF332" s="77"/>
      <c r="AG332" s="77"/>
      <c r="AH332" s="77"/>
      <c r="AI332" s="68"/>
      <c r="AJ332" s="213">
        <v>1.2760000000000001E-4</v>
      </c>
      <c r="AK332" s="213">
        <v>1.7219</v>
      </c>
      <c r="AL332" s="213">
        <v>2</v>
      </c>
      <c r="AM332" s="213">
        <v>3.76611E-4</v>
      </c>
      <c r="AN332" s="74"/>
      <c r="AO332" s="73"/>
      <c r="AP332" s="73"/>
      <c r="AQ332" s="73"/>
      <c r="AR332" s="73"/>
      <c r="AS332" s="73"/>
      <c r="AT332" s="74"/>
      <c r="AU332" s="47"/>
      <c r="AV332" s="48"/>
    </row>
    <row r="333" spans="1:48" ht="12.75" customHeight="1" x14ac:dyDescent="0.25">
      <c r="A333" s="72" t="s">
        <v>23</v>
      </c>
      <c r="B333" s="43" t="s">
        <v>159</v>
      </c>
      <c r="C333" s="44" t="s">
        <v>483</v>
      </c>
      <c r="D333" s="45">
        <f>MROUND(MID($C333,6,3)/Basis!$E$3,0.5)</f>
        <v>19.5</v>
      </c>
      <c r="E333" s="45">
        <f>MROUND(MID($C333,9,3)/Basis!$E$3,0.5)</f>
        <v>47</v>
      </c>
      <c r="F333" s="124" t="s">
        <v>2948</v>
      </c>
      <c r="G333" s="45">
        <f>ROUND((ROUNDDOWN($F333/5,0)*5+1.8)/Basis!$E$3,1)</f>
        <v>8.6</v>
      </c>
      <c r="H333" s="120">
        <f>ROUND($P333*Basis!$E$2*((TaH-TrH)/LN(1/µ)/Basis!$E$7)^$N333*$AA$4*Glycol,0)</f>
        <v>6475</v>
      </c>
      <c r="I333" s="83">
        <f>ROUND(H333/(MID($C333,9,3)/Basis!$E$3/Basis!$E$9)*Basis!$E$11,0)</f>
        <v>1645</v>
      </c>
      <c r="J333" s="123">
        <f>IF(Basis!$E$1=1,ROUND(H333/((TaH-TrH)*1.163)/3600,3),ROUND(H333/(500*(TaH-TrH)),2))</f>
        <v>0.65</v>
      </c>
      <c r="K333" s="84"/>
      <c r="L333" s="177">
        <f>CHOOSE(Basis!$E$1,((AJ333*(J333*3600/Basis!$E$5)^AK333*(((MID(C333,9,3)*10)-144)/1000)*AL333+AM333*(J333*3600/Basis!$E$5)^2)*0.0098)/Basis!$E$10,((AJ333*(J333/Basis!$E$5)^AK333*(((MID(C333,9,3)*10)-144)/1000)*AL333+AM333*(J333/Basis!$E$5)^2)*0.0098)/Basis!$E$10)</f>
        <v>4.621978374522745E-2</v>
      </c>
      <c r="M333" s="85"/>
      <c r="N333" s="109">
        <v>1.4850000000000001</v>
      </c>
      <c r="O333" s="68"/>
      <c r="P333" s="67">
        <v>3098</v>
      </c>
      <c r="Q333" s="68"/>
      <c r="R333" s="69"/>
      <c r="S333" s="69"/>
      <c r="T333" s="69"/>
      <c r="U333" s="69"/>
      <c r="V333" s="69"/>
      <c r="W333" s="68"/>
      <c r="X333" s="70"/>
      <c r="Y333" s="70"/>
      <c r="Z333" s="70"/>
      <c r="AA333" s="70"/>
      <c r="AB333" s="70"/>
      <c r="AC333" s="68"/>
      <c r="AD333" s="71"/>
      <c r="AE333" s="71"/>
      <c r="AF333" s="71"/>
      <c r="AG333" s="71"/>
      <c r="AH333" s="71"/>
      <c r="AI333" s="68"/>
      <c r="AJ333" s="214">
        <v>1.2760000000000001E-4</v>
      </c>
      <c r="AK333" s="214">
        <v>1.7219</v>
      </c>
      <c r="AL333" s="214">
        <v>4</v>
      </c>
      <c r="AM333" s="214">
        <v>5.1420100000000005E-4</v>
      </c>
      <c r="AN333" s="68"/>
      <c r="AO333" s="67"/>
      <c r="AP333" s="67"/>
      <c r="AQ333" s="67"/>
      <c r="AR333" s="67"/>
      <c r="AS333" s="67"/>
      <c r="AT333" s="68"/>
      <c r="AU333" s="49"/>
      <c r="AV333" s="50"/>
    </row>
    <row r="334" spans="1:48" ht="12.75" customHeight="1" x14ac:dyDescent="0.25">
      <c r="A334" s="72" t="s">
        <v>23</v>
      </c>
      <c r="B334" s="43" t="s">
        <v>159</v>
      </c>
      <c r="C334" s="44" t="s">
        <v>484</v>
      </c>
      <c r="D334" s="45">
        <f>MROUND(MID($C334,6,3)/Basis!$E$3,0.5)</f>
        <v>19.5</v>
      </c>
      <c r="E334" s="45">
        <f>MROUND(MID($C334,9,3)/Basis!$E$3,0.5)</f>
        <v>55</v>
      </c>
      <c r="F334" s="124" t="s">
        <v>2943</v>
      </c>
      <c r="G334" s="45">
        <f>ROUND((ROUNDDOWN($F334/5,0)*5+1.8)/Basis!$E$3,1)</f>
        <v>4.5999999999999996</v>
      </c>
      <c r="H334" s="120">
        <f>ROUND($P334*Basis!$E$2*((TaH-TrH)/LN(1/µ)/Basis!$E$7)^$N334*$AA$4*Glycol,0)</f>
        <v>3253</v>
      </c>
      <c r="I334" s="83">
        <f>ROUND(H334/(MID($C334,9,3)/Basis!$E$3/Basis!$E$9)*Basis!$E$11,0)</f>
        <v>708</v>
      </c>
      <c r="J334" s="123">
        <f>IF(Basis!$E$1=1,ROUND(H334/((TaH-TrH)*1.163)/3600,3),ROUND(H334/(500*(TaH-TrH)),2))</f>
        <v>0.33</v>
      </c>
      <c r="K334" s="84"/>
      <c r="L334" s="177">
        <f>CHOOSE(Basis!$E$1,((AJ334*(J334*3600/Basis!$E$5)^AK334*(((MID(C334,9,3)*10)-144)/1000)*AL334+AM334*(J334*3600/Basis!$E$5)^2)*0.0098)/Basis!$E$10,((AJ334*(J334/Basis!$E$5)^AK334*(((MID(C334,9,3)*10)-144)/1000)*AL334+AM334*(J334/Basis!$E$5)^2)*0.0098)/Basis!$E$10)</f>
        <v>1.2571256736469315E-2</v>
      </c>
      <c r="M334" s="85"/>
      <c r="N334" s="109">
        <v>1.385</v>
      </c>
      <c r="O334" s="68"/>
      <c r="P334" s="67">
        <v>1506</v>
      </c>
      <c r="Q334" s="68"/>
      <c r="R334" s="69"/>
      <c r="S334" s="69"/>
      <c r="T334" s="69"/>
      <c r="U334" s="69"/>
      <c r="V334" s="69"/>
      <c r="W334" s="68"/>
      <c r="X334" s="70"/>
      <c r="Y334" s="70"/>
      <c r="Z334" s="70"/>
      <c r="AA334" s="70"/>
      <c r="AB334" s="70"/>
      <c r="AC334" s="68"/>
      <c r="AD334" s="71"/>
      <c r="AE334" s="71"/>
      <c r="AF334" s="71"/>
      <c r="AG334" s="71"/>
      <c r="AH334" s="71"/>
      <c r="AI334" s="68"/>
      <c r="AJ334" s="214">
        <v>3.9689999999999994E-4</v>
      </c>
      <c r="AK334" s="214">
        <v>1.7345999999999999</v>
      </c>
      <c r="AL334" s="214">
        <v>2</v>
      </c>
      <c r="AM334" s="214">
        <v>3.6734700000000002E-4</v>
      </c>
      <c r="AN334" s="68"/>
      <c r="AO334" s="67"/>
      <c r="AP334" s="67"/>
      <c r="AQ334" s="67"/>
      <c r="AR334" s="67"/>
      <c r="AS334" s="67"/>
      <c r="AT334" s="68"/>
      <c r="AU334" s="49"/>
      <c r="AV334" s="50"/>
    </row>
    <row r="335" spans="1:48" ht="12.75" customHeight="1" x14ac:dyDescent="0.25">
      <c r="A335" s="72" t="s">
        <v>23</v>
      </c>
      <c r="B335" s="43" t="s">
        <v>159</v>
      </c>
      <c r="C335" s="44" t="s">
        <v>485</v>
      </c>
      <c r="D335" s="45">
        <f>MROUND(MID($C335,6,3)/Basis!$E$3,0.5)</f>
        <v>19.5</v>
      </c>
      <c r="E335" s="45">
        <f>MROUND(MID($C335,9,3)/Basis!$E$3,0.5)</f>
        <v>55</v>
      </c>
      <c r="F335" s="124" t="s">
        <v>2946</v>
      </c>
      <c r="G335" s="45">
        <f>ROUND((ROUNDDOWN($F335/5,0)*5+1.8)/Basis!$E$3,1)</f>
        <v>4.5999999999999996</v>
      </c>
      <c r="H335" s="120">
        <f>ROUND($P335*Basis!$E$2*((TaH-TrH)/LN(1/µ)/Basis!$E$7)^$N335*$AA$4*Glycol,0)</f>
        <v>4118</v>
      </c>
      <c r="I335" s="83">
        <f>ROUND(H335/(MID($C335,9,3)/Basis!$E$3/Basis!$E$9)*Basis!$E$11,0)</f>
        <v>897</v>
      </c>
      <c r="J335" s="123">
        <f>IF(Basis!$E$1=1,ROUND(H335/((TaH-TrH)*1.163)/3600,3),ROUND(H335/(500*(TaH-TrH)),2))</f>
        <v>0.41</v>
      </c>
      <c r="K335" s="84"/>
      <c r="L335" s="177">
        <f>CHOOSE(Basis!$E$1,((AJ335*(J335*3600/Basis!$E$5)^AK335*(((MID(C335,9,3)*10)-144)/1000)*AL335+AM335*(J335*3600/Basis!$E$5)^2)*0.0098)/Basis!$E$10,((AJ335*(J335/Basis!$E$5)^AK335*(((MID(C335,9,3)*10)-144)/1000)*AL335+AM335*(J335/Basis!$E$5)^2)*0.0098)/Basis!$E$10)</f>
        <v>3.3255875116116919E-2</v>
      </c>
      <c r="M335" s="85"/>
      <c r="N335" s="110">
        <v>1.4379999999999999</v>
      </c>
      <c r="O335" s="74"/>
      <c r="P335" s="73">
        <v>1940</v>
      </c>
      <c r="Q335" s="74"/>
      <c r="R335" s="75"/>
      <c r="S335" s="75"/>
      <c r="T335" s="75"/>
      <c r="U335" s="75"/>
      <c r="V335" s="75"/>
      <c r="W335" s="74"/>
      <c r="X335" s="76"/>
      <c r="Y335" s="76"/>
      <c r="Z335" s="76"/>
      <c r="AA335" s="76"/>
      <c r="AB335" s="76"/>
      <c r="AC335" s="74"/>
      <c r="AD335" s="77"/>
      <c r="AE335" s="77"/>
      <c r="AF335" s="77"/>
      <c r="AG335" s="77"/>
      <c r="AH335" s="77"/>
      <c r="AI335" s="68"/>
      <c r="AJ335" s="213">
        <v>3.9689999999999994E-4</v>
      </c>
      <c r="AK335" s="213">
        <v>1.7345999999999999</v>
      </c>
      <c r="AL335" s="213">
        <v>4</v>
      </c>
      <c r="AM335" s="213">
        <v>5.7428799999999995E-4</v>
      </c>
      <c r="AN335" s="74"/>
      <c r="AO335" s="73"/>
      <c r="AP335" s="73"/>
      <c r="AQ335" s="73"/>
      <c r="AR335" s="73"/>
      <c r="AS335" s="73"/>
      <c r="AT335" s="74"/>
      <c r="AU335" s="47"/>
      <c r="AV335" s="48"/>
    </row>
    <row r="336" spans="1:48" ht="12.75" customHeight="1" x14ac:dyDescent="0.25">
      <c r="A336" s="72" t="s">
        <v>23</v>
      </c>
      <c r="B336" s="43" t="s">
        <v>159</v>
      </c>
      <c r="C336" s="44" t="s">
        <v>486</v>
      </c>
      <c r="D336" s="45">
        <f>MROUND(MID($C336,6,3)/Basis!$E$3,0.5)</f>
        <v>19.5</v>
      </c>
      <c r="E336" s="45">
        <f>MROUND(MID($C336,9,3)/Basis!$E$3,0.5)</f>
        <v>55</v>
      </c>
      <c r="F336" s="124" t="s">
        <v>2944</v>
      </c>
      <c r="G336" s="45">
        <f>ROUND((ROUNDDOWN($F336/5,0)*5+1.8)/Basis!$E$3,1)</f>
        <v>6.6</v>
      </c>
      <c r="H336" s="120">
        <f>ROUND($P336*Basis!$E$2*((TaH-TrH)/LN(1/µ)/Basis!$E$7)^$N336*$AA$4*Glycol,0)</f>
        <v>5266</v>
      </c>
      <c r="I336" s="83">
        <f>ROUND(H336/(MID($C336,9,3)/Basis!$E$3/Basis!$E$9)*Basis!$E$11,0)</f>
        <v>1146</v>
      </c>
      <c r="J336" s="123">
        <f>IF(Basis!$E$1=1,ROUND(H336/((TaH-TrH)*1.163)/3600,3),ROUND(H336/(500*(TaH-TrH)),2))</f>
        <v>0.53</v>
      </c>
      <c r="K336" s="84"/>
      <c r="L336" s="177">
        <f>CHOOSE(Basis!$E$1,((AJ336*(J336*3600/Basis!$E$5)^AK336*(((MID(C336,9,3)*10)-144)/1000)*AL336+AM336*(J336*3600/Basis!$E$5)^2)*0.0098)/Basis!$E$10,((AJ336*(J336/Basis!$E$5)^AK336*(((MID(C336,9,3)*10)-144)/1000)*AL336+AM336*(J336/Basis!$E$5)^2)*0.0098)/Basis!$E$10)</f>
        <v>2.8489234615429151E-2</v>
      </c>
      <c r="M336" s="85"/>
      <c r="N336" s="110">
        <v>1.373</v>
      </c>
      <c r="O336" s="74"/>
      <c r="P336" s="73">
        <v>2428</v>
      </c>
      <c r="Q336" s="74"/>
      <c r="R336" s="75"/>
      <c r="S336" s="75"/>
      <c r="T336" s="75"/>
      <c r="U336" s="75"/>
      <c r="V336" s="75"/>
      <c r="W336" s="74"/>
      <c r="X336" s="76"/>
      <c r="Y336" s="76"/>
      <c r="Z336" s="76"/>
      <c r="AA336" s="76"/>
      <c r="AB336" s="76"/>
      <c r="AC336" s="74"/>
      <c r="AD336" s="77"/>
      <c r="AE336" s="77"/>
      <c r="AF336" s="77"/>
      <c r="AG336" s="77"/>
      <c r="AH336" s="77"/>
      <c r="AI336" s="68"/>
      <c r="AJ336" s="213">
        <v>2.0829999999999999E-4</v>
      </c>
      <c r="AK336" s="213">
        <v>1.724</v>
      </c>
      <c r="AL336" s="213">
        <v>2</v>
      </c>
      <c r="AM336" s="213">
        <v>4.6182900000000003E-4</v>
      </c>
      <c r="AN336" s="74"/>
      <c r="AO336" s="73"/>
      <c r="AP336" s="73"/>
      <c r="AQ336" s="73"/>
      <c r="AR336" s="73"/>
      <c r="AS336" s="73"/>
      <c r="AT336" s="74"/>
      <c r="AU336" s="47"/>
      <c r="AV336" s="48"/>
    </row>
    <row r="337" spans="1:48" ht="12.75" customHeight="1" x14ac:dyDescent="0.25">
      <c r="A337" s="72" t="s">
        <v>23</v>
      </c>
      <c r="B337" s="43" t="s">
        <v>159</v>
      </c>
      <c r="C337" s="44" t="s">
        <v>487</v>
      </c>
      <c r="D337" s="45">
        <f>MROUND(MID($C337,6,3)/Basis!$E$3,0.5)</f>
        <v>19.5</v>
      </c>
      <c r="E337" s="45">
        <f>MROUND(MID($C337,9,3)/Basis!$E$3,0.5)</f>
        <v>55</v>
      </c>
      <c r="F337" s="124" t="s">
        <v>2947</v>
      </c>
      <c r="G337" s="45">
        <f>ROUND((ROUNDDOWN($F337/5,0)*5+1.8)/Basis!$E$3,1)</f>
        <v>6.6</v>
      </c>
      <c r="H337" s="120">
        <f>ROUND($P337*Basis!$E$2*((TaH-TrH)/LN(1/µ)/Basis!$E$7)^$N337*$AA$4*Glycol,0)</f>
        <v>5592</v>
      </c>
      <c r="I337" s="83">
        <f>ROUND(H337/(MID($C337,9,3)/Basis!$E$3/Basis!$E$9)*Basis!$E$11,0)</f>
        <v>1217</v>
      </c>
      <c r="J337" s="123">
        <f>IF(Basis!$E$1=1,ROUND(H337/((TaH-TrH)*1.163)/3600,3),ROUND(H337/(500*(TaH-TrH)),2))</f>
        <v>0.56000000000000005</v>
      </c>
      <c r="K337" s="84"/>
      <c r="L337" s="177">
        <f>CHOOSE(Basis!$E$1,((AJ337*(J337*3600/Basis!$E$5)^AK337*(((MID(C337,9,3)*10)-144)/1000)*AL337+AM337*(J337*3600/Basis!$E$5)^2)*0.0098)/Basis!$E$10,((AJ337*(J337/Basis!$E$5)^AK337*(((MID(C337,9,3)*10)-144)/1000)*AL337+AM337*(J337/Basis!$E$5)^2)*0.0098)/Basis!$E$10)</f>
        <v>8.8203916750662359E-2</v>
      </c>
      <c r="M337" s="85"/>
      <c r="N337" s="109">
        <v>1.464</v>
      </c>
      <c r="O337" s="68"/>
      <c r="P337" s="67">
        <v>2657</v>
      </c>
      <c r="Q337" s="68"/>
      <c r="R337" s="69"/>
      <c r="S337" s="69"/>
      <c r="T337" s="69"/>
      <c r="U337" s="69"/>
      <c r="V337" s="69"/>
      <c r="W337" s="68"/>
      <c r="X337" s="70"/>
      <c r="Y337" s="70"/>
      <c r="Z337" s="70"/>
      <c r="AA337" s="70"/>
      <c r="AB337" s="70"/>
      <c r="AC337" s="68"/>
      <c r="AD337" s="71"/>
      <c r="AE337" s="71"/>
      <c r="AF337" s="71"/>
      <c r="AG337" s="71"/>
      <c r="AH337" s="71"/>
      <c r="AI337" s="68"/>
      <c r="AJ337" s="214">
        <v>2.0829999999999999E-4</v>
      </c>
      <c r="AK337" s="214">
        <v>1.724</v>
      </c>
      <c r="AL337" s="214">
        <v>4</v>
      </c>
      <c r="AM337" s="214">
        <v>1.392796E-3</v>
      </c>
      <c r="AN337" s="68"/>
      <c r="AO337" s="67"/>
      <c r="AP337" s="67"/>
      <c r="AQ337" s="67"/>
      <c r="AR337" s="67"/>
      <c r="AS337" s="67"/>
      <c r="AT337" s="68"/>
      <c r="AU337" s="49"/>
      <c r="AV337" s="50"/>
    </row>
    <row r="338" spans="1:48" ht="12.75" customHeight="1" x14ac:dyDescent="0.25">
      <c r="A338" s="72" t="s">
        <v>23</v>
      </c>
      <c r="B338" s="43" t="s">
        <v>159</v>
      </c>
      <c r="C338" s="44" t="s">
        <v>488</v>
      </c>
      <c r="D338" s="45">
        <f>MROUND(MID($C338,6,3)/Basis!$E$3,0.5)</f>
        <v>19.5</v>
      </c>
      <c r="E338" s="45">
        <f>MROUND(MID($C338,9,3)/Basis!$E$3,0.5)</f>
        <v>55</v>
      </c>
      <c r="F338" s="124" t="s">
        <v>2945</v>
      </c>
      <c r="G338" s="45">
        <f>ROUND((ROUNDDOWN($F338/5,0)*5+1.8)/Basis!$E$3,1)</f>
        <v>8.6</v>
      </c>
      <c r="H338" s="120">
        <f>ROUND($P338*Basis!$E$2*((TaH-TrH)/LN(1/µ)/Basis!$E$7)^$N338*$AA$4*Glycol,0)</f>
        <v>7363</v>
      </c>
      <c r="I338" s="83">
        <f>ROUND(H338/(MID($C338,9,3)/Basis!$E$3/Basis!$E$9)*Basis!$E$11,0)</f>
        <v>1603</v>
      </c>
      <c r="J338" s="123">
        <f>IF(Basis!$E$1=1,ROUND(H338/((TaH-TrH)*1.163)/3600,3),ROUND(H338/(500*(TaH-TrH)),2))</f>
        <v>0.74</v>
      </c>
      <c r="K338" s="84"/>
      <c r="L338" s="177">
        <f>CHOOSE(Basis!$E$1,((AJ338*(J338*3600/Basis!$E$5)^AK338*(((MID(C338,9,3)*10)-144)/1000)*AL338+AM338*(J338*3600/Basis!$E$5)^2)*0.0098)/Basis!$E$10,((AJ338*(J338/Basis!$E$5)^AK338*(((MID(C338,9,3)*10)-144)/1000)*AL338+AM338*(J338/Basis!$E$5)^2)*0.0098)/Basis!$E$10)</f>
        <v>4.190494357011549E-2</v>
      </c>
      <c r="M338" s="85"/>
      <c r="N338" s="109">
        <v>1.373</v>
      </c>
      <c r="O338" s="68"/>
      <c r="P338" s="67">
        <v>3395</v>
      </c>
      <c r="Q338" s="68"/>
      <c r="R338" s="69"/>
      <c r="S338" s="69"/>
      <c r="T338" s="69"/>
      <c r="U338" s="69"/>
      <c r="V338" s="69"/>
      <c r="W338" s="68"/>
      <c r="X338" s="70"/>
      <c r="Y338" s="70"/>
      <c r="Z338" s="70"/>
      <c r="AA338" s="70"/>
      <c r="AB338" s="70"/>
      <c r="AC338" s="68"/>
      <c r="AD338" s="71"/>
      <c r="AE338" s="71"/>
      <c r="AF338" s="71"/>
      <c r="AG338" s="71"/>
      <c r="AH338" s="71"/>
      <c r="AI338" s="68"/>
      <c r="AJ338" s="214">
        <v>1.2760000000000001E-4</v>
      </c>
      <c r="AK338" s="214">
        <v>1.7219</v>
      </c>
      <c r="AL338" s="214">
        <v>2</v>
      </c>
      <c r="AM338" s="214">
        <v>3.76611E-4</v>
      </c>
      <c r="AN338" s="68"/>
      <c r="AO338" s="67"/>
      <c r="AP338" s="67"/>
      <c r="AQ338" s="67"/>
      <c r="AR338" s="67"/>
      <c r="AS338" s="67"/>
      <c r="AT338" s="68"/>
      <c r="AU338" s="49"/>
      <c r="AV338" s="50"/>
    </row>
    <row r="339" spans="1:48" ht="12.75" customHeight="1" x14ac:dyDescent="0.25">
      <c r="A339" s="72" t="s">
        <v>23</v>
      </c>
      <c r="B339" s="43" t="s">
        <v>159</v>
      </c>
      <c r="C339" s="44" t="s">
        <v>489</v>
      </c>
      <c r="D339" s="45">
        <f>MROUND(MID($C339,6,3)/Basis!$E$3,0.5)</f>
        <v>19.5</v>
      </c>
      <c r="E339" s="45">
        <f>MROUND(MID($C339,9,3)/Basis!$E$3,0.5)</f>
        <v>55</v>
      </c>
      <c r="F339" s="124" t="s">
        <v>2948</v>
      </c>
      <c r="G339" s="45">
        <f>ROUND((ROUNDDOWN($F339/5,0)*5+1.8)/Basis!$E$3,1)</f>
        <v>8.6</v>
      </c>
      <c r="H339" s="120">
        <f>ROUND($P339*Basis!$E$2*((TaH-TrH)/LN(1/µ)/Basis!$E$7)^$N339*$AA$4*Glycol,0)</f>
        <v>7556</v>
      </c>
      <c r="I339" s="83">
        <f>ROUND(H339/(MID($C339,9,3)/Basis!$E$3/Basis!$E$9)*Basis!$E$11,0)</f>
        <v>1645</v>
      </c>
      <c r="J339" s="123">
        <f>IF(Basis!$E$1=1,ROUND(H339/((TaH-TrH)*1.163)/3600,3),ROUND(H339/(500*(TaH-TrH)),2))</f>
        <v>0.76</v>
      </c>
      <c r="K339" s="84"/>
      <c r="L339" s="177">
        <f>CHOOSE(Basis!$E$1,((AJ339*(J339*3600/Basis!$E$5)^AK339*(((MID(C339,9,3)*10)-144)/1000)*AL339+AM339*(J339*3600/Basis!$E$5)^2)*0.0098)/Basis!$E$10,((AJ339*(J339/Basis!$E$5)^AK339*(((MID(C339,9,3)*10)-144)/1000)*AL339+AM339*(J339/Basis!$E$5)^2)*0.0098)/Basis!$E$10)</f>
        <v>6.5004052895369688E-2</v>
      </c>
      <c r="M339" s="85"/>
      <c r="N339" s="110">
        <v>1.4850000000000001</v>
      </c>
      <c r="O339" s="74"/>
      <c r="P339" s="73">
        <v>3615</v>
      </c>
      <c r="Q339" s="74"/>
      <c r="R339" s="75"/>
      <c r="S339" s="75"/>
      <c r="T339" s="75"/>
      <c r="U339" s="75"/>
      <c r="V339" s="75"/>
      <c r="W339" s="74"/>
      <c r="X339" s="76"/>
      <c r="Y339" s="76"/>
      <c r="Z339" s="76"/>
      <c r="AA339" s="76"/>
      <c r="AB339" s="76"/>
      <c r="AC339" s="74"/>
      <c r="AD339" s="77"/>
      <c r="AE339" s="77"/>
      <c r="AF339" s="77"/>
      <c r="AG339" s="77"/>
      <c r="AH339" s="77"/>
      <c r="AI339" s="68"/>
      <c r="AJ339" s="213">
        <v>1.2760000000000001E-4</v>
      </c>
      <c r="AK339" s="213">
        <v>1.7219</v>
      </c>
      <c r="AL339" s="213">
        <v>4</v>
      </c>
      <c r="AM339" s="213">
        <v>5.1420100000000005E-4</v>
      </c>
      <c r="AN339" s="74"/>
      <c r="AO339" s="73"/>
      <c r="AP339" s="73"/>
      <c r="AQ339" s="73"/>
      <c r="AR339" s="73"/>
      <c r="AS339" s="73"/>
      <c r="AT339" s="74"/>
      <c r="AU339" s="47"/>
      <c r="AV339" s="48"/>
    </row>
    <row r="340" spans="1:48" ht="12.75" customHeight="1" x14ac:dyDescent="0.25">
      <c r="A340" s="72" t="s">
        <v>23</v>
      </c>
      <c r="B340" s="43" t="s">
        <v>159</v>
      </c>
      <c r="C340" s="44" t="s">
        <v>490</v>
      </c>
      <c r="D340" s="45">
        <f>MROUND(MID($C340,6,3)/Basis!$E$3,0.5)</f>
        <v>19.5</v>
      </c>
      <c r="E340" s="45">
        <f>MROUND(MID($C340,9,3)/Basis!$E$3,0.5)</f>
        <v>63</v>
      </c>
      <c r="F340" s="124" t="s">
        <v>2943</v>
      </c>
      <c r="G340" s="45">
        <f>ROUND((ROUNDDOWN($F340/5,0)*5+1.8)/Basis!$E$3,1)</f>
        <v>4.5999999999999996</v>
      </c>
      <c r="H340" s="120">
        <f>ROUND($P340*Basis!$E$2*((TaH-TrH)/LN(1/µ)/Basis!$E$7)^$N340*$AA$4*Glycol,0)</f>
        <v>3720</v>
      </c>
      <c r="I340" s="83">
        <f>ROUND(H340/(MID($C340,9,3)/Basis!$E$3/Basis!$E$9)*Basis!$E$11,0)</f>
        <v>709</v>
      </c>
      <c r="J340" s="123">
        <f>IF(Basis!$E$1=1,ROUND(H340/((TaH-TrH)*1.163)/3600,3),ROUND(H340/(500*(TaH-TrH)),2))</f>
        <v>0.37</v>
      </c>
      <c r="K340" s="84"/>
      <c r="L340" s="177">
        <f>CHOOSE(Basis!$E$1,((AJ340*(J340*3600/Basis!$E$5)^AK340*(((MID(C340,9,3)*10)-144)/1000)*AL340+AM340*(J340*3600/Basis!$E$5)^2)*0.0098)/Basis!$E$10,((AJ340*(J340/Basis!$E$5)^AK340*(((MID(C340,9,3)*10)-144)/1000)*AL340+AM340*(J340/Basis!$E$5)^2)*0.0098)/Basis!$E$10)</f>
        <v>1.6715495784043289E-2</v>
      </c>
      <c r="M340" s="85"/>
      <c r="N340" s="110">
        <v>1.385</v>
      </c>
      <c r="O340" s="74"/>
      <c r="P340" s="73">
        <v>1722</v>
      </c>
      <c r="Q340" s="74"/>
      <c r="R340" s="75"/>
      <c r="S340" s="75"/>
      <c r="T340" s="75"/>
      <c r="U340" s="75"/>
      <c r="V340" s="75"/>
      <c r="W340" s="74"/>
      <c r="X340" s="76"/>
      <c r="Y340" s="76"/>
      <c r="Z340" s="76"/>
      <c r="AA340" s="76"/>
      <c r="AB340" s="76"/>
      <c r="AC340" s="74"/>
      <c r="AD340" s="77"/>
      <c r="AE340" s="77"/>
      <c r="AF340" s="77"/>
      <c r="AG340" s="77"/>
      <c r="AH340" s="77"/>
      <c r="AI340" s="68"/>
      <c r="AJ340" s="213">
        <v>3.9689999999999994E-4</v>
      </c>
      <c r="AK340" s="213">
        <v>1.7345999999999999</v>
      </c>
      <c r="AL340" s="213">
        <v>2</v>
      </c>
      <c r="AM340" s="213">
        <v>3.6734700000000002E-4</v>
      </c>
      <c r="AN340" s="74"/>
      <c r="AO340" s="73"/>
      <c r="AP340" s="73"/>
      <c r="AQ340" s="73"/>
      <c r="AR340" s="73"/>
      <c r="AS340" s="73"/>
      <c r="AT340" s="74"/>
      <c r="AU340" s="47"/>
      <c r="AV340" s="48"/>
    </row>
    <row r="341" spans="1:48" ht="12.75" customHeight="1" x14ac:dyDescent="0.25">
      <c r="A341" s="72" t="s">
        <v>23</v>
      </c>
      <c r="B341" s="43" t="s">
        <v>159</v>
      </c>
      <c r="C341" s="44" t="s">
        <v>491</v>
      </c>
      <c r="D341" s="45">
        <f>MROUND(MID($C341,6,3)/Basis!$E$3,0.5)</f>
        <v>19.5</v>
      </c>
      <c r="E341" s="45">
        <f>MROUND(MID($C341,9,3)/Basis!$E$3,0.5)</f>
        <v>63</v>
      </c>
      <c r="F341" s="124" t="s">
        <v>2946</v>
      </c>
      <c r="G341" s="45">
        <f>ROUND((ROUNDDOWN($F341/5,0)*5+1.8)/Basis!$E$3,1)</f>
        <v>4.5999999999999996</v>
      </c>
      <c r="H341" s="120">
        <f>ROUND($P341*Basis!$E$2*((TaH-TrH)/LN(1/µ)/Basis!$E$7)^$N341*$AA$4*Glycol,0)</f>
        <v>4708</v>
      </c>
      <c r="I341" s="83">
        <f>ROUND(H341/(MID($C341,9,3)/Basis!$E$3/Basis!$E$9)*Basis!$E$11,0)</f>
        <v>897</v>
      </c>
      <c r="J341" s="123">
        <f>IF(Basis!$E$1=1,ROUND(H341/((TaH-TrH)*1.163)/3600,3),ROUND(H341/(500*(TaH-TrH)),2))</f>
        <v>0.47</v>
      </c>
      <c r="K341" s="84"/>
      <c r="L341" s="177">
        <f>CHOOSE(Basis!$E$1,((AJ341*(J341*3600/Basis!$E$5)^AK341*(((MID(C341,9,3)*10)-144)/1000)*AL341+AM341*(J341*3600/Basis!$E$5)^2)*0.0098)/Basis!$E$10,((AJ341*(J341/Basis!$E$5)^AK341*(((MID(C341,9,3)*10)-144)/1000)*AL341+AM341*(J341/Basis!$E$5)^2)*0.0098)/Basis!$E$10)</f>
        <v>4.6332684983701501E-2</v>
      </c>
      <c r="M341" s="85"/>
      <c r="N341" s="109">
        <v>1.4379999999999999</v>
      </c>
      <c r="O341" s="68"/>
      <c r="P341" s="67">
        <v>2218</v>
      </c>
      <c r="Q341" s="68"/>
      <c r="R341" s="69"/>
      <c r="S341" s="69"/>
      <c r="T341" s="69"/>
      <c r="U341" s="69"/>
      <c r="V341" s="69"/>
      <c r="W341" s="68"/>
      <c r="X341" s="70"/>
      <c r="Y341" s="70"/>
      <c r="Z341" s="70"/>
      <c r="AA341" s="70"/>
      <c r="AB341" s="70"/>
      <c r="AC341" s="68"/>
      <c r="AD341" s="71"/>
      <c r="AE341" s="71"/>
      <c r="AF341" s="71"/>
      <c r="AG341" s="71"/>
      <c r="AH341" s="71"/>
      <c r="AI341" s="68"/>
      <c r="AJ341" s="214">
        <v>3.9689999999999994E-4</v>
      </c>
      <c r="AK341" s="214">
        <v>1.7345999999999999</v>
      </c>
      <c r="AL341" s="214">
        <v>4</v>
      </c>
      <c r="AM341" s="214">
        <v>5.7428799999999995E-4</v>
      </c>
      <c r="AN341" s="68"/>
      <c r="AO341" s="67"/>
      <c r="AP341" s="67"/>
      <c r="AQ341" s="67"/>
      <c r="AR341" s="67"/>
      <c r="AS341" s="67"/>
      <c r="AT341" s="68"/>
      <c r="AU341" s="49"/>
      <c r="AV341" s="50"/>
    </row>
    <row r="342" spans="1:48" ht="12.75" customHeight="1" x14ac:dyDescent="0.25">
      <c r="A342" s="72" t="s">
        <v>23</v>
      </c>
      <c r="B342" s="43" t="s">
        <v>159</v>
      </c>
      <c r="C342" s="44" t="s">
        <v>492</v>
      </c>
      <c r="D342" s="45">
        <f>MROUND(MID($C342,6,3)/Basis!$E$3,0.5)</f>
        <v>19.5</v>
      </c>
      <c r="E342" s="45">
        <f>MROUND(MID($C342,9,3)/Basis!$E$3,0.5)</f>
        <v>63</v>
      </c>
      <c r="F342" s="124" t="s">
        <v>2944</v>
      </c>
      <c r="G342" s="45">
        <f>ROUND((ROUNDDOWN($F342/5,0)*5+1.8)/Basis!$E$3,1)</f>
        <v>6.6</v>
      </c>
      <c r="H342" s="120">
        <f>ROUND($P342*Basis!$E$2*((TaH-TrH)/LN(1/µ)/Basis!$E$7)^$N342*$AA$4*Glycol,0)</f>
        <v>6016</v>
      </c>
      <c r="I342" s="83">
        <f>ROUND(H342/(MID($C342,9,3)/Basis!$E$3/Basis!$E$9)*Basis!$E$11,0)</f>
        <v>1146</v>
      </c>
      <c r="J342" s="123">
        <f>IF(Basis!$E$1=1,ROUND(H342/((TaH-TrH)*1.163)/3600,3),ROUND(H342/(500*(TaH-TrH)),2))</f>
        <v>0.6</v>
      </c>
      <c r="K342" s="84"/>
      <c r="L342" s="177">
        <f>CHOOSE(Basis!$E$1,((AJ342*(J342*3600/Basis!$E$5)^AK342*(((MID(C342,9,3)*10)-144)/1000)*AL342+AM342*(J342*3600/Basis!$E$5)^2)*0.0098)/Basis!$E$10,((AJ342*(J342/Basis!$E$5)^AK342*(((MID(C342,9,3)*10)-144)/1000)*AL342+AM342*(J342/Basis!$E$5)^2)*0.0098)/Basis!$E$10)</f>
        <v>3.7529754792229086E-2</v>
      </c>
      <c r="M342" s="85"/>
      <c r="N342" s="109">
        <v>1.373</v>
      </c>
      <c r="O342" s="68"/>
      <c r="P342" s="67">
        <v>2774</v>
      </c>
      <c r="Q342" s="68"/>
      <c r="R342" s="69"/>
      <c r="S342" s="69"/>
      <c r="T342" s="69"/>
      <c r="U342" s="69"/>
      <c r="V342" s="69"/>
      <c r="W342" s="68"/>
      <c r="X342" s="70"/>
      <c r="Y342" s="70"/>
      <c r="Z342" s="70"/>
      <c r="AA342" s="70"/>
      <c r="AB342" s="70"/>
      <c r="AC342" s="68"/>
      <c r="AD342" s="71"/>
      <c r="AE342" s="71"/>
      <c r="AF342" s="71"/>
      <c r="AG342" s="71"/>
      <c r="AH342" s="71"/>
      <c r="AI342" s="68"/>
      <c r="AJ342" s="214">
        <v>2.0829999999999999E-4</v>
      </c>
      <c r="AK342" s="214">
        <v>1.724</v>
      </c>
      <c r="AL342" s="214">
        <v>2</v>
      </c>
      <c r="AM342" s="214">
        <v>4.6182900000000003E-4</v>
      </c>
      <c r="AN342" s="68"/>
      <c r="AO342" s="67"/>
      <c r="AP342" s="67"/>
      <c r="AQ342" s="67"/>
      <c r="AR342" s="67"/>
      <c r="AS342" s="67"/>
      <c r="AT342" s="68"/>
      <c r="AU342" s="49"/>
      <c r="AV342" s="50"/>
    </row>
    <row r="343" spans="1:48" ht="12.75" customHeight="1" x14ac:dyDescent="0.25">
      <c r="A343" s="72" t="s">
        <v>23</v>
      </c>
      <c r="B343" s="43" t="s">
        <v>159</v>
      </c>
      <c r="C343" s="44" t="s">
        <v>493</v>
      </c>
      <c r="D343" s="45">
        <f>MROUND(MID($C343,6,3)/Basis!$E$3,0.5)</f>
        <v>19.5</v>
      </c>
      <c r="E343" s="45">
        <f>MROUND(MID($C343,9,3)/Basis!$E$3,0.5)</f>
        <v>63</v>
      </c>
      <c r="F343" s="124" t="s">
        <v>2947</v>
      </c>
      <c r="G343" s="45">
        <f>ROUND((ROUNDDOWN($F343/5,0)*5+1.8)/Basis!$E$3,1)</f>
        <v>6.6</v>
      </c>
      <c r="H343" s="120">
        <f>ROUND($P343*Basis!$E$2*((TaH-TrH)/LN(1/µ)/Basis!$E$7)^$N343*$AA$4*Glycol,0)</f>
        <v>6392</v>
      </c>
      <c r="I343" s="83">
        <f>ROUND(H343/(MID($C343,9,3)/Basis!$E$3/Basis!$E$9)*Basis!$E$11,0)</f>
        <v>1218</v>
      </c>
      <c r="J343" s="123">
        <f>IF(Basis!$E$1=1,ROUND(H343/((TaH-TrH)*1.163)/3600,3),ROUND(H343/(500*(TaH-TrH)),2))</f>
        <v>0.64</v>
      </c>
      <c r="K343" s="84"/>
      <c r="L343" s="177">
        <f>CHOOSE(Basis!$E$1,((AJ343*(J343*3600/Basis!$E$5)^AK343*(((MID(C343,9,3)*10)-144)/1000)*AL343+AM343*(J343*3600/Basis!$E$5)^2)*0.0098)/Basis!$E$10,((AJ343*(J343/Basis!$E$5)^AK343*(((MID(C343,9,3)*10)-144)/1000)*AL343+AM343*(J343/Basis!$E$5)^2)*0.0098)/Basis!$E$10)</f>
        <v>0.11743136085730375</v>
      </c>
      <c r="M343" s="85"/>
      <c r="N343" s="110">
        <v>1.464</v>
      </c>
      <c r="O343" s="74"/>
      <c r="P343" s="73">
        <v>3037</v>
      </c>
      <c r="Q343" s="74"/>
      <c r="R343" s="75"/>
      <c r="S343" s="75"/>
      <c r="T343" s="75"/>
      <c r="U343" s="75"/>
      <c r="V343" s="75"/>
      <c r="W343" s="74"/>
      <c r="X343" s="76"/>
      <c r="Y343" s="76"/>
      <c r="Z343" s="76"/>
      <c r="AA343" s="76"/>
      <c r="AB343" s="76"/>
      <c r="AC343" s="74"/>
      <c r="AD343" s="77"/>
      <c r="AE343" s="77"/>
      <c r="AF343" s="77"/>
      <c r="AG343" s="77"/>
      <c r="AH343" s="77"/>
      <c r="AI343" s="68"/>
      <c r="AJ343" s="213">
        <v>2.0829999999999999E-4</v>
      </c>
      <c r="AK343" s="213">
        <v>1.724</v>
      </c>
      <c r="AL343" s="213">
        <v>4</v>
      </c>
      <c r="AM343" s="213">
        <v>1.392796E-3</v>
      </c>
      <c r="AN343" s="74"/>
      <c r="AO343" s="73"/>
      <c r="AP343" s="73"/>
      <c r="AQ343" s="73"/>
      <c r="AR343" s="73"/>
      <c r="AS343" s="73"/>
      <c r="AT343" s="74"/>
      <c r="AU343" s="47"/>
      <c r="AV343" s="48"/>
    </row>
    <row r="344" spans="1:48" ht="12.75" customHeight="1" x14ac:dyDescent="0.25">
      <c r="A344" s="72" t="s">
        <v>23</v>
      </c>
      <c r="B344" s="43" t="s">
        <v>159</v>
      </c>
      <c r="C344" s="44" t="s">
        <v>494</v>
      </c>
      <c r="D344" s="45">
        <f>MROUND(MID($C344,6,3)/Basis!$E$3,0.5)</f>
        <v>19.5</v>
      </c>
      <c r="E344" s="45">
        <f>MROUND(MID($C344,9,3)/Basis!$E$3,0.5)</f>
        <v>63</v>
      </c>
      <c r="F344" s="124" t="s">
        <v>2945</v>
      </c>
      <c r="G344" s="45">
        <f>ROUND((ROUNDDOWN($F344/5,0)*5+1.8)/Basis!$E$3,1)</f>
        <v>8.6</v>
      </c>
      <c r="H344" s="120">
        <f>ROUND($P344*Basis!$E$2*((TaH-TrH)/LN(1/µ)/Basis!$E$7)^$N344*$AA$4*Glycol,0)</f>
        <v>8415</v>
      </c>
      <c r="I344" s="83">
        <f>ROUND(H344/(MID($C344,9,3)/Basis!$E$3/Basis!$E$9)*Basis!$E$11,0)</f>
        <v>1603</v>
      </c>
      <c r="J344" s="123">
        <f>IF(Basis!$E$1=1,ROUND(H344/((TaH-TrH)*1.163)/3600,3),ROUND(H344/(500*(TaH-TrH)),2))</f>
        <v>0.84</v>
      </c>
      <c r="K344" s="84"/>
      <c r="L344" s="177">
        <f>CHOOSE(Basis!$E$1,((AJ344*(J344*3600/Basis!$E$5)^AK344*(((MID(C344,9,3)*10)-144)/1000)*AL344+AM344*(J344*3600/Basis!$E$5)^2)*0.0098)/Basis!$E$10,((AJ344*(J344/Basis!$E$5)^AK344*(((MID(C344,9,3)*10)-144)/1000)*AL344+AM344*(J344/Basis!$E$5)^2)*0.0098)/Basis!$E$10)</f>
        <v>5.5088338720495358E-2</v>
      </c>
      <c r="M344" s="85"/>
      <c r="N344" s="110">
        <v>1.373</v>
      </c>
      <c r="O344" s="74"/>
      <c r="P344" s="73">
        <v>3880</v>
      </c>
      <c r="Q344" s="74"/>
      <c r="R344" s="75"/>
      <c r="S344" s="75"/>
      <c r="T344" s="75"/>
      <c r="U344" s="75"/>
      <c r="V344" s="75"/>
      <c r="W344" s="74"/>
      <c r="X344" s="76"/>
      <c r="Y344" s="76"/>
      <c r="Z344" s="76"/>
      <c r="AA344" s="76"/>
      <c r="AB344" s="76"/>
      <c r="AC344" s="74"/>
      <c r="AD344" s="77"/>
      <c r="AE344" s="77"/>
      <c r="AF344" s="77"/>
      <c r="AG344" s="77"/>
      <c r="AH344" s="77"/>
      <c r="AI344" s="68"/>
      <c r="AJ344" s="213">
        <v>1.2760000000000001E-4</v>
      </c>
      <c r="AK344" s="213">
        <v>1.7219</v>
      </c>
      <c r="AL344" s="213">
        <v>2</v>
      </c>
      <c r="AM344" s="213">
        <v>3.76611E-4</v>
      </c>
      <c r="AN344" s="74"/>
      <c r="AO344" s="73"/>
      <c r="AP344" s="73"/>
      <c r="AQ344" s="73"/>
      <c r="AR344" s="73"/>
      <c r="AS344" s="73"/>
      <c r="AT344" s="74"/>
      <c r="AU344" s="47"/>
      <c r="AV344" s="48"/>
    </row>
    <row r="345" spans="1:48" ht="12.75" customHeight="1" x14ac:dyDescent="0.25">
      <c r="A345" s="72" t="s">
        <v>23</v>
      </c>
      <c r="B345" s="43" t="s">
        <v>159</v>
      </c>
      <c r="C345" s="44" t="s">
        <v>495</v>
      </c>
      <c r="D345" s="45">
        <f>MROUND(MID($C345,6,3)/Basis!$E$3,0.5)</f>
        <v>19.5</v>
      </c>
      <c r="E345" s="45">
        <f>MROUND(MID($C345,9,3)/Basis!$E$3,0.5)</f>
        <v>63</v>
      </c>
      <c r="F345" s="124" t="s">
        <v>2948</v>
      </c>
      <c r="G345" s="45">
        <f>ROUND((ROUNDDOWN($F345/5,0)*5+1.8)/Basis!$E$3,1)</f>
        <v>8.6</v>
      </c>
      <c r="H345" s="120">
        <f>ROUND($P345*Basis!$E$2*((TaH-TrH)/LN(1/µ)/Basis!$E$7)^$N345*$AA$4*Glycol,0)</f>
        <v>8634</v>
      </c>
      <c r="I345" s="83">
        <f>ROUND(H345/(MID($C345,9,3)/Basis!$E$3/Basis!$E$9)*Basis!$E$11,0)</f>
        <v>1645</v>
      </c>
      <c r="J345" s="123">
        <f>IF(Basis!$E$1=1,ROUND(H345/((TaH-TrH)*1.163)/3600,3),ROUND(H345/(500*(TaH-TrH)),2))</f>
        <v>0.86</v>
      </c>
      <c r="K345" s="84"/>
      <c r="L345" s="177">
        <f>CHOOSE(Basis!$E$1,((AJ345*(J345*3600/Basis!$E$5)^AK345*(((MID(C345,9,3)*10)-144)/1000)*AL345+AM345*(J345*3600/Basis!$E$5)^2)*0.0098)/Basis!$E$10,((AJ345*(J345/Basis!$E$5)^AK345*(((MID(C345,9,3)*10)-144)/1000)*AL345+AM345*(J345/Basis!$E$5)^2)*0.0098)/Basis!$E$10)</f>
        <v>8.55277861726806E-2</v>
      </c>
      <c r="M345" s="85"/>
      <c r="N345" s="109">
        <v>1.4850000000000001</v>
      </c>
      <c r="O345" s="68"/>
      <c r="P345" s="67">
        <v>4131</v>
      </c>
      <c r="Q345" s="68"/>
      <c r="R345" s="69"/>
      <c r="S345" s="69"/>
      <c r="T345" s="69"/>
      <c r="U345" s="69"/>
      <c r="V345" s="69"/>
      <c r="W345" s="68"/>
      <c r="X345" s="70"/>
      <c r="Y345" s="70"/>
      <c r="Z345" s="70"/>
      <c r="AA345" s="70"/>
      <c r="AB345" s="70"/>
      <c r="AC345" s="68"/>
      <c r="AD345" s="71"/>
      <c r="AE345" s="71"/>
      <c r="AF345" s="71"/>
      <c r="AG345" s="71"/>
      <c r="AH345" s="71"/>
      <c r="AI345" s="68"/>
      <c r="AJ345" s="214">
        <v>1.2760000000000001E-4</v>
      </c>
      <c r="AK345" s="214">
        <v>1.7219</v>
      </c>
      <c r="AL345" s="214">
        <v>4</v>
      </c>
      <c r="AM345" s="214">
        <v>5.1420100000000005E-4</v>
      </c>
      <c r="AN345" s="68"/>
      <c r="AO345" s="67"/>
      <c r="AP345" s="67"/>
      <c r="AQ345" s="67"/>
      <c r="AR345" s="67"/>
      <c r="AS345" s="67"/>
      <c r="AT345" s="68"/>
      <c r="AU345" s="49"/>
      <c r="AV345" s="50"/>
    </row>
    <row r="346" spans="1:48" ht="12.75" customHeight="1" x14ac:dyDescent="0.25">
      <c r="A346" s="72" t="s">
        <v>23</v>
      </c>
      <c r="B346" s="43" t="s">
        <v>159</v>
      </c>
      <c r="C346" s="44" t="s">
        <v>496</v>
      </c>
      <c r="D346" s="45">
        <f>MROUND(MID($C346,6,3)/Basis!$E$3,0.5)</f>
        <v>19.5</v>
      </c>
      <c r="E346" s="45">
        <f>MROUND(MID($C346,9,3)/Basis!$E$3,0.5)</f>
        <v>71</v>
      </c>
      <c r="F346" s="124" t="s">
        <v>2943</v>
      </c>
      <c r="G346" s="45">
        <f>ROUND((ROUNDDOWN($F346/5,0)*5+1.8)/Basis!$E$3,1)</f>
        <v>4.5999999999999996</v>
      </c>
      <c r="H346" s="120">
        <f>ROUND($P346*Basis!$E$2*((TaH-TrH)/LN(1/µ)/Basis!$E$7)^$N346*$AA$4*Glycol,0)</f>
        <v>4184</v>
      </c>
      <c r="I346" s="83">
        <f>ROUND(H346/(MID($C346,9,3)/Basis!$E$3/Basis!$E$9)*Basis!$E$11,0)</f>
        <v>708</v>
      </c>
      <c r="J346" s="123">
        <f>IF(Basis!$E$1=1,ROUND(H346/((TaH-TrH)*1.163)/3600,3),ROUND(H346/(500*(TaH-TrH)),2))</f>
        <v>0.42</v>
      </c>
      <c r="K346" s="84"/>
      <c r="L346" s="177">
        <f>CHOOSE(Basis!$E$1,((AJ346*(J346*3600/Basis!$E$5)^AK346*(((MID(C346,9,3)*10)-144)/1000)*AL346+AM346*(J346*3600/Basis!$E$5)^2)*0.0098)/Basis!$E$10,((AJ346*(J346/Basis!$E$5)^AK346*(((MID(C346,9,3)*10)-144)/1000)*AL346+AM346*(J346/Basis!$E$5)^2)*0.0098)/Basis!$E$10)</f>
        <v>2.2596533401072642E-2</v>
      </c>
      <c r="M346" s="85"/>
      <c r="N346" s="109">
        <v>1.385</v>
      </c>
      <c r="O346" s="68"/>
      <c r="P346" s="67">
        <v>1937</v>
      </c>
      <c r="Q346" s="68"/>
      <c r="R346" s="69"/>
      <c r="S346" s="69"/>
      <c r="T346" s="69"/>
      <c r="U346" s="69"/>
      <c r="V346" s="69"/>
      <c r="W346" s="68"/>
      <c r="X346" s="70"/>
      <c r="Y346" s="70"/>
      <c r="Z346" s="70"/>
      <c r="AA346" s="70"/>
      <c r="AB346" s="70"/>
      <c r="AC346" s="68"/>
      <c r="AD346" s="71"/>
      <c r="AE346" s="71"/>
      <c r="AF346" s="71"/>
      <c r="AG346" s="71"/>
      <c r="AH346" s="71"/>
      <c r="AI346" s="68"/>
      <c r="AJ346" s="214">
        <v>3.9689999999999994E-4</v>
      </c>
      <c r="AK346" s="214">
        <v>1.7345999999999999</v>
      </c>
      <c r="AL346" s="214">
        <v>2</v>
      </c>
      <c r="AM346" s="214">
        <v>3.6734700000000002E-4</v>
      </c>
      <c r="AN346" s="68"/>
      <c r="AO346" s="67"/>
      <c r="AP346" s="67"/>
      <c r="AQ346" s="67"/>
      <c r="AR346" s="67"/>
      <c r="AS346" s="67"/>
      <c r="AT346" s="68"/>
      <c r="AU346" s="49"/>
      <c r="AV346" s="50"/>
    </row>
    <row r="347" spans="1:48" ht="12.75" customHeight="1" x14ac:dyDescent="0.25">
      <c r="A347" s="72" t="s">
        <v>23</v>
      </c>
      <c r="B347" s="43" t="s">
        <v>159</v>
      </c>
      <c r="C347" s="44" t="s">
        <v>497</v>
      </c>
      <c r="D347" s="45">
        <f>MROUND(MID($C347,6,3)/Basis!$E$3,0.5)</f>
        <v>19.5</v>
      </c>
      <c r="E347" s="45">
        <f>MROUND(MID($C347,9,3)/Basis!$E$3,0.5)</f>
        <v>71</v>
      </c>
      <c r="F347" s="124" t="s">
        <v>2946</v>
      </c>
      <c r="G347" s="45">
        <f>ROUND((ROUNDDOWN($F347/5,0)*5+1.8)/Basis!$E$3,1)</f>
        <v>4.5999999999999996</v>
      </c>
      <c r="H347" s="120">
        <f>ROUND($P347*Basis!$E$2*((TaH-TrH)/LN(1/µ)/Basis!$E$7)^$N347*$AA$4*Glycol,0)</f>
        <v>5296</v>
      </c>
      <c r="I347" s="83">
        <f>ROUND(H347/(MID($C347,9,3)/Basis!$E$3/Basis!$E$9)*Basis!$E$11,0)</f>
        <v>897</v>
      </c>
      <c r="J347" s="123">
        <f>IF(Basis!$E$1=1,ROUND(H347/((TaH-TrH)*1.163)/3600,3),ROUND(H347/(500*(TaH-TrH)),2))</f>
        <v>0.53</v>
      </c>
      <c r="K347" s="84"/>
      <c r="L347" s="177">
        <f>CHOOSE(Basis!$E$1,((AJ347*(J347*3600/Basis!$E$5)^AK347*(((MID(C347,9,3)*10)-144)/1000)*AL347+AM347*(J347*3600/Basis!$E$5)^2)*0.0098)/Basis!$E$10,((AJ347*(J347/Basis!$E$5)^AK347*(((MID(C347,9,3)*10)-144)/1000)*AL347+AM347*(J347/Basis!$E$5)^2)*0.0098)/Basis!$E$10)</f>
        <v>6.2141088074176155E-2</v>
      </c>
      <c r="M347" s="85"/>
      <c r="N347" s="110">
        <v>1.4379999999999999</v>
      </c>
      <c r="O347" s="74"/>
      <c r="P347" s="73">
        <v>2495</v>
      </c>
      <c r="Q347" s="74"/>
      <c r="R347" s="75"/>
      <c r="S347" s="75"/>
      <c r="T347" s="75"/>
      <c r="U347" s="75"/>
      <c r="V347" s="75"/>
      <c r="W347" s="74"/>
      <c r="X347" s="76"/>
      <c r="Y347" s="76"/>
      <c r="Z347" s="76"/>
      <c r="AA347" s="76"/>
      <c r="AB347" s="76"/>
      <c r="AC347" s="74"/>
      <c r="AD347" s="77"/>
      <c r="AE347" s="77"/>
      <c r="AF347" s="77"/>
      <c r="AG347" s="77"/>
      <c r="AH347" s="77"/>
      <c r="AI347" s="68"/>
      <c r="AJ347" s="213">
        <v>3.9689999999999994E-4</v>
      </c>
      <c r="AK347" s="213">
        <v>1.7345999999999999</v>
      </c>
      <c r="AL347" s="213">
        <v>4</v>
      </c>
      <c r="AM347" s="213">
        <v>5.7428799999999995E-4</v>
      </c>
      <c r="AN347" s="74"/>
      <c r="AO347" s="73"/>
      <c r="AP347" s="73"/>
      <c r="AQ347" s="73"/>
      <c r="AR347" s="73"/>
      <c r="AS347" s="73"/>
      <c r="AT347" s="74"/>
      <c r="AU347" s="47"/>
      <c r="AV347" s="48"/>
    </row>
    <row r="348" spans="1:48" ht="12.75" customHeight="1" x14ac:dyDescent="0.25">
      <c r="A348" s="72" t="s">
        <v>23</v>
      </c>
      <c r="B348" s="43" t="s">
        <v>159</v>
      </c>
      <c r="C348" s="44" t="s">
        <v>498</v>
      </c>
      <c r="D348" s="45">
        <f>MROUND(MID($C348,6,3)/Basis!$E$3,0.5)</f>
        <v>19.5</v>
      </c>
      <c r="E348" s="45">
        <f>MROUND(MID($C348,9,3)/Basis!$E$3,0.5)</f>
        <v>71</v>
      </c>
      <c r="F348" s="124" t="s">
        <v>2944</v>
      </c>
      <c r="G348" s="45">
        <f>ROUND((ROUNDDOWN($F348/5,0)*5+1.8)/Basis!$E$3,1)</f>
        <v>6.6</v>
      </c>
      <c r="H348" s="120">
        <f>ROUND($P348*Basis!$E$2*((TaH-TrH)/LN(1/µ)/Basis!$E$7)^$N348*$AA$4*Glycol,0)</f>
        <v>6769</v>
      </c>
      <c r="I348" s="83">
        <f>ROUND(H348/(MID($C348,9,3)/Basis!$E$3/Basis!$E$9)*Basis!$E$11,0)</f>
        <v>1146</v>
      </c>
      <c r="J348" s="123">
        <f>IF(Basis!$E$1=1,ROUND(H348/((TaH-TrH)*1.163)/3600,3),ROUND(H348/(500*(TaH-TrH)),2))</f>
        <v>0.68</v>
      </c>
      <c r="K348" s="84"/>
      <c r="L348" s="177">
        <f>CHOOSE(Basis!$E$1,((AJ348*(J348*3600/Basis!$E$5)^AK348*(((MID(C348,9,3)*10)-144)/1000)*AL348+AM348*(J348*3600/Basis!$E$5)^2)*0.0098)/Basis!$E$10,((AJ348*(J348/Basis!$E$5)^AK348*(((MID(C348,9,3)*10)-144)/1000)*AL348+AM348*(J348/Basis!$E$5)^2)*0.0098)/Basis!$E$10)</f>
        <v>4.9408115967079523E-2</v>
      </c>
      <c r="M348" s="85"/>
      <c r="N348" s="110">
        <v>1.373</v>
      </c>
      <c r="O348" s="74"/>
      <c r="P348" s="73">
        <v>3121</v>
      </c>
      <c r="Q348" s="74"/>
      <c r="R348" s="75"/>
      <c r="S348" s="75"/>
      <c r="T348" s="75"/>
      <c r="U348" s="75"/>
      <c r="V348" s="75"/>
      <c r="W348" s="74"/>
      <c r="X348" s="76"/>
      <c r="Y348" s="76"/>
      <c r="Z348" s="76"/>
      <c r="AA348" s="76"/>
      <c r="AB348" s="76"/>
      <c r="AC348" s="74"/>
      <c r="AD348" s="77"/>
      <c r="AE348" s="77"/>
      <c r="AF348" s="77"/>
      <c r="AG348" s="77"/>
      <c r="AH348" s="77"/>
      <c r="AI348" s="68"/>
      <c r="AJ348" s="213">
        <v>2.0829999999999999E-4</v>
      </c>
      <c r="AK348" s="213">
        <v>1.724</v>
      </c>
      <c r="AL348" s="213">
        <v>2</v>
      </c>
      <c r="AM348" s="213">
        <v>4.6182900000000003E-4</v>
      </c>
      <c r="AN348" s="74"/>
      <c r="AO348" s="73"/>
      <c r="AP348" s="73"/>
      <c r="AQ348" s="73"/>
      <c r="AR348" s="73"/>
      <c r="AS348" s="73"/>
      <c r="AT348" s="74"/>
      <c r="AU348" s="47"/>
      <c r="AV348" s="48"/>
    </row>
    <row r="349" spans="1:48" ht="12.75" customHeight="1" x14ac:dyDescent="0.25">
      <c r="A349" s="72" t="s">
        <v>23</v>
      </c>
      <c r="B349" s="43" t="s">
        <v>159</v>
      </c>
      <c r="C349" s="44" t="s">
        <v>499</v>
      </c>
      <c r="D349" s="45">
        <f>MROUND(MID($C349,6,3)/Basis!$E$3,0.5)</f>
        <v>19.5</v>
      </c>
      <c r="E349" s="45">
        <f>MROUND(MID($C349,9,3)/Basis!$E$3,0.5)</f>
        <v>71</v>
      </c>
      <c r="F349" s="124" t="s">
        <v>2947</v>
      </c>
      <c r="G349" s="45">
        <f>ROUND((ROUNDDOWN($F349/5,0)*5+1.8)/Basis!$E$3,1)</f>
        <v>6.6</v>
      </c>
      <c r="H349" s="120">
        <f>ROUND($P349*Basis!$E$2*((TaH-TrH)/LN(1/µ)/Basis!$E$7)^$N349*$AA$4*Glycol,0)</f>
        <v>7190</v>
      </c>
      <c r="I349" s="83">
        <f>ROUND(H349/(MID($C349,9,3)/Basis!$E$3/Basis!$E$9)*Basis!$E$11,0)</f>
        <v>1218</v>
      </c>
      <c r="J349" s="123">
        <f>IF(Basis!$E$1=1,ROUND(H349/((TaH-TrH)*1.163)/3600,3),ROUND(H349/(500*(TaH-TrH)),2))</f>
        <v>0.72</v>
      </c>
      <c r="K349" s="84"/>
      <c r="L349" s="177">
        <f>CHOOSE(Basis!$E$1,((AJ349*(J349*3600/Basis!$E$5)^AK349*(((MID(C349,9,3)*10)-144)/1000)*AL349+AM349*(J349*3600/Basis!$E$5)^2)*0.0098)/Basis!$E$10,((AJ349*(J349/Basis!$E$5)^AK349*(((MID(C349,9,3)*10)-144)/1000)*AL349+AM349*(J349/Basis!$E$5)^2)*0.0098)/Basis!$E$10)</f>
        <v>0.15133446693227892</v>
      </c>
      <c r="M349" s="85"/>
      <c r="N349" s="109">
        <v>1.464</v>
      </c>
      <c r="O349" s="68"/>
      <c r="P349" s="67">
        <v>3416</v>
      </c>
      <c r="Q349" s="68"/>
      <c r="R349" s="69"/>
      <c r="S349" s="69"/>
      <c r="T349" s="69"/>
      <c r="U349" s="69"/>
      <c r="V349" s="69"/>
      <c r="W349" s="68"/>
      <c r="X349" s="70"/>
      <c r="Y349" s="70"/>
      <c r="Z349" s="70"/>
      <c r="AA349" s="70"/>
      <c r="AB349" s="70"/>
      <c r="AC349" s="68"/>
      <c r="AD349" s="71"/>
      <c r="AE349" s="71"/>
      <c r="AF349" s="71"/>
      <c r="AG349" s="71"/>
      <c r="AH349" s="71"/>
      <c r="AI349" s="68"/>
      <c r="AJ349" s="214">
        <v>2.0829999999999999E-4</v>
      </c>
      <c r="AK349" s="214">
        <v>1.724</v>
      </c>
      <c r="AL349" s="214">
        <v>4</v>
      </c>
      <c r="AM349" s="214">
        <v>1.392796E-3</v>
      </c>
      <c r="AN349" s="68"/>
      <c r="AO349" s="67"/>
      <c r="AP349" s="67"/>
      <c r="AQ349" s="67"/>
      <c r="AR349" s="67"/>
      <c r="AS349" s="67"/>
      <c r="AT349" s="68"/>
      <c r="AU349" s="49"/>
      <c r="AV349" s="50"/>
    </row>
    <row r="350" spans="1:48" ht="12.75" customHeight="1" x14ac:dyDescent="0.25">
      <c r="A350" s="72" t="s">
        <v>23</v>
      </c>
      <c r="B350" s="43" t="s">
        <v>159</v>
      </c>
      <c r="C350" s="44" t="s">
        <v>500</v>
      </c>
      <c r="D350" s="45">
        <f>MROUND(MID($C350,6,3)/Basis!$E$3,0.5)</f>
        <v>19.5</v>
      </c>
      <c r="E350" s="45">
        <f>MROUND(MID($C350,9,3)/Basis!$E$3,0.5)</f>
        <v>71</v>
      </c>
      <c r="F350" s="124" t="s">
        <v>2945</v>
      </c>
      <c r="G350" s="45">
        <f>ROUND((ROUNDDOWN($F350/5,0)*5+1.8)/Basis!$E$3,1)</f>
        <v>8.6</v>
      </c>
      <c r="H350" s="120">
        <f>ROUND($P350*Basis!$E$2*((TaH-TrH)/LN(1/µ)/Basis!$E$7)^$N350*$AA$4*Glycol,0)</f>
        <v>9467</v>
      </c>
      <c r="I350" s="83">
        <f>ROUND(H350/(MID($C350,9,3)/Basis!$E$3/Basis!$E$9)*Basis!$E$11,0)</f>
        <v>1603</v>
      </c>
      <c r="J350" s="123">
        <f>IF(Basis!$E$1=1,ROUND(H350/((TaH-TrH)*1.163)/3600,3),ROUND(H350/(500*(TaH-TrH)),2))</f>
        <v>0.95</v>
      </c>
      <c r="K350" s="84"/>
      <c r="L350" s="177">
        <f>CHOOSE(Basis!$E$1,((AJ350*(J350*3600/Basis!$E$5)^AK350*(((MID(C350,9,3)*10)-144)/1000)*AL350+AM350*(J350*3600/Basis!$E$5)^2)*0.0098)/Basis!$E$10,((AJ350*(J350/Basis!$E$5)^AK350*(((MID(C350,9,3)*10)-144)/1000)*AL350+AM350*(J350/Basis!$E$5)^2)*0.0098)/Basis!$E$10)</f>
        <v>7.176220730168556E-2</v>
      </c>
      <c r="M350" s="85"/>
      <c r="N350" s="109">
        <v>1.373</v>
      </c>
      <c r="O350" s="68"/>
      <c r="P350" s="67">
        <v>4365</v>
      </c>
      <c r="Q350" s="68"/>
      <c r="R350" s="69"/>
      <c r="S350" s="69"/>
      <c r="T350" s="69"/>
      <c r="U350" s="69"/>
      <c r="V350" s="69"/>
      <c r="W350" s="68"/>
      <c r="X350" s="70"/>
      <c r="Y350" s="70"/>
      <c r="Z350" s="70"/>
      <c r="AA350" s="70"/>
      <c r="AB350" s="70"/>
      <c r="AC350" s="68"/>
      <c r="AD350" s="71"/>
      <c r="AE350" s="71"/>
      <c r="AF350" s="71"/>
      <c r="AG350" s="71"/>
      <c r="AH350" s="71"/>
      <c r="AI350" s="68"/>
      <c r="AJ350" s="214">
        <v>1.2760000000000001E-4</v>
      </c>
      <c r="AK350" s="214">
        <v>1.7219</v>
      </c>
      <c r="AL350" s="214">
        <v>2</v>
      </c>
      <c r="AM350" s="214">
        <v>3.76611E-4</v>
      </c>
      <c r="AN350" s="68"/>
      <c r="AO350" s="67"/>
      <c r="AP350" s="67"/>
      <c r="AQ350" s="67"/>
      <c r="AR350" s="67"/>
      <c r="AS350" s="67"/>
      <c r="AT350" s="68"/>
      <c r="AU350" s="49"/>
      <c r="AV350" s="50"/>
    </row>
    <row r="351" spans="1:48" ht="12.75" customHeight="1" x14ac:dyDescent="0.25">
      <c r="A351" s="72" t="s">
        <v>23</v>
      </c>
      <c r="B351" s="43" t="s">
        <v>159</v>
      </c>
      <c r="C351" s="44" t="s">
        <v>501</v>
      </c>
      <c r="D351" s="45">
        <f>MROUND(MID($C351,6,3)/Basis!$E$3,0.5)</f>
        <v>19.5</v>
      </c>
      <c r="E351" s="45">
        <f>MROUND(MID($C351,9,3)/Basis!$E$3,0.5)</f>
        <v>71</v>
      </c>
      <c r="F351" s="124" t="s">
        <v>2948</v>
      </c>
      <c r="G351" s="45">
        <f>ROUND((ROUNDDOWN($F351/5,0)*5+1.8)/Basis!$E$3,1)</f>
        <v>8.6</v>
      </c>
      <c r="H351" s="120">
        <f>ROUND($P351*Basis!$E$2*((TaH-TrH)/LN(1/µ)/Basis!$E$7)^$N351*$AA$4*Glycol,0)</f>
        <v>9715</v>
      </c>
      <c r="I351" s="83">
        <f>ROUND(H351/(MID($C351,9,3)/Basis!$E$3/Basis!$E$9)*Basis!$E$11,0)</f>
        <v>1645</v>
      </c>
      <c r="J351" s="123">
        <f>IF(Basis!$E$1=1,ROUND(H351/((TaH-TrH)*1.163)/3600,3),ROUND(H351/(500*(TaH-TrH)),2))</f>
        <v>0.97</v>
      </c>
      <c r="K351" s="84"/>
      <c r="L351" s="177">
        <f>CHOOSE(Basis!$E$1,((AJ351*(J351*3600/Basis!$E$5)^AK351*(((MID(C351,9,3)*10)-144)/1000)*AL351+AM351*(J351*3600/Basis!$E$5)^2)*0.0098)/Basis!$E$10,((AJ351*(J351/Basis!$E$5)^AK351*(((MID(C351,9,3)*10)-144)/1000)*AL351+AM351*(J351/Basis!$E$5)^2)*0.0098)/Basis!$E$10)</f>
        <v>0.11152427718998699</v>
      </c>
      <c r="M351" s="85"/>
      <c r="N351" s="110">
        <v>1.4850000000000001</v>
      </c>
      <c r="O351" s="74"/>
      <c r="P351" s="73">
        <v>4648</v>
      </c>
      <c r="Q351" s="74"/>
      <c r="R351" s="75"/>
      <c r="S351" s="75"/>
      <c r="T351" s="75"/>
      <c r="U351" s="75"/>
      <c r="V351" s="75"/>
      <c r="W351" s="74"/>
      <c r="X351" s="76"/>
      <c r="Y351" s="76"/>
      <c r="Z351" s="76"/>
      <c r="AA351" s="76"/>
      <c r="AB351" s="76"/>
      <c r="AC351" s="74"/>
      <c r="AD351" s="77"/>
      <c r="AE351" s="77"/>
      <c r="AF351" s="77"/>
      <c r="AG351" s="77"/>
      <c r="AH351" s="77"/>
      <c r="AI351" s="68"/>
      <c r="AJ351" s="213">
        <v>1.2760000000000001E-4</v>
      </c>
      <c r="AK351" s="213">
        <v>1.7219</v>
      </c>
      <c r="AL351" s="213">
        <v>4</v>
      </c>
      <c r="AM351" s="213">
        <v>5.1420100000000005E-4</v>
      </c>
      <c r="AN351" s="74"/>
      <c r="AO351" s="73"/>
      <c r="AP351" s="73"/>
      <c r="AQ351" s="73"/>
      <c r="AR351" s="73"/>
      <c r="AS351" s="73"/>
      <c r="AT351" s="74"/>
      <c r="AU351" s="47"/>
      <c r="AV351" s="48"/>
    </row>
    <row r="352" spans="1:48" ht="12.75" customHeight="1" x14ac:dyDescent="0.25">
      <c r="A352" s="72" t="s">
        <v>23</v>
      </c>
      <c r="B352" s="43" t="s">
        <v>159</v>
      </c>
      <c r="C352" s="44" t="s">
        <v>502</v>
      </c>
      <c r="D352" s="45">
        <f>MROUND(MID($C352,6,3)/Basis!$E$3,0.5)</f>
        <v>19.5</v>
      </c>
      <c r="E352" s="45">
        <f>MROUND(MID($C352,9,3)/Basis!$E$3,0.5)</f>
        <v>78.5</v>
      </c>
      <c r="F352" s="124" t="s">
        <v>2943</v>
      </c>
      <c r="G352" s="45">
        <f>ROUND((ROUNDDOWN($F352/5,0)*5+1.8)/Basis!$E$3,1)</f>
        <v>4.5999999999999996</v>
      </c>
      <c r="H352" s="120">
        <f>ROUND($P352*Basis!$E$2*((TaH-TrH)/LN(1/µ)/Basis!$E$7)^$N352*$AA$4*Glycol,0)</f>
        <v>4649</v>
      </c>
      <c r="I352" s="83">
        <f>ROUND(H352/(MID($C352,9,3)/Basis!$E$3/Basis!$E$9)*Basis!$E$11,0)</f>
        <v>709</v>
      </c>
      <c r="J352" s="123">
        <f>IF(Basis!$E$1=1,ROUND(H352/((TaH-TrH)*1.163)/3600,3),ROUND(H352/(500*(TaH-TrH)),2))</f>
        <v>0.46</v>
      </c>
      <c r="K352" s="84"/>
      <c r="L352" s="177">
        <f>CHOOSE(Basis!$E$1,((AJ352*(J352*3600/Basis!$E$5)^AK352*(((MID(C352,9,3)*10)-144)/1000)*AL352+AM352*(J352*3600/Basis!$E$5)^2)*0.0098)/Basis!$E$10,((AJ352*(J352/Basis!$E$5)^AK352*(((MID(C352,9,3)*10)-144)/1000)*AL352+AM352*(J352/Basis!$E$5)^2)*0.0098)/Basis!$E$10)</f>
        <v>2.8421620075424408E-2</v>
      </c>
      <c r="M352" s="85"/>
      <c r="N352" s="110">
        <v>1.385</v>
      </c>
      <c r="O352" s="74"/>
      <c r="P352" s="73">
        <v>2152</v>
      </c>
      <c r="Q352" s="74"/>
      <c r="R352" s="75"/>
      <c r="S352" s="75"/>
      <c r="T352" s="75"/>
      <c r="U352" s="75"/>
      <c r="V352" s="75"/>
      <c r="W352" s="74"/>
      <c r="X352" s="76"/>
      <c r="Y352" s="76"/>
      <c r="Z352" s="76"/>
      <c r="AA352" s="76"/>
      <c r="AB352" s="76"/>
      <c r="AC352" s="74"/>
      <c r="AD352" s="77"/>
      <c r="AE352" s="77"/>
      <c r="AF352" s="77"/>
      <c r="AG352" s="77"/>
      <c r="AH352" s="77"/>
      <c r="AI352" s="68"/>
      <c r="AJ352" s="213">
        <v>3.9689999999999994E-4</v>
      </c>
      <c r="AK352" s="213">
        <v>1.7345999999999999</v>
      </c>
      <c r="AL352" s="213">
        <v>2</v>
      </c>
      <c r="AM352" s="213">
        <v>3.6734700000000002E-4</v>
      </c>
      <c r="AN352" s="74"/>
      <c r="AO352" s="73"/>
      <c r="AP352" s="73"/>
      <c r="AQ352" s="73"/>
      <c r="AR352" s="73"/>
      <c r="AS352" s="73"/>
      <c r="AT352" s="74"/>
      <c r="AU352" s="47"/>
      <c r="AV352" s="48"/>
    </row>
    <row r="353" spans="1:48" ht="12.75" customHeight="1" x14ac:dyDescent="0.25">
      <c r="A353" s="72" t="s">
        <v>23</v>
      </c>
      <c r="B353" s="43" t="s">
        <v>159</v>
      </c>
      <c r="C353" s="44" t="s">
        <v>503</v>
      </c>
      <c r="D353" s="45">
        <f>MROUND(MID($C353,6,3)/Basis!$E$3,0.5)</f>
        <v>19.5</v>
      </c>
      <c r="E353" s="45">
        <f>MROUND(MID($C353,9,3)/Basis!$E$3,0.5)</f>
        <v>78.5</v>
      </c>
      <c r="F353" s="124" t="s">
        <v>2946</v>
      </c>
      <c r="G353" s="45">
        <f>ROUND((ROUNDDOWN($F353/5,0)*5+1.8)/Basis!$E$3,1)</f>
        <v>4.5999999999999996</v>
      </c>
      <c r="H353" s="120">
        <f>ROUND($P353*Basis!$E$2*((TaH-TrH)/LN(1/µ)/Basis!$E$7)^$N353*$AA$4*Glycol,0)</f>
        <v>5884</v>
      </c>
      <c r="I353" s="83">
        <f>ROUND(H353/(MID($C353,9,3)/Basis!$E$3/Basis!$E$9)*Basis!$E$11,0)</f>
        <v>897</v>
      </c>
      <c r="J353" s="123">
        <f>IF(Basis!$E$1=1,ROUND(H353/((TaH-TrH)*1.163)/3600,3),ROUND(H353/(500*(TaH-TrH)),2))</f>
        <v>0.59</v>
      </c>
      <c r="K353" s="84"/>
      <c r="L353" s="177">
        <f>CHOOSE(Basis!$E$1,((AJ353*(J353*3600/Basis!$E$5)^AK353*(((MID(C353,9,3)*10)-144)/1000)*AL353+AM353*(J353*3600/Basis!$E$5)^2)*0.0098)/Basis!$E$10,((AJ353*(J353/Basis!$E$5)^AK353*(((MID(C353,9,3)*10)-144)/1000)*AL353+AM353*(J353/Basis!$E$5)^2)*0.0098)/Basis!$E$10)</f>
        <v>8.087377759912287E-2</v>
      </c>
      <c r="M353" s="85"/>
      <c r="N353" s="109">
        <v>1.4379999999999999</v>
      </c>
      <c r="O353" s="68"/>
      <c r="P353" s="67">
        <v>2772</v>
      </c>
      <c r="Q353" s="68"/>
      <c r="R353" s="69"/>
      <c r="S353" s="69"/>
      <c r="T353" s="69"/>
      <c r="U353" s="69"/>
      <c r="V353" s="69"/>
      <c r="W353" s="68"/>
      <c r="X353" s="70"/>
      <c r="Y353" s="70"/>
      <c r="Z353" s="70"/>
      <c r="AA353" s="70"/>
      <c r="AB353" s="70"/>
      <c r="AC353" s="68"/>
      <c r="AD353" s="71"/>
      <c r="AE353" s="71"/>
      <c r="AF353" s="71"/>
      <c r="AG353" s="71"/>
      <c r="AH353" s="71"/>
      <c r="AI353" s="68"/>
      <c r="AJ353" s="214">
        <v>3.9689999999999994E-4</v>
      </c>
      <c r="AK353" s="214">
        <v>1.7345999999999999</v>
      </c>
      <c r="AL353" s="214">
        <v>4</v>
      </c>
      <c r="AM353" s="214">
        <v>5.7428799999999995E-4</v>
      </c>
      <c r="AN353" s="68"/>
      <c r="AO353" s="67"/>
      <c r="AP353" s="67"/>
      <c r="AQ353" s="67"/>
      <c r="AR353" s="67"/>
      <c r="AS353" s="67"/>
      <c r="AT353" s="68"/>
      <c r="AU353" s="49"/>
      <c r="AV353" s="50"/>
    </row>
    <row r="354" spans="1:48" ht="12.75" customHeight="1" x14ac:dyDescent="0.25">
      <c r="A354" s="72" t="s">
        <v>23</v>
      </c>
      <c r="B354" s="43" t="s">
        <v>159</v>
      </c>
      <c r="C354" s="44" t="s">
        <v>504</v>
      </c>
      <c r="D354" s="45">
        <f>MROUND(MID($C354,6,3)/Basis!$E$3,0.5)</f>
        <v>19.5</v>
      </c>
      <c r="E354" s="45">
        <f>MROUND(MID($C354,9,3)/Basis!$E$3,0.5)</f>
        <v>78.5</v>
      </c>
      <c r="F354" s="124" t="s">
        <v>2944</v>
      </c>
      <c r="G354" s="45">
        <f>ROUND((ROUNDDOWN($F354/5,0)*5+1.8)/Basis!$E$3,1)</f>
        <v>6.6</v>
      </c>
      <c r="H354" s="120">
        <f>ROUND($P354*Basis!$E$2*((TaH-TrH)/LN(1/µ)/Basis!$E$7)^$N354*$AA$4*Glycol,0)</f>
        <v>7521</v>
      </c>
      <c r="I354" s="83">
        <f>ROUND(H354/(MID($C354,9,3)/Basis!$E$3/Basis!$E$9)*Basis!$E$11,0)</f>
        <v>1146</v>
      </c>
      <c r="J354" s="123">
        <f>IF(Basis!$E$1=1,ROUND(H354/((TaH-TrH)*1.163)/3600,3),ROUND(H354/(500*(TaH-TrH)),2))</f>
        <v>0.75</v>
      </c>
      <c r="K354" s="84"/>
      <c r="L354" s="177">
        <f>CHOOSE(Basis!$E$1,((AJ354*(J354*3600/Basis!$E$5)^AK354*(((MID(C354,9,3)*10)-144)/1000)*AL354+AM354*(J354*3600/Basis!$E$5)^2)*0.0098)/Basis!$E$10,((AJ354*(J354/Basis!$E$5)^AK354*(((MID(C354,9,3)*10)-144)/1000)*AL354+AM354*(J354/Basis!$E$5)^2)*0.0098)/Basis!$E$10)</f>
        <v>6.1583958819513666E-2</v>
      </c>
      <c r="M354" s="85"/>
      <c r="N354" s="109">
        <v>1.373</v>
      </c>
      <c r="O354" s="68"/>
      <c r="P354" s="67">
        <v>3468</v>
      </c>
      <c r="Q354" s="68"/>
      <c r="R354" s="69"/>
      <c r="S354" s="69"/>
      <c r="T354" s="69"/>
      <c r="U354" s="69"/>
      <c r="V354" s="69"/>
      <c r="W354" s="68"/>
      <c r="X354" s="70"/>
      <c r="Y354" s="70"/>
      <c r="Z354" s="70"/>
      <c r="AA354" s="70"/>
      <c r="AB354" s="70"/>
      <c r="AC354" s="68"/>
      <c r="AD354" s="71"/>
      <c r="AE354" s="71"/>
      <c r="AF354" s="71"/>
      <c r="AG354" s="71"/>
      <c r="AH354" s="71"/>
      <c r="AI354" s="68"/>
      <c r="AJ354" s="214">
        <v>2.0829999999999999E-4</v>
      </c>
      <c r="AK354" s="214">
        <v>1.724</v>
      </c>
      <c r="AL354" s="214">
        <v>2</v>
      </c>
      <c r="AM354" s="214">
        <v>4.6182900000000003E-4</v>
      </c>
      <c r="AN354" s="68"/>
      <c r="AO354" s="67"/>
      <c r="AP354" s="67"/>
      <c r="AQ354" s="67"/>
      <c r="AR354" s="67"/>
      <c r="AS354" s="67"/>
      <c r="AT354" s="68"/>
      <c r="AU354" s="49"/>
      <c r="AV354" s="50"/>
    </row>
    <row r="355" spans="1:48" ht="12.75" customHeight="1" x14ac:dyDescent="0.25">
      <c r="A355" s="72" t="s">
        <v>23</v>
      </c>
      <c r="B355" s="43" t="s">
        <v>159</v>
      </c>
      <c r="C355" s="44" t="s">
        <v>505</v>
      </c>
      <c r="D355" s="45">
        <f>MROUND(MID($C355,6,3)/Basis!$E$3,0.5)</f>
        <v>19.5</v>
      </c>
      <c r="E355" s="45">
        <f>MROUND(MID($C355,9,3)/Basis!$E$3,0.5)</f>
        <v>78.5</v>
      </c>
      <c r="F355" s="124" t="s">
        <v>2947</v>
      </c>
      <c r="G355" s="45">
        <f>ROUND((ROUNDDOWN($F355/5,0)*5+1.8)/Basis!$E$3,1)</f>
        <v>6.6</v>
      </c>
      <c r="H355" s="120">
        <f>ROUND($P355*Basis!$E$2*((TaH-TrH)/LN(1/µ)/Basis!$E$7)^$N355*$AA$4*Glycol,0)</f>
        <v>7989</v>
      </c>
      <c r="I355" s="83">
        <f>ROUND(H355/(MID($C355,9,3)/Basis!$E$3/Basis!$E$9)*Basis!$E$11,0)</f>
        <v>1218</v>
      </c>
      <c r="J355" s="123">
        <f>IF(Basis!$E$1=1,ROUND(H355/((TaH-TrH)*1.163)/3600,3),ROUND(H355/(500*(TaH-TrH)),2))</f>
        <v>0.8</v>
      </c>
      <c r="K355" s="84"/>
      <c r="L355" s="177">
        <f>CHOOSE(Basis!$E$1,((AJ355*(J355*3600/Basis!$E$5)^AK355*(((MID(C355,9,3)*10)-144)/1000)*AL355+AM355*(J355*3600/Basis!$E$5)^2)*0.0098)/Basis!$E$10,((AJ355*(J355/Basis!$E$5)^AK355*(((MID(C355,9,3)*10)-144)/1000)*AL355+AM355*(J355/Basis!$E$5)^2)*0.0098)/Basis!$E$10)</f>
        <v>0.19006682968623015</v>
      </c>
      <c r="M355" s="85"/>
      <c r="N355" s="110">
        <v>1.464</v>
      </c>
      <c r="O355" s="74"/>
      <c r="P355" s="73">
        <v>3796</v>
      </c>
      <c r="Q355" s="74"/>
      <c r="R355" s="75"/>
      <c r="S355" s="75"/>
      <c r="T355" s="75"/>
      <c r="U355" s="75"/>
      <c r="V355" s="75"/>
      <c r="W355" s="74"/>
      <c r="X355" s="76"/>
      <c r="Y355" s="76"/>
      <c r="Z355" s="76"/>
      <c r="AA355" s="76"/>
      <c r="AB355" s="76"/>
      <c r="AC355" s="74"/>
      <c r="AD355" s="77"/>
      <c r="AE355" s="77"/>
      <c r="AF355" s="77"/>
      <c r="AG355" s="77"/>
      <c r="AH355" s="77"/>
      <c r="AI355" s="68"/>
      <c r="AJ355" s="213">
        <v>2.0829999999999999E-4</v>
      </c>
      <c r="AK355" s="213">
        <v>1.724</v>
      </c>
      <c r="AL355" s="213">
        <v>4</v>
      </c>
      <c r="AM355" s="213">
        <v>1.392796E-3</v>
      </c>
      <c r="AN355" s="74"/>
      <c r="AO355" s="73"/>
      <c r="AP355" s="73"/>
      <c r="AQ355" s="73"/>
      <c r="AR355" s="73"/>
      <c r="AS355" s="73"/>
      <c r="AT355" s="74"/>
      <c r="AU355" s="47"/>
      <c r="AV355" s="48"/>
    </row>
    <row r="356" spans="1:48" ht="12.75" customHeight="1" x14ac:dyDescent="0.25">
      <c r="A356" s="72" t="s">
        <v>23</v>
      </c>
      <c r="B356" s="43" t="s">
        <v>159</v>
      </c>
      <c r="C356" s="44" t="s">
        <v>506</v>
      </c>
      <c r="D356" s="45">
        <f>MROUND(MID($C356,6,3)/Basis!$E$3,0.5)</f>
        <v>19.5</v>
      </c>
      <c r="E356" s="45">
        <f>MROUND(MID($C356,9,3)/Basis!$E$3,0.5)</f>
        <v>78.5</v>
      </c>
      <c r="F356" s="124" t="s">
        <v>2945</v>
      </c>
      <c r="G356" s="45">
        <f>ROUND((ROUNDDOWN($F356/5,0)*5+1.8)/Basis!$E$3,1)</f>
        <v>8.6</v>
      </c>
      <c r="H356" s="120">
        <f>ROUND($P356*Basis!$E$2*((TaH-TrH)/LN(1/µ)/Basis!$E$7)^$N356*$AA$4*Glycol,0)</f>
        <v>10519</v>
      </c>
      <c r="I356" s="83">
        <f>ROUND(H356/(MID($C356,9,3)/Basis!$E$3/Basis!$E$9)*Basis!$E$11,0)</f>
        <v>1603</v>
      </c>
      <c r="J356" s="123">
        <f>IF(Basis!$E$1=1,ROUND(H356/((TaH-TrH)*1.163)/3600,3),ROUND(H356/(500*(TaH-TrH)),2))</f>
        <v>1.05</v>
      </c>
      <c r="K356" s="84"/>
      <c r="L356" s="177">
        <f>CHOOSE(Basis!$E$1,((AJ356*(J356*3600/Basis!$E$5)^AK356*(((MID(C356,9,3)*10)-144)/1000)*AL356+AM356*(J356*3600/Basis!$E$5)^2)*0.0098)/Basis!$E$10,((AJ356*(J356/Basis!$E$5)^AK356*(((MID(C356,9,3)*10)-144)/1000)*AL356+AM356*(J356/Basis!$E$5)^2)*0.0098)/Basis!$E$10)</f>
        <v>8.9252134968730135E-2</v>
      </c>
      <c r="M356" s="85"/>
      <c r="N356" s="110">
        <v>1.373</v>
      </c>
      <c r="O356" s="74"/>
      <c r="P356" s="73">
        <v>4850</v>
      </c>
      <c r="Q356" s="74"/>
      <c r="R356" s="75"/>
      <c r="S356" s="75"/>
      <c r="T356" s="75"/>
      <c r="U356" s="75"/>
      <c r="V356" s="75"/>
      <c r="W356" s="74"/>
      <c r="X356" s="76"/>
      <c r="Y356" s="76"/>
      <c r="Z356" s="76"/>
      <c r="AA356" s="76"/>
      <c r="AB356" s="76"/>
      <c r="AC356" s="74"/>
      <c r="AD356" s="77"/>
      <c r="AE356" s="77"/>
      <c r="AF356" s="77"/>
      <c r="AG356" s="77"/>
      <c r="AH356" s="77"/>
      <c r="AI356" s="68"/>
      <c r="AJ356" s="213">
        <v>1.2760000000000001E-4</v>
      </c>
      <c r="AK356" s="213">
        <v>1.7219</v>
      </c>
      <c r="AL356" s="213">
        <v>2</v>
      </c>
      <c r="AM356" s="213">
        <v>3.76611E-4</v>
      </c>
      <c r="AN356" s="74"/>
      <c r="AO356" s="73"/>
      <c r="AP356" s="73"/>
      <c r="AQ356" s="73"/>
      <c r="AR356" s="73"/>
      <c r="AS356" s="73"/>
      <c r="AT356" s="74"/>
      <c r="AU356" s="47"/>
      <c r="AV356" s="48"/>
    </row>
    <row r="357" spans="1:48" ht="12.75" customHeight="1" x14ac:dyDescent="0.25">
      <c r="A357" s="72" t="s">
        <v>23</v>
      </c>
      <c r="B357" s="43" t="s">
        <v>159</v>
      </c>
      <c r="C357" s="44" t="s">
        <v>507</v>
      </c>
      <c r="D357" s="45">
        <f>MROUND(MID($C357,6,3)/Basis!$E$3,0.5)</f>
        <v>19.5</v>
      </c>
      <c r="E357" s="45">
        <f>MROUND(MID($C357,9,3)/Basis!$E$3,0.5)</f>
        <v>78.5</v>
      </c>
      <c r="F357" s="124" t="s">
        <v>2948</v>
      </c>
      <c r="G357" s="45">
        <f>ROUND((ROUNDDOWN($F357/5,0)*5+1.8)/Basis!$E$3,1)</f>
        <v>8.6</v>
      </c>
      <c r="H357" s="120">
        <f>ROUND($P357*Basis!$E$2*((TaH-TrH)/LN(1/µ)/Basis!$E$7)^$N357*$AA$4*Glycol,0)</f>
        <v>10793</v>
      </c>
      <c r="I357" s="83">
        <f>ROUND(H357/(MID($C357,9,3)/Basis!$E$3/Basis!$E$9)*Basis!$E$11,0)</f>
        <v>1645</v>
      </c>
      <c r="J357" s="123">
        <f>IF(Basis!$E$1=1,ROUND(H357/((TaH-TrH)*1.163)/3600,3),ROUND(H357/(500*(TaH-TrH)),2))</f>
        <v>1.08</v>
      </c>
      <c r="K357" s="84"/>
      <c r="L357" s="177">
        <f>CHOOSE(Basis!$E$1,((AJ357*(J357*3600/Basis!$E$5)^AK357*(((MID(C357,9,3)*10)-144)/1000)*AL357+AM357*(J357*3600/Basis!$E$5)^2)*0.0098)/Basis!$E$10,((AJ357*(J357/Basis!$E$5)^AK357*(((MID(C357,9,3)*10)-144)/1000)*AL357+AM357*(J357/Basis!$E$5)^2)*0.0098)/Basis!$E$10)</f>
        <v>0.14150869106102881</v>
      </c>
      <c r="M357" s="85"/>
      <c r="N357" s="109">
        <v>1.4850000000000001</v>
      </c>
      <c r="O357" s="68"/>
      <c r="P357" s="67">
        <v>5164</v>
      </c>
      <c r="Q357" s="68"/>
      <c r="R357" s="69"/>
      <c r="S357" s="69"/>
      <c r="T357" s="69"/>
      <c r="U357" s="69"/>
      <c r="V357" s="69"/>
      <c r="W357" s="68"/>
      <c r="X357" s="70"/>
      <c r="Y357" s="70"/>
      <c r="Z357" s="70"/>
      <c r="AA357" s="70"/>
      <c r="AB357" s="70"/>
      <c r="AC357" s="68"/>
      <c r="AD357" s="71"/>
      <c r="AE357" s="71"/>
      <c r="AF357" s="71"/>
      <c r="AG357" s="71"/>
      <c r="AH357" s="71"/>
      <c r="AI357" s="68"/>
      <c r="AJ357" s="214">
        <v>1.2760000000000001E-4</v>
      </c>
      <c r="AK357" s="214">
        <v>1.7219</v>
      </c>
      <c r="AL357" s="214">
        <v>4</v>
      </c>
      <c r="AM357" s="214">
        <v>5.1420100000000005E-4</v>
      </c>
      <c r="AN357" s="68"/>
      <c r="AO357" s="67"/>
      <c r="AP357" s="67"/>
      <c r="AQ357" s="67"/>
      <c r="AR357" s="67"/>
      <c r="AS357" s="67"/>
      <c r="AT357" s="68"/>
      <c r="AU357" s="49"/>
      <c r="AV357" s="50"/>
    </row>
    <row r="358" spans="1:48" ht="12.75" customHeight="1" x14ac:dyDescent="0.25">
      <c r="A358" s="72" t="s">
        <v>23</v>
      </c>
      <c r="B358" s="43" t="s">
        <v>159</v>
      </c>
      <c r="C358" s="44" t="s">
        <v>508</v>
      </c>
      <c r="D358" s="45">
        <f>MROUND(MID($C358,6,3)/Basis!$E$3,0.5)</f>
        <v>19.5</v>
      </c>
      <c r="E358" s="45">
        <f>MROUND(MID($C358,9,3)/Basis!$E$3,0.5)</f>
        <v>86.5</v>
      </c>
      <c r="F358" s="124" t="s">
        <v>2943</v>
      </c>
      <c r="G358" s="45">
        <f>ROUND((ROUNDDOWN($F358/5,0)*5+1.8)/Basis!$E$3,1)</f>
        <v>4.5999999999999996</v>
      </c>
      <c r="H358" s="120">
        <f>ROUND($P358*Basis!$E$2*((TaH-TrH)/LN(1/µ)/Basis!$E$7)^$N358*$AA$4*Glycol,0)</f>
        <v>5113</v>
      </c>
      <c r="I358" s="83">
        <f>ROUND(H358/(MID($C358,9,3)/Basis!$E$3/Basis!$E$9)*Basis!$E$11,0)</f>
        <v>708</v>
      </c>
      <c r="J358" s="123">
        <f>IF(Basis!$E$1=1,ROUND(H358/((TaH-TrH)*1.163)/3600,3),ROUND(H358/(500*(TaH-TrH)),2))</f>
        <v>0.51</v>
      </c>
      <c r="K358" s="84"/>
      <c r="L358" s="177">
        <f>CHOOSE(Basis!$E$1,((AJ358*(J358*3600/Basis!$E$5)^AK358*(((MID(C358,9,3)*10)-144)/1000)*AL358+AM358*(J358*3600/Basis!$E$5)^2)*0.0098)/Basis!$E$10,((AJ358*(J358/Basis!$E$5)^AK358*(((MID(C358,9,3)*10)-144)/1000)*AL358+AM358*(J358/Basis!$E$5)^2)*0.0098)/Basis!$E$10)</f>
        <v>3.6400875355354453E-2</v>
      </c>
      <c r="M358" s="85"/>
      <c r="N358" s="109">
        <v>1.385</v>
      </c>
      <c r="O358" s="68"/>
      <c r="P358" s="67">
        <v>2367</v>
      </c>
      <c r="Q358" s="68"/>
      <c r="R358" s="69"/>
      <c r="S358" s="69"/>
      <c r="T358" s="69"/>
      <c r="U358" s="69"/>
      <c r="V358" s="69"/>
      <c r="W358" s="68"/>
      <c r="X358" s="70"/>
      <c r="Y358" s="70"/>
      <c r="Z358" s="70"/>
      <c r="AA358" s="70"/>
      <c r="AB358" s="70"/>
      <c r="AC358" s="68"/>
      <c r="AD358" s="71"/>
      <c r="AE358" s="71"/>
      <c r="AF358" s="71"/>
      <c r="AG358" s="71"/>
      <c r="AH358" s="71"/>
      <c r="AI358" s="68"/>
      <c r="AJ358" s="214">
        <v>3.9689999999999994E-4</v>
      </c>
      <c r="AK358" s="214">
        <v>1.7345999999999999</v>
      </c>
      <c r="AL358" s="214">
        <v>2</v>
      </c>
      <c r="AM358" s="214">
        <v>3.6734700000000002E-4</v>
      </c>
      <c r="AN358" s="68"/>
      <c r="AO358" s="67"/>
      <c r="AP358" s="67"/>
      <c r="AQ358" s="67"/>
      <c r="AR358" s="67"/>
      <c r="AS358" s="67"/>
      <c r="AT358" s="68"/>
      <c r="AU358" s="49"/>
      <c r="AV358" s="50"/>
    </row>
    <row r="359" spans="1:48" ht="12.75" customHeight="1" x14ac:dyDescent="0.25">
      <c r="A359" s="72" t="s">
        <v>23</v>
      </c>
      <c r="B359" s="43" t="s">
        <v>159</v>
      </c>
      <c r="C359" s="44" t="s">
        <v>509</v>
      </c>
      <c r="D359" s="45">
        <f>MROUND(MID($C359,6,3)/Basis!$E$3,0.5)</f>
        <v>19.5</v>
      </c>
      <c r="E359" s="45">
        <f>MROUND(MID($C359,9,3)/Basis!$E$3,0.5)</f>
        <v>86.5</v>
      </c>
      <c r="F359" s="124" t="s">
        <v>2946</v>
      </c>
      <c r="G359" s="45">
        <f>ROUND((ROUNDDOWN($F359/5,0)*5+1.8)/Basis!$E$3,1)</f>
        <v>4.5999999999999996</v>
      </c>
      <c r="H359" s="120">
        <f>ROUND($P359*Basis!$E$2*((TaH-TrH)/LN(1/µ)/Basis!$E$7)^$N359*$AA$4*Glycol,0)</f>
        <v>6472</v>
      </c>
      <c r="I359" s="83">
        <f>ROUND(H359/(MID($C359,9,3)/Basis!$E$3/Basis!$E$9)*Basis!$E$11,0)</f>
        <v>897</v>
      </c>
      <c r="J359" s="123">
        <f>IF(Basis!$E$1=1,ROUND(H359/((TaH-TrH)*1.163)/3600,3),ROUND(H359/(500*(TaH-TrH)),2))</f>
        <v>0.65</v>
      </c>
      <c r="K359" s="84"/>
      <c r="L359" s="177">
        <f>CHOOSE(Basis!$E$1,((AJ359*(J359*3600/Basis!$E$5)^AK359*(((MID(C359,9,3)*10)-144)/1000)*AL359+AM359*(J359*3600/Basis!$E$5)^2)*0.0098)/Basis!$E$10,((AJ359*(J359/Basis!$E$5)^AK359*(((MID(C359,9,3)*10)-144)/1000)*AL359+AM359*(J359/Basis!$E$5)^2)*0.0098)/Basis!$E$10)</f>
        <v>0.10271758433855374</v>
      </c>
      <c r="M359" s="85"/>
      <c r="N359" s="110">
        <v>1.4379999999999999</v>
      </c>
      <c r="O359" s="74"/>
      <c r="P359" s="73">
        <v>3049</v>
      </c>
      <c r="Q359" s="74"/>
      <c r="R359" s="75"/>
      <c r="S359" s="75"/>
      <c r="T359" s="75"/>
      <c r="U359" s="75"/>
      <c r="V359" s="75"/>
      <c r="W359" s="74"/>
      <c r="X359" s="76"/>
      <c r="Y359" s="76"/>
      <c r="Z359" s="76"/>
      <c r="AA359" s="76"/>
      <c r="AB359" s="76"/>
      <c r="AC359" s="74"/>
      <c r="AD359" s="77"/>
      <c r="AE359" s="77"/>
      <c r="AF359" s="77"/>
      <c r="AG359" s="77"/>
      <c r="AH359" s="77"/>
      <c r="AI359" s="68"/>
      <c r="AJ359" s="213">
        <v>3.9689999999999994E-4</v>
      </c>
      <c r="AK359" s="213">
        <v>1.7345999999999999</v>
      </c>
      <c r="AL359" s="213">
        <v>4</v>
      </c>
      <c r="AM359" s="213">
        <v>5.7428799999999995E-4</v>
      </c>
      <c r="AN359" s="74"/>
      <c r="AO359" s="73"/>
      <c r="AP359" s="73"/>
      <c r="AQ359" s="73"/>
      <c r="AR359" s="73"/>
      <c r="AS359" s="73"/>
      <c r="AT359" s="74"/>
      <c r="AU359" s="47"/>
      <c r="AV359" s="48"/>
    </row>
    <row r="360" spans="1:48" ht="12.75" customHeight="1" x14ac:dyDescent="0.25">
      <c r="A360" s="72" t="s">
        <v>23</v>
      </c>
      <c r="B360" s="43" t="s">
        <v>159</v>
      </c>
      <c r="C360" s="44" t="s">
        <v>510</v>
      </c>
      <c r="D360" s="45">
        <f>MROUND(MID($C360,6,3)/Basis!$E$3,0.5)</f>
        <v>19.5</v>
      </c>
      <c r="E360" s="45">
        <f>MROUND(MID($C360,9,3)/Basis!$E$3,0.5)</f>
        <v>86.5</v>
      </c>
      <c r="F360" s="124" t="s">
        <v>2944</v>
      </c>
      <c r="G360" s="45">
        <f>ROUND((ROUNDDOWN($F360/5,0)*5+1.8)/Basis!$E$3,1)</f>
        <v>6.6</v>
      </c>
      <c r="H360" s="120">
        <f>ROUND($P360*Basis!$E$2*((TaH-TrH)/LN(1/µ)/Basis!$E$7)^$N360*$AA$4*Glycol,0)</f>
        <v>8274</v>
      </c>
      <c r="I360" s="83">
        <f>ROUND(H360/(MID($C360,9,3)/Basis!$E$3/Basis!$E$9)*Basis!$E$11,0)</f>
        <v>1146</v>
      </c>
      <c r="J360" s="123">
        <f>IF(Basis!$E$1=1,ROUND(H360/((TaH-TrH)*1.163)/3600,3),ROUND(H360/(500*(TaH-TrH)),2))</f>
        <v>0.83</v>
      </c>
      <c r="K360" s="84"/>
      <c r="L360" s="177">
        <f>CHOOSE(Basis!$E$1,((AJ360*(J360*3600/Basis!$E$5)^AK360*(((MID(C360,9,3)*10)-144)/1000)*AL360+AM360*(J360*3600/Basis!$E$5)^2)*0.0098)/Basis!$E$10,((AJ360*(J360/Basis!$E$5)^AK360*(((MID(C360,9,3)*10)-144)/1000)*AL360+AM360*(J360/Basis!$E$5)^2)*0.0098)/Basis!$E$10)</f>
        <v>7.710240082934039E-2</v>
      </c>
      <c r="M360" s="85"/>
      <c r="N360" s="110">
        <v>1.373</v>
      </c>
      <c r="O360" s="74"/>
      <c r="P360" s="73">
        <v>3815</v>
      </c>
      <c r="Q360" s="74"/>
      <c r="R360" s="75"/>
      <c r="S360" s="75"/>
      <c r="T360" s="75"/>
      <c r="U360" s="75"/>
      <c r="V360" s="75"/>
      <c r="W360" s="74"/>
      <c r="X360" s="76"/>
      <c r="Y360" s="76"/>
      <c r="Z360" s="76"/>
      <c r="AA360" s="76"/>
      <c r="AB360" s="76"/>
      <c r="AC360" s="74"/>
      <c r="AD360" s="77"/>
      <c r="AE360" s="77"/>
      <c r="AF360" s="77"/>
      <c r="AG360" s="77"/>
      <c r="AH360" s="77"/>
      <c r="AI360" s="68"/>
      <c r="AJ360" s="213">
        <v>2.0829999999999999E-4</v>
      </c>
      <c r="AK360" s="213">
        <v>1.724</v>
      </c>
      <c r="AL360" s="213">
        <v>2</v>
      </c>
      <c r="AM360" s="213">
        <v>4.6182900000000003E-4</v>
      </c>
      <c r="AN360" s="74"/>
      <c r="AO360" s="73"/>
      <c r="AP360" s="73"/>
      <c r="AQ360" s="73"/>
      <c r="AR360" s="73"/>
      <c r="AS360" s="73"/>
      <c r="AT360" s="74"/>
      <c r="AU360" s="47"/>
      <c r="AV360" s="48"/>
    </row>
    <row r="361" spans="1:48" ht="12.75" customHeight="1" x14ac:dyDescent="0.25">
      <c r="A361" s="72" t="s">
        <v>23</v>
      </c>
      <c r="B361" s="43" t="s">
        <v>159</v>
      </c>
      <c r="C361" s="44" t="s">
        <v>511</v>
      </c>
      <c r="D361" s="45">
        <f>MROUND(MID($C361,6,3)/Basis!$E$3,0.5)</f>
        <v>19.5</v>
      </c>
      <c r="E361" s="45">
        <f>MROUND(MID($C361,9,3)/Basis!$E$3,0.5)</f>
        <v>86.5</v>
      </c>
      <c r="F361" s="124" t="s">
        <v>2947</v>
      </c>
      <c r="G361" s="45">
        <f>ROUND((ROUNDDOWN($F361/5,0)*5+1.8)/Basis!$E$3,1)</f>
        <v>6.6</v>
      </c>
      <c r="H361" s="120">
        <f>ROUND($P361*Basis!$E$2*((TaH-TrH)/LN(1/µ)/Basis!$E$7)^$N361*$AA$4*Glycol,0)</f>
        <v>8789</v>
      </c>
      <c r="I361" s="83">
        <f>ROUND(H361/(MID($C361,9,3)/Basis!$E$3/Basis!$E$9)*Basis!$E$11,0)</f>
        <v>1218</v>
      </c>
      <c r="J361" s="123">
        <f>IF(Basis!$E$1=1,ROUND(H361/((TaH-TrH)*1.163)/3600,3),ROUND(H361/(500*(TaH-TrH)),2))</f>
        <v>0.88</v>
      </c>
      <c r="K361" s="84"/>
      <c r="L361" s="177">
        <f>CHOOSE(Basis!$E$1,((AJ361*(J361*3600/Basis!$E$5)^AK361*(((MID(C361,9,3)*10)-144)/1000)*AL361+AM361*(J361*3600/Basis!$E$5)^2)*0.0098)/Basis!$E$10,((AJ361*(J361/Basis!$E$5)^AK361*(((MID(C361,9,3)*10)-144)/1000)*AL361+AM361*(J361/Basis!$E$5)^2)*0.0098)/Basis!$E$10)</f>
        <v>0.23377724708746453</v>
      </c>
      <c r="M361" s="85"/>
      <c r="N361" s="109">
        <v>1.464</v>
      </c>
      <c r="O361" s="68"/>
      <c r="P361" s="67">
        <v>4176</v>
      </c>
      <c r="Q361" s="68"/>
      <c r="R361" s="69"/>
      <c r="S361" s="69"/>
      <c r="T361" s="69"/>
      <c r="U361" s="69"/>
      <c r="V361" s="69"/>
      <c r="W361" s="68"/>
      <c r="X361" s="70"/>
      <c r="Y361" s="70"/>
      <c r="Z361" s="70"/>
      <c r="AA361" s="70"/>
      <c r="AB361" s="70"/>
      <c r="AC361" s="68"/>
      <c r="AD361" s="71"/>
      <c r="AE361" s="71"/>
      <c r="AF361" s="71"/>
      <c r="AG361" s="71"/>
      <c r="AH361" s="71"/>
      <c r="AI361" s="68"/>
      <c r="AJ361" s="214">
        <v>2.0829999999999999E-4</v>
      </c>
      <c r="AK361" s="214">
        <v>1.724</v>
      </c>
      <c r="AL361" s="214">
        <v>4</v>
      </c>
      <c r="AM361" s="214">
        <v>1.392796E-3</v>
      </c>
      <c r="AN361" s="68"/>
      <c r="AO361" s="67"/>
      <c r="AP361" s="67"/>
      <c r="AQ361" s="67"/>
      <c r="AR361" s="67"/>
      <c r="AS361" s="67"/>
      <c r="AT361" s="68"/>
      <c r="AU361" s="49"/>
      <c r="AV361" s="50"/>
    </row>
    <row r="362" spans="1:48" ht="12.75" customHeight="1" x14ac:dyDescent="0.25">
      <c r="A362" s="72" t="s">
        <v>23</v>
      </c>
      <c r="B362" s="43" t="s">
        <v>159</v>
      </c>
      <c r="C362" s="44" t="s">
        <v>512</v>
      </c>
      <c r="D362" s="45">
        <f>MROUND(MID($C362,6,3)/Basis!$E$3,0.5)</f>
        <v>19.5</v>
      </c>
      <c r="E362" s="45">
        <f>MROUND(MID($C362,9,3)/Basis!$E$3,0.5)</f>
        <v>86.5</v>
      </c>
      <c r="F362" s="124" t="s">
        <v>2945</v>
      </c>
      <c r="G362" s="45">
        <f>ROUND((ROUNDDOWN($F362/5,0)*5+1.8)/Basis!$E$3,1)</f>
        <v>8.6</v>
      </c>
      <c r="H362" s="120">
        <f>ROUND($P362*Basis!$E$2*((TaH-TrH)/LN(1/µ)/Basis!$E$7)^$N362*$AA$4*Glycol,0)</f>
        <v>11571</v>
      </c>
      <c r="I362" s="83">
        <f>ROUND(H362/(MID($C362,9,3)/Basis!$E$3/Basis!$E$9)*Basis!$E$11,0)</f>
        <v>1603</v>
      </c>
      <c r="J362" s="123">
        <f>IF(Basis!$E$1=1,ROUND(H362/((TaH-TrH)*1.163)/3600,3),ROUND(H362/(500*(TaH-TrH)),2))</f>
        <v>1.1599999999999999</v>
      </c>
      <c r="K362" s="84"/>
      <c r="L362" s="177">
        <f>CHOOSE(Basis!$E$1,((AJ362*(J362*3600/Basis!$E$5)^AK362*(((MID(C362,9,3)*10)-144)/1000)*AL362+AM362*(J362*3600/Basis!$E$5)^2)*0.0098)/Basis!$E$10,((AJ362*(J362/Basis!$E$5)^AK362*(((MID(C362,9,3)*10)-144)/1000)*AL362+AM362*(J362/Basis!$E$5)^2)*0.0098)/Basis!$E$10)</f>
        <v>0.11074963722301349</v>
      </c>
      <c r="M362" s="85"/>
      <c r="N362" s="109">
        <v>1.373</v>
      </c>
      <c r="O362" s="68"/>
      <c r="P362" s="67">
        <v>5335</v>
      </c>
      <c r="Q362" s="68"/>
      <c r="R362" s="69"/>
      <c r="S362" s="69"/>
      <c r="T362" s="69"/>
      <c r="U362" s="69"/>
      <c r="V362" s="69"/>
      <c r="W362" s="68"/>
      <c r="X362" s="70"/>
      <c r="Y362" s="70"/>
      <c r="Z362" s="70"/>
      <c r="AA362" s="70"/>
      <c r="AB362" s="70"/>
      <c r="AC362" s="68"/>
      <c r="AD362" s="71"/>
      <c r="AE362" s="71"/>
      <c r="AF362" s="71"/>
      <c r="AG362" s="71"/>
      <c r="AH362" s="71"/>
      <c r="AI362" s="68"/>
      <c r="AJ362" s="214">
        <v>1.2760000000000001E-4</v>
      </c>
      <c r="AK362" s="214">
        <v>1.7219</v>
      </c>
      <c r="AL362" s="214">
        <v>2</v>
      </c>
      <c r="AM362" s="214">
        <v>3.76611E-4</v>
      </c>
      <c r="AN362" s="68"/>
      <c r="AO362" s="67"/>
      <c r="AP362" s="67"/>
      <c r="AQ362" s="67"/>
      <c r="AR362" s="67"/>
      <c r="AS362" s="67"/>
      <c r="AT362" s="68"/>
      <c r="AU362" s="49"/>
      <c r="AV362" s="50"/>
    </row>
    <row r="363" spans="1:48" ht="12.75" customHeight="1" x14ac:dyDescent="0.25">
      <c r="A363" s="72" t="s">
        <v>23</v>
      </c>
      <c r="B363" s="43" t="s">
        <v>159</v>
      </c>
      <c r="C363" s="44" t="s">
        <v>513</v>
      </c>
      <c r="D363" s="45">
        <f>MROUND(MID($C363,6,3)/Basis!$E$3,0.5)</f>
        <v>19.5</v>
      </c>
      <c r="E363" s="45">
        <f>MROUND(MID($C363,9,3)/Basis!$E$3,0.5)</f>
        <v>86.5</v>
      </c>
      <c r="F363" s="124" t="s">
        <v>2948</v>
      </c>
      <c r="G363" s="45">
        <f>ROUND((ROUNDDOWN($F363/5,0)*5+1.8)/Basis!$E$3,1)</f>
        <v>8.6</v>
      </c>
      <c r="H363" s="120">
        <f>ROUND($P363*Basis!$E$2*((TaH-TrH)/LN(1/µ)/Basis!$E$7)^$N363*$AA$4*Glycol,0)</f>
        <v>11872</v>
      </c>
      <c r="I363" s="83">
        <f>ROUND(H363/(MID($C363,9,3)/Basis!$E$3/Basis!$E$9)*Basis!$E$11,0)</f>
        <v>1645</v>
      </c>
      <c r="J363" s="123">
        <f>IF(Basis!$E$1=1,ROUND(H363/((TaH-TrH)*1.163)/3600,3),ROUND(H363/(500*(TaH-TrH)),2))</f>
        <v>1.19</v>
      </c>
      <c r="K363" s="84"/>
      <c r="L363" s="177">
        <f>CHOOSE(Basis!$E$1,((AJ363*(J363*3600/Basis!$E$5)^AK363*(((MID(C363,9,3)*10)-144)/1000)*AL363+AM363*(J363*3600/Basis!$E$5)^2)*0.0098)/Basis!$E$10,((AJ363*(J363/Basis!$E$5)^AK363*(((MID(C363,9,3)*10)-144)/1000)*AL363+AM363*(J363/Basis!$E$5)^2)*0.0098)/Basis!$E$10)</f>
        <v>0.17563685856570818</v>
      </c>
      <c r="M363" s="85"/>
      <c r="N363" s="110">
        <v>1.4850000000000001</v>
      </c>
      <c r="O363" s="74"/>
      <c r="P363" s="73">
        <v>5680</v>
      </c>
      <c r="Q363" s="74"/>
      <c r="R363" s="75"/>
      <c r="S363" s="75"/>
      <c r="T363" s="75"/>
      <c r="U363" s="75"/>
      <c r="V363" s="75"/>
      <c r="W363" s="74"/>
      <c r="X363" s="76"/>
      <c r="Y363" s="76"/>
      <c r="Z363" s="76"/>
      <c r="AA363" s="76"/>
      <c r="AB363" s="76"/>
      <c r="AC363" s="74"/>
      <c r="AD363" s="77"/>
      <c r="AE363" s="77"/>
      <c r="AF363" s="77"/>
      <c r="AG363" s="77"/>
      <c r="AH363" s="77"/>
      <c r="AI363" s="68"/>
      <c r="AJ363" s="213">
        <v>1.2760000000000001E-4</v>
      </c>
      <c r="AK363" s="213">
        <v>1.7219</v>
      </c>
      <c r="AL363" s="213">
        <v>4</v>
      </c>
      <c r="AM363" s="213">
        <v>5.1420100000000005E-4</v>
      </c>
      <c r="AN363" s="74"/>
      <c r="AO363" s="73"/>
      <c r="AP363" s="73"/>
      <c r="AQ363" s="73"/>
      <c r="AR363" s="73"/>
      <c r="AS363" s="73"/>
      <c r="AT363" s="74"/>
      <c r="AU363" s="47"/>
      <c r="AV363" s="48"/>
    </row>
    <row r="364" spans="1:48" ht="12.75" customHeight="1" x14ac:dyDescent="0.25">
      <c r="A364" s="72" t="s">
        <v>23</v>
      </c>
      <c r="B364" s="43" t="s">
        <v>159</v>
      </c>
      <c r="C364" s="44" t="s">
        <v>514</v>
      </c>
      <c r="D364" s="45">
        <f>MROUND(MID($C364,6,3)/Basis!$E$3,0.5)</f>
        <v>19.5</v>
      </c>
      <c r="E364" s="45">
        <f>MROUND(MID($C364,9,3)/Basis!$E$3,0.5)</f>
        <v>94.5</v>
      </c>
      <c r="F364" s="124" t="s">
        <v>2943</v>
      </c>
      <c r="G364" s="45">
        <f>ROUND((ROUNDDOWN($F364/5,0)*5+1.8)/Basis!$E$3,1)</f>
        <v>4.5999999999999996</v>
      </c>
      <c r="H364" s="120">
        <f>ROUND($P364*Basis!$E$2*((TaH-TrH)/LN(1/µ)/Basis!$E$7)^$N364*$AA$4*Glycol,0)</f>
        <v>5578</v>
      </c>
      <c r="I364" s="83">
        <f>ROUND(H364/(MID($C364,9,3)/Basis!$E$3/Basis!$E$9)*Basis!$E$11,0)</f>
        <v>708</v>
      </c>
      <c r="J364" s="123">
        <f>IF(Basis!$E$1=1,ROUND(H364/((TaH-TrH)*1.163)/3600,3),ROUND(H364/(500*(TaH-TrH)),2))</f>
        <v>0.56000000000000005</v>
      </c>
      <c r="K364" s="84"/>
      <c r="L364" s="177">
        <f>CHOOSE(Basis!$E$1,((AJ364*(J364*3600/Basis!$E$5)^AK364*(((MID(C364,9,3)*10)-144)/1000)*AL364+AM364*(J364*3600/Basis!$E$5)^2)*0.0098)/Basis!$E$10,((AJ364*(J364/Basis!$E$5)^AK364*(((MID(C364,9,3)*10)-144)/1000)*AL364+AM364*(J364/Basis!$E$5)^2)*0.0098)/Basis!$E$10)</f>
        <v>4.5609367140711739E-2</v>
      </c>
      <c r="M364" s="85"/>
      <c r="N364" s="110">
        <v>1.385</v>
      </c>
      <c r="O364" s="74"/>
      <c r="P364" s="73">
        <v>2582</v>
      </c>
      <c r="Q364" s="74"/>
      <c r="R364" s="75"/>
      <c r="S364" s="75"/>
      <c r="T364" s="75"/>
      <c r="U364" s="75"/>
      <c r="V364" s="75"/>
      <c r="W364" s="74"/>
      <c r="X364" s="76"/>
      <c r="Y364" s="76"/>
      <c r="Z364" s="76"/>
      <c r="AA364" s="76"/>
      <c r="AB364" s="76"/>
      <c r="AC364" s="74"/>
      <c r="AD364" s="77"/>
      <c r="AE364" s="77"/>
      <c r="AF364" s="77"/>
      <c r="AG364" s="77"/>
      <c r="AH364" s="77"/>
      <c r="AI364" s="68"/>
      <c r="AJ364" s="213">
        <v>3.9689999999999994E-4</v>
      </c>
      <c r="AK364" s="213">
        <v>1.7345999999999999</v>
      </c>
      <c r="AL364" s="213">
        <v>2</v>
      </c>
      <c r="AM364" s="213">
        <v>3.6734700000000002E-4</v>
      </c>
      <c r="AN364" s="74"/>
      <c r="AO364" s="73"/>
      <c r="AP364" s="73"/>
      <c r="AQ364" s="73"/>
      <c r="AR364" s="73"/>
      <c r="AS364" s="73"/>
      <c r="AT364" s="74"/>
      <c r="AU364" s="47"/>
      <c r="AV364" s="48"/>
    </row>
    <row r="365" spans="1:48" ht="12.75" customHeight="1" x14ac:dyDescent="0.25">
      <c r="A365" s="72" t="s">
        <v>23</v>
      </c>
      <c r="B365" s="43" t="s">
        <v>159</v>
      </c>
      <c r="C365" s="44" t="s">
        <v>515</v>
      </c>
      <c r="D365" s="45">
        <f>MROUND(MID($C365,6,3)/Basis!$E$3,0.5)</f>
        <v>19.5</v>
      </c>
      <c r="E365" s="45">
        <f>MROUND(MID($C365,9,3)/Basis!$E$3,0.5)</f>
        <v>94.5</v>
      </c>
      <c r="F365" s="124" t="s">
        <v>2946</v>
      </c>
      <c r="G365" s="45">
        <f>ROUND((ROUNDDOWN($F365/5,0)*5+1.8)/Basis!$E$3,1)</f>
        <v>4.5999999999999996</v>
      </c>
      <c r="H365" s="120">
        <f>ROUND($P365*Basis!$E$2*((TaH-TrH)/LN(1/µ)/Basis!$E$7)^$N365*$AA$4*Glycol,0)</f>
        <v>7060</v>
      </c>
      <c r="I365" s="83">
        <f>ROUND(H365/(MID($C365,9,3)/Basis!$E$3/Basis!$E$9)*Basis!$E$11,0)</f>
        <v>897</v>
      </c>
      <c r="J365" s="123">
        <f>IF(Basis!$E$1=1,ROUND(H365/((TaH-TrH)*1.163)/3600,3),ROUND(H365/(500*(TaH-TrH)),2))</f>
        <v>0.71</v>
      </c>
      <c r="K365" s="84"/>
      <c r="L365" s="177">
        <f>CHOOSE(Basis!$E$1,((AJ365*(J365*3600/Basis!$E$5)^AK365*(((MID(C365,9,3)*10)-144)/1000)*AL365+AM365*(J365*3600/Basis!$E$5)^2)*0.0098)/Basis!$E$10,((AJ365*(J365/Basis!$E$5)^AK365*(((MID(C365,9,3)*10)-144)/1000)*AL365+AM365*(J365/Basis!$E$5)^2)*0.0098)/Basis!$E$10)</f>
        <v>0.12785424179982532</v>
      </c>
      <c r="M365" s="85"/>
      <c r="N365" s="109">
        <v>1.4379999999999999</v>
      </c>
      <c r="O365" s="68"/>
      <c r="P365" s="67">
        <v>3326</v>
      </c>
      <c r="Q365" s="68"/>
      <c r="R365" s="69"/>
      <c r="S365" s="69"/>
      <c r="T365" s="69"/>
      <c r="U365" s="69"/>
      <c r="V365" s="69"/>
      <c r="W365" s="68"/>
      <c r="X365" s="70"/>
      <c r="Y365" s="70"/>
      <c r="Z365" s="70"/>
      <c r="AA365" s="70"/>
      <c r="AB365" s="70"/>
      <c r="AC365" s="68"/>
      <c r="AD365" s="71"/>
      <c r="AE365" s="71"/>
      <c r="AF365" s="71"/>
      <c r="AG365" s="71"/>
      <c r="AH365" s="71"/>
      <c r="AI365" s="68"/>
      <c r="AJ365" s="214">
        <v>3.9689999999999994E-4</v>
      </c>
      <c r="AK365" s="214">
        <v>1.7345999999999999</v>
      </c>
      <c r="AL365" s="214">
        <v>4</v>
      </c>
      <c r="AM365" s="214">
        <v>5.7428799999999995E-4</v>
      </c>
      <c r="AN365" s="68"/>
      <c r="AO365" s="67"/>
      <c r="AP365" s="67"/>
      <c r="AQ365" s="67"/>
      <c r="AR365" s="67"/>
      <c r="AS365" s="67"/>
      <c r="AT365" s="68"/>
      <c r="AU365" s="49"/>
      <c r="AV365" s="50"/>
    </row>
    <row r="366" spans="1:48" ht="12.75" customHeight="1" x14ac:dyDescent="0.25">
      <c r="A366" s="72" t="s">
        <v>23</v>
      </c>
      <c r="B366" s="43" t="s">
        <v>159</v>
      </c>
      <c r="C366" s="44" t="s">
        <v>516</v>
      </c>
      <c r="D366" s="45">
        <f>MROUND(MID($C366,6,3)/Basis!$E$3,0.5)</f>
        <v>19.5</v>
      </c>
      <c r="E366" s="45">
        <f>MROUND(MID($C366,9,3)/Basis!$E$3,0.5)</f>
        <v>94.5</v>
      </c>
      <c r="F366" s="124" t="s">
        <v>2944</v>
      </c>
      <c r="G366" s="45">
        <f>ROUND((ROUNDDOWN($F366/5,0)*5+1.8)/Basis!$E$3,1)</f>
        <v>6.6</v>
      </c>
      <c r="H366" s="120">
        <f>ROUND($P366*Basis!$E$2*((TaH-TrH)/LN(1/µ)/Basis!$E$7)^$N366*$AA$4*Glycol,0)</f>
        <v>9027</v>
      </c>
      <c r="I366" s="83">
        <f>ROUND(H366/(MID($C366,9,3)/Basis!$E$3/Basis!$E$9)*Basis!$E$11,0)</f>
        <v>1146</v>
      </c>
      <c r="J366" s="123">
        <f>IF(Basis!$E$1=1,ROUND(H366/((TaH-TrH)*1.163)/3600,3),ROUND(H366/(500*(TaH-TrH)),2))</f>
        <v>0.9</v>
      </c>
      <c r="K366" s="84"/>
      <c r="L366" s="177">
        <f>CHOOSE(Basis!$E$1,((AJ366*(J366*3600/Basis!$E$5)^AK366*(((MID(C366,9,3)*10)-144)/1000)*AL366+AM366*(J366*3600/Basis!$E$5)^2)*0.0098)/Basis!$E$10,((AJ366*(J366/Basis!$E$5)^AK366*(((MID(C366,9,3)*10)-144)/1000)*AL366+AM366*(J366/Basis!$E$5)^2)*0.0098)/Basis!$E$10)</f>
        <v>9.2668637111770535E-2</v>
      </c>
      <c r="M366" s="85"/>
      <c r="N366" s="109">
        <v>1.373</v>
      </c>
      <c r="O366" s="68"/>
      <c r="P366" s="67">
        <v>4162</v>
      </c>
      <c r="Q366" s="68"/>
      <c r="R366" s="69"/>
      <c r="S366" s="69"/>
      <c r="T366" s="69"/>
      <c r="U366" s="69"/>
      <c r="V366" s="69"/>
      <c r="W366" s="68"/>
      <c r="X366" s="70"/>
      <c r="Y366" s="70"/>
      <c r="Z366" s="70"/>
      <c r="AA366" s="70"/>
      <c r="AB366" s="70"/>
      <c r="AC366" s="68"/>
      <c r="AD366" s="71"/>
      <c r="AE366" s="71"/>
      <c r="AF366" s="71"/>
      <c r="AG366" s="71"/>
      <c r="AH366" s="71"/>
      <c r="AI366" s="68"/>
      <c r="AJ366" s="214">
        <v>2.0829999999999999E-4</v>
      </c>
      <c r="AK366" s="214">
        <v>1.724</v>
      </c>
      <c r="AL366" s="214">
        <v>2</v>
      </c>
      <c r="AM366" s="214">
        <v>4.6182900000000003E-4</v>
      </c>
      <c r="AN366" s="68"/>
      <c r="AO366" s="67"/>
      <c r="AP366" s="67"/>
      <c r="AQ366" s="67"/>
      <c r="AR366" s="67"/>
      <c r="AS366" s="67"/>
      <c r="AT366" s="68"/>
      <c r="AU366" s="49"/>
      <c r="AV366" s="50"/>
    </row>
    <row r="367" spans="1:48" ht="12.75" customHeight="1" x14ac:dyDescent="0.25">
      <c r="A367" s="72" t="s">
        <v>23</v>
      </c>
      <c r="B367" s="43" t="s">
        <v>159</v>
      </c>
      <c r="C367" s="44" t="s">
        <v>517</v>
      </c>
      <c r="D367" s="45">
        <f>MROUND(MID($C367,6,3)/Basis!$E$3,0.5)</f>
        <v>19.5</v>
      </c>
      <c r="E367" s="45">
        <f>MROUND(MID($C367,9,3)/Basis!$E$3,0.5)</f>
        <v>94.5</v>
      </c>
      <c r="F367" s="124" t="s">
        <v>2947</v>
      </c>
      <c r="G367" s="45">
        <f>ROUND((ROUNDDOWN($F367/5,0)*5+1.8)/Basis!$E$3,1)</f>
        <v>6.6</v>
      </c>
      <c r="H367" s="120">
        <f>ROUND($P367*Basis!$E$2*((TaH-TrH)/LN(1/µ)/Basis!$E$7)^$N367*$AA$4*Glycol,0)</f>
        <v>9587</v>
      </c>
      <c r="I367" s="83">
        <f>ROUND(H367/(MID($C367,9,3)/Basis!$E$3/Basis!$E$9)*Basis!$E$11,0)</f>
        <v>1218</v>
      </c>
      <c r="J367" s="123">
        <f>IF(Basis!$E$1=1,ROUND(H367/((TaH-TrH)*1.163)/3600,3),ROUND(H367/(500*(TaH-TrH)),2))</f>
        <v>0.96</v>
      </c>
      <c r="K367" s="84"/>
      <c r="L367" s="177">
        <f>CHOOSE(Basis!$E$1,((AJ367*(J367*3600/Basis!$E$5)^AK367*(((MID(C367,9,3)*10)-144)/1000)*AL367+AM367*(J367*3600/Basis!$E$5)^2)*0.0098)/Basis!$E$10,((AJ367*(J367/Basis!$E$5)^AK367*(((MID(C367,9,3)*10)-144)/1000)*AL367+AM367*(J367/Basis!$E$5)^2)*0.0098)/Basis!$E$10)</f>
        <v>0.2826103441327466</v>
      </c>
      <c r="M367" s="85"/>
      <c r="N367" s="110">
        <v>1.464</v>
      </c>
      <c r="O367" s="74"/>
      <c r="P367" s="73">
        <v>4555</v>
      </c>
      <c r="Q367" s="74"/>
      <c r="R367" s="75"/>
      <c r="S367" s="75"/>
      <c r="T367" s="75"/>
      <c r="U367" s="75"/>
      <c r="V367" s="75"/>
      <c r="W367" s="74"/>
      <c r="X367" s="76"/>
      <c r="Y367" s="76"/>
      <c r="Z367" s="76"/>
      <c r="AA367" s="76"/>
      <c r="AB367" s="76"/>
      <c r="AC367" s="74"/>
      <c r="AD367" s="77"/>
      <c r="AE367" s="77"/>
      <c r="AF367" s="77"/>
      <c r="AG367" s="77"/>
      <c r="AH367" s="77"/>
      <c r="AI367" s="68"/>
      <c r="AJ367" s="213">
        <v>2.0829999999999999E-4</v>
      </c>
      <c r="AK367" s="213">
        <v>1.724</v>
      </c>
      <c r="AL367" s="213">
        <v>4</v>
      </c>
      <c r="AM367" s="213">
        <v>1.392796E-3</v>
      </c>
      <c r="AN367" s="74"/>
      <c r="AO367" s="73"/>
      <c r="AP367" s="73"/>
      <c r="AQ367" s="73"/>
      <c r="AR367" s="73"/>
      <c r="AS367" s="73"/>
      <c r="AT367" s="74"/>
      <c r="AU367" s="47"/>
      <c r="AV367" s="48"/>
    </row>
    <row r="368" spans="1:48" ht="12.75" customHeight="1" x14ac:dyDescent="0.25">
      <c r="A368" s="72" t="s">
        <v>23</v>
      </c>
      <c r="B368" s="43" t="s">
        <v>159</v>
      </c>
      <c r="C368" s="44" t="s">
        <v>518</v>
      </c>
      <c r="D368" s="45">
        <f>MROUND(MID($C368,6,3)/Basis!$E$3,0.5)</f>
        <v>19.5</v>
      </c>
      <c r="E368" s="45">
        <f>MROUND(MID($C368,9,3)/Basis!$E$3,0.5)</f>
        <v>94.5</v>
      </c>
      <c r="F368" s="124" t="s">
        <v>2945</v>
      </c>
      <c r="G368" s="45">
        <f>ROUND((ROUNDDOWN($F368/5,0)*5+1.8)/Basis!$E$3,1)</f>
        <v>8.6</v>
      </c>
      <c r="H368" s="120">
        <f>ROUND($P368*Basis!$E$2*((TaH-TrH)/LN(1/µ)/Basis!$E$7)^$N368*$AA$4*Glycol,0)</f>
        <v>12623</v>
      </c>
      <c r="I368" s="83">
        <f>ROUND(H368/(MID($C368,9,3)/Basis!$E$3/Basis!$E$9)*Basis!$E$11,0)</f>
        <v>1603</v>
      </c>
      <c r="J368" s="123">
        <f>IF(Basis!$E$1=1,ROUND(H368/((TaH-TrH)*1.163)/3600,3),ROUND(H368/(500*(TaH-TrH)),2))</f>
        <v>1.26</v>
      </c>
      <c r="K368" s="84"/>
      <c r="L368" s="177">
        <f>CHOOSE(Basis!$E$1,((AJ368*(J368*3600/Basis!$E$5)^AK368*(((MID(C368,9,3)*10)-144)/1000)*AL368+AM368*(J368*3600/Basis!$E$5)^2)*0.0098)/Basis!$E$10,((AJ368*(J368/Basis!$E$5)^AK368*(((MID(C368,9,3)*10)-144)/1000)*AL368+AM368*(J368/Basis!$E$5)^2)*0.0098)/Basis!$E$10)</f>
        <v>0.13282423173561977</v>
      </c>
      <c r="M368" s="85"/>
      <c r="N368" s="110">
        <v>1.373</v>
      </c>
      <c r="O368" s="74"/>
      <c r="P368" s="73">
        <v>5820</v>
      </c>
      <c r="Q368" s="74"/>
      <c r="R368" s="75"/>
      <c r="S368" s="75"/>
      <c r="T368" s="75"/>
      <c r="U368" s="75"/>
      <c r="V368" s="75"/>
      <c r="W368" s="74"/>
      <c r="X368" s="76"/>
      <c r="Y368" s="76"/>
      <c r="Z368" s="76"/>
      <c r="AA368" s="76"/>
      <c r="AB368" s="76"/>
      <c r="AC368" s="74"/>
      <c r="AD368" s="77"/>
      <c r="AE368" s="77"/>
      <c r="AF368" s="77"/>
      <c r="AG368" s="77"/>
      <c r="AH368" s="77"/>
      <c r="AI368" s="68"/>
      <c r="AJ368" s="213">
        <v>1.2760000000000001E-4</v>
      </c>
      <c r="AK368" s="213">
        <v>1.7219</v>
      </c>
      <c r="AL368" s="213">
        <v>2</v>
      </c>
      <c r="AM368" s="213">
        <v>3.76611E-4</v>
      </c>
      <c r="AN368" s="74"/>
      <c r="AO368" s="73"/>
      <c r="AP368" s="73"/>
      <c r="AQ368" s="73"/>
      <c r="AR368" s="73"/>
      <c r="AS368" s="73"/>
      <c r="AT368" s="74"/>
      <c r="AU368" s="47"/>
      <c r="AV368" s="48"/>
    </row>
    <row r="369" spans="1:48" ht="12.75" customHeight="1" x14ac:dyDescent="0.25">
      <c r="A369" s="72" t="s">
        <v>23</v>
      </c>
      <c r="B369" s="43" t="s">
        <v>159</v>
      </c>
      <c r="C369" s="44" t="s">
        <v>519</v>
      </c>
      <c r="D369" s="45">
        <f>MROUND(MID($C369,6,3)/Basis!$E$3,0.5)</f>
        <v>19.5</v>
      </c>
      <c r="E369" s="45">
        <f>MROUND(MID($C369,9,3)/Basis!$E$3,0.5)</f>
        <v>94.5</v>
      </c>
      <c r="F369" s="124" t="s">
        <v>2948</v>
      </c>
      <c r="G369" s="45">
        <f>ROUND((ROUNDDOWN($F369/5,0)*5+1.8)/Basis!$E$3,1)</f>
        <v>8.6</v>
      </c>
      <c r="H369" s="120">
        <f>ROUND($P369*Basis!$E$2*((TaH-TrH)/LN(1/µ)/Basis!$E$7)^$N369*$AA$4*Glycol,0)</f>
        <v>12952</v>
      </c>
      <c r="I369" s="83">
        <f>ROUND(H369/(MID($C369,9,3)/Basis!$E$3/Basis!$E$9)*Basis!$E$11,0)</f>
        <v>1645</v>
      </c>
      <c r="J369" s="123">
        <f>IF(Basis!$E$1=1,ROUND(H369/((TaH-TrH)*1.163)/3600,3),ROUND(H369/(500*(TaH-TrH)),2))</f>
        <v>1.3</v>
      </c>
      <c r="K369" s="84"/>
      <c r="L369" s="177">
        <f>CHOOSE(Basis!$E$1,((AJ369*(J369*3600/Basis!$E$5)^AK369*(((MID(C369,9,3)*10)-144)/1000)*AL369+AM369*(J369*3600/Basis!$E$5)^2)*0.0098)/Basis!$E$10,((AJ369*(J369/Basis!$E$5)^AK369*(((MID(C369,9,3)*10)-144)/1000)*AL369+AM369*(J369/Basis!$E$5)^2)*0.0098)/Basis!$E$10)</f>
        <v>0.21406015339317858</v>
      </c>
      <c r="M369" s="85"/>
      <c r="N369" s="109">
        <v>1.4850000000000001</v>
      </c>
      <c r="O369" s="68"/>
      <c r="P369" s="67">
        <v>6197</v>
      </c>
      <c r="Q369" s="68"/>
      <c r="R369" s="69"/>
      <c r="S369" s="69"/>
      <c r="T369" s="69"/>
      <c r="U369" s="69"/>
      <c r="V369" s="69"/>
      <c r="W369" s="68"/>
      <c r="X369" s="70"/>
      <c r="Y369" s="70"/>
      <c r="Z369" s="70"/>
      <c r="AA369" s="70"/>
      <c r="AB369" s="70"/>
      <c r="AC369" s="68"/>
      <c r="AD369" s="71"/>
      <c r="AE369" s="71"/>
      <c r="AF369" s="71"/>
      <c r="AG369" s="71"/>
      <c r="AH369" s="71"/>
      <c r="AI369" s="68"/>
      <c r="AJ369" s="214">
        <v>1.2760000000000001E-4</v>
      </c>
      <c r="AK369" s="214">
        <v>1.7219</v>
      </c>
      <c r="AL369" s="214">
        <v>4</v>
      </c>
      <c r="AM369" s="214">
        <v>5.1420100000000005E-4</v>
      </c>
      <c r="AN369" s="68"/>
      <c r="AO369" s="67"/>
      <c r="AP369" s="67"/>
      <c r="AQ369" s="67"/>
      <c r="AR369" s="67"/>
      <c r="AS369" s="67"/>
      <c r="AT369" s="68"/>
      <c r="AU369" s="49"/>
      <c r="AV369" s="50"/>
    </row>
    <row r="370" spans="1:48" ht="12.75" customHeight="1" x14ac:dyDescent="0.25">
      <c r="A370" s="72" t="s">
        <v>23</v>
      </c>
      <c r="B370" s="43" t="s">
        <v>159</v>
      </c>
      <c r="C370" s="44" t="s">
        <v>520</v>
      </c>
      <c r="D370" s="45">
        <f>MROUND(MID($C370,6,3)/Basis!$E$3,0.5)</f>
        <v>19.5</v>
      </c>
      <c r="E370" s="45">
        <f>MROUND(MID($C370,9,3)/Basis!$E$3,0.5)</f>
        <v>102.5</v>
      </c>
      <c r="F370" s="124" t="s">
        <v>2943</v>
      </c>
      <c r="G370" s="45">
        <f>ROUND((ROUNDDOWN($F370/5,0)*5+1.8)/Basis!$E$3,1)</f>
        <v>4.5999999999999996</v>
      </c>
      <c r="H370" s="120">
        <f>ROUND($P370*Basis!$E$2*((TaH-TrH)/LN(1/µ)/Basis!$E$7)^$N370*$AA$4*Glycol,0)</f>
        <v>6044</v>
      </c>
      <c r="I370" s="83">
        <f>ROUND(H370/(MID($C370,9,3)/Basis!$E$3/Basis!$E$9)*Basis!$E$11,0)</f>
        <v>709</v>
      </c>
      <c r="J370" s="123">
        <f>IF(Basis!$E$1=1,ROUND(H370/((TaH-TrH)*1.163)/3600,3),ROUND(H370/(500*(TaH-TrH)),2))</f>
        <v>0.6</v>
      </c>
      <c r="K370" s="84"/>
      <c r="L370" s="177">
        <f>CHOOSE(Basis!$E$1,((AJ370*(J370*3600/Basis!$E$5)^AK370*(((MID(C370,9,3)*10)-144)/1000)*AL370+AM370*(J370*3600/Basis!$E$5)^2)*0.0098)/Basis!$E$10,((AJ370*(J370/Basis!$E$5)^AK370*(((MID(C370,9,3)*10)-144)/1000)*AL370+AM370*(J370/Basis!$E$5)^2)*0.0098)/Basis!$E$10)</f>
        <v>5.4428266568016227E-2</v>
      </c>
      <c r="M370" s="85"/>
      <c r="N370" s="109">
        <v>1.385</v>
      </c>
      <c r="O370" s="68"/>
      <c r="P370" s="67">
        <v>2798</v>
      </c>
      <c r="Q370" s="68"/>
      <c r="R370" s="69"/>
      <c r="S370" s="69"/>
      <c r="T370" s="69"/>
      <c r="U370" s="69"/>
      <c r="V370" s="69"/>
      <c r="W370" s="68"/>
      <c r="X370" s="70"/>
      <c r="Y370" s="70"/>
      <c r="Z370" s="70"/>
      <c r="AA370" s="70"/>
      <c r="AB370" s="70"/>
      <c r="AC370" s="68"/>
      <c r="AD370" s="71"/>
      <c r="AE370" s="71"/>
      <c r="AF370" s="71"/>
      <c r="AG370" s="71"/>
      <c r="AH370" s="71"/>
      <c r="AI370" s="68"/>
      <c r="AJ370" s="214">
        <v>3.9689999999999994E-4</v>
      </c>
      <c r="AK370" s="214">
        <v>1.7345999999999999</v>
      </c>
      <c r="AL370" s="214">
        <v>2</v>
      </c>
      <c r="AM370" s="214">
        <v>3.6734700000000002E-4</v>
      </c>
      <c r="AN370" s="68"/>
      <c r="AO370" s="67"/>
      <c r="AP370" s="67"/>
      <c r="AQ370" s="67"/>
      <c r="AR370" s="67"/>
      <c r="AS370" s="67"/>
      <c r="AT370" s="68"/>
      <c r="AU370" s="49"/>
      <c r="AV370" s="50"/>
    </row>
    <row r="371" spans="1:48" ht="12.75" customHeight="1" x14ac:dyDescent="0.25">
      <c r="A371" s="72" t="s">
        <v>23</v>
      </c>
      <c r="B371" s="43" t="s">
        <v>159</v>
      </c>
      <c r="C371" s="44" t="s">
        <v>521</v>
      </c>
      <c r="D371" s="45">
        <f>MROUND(MID($C371,6,3)/Basis!$E$3,0.5)</f>
        <v>19.5</v>
      </c>
      <c r="E371" s="45">
        <f>MROUND(MID($C371,9,3)/Basis!$E$3,0.5)</f>
        <v>102.5</v>
      </c>
      <c r="F371" s="124" t="s">
        <v>2946</v>
      </c>
      <c r="G371" s="45">
        <f>ROUND((ROUNDDOWN($F371/5,0)*5+1.8)/Basis!$E$3,1)</f>
        <v>4.5999999999999996</v>
      </c>
      <c r="H371" s="120">
        <f>ROUND($P371*Basis!$E$2*((TaH-TrH)/LN(1/µ)/Basis!$E$7)^$N371*$AA$4*Glycol,0)</f>
        <v>7651</v>
      </c>
      <c r="I371" s="83">
        <f>ROUND(H371/(MID($C371,9,3)/Basis!$E$3/Basis!$E$9)*Basis!$E$11,0)</f>
        <v>897</v>
      </c>
      <c r="J371" s="123">
        <f>IF(Basis!$E$1=1,ROUND(H371/((TaH-TrH)*1.163)/3600,3),ROUND(H371/(500*(TaH-TrH)),2))</f>
        <v>0.77</v>
      </c>
      <c r="K371" s="84"/>
      <c r="L371" s="177">
        <f>CHOOSE(Basis!$E$1,((AJ371*(J371*3600/Basis!$E$5)^AK371*(((MID(C371,9,3)*10)-144)/1000)*AL371+AM371*(J371*3600/Basis!$E$5)^2)*0.0098)/Basis!$E$10,((AJ371*(J371/Basis!$E$5)^AK371*(((MID(C371,9,3)*10)-144)/1000)*AL371+AM371*(J371/Basis!$E$5)^2)*0.0098)/Basis!$E$10)</f>
        <v>0.15646098891120069</v>
      </c>
      <c r="M371" s="85"/>
      <c r="N371" s="110">
        <v>1.4379999999999999</v>
      </c>
      <c r="O371" s="74"/>
      <c r="P371" s="73">
        <v>3604</v>
      </c>
      <c r="Q371" s="74"/>
      <c r="R371" s="75"/>
      <c r="S371" s="75"/>
      <c r="T371" s="75"/>
      <c r="U371" s="75"/>
      <c r="V371" s="75"/>
      <c r="W371" s="74"/>
      <c r="X371" s="76"/>
      <c r="Y371" s="76"/>
      <c r="Z371" s="76"/>
      <c r="AA371" s="76"/>
      <c r="AB371" s="76"/>
      <c r="AC371" s="74"/>
      <c r="AD371" s="77"/>
      <c r="AE371" s="77"/>
      <c r="AF371" s="77"/>
      <c r="AG371" s="77"/>
      <c r="AH371" s="77"/>
      <c r="AI371" s="68"/>
      <c r="AJ371" s="213">
        <v>3.9689999999999994E-4</v>
      </c>
      <c r="AK371" s="213">
        <v>1.7345999999999999</v>
      </c>
      <c r="AL371" s="213">
        <v>4</v>
      </c>
      <c r="AM371" s="213">
        <v>5.7428799999999995E-4</v>
      </c>
      <c r="AN371" s="74"/>
      <c r="AO371" s="73"/>
      <c r="AP371" s="73"/>
      <c r="AQ371" s="73"/>
      <c r="AR371" s="73"/>
      <c r="AS371" s="73"/>
      <c r="AT371" s="74"/>
      <c r="AU371" s="47"/>
      <c r="AV371" s="48"/>
    </row>
    <row r="372" spans="1:48" ht="12.75" customHeight="1" x14ac:dyDescent="0.25">
      <c r="A372" s="72" t="s">
        <v>23</v>
      </c>
      <c r="B372" s="43" t="s">
        <v>159</v>
      </c>
      <c r="C372" s="44" t="s">
        <v>522</v>
      </c>
      <c r="D372" s="45">
        <f>MROUND(MID($C372,6,3)/Basis!$E$3,0.5)</f>
        <v>19.5</v>
      </c>
      <c r="E372" s="45">
        <f>MROUND(MID($C372,9,3)/Basis!$E$3,0.5)</f>
        <v>102.5</v>
      </c>
      <c r="F372" s="124" t="s">
        <v>2944</v>
      </c>
      <c r="G372" s="45">
        <f>ROUND((ROUNDDOWN($F372/5,0)*5+1.8)/Basis!$E$3,1)</f>
        <v>6.6</v>
      </c>
      <c r="H372" s="120">
        <f>ROUND($P372*Basis!$E$2*((TaH-TrH)/LN(1/µ)/Basis!$E$7)^$N372*$AA$4*Glycol,0)</f>
        <v>9777</v>
      </c>
      <c r="I372" s="83">
        <f>ROUND(H372/(MID($C372,9,3)/Basis!$E$3/Basis!$E$9)*Basis!$E$11,0)</f>
        <v>1146</v>
      </c>
      <c r="J372" s="123">
        <f>IF(Basis!$E$1=1,ROUND(H372/((TaH-TrH)*1.163)/3600,3),ROUND(H372/(500*(TaH-TrH)),2))</f>
        <v>0.98</v>
      </c>
      <c r="K372" s="84"/>
      <c r="L372" s="177">
        <f>CHOOSE(Basis!$E$1,((AJ372*(J372*3600/Basis!$E$5)^AK372*(((MID(C372,9,3)*10)-144)/1000)*AL372+AM372*(J372*3600/Basis!$E$5)^2)*0.0098)/Basis!$E$10,((AJ372*(J372/Basis!$E$5)^AK372*(((MID(C372,9,3)*10)-144)/1000)*AL372+AM372*(J372/Basis!$E$5)^2)*0.0098)/Basis!$E$10)</f>
        <v>0.11209699301970286</v>
      </c>
      <c r="M372" s="85"/>
      <c r="N372" s="110">
        <v>1.373</v>
      </c>
      <c r="O372" s="74"/>
      <c r="P372" s="73">
        <v>4508</v>
      </c>
      <c r="Q372" s="74"/>
      <c r="R372" s="75"/>
      <c r="S372" s="75"/>
      <c r="T372" s="75"/>
      <c r="U372" s="75"/>
      <c r="V372" s="75"/>
      <c r="W372" s="74"/>
      <c r="X372" s="76"/>
      <c r="Y372" s="76"/>
      <c r="Z372" s="76"/>
      <c r="AA372" s="76"/>
      <c r="AB372" s="76"/>
      <c r="AC372" s="74"/>
      <c r="AD372" s="77"/>
      <c r="AE372" s="77"/>
      <c r="AF372" s="77"/>
      <c r="AG372" s="77"/>
      <c r="AH372" s="77"/>
      <c r="AI372" s="68"/>
      <c r="AJ372" s="213">
        <v>2.0829999999999999E-4</v>
      </c>
      <c r="AK372" s="213">
        <v>1.724</v>
      </c>
      <c r="AL372" s="213">
        <v>2</v>
      </c>
      <c r="AM372" s="213">
        <v>4.6182900000000003E-4</v>
      </c>
      <c r="AN372" s="74"/>
      <c r="AO372" s="73"/>
      <c r="AP372" s="73"/>
      <c r="AQ372" s="73"/>
      <c r="AR372" s="73"/>
      <c r="AS372" s="73"/>
      <c r="AT372" s="74"/>
      <c r="AU372" s="47"/>
      <c r="AV372" s="48"/>
    </row>
    <row r="373" spans="1:48" ht="12.75" customHeight="1" x14ac:dyDescent="0.25">
      <c r="A373" s="72" t="s">
        <v>23</v>
      </c>
      <c r="B373" s="43" t="s">
        <v>159</v>
      </c>
      <c r="C373" s="44" t="s">
        <v>523</v>
      </c>
      <c r="D373" s="45">
        <f>MROUND(MID($C373,6,3)/Basis!$E$3,0.5)</f>
        <v>19.5</v>
      </c>
      <c r="E373" s="45">
        <f>MROUND(MID($C373,9,3)/Basis!$E$3,0.5)</f>
        <v>102.5</v>
      </c>
      <c r="F373" s="124" t="s">
        <v>2947</v>
      </c>
      <c r="G373" s="45">
        <f>ROUND((ROUNDDOWN($F373/5,0)*5+1.8)/Basis!$E$3,1)</f>
        <v>6.6</v>
      </c>
      <c r="H373" s="120">
        <f>ROUND($P373*Basis!$E$2*((TaH-TrH)/LN(1/µ)/Basis!$E$7)^$N373*$AA$4*Glycol,0)</f>
        <v>10386</v>
      </c>
      <c r="I373" s="83">
        <f>ROUND(H373/(MID($C373,9,3)/Basis!$E$3/Basis!$E$9)*Basis!$E$11,0)</f>
        <v>1218</v>
      </c>
      <c r="J373" s="123">
        <f>IF(Basis!$E$1=1,ROUND(H373/((TaH-TrH)*1.163)/3600,3),ROUND(H373/(500*(TaH-TrH)),2))</f>
        <v>1.04</v>
      </c>
      <c r="K373" s="84"/>
      <c r="L373" s="177">
        <f>CHOOSE(Basis!$E$1,((AJ373*(J373*3600/Basis!$E$5)^AK373*(((MID(C373,9,3)*10)-144)/1000)*AL373+AM373*(J373*3600/Basis!$E$5)^2)*0.0098)/Basis!$E$10,((AJ373*(J373/Basis!$E$5)^AK373*(((MID(C373,9,3)*10)-144)/1000)*AL373+AM373*(J373/Basis!$E$5)^2)*0.0098)/Basis!$E$10)</f>
        <v>0.33670706503069842</v>
      </c>
      <c r="M373" s="85"/>
      <c r="N373" s="109">
        <v>1.464</v>
      </c>
      <c r="O373" s="68"/>
      <c r="P373" s="67">
        <v>4935</v>
      </c>
      <c r="Q373" s="68"/>
      <c r="R373" s="69"/>
      <c r="S373" s="69"/>
      <c r="T373" s="69"/>
      <c r="U373" s="69"/>
      <c r="V373" s="69"/>
      <c r="W373" s="68"/>
      <c r="X373" s="70"/>
      <c r="Y373" s="70"/>
      <c r="Z373" s="70"/>
      <c r="AA373" s="70"/>
      <c r="AB373" s="70"/>
      <c r="AC373" s="68"/>
      <c r="AD373" s="71"/>
      <c r="AE373" s="71"/>
      <c r="AF373" s="71"/>
      <c r="AG373" s="71"/>
      <c r="AH373" s="71"/>
      <c r="AI373" s="68"/>
      <c r="AJ373" s="214">
        <v>2.0829999999999999E-4</v>
      </c>
      <c r="AK373" s="214">
        <v>1.724</v>
      </c>
      <c r="AL373" s="214">
        <v>4</v>
      </c>
      <c r="AM373" s="214">
        <v>1.392796E-3</v>
      </c>
      <c r="AN373" s="68"/>
      <c r="AO373" s="67"/>
      <c r="AP373" s="67"/>
      <c r="AQ373" s="67"/>
      <c r="AR373" s="67"/>
      <c r="AS373" s="67"/>
      <c r="AT373" s="68"/>
      <c r="AU373" s="49"/>
      <c r="AV373" s="50"/>
    </row>
    <row r="374" spans="1:48" ht="12.75" customHeight="1" x14ac:dyDescent="0.25">
      <c r="A374" s="72" t="s">
        <v>23</v>
      </c>
      <c r="B374" s="43" t="s">
        <v>159</v>
      </c>
      <c r="C374" s="44" t="s">
        <v>524</v>
      </c>
      <c r="D374" s="45">
        <f>MROUND(MID($C374,6,3)/Basis!$E$3,0.5)</f>
        <v>19.5</v>
      </c>
      <c r="E374" s="45">
        <f>MROUND(MID($C374,9,3)/Basis!$E$3,0.5)</f>
        <v>102.5</v>
      </c>
      <c r="F374" s="124" t="s">
        <v>2945</v>
      </c>
      <c r="G374" s="45">
        <f>ROUND((ROUNDDOWN($F374/5,0)*5+1.8)/Basis!$E$3,1)</f>
        <v>8.6</v>
      </c>
      <c r="H374" s="120">
        <f>ROUND($P374*Basis!$E$2*((TaH-TrH)/LN(1/µ)/Basis!$E$7)^$N374*$AA$4*Glycol,0)</f>
        <v>13674</v>
      </c>
      <c r="I374" s="83">
        <f>ROUND(H374/(MID($C374,9,3)/Basis!$E$3/Basis!$E$9)*Basis!$E$11,0)</f>
        <v>1603</v>
      </c>
      <c r="J374" s="123">
        <f>IF(Basis!$E$1=1,ROUND(H374/((TaH-TrH)*1.163)/3600,3),ROUND(H374/(500*(TaH-TrH)),2))</f>
        <v>1.37</v>
      </c>
      <c r="K374" s="84"/>
      <c r="L374" s="177">
        <f>CHOOSE(Basis!$E$1,((AJ374*(J374*3600/Basis!$E$5)^AK374*(((MID(C374,9,3)*10)-144)/1000)*AL374+AM374*(J374*3600/Basis!$E$5)^2)*0.0098)/Basis!$E$10,((AJ374*(J374/Basis!$E$5)^AK374*(((MID(C374,9,3)*10)-144)/1000)*AL374+AM374*(J374/Basis!$E$5)^2)*0.0098)/Basis!$E$10)</f>
        <v>0.15943247155741183</v>
      </c>
      <c r="M374" s="85"/>
      <c r="N374" s="109">
        <v>1.373</v>
      </c>
      <c r="O374" s="68"/>
      <c r="P374" s="67">
        <v>6305</v>
      </c>
      <c r="Q374" s="68"/>
      <c r="R374" s="69"/>
      <c r="S374" s="69"/>
      <c r="T374" s="69"/>
      <c r="U374" s="69"/>
      <c r="V374" s="69"/>
      <c r="W374" s="68"/>
      <c r="X374" s="70"/>
      <c r="Y374" s="70"/>
      <c r="Z374" s="70"/>
      <c r="AA374" s="70"/>
      <c r="AB374" s="70"/>
      <c r="AC374" s="68"/>
      <c r="AD374" s="71"/>
      <c r="AE374" s="71"/>
      <c r="AF374" s="71"/>
      <c r="AG374" s="71"/>
      <c r="AH374" s="71"/>
      <c r="AI374" s="68"/>
      <c r="AJ374" s="214">
        <v>1.2760000000000001E-4</v>
      </c>
      <c r="AK374" s="214">
        <v>1.7219</v>
      </c>
      <c r="AL374" s="214">
        <v>2</v>
      </c>
      <c r="AM374" s="214">
        <v>3.76611E-4</v>
      </c>
      <c r="AN374" s="68"/>
      <c r="AO374" s="67"/>
      <c r="AP374" s="67"/>
      <c r="AQ374" s="67"/>
      <c r="AR374" s="67"/>
      <c r="AS374" s="67"/>
      <c r="AT374" s="68"/>
      <c r="AU374" s="49"/>
      <c r="AV374" s="50"/>
    </row>
    <row r="375" spans="1:48" ht="12.75" customHeight="1" x14ac:dyDescent="0.25">
      <c r="A375" s="72" t="s">
        <v>23</v>
      </c>
      <c r="B375" s="43" t="s">
        <v>159</v>
      </c>
      <c r="C375" s="44" t="s">
        <v>525</v>
      </c>
      <c r="D375" s="45">
        <f>MROUND(MID($C375,6,3)/Basis!$E$3,0.5)</f>
        <v>19.5</v>
      </c>
      <c r="E375" s="45">
        <f>MROUND(MID($C375,9,3)/Basis!$E$3,0.5)</f>
        <v>102.5</v>
      </c>
      <c r="F375" s="124" t="s">
        <v>2948</v>
      </c>
      <c r="G375" s="45">
        <f>ROUND((ROUNDDOWN($F375/5,0)*5+1.8)/Basis!$E$3,1)</f>
        <v>8.6</v>
      </c>
      <c r="H375" s="120">
        <f>ROUND($P375*Basis!$E$2*((TaH-TrH)/LN(1/µ)/Basis!$E$7)^$N375*$AA$4*Glycol,0)</f>
        <v>14031</v>
      </c>
      <c r="I375" s="83">
        <f>ROUND(H375/(MID($C375,9,3)/Basis!$E$3/Basis!$E$9)*Basis!$E$11,0)</f>
        <v>1645</v>
      </c>
      <c r="J375" s="123">
        <f>IF(Basis!$E$1=1,ROUND(H375/((TaH-TrH)*1.163)/3600,3),ROUND(H375/(500*(TaH-TrH)),2))</f>
        <v>1.4</v>
      </c>
      <c r="K375" s="84"/>
      <c r="L375" s="177">
        <f>CHOOSE(Basis!$E$1,((AJ375*(J375*3600/Basis!$E$5)^AK375*(((MID(C375,9,3)*10)-144)/1000)*AL375+AM375*(J375*3600/Basis!$E$5)^2)*0.0098)/Basis!$E$10,((AJ375*(J375/Basis!$E$5)^AK375*(((MID(C375,9,3)*10)-144)/1000)*AL375+AM375*(J375/Basis!$E$5)^2)*0.0098)/Basis!$E$10)</f>
        <v>0.25345965806792919</v>
      </c>
      <c r="M375" s="85"/>
      <c r="N375" s="110">
        <v>1.4850000000000001</v>
      </c>
      <c r="O375" s="74"/>
      <c r="P375" s="73">
        <v>6713</v>
      </c>
      <c r="Q375" s="74"/>
      <c r="R375" s="75"/>
      <c r="S375" s="75"/>
      <c r="T375" s="75"/>
      <c r="U375" s="75"/>
      <c r="V375" s="75"/>
      <c r="W375" s="74"/>
      <c r="X375" s="76"/>
      <c r="Y375" s="76"/>
      <c r="Z375" s="76"/>
      <c r="AA375" s="76"/>
      <c r="AB375" s="76"/>
      <c r="AC375" s="74"/>
      <c r="AD375" s="77"/>
      <c r="AE375" s="77"/>
      <c r="AF375" s="77"/>
      <c r="AG375" s="77"/>
      <c r="AH375" s="77"/>
      <c r="AI375" s="68"/>
      <c r="AJ375" s="213">
        <v>1.2760000000000001E-4</v>
      </c>
      <c r="AK375" s="213">
        <v>1.7219</v>
      </c>
      <c r="AL375" s="213">
        <v>4</v>
      </c>
      <c r="AM375" s="213">
        <v>5.1420100000000005E-4</v>
      </c>
      <c r="AN375" s="74"/>
      <c r="AO375" s="73"/>
      <c r="AP375" s="73"/>
      <c r="AQ375" s="73"/>
      <c r="AR375" s="73"/>
      <c r="AS375" s="73"/>
      <c r="AT375" s="74"/>
      <c r="AU375" s="47"/>
      <c r="AV375" s="48"/>
    </row>
    <row r="376" spans="1:48" ht="12.75" customHeight="1" x14ac:dyDescent="0.25">
      <c r="A376" s="72" t="s">
        <v>23</v>
      </c>
      <c r="B376" s="43" t="s">
        <v>159</v>
      </c>
      <c r="C376" s="44" t="s">
        <v>526</v>
      </c>
      <c r="D376" s="45">
        <f>MROUND(MID($C376,6,3)/Basis!$E$3,0.5)</f>
        <v>19.5</v>
      </c>
      <c r="E376" s="45">
        <f>MROUND(MID($C376,9,3)/Basis!$E$3,0.5)</f>
        <v>110</v>
      </c>
      <c r="F376" s="124" t="s">
        <v>2943</v>
      </c>
      <c r="G376" s="45">
        <f>ROUND((ROUNDDOWN($F376/5,0)*5+1.8)/Basis!$E$3,1)</f>
        <v>4.5999999999999996</v>
      </c>
      <c r="H376" s="120">
        <f>ROUND($P376*Basis!$E$2*((TaH-TrH)/LN(1/µ)/Basis!$E$7)^$N376*$AA$4*Glycol,0)</f>
        <v>6509</v>
      </c>
      <c r="I376" s="83">
        <f>ROUND(H376/(MID($C376,9,3)/Basis!$E$3/Basis!$E$9)*Basis!$E$11,0)</f>
        <v>709</v>
      </c>
      <c r="J376" s="123">
        <f>IF(Basis!$E$1=1,ROUND(H376/((TaH-TrH)*1.163)/3600,3),ROUND(H376/(500*(TaH-TrH)),2))</f>
        <v>0.65</v>
      </c>
      <c r="K376" s="84"/>
      <c r="L376" s="177">
        <f>CHOOSE(Basis!$E$1,((AJ376*(J376*3600/Basis!$E$5)^AK376*(((MID(C376,9,3)*10)-144)/1000)*AL376+AM376*(J376*3600/Basis!$E$5)^2)*0.0098)/Basis!$E$10,((AJ376*(J376/Basis!$E$5)^AK376*(((MID(C376,9,3)*10)-144)/1000)*AL376+AM376*(J376/Basis!$E$5)^2)*0.0098)/Basis!$E$10)</f>
        <v>6.609065502110871E-2</v>
      </c>
      <c r="M376" s="85"/>
      <c r="N376" s="110">
        <v>1.385</v>
      </c>
      <c r="O376" s="74"/>
      <c r="P376" s="73">
        <v>3013</v>
      </c>
      <c r="Q376" s="74"/>
      <c r="R376" s="75"/>
      <c r="S376" s="75"/>
      <c r="T376" s="75"/>
      <c r="U376" s="75"/>
      <c r="V376" s="75"/>
      <c r="W376" s="74"/>
      <c r="X376" s="76"/>
      <c r="Y376" s="76"/>
      <c r="Z376" s="76"/>
      <c r="AA376" s="76"/>
      <c r="AB376" s="76"/>
      <c r="AC376" s="74"/>
      <c r="AD376" s="77"/>
      <c r="AE376" s="77"/>
      <c r="AF376" s="77"/>
      <c r="AG376" s="77"/>
      <c r="AH376" s="77"/>
      <c r="AI376" s="68"/>
      <c r="AJ376" s="213">
        <v>3.9689999999999994E-4</v>
      </c>
      <c r="AK376" s="213">
        <v>1.7345999999999999</v>
      </c>
      <c r="AL376" s="213">
        <v>2</v>
      </c>
      <c r="AM376" s="213">
        <v>3.6734700000000002E-4</v>
      </c>
      <c r="AN376" s="74"/>
      <c r="AO376" s="73"/>
      <c r="AP376" s="73"/>
      <c r="AQ376" s="73"/>
      <c r="AR376" s="73"/>
      <c r="AS376" s="73"/>
      <c r="AT376" s="74"/>
      <c r="AU376" s="47"/>
      <c r="AV376" s="48"/>
    </row>
    <row r="377" spans="1:48" ht="12.75" customHeight="1" x14ac:dyDescent="0.25">
      <c r="A377" s="72" t="s">
        <v>23</v>
      </c>
      <c r="B377" s="43" t="s">
        <v>159</v>
      </c>
      <c r="C377" s="44" t="s">
        <v>527</v>
      </c>
      <c r="D377" s="45">
        <f>MROUND(MID($C377,6,3)/Basis!$E$3,0.5)</f>
        <v>19.5</v>
      </c>
      <c r="E377" s="45">
        <f>MROUND(MID($C377,9,3)/Basis!$E$3,0.5)</f>
        <v>110</v>
      </c>
      <c r="F377" s="124" t="s">
        <v>2946</v>
      </c>
      <c r="G377" s="45">
        <f>ROUND((ROUNDDOWN($F377/5,0)*5+1.8)/Basis!$E$3,1)</f>
        <v>4.5999999999999996</v>
      </c>
      <c r="H377" s="120">
        <f>ROUND($P377*Basis!$E$2*((TaH-TrH)/LN(1/µ)/Basis!$E$7)^$N377*$AA$4*Glycol,0)</f>
        <v>8239</v>
      </c>
      <c r="I377" s="83">
        <f>ROUND(H377/(MID($C377,9,3)/Basis!$E$3/Basis!$E$9)*Basis!$E$11,0)</f>
        <v>897</v>
      </c>
      <c r="J377" s="123">
        <f>IF(Basis!$E$1=1,ROUND(H377/((TaH-TrH)*1.163)/3600,3),ROUND(H377/(500*(TaH-TrH)),2))</f>
        <v>0.82</v>
      </c>
      <c r="K377" s="84"/>
      <c r="L377" s="177">
        <f>CHOOSE(Basis!$E$1,((AJ377*(J377*3600/Basis!$E$5)^AK377*(((MID(C377,9,3)*10)-144)/1000)*AL377+AM377*(J377*3600/Basis!$E$5)^2)*0.0098)/Basis!$E$10,((AJ377*(J377/Basis!$E$5)^AK377*(((MID(C377,9,3)*10)-144)/1000)*AL377+AM377*(J377/Basis!$E$5)^2)*0.0098)/Basis!$E$10)</f>
        <v>0.18457482532087124</v>
      </c>
      <c r="M377" s="85"/>
      <c r="N377" s="109">
        <v>1.4379999999999999</v>
      </c>
      <c r="O377" s="68"/>
      <c r="P377" s="67">
        <v>3881</v>
      </c>
      <c r="Q377" s="68"/>
      <c r="R377" s="69"/>
      <c r="S377" s="69"/>
      <c r="T377" s="69"/>
      <c r="U377" s="69"/>
      <c r="V377" s="69"/>
      <c r="W377" s="68"/>
      <c r="X377" s="70"/>
      <c r="Y377" s="70"/>
      <c r="Z377" s="70"/>
      <c r="AA377" s="70"/>
      <c r="AB377" s="70"/>
      <c r="AC377" s="68"/>
      <c r="AD377" s="71"/>
      <c r="AE377" s="71"/>
      <c r="AF377" s="71"/>
      <c r="AG377" s="71"/>
      <c r="AH377" s="71"/>
      <c r="AI377" s="68"/>
      <c r="AJ377" s="214">
        <v>3.9689999999999994E-4</v>
      </c>
      <c r="AK377" s="214">
        <v>1.7345999999999999</v>
      </c>
      <c r="AL377" s="214">
        <v>4</v>
      </c>
      <c r="AM377" s="214">
        <v>5.7428799999999995E-4</v>
      </c>
      <c r="AN377" s="68"/>
      <c r="AO377" s="67"/>
      <c r="AP377" s="67"/>
      <c r="AQ377" s="67"/>
      <c r="AR377" s="67"/>
      <c r="AS377" s="67"/>
      <c r="AT377" s="68"/>
      <c r="AU377" s="49"/>
      <c r="AV377" s="50"/>
    </row>
    <row r="378" spans="1:48" ht="12.75" customHeight="1" x14ac:dyDescent="0.25">
      <c r="A378" s="72" t="s">
        <v>23</v>
      </c>
      <c r="B378" s="43" t="s">
        <v>159</v>
      </c>
      <c r="C378" s="44" t="s">
        <v>528</v>
      </c>
      <c r="D378" s="45">
        <f>MROUND(MID($C378,6,3)/Basis!$E$3,0.5)</f>
        <v>19.5</v>
      </c>
      <c r="E378" s="45">
        <f>MROUND(MID($C378,9,3)/Basis!$E$3,0.5)</f>
        <v>110</v>
      </c>
      <c r="F378" s="124" t="s">
        <v>2944</v>
      </c>
      <c r="G378" s="45">
        <f>ROUND((ROUNDDOWN($F378/5,0)*5+1.8)/Basis!$E$3,1)</f>
        <v>6.6</v>
      </c>
      <c r="H378" s="120">
        <f>ROUND($P378*Basis!$E$2*((TaH-TrH)/LN(1/µ)/Basis!$E$7)^$N378*$AA$4*Glycol,0)</f>
        <v>10530</v>
      </c>
      <c r="I378" s="83">
        <f>ROUND(H378/(MID($C378,9,3)/Basis!$E$3/Basis!$E$9)*Basis!$E$11,0)</f>
        <v>1146</v>
      </c>
      <c r="J378" s="123">
        <f>IF(Basis!$E$1=1,ROUND(H378/((TaH-TrH)*1.163)/3600,3),ROUND(H378/(500*(TaH-TrH)),2))</f>
        <v>1.05</v>
      </c>
      <c r="K378" s="84"/>
      <c r="L378" s="177">
        <f>CHOOSE(Basis!$E$1,((AJ378*(J378*3600/Basis!$E$5)^AK378*(((MID(C378,9,3)*10)-144)/1000)*AL378+AM378*(J378*3600/Basis!$E$5)^2)*0.0098)/Basis!$E$10,((AJ378*(J378/Basis!$E$5)^AK378*(((MID(C378,9,3)*10)-144)/1000)*AL378+AM378*(J378/Basis!$E$5)^2)*0.0098)/Basis!$E$10)</f>
        <v>0.13129518631210635</v>
      </c>
      <c r="M378" s="85"/>
      <c r="N378" s="109">
        <v>1.373</v>
      </c>
      <c r="O378" s="68"/>
      <c r="P378" s="67">
        <v>4855</v>
      </c>
      <c r="Q378" s="68"/>
      <c r="R378" s="69"/>
      <c r="S378" s="69"/>
      <c r="T378" s="69"/>
      <c r="U378" s="69"/>
      <c r="V378" s="69"/>
      <c r="W378" s="68"/>
      <c r="X378" s="70"/>
      <c r="Y378" s="70"/>
      <c r="Z378" s="70"/>
      <c r="AA378" s="70"/>
      <c r="AB378" s="70"/>
      <c r="AC378" s="68"/>
      <c r="AD378" s="71"/>
      <c r="AE378" s="71"/>
      <c r="AF378" s="71"/>
      <c r="AG378" s="71"/>
      <c r="AH378" s="71"/>
      <c r="AI378" s="68"/>
      <c r="AJ378" s="214">
        <v>2.0829999999999999E-4</v>
      </c>
      <c r="AK378" s="214">
        <v>1.724</v>
      </c>
      <c r="AL378" s="214">
        <v>2</v>
      </c>
      <c r="AM378" s="214">
        <v>4.6182900000000003E-4</v>
      </c>
      <c r="AN378" s="68"/>
      <c r="AO378" s="67"/>
      <c r="AP378" s="67"/>
      <c r="AQ378" s="67"/>
      <c r="AR378" s="67"/>
      <c r="AS378" s="67"/>
      <c r="AT378" s="68"/>
      <c r="AU378" s="49"/>
      <c r="AV378" s="50"/>
    </row>
    <row r="379" spans="1:48" ht="12.75" customHeight="1" x14ac:dyDescent="0.25">
      <c r="A379" s="72" t="s">
        <v>23</v>
      </c>
      <c r="B379" s="43" t="s">
        <v>159</v>
      </c>
      <c r="C379" s="44" t="s">
        <v>529</v>
      </c>
      <c r="D379" s="45">
        <f>MROUND(MID($C379,6,3)/Basis!$E$3,0.5)</f>
        <v>19.5</v>
      </c>
      <c r="E379" s="45">
        <f>MROUND(MID($C379,9,3)/Basis!$E$3,0.5)</f>
        <v>110</v>
      </c>
      <c r="F379" s="124" t="s">
        <v>2947</v>
      </c>
      <c r="G379" s="45">
        <f>ROUND((ROUNDDOWN($F379/5,0)*5+1.8)/Basis!$E$3,1)</f>
        <v>6.6</v>
      </c>
      <c r="H379" s="120">
        <f>ROUND($P379*Basis!$E$2*((TaH-TrH)/LN(1/µ)/Basis!$E$7)^$N379*$AA$4*Glycol,0)</f>
        <v>11184</v>
      </c>
      <c r="I379" s="83">
        <f>ROUND(H379/(MID($C379,9,3)/Basis!$E$3/Basis!$E$9)*Basis!$E$11,0)</f>
        <v>1217</v>
      </c>
      <c r="J379" s="123">
        <f>IF(Basis!$E$1=1,ROUND(H379/((TaH-TrH)*1.163)/3600,3),ROUND(H379/(500*(TaH-TrH)),2))</f>
        <v>1.1200000000000001</v>
      </c>
      <c r="K379" s="84"/>
      <c r="L379" s="177">
        <f>CHOOSE(Basis!$E$1,((AJ379*(J379*3600/Basis!$E$5)^AK379*(((MID(C379,9,3)*10)-144)/1000)*AL379+AM379*(J379*3600/Basis!$E$5)^2)*0.0098)/Basis!$E$10,((AJ379*(J379/Basis!$E$5)^AK379*(((MID(C379,9,3)*10)-144)/1000)*AL379+AM379*(J379/Basis!$E$5)^2)*0.0098)/Basis!$E$10)</f>
        <v>0.39620507043076358</v>
      </c>
      <c r="M379" s="85"/>
      <c r="N379" s="110">
        <v>1.464</v>
      </c>
      <c r="O379" s="74"/>
      <c r="P379" s="73">
        <v>5314</v>
      </c>
      <c r="Q379" s="74"/>
      <c r="R379" s="75"/>
      <c r="S379" s="75"/>
      <c r="T379" s="75"/>
      <c r="U379" s="75"/>
      <c r="V379" s="75"/>
      <c r="W379" s="74"/>
      <c r="X379" s="76"/>
      <c r="Y379" s="76"/>
      <c r="Z379" s="76"/>
      <c r="AA379" s="76"/>
      <c r="AB379" s="76"/>
      <c r="AC379" s="74"/>
      <c r="AD379" s="77"/>
      <c r="AE379" s="77"/>
      <c r="AF379" s="77"/>
      <c r="AG379" s="77"/>
      <c r="AH379" s="77"/>
      <c r="AI379" s="68"/>
      <c r="AJ379" s="213">
        <v>2.0829999999999999E-4</v>
      </c>
      <c r="AK379" s="213">
        <v>1.724</v>
      </c>
      <c r="AL379" s="213">
        <v>4</v>
      </c>
      <c r="AM379" s="213">
        <v>1.392796E-3</v>
      </c>
      <c r="AN379" s="74"/>
      <c r="AO379" s="73"/>
      <c r="AP379" s="73"/>
      <c r="AQ379" s="73"/>
      <c r="AR379" s="73"/>
      <c r="AS379" s="73"/>
      <c r="AT379" s="74"/>
      <c r="AU379" s="47"/>
      <c r="AV379" s="48"/>
    </row>
    <row r="380" spans="1:48" ht="12.75" customHeight="1" x14ac:dyDescent="0.25">
      <c r="A380" s="72" t="s">
        <v>23</v>
      </c>
      <c r="B380" s="43" t="s">
        <v>159</v>
      </c>
      <c r="C380" s="44" t="s">
        <v>530</v>
      </c>
      <c r="D380" s="45">
        <f>MROUND(MID($C380,6,3)/Basis!$E$3,0.5)</f>
        <v>19.5</v>
      </c>
      <c r="E380" s="45">
        <f>MROUND(MID($C380,9,3)/Basis!$E$3,0.5)</f>
        <v>110</v>
      </c>
      <c r="F380" s="124" t="s">
        <v>2945</v>
      </c>
      <c r="G380" s="45">
        <f>ROUND((ROUNDDOWN($F380/5,0)*5+1.8)/Basis!$E$3,1)</f>
        <v>8.6</v>
      </c>
      <c r="H380" s="120">
        <f>ROUND($P380*Basis!$E$2*((TaH-TrH)/LN(1/µ)/Basis!$E$7)^$N380*$AA$4*Glycol,0)</f>
        <v>14726</v>
      </c>
      <c r="I380" s="83">
        <f>ROUND(H380/(MID($C380,9,3)/Basis!$E$3/Basis!$E$9)*Basis!$E$11,0)</f>
        <v>1603</v>
      </c>
      <c r="J380" s="123">
        <f>IF(Basis!$E$1=1,ROUND(H380/((TaH-TrH)*1.163)/3600,3),ROUND(H380/(500*(TaH-TrH)),2))</f>
        <v>1.47</v>
      </c>
      <c r="K380" s="84"/>
      <c r="L380" s="177">
        <f>CHOOSE(Basis!$E$1,((AJ380*(J380*3600/Basis!$E$5)^AK380*(((MID(C380,9,3)*10)-144)/1000)*AL380+AM380*(J380*3600/Basis!$E$5)^2)*0.0098)/Basis!$E$10,((AJ380*(J380/Basis!$E$5)^AK380*(((MID(C380,9,3)*10)-144)/1000)*AL380+AM380*(J380/Basis!$E$5)^2)*0.0098)/Basis!$E$10)</f>
        <v>0.18635501696180629</v>
      </c>
      <c r="M380" s="85"/>
      <c r="N380" s="110">
        <v>1.373</v>
      </c>
      <c r="O380" s="74"/>
      <c r="P380" s="73">
        <v>6790</v>
      </c>
      <c r="Q380" s="74"/>
      <c r="R380" s="75"/>
      <c r="S380" s="75"/>
      <c r="T380" s="75"/>
      <c r="U380" s="75"/>
      <c r="V380" s="75"/>
      <c r="W380" s="74"/>
      <c r="X380" s="76"/>
      <c r="Y380" s="76"/>
      <c r="Z380" s="76"/>
      <c r="AA380" s="76"/>
      <c r="AB380" s="76"/>
      <c r="AC380" s="74"/>
      <c r="AD380" s="77"/>
      <c r="AE380" s="77"/>
      <c r="AF380" s="77"/>
      <c r="AG380" s="77"/>
      <c r="AH380" s="77"/>
      <c r="AI380" s="68"/>
      <c r="AJ380" s="213">
        <v>1.2760000000000001E-4</v>
      </c>
      <c r="AK380" s="213">
        <v>1.7219</v>
      </c>
      <c r="AL380" s="213">
        <v>2</v>
      </c>
      <c r="AM380" s="213">
        <v>3.76611E-4</v>
      </c>
      <c r="AN380" s="74"/>
      <c r="AO380" s="73"/>
      <c r="AP380" s="73"/>
      <c r="AQ380" s="73"/>
      <c r="AR380" s="73"/>
      <c r="AS380" s="73"/>
      <c r="AT380" s="74"/>
      <c r="AU380" s="47"/>
      <c r="AV380" s="48"/>
    </row>
    <row r="381" spans="1:48" ht="12.75" customHeight="1" x14ac:dyDescent="0.25">
      <c r="A381" s="72" t="s">
        <v>23</v>
      </c>
      <c r="B381" s="43" t="s">
        <v>159</v>
      </c>
      <c r="C381" s="44" t="s">
        <v>531</v>
      </c>
      <c r="D381" s="45">
        <f>MROUND(MID($C381,6,3)/Basis!$E$3,0.5)</f>
        <v>19.5</v>
      </c>
      <c r="E381" s="45">
        <f>MROUND(MID($C381,9,3)/Basis!$E$3,0.5)</f>
        <v>110</v>
      </c>
      <c r="F381" s="124" t="s">
        <v>2948</v>
      </c>
      <c r="G381" s="45">
        <f>ROUND((ROUNDDOWN($F381/5,0)*5+1.8)/Basis!$E$3,1)</f>
        <v>8.6</v>
      </c>
      <c r="H381" s="120">
        <f>ROUND($P381*Basis!$E$2*((TaH-TrH)/LN(1/µ)/Basis!$E$7)^$N381*$AA$4*Glycol,0)</f>
        <v>15112</v>
      </c>
      <c r="I381" s="83">
        <f>ROUND(H381/(MID($C381,9,3)/Basis!$E$3/Basis!$E$9)*Basis!$E$11,0)</f>
        <v>1645</v>
      </c>
      <c r="J381" s="123">
        <f>IF(Basis!$E$1=1,ROUND(H381/((TaH-TrH)*1.163)/3600,3),ROUND(H381/(500*(TaH-TrH)),2))</f>
        <v>1.51</v>
      </c>
      <c r="K381" s="84"/>
      <c r="L381" s="177">
        <f>CHOOSE(Basis!$E$1,((AJ381*(J381*3600/Basis!$E$5)^AK381*(((MID(C381,9,3)*10)-144)/1000)*AL381+AM381*(J381*3600/Basis!$E$5)^2)*0.0098)/Basis!$E$10,((AJ381*(J381/Basis!$E$5)^AK381*(((MID(C381,9,3)*10)-144)/1000)*AL381+AM381*(J381/Basis!$E$5)^2)*0.0098)/Basis!$E$10)</f>
        <v>0.30057519157632989</v>
      </c>
      <c r="M381" s="85"/>
      <c r="N381" s="109">
        <v>1.4850000000000001</v>
      </c>
      <c r="O381" s="68"/>
      <c r="P381" s="67">
        <v>7230</v>
      </c>
      <c r="Q381" s="68"/>
      <c r="R381" s="69"/>
      <c r="S381" s="69"/>
      <c r="T381" s="69"/>
      <c r="U381" s="69"/>
      <c r="V381" s="69"/>
      <c r="W381" s="68"/>
      <c r="X381" s="70"/>
      <c r="Y381" s="70"/>
      <c r="Z381" s="70"/>
      <c r="AA381" s="70"/>
      <c r="AB381" s="70"/>
      <c r="AC381" s="68"/>
      <c r="AD381" s="71"/>
      <c r="AE381" s="71"/>
      <c r="AF381" s="71"/>
      <c r="AG381" s="71"/>
      <c r="AH381" s="71"/>
      <c r="AI381" s="68"/>
      <c r="AJ381" s="214">
        <v>1.2760000000000001E-4</v>
      </c>
      <c r="AK381" s="214">
        <v>1.7219</v>
      </c>
      <c r="AL381" s="214">
        <v>4</v>
      </c>
      <c r="AM381" s="214">
        <v>5.1420100000000005E-4</v>
      </c>
      <c r="AN381" s="68"/>
      <c r="AO381" s="67"/>
      <c r="AP381" s="67"/>
      <c r="AQ381" s="67"/>
      <c r="AR381" s="67"/>
      <c r="AS381" s="67"/>
      <c r="AT381" s="68"/>
      <c r="AU381" s="49"/>
      <c r="AV381" s="50"/>
    </row>
    <row r="382" spans="1:48" ht="12.75" customHeight="1" x14ac:dyDescent="0.25">
      <c r="A382" s="72" t="s">
        <v>23</v>
      </c>
      <c r="B382" s="43" t="s">
        <v>159</v>
      </c>
      <c r="C382" s="44" t="s">
        <v>532</v>
      </c>
      <c r="D382" s="45">
        <f>MROUND(MID($C382,6,3)/Basis!$E$3,0.5)</f>
        <v>19.5</v>
      </c>
      <c r="E382" s="45">
        <f>MROUND(MID($C382,9,3)/Basis!$E$3,0.5)</f>
        <v>118</v>
      </c>
      <c r="F382" s="124" t="s">
        <v>2943</v>
      </c>
      <c r="G382" s="45">
        <f>ROUND((ROUNDDOWN($F382/5,0)*5+1.8)/Basis!$E$3,1)</f>
        <v>4.5999999999999996</v>
      </c>
      <c r="H382" s="120">
        <f>ROUND($P382*Basis!$E$2*((TaH-TrH)/LN(1/µ)/Basis!$E$7)^$N382*$AA$4*Glycol,0)</f>
        <v>6973</v>
      </c>
      <c r="I382" s="83">
        <f>ROUND(H382/(MID($C382,9,3)/Basis!$E$3/Basis!$E$9)*Basis!$E$11,0)</f>
        <v>708</v>
      </c>
      <c r="J382" s="123">
        <f>IF(Basis!$E$1=1,ROUND(H382/((TaH-TrH)*1.163)/3600,3),ROUND(H382/(500*(TaH-TrH)),2))</f>
        <v>0.7</v>
      </c>
      <c r="K382" s="84"/>
      <c r="L382" s="177">
        <f>CHOOSE(Basis!$E$1,((AJ382*(J382*3600/Basis!$E$5)^AK382*(((MID(C382,9,3)*10)-144)/1000)*AL382+AM382*(J382*3600/Basis!$E$5)^2)*0.0098)/Basis!$E$10,((AJ382*(J382/Basis!$E$5)^AK382*(((MID(C382,9,3)*10)-144)/1000)*AL382+AM382*(J382/Basis!$E$5)^2)*0.0098)/Basis!$E$10)</f>
        <v>7.9165714019809083E-2</v>
      </c>
      <c r="M382" s="85"/>
      <c r="N382" s="109">
        <v>1.385</v>
      </c>
      <c r="O382" s="68"/>
      <c r="P382" s="67">
        <v>3228</v>
      </c>
      <c r="Q382" s="68"/>
      <c r="R382" s="69"/>
      <c r="S382" s="69"/>
      <c r="T382" s="69"/>
      <c r="U382" s="69"/>
      <c r="V382" s="69"/>
      <c r="W382" s="68"/>
      <c r="X382" s="70"/>
      <c r="Y382" s="70"/>
      <c r="Z382" s="70"/>
      <c r="AA382" s="70"/>
      <c r="AB382" s="70"/>
      <c r="AC382" s="68"/>
      <c r="AD382" s="71"/>
      <c r="AE382" s="71"/>
      <c r="AF382" s="71"/>
      <c r="AG382" s="71"/>
      <c r="AH382" s="71"/>
      <c r="AI382" s="68"/>
      <c r="AJ382" s="214">
        <v>3.9689999999999994E-4</v>
      </c>
      <c r="AK382" s="214">
        <v>1.7345999999999999</v>
      </c>
      <c r="AL382" s="214">
        <v>2</v>
      </c>
      <c r="AM382" s="214">
        <v>3.6734700000000002E-4</v>
      </c>
      <c r="AN382" s="68"/>
      <c r="AO382" s="67"/>
      <c r="AP382" s="67"/>
      <c r="AQ382" s="67"/>
      <c r="AR382" s="67"/>
      <c r="AS382" s="67"/>
      <c r="AT382" s="68"/>
      <c r="AU382" s="49"/>
      <c r="AV382" s="50"/>
    </row>
    <row r="383" spans="1:48" ht="12.75" customHeight="1" x14ac:dyDescent="0.25">
      <c r="A383" s="72" t="s">
        <v>23</v>
      </c>
      <c r="B383" s="43" t="s">
        <v>159</v>
      </c>
      <c r="C383" s="44" t="s">
        <v>533</v>
      </c>
      <c r="D383" s="45">
        <f>MROUND(MID($C383,6,3)/Basis!$E$3,0.5)</f>
        <v>19.5</v>
      </c>
      <c r="E383" s="45">
        <f>MROUND(MID($C383,9,3)/Basis!$E$3,0.5)</f>
        <v>118</v>
      </c>
      <c r="F383" s="124" t="s">
        <v>2946</v>
      </c>
      <c r="G383" s="45">
        <f>ROUND((ROUNDDOWN($F383/5,0)*5+1.8)/Basis!$E$3,1)</f>
        <v>4.5999999999999996</v>
      </c>
      <c r="H383" s="120">
        <f>ROUND($P383*Basis!$E$2*((TaH-TrH)/LN(1/µ)/Basis!$E$7)^$N383*$AA$4*Glycol,0)</f>
        <v>8827</v>
      </c>
      <c r="I383" s="83">
        <f>ROUND(H383/(MID($C383,9,3)/Basis!$E$3/Basis!$E$9)*Basis!$E$11,0)</f>
        <v>897</v>
      </c>
      <c r="J383" s="123">
        <f>IF(Basis!$E$1=1,ROUND(H383/((TaH-TrH)*1.163)/3600,3),ROUND(H383/(500*(TaH-TrH)),2))</f>
        <v>0.88</v>
      </c>
      <c r="K383" s="84"/>
      <c r="L383" s="177">
        <f>CHOOSE(Basis!$E$1,((AJ383*(J383*3600/Basis!$E$5)^AK383*(((MID(C383,9,3)*10)-144)/1000)*AL383+AM383*(J383*3600/Basis!$E$5)^2)*0.0098)/Basis!$E$10,((AJ383*(J383/Basis!$E$5)^AK383*(((MID(C383,9,3)*10)-144)/1000)*AL383+AM383*(J383/Basis!$E$5)^2)*0.0098)/Basis!$E$10)</f>
        <v>0.22018604668985189</v>
      </c>
      <c r="M383" s="85"/>
      <c r="N383" s="110">
        <v>1.4379999999999999</v>
      </c>
      <c r="O383" s="74"/>
      <c r="P383" s="73">
        <v>4158</v>
      </c>
      <c r="Q383" s="74"/>
      <c r="R383" s="75"/>
      <c r="S383" s="75"/>
      <c r="T383" s="75"/>
      <c r="U383" s="75"/>
      <c r="V383" s="75"/>
      <c r="W383" s="74"/>
      <c r="X383" s="76"/>
      <c r="Y383" s="76"/>
      <c r="Z383" s="76"/>
      <c r="AA383" s="76"/>
      <c r="AB383" s="76"/>
      <c r="AC383" s="74"/>
      <c r="AD383" s="77"/>
      <c r="AE383" s="77"/>
      <c r="AF383" s="77"/>
      <c r="AG383" s="77"/>
      <c r="AH383" s="77"/>
      <c r="AI383" s="68"/>
      <c r="AJ383" s="213">
        <v>3.9689999999999994E-4</v>
      </c>
      <c r="AK383" s="213">
        <v>1.7345999999999999</v>
      </c>
      <c r="AL383" s="213">
        <v>4</v>
      </c>
      <c r="AM383" s="213">
        <v>5.7428799999999995E-4</v>
      </c>
      <c r="AN383" s="74"/>
      <c r="AO383" s="73"/>
      <c r="AP383" s="73"/>
      <c r="AQ383" s="73"/>
      <c r="AR383" s="73"/>
      <c r="AS383" s="73"/>
      <c r="AT383" s="74"/>
      <c r="AU383" s="47"/>
      <c r="AV383" s="48"/>
    </row>
    <row r="384" spans="1:48" ht="12.75" customHeight="1" x14ac:dyDescent="0.25">
      <c r="A384" s="72" t="s">
        <v>23</v>
      </c>
      <c r="B384" s="43" t="s">
        <v>159</v>
      </c>
      <c r="C384" s="44" t="s">
        <v>534</v>
      </c>
      <c r="D384" s="45">
        <f>MROUND(MID($C384,6,3)/Basis!$E$3,0.5)</f>
        <v>19.5</v>
      </c>
      <c r="E384" s="45">
        <f>MROUND(MID($C384,9,3)/Basis!$E$3,0.5)</f>
        <v>118</v>
      </c>
      <c r="F384" s="124" t="s">
        <v>2944</v>
      </c>
      <c r="G384" s="45">
        <f>ROUND((ROUNDDOWN($F384/5,0)*5+1.8)/Basis!$E$3,1)</f>
        <v>6.6</v>
      </c>
      <c r="H384" s="120">
        <f>ROUND($P384*Basis!$E$2*((TaH-TrH)/LN(1/µ)/Basis!$E$7)^$N384*$AA$4*Glycol,0)</f>
        <v>11282</v>
      </c>
      <c r="I384" s="83">
        <f>ROUND(H384/(MID($C384,9,3)/Basis!$E$3/Basis!$E$9)*Basis!$E$11,0)</f>
        <v>1146</v>
      </c>
      <c r="J384" s="123">
        <f>IF(Basis!$E$1=1,ROUND(H384/((TaH-TrH)*1.163)/3600,3),ROUND(H384/(500*(TaH-TrH)),2))</f>
        <v>1.1299999999999999</v>
      </c>
      <c r="K384" s="84"/>
      <c r="L384" s="177">
        <f>CHOOSE(Basis!$E$1,((AJ384*(J384*3600/Basis!$E$5)^AK384*(((MID(C384,9,3)*10)-144)/1000)*AL384+AM384*(J384*3600/Basis!$E$5)^2)*0.0098)/Basis!$E$10,((AJ384*(J384/Basis!$E$5)^AK384*(((MID(C384,9,3)*10)-144)/1000)*AL384+AM384*(J384/Basis!$E$5)^2)*0.0098)/Basis!$E$10)</f>
        <v>0.15489024652923833</v>
      </c>
      <c r="M384" s="85"/>
      <c r="N384" s="110">
        <v>1.373</v>
      </c>
      <c r="O384" s="74"/>
      <c r="P384" s="73">
        <v>5202</v>
      </c>
      <c r="Q384" s="74"/>
      <c r="R384" s="75"/>
      <c r="S384" s="75"/>
      <c r="T384" s="75"/>
      <c r="U384" s="75"/>
      <c r="V384" s="75"/>
      <c r="W384" s="74"/>
      <c r="X384" s="76"/>
      <c r="Y384" s="76"/>
      <c r="Z384" s="76"/>
      <c r="AA384" s="76"/>
      <c r="AB384" s="76"/>
      <c r="AC384" s="74"/>
      <c r="AD384" s="77"/>
      <c r="AE384" s="77"/>
      <c r="AF384" s="77"/>
      <c r="AG384" s="77"/>
      <c r="AH384" s="77"/>
      <c r="AI384" s="68"/>
      <c r="AJ384" s="213">
        <v>2.0829999999999999E-4</v>
      </c>
      <c r="AK384" s="213">
        <v>1.724</v>
      </c>
      <c r="AL384" s="213">
        <v>2</v>
      </c>
      <c r="AM384" s="213">
        <v>4.6182900000000003E-4</v>
      </c>
      <c r="AN384" s="74"/>
      <c r="AO384" s="73"/>
      <c r="AP384" s="73"/>
      <c r="AQ384" s="73"/>
      <c r="AR384" s="73"/>
      <c r="AS384" s="73"/>
      <c r="AT384" s="74"/>
      <c r="AU384" s="47"/>
      <c r="AV384" s="48"/>
    </row>
    <row r="385" spans="1:48" ht="12.75" customHeight="1" x14ac:dyDescent="0.25">
      <c r="A385" s="72" t="s">
        <v>23</v>
      </c>
      <c r="B385" s="43" t="s">
        <v>159</v>
      </c>
      <c r="C385" s="44" t="s">
        <v>535</v>
      </c>
      <c r="D385" s="45">
        <f>MROUND(MID($C385,6,3)/Basis!$E$3,0.5)</f>
        <v>19.5</v>
      </c>
      <c r="E385" s="45">
        <f>MROUND(MID($C385,9,3)/Basis!$E$3,0.5)</f>
        <v>118</v>
      </c>
      <c r="F385" s="124" t="s">
        <v>2947</v>
      </c>
      <c r="G385" s="45">
        <f>ROUND((ROUNDDOWN($F385/5,0)*5+1.8)/Basis!$E$3,1)</f>
        <v>6.6</v>
      </c>
      <c r="H385" s="120">
        <f>ROUND($P385*Basis!$E$2*((TaH-TrH)/LN(1/µ)/Basis!$E$7)^$N385*$AA$4*Glycol,0)</f>
        <v>11984</v>
      </c>
      <c r="I385" s="83">
        <f>ROUND(H385/(MID($C385,9,3)/Basis!$E$3/Basis!$E$9)*Basis!$E$11,0)</f>
        <v>1218</v>
      </c>
      <c r="J385" s="123">
        <f>IF(Basis!$E$1=1,ROUND(H385/((TaH-TrH)*1.163)/3600,3),ROUND(H385/(500*(TaH-TrH)),2))</f>
        <v>1.2</v>
      </c>
      <c r="K385" s="84"/>
      <c r="L385" s="177">
        <f>CHOOSE(Basis!$E$1,((AJ385*(J385*3600/Basis!$E$5)^AK385*(((MID(C385,9,3)*10)-144)/1000)*AL385+AM385*(J385*3600/Basis!$E$5)^2)*0.0098)/Basis!$E$10,((AJ385*(J385/Basis!$E$5)^AK385*(((MID(C385,9,3)*10)-144)/1000)*AL385+AM385*(J385/Basis!$E$5)^2)*0.0098)/Basis!$E$10)</f>
        <v>0.46123906404270754</v>
      </c>
      <c r="M385" s="85"/>
      <c r="N385" s="109">
        <v>1.464</v>
      </c>
      <c r="O385" s="68"/>
      <c r="P385" s="67">
        <v>5694</v>
      </c>
      <c r="Q385" s="68"/>
      <c r="R385" s="69"/>
      <c r="S385" s="69"/>
      <c r="T385" s="69"/>
      <c r="U385" s="69"/>
      <c r="V385" s="69"/>
      <c r="W385" s="68"/>
      <c r="X385" s="70"/>
      <c r="Y385" s="70"/>
      <c r="Z385" s="70"/>
      <c r="AA385" s="70"/>
      <c r="AB385" s="70"/>
      <c r="AC385" s="68"/>
      <c r="AD385" s="71"/>
      <c r="AE385" s="71"/>
      <c r="AF385" s="71"/>
      <c r="AG385" s="71"/>
      <c r="AH385" s="71"/>
      <c r="AI385" s="68"/>
      <c r="AJ385" s="214">
        <v>2.0829999999999999E-4</v>
      </c>
      <c r="AK385" s="214">
        <v>1.724</v>
      </c>
      <c r="AL385" s="214">
        <v>4</v>
      </c>
      <c r="AM385" s="214">
        <v>1.392796E-3</v>
      </c>
      <c r="AN385" s="68"/>
      <c r="AO385" s="67"/>
      <c r="AP385" s="67"/>
      <c r="AQ385" s="67"/>
      <c r="AR385" s="67"/>
      <c r="AS385" s="67"/>
      <c r="AT385" s="68"/>
      <c r="AU385" s="49"/>
      <c r="AV385" s="50"/>
    </row>
    <row r="386" spans="1:48" ht="12.75" customHeight="1" x14ac:dyDescent="0.25">
      <c r="A386" s="72" t="s">
        <v>23</v>
      </c>
      <c r="B386" s="43" t="s">
        <v>159</v>
      </c>
      <c r="C386" s="44" t="s">
        <v>536</v>
      </c>
      <c r="D386" s="45">
        <f>MROUND(MID($C386,6,3)/Basis!$E$3,0.5)</f>
        <v>19.5</v>
      </c>
      <c r="E386" s="45">
        <f>MROUND(MID($C386,9,3)/Basis!$E$3,0.5)</f>
        <v>118</v>
      </c>
      <c r="F386" s="124" t="s">
        <v>2945</v>
      </c>
      <c r="G386" s="45">
        <f>ROUND((ROUNDDOWN($F386/5,0)*5+1.8)/Basis!$E$3,1)</f>
        <v>8.6</v>
      </c>
      <c r="H386" s="120">
        <f>ROUND($P386*Basis!$E$2*((TaH-TrH)/LN(1/µ)/Basis!$E$7)^$N386*$AA$4*Glycol,0)</f>
        <v>15778</v>
      </c>
      <c r="I386" s="83">
        <f>ROUND(H386/(MID($C386,9,3)/Basis!$E$3/Basis!$E$9)*Basis!$E$11,0)</f>
        <v>1603</v>
      </c>
      <c r="J386" s="123">
        <f>IF(Basis!$E$1=1,ROUND(H386/((TaH-TrH)*1.163)/3600,3),ROUND(H386/(500*(TaH-TrH)),2))</f>
        <v>1.58</v>
      </c>
      <c r="K386" s="84"/>
      <c r="L386" s="177">
        <f>CHOOSE(Basis!$E$1,((AJ386*(J386*3600/Basis!$E$5)^AK386*(((MID(C386,9,3)*10)-144)/1000)*AL386+AM386*(J386*3600/Basis!$E$5)^2)*0.0098)/Basis!$E$10,((AJ386*(J386/Basis!$E$5)^AK386*(((MID(C386,9,3)*10)-144)/1000)*AL386+AM386*(J386/Basis!$E$5)^2)*0.0098)/Basis!$E$10)</f>
        <v>0.21834711215546868</v>
      </c>
      <c r="M386" s="85"/>
      <c r="N386" s="109">
        <v>1.373</v>
      </c>
      <c r="O386" s="68"/>
      <c r="P386" s="67">
        <v>7275</v>
      </c>
      <c r="Q386" s="68"/>
      <c r="R386" s="69"/>
      <c r="S386" s="69"/>
      <c r="T386" s="69"/>
      <c r="U386" s="69"/>
      <c r="V386" s="69"/>
      <c r="W386" s="68"/>
      <c r="X386" s="70"/>
      <c r="Y386" s="70"/>
      <c r="Z386" s="70"/>
      <c r="AA386" s="70"/>
      <c r="AB386" s="70"/>
      <c r="AC386" s="68"/>
      <c r="AD386" s="71"/>
      <c r="AE386" s="71"/>
      <c r="AF386" s="71"/>
      <c r="AG386" s="71"/>
      <c r="AH386" s="71"/>
      <c r="AI386" s="68"/>
      <c r="AJ386" s="214">
        <v>1.2760000000000001E-4</v>
      </c>
      <c r="AK386" s="214">
        <v>1.7219</v>
      </c>
      <c r="AL386" s="214">
        <v>2</v>
      </c>
      <c r="AM386" s="214">
        <v>3.76611E-4</v>
      </c>
      <c r="AN386" s="68"/>
      <c r="AO386" s="67"/>
      <c r="AP386" s="67"/>
      <c r="AQ386" s="67"/>
      <c r="AR386" s="67"/>
      <c r="AS386" s="67"/>
      <c r="AT386" s="68"/>
      <c r="AU386" s="49"/>
      <c r="AV386" s="50"/>
    </row>
    <row r="387" spans="1:48" ht="12.75" customHeight="1" x14ac:dyDescent="0.25">
      <c r="A387" s="72" t="s">
        <v>23</v>
      </c>
      <c r="B387" s="43" t="s">
        <v>159</v>
      </c>
      <c r="C387" s="44" t="s">
        <v>537</v>
      </c>
      <c r="D387" s="45">
        <f>MROUND(MID($C387,6,3)/Basis!$E$3,0.5)</f>
        <v>19.5</v>
      </c>
      <c r="E387" s="45">
        <f>MROUND(MID($C387,9,3)/Basis!$E$3,0.5)</f>
        <v>118</v>
      </c>
      <c r="F387" s="124" t="s">
        <v>2948</v>
      </c>
      <c r="G387" s="45">
        <f>ROUND((ROUNDDOWN($F387/5,0)*5+1.8)/Basis!$E$3,1)</f>
        <v>8.6</v>
      </c>
      <c r="H387" s="120">
        <f>ROUND($P387*Basis!$E$2*((TaH-TrH)/LN(1/µ)/Basis!$E$7)^$N387*$AA$4*Glycol,0)</f>
        <v>16190</v>
      </c>
      <c r="I387" s="83">
        <f>ROUND(H387/(MID($C387,9,3)/Basis!$E$3/Basis!$E$9)*Basis!$E$11,0)</f>
        <v>1645</v>
      </c>
      <c r="J387" s="123">
        <f>IF(Basis!$E$1=1,ROUND(H387/((TaH-TrH)*1.163)/3600,3),ROUND(H387/(500*(TaH-TrH)),2))</f>
        <v>1.62</v>
      </c>
      <c r="K387" s="84"/>
      <c r="L387" s="177">
        <f>CHOOSE(Basis!$E$1,((AJ387*(J387*3600/Basis!$E$5)^AK387*(((MID(C387,9,3)*10)-144)/1000)*AL387+AM387*(J387*3600/Basis!$E$5)^2)*0.0098)/Basis!$E$10,((AJ387*(J387/Basis!$E$5)^AK387*(((MID(C387,9,3)*10)-144)/1000)*AL387+AM387*(J387/Basis!$E$5)^2)*0.0098)/Basis!$E$10)</f>
        <v>0.35241002840734614</v>
      </c>
      <c r="M387" s="85"/>
      <c r="N387" s="110">
        <v>1.4850000000000001</v>
      </c>
      <c r="O387" s="74"/>
      <c r="P387" s="73">
        <v>7746</v>
      </c>
      <c r="Q387" s="74"/>
      <c r="R387" s="75"/>
      <c r="S387" s="75"/>
      <c r="T387" s="75"/>
      <c r="U387" s="75"/>
      <c r="V387" s="75"/>
      <c r="W387" s="74"/>
      <c r="X387" s="76"/>
      <c r="Y387" s="76"/>
      <c r="Z387" s="76"/>
      <c r="AA387" s="76"/>
      <c r="AB387" s="76"/>
      <c r="AC387" s="74"/>
      <c r="AD387" s="77"/>
      <c r="AE387" s="77"/>
      <c r="AF387" s="77"/>
      <c r="AG387" s="77"/>
      <c r="AH387" s="77"/>
      <c r="AI387" s="68"/>
      <c r="AJ387" s="213">
        <v>1.2760000000000001E-4</v>
      </c>
      <c r="AK387" s="213">
        <v>1.7219</v>
      </c>
      <c r="AL387" s="213">
        <v>4</v>
      </c>
      <c r="AM387" s="213">
        <v>5.1420100000000005E-4</v>
      </c>
      <c r="AN387" s="74"/>
      <c r="AO387" s="73"/>
      <c r="AP387" s="73"/>
      <c r="AQ387" s="73"/>
      <c r="AR387" s="73"/>
      <c r="AS387" s="73"/>
      <c r="AT387" s="74"/>
      <c r="AU387" s="47"/>
      <c r="AV387" s="48"/>
    </row>
    <row r="388" spans="1:48" ht="12.75" customHeight="1" x14ac:dyDescent="0.25">
      <c r="A388" s="72" t="s">
        <v>23</v>
      </c>
      <c r="B388" s="43" t="s">
        <v>159</v>
      </c>
      <c r="C388" s="44" t="s">
        <v>538</v>
      </c>
      <c r="D388" s="45">
        <f>MROUND(MID($C388,6,3)/Basis!$E$3,0.5)</f>
        <v>23.5</v>
      </c>
      <c r="E388" s="45">
        <f>MROUND(MID($C388,9,3)/Basis!$E$3,0.5)</f>
        <v>15.5</v>
      </c>
      <c r="F388" s="124" t="s">
        <v>2943</v>
      </c>
      <c r="G388" s="45">
        <f>ROUND((ROUNDDOWN($F388/5,0)*5+1.8)/Basis!$E$3,1)</f>
        <v>4.5999999999999996</v>
      </c>
      <c r="H388" s="120">
        <f>ROUND($P388*Basis!$E$2*((TaH-TrH)/LN(1/µ)/Basis!$E$7)^$N388*$AA$4*Glycol,0)</f>
        <v>1014</v>
      </c>
      <c r="I388" s="83">
        <f>ROUND(H388/(MID($C388,9,3)/Basis!$E$3/Basis!$E$9)*Basis!$E$11,0)</f>
        <v>773</v>
      </c>
      <c r="J388" s="123">
        <f>IF(Basis!$E$1=1,ROUND(H388/((TaH-TrH)*1.163)/3600,3),ROUND(H388/(500*(TaH-TrH)),2))</f>
        <v>0.1</v>
      </c>
      <c r="K388" s="84"/>
      <c r="L388" s="177">
        <f>CHOOSE(Basis!$E$1,((AJ388*(J388*3600/Basis!$E$5)^AK388*(((MID(C388,9,3)*10)-144)/1000)*AL388+AM388*(J388*3600/Basis!$E$5)^2)*0.0098)/Basis!$E$10,((AJ388*(J388/Basis!$E$5)^AK388*(((MID(C388,9,3)*10)-144)/1000)*AL388+AM388*(J388/Basis!$E$5)^2)*0.0098)/Basis!$E$10)</f>
        <v>7.6924166468171412E-4</v>
      </c>
      <c r="M388" s="85"/>
      <c r="N388" s="110">
        <v>1.3759999999999999</v>
      </c>
      <c r="O388" s="74"/>
      <c r="P388" s="73">
        <v>468</v>
      </c>
      <c r="Q388" s="74"/>
      <c r="R388" s="75"/>
      <c r="S388" s="75"/>
      <c r="T388" s="75"/>
      <c r="U388" s="75"/>
      <c r="V388" s="75"/>
      <c r="W388" s="74"/>
      <c r="X388" s="76"/>
      <c r="Y388" s="76"/>
      <c r="Z388" s="76"/>
      <c r="AA388" s="76"/>
      <c r="AB388" s="76"/>
      <c r="AC388" s="74"/>
      <c r="AD388" s="77"/>
      <c r="AE388" s="77"/>
      <c r="AF388" s="77"/>
      <c r="AG388" s="77"/>
      <c r="AH388" s="77"/>
      <c r="AI388" s="68"/>
      <c r="AJ388" s="213">
        <v>3.9689999999999994E-4</v>
      </c>
      <c r="AK388" s="213">
        <v>1.7345999999999999</v>
      </c>
      <c r="AL388" s="213">
        <v>2</v>
      </c>
      <c r="AM388" s="213">
        <v>3.6734700000000002E-4</v>
      </c>
      <c r="AN388" s="74"/>
      <c r="AO388" s="73"/>
      <c r="AP388" s="73"/>
      <c r="AQ388" s="73"/>
      <c r="AR388" s="73"/>
      <c r="AS388" s="73"/>
      <c r="AT388" s="74"/>
      <c r="AU388" s="47"/>
      <c r="AV388" s="48"/>
    </row>
    <row r="389" spans="1:48" ht="12.75" customHeight="1" x14ac:dyDescent="0.25">
      <c r="A389" s="72" t="s">
        <v>23</v>
      </c>
      <c r="B389" s="43" t="s">
        <v>159</v>
      </c>
      <c r="C389" s="44" t="s">
        <v>539</v>
      </c>
      <c r="D389" s="45">
        <f>MROUND(MID($C389,6,3)/Basis!$E$3,0.5)</f>
        <v>23.5</v>
      </c>
      <c r="E389" s="45">
        <f>MROUND(MID($C389,9,3)/Basis!$E$3,0.5)</f>
        <v>15.5</v>
      </c>
      <c r="F389" s="124" t="s">
        <v>2946</v>
      </c>
      <c r="G389" s="45">
        <f>ROUND((ROUNDDOWN($F389/5,0)*5+1.8)/Basis!$E$3,1)</f>
        <v>4.5999999999999996</v>
      </c>
      <c r="H389" s="120">
        <f>ROUND($P389*Basis!$E$2*((TaH-TrH)/LN(1/µ)/Basis!$E$7)^$N389*$AA$4*Glycol,0)</f>
        <v>1270</v>
      </c>
      <c r="I389" s="83">
        <f>ROUND(H389/(MID($C389,9,3)/Basis!$E$3/Basis!$E$9)*Basis!$E$11,0)</f>
        <v>968</v>
      </c>
      <c r="J389" s="123">
        <f>IF(Basis!$E$1=1,ROUND(H389/((TaH-TrH)*1.163)/3600,3),ROUND(H389/(500*(TaH-TrH)),2))</f>
        <v>0.13</v>
      </c>
      <c r="K389" s="84"/>
      <c r="L389" s="177">
        <f>CHOOSE(Basis!$E$1,((AJ389*(J389*3600/Basis!$E$5)^AK389*(((MID(C389,9,3)*10)-144)/1000)*AL389+AM389*(J389*3600/Basis!$E$5)^2)*0.0098)/Basis!$E$10,((AJ389*(J389/Basis!$E$5)^AK389*(((MID(C389,9,3)*10)-144)/1000)*AL389+AM389*(J389/Basis!$E$5)^2)*0.0098)/Basis!$E$10)</f>
        <v>2.1087760791049666E-3</v>
      </c>
      <c r="M389" s="85"/>
      <c r="N389" s="109">
        <v>1.4370000000000001</v>
      </c>
      <c r="O389" s="68"/>
      <c r="P389" s="67">
        <v>598</v>
      </c>
      <c r="Q389" s="68"/>
      <c r="R389" s="69"/>
      <c r="S389" s="69"/>
      <c r="T389" s="69"/>
      <c r="U389" s="69"/>
      <c r="V389" s="69"/>
      <c r="W389" s="68"/>
      <c r="X389" s="70"/>
      <c r="Y389" s="70"/>
      <c r="Z389" s="70"/>
      <c r="AA389" s="70"/>
      <c r="AB389" s="70"/>
      <c r="AC389" s="68"/>
      <c r="AD389" s="71"/>
      <c r="AE389" s="71"/>
      <c r="AF389" s="71"/>
      <c r="AG389" s="71"/>
      <c r="AH389" s="71"/>
      <c r="AI389" s="68"/>
      <c r="AJ389" s="214">
        <v>3.9689999999999994E-4</v>
      </c>
      <c r="AK389" s="214">
        <v>1.7345999999999999</v>
      </c>
      <c r="AL389" s="214">
        <v>4</v>
      </c>
      <c r="AM389" s="214">
        <v>5.7428799999999995E-4</v>
      </c>
      <c r="AN389" s="68"/>
      <c r="AO389" s="67"/>
      <c r="AP389" s="67"/>
      <c r="AQ389" s="67"/>
      <c r="AR389" s="67"/>
      <c r="AS389" s="67"/>
      <c r="AT389" s="68"/>
      <c r="AU389" s="49"/>
      <c r="AV389" s="50"/>
    </row>
    <row r="390" spans="1:48" ht="12.75" customHeight="1" x14ac:dyDescent="0.25">
      <c r="A390" s="72" t="s">
        <v>23</v>
      </c>
      <c r="B390" s="43" t="s">
        <v>159</v>
      </c>
      <c r="C390" s="44" t="s">
        <v>540</v>
      </c>
      <c r="D390" s="45">
        <f>MROUND(MID($C390,6,3)/Basis!$E$3,0.5)</f>
        <v>23.5</v>
      </c>
      <c r="E390" s="45">
        <f>MROUND(MID($C390,9,3)/Basis!$E$3,0.5)</f>
        <v>15.5</v>
      </c>
      <c r="F390" s="124" t="s">
        <v>2944</v>
      </c>
      <c r="G390" s="45">
        <f>ROUND((ROUNDDOWN($F390/5,0)*5+1.8)/Basis!$E$3,1)</f>
        <v>6.6</v>
      </c>
      <c r="H390" s="120">
        <f>ROUND($P390*Basis!$E$2*((TaH-TrH)/LN(1/µ)/Basis!$E$7)^$N390*$AA$4*Glycol,0)</f>
        <v>1624</v>
      </c>
      <c r="I390" s="83">
        <f>ROUND(H390/(MID($C390,9,3)/Basis!$E$3/Basis!$E$9)*Basis!$E$11,0)</f>
        <v>1237</v>
      </c>
      <c r="J390" s="123">
        <f>IF(Basis!$E$1=1,ROUND(H390/((TaH-TrH)*1.163)/3600,3),ROUND(H390/(500*(TaH-TrH)),2))</f>
        <v>0.16</v>
      </c>
      <c r="K390" s="84"/>
      <c r="L390" s="177">
        <f>CHOOSE(Basis!$E$1,((AJ390*(J390*3600/Basis!$E$5)^AK390*(((MID(C390,9,3)*10)-144)/1000)*AL390+AM390*(J390*3600/Basis!$E$5)^2)*0.0098)/Basis!$E$10,((AJ390*(J390/Basis!$E$5)^AK390*(((MID(C390,9,3)*10)-144)/1000)*AL390+AM390*(J390/Basis!$E$5)^2)*0.0098)/Basis!$E$10)</f>
        <v>2.1649901155185668E-3</v>
      </c>
      <c r="M390" s="85"/>
      <c r="N390" s="110">
        <v>1.361</v>
      </c>
      <c r="O390" s="74"/>
      <c r="P390" s="73">
        <v>746</v>
      </c>
      <c r="Q390" s="74"/>
      <c r="R390" s="75"/>
      <c r="S390" s="75"/>
      <c r="T390" s="75"/>
      <c r="U390" s="75"/>
      <c r="V390" s="75"/>
      <c r="W390" s="74"/>
      <c r="X390" s="76"/>
      <c r="Y390" s="76"/>
      <c r="Z390" s="76"/>
      <c r="AA390" s="76"/>
      <c r="AB390" s="76"/>
      <c r="AC390" s="74"/>
      <c r="AD390" s="77"/>
      <c r="AE390" s="77"/>
      <c r="AF390" s="77"/>
      <c r="AG390" s="77"/>
      <c r="AH390" s="77"/>
      <c r="AI390" s="68"/>
      <c r="AJ390" s="213">
        <v>2.0829999999999999E-4</v>
      </c>
      <c r="AK390" s="213">
        <v>1.724</v>
      </c>
      <c r="AL390" s="213">
        <v>2</v>
      </c>
      <c r="AM390" s="213">
        <v>4.6182900000000003E-4</v>
      </c>
      <c r="AN390" s="74"/>
      <c r="AO390" s="73"/>
      <c r="AP390" s="73"/>
      <c r="AQ390" s="73"/>
      <c r="AR390" s="73"/>
      <c r="AS390" s="73"/>
      <c r="AT390" s="74"/>
      <c r="AU390" s="47"/>
      <c r="AV390" s="48"/>
    </row>
    <row r="391" spans="1:48" ht="12.75" customHeight="1" x14ac:dyDescent="0.25">
      <c r="A391" s="72" t="s">
        <v>23</v>
      </c>
      <c r="B391" s="43" t="s">
        <v>159</v>
      </c>
      <c r="C391" s="44" t="s">
        <v>541</v>
      </c>
      <c r="D391" s="45">
        <f>MROUND(MID($C391,6,3)/Basis!$E$3,0.5)</f>
        <v>23.5</v>
      </c>
      <c r="E391" s="45">
        <f>MROUND(MID($C391,9,3)/Basis!$E$3,0.5)</f>
        <v>15.5</v>
      </c>
      <c r="F391" s="124" t="s">
        <v>2947</v>
      </c>
      <c r="G391" s="45">
        <f>ROUND((ROUNDDOWN($F391/5,0)*5+1.8)/Basis!$E$3,1)</f>
        <v>6.6</v>
      </c>
      <c r="H391" s="120">
        <f>ROUND($P391*Basis!$E$2*((TaH-TrH)/LN(1/µ)/Basis!$E$7)^$N391*$AA$4*Glycol,0)</f>
        <v>1753</v>
      </c>
      <c r="I391" s="83">
        <f>ROUND(H391/(MID($C391,9,3)/Basis!$E$3/Basis!$E$9)*Basis!$E$11,0)</f>
        <v>1336</v>
      </c>
      <c r="J391" s="123">
        <f>IF(Basis!$E$1=1,ROUND(H391/((TaH-TrH)*1.163)/3600,3),ROUND(H391/(500*(TaH-TrH)),2))</f>
        <v>0.18</v>
      </c>
      <c r="K391" s="84"/>
      <c r="L391" s="177">
        <f>CHOOSE(Basis!$E$1,((AJ391*(J391*3600/Basis!$E$5)^AK391*(((MID(C391,9,3)*10)-144)/1000)*AL391+AM391*(J391*3600/Basis!$E$5)^2)*0.0098)/Basis!$E$10,((AJ391*(J391/Basis!$E$5)^AK391*(((MID(C391,9,3)*10)-144)/1000)*AL391+AM391*(J391/Basis!$E$5)^2)*0.0098)/Basis!$E$10)</f>
        <v>8.0300966484345999E-3</v>
      </c>
      <c r="M391" s="85"/>
      <c r="N391" s="109">
        <v>1.468</v>
      </c>
      <c r="O391" s="68"/>
      <c r="P391" s="67">
        <v>834</v>
      </c>
      <c r="Q391" s="68"/>
      <c r="R391" s="69"/>
      <c r="S391" s="69"/>
      <c r="T391" s="69"/>
      <c r="U391" s="69"/>
      <c r="V391" s="69"/>
      <c r="W391" s="68"/>
      <c r="X391" s="70"/>
      <c r="Y391" s="70"/>
      <c r="Z391" s="70"/>
      <c r="AA391" s="70"/>
      <c r="AB391" s="70"/>
      <c r="AC391" s="68"/>
      <c r="AD391" s="71"/>
      <c r="AE391" s="71"/>
      <c r="AF391" s="71"/>
      <c r="AG391" s="71"/>
      <c r="AH391" s="71"/>
      <c r="AI391" s="68"/>
      <c r="AJ391" s="214">
        <v>2.0829999999999999E-4</v>
      </c>
      <c r="AK391" s="214">
        <v>1.724</v>
      </c>
      <c r="AL391" s="214">
        <v>4</v>
      </c>
      <c r="AM391" s="214">
        <v>1.392796E-3</v>
      </c>
      <c r="AN391" s="68"/>
      <c r="AO391" s="67"/>
      <c r="AP391" s="67"/>
      <c r="AQ391" s="67"/>
      <c r="AR391" s="67"/>
      <c r="AS391" s="67"/>
      <c r="AT391" s="68"/>
      <c r="AU391" s="49"/>
      <c r="AV391" s="50"/>
    </row>
    <row r="392" spans="1:48" ht="12.75" customHeight="1" x14ac:dyDescent="0.25">
      <c r="A392" s="72" t="s">
        <v>23</v>
      </c>
      <c r="B392" s="43" t="s">
        <v>159</v>
      </c>
      <c r="C392" s="44" t="s">
        <v>542</v>
      </c>
      <c r="D392" s="45">
        <f>MROUND(MID($C392,6,3)/Basis!$E$3,0.5)</f>
        <v>23.5</v>
      </c>
      <c r="E392" s="45">
        <f>MROUND(MID($C392,9,3)/Basis!$E$3,0.5)</f>
        <v>15.5</v>
      </c>
      <c r="F392" s="124" t="s">
        <v>2945</v>
      </c>
      <c r="G392" s="45">
        <f>ROUND((ROUNDDOWN($F392/5,0)*5+1.8)/Basis!$E$3,1)</f>
        <v>8.6</v>
      </c>
      <c r="H392" s="120">
        <f>ROUND($P392*Basis!$E$2*((TaH-TrH)/LN(1/µ)/Basis!$E$7)^$N392*$AA$4*Glycol,0)</f>
        <v>2271</v>
      </c>
      <c r="I392" s="83">
        <f>ROUND(H392/(MID($C392,9,3)/Basis!$E$3/Basis!$E$9)*Basis!$E$11,0)</f>
        <v>1731</v>
      </c>
      <c r="J392" s="123">
        <f>IF(Basis!$E$1=1,ROUND(H392/((TaH-TrH)*1.163)/3600,3),ROUND(H392/(500*(TaH-TrH)),2))</f>
        <v>0.23</v>
      </c>
      <c r="K392" s="84"/>
      <c r="L392" s="177">
        <f>CHOOSE(Basis!$E$1,((AJ392*(J392*3600/Basis!$E$5)^AK392*(((MID(C392,9,3)*10)-144)/1000)*AL392+AM392*(J392*3600/Basis!$E$5)^2)*0.0098)/Basis!$E$10,((AJ392*(J392/Basis!$E$5)^AK392*(((MID(C392,9,3)*10)-144)/1000)*AL392+AM392*(J392/Basis!$E$5)^2)*0.0098)/Basis!$E$10)</f>
        <v>3.5543853752678677E-3</v>
      </c>
      <c r="M392" s="85"/>
      <c r="N392" s="110">
        <v>1.361</v>
      </c>
      <c r="O392" s="74"/>
      <c r="P392" s="73">
        <v>1043</v>
      </c>
      <c r="Q392" s="74"/>
      <c r="R392" s="75"/>
      <c r="S392" s="75"/>
      <c r="T392" s="75"/>
      <c r="U392" s="75"/>
      <c r="V392" s="75"/>
      <c r="W392" s="74"/>
      <c r="X392" s="76"/>
      <c r="Y392" s="76"/>
      <c r="Z392" s="76"/>
      <c r="AA392" s="76"/>
      <c r="AB392" s="76"/>
      <c r="AC392" s="74"/>
      <c r="AD392" s="77"/>
      <c r="AE392" s="77"/>
      <c r="AF392" s="77"/>
      <c r="AG392" s="77"/>
      <c r="AH392" s="77"/>
      <c r="AI392" s="68"/>
      <c r="AJ392" s="213">
        <v>1.2760000000000001E-4</v>
      </c>
      <c r="AK392" s="213">
        <v>1.7219</v>
      </c>
      <c r="AL392" s="213">
        <v>2</v>
      </c>
      <c r="AM392" s="213">
        <v>3.76611E-4</v>
      </c>
      <c r="AN392" s="74"/>
      <c r="AO392" s="73"/>
      <c r="AP392" s="73"/>
      <c r="AQ392" s="73"/>
      <c r="AR392" s="73"/>
      <c r="AS392" s="73"/>
      <c r="AT392" s="74"/>
      <c r="AU392" s="47"/>
      <c r="AV392" s="48"/>
    </row>
    <row r="393" spans="1:48" ht="12.75" customHeight="1" x14ac:dyDescent="0.25">
      <c r="A393" s="72" t="s">
        <v>23</v>
      </c>
      <c r="B393" s="43" t="s">
        <v>159</v>
      </c>
      <c r="C393" s="44" t="s">
        <v>543</v>
      </c>
      <c r="D393" s="45">
        <f>MROUND(MID($C393,6,3)/Basis!$E$3,0.5)</f>
        <v>23.5</v>
      </c>
      <c r="E393" s="45">
        <f>MROUND(MID($C393,9,3)/Basis!$E$3,0.5)</f>
        <v>15.5</v>
      </c>
      <c r="F393" s="124" t="s">
        <v>2948</v>
      </c>
      <c r="G393" s="45">
        <f>ROUND((ROUNDDOWN($F393/5,0)*5+1.8)/Basis!$E$3,1)</f>
        <v>8.6</v>
      </c>
      <c r="H393" s="120">
        <f>ROUND($P393*Basis!$E$2*((TaH-TrH)/LN(1/µ)/Basis!$E$7)^$N393*$AA$4*Glycol,0)</f>
        <v>2404</v>
      </c>
      <c r="I393" s="83">
        <f>ROUND(H393/(MID($C393,9,3)/Basis!$E$3/Basis!$E$9)*Basis!$E$11,0)</f>
        <v>1832</v>
      </c>
      <c r="J393" s="123">
        <f>IF(Basis!$E$1=1,ROUND(H393/((TaH-TrH)*1.163)/3600,3),ROUND(H393/(500*(TaH-TrH)),2))</f>
        <v>0.24</v>
      </c>
      <c r="K393" s="84"/>
      <c r="L393" s="177">
        <f>CHOOSE(Basis!$E$1,((AJ393*(J393*3600/Basis!$E$5)^AK393*(((MID(C393,9,3)*10)-144)/1000)*AL393+AM393*(J393*3600/Basis!$E$5)^2)*0.0098)/Basis!$E$10,((AJ393*(J393/Basis!$E$5)^AK393*(((MID(C393,9,3)*10)-144)/1000)*AL393+AM393*(J393/Basis!$E$5)^2)*0.0098)/Basis!$E$10)</f>
        <v>5.4132082200726147E-3</v>
      </c>
      <c r="M393" s="85"/>
      <c r="N393" s="109">
        <v>1.4930000000000001</v>
      </c>
      <c r="O393" s="68"/>
      <c r="P393" s="67">
        <v>1153</v>
      </c>
      <c r="Q393" s="68"/>
      <c r="R393" s="69"/>
      <c r="S393" s="69"/>
      <c r="T393" s="69"/>
      <c r="U393" s="69"/>
      <c r="V393" s="69"/>
      <c r="W393" s="68"/>
      <c r="X393" s="70"/>
      <c r="Y393" s="70"/>
      <c r="Z393" s="70"/>
      <c r="AA393" s="70"/>
      <c r="AB393" s="70"/>
      <c r="AC393" s="68"/>
      <c r="AD393" s="71"/>
      <c r="AE393" s="71"/>
      <c r="AF393" s="71"/>
      <c r="AG393" s="71"/>
      <c r="AH393" s="71"/>
      <c r="AI393" s="68"/>
      <c r="AJ393" s="214">
        <v>1.2760000000000001E-4</v>
      </c>
      <c r="AK393" s="214">
        <v>1.7219</v>
      </c>
      <c r="AL393" s="214">
        <v>4</v>
      </c>
      <c r="AM393" s="214">
        <v>5.1420100000000005E-4</v>
      </c>
      <c r="AN393" s="68"/>
      <c r="AO393" s="67"/>
      <c r="AP393" s="67"/>
      <c r="AQ393" s="67"/>
      <c r="AR393" s="67"/>
      <c r="AS393" s="67"/>
      <c r="AT393" s="68"/>
      <c r="AU393" s="49"/>
      <c r="AV393" s="50"/>
    </row>
    <row r="394" spans="1:48" ht="12.75" customHeight="1" x14ac:dyDescent="0.25">
      <c r="A394" s="72" t="s">
        <v>23</v>
      </c>
      <c r="B394" s="43" t="s">
        <v>159</v>
      </c>
      <c r="C394" s="44" t="s">
        <v>544</v>
      </c>
      <c r="D394" s="45">
        <f>MROUND(MID($C394,6,3)/Basis!$E$3,0.5)</f>
        <v>23.5</v>
      </c>
      <c r="E394" s="45">
        <f>MROUND(MID($C394,9,3)/Basis!$E$3,0.5)</f>
        <v>19.5</v>
      </c>
      <c r="F394" s="124" t="s">
        <v>2943</v>
      </c>
      <c r="G394" s="45">
        <f>ROUND((ROUNDDOWN($F394/5,0)*5+1.8)/Basis!$E$3,1)</f>
        <v>4.5999999999999996</v>
      </c>
      <c r="H394" s="120">
        <f>ROUND($P394*Basis!$E$2*((TaH-TrH)/LN(1/µ)/Basis!$E$7)^$N394*$AA$4*Glycol,0)</f>
        <v>1268</v>
      </c>
      <c r="I394" s="83">
        <f>ROUND(H394/(MID($C394,9,3)/Basis!$E$3/Basis!$E$9)*Basis!$E$11,0)</f>
        <v>773</v>
      </c>
      <c r="J394" s="123">
        <f>IF(Basis!$E$1=1,ROUND(H394/((TaH-TrH)*1.163)/3600,3),ROUND(H394/(500*(TaH-TrH)),2))</f>
        <v>0.13</v>
      </c>
      <c r="K394" s="84"/>
      <c r="L394" s="177">
        <f>CHOOSE(Basis!$E$1,((AJ394*(J394*3600/Basis!$E$5)^AK394*(((MID(C394,9,3)*10)-144)/1000)*AL394+AM394*(J394*3600/Basis!$E$5)^2)*0.0098)/Basis!$E$10,((AJ394*(J394/Basis!$E$5)^AK394*(((MID(C394,9,3)*10)-144)/1000)*AL394+AM394*(J394/Basis!$E$5)^2)*0.0098)/Basis!$E$10)</f>
        <v>1.3751481461631344E-3</v>
      </c>
      <c r="M394" s="85"/>
      <c r="N394" s="110">
        <v>1.3759999999999999</v>
      </c>
      <c r="O394" s="74"/>
      <c r="P394" s="73">
        <v>585</v>
      </c>
      <c r="Q394" s="74"/>
      <c r="R394" s="75"/>
      <c r="S394" s="75"/>
      <c r="T394" s="75"/>
      <c r="U394" s="75"/>
      <c r="V394" s="75"/>
      <c r="W394" s="74"/>
      <c r="X394" s="76"/>
      <c r="Y394" s="76"/>
      <c r="Z394" s="76"/>
      <c r="AA394" s="76"/>
      <c r="AB394" s="76"/>
      <c r="AC394" s="74"/>
      <c r="AD394" s="77"/>
      <c r="AE394" s="77"/>
      <c r="AF394" s="77"/>
      <c r="AG394" s="77"/>
      <c r="AH394" s="77"/>
      <c r="AI394" s="68"/>
      <c r="AJ394" s="213">
        <v>3.9689999999999994E-4</v>
      </c>
      <c r="AK394" s="213">
        <v>1.7345999999999999</v>
      </c>
      <c r="AL394" s="213">
        <v>2</v>
      </c>
      <c r="AM394" s="213">
        <v>3.6734700000000002E-4</v>
      </c>
      <c r="AN394" s="74"/>
      <c r="AO394" s="73"/>
      <c r="AP394" s="73"/>
      <c r="AQ394" s="73"/>
      <c r="AR394" s="73"/>
      <c r="AS394" s="73"/>
      <c r="AT394" s="74"/>
      <c r="AU394" s="47"/>
      <c r="AV394" s="48"/>
    </row>
    <row r="395" spans="1:48" ht="12.75" customHeight="1" x14ac:dyDescent="0.25">
      <c r="A395" s="72" t="s">
        <v>23</v>
      </c>
      <c r="B395" s="43" t="s">
        <v>159</v>
      </c>
      <c r="C395" s="44" t="s">
        <v>545</v>
      </c>
      <c r="D395" s="45">
        <f>MROUND(MID($C395,6,3)/Basis!$E$3,0.5)</f>
        <v>23.5</v>
      </c>
      <c r="E395" s="45">
        <f>MROUND(MID($C395,9,3)/Basis!$E$3,0.5)</f>
        <v>19.5</v>
      </c>
      <c r="F395" s="124" t="s">
        <v>2946</v>
      </c>
      <c r="G395" s="45">
        <f>ROUND((ROUNDDOWN($F395/5,0)*5+1.8)/Basis!$E$3,1)</f>
        <v>4.5999999999999996</v>
      </c>
      <c r="H395" s="120">
        <f>ROUND($P395*Basis!$E$2*((TaH-TrH)/LN(1/µ)/Basis!$E$7)^$N395*$AA$4*Glycol,0)</f>
        <v>1586</v>
      </c>
      <c r="I395" s="83">
        <f>ROUND(H395/(MID($C395,9,3)/Basis!$E$3/Basis!$E$9)*Basis!$E$11,0)</f>
        <v>967</v>
      </c>
      <c r="J395" s="123">
        <f>IF(Basis!$E$1=1,ROUND(H395/((TaH-TrH)*1.163)/3600,3),ROUND(H395/(500*(TaH-TrH)),2))</f>
        <v>0.16</v>
      </c>
      <c r="K395" s="84"/>
      <c r="L395" s="177">
        <f>CHOOSE(Basis!$E$1,((AJ395*(J395*3600/Basis!$E$5)^AK395*(((MID(C395,9,3)*10)-144)/1000)*AL395+AM395*(J395*3600/Basis!$E$5)^2)*0.0098)/Basis!$E$10,((AJ395*(J395/Basis!$E$5)^AK395*(((MID(C395,9,3)*10)-144)/1000)*AL395+AM395*(J395/Basis!$E$5)^2)*0.0098)/Basis!$E$10)</f>
        <v>3.4202219579976324E-3</v>
      </c>
      <c r="M395" s="85"/>
      <c r="N395" s="109">
        <v>1.4370000000000001</v>
      </c>
      <c r="O395" s="68"/>
      <c r="P395" s="67">
        <v>747</v>
      </c>
      <c r="Q395" s="68"/>
      <c r="R395" s="69"/>
      <c r="S395" s="69"/>
      <c r="T395" s="69"/>
      <c r="U395" s="69"/>
      <c r="V395" s="69"/>
      <c r="W395" s="68"/>
      <c r="X395" s="70"/>
      <c r="Y395" s="70"/>
      <c r="Z395" s="70"/>
      <c r="AA395" s="70"/>
      <c r="AB395" s="70"/>
      <c r="AC395" s="68"/>
      <c r="AD395" s="71"/>
      <c r="AE395" s="71"/>
      <c r="AF395" s="71"/>
      <c r="AG395" s="71"/>
      <c r="AH395" s="71"/>
      <c r="AI395" s="68"/>
      <c r="AJ395" s="214">
        <v>3.9689999999999994E-4</v>
      </c>
      <c r="AK395" s="214">
        <v>1.7345999999999999</v>
      </c>
      <c r="AL395" s="214">
        <v>4</v>
      </c>
      <c r="AM395" s="214">
        <v>5.7428799999999995E-4</v>
      </c>
      <c r="AN395" s="68"/>
      <c r="AO395" s="67"/>
      <c r="AP395" s="67"/>
      <c r="AQ395" s="67"/>
      <c r="AR395" s="67"/>
      <c r="AS395" s="67"/>
      <c r="AT395" s="68"/>
      <c r="AU395" s="49"/>
      <c r="AV395" s="50"/>
    </row>
    <row r="396" spans="1:48" ht="12.75" customHeight="1" x14ac:dyDescent="0.25">
      <c r="A396" s="72" t="s">
        <v>23</v>
      </c>
      <c r="B396" s="43" t="s">
        <v>159</v>
      </c>
      <c r="C396" s="44" t="s">
        <v>546</v>
      </c>
      <c r="D396" s="45">
        <f>MROUND(MID($C396,6,3)/Basis!$E$3,0.5)</f>
        <v>23.5</v>
      </c>
      <c r="E396" s="45">
        <f>MROUND(MID($C396,9,3)/Basis!$E$3,0.5)</f>
        <v>19.5</v>
      </c>
      <c r="F396" s="124" t="s">
        <v>2944</v>
      </c>
      <c r="G396" s="45">
        <f>ROUND((ROUNDDOWN($F396/5,0)*5+1.8)/Basis!$E$3,1)</f>
        <v>6.6</v>
      </c>
      <c r="H396" s="120">
        <f>ROUND($P396*Basis!$E$2*((TaH-TrH)/LN(1/µ)/Basis!$E$7)^$N396*$AA$4*Glycol,0)</f>
        <v>2032</v>
      </c>
      <c r="I396" s="83">
        <f>ROUND(H396/(MID($C396,9,3)/Basis!$E$3/Basis!$E$9)*Basis!$E$11,0)</f>
        <v>1239</v>
      </c>
      <c r="J396" s="123">
        <f>IF(Basis!$E$1=1,ROUND(H396/((TaH-TrH)*1.163)/3600,3),ROUND(H396/(500*(TaH-TrH)),2))</f>
        <v>0.2</v>
      </c>
      <c r="K396" s="84"/>
      <c r="L396" s="177">
        <f>CHOOSE(Basis!$E$1,((AJ396*(J396*3600/Basis!$E$5)^AK396*(((MID(C396,9,3)*10)-144)/1000)*AL396+AM396*(J396*3600/Basis!$E$5)^2)*0.0098)/Basis!$E$10,((AJ396*(J396/Basis!$E$5)^AK396*(((MID(C396,9,3)*10)-144)/1000)*AL396+AM396*(J396/Basis!$E$5)^2)*0.0098)/Basis!$E$10)</f>
        <v>3.4648945374411966E-3</v>
      </c>
      <c r="M396" s="85"/>
      <c r="N396" s="110">
        <v>1.361</v>
      </c>
      <c r="O396" s="74"/>
      <c r="P396" s="73">
        <v>933</v>
      </c>
      <c r="Q396" s="74"/>
      <c r="R396" s="75"/>
      <c r="S396" s="75"/>
      <c r="T396" s="75"/>
      <c r="U396" s="75"/>
      <c r="V396" s="75"/>
      <c r="W396" s="74"/>
      <c r="X396" s="76"/>
      <c r="Y396" s="76"/>
      <c r="Z396" s="76"/>
      <c r="AA396" s="76"/>
      <c r="AB396" s="76"/>
      <c r="AC396" s="74"/>
      <c r="AD396" s="77"/>
      <c r="AE396" s="77"/>
      <c r="AF396" s="77"/>
      <c r="AG396" s="77"/>
      <c r="AH396" s="77"/>
      <c r="AI396" s="68"/>
      <c r="AJ396" s="213">
        <v>2.0829999999999999E-4</v>
      </c>
      <c r="AK396" s="213">
        <v>1.724</v>
      </c>
      <c r="AL396" s="213">
        <v>2</v>
      </c>
      <c r="AM396" s="213">
        <v>4.6182900000000003E-4</v>
      </c>
      <c r="AN396" s="74"/>
      <c r="AO396" s="73"/>
      <c r="AP396" s="73"/>
      <c r="AQ396" s="73"/>
      <c r="AR396" s="73"/>
      <c r="AS396" s="73"/>
      <c r="AT396" s="74"/>
      <c r="AU396" s="47"/>
      <c r="AV396" s="48"/>
    </row>
    <row r="397" spans="1:48" ht="12.75" customHeight="1" x14ac:dyDescent="0.25">
      <c r="A397" s="72" t="s">
        <v>23</v>
      </c>
      <c r="B397" s="43" t="s">
        <v>159</v>
      </c>
      <c r="C397" s="44" t="s">
        <v>547</v>
      </c>
      <c r="D397" s="45">
        <f>MROUND(MID($C397,6,3)/Basis!$E$3,0.5)</f>
        <v>23.5</v>
      </c>
      <c r="E397" s="45">
        <f>MROUND(MID($C397,9,3)/Basis!$E$3,0.5)</f>
        <v>19.5</v>
      </c>
      <c r="F397" s="124" t="s">
        <v>2947</v>
      </c>
      <c r="G397" s="45">
        <f>ROUND((ROUNDDOWN($F397/5,0)*5+1.8)/Basis!$E$3,1)</f>
        <v>6.6</v>
      </c>
      <c r="H397" s="120">
        <f>ROUND($P397*Basis!$E$2*((TaH-TrH)/LN(1/µ)/Basis!$E$7)^$N397*$AA$4*Glycol,0)</f>
        <v>2190</v>
      </c>
      <c r="I397" s="83">
        <f>ROUND(H397/(MID($C397,9,3)/Basis!$E$3/Basis!$E$9)*Basis!$E$11,0)</f>
        <v>1335</v>
      </c>
      <c r="J397" s="123">
        <f>IF(Basis!$E$1=1,ROUND(H397/((TaH-TrH)*1.163)/3600,3),ROUND(H397/(500*(TaH-TrH)),2))</f>
        <v>0.22</v>
      </c>
      <c r="K397" s="84"/>
      <c r="L397" s="177">
        <f>CHOOSE(Basis!$E$1,((AJ397*(J397*3600/Basis!$E$5)^AK397*(((MID(C397,9,3)*10)-144)/1000)*AL397+AM397*(J397*3600/Basis!$E$5)^2)*0.0098)/Basis!$E$10,((AJ397*(J397/Basis!$E$5)^AK397*(((MID(C397,9,3)*10)-144)/1000)*AL397+AM397*(J397/Basis!$E$5)^2)*0.0098)/Basis!$E$10)</f>
        <v>1.2192984744889406E-2</v>
      </c>
      <c r="M397" s="85"/>
      <c r="N397" s="109">
        <v>1.468</v>
      </c>
      <c r="O397" s="68"/>
      <c r="P397" s="67">
        <v>1042</v>
      </c>
      <c r="Q397" s="68"/>
      <c r="R397" s="69"/>
      <c r="S397" s="69"/>
      <c r="T397" s="69"/>
      <c r="U397" s="69"/>
      <c r="V397" s="69"/>
      <c r="W397" s="68"/>
      <c r="X397" s="70"/>
      <c r="Y397" s="70"/>
      <c r="Z397" s="70"/>
      <c r="AA397" s="70"/>
      <c r="AB397" s="70"/>
      <c r="AC397" s="68"/>
      <c r="AD397" s="71"/>
      <c r="AE397" s="71"/>
      <c r="AF397" s="71"/>
      <c r="AG397" s="71"/>
      <c r="AH397" s="71"/>
      <c r="AI397" s="68"/>
      <c r="AJ397" s="214">
        <v>2.0829999999999999E-4</v>
      </c>
      <c r="AK397" s="214">
        <v>1.724</v>
      </c>
      <c r="AL397" s="214">
        <v>4</v>
      </c>
      <c r="AM397" s="214">
        <v>1.392796E-3</v>
      </c>
      <c r="AN397" s="68"/>
      <c r="AO397" s="67"/>
      <c r="AP397" s="67"/>
      <c r="AQ397" s="67"/>
      <c r="AR397" s="67"/>
      <c r="AS397" s="67"/>
      <c r="AT397" s="68"/>
      <c r="AU397" s="49"/>
      <c r="AV397" s="50"/>
    </row>
    <row r="398" spans="1:48" ht="12.75" customHeight="1" x14ac:dyDescent="0.25">
      <c r="A398" s="72" t="s">
        <v>23</v>
      </c>
      <c r="B398" s="43" t="s">
        <v>159</v>
      </c>
      <c r="C398" s="44" t="s">
        <v>548</v>
      </c>
      <c r="D398" s="45">
        <f>MROUND(MID($C398,6,3)/Basis!$E$3,0.5)</f>
        <v>23.5</v>
      </c>
      <c r="E398" s="45">
        <f>MROUND(MID($C398,9,3)/Basis!$E$3,0.5)</f>
        <v>19.5</v>
      </c>
      <c r="F398" s="124" t="s">
        <v>2945</v>
      </c>
      <c r="G398" s="45">
        <f>ROUND((ROUNDDOWN($F398/5,0)*5+1.8)/Basis!$E$3,1)</f>
        <v>8.6</v>
      </c>
      <c r="H398" s="120">
        <f>ROUND($P398*Basis!$E$2*((TaH-TrH)/LN(1/µ)/Basis!$E$7)^$N398*$AA$4*Glycol,0)</f>
        <v>2839</v>
      </c>
      <c r="I398" s="83">
        <f>ROUND(H398/(MID($C398,9,3)/Basis!$E$3/Basis!$E$9)*Basis!$E$11,0)</f>
        <v>1731</v>
      </c>
      <c r="J398" s="123">
        <f>IF(Basis!$E$1=1,ROUND(H398/((TaH-TrH)*1.163)/3600,3),ROUND(H398/(500*(TaH-TrH)),2))</f>
        <v>0.28000000000000003</v>
      </c>
      <c r="K398" s="84"/>
      <c r="L398" s="177">
        <f>CHOOSE(Basis!$E$1,((AJ398*(J398*3600/Basis!$E$5)^AK398*(((MID(C398,9,3)*10)-144)/1000)*AL398+AM398*(J398*3600/Basis!$E$5)^2)*0.0098)/Basis!$E$10,((AJ398*(J398/Basis!$E$5)^AK398*(((MID(C398,9,3)*10)-144)/1000)*AL398+AM398*(J398/Basis!$E$5)^2)*0.0098)/Basis!$E$10)</f>
        <v>5.3587817435254374E-3</v>
      </c>
      <c r="M398" s="85"/>
      <c r="N398" s="110">
        <v>1.361</v>
      </c>
      <c r="O398" s="74"/>
      <c r="P398" s="73">
        <v>1304</v>
      </c>
      <c r="Q398" s="74"/>
      <c r="R398" s="75"/>
      <c r="S398" s="75"/>
      <c r="T398" s="75"/>
      <c r="U398" s="75"/>
      <c r="V398" s="75"/>
      <c r="W398" s="74"/>
      <c r="X398" s="76"/>
      <c r="Y398" s="76"/>
      <c r="Z398" s="76"/>
      <c r="AA398" s="76"/>
      <c r="AB398" s="76"/>
      <c r="AC398" s="74"/>
      <c r="AD398" s="77"/>
      <c r="AE398" s="77"/>
      <c r="AF398" s="77"/>
      <c r="AG398" s="77"/>
      <c r="AH398" s="77"/>
      <c r="AI398" s="68"/>
      <c r="AJ398" s="213">
        <v>1.2760000000000001E-4</v>
      </c>
      <c r="AK398" s="213">
        <v>1.7219</v>
      </c>
      <c r="AL398" s="213">
        <v>2</v>
      </c>
      <c r="AM398" s="213">
        <v>3.76611E-4</v>
      </c>
      <c r="AN398" s="74"/>
      <c r="AO398" s="73"/>
      <c r="AP398" s="73"/>
      <c r="AQ398" s="73"/>
      <c r="AR398" s="73"/>
      <c r="AS398" s="73"/>
      <c r="AT398" s="74"/>
      <c r="AU398" s="47"/>
      <c r="AV398" s="48"/>
    </row>
    <row r="399" spans="1:48" ht="12.75" customHeight="1" x14ac:dyDescent="0.25">
      <c r="A399" s="72" t="s">
        <v>23</v>
      </c>
      <c r="B399" s="43" t="s">
        <v>159</v>
      </c>
      <c r="C399" s="44" t="s">
        <v>549</v>
      </c>
      <c r="D399" s="45">
        <f>MROUND(MID($C399,6,3)/Basis!$E$3,0.5)</f>
        <v>23.5</v>
      </c>
      <c r="E399" s="45">
        <f>MROUND(MID($C399,9,3)/Basis!$E$3,0.5)</f>
        <v>19.5</v>
      </c>
      <c r="F399" s="124" t="s">
        <v>2948</v>
      </c>
      <c r="G399" s="45">
        <f>ROUND((ROUNDDOWN($F399/5,0)*5+1.8)/Basis!$E$3,1)</f>
        <v>8.6</v>
      </c>
      <c r="H399" s="120">
        <f>ROUND($P399*Basis!$E$2*((TaH-TrH)/LN(1/µ)/Basis!$E$7)^$N399*$AA$4*Glycol,0)</f>
        <v>3004</v>
      </c>
      <c r="I399" s="83">
        <f>ROUND(H399/(MID($C399,9,3)/Basis!$E$3/Basis!$E$9)*Basis!$E$11,0)</f>
        <v>1831</v>
      </c>
      <c r="J399" s="123">
        <f>IF(Basis!$E$1=1,ROUND(H399/((TaH-TrH)*1.163)/3600,3),ROUND(H399/(500*(TaH-TrH)),2))</f>
        <v>0.3</v>
      </c>
      <c r="K399" s="84"/>
      <c r="L399" s="177">
        <f>CHOOSE(Basis!$E$1,((AJ399*(J399*3600/Basis!$E$5)^AK399*(((MID(C399,9,3)*10)-144)/1000)*AL399+AM399*(J399*3600/Basis!$E$5)^2)*0.0098)/Basis!$E$10,((AJ399*(J399/Basis!$E$5)^AK399*(((MID(C399,9,3)*10)-144)/1000)*AL399+AM399*(J399/Basis!$E$5)^2)*0.0098)/Basis!$E$10)</f>
        <v>8.6583959653483058E-3</v>
      </c>
      <c r="M399" s="85"/>
      <c r="N399" s="109">
        <v>1.4930000000000001</v>
      </c>
      <c r="O399" s="68"/>
      <c r="P399" s="67">
        <v>1441</v>
      </c>
      <c r="Q399" s="68"/>
      <c r="R399" s="69"/>
      <c r="S399" s="69"/>
      <c r="T399" s="69"/>
      <c r="U399" s="69"/>
      <c r="V399" s="69"/>
      <c r="W399" s="68"/>
      <c r="X399" s="70"/>
      <c r="Y399" s="70"/>
      <c r="Z399" s="70"/>
      <c r="AA399" s="70"/>
      <c r="AB399" s="70"/>
      <c r="AC399" s="68"/>
      <c r="AD399" s="71"/>
      <c r="AE399" s="71"/>
      <c r="AF399" s="71"/>
      <c r="AG399" s="71"/>
      <c r="AH399" s="71"/>
      <c r="AI399" s="68"/>
      <c r="AJ399" s="214">
        <v>1.2760000000000001E-4</v>
      </c>
      <c r="AK399" s="214">
        <v>1.7219</v>
      </c>
      <c r="AL399" s="214">
        <v>4</v>
      </c>
      <c r="AM399" s="214">
        <v>5.1420100000000005E-4</v>
      </c>
      <c r="AN399" s="68"/>
      <c r="AO399" s="67"/>
      <c r="AP399" s="67"/>
      <c r="AQ399" s="67"/>
      <c r="AR399" s="67"/>
      <c r="AS399" s="67"/>
      <c r="AT399" s="68"/>
      <c r="AU399" s="49"/>
      <c r="AV399" s="50"/>
    </row>
    <row r="400" spans="1:48" ht="12.75" customHeight="1" x14ac:dyDescent="0.25">
      <c r="A400" s="72" t="s">
        <v>23</v>
      </c>
      <c r="B400" s="43" t="s">
        <v>159</v>
      </c>
      <c r="C400" s="44" t="s">
        <v>550</v>
      </c>
      <c r="D400" s="45">
        <f>MROUND(MID($C400,6,3)/Basis!$E$3,0.5)</f>
        <v>23.5</v>
      </c>
      <c r="E400" s="45">
        <f>MROUND(MID($C400,9,3)/Basis!$E$3,0.5)</f>
        <v>23.5</v>
      </c>
      <c r="F400" s="124" t="s">
        <v>2943</v>
      </c>
      <c r="G400" s="45">
        <f>ROUND((ROUNDDOWN($F400/5,0)*5+1.8)/Basis!$E$3,1)</f>
        <v>4.5999999999999996</v>
      </c>
      <c r="H400" s="120">
        <f>ROUND($P400*Basis!$E$2*((TaH-TrH)/LN(1/µ)/Basis!$E$7)^$N400*$AA$4*Glycol,0)</f>
        <v>1521</v>
      </c>
      <c r="I400" s="83">
        <f>ROUND(H400/(MID($C400,9,3)/Basis!$E$3/Basis!$E$9)*Basis!$E$11,0)</f>
        <v>773</v>
      </c>
      <c r="J400" s="123">
        <f>IF(Basis!$E$1=1,ROUND(H400/((TaH-TrH)*1.163)/3600,3),ROUND(H400/(500*(TaH-TrH)),2))</f>
        <v>0.15</v>
      </c>
      <c r="K400" s="84"/>
      <c r="L400" s="177">
        <f>CHOOSE(Basis!$E$1,((AJ400*(J400*3600/Basis!$E$5)^AK400*(((MID(C400,9,3)*10)-144)/1000)*AL400+AM400*(J400*3600/Basis!$E$5)^2)*0.0098)/Basis!$E$10,((AJ400*(J400/Basis!$E$5)^AK400*(((MID(C400,9,3)*10)-144)/1000)*AL400+AM400*(J400/Basis!$E$5)^2)*0.0098)/Basis!$E$10)</f>
        <v>1.9326432401609091E-3</v>
      </c>
      <c r="M400" s="85"/>
      <c r="N400" s="110">
        <v>1.3759999999999999</v>
      </c>
      <c r="O400" s="74"/>
      <c r="P400" s="73">
        <v>702</v>
      </c>
      <c r="Q400" s="74"/>
      <c r="R400" s="75"/>
      <c r="S400" s="75"/>
      <c r="T400" s="75"/>
      <c r="U400" s="75"/>
      <c r="V400" s="75"/>
      <c r="W400" s="74"/>
      <c r="X400" s="76"/>
      <c r="Y400" s="76"/>
      <c r="Z400" s="76"/>
      <c r="AA400" s="76"/>
      <c r="AB400" s="76"/>
      <c r="AC400" s="74"/>
      <c r="AD400" s="77"/>
      <c r="AE400" s="77"/>
      <c r="AF400" s="77"/>
      <c r="AG400" s="77"/>
      <c r="AH400" s="77"/>
      <c r="AI400" s="68"/>
      <c r="AJ400" s="213">
        <v>3.9689999999999994E-4</v>
      </c>
      <c r="AK400" s="213">
        <v>1.7345999999999999</v>
      </c>
      <c r="AL400" s="213">
        <v>2</v>
      </c>
      <c r="AM400" s="213">
        <v>3.6734700000000002E-4</v>
      </c>
      <c r="AN400" s="74"/>
      <c r="AO400" s="73"/>
      <c r="AP400" s="73"/>
      <c r="AQ400" s="73"/>
      <c r="AR400" s="73"/>
      <c r="AS400" s="73"/>
      <c r="AT400" s="74"/>
      <c r="AU400" s="47"/>
      <c r="AV400" s="48"/>
    </row>
    <row r="401" spans="1:48" ht="12.75" customHeight="1" x14ac:dyDescent="0.25">
      <c r="A401" s="72" t="s">
        <v>23</v>
      </c>
      <c r="B401" s="43" t="s">
        <v>159</v>
      </c>
      <c r="C401" s="44" t="s">
        <v>551</v>
      </c>
      <c r="D401" s="45">
        <f>MROUND(MID($C401,6,3)/Basis!$E$3,0.5)</f>
        <v>23.5</v>
      </c>
      <c r="E401" s="45">
        <f>MROUND(MID($C401,9,3)/Basis!$E$3,0.5)</f>
        <v>23.5</v>
      </c>
      <c r="F401" s="124" t="s">
        <v>2946</v>
      </c>
      <c r="G401" s="45">
        <f>ROUND((ROUNDDOWN($F401/5,0)*5+1.8)/Basis!$E$3,1)</f>
        <v>4.5999999999999996</v>
      </c>
      <c r="H401" s="120">
        <f>ROUND($P401*Basis!$E$2*((TaH-TrH)/LN(1/µ)/Basis!$E$7)^$N401*$AA$4*Glycol,0)</f>
        <v>1903</v>
      </c>
      <c r="I401" s="83">
        <f>ROUND(H401/(MID($C401,9,3)/Basis!$E$3/Basis!$E$9)*Basis!$E$11,0)</f>
        <v>967</v>
      </c>
      <c r="J401" s="123">
        <f>IF(Basis!$E$1=1,ROUND(H401/((TaH-TrH)*1.163)/3600,3),ROUND(H401/(500*(TaH-TrH)),2))</f>
        <v>0.19</v>
      </c>
      <c r="K401" s="84"/>
      <c r="L401" s="177">
        <f>CHOOSE(Basis!$E$1,((AJ401*(J401*3600/Basis!$E$5)^AK401*(((MID(C401,9,3)*10)-144)/1000)*AL401+AM401*(J401*3600/Basis!$E$5)^2)*0.0098)/Basis!$E$10,((AJ401*(J401/Basis!$E$5)^AK401*(((MID(C401,9,3)*10)-144)/1000)*AL401+AM401*(J401/Basis!$E$5)^2)*0.0098)/Basis!$E$10)</f>
        <v>5.1198415492145254E-3</v>
      </c>
      <c r="M401" s="85"/>
      <c r="N401" s="109">
        <v>1.4370000000000001</v>
      </c>
      <c r="O401" s="68"/>
      <c r="P401" s="67">
        <v>896</v>
      </c>
      <c r="Q401" s="68"/>
      <c r="R401" s="69"/>
      <c r="S401" s="69"/>
      <c r="T401" s="69"/>
      <c r="U401" s="69"/>
      <c r="V401" s="69"/>
      <c r="W401" s="68"/>
      <c r="X401" s="70"/>
      <c r="Y401" s="70"/>
      <c r="Z401" s="70"/>
      <c r="AA401" s="70"/>
      <c r="AB401" s="70"/>
      <c r="AC401" s="68"/>
      <c r="AD401" s="71"/>
      <c r="AE401" s="71"/>
      <c r="AF401" s="71"/>
      <c r="AG401" s="71"/>
      <c r="AH401" s="71"/>
      <c r="AI401" s="68"/>
      <c r="AJ401" s="214">
        <v>3.9689999999999994E-4</v>
      </c>
      <c r="AK401" s="214">
        <v>1.7345999999999999</v>
      </c>
      <c r="AL401" s="214">
        <v>4</v>
      </c>
      <c r="AM401" s="214">
        <v>5.7428799999999995E-4</v>
      </c>
      <c r="AN401" s="68"/>
      <c r="AO401" s="67"/>
      <c r="AP401" s="67"/>
      <c r="AQ401" s="67"/>
      <c r="AR401" s="67"/>
      <c r="AS401" s="67"/>
      <c r="AT401" s="68"/>
      <c r="AU401" s="49"/>
      <c r="AV401" s="50"/>
    </row>
    <row r="402" spans="1:48" ht="12.75" customHeight="1" x14ac:dyDescent="0.25">
      <c r="A402" s="72" t="s">
        <v>23</v>
      </c>
      <c r="B402" s="43" t="s">
        <v>159</v>
      </c>
      <c r="C402" s="44" t="s">
        <v>552</v>
      </c>
      <c r="D402" s="45">
        <f>MROUND(MID($C402,6,3)/Basis!$E$3,0.5)</f>
        <v>23.5</v>
      </c>
      <c r="E402" s="45">
        <f>MROUND(MID($C402,9,3)/Basis!$E$3,0.5)</f>
        <v>23.5</v>
      </c>
      <c r="F402" s="124" t="s">
        <v>2944</v>
      </c>
      <c r="G402" s="45">
        <f>ROUND((ROUNDDOWN($F402/5,0)*5+1.8)/Basis!$E$3,1)</f>
        <v>6.6</v>
      </c>
      <c r="H402" s="120">
        <f>ROUND($P402*Basis!$E$2*((TaH-TrH)/LN(1/µ)/Basis!$E$7)^$N402*$AA$4*Glycol,0)</f>
        <v>2439</v>
      </c>
      <c r="I402" s="83">
        <f>ROUND(H402/(MID($C402,9,3)/Basis!$E$3/Basis!$E$9)*Basis!$E$11,0)</f>
        <v>1239</v>
      </c>
      <c r="J402" s="123">
        <f>IF(Basis!$E$1=1,ROUND(H402/((TaH-TrH)*1.163)/3600,3),ROUND(H402/(500*(TaH-TrH)),2))</f>
        <v>0.24</v>
      </c>
      <c r="K402" s="84"/>
      <c r="L402" s="177">
        <f>CHOOSE(Basis!$E$1,((AJ402*(J402*3600/Basis!$E$5)^AK402*(((MID(C402,9,3)*10)-144)/1000)*AL402+AM402*(J402*3600/Basis!$E$5)^2)*0.0098)/Basis!$E$10,((AJ402*(J402/Basis!$E$5)^AK402*(((MID(C402,9,3)*10)-144)/1000)*AL402+AM402*(J402/Basis!$E$5)^2)*0.0098)/Basis!$E$10)</f>
        <v>5.0990333981877104E-3</v>
      </c>
      <c r="M402" s="85"/>
      <c r="N402" s="109">
        <v>1.361</v>
      </c>
      <c r="O402" s="68"/>
      <c r="P402" s="67">
        <v>1120</v>
      </c>
      <c r="Q402" s="68"/>
      <c r="R402" s="69"/>
      <c r="S402" s="69"/>
      <c r="T402" s="69"/>
      <c r="U402" s="69"/>
      <c r="V402" s="69"/>
      <c r="W402" s="68"/>
      <c r="X402" s="70"/>
      <c r="Y402" s="70"/>
      <c r="Z402" s="70"/>
      <c r="AA402" s="70"/>
      <c r="AB402" s="70"/>
      <c r="AC402" s="68"/>
      <c r="AD402" s="71"/>
      <c r="AE402" s="71"/>
      <c r="AF402" s="71"/>
      <c r="AG402" s="71"/>
      <c r="AH402" s="71"/>
      <c r="AI402" s="68"/>
      <c r="AJ402" s="214">
        <v>2.0829999999999999E-4</v>
      </c>
      <c r="AK402" s="214">
        <v>1.724</v>
      </c>
      <c r="AL402" s="214">
        <v>2</v>
      </c>
      <c r="AM402" s="214">
        <v>4.6182900000000003E-4</v>
      </c>
      <c r="AN402" s="68"/>
      <c r="AO402" s="67"/>
      <c r="AP402" s="67"/>
      <c r="AQ402" s="67"/>
      <c r="AR402" s="67"/>
      <c r="AS402" s="67"/>
      <c r="AT402" s="68"/>
      <c r="AU402" s="49"/>
      <c r="AV402" s="50"/>
    </row>
    <row r="403" spans="1:48" ht="12.75" customHeight="1" x14ac:dyDescent="0.25">
      <c r="A403" s="72" t="s">
        <v>23</v>
      </c>
      <c r="B403" s="43" t="s">
        <v>159</v>
      </c>
      <c r="C403" s="44" t="s">
        <v>553</v>
      </c>
      <c r="D403" s="45">
        <f>MROUND(MID($C403,6,3)/Basis!$E$3,0.5)</f>
        <v>23.5</v>
      </c>
      <c r="E403" s="45">
        <f>MROUND(MID($C403,9,3)/Basis!$E$3,0.5)</f>
        <v>23.5</v>
      </c>
      <c r="F403" s="124" t="s">
        <v>2947</v>
      </c>
      <c r="G403" s="45">
        <f>ROUND((ROUNDDOWN($F403/5,0)*5+1.8)/Basis!$E$3,1)</f>
        <v>6.6</v>
      </c>
      <c r="H403" s="120">
        <f>ROUND($P403*Basis!$E$2*((TaH-TrH)/LN(1/µ)/Basis!$E$7)^$N403*$AA$4*Glycol,0)</f>
        <v>2627</v>
      </c>
      <c r="I403" s="83">
        <f>ROUND(H403/(MID($C403,9,3)/Basis!$E$3/Basis!$E$9)*Basis!$E$11,0)</f>
        <v>1335</v>
      </c>
      <c r="J403" s="123">
        <f>IF(Basis!$E$1=1,ROUND(H403/((TaH-TrH)*1.163)/3600,3),ROUND(H403/(500*(TaH-TrH)),2))</f>
        <v>0.26</v>
      </c>
      <c r="K403" s="84"/>
      <c r="L403" s="177">
        <f>CHOOSE(Basis!$E$1,((AJ403*(J403*3600/Basis!$E$5)^AK403*(((MID(C403,9,3)*10)-144)/1000)*AL403+AM403*(J403*3600/Basis!$E$5)^2)*0.0098)/Basis!$E$10,((AJ403*(J403/Basis!$E$5)^AK403*(((MID(C403,9,3)*10)-144)/1000)*AL403+AM403*(J403/Basis!$E$5)^2)*0.0098)/Basis!$E$10)</f>
        <v>1.72863242909597E-2</v>
      </c>
      <c r="M403" s="85"/>
      <c r="N403" s="110">
        <v>1.468</v>
      </c>
      <c r="O403" s="74"/>
      <c r="P403" s="73">
        <v>1250</v>
      </c>
      <c r="Q403" s="74"/>
      <c r="R403" s="75"/>
      <c r="S403" s="75"/>
      <c r="T403" s="75"/>
      <c r="U403" s="75"/>
      <c r="V403" s="75"/>
      <c r="W403" s="74"/>
      <c r="X403" s="76"/>
      <c r="Y403" s="76"/>
      <c r="Z403" s="76"/>
      <c r="AA403" s="76"/>
      <c r="AB403" s="76"/>
      <c r="AC403" s="74"/>
      <c r="AD403" s="77"/>
      <c r="AE403" s="77"/>
      <c r="AF403" s="77"/>
      <c r="AG403" s="77"/>
      <c r="AH403" s="77"/>
      <c r="AI403" s="68"/>
      <c r="AJ403" s="213">
        <v>2.0829999999999999E-4</v>
      </c>
      <c r="AK403" s="213">
        <v>1.724</v>
      </c>
      <c r="AL403" s="213">
        <v>4</v>
      </c>
      <c r="AM403" s="213">
        <v>1.392796E-3</v>
      </c>
      <c r="AN403" s="74"/>
      <c r="AO403" s="73"/>
      <c r="AP403" s="73"/>
      <c r="AQ403" s="73"/>
      <c r="AR403" s="73"/>
      <c r="AS403" s="73"/>
      <c r="AT403" s="74"/>
      <c r="AU403" s="47"/>
      <c r="AV403" s="48"/>
    </row>
    <row r="404" spans="1:48" ht="12.75" customHeight="1" x14ac:dyDescent="0.25">
      <c r="A404" s="72" t="s">
        <v>23</v>
      </c>
      <c r="B404" s="43" t="s">
        <v>159</v>
      </c>
      <c r="C404" s="44" t="s">
        <v>554</v>
      </c>
      <c r="D404" s="45">
        <f>MROUND(MID($C404,6,3)/Basis!$E$3,0.5)</f>
        <v>23.5</v>
      </c>
      <c r="E404" s="45">
        <f>MROUND(MID($C404,9,3)/Basis!$E$3,0.5)</f>
        <v>23.5</v>
      </c>
      <c r="F404" s="124" t="s">
        <v>2945</v>
      </c>
      <c r="G404" s="45">
        <f>ROUND((ROUNDDOWN($F404/5,0)*5+1.8)/Basis!$E$3,1)</f>
        <v>8.6</v>
      </c>
      <c r="H404" s="120">
        <f>ROUND($P404*Basis!$E$2*((TaH-TrH)/LN(1/µ)/Basis!$E$7)^$N404*$AA$4*Glycol,0)</f>
        <v>3408</v>
      </c>
      <c r="I404" s="83">
        <f>ROUND(H404/(MID($C404,9,3)/Basis!$E$3/Basis!$E$9)*Basis!$E$11,0)</f>
        <v>1731</v>
      </c>
      <c r="J404" s="123">
        <f>IF(Basis!$E$1=1,ROUND(H404/((TaH-TrH)*1.163)/3600,3),ROUND(H404/(500*(TaH-TrH)),2))</f>
        <v>0.34</v>
      </c>
      <c r="K404" s="84"/>
      <c r="L404" s="177">
        <f>CHOOSE(Basis!$E$1,((AJ404*(J404*3600/Basis!$E$5)^AK404*(((MID(C404,9,3)*10)-144)/1000)*AL404+AM404*(J404*3600/Basis!$E$5)^2)*0.0098)/Basis!$E$10,((AJ404*(J404/Basis!$E$5)^AK404*(((MID(C404,9,3)*10)-144)/1000)*AL404+AM404*(J404/Basis!$E$5)^2)*0.0098)/Basis!$E$10)</f>
        <v>8.0206866875451154E-3</v>
      </c>
      <c r="M404" s="85"/>
      <c r="N404" s="110">
        <v>1.361</v>
      </c>
      <c r="O404" s="74"/>
      <c r="P404" s="73">
        <v>1565</v>
      </c>
      <c r="Q404" s="74"/>
      <c r="R404" s="75"/>
      <c r="S404" s="75"/>
      <c r="T404" s="75"/>
      <c r="U404" s="75"/>
      <c r="V404" s="75"/>
      <c r="W404" s="74"/>
      <c r="X404" s="76"/>
      <c r="Y404" s="76"/>
      <c r="Z404" s="76"/>
      <c r="AA404" s="76"/>
      <c r="AB404" s="76"/>
      <c r="AC404" s="74"/>
      <c r="AD404" s="77"/>
      <c r="AE404" s="77"/>
      <c r="AF404" s="77"/>
      <c r="AG404" s="77"/>
      <c r="AH404" s="77"/>
      <c r="AI404" s="68"/>
      <c r="AJ404" s="213">
        <v>1.2760000000000001E-4</v>
      </c>
      <c r="AK404" s="213">
        <v>1.7219</v>
      </c>
      <c r="AL404" s="213">
        <v>2</v>
      </c>
      <c r="AM404" s="213">
        <v>3.76611E-4</v>
      </c>
      <c r="AN404" s="74"/>
      <c r="AO404" s="73"/>
      <c r="AP404" s="73"/>
      <c r="AQ404" s="73"/>
      <c r="AR404" s="73"/>
      <c r="AS404" s="73"/>
      <c r="AT404" s="74"/>
      <c r="AU404" s="47"/>
      <c r="AV404" s="48"/>
    </row>
    <row r="405" spans="1:48" ht="12.75" customHeight="1" x14ac:dyDescent="0.25">
      <c r="A405" s="72" t="s">
        <v>23</v>
      </c>
      <c r="B405" s="43" t="s">
        <v>159</v>
      </c>
      <c r="C405" s="44" t="s">
        <v>555</v>
      </c>
      <c r="D405" s="45">
        <f>MROUND(MID($C405,6,3)/Basis!$E$3,0.5)</f>
        <v>23.5</v>
      </c>
      <c r="E405" s="45">
        <f>MROUND(MID($C405,9,3)/Basis!$E$3,0.5)</f>
        <v>23.5</v>
      </c>
      <c r="F405" s="124" t="s">
        <v>2948</v>
      </c>
      <c r="G405" s="45">
        <f>ROUND((ROUNDDOWN($F405/5,0)*5+1.8)/Basis!$E$3,1)</f>
        <v>8.6</v>
      </c>
      <c r="H405" s="120">
        <f>ROUND($P405*Basis!$E$2*((TaH-TrH)/LN(1/µ)/Basis!$E$7)^$N405*$AA$4*Glycol,0)</f>
        <v>3604</v>
      </c>
      <c r="I405" s="83">
        <f>ROUND(H405/(MID($C405,9,3)/Basis!$E$3/Basis!$E$9)*Basis!$E$11,0)</f>
        <v>1831</v>
      </c>
      <c r="J405" s="123">
        <f>IF(Basis!$E$1=1,ROUND(H405/((TaH-TrH)*1.163)/3600,3),ROUND(H405/(500*(TaH-TrH)),2))</f>
        <v>0.36</v>
      </c>
      <c r="K405" s="84"/>
      <c r="L405" s="177">
        <f>CHOOSE(Basis!$E$1,((AJ405*(J405*3600/Basis!$E$5)^AK405*(((MID(C405,9,3)*10)-144)/1000)*AL405+AM405*(J405*3600/Basis!$E$5)^2)*0.0098)/Basis!$E$10,((AJ405*(J405/Basis!$E$5)^AK405*(((MID(C405,9,3)*10)-144)/1000)*AL405+AM405*(J405/Basis!$E$5)^2)*0.0098)/Basis!$E$10)</f>
        <v>1.273523398314217E-2</v>
      </c>
      <c r="M405" s="85"/>
      <c r="N405" s="109">
        <v>1.4930000000000001</v>
      </c>
      <c r="O405" s="68"/>
      <c r="P405" s="67">
        <v>1729</v>
      </c>
      <c r="Q405" s="68"/>
      <c r="R405" s="69"/>
      <c r="S405" s="69"/>
      <c r="T405" s="69"/>
      <c r="U405" s="69"/>
      <c r="V405" s="69"/>
      <c r="W405" s="68"/>
      <c r="X405" s="70"/>
      <c r="Y405" s="70"/>
      <c r="Z405" s="70"/>
      <c r="AA405" s="70"/>
      <c r="AB405" s="70"/>
      <c r="AC405" s="68"/>
      <c r="AD405" s="71"/>
      <c r="AE405" s="71"/>
      <c r="AF405" s="71"/>
      <c r="AG405" s="71"/>
      <c r="AH405" s="71"/>
      <c r="AI405" s="68"/>
      <c r="AJ405" s="214">
        <v>1.2760000000000001E-4</v>
      </c>
      <c r="AK405" s="214">
        <v>1.7219</v>
      </c>
      <c r="AL405" s="214">
        <v>4</v>
      </c>
      <c r="AM405" s="214">
        <v>5.1420100000000005E-4</v>
      </c>
      <c r="AN405" s="68"/>
      <c r="AO405" s="67"/>
      <c r="AP405" s="67"/>
      <c r="AQ405" s="67"/>
      <c r="AR405" s="67"/>
      <c r="AS405" s="67"/>
      <c r="AT405" s="68"/>
      <c r="AU405" s="49"/>
      <c r="AV405" s="50"/>
    </row>
    <row r="406" spans="1:48" ht="12.75" customHeight="1" x14ac:dyDescent="0.25">
      <c r="A406" s="72" t="s">
        <v>23</v>
      </c>
      <c r="B406" s="43" t="s">
        <v>159</v>
      </c>
      <c r="C406" s="44" t="s">
        <v>556</v>
      </c>
      <c r="D406" s="45">
        <f>MROUND(MID($C406,6,3)/Basis!$E$3,0.5)</f>
        <v>23.5</v>
      </c>
      <c r="E406" s="45">
        <f>MROUND(MID($C406,9,3)/Basis!$E$3,0.5)</f>
        <v>27.5</v>
      </c>
      <c r="F406" s="124" t="s">
        <v>2943</v>
      </c>
      <c r="G406" s="45">
        <f>ROUND((ROUNDDOWN($F406/5,0)*5+1.8)/Basis!$E$3,1)</f>
        <v>4.5999999999999996</v>
      </c>
      <c r="H406" s="120">
        <f>ROUND($P406*Basis!$E$2*((TaH-TrH)/LN(1/µ)/Basis!$E$7)^$N406*$AA$4*Glycol,0)</f>
        <v>1775</v>
      </c>
      <c r="I406" s="83">
        <f>ROUND(H406/(MID($C406,9,3)/Basis!$E$3/Basis!$E$9)*Basis!$E$11,0)</f>
        <v>773</v>
      </c>
      <c r="J406" s="123">
        <f>IF(Basis!$E$1=1,ROUND(H406/((TaH-TrH)*1.163)/3600,3),ROUND(H406/(500*(TaH-TrH)),2))</f>
        <v>0.18</v>
      </c>
      <c r="K406" s="84"/>
      <c r="L406" s="177">
        <f>CHOOSE(Basis!$E$1,((AJ406*(J406*3600/Basis!$E$5)^AK406*(((MID(C406,9,3)*10)-144)/1000)*AL406+AM406*(J406*3600/Basis!$E$5)^2)*0.0098)/Basis!$E$10,((AJ406*(J406/Basis!$E$5)^AK406*(((MID(C406,9,3)*10)-144)/1000)*AL406+AM406*(J406/Basis!$E$5)^2)*0.0098)/Basis!$E$10)</f>
        <v>2.9084053126863948E-3</v>
      </c>
      <c r="M406" s="85"/>
      <c r="N406" s="109">
        <v>1.3759999999999999</v>
      </c>
      <c r="O406" s="68"/>
      <c r="P406" s="67">
        <v>819</v>
      </c>
      <c r="Q406" s="68"/>
      <c r="R406" s="69"/>
      <c r="S406" s="69"/>
      <c r="T406" s="69"/>
      <c r="U406" s="69"/>
      <c r="V406" s="69"/>
      <c r="W406" s="68"/>
      <c r="X406" s="70"/>
      <c r="Y406" s="70"/>
      <c r="Z406" s="70"/>
      <c r="AA406" s="70"/>
      <c r="AB406" s="70"/>
      <c r="AC406" s="68"/>
      <c r="AD406" s="71"/>
      <c r="AE406" s="71"/>
      <c r="AF406" s="71"/>
      <c r="AG406" s="71"/>
      <c r="AH406" s="71"/>
      <c r="AI406" s="68"/>
      <c r="AJ406" s="214">
        <v>3.9689999999999994E-4</v>
      </c>
      <c r="AK406" s="214">
        <v>1.7345999999999999</v>
      </c>
      <c r="AL406" s="214">
        <v>2</v>
      </c>
      <c r="AM406" s="214">
        <v>3.6734700000000002E-4</v>
      </c>
      <c r="AN406" s="68"/>
      <c r="AO406" s="67"/>
      <c r="AP406" s="67"/>
      <c r="AQ406" s="67"/>
      <c r="AR406" s="67"/>
      <c r="AS406" s="67"/>
      <c r="AT406" s="68"/>
      <c r="AU406" s="49"/>
      <c r="AV406" s="50"/>
    </row>
    <row r="407" spans="1:48" ht="12.75" customHeight="1" x14ac:dyDescent="0.25">
      <c r="A407" s="72" t="s">
        <v>23</v>
      </c>
      <c r="B407" s="43" t="s">
        <v>159</v>
      </c>
      <c r="C407" s="44" t="s">
        <v>557</v>
      </c>
      <c r="D407" s="45">
        <f>MROUND(MID($C407,6,3)/Basis!$E$3,0.5)</f>
        <v>23.5</v>
      </c>
      <c r="E407" s="45">
        <f>MROUND(MID($C407,9,3)/Basis!$E$3,0.5)</f>
        <v>27.5</v>
      </c>
      <c r="F407" s="124" t="s">
        <v>2946</v>
      </c>
      <c r="G407" s="45">
        <f>ROUND((ROUNDDOWN($F407/5,0)*5+1.8)/Basis!$E$3,1)</f>
        <v>4.5999999999999996</v>
      </c>
      <c r="H407" s="120">
        <f>ROUND($P407*Basis!$E$2*((TaH-TrH)/LN(1/µ)/Basis!$E$7)^$N407*$AA$4*Glycol,0)</f>
        <v>2221</v>
      </c>
      <c r="I407" s="83">
        <f>ROUND(H407/(MID($C407,9,3)/Basis!$E$3/Basis!$E$9)*Basis!$E$11,0)</f>
        <v>967</v>
      </c>
      <c r="J407" s="123">
        <f>IF(Basis!$E$1=1,ROUND(H407/((TaH-TrH)*1.163)/3600,3),ROUND(H407/(500*(TaH-TrH)),2))</f>
        <v>0.22</v>
      </c>
      <c r="K407" s="84"/>
      <c r="L407" s="177">
        <f>CHOOSE(Basis!$E$1,((AJ407*(J407*3600/Basis!$E$5)^AK407*(((MID(C407,9,3)*10)-144)/1000)*AL407+AM407*(J407*3600/Basis!$E$5)^2)*0.0098)/Basis!$E$10,((AJ407*(J407/Basis!$E$5)^AK407*(((MID(C407,9,3)*10)-144)/1000)*AL407+AM407*(J407/Basis!$E$5)^2)*0.0098)/Basis!$E$10)</f>
        <v>7.2402187115997302E-3</v>
      </c>
      <c r="M407" s="85"/>
      <c r="N407" s="110">
        <v>1.4370000000000001</v>
      </c>
      <c r="O407" s="74"/>
      <c r="P407" s="73">
        <v>1046</v>
      </c>
      <c r="Q407" s="74"/>
      <c r="R407" s="75"/>
      <c r="S407" s="75"/>
      <c r="T407" s="75"/>
      <c r="U407" s="75"/>
      <c r="V407" s="75"/>
      <c r="W407" s="74"/>
      <c r="X407" s="76"/>
      <c r="Y407" s="76"/>
      <c r="Z407" s="76"/>
      <c r="AA407" s="76"/>
      <c r="AB407" s="76"/>
      <c r="AC407" s="74"/>
      <c r="AD407" s="77"/>
      <c r="AE407" s="77"/>
      <c r="AF407" s="77"/>
      <c r="AG407" s="77"/>
      <c r="AH407" s="77"/>
      <c r="AI407" s="68"/>
      <c r="AJ407" s="213">
        <v>3.9689999999999994E-4</v>
      </c>
      <c r="AK407" s="213">
        <v>1.7345999999999999</v>
      </c>
      <c r="AL407" s="213">
        <v>4</v>
      </c>
      <c r="AM407" s="213">
        <v>5.7428799999999995E-4</v>
      </c>
      <c r="AN407" s="74"/>
      <c r="AO407" s="73"/>
      <c r="AP407" s="73"/>
      <c r="AQ407" s="73"/>
      <c r="AR407" s="73"/>
      <c r="AS407" s="73"/>
      <c r="AT407" s="74"/>
      <c r="AU407" s="47"/>
      <c r="AV407" s="48"/>
    </row>
    <row r="408" spans="1:48" ht="12.75" customHeight="1" x14ac:dyDescent="0.25">
      <c r="A408" s="72" t="s">
        <v>23</v>
      </c>
      <c r="B408" s="43" t="s">
        <v>159</v>
      </c>
      <c r="C408" s="44" t="s">
        <v>558</v>
      </c>
      <c r="D408" s="45">
        <f>MROUND(MID($C408,6,3)/Basis!$E$3,0.5)</f>
        <v>23.5</v>
      </c>
      <c r="E408" s="45">
        <f>MROUND(MID($C408,9,3)/Basis!$E$3,0.5)</f>
        <v>27.5</v>
      </c>
      <c r="F408" s="124" t="s">
        <v>2944</v>
      </c>
      <c r="G408" s="45">
        <f>ROUND((ROUNDDOWN($F408/5,0)*5+1.8)/Basis!$E$3,1)</f>
        <v>6.6</v>
      </c>
      <c r="H408" s="120">
        <f>ROUND($P408*Basis!$E$2*((TaH-TrH)/LN(1/µ)/Basis!$E$7)^$N408*$AA$4*Glycol,0)</f>
        <v>2844</v>
      </c>
      <c r="I408" s="83">
        <f>ROUND(H408/(MID($C408,9,3)/Basis!$E$3/Basis!$E$9)*Basis!$E$11,0)</f>
        <v>1238</v>
      </c>
      <c r="J408" s="123">
        <f>IF(Basis!$E$1=1,ROUND(H408/((TaH-TrH)*1.163)/3600,3),ROUND(H408/(500*(TaH-TrH)),2))</f>
        <v>0.28000000000000003</v>
      </c>
      <c r="K408" s="84"/>
      <c r="L408" s="177">
        <f>CHOOSE(Basis!$E$1,((AJ408*(J408*3600/Basis!$E$5)^AK408*(((MID(C408,9,3)*10)-144)/1000)*AL408+AM408*(J408*3600/Basis!$E$5)^2)*0.0098)/Basis!$E$10,((AJ408*(J408/Basis!$E$5)^AK408*(((MID(C408,9,3)*10)-144)/1000)*AL408+AM408*(J408/Basis!$E$5)^2)*0.0098)/Basis!$E$10)</f>
        <v>7.0807621458189489E-3</v>
      </c>
      <c r="M408" s="85"/>
      <c r="N408" s="110">
        <v>1.361</v>
      </c>
      <c r="O408" s="74"/>
      <c r="P408" s="73">
        <v>1306</v>
      </c>
      <c r="Q408" s="74"/>
      <c r="R408" s="75"/>
      <c r="S408" s="75"/>
      <c r="T408" s="75"/>
      <c r="U408" s="75"/>
      <c r="V408" s="75"/>
      <c r="W408" s="74"/>
      <c r="X408" s="76"/>
      <c r="Y408" s="76"/>
      <c r="Z408" s="76"/>
      <c r="AA408" s="76"/>
      <c r="AB408" s="76"/>
      <c r="AC408" s="74"/>
      <c r="AD408" s="77"/>
      <c r="AE408" s="77"/>
      <c r="AF408" s="77"/>
      <c r="AG408" s="77"/>
      <c r="AH408" s="77"/>
      <c r="AI408" s="68"/>
      <c r="AJ408" s="213">
        <v>2.0829999999999999E-4</v>
      </c>
      <c r="AK408" s="213">
        <v>1.724</v>
      </c>
      <c r="AL408" s="213">
        <v>2</v>
      </c>
      <c r="AM408" s="213">
        <v>4.6182900000000003E-4</v>
      </c>
      <c r="AN408" s="74"/>
      <c r="AO408" s="73"/>
      <c r="AP408" s="73"/>
      <c r="AQ408" s="73"/>
      <c r="AR408" s="73"/>
      <c r="AS408" s="73"/>
      <c r="AT408" s="74"/>
      <c r="AU408" s="47"/>
      <c r="AV408" s="48"/>
    </row>
    <row r="409" spans="1:48" ht="12.75" customHeight="1" x14ac:dyDescent="0.25">
      <c r="A409" s="72" t="s">
        <v>23</v>
      </c>
      <c r="B409" s="43" t="s">
        <v>159</v>
      </c>
      <c r="C409" s="44" t="s">
        <v>559</v>
      </c>
      <c r="D409" s="45">
        <f>MROUND(MID($C409,6,3)/Basis!$E$3,0.5)</f>
        <v>23.5</v>
      </c>
      <c r="E409" s="45">
        <f>MROUND(MID($C409,9,3)/Basis!$E$3,0.5)</f>
        <v>27.5</v>
      </c>
      <c r="F409" s="124" t="s">
        <v>2947</v>
      </c>
      <c r="G409" s="45">
        <f>ROUND((ROUNDDOWN($F409/5,0)*5+1.8)/Basis!$E$3,1)</f>
        <v>6.6</v>
      </c>
      <c r="H409" s="120">
        <f>ROUND($P409*Basis!$E$2*((TaH-TrH)/LN(1/µ)/Basis!$E$7)^$N409*$AA$4*Glycol,0)</f>
        <v>3067</v>
      </c>
      <c r="I409" s="83">
        <f>ROUND(H409/(MID($C409,9,3)/Basis!$E$3/Basis!$E$9)*Basis!$E$11,0)</f>
        <v>1335</v>
      </c>
      <c r="J409" s="123">
        <f>IF(Basis!$E$1=1,ROUND(H409/((TaH-TrH)*1.163)/3600,3),ROUND(H409/(500*(TaH-TrH)),2))</f>
        <v>0.31</v>
      </c>
      <c r="K409" s="84"/>
      <c r="L409" s="177">
        <f>CHOOSE(Basis!$E$1,((AJ409*(J409*3600/Basis!$E$5)^AK409*(((MID(C409,9,3)*10)-144)/1000)*AL409+AM409*(J409*3600/Basis!$E$5)^2)*0.0098)/Basis!$E$10,((AJ409*(J409/Basis!$E$5)^AK409*(((MID(C409,9,3)*10)-144)/1000)*AL409+AM409*(J409/Basis!$E$5)^2)*0.0098)/Basis!$E$10)</f>
        <v>2.4896931366321488E-2</v>
      </c>
      <c r="M409" s="85"/>
      <c r="N409" s="109">
        <v>1.468</v>
      </c>
      <c r="O409" s="68"/>
      <c r="P409" s="67">
        <v>1459</v>
      </c>
      <c r="Q409" s="68"/>
      <c r="R409" s="69"/>
      <c r="S409" s="69"/>
      <c r="T409" s="69"/>
      <c r="U409" s="69"/>
      <c r="V409" s="69"/>
      <c r="W409" s="68"/>
      <c r="X409" s="70"/>
      <c r="Y409" s="70"/>
      <c r="Z409" s="70"/>
      <c r="AA409" s="70"/>
      <c r="AB409" s="70"/>
      <c r="AC409" s="68"/>
      <c r="AD409" s="71"/>
      <c r="AE409" s="71"/>
      <c r="AF409" s="71"/>
      <c r="AG409" s="71"/>
      <c r="AH409" s="71"/>
      <c r="AI409" s="68"/>
      <c r="AJ409" s="214">
        <v>2.0829999999999999E-4</v>
      </c>
      <c r="AK409" s="214">
        <v>1.724</v>
      </c>
      <c r="AL409" s="214">
        <v>4</v>
      </c>
      <c r="AM409" s="214">
        <v>1.392796E-3</v>
      </c>
      <c r="AN409" s="68"/>
      <c r="AO409" s="67"/>
      <c r="AP409" s="67"/>
      <c r="AQ409" s="67"/>
      <c r="AR409" s="67"/>
      <c r="AS409" s="67"/>
      <c r="AT409" s="68"/>
      <c r="AU409" s="49"/>
      <c r="AV409" s="50"/>
    </row>
    <row r="410" spans="1:48" ht="12.75" customHeight="1" x14ac:dyDescent="0.25">
      <c r="A410" s="72" t="s">
        <v>23</v>
      </c>
      <c r="B410" s="43" t="s">
        <v>159</v>
      </c>
      <c r="C410" s="44" t="s">
        <v>560</v>
      </c>
      <c r="D410" s="45">
        <f>MROUND(MID($C410,6,3)/Basis!$E$3,0.5)</f>
        <v>23.5</v>
      </c>
      <c r="E410" s="45">
        <f>MROUND(MID($C410,9,3)/Basis!$E$3,0.5)</f>
        <v>27.5</v>
      </c>
      <c r="F410" s="124" t="s">
        <v>2945</v>
      </c>
      <c r="G410" s="45">
        <f>ROUND((ROUNDDOWN($F410/5,0)*5+1.8)/Basis!$E$3,1)</f>
        <v>8.6</v>
      </c>
      <c r="H410" s="120">
        <f>ROUND($P410*Basis!$E$2*((TaH-TrH)/LN(1/µ)/Basis!$E$7)^$N410*$AA$4*Glycol,0)</f>
        <v>3976</v>
      </c>
      <c r="I410" s="83">
        <f>ROUND(H410/(MID($C410,9,3)/Basis!$E$3/Basis!$E$9)*Basis!$E$11,0)</f>
        <v>1731</v>
      </c>
      <c r="J410" s="123">
        <f>IF(Basis!$E$1=1,ROUND(H410/((TaH-TrH)*1.163)/3600,3),ROUND(H410/(500*(TaH-TrH)),2))</f>
        <v>0.4</v>
      </c>
      <c r="K410" s="84"/>
      <c r="L410" s="177">
        <f>CHOOSE(Basis!$E$1,((AJ410*(J410*3600/Basis!$E$5)^AK410*(((MID(C410,9,3)*10)-144)/1000)*AL410+AM410*(J410*3600/Basis!$E$5)^2)*0.0098)/Basis!$E$10,((AJ410*(J410/Basis!$E$5)^AK410*(((MID(C410,9,3)*10)-144)/1000)*AL410+AM410*(J410/Basis!$E$5)^2)*0.0098)/Basis!$E$10)</f>
        <v>1.1256394325247748E-2</v>
      </c>
      <c r="M410" s="85"/>
      <c r="N410" s="109">
        <v>1.361</v>
      </c>
      <c r="O410" s="68"/>
      <c r="P410" s="67">
        <v>1826</v>
      </c>
      <c r="Q410" s="68"/>
      <c r="R410" s="69"/>
      <c r="S410" s="69"/>
      <c r="T410" s="69"/>
      <c r="U410" s="69"/>
      <c r="V410" s="69"/>
      <c r="W410" s="68"/>
      <c r="X410" s="70"/>
      <c r="Y410" s="70"/>
      <c r="Z410" s="70"/>
      <c r="AA410" s="70"/>
      <c r="AB410" s="70"/>
      <c r="AC410" s="68"/>
      <c r="AD410" s="71"/>
      <c r="AE410" s="71"/>
      <c r="AF410" s="71"/>
      <c r="AG410" s="71"/>
      <c r="AH410" s="71"/>
      <c r="AI410" s="68"/>
      <c r="AJ410" s="214">
        <v>1.2760000000000001E-4</v>
      </c>
      <c r="AK410" s="214">
        <v>1.7219</v>
      </c>
      <c r="AL410" s="214">
        <v>2</v>
      </c>
      <c r="AM410" s="214">
        <v>3.76611E-4</v>
      </c>
      <c r="AN410" s="68"/>
      <c r="AO410" s="67"/>
      <c r="AP410" s="67"/>
      <c r="AQ410" s="67"/>
      <c r="AR410" s="67"/>
      <c r="AS410" s="67"/>
      <c r="AT410" s="68"/>
      <c r="AU410" s="49"/>
      <c r="AV410" s="50"/>
    </row>
    <row r="411" spans="1:48" ht="12.75" customHeight="1" x14ac:dyDescent="0.25">
      <c r="A411" s="72" t="s">
        <v>23</v>
      </c>
      <c r="B411" s="43" t="s">
        <v>159</v>
      </c>
      <c r="C411" s="44" t="s">
        <v>561</v>
      </c>
      <c r="D411" s="45">
        <f>MROUND(MID($C411,6,3)/Basis!$E$3,0.5)</f>
        <v>23.5</v>
      </c>
      <c r="E411" s="45">
        <f>MROUND(MID($C411,9,3)/Basis!$E$3,0.5)</f>
        <v>27.5</v>
      </c>
      <c r="F411" s="124" t="s">
        <v>2948</v>
      </c>
      <c r="G411" s="45">
        <f>ROUND((ROUNDDOWN($F411/5,0)*5+1.8)/Basis!$E$3,1)</f>
        <v>8.6</v>
      </c>
      <c r="H411" s="120">
        <f>ROUND($P411*Basis!$E$2*((TaH-TrH)/LN(1/µ)/Basis!$E$7)^$N411*$AA$4*Glycol,0)</f>
        <v>4205</v>
      </c>
      <c r="I411" s="83">
        <f>ROUND(H411/(MID($C411,9,3)/Basis!$E$3/Basis!$E$9)*Basis!$E$11,0)</f>
        <v>1831</v>
      </c>
      <c r="J411" s="123">
        <f>IF(Basis!$E$1=1,ROUND(H411/((TaH-TrH)*1.163)/3600,3),ROUND(H411/(500*(TaH-TrH)),2))</f>
        <v>0.42</v>
      </c>
      <c r="K411" s="84"/>
      <c r="L411" s="177">
        <f>CHOOSE(Basis!$E$1,((AJ411*(J411*3600/Basis!$E$5)^AK411*(((MID(C411,9,3)*10)-144)/1000)*AL411+AM411*(J411*3600/Basis!$E$5)^2)*0.0098)/Basis!$E$10,((AJ411*(J411/Basis!$E$5)^AK411*(((MID(C411,9,3)*10)-144)/1000)*AL411+AM411*(J411/Basis!$E$5)^2)*0.0098)/Basis!$E$10)</f>
        <v>1.7676191327484606E-2</v>
      </c>
      <c r="M411" s="85"/>
      <c r="N411" s="110">
        <v>1.4930000000000001</v>
      </c>
      <c r="O411" s="74"/>
      <c r="P411" s="73">
        <v>2017</v>
      </c>
      <c r="Q411" s="74"/>
      <c r="R411" s="75"/>
      <c r="S411" s="75"/>
      <c r="T411" s="75"/>
      <c r="U411" s="75"/>
      <c r="V411" s="75"/>
      <c r="W411" s="74"/>
      <c r="X411" s="76"/>
      <c r="Y411" s="76"/>
      <c r="Z411" s="76"/>
      <c r="AA411" s="76"/>
      <c r="AB411" s="76"/>
      <c r="AC411" s="74"/>
      <c r="AD411" s="77"/>
      <c r="AE411" s="77"/>
      <c r="AF411" s="77"/>
      <c r="AG411" s="77"/>
      <c r="AH411" s="77"/>
      <c r="AI411" s="68"/>
      <c r="AJ411" s="213">
        <v>1.2760000000000001E-4</v>
      </c>
      <c r="AK411" s="213">
        <v>1.7219</v>
      </c>
      <c r="AL411" s="213">
        <v>4</v>
      </c>
      <c r="AM411" s="213">
        <v>5.1420100000000005E-4</v>
      </c>
      <c r="AN411" s="74"/>
      <c r="AO411" s="73"/>
      <c r="AP411" s="73"/>
      <c r="AQ411" s="73"/>
      <c r="AR411" s="73"/>
      <c r="AS411" s="73"/>
      <c r="AT411" s="74"/>
      <c r="AU411" s="47"/>
      <c r="AV411" s="48"/>
    </row>
    <row r="412" spans="1:48" ht="12.75" customHeight="1" x14ac:dyDescent="0.25">
      <c r="A412" s="72" t="s">
        <v>23</v>
      </c>
      <c r="B412" s="43" t="s">
        <v>159</v>
      </c>
      <c r="C412" s="44" t="s">
        <v>562</v>
      </c>
      <c r="D412" s="45">
        <f>MROUND(MID($C412,6,3)/Basis!$E$3,0.5)</f>
        <v>23.5</v>
      </c>
      <c r="E412" s="45">
        <f>MROUND(MID($C412,9,3)/Basis!$E$3,0.5)</f>
        <v>31.5</v>
      </c>
      <c r="F412" s="124" t="s">
        <v>2943</v>
      </c>
      <c r="G412" s="45">
        <f>ROUND((ROUNDDOWN($F412/5,0)*5+1.8)/Basis!$E$3,1)</f>
        <v>4.5999999999999996</v>
      </c>
      <c r="H412" s="120">
        <f>ROUND($P412*Basis!$E$2*((TaH-TrH)/LN(1/µ)/Basis!$E$7)^$N412*$AA$4*Glycol,0)</f>
        <v>2028</v>
      </c>
      <c r="I412" s="83">
        <f>ROUND(H412/(MID($C412,9,3)/Basis!$E$3/Basis!$E$9)*Basis!$E$11,0)</f>
        <v>773</v>
      </c>
      <c r="J412" s="123">
        <f>IF(Basis!$E$1=1,ROUND(H412/((TaH-TrH)*1.163)/3600,3),ROUND(H412/(500*(TaH-TrH)),2))</f>
        <v>0.2</v>
      </c>
      <c r="K412" s="84"/>
      <c r="L412" s="177">
        <f>CHOOSE(Basis!$E$1,((AJ412*(J412*3600/Basis!$E$5)^AK412*(((MID(C412,9,3)*10)-144)/1000)*AL412+AM412*(J412*3600/Basis!$E$5)^2)*0.0098)/Basis!$E$10,((AJ412*(J412/Basis!$E$5)^AK412*(((MID(C412,9,3)*10)-144)/1000)*AL412+AM412*(J412/Basis!$E$5)^2)*0.0098)/Basis!$E$10)</f>
        <v>3.7544754076980656E-3</v>
      </c>
      <c r="M412" s="85"/>
      <c r="N412" s="110">
        <v>1.3759999999999999</v>
      </c>
      <c r="O412" s="74"/>
      <c r="P412" s="73">
        <v>936</v>
      </c>
      <c r="Q412" s="74"/>
      <c r="R412" s="75"/>
      <c r="S412" s="75"/>
      <c r="T412" s="75"/>
      <c r="U412" s="75"/>
      <c r="V412" s="75"/>
      <c r="W412" s="74"/>
      <c r="X412" s="76"/>
      <c r="Y412" s="76"/>
      <c r="Z412" s="76"/>
      <c r="AA412" s="76"/>
      <c r="AB412" s="76"/>
      <c r="AC412" s="74"/>
      <c r="AD412" s="77"/>
      <c r="AE412" s="77"/>
      <c r="AF412" s="77"/>
      <c r="AG412" s="77"/>
      <c r="AH412" s="77"/>
      <c r="AI412" s="68"/>
      <c r="AJ412" s="213">
        <v>3.9689999999999994E-4</v>
      </c>
      <c r="AK412" s="213">
        <v>1.7345999999999999</v>
      </c>
      <c r="AL412" s="213">
        <v>2</v>
      </c>
      <c r="AM412" s="213">
        <v>3.6734700000000002E-4</v>
      </c>
      <c r="AN412" s="74"/>
      <c r="AO412" s="73"/>
      <c r="AP412" s="73"/>
      <c r="AQ412" s="73"/>
      <c r="AR412" s="73"/>
      <c r="AS412" s="73"/>
      <c r="AT412" s="74"/>
      <c r="AU412" s="47"/>
      <c r="AV412" s="48"/>
    </row>
    <row r="413" spans="1:48" ht="12.75" customHeight="1" x14ac:dyDescent="0.25">
      <c r="A413" s="72" t="s">
        <v>23</v>
      </c>
      <c r="B413" s="43" t="s">
        <v>159</v>
      </c>
      <c r="C413" s="44" t="s">
        <v>563</v>
      </c>
      <c r="D413" s="45">
        <f>MROUND(MID($C413,6,3)/Basis!$E$3,0.5)</f>
        <v>23.5</v>
      </c>
      <c r="E413" s="45">
        <f>MROUND(MID($C413,9,3)/Basis!$E$3,0.5)</f>
        <v>31.5</v>
      </c>
      <c r="F413" s="124" t="s">
        <v>2946</v>
      </c>
      <c r="G413" s="45">
        <f>ROUND((ROUNDDOWN($F413/5,0)*5+1.8)/Basis!$E$3,1)</f>
        <v>4.5999999999999996</v>
      </c>
      <c r="H413" s="120">
        <f>ROUND($P413*Basis!$E$2*((TaH-TrH)/LN(1/µ)/Basis!$E$7)^$N413*$AA$4*Glycol,0)</f>
        <v>2538</v>
      </c>
      <c r="I413" s="83">
        <f>ROUND(H413/(MID($C413,9,3)/Basis!$E$3/Basis!$E$9)*Basis!$E$11,0)</f>
        <v>967</v>
      </c>
      <c r="J413" s="123">
        <f>IF(Basis!$E$1=1,ROUND(H413/((TaH-TrH)*1.163)/3600,3),ROUND(H413/(500*(TaH-TrH)),2))</f>
        <v>0.25</v>
      </c>
      <c r="K413" s="84"/>
      <c r="L413" s="177">
        <f>CHOOSE(Basis!$E$1,((AJ413*(J413*3600/Basis!$E$5)^AK413*(((MID(C413,9,3)*10)-144)/1000)*AL413+AM413*(J413*3600/Basis!$E$5)^2)*0.0098)/Basis!$E$10,((AJ413*(J413/Basis!$E$5)^AK413*(((MID(C413,9,3)*10)-144)/1000)*AL413+AM413*(J413/Basis!$E$5)^2)*0.0098)/Basis!$E$10)</f>
        <v>9.81245248736674E-3</v>
      </c>
      <c r="M413" s="85"/>
      <c r="N413" s="109">
        <v>1.4370000000000001</v>
      </c>
      <c r="O413" s="68"/>
      <c r="P413" s="67">
        <v>1195</v>
      </c>
      <c r="Q413" s="68"/>
      <c r="R413" s="69"/>
      <c r="S413" s="69"/>
      <c r="T413" s="69"/>
      <c r="U413" s="69"/>
      <c r="V413" s="69"/>
      <c r="W413" s="68"/>
      <c r="X413" s="70"/>
      <c r="Y413" s="70"/>
      <c r="Z413" s="70"/>
      <c r="AA413" s="70"/>
      <c r="AB413" s="70"/>
      <c r="AC413" s="68"/>
      <c r="AD413" s="71"/>
      <c r="AE413" s="71"/>
      <c r="AF413" s="71"/>
      <c r="AG413" s="71"/>
      <c r="AH413" s="71"/>
      <c r="AI413" s="68"/>
      <c r="AJ413" s="214">
        <v>3.9689999999999994E-4</v>
      </c>
      <c r="AK413" s="214">
        <v>1.7345999999999999</v>
      </c>
      <c r="AL413" s="214">
        <v>4</v>
      </c>
      <c r="AM413" s="214">
        <v>5.7428799999999995E-4</v>
      </c>
      <c r="AN413" s="68"/>
      <c r="AO413" s="67"/>
      <c r="AP413" s="67"/>
      <c r="AQ413" s="67"/>
      <c r="AR413" s="67"/>
      <c r="AS413" s="67"/>
      <c r="AT413" s="68"/>
      <c r="AU413" s="49"/>
      <c r="AV413" s="50"/>
    </row>
    <row r="414" spans="1:48" ht="12.75" customHeight="1" x14ac:dyDescent="0.25">
      <c r="A414" s="72" t="s">
        <v>23</v>
      </c>
      <c r="B414" s="43" t="s">
        <v>159</v>
      </c>
      <c r="C414" s="44" t="s">
        <v>564</v>
      </c>
      <c r="D414" s="45">
        <f>MROUND(MID($C414,6,3)/Basis!$E$3,0.5)</f>
        <v>23.5</v>
      </c>
      <c r="E414" s="45">
        <f>MROUND(MID($C414,9,3)/Basis!$E$3,0.5)</f>
        <v>31.5</v>
      </c>
      <c r="F414" s="124" t="s">
        <v>2944</v>
      </c>
      <c r="G414" s="45">
        <f>ROUND((ROUNDDOWN($F414/5,0)*5+1.8)/Basis!$E$3,1)</f>
        <v>6.6</v>
      </c>
      <c r="H414" s="120">
        <f>ROUND($P414*Basis!$E$2*((TaH-TrH)/LN(1/µ)/Basis!$E$7)^$N414*$AA$4*Glycol,0)</f>
        <v>3251</v>
      </c>
      <c r="I414" s="83">
        <f>ROUND(H414/(MID($C414,9,3)/Basis!$E$3/Basis!$E$9)*Basis!$E$11,0)</f>
        <v>1239</v>
      </c>
      <c r="J414" s="123">
        <f>IF(Basis!$E$1=1,ROUND(H414/((TaH-TrH)*1.163)/3600,3),ROUND(H414/(500*(TaH-TrH)),2))</f>
        <v>0.33</v>
      </c>
      <c r="K414" s="84"/>
      <c r="L414" s="177">
        <f>CHOOSE(Basis!$E$1,((AJ414*(J414*3600/Basis!$E$5)^AK414*(((MID(C414,9,3)*10)-144)/1000)*AL414+AM414*(J414*3600/Basis!$E$5)^2)*0.0098)/Basis!$E$10,((AJ414*(J414/Basis!$E$5)^AK414*(((MID(C414,9,3)*10)-144)/1000)*AL414+AM414*(J414/Basis!$E$5)^2)*0.0098)/Basis!$E$10)</f>
        <v>1.000789597708975E-2</v>
      </c>
      <c r="M414" s="85"/>
      <c r="N414" s="109">
        <v>1.361</v>
      </c>
      <c r="O414" s="68"/>
      <c r="P414" s="67">
        <v>1493</v>
      </c>
      <c r="Q414" s="68"/>
      <c r="R414" s="69"/>
      <c r="S414" s="69"/>
      <c r="T414" s="69"/>
      <c r="U414" s="69"/>
      <c r="V414" s="69"/>
      <c r="W414" s="68"/>
      <c r="X414" s="70"/>
      <c r="Y414" s="70"/>
      <c r="Z414" s="70"/>
      <c r="AA414" s="70"/>
      <c r="AB414" s="70"/>
      <c r="AC414" s="68"/>
      <c r="AD414" s="71"/>
      <c r="AE414" s="71"/>
      <c r="AF414" s="71"/>
      <c r="AG414" s="71"/>
      <c r="AH414" s="71"/>
      <c r="AI414" s="68"/>
      <c r="AJ414" s="214">
        <v>2.0829999999999999E-4</v>
      </c>
      <c r="AK414" s="214">
        <v>1.724</v>
      </c>
      <c r="AL414" s="214">
        <v>2</v>
      </c>
      <c r="AM414" s="214">
        <v>4.6182900000000003E-4</v>
      </c>
      <c r="AN414" s="68"/>
      <c r="AO414" s="67"/>
      <c r="AP414" s="67"/>
      <c r="AQ414" s="67"/>
      <c r="AR414" s="67"/>
      <c r="AS414" s="67"/>
      <c r="AT414" s="68"/>
      <c r="AU414" s="49"/>
      <c r="AV414" s="50"/>
    </row>
    <row r="415" spans="1:48" ht="12.75" customHeight="1" x14ac:dyDescent="0.25">
      <c r="A415" s="72" t="s">
        <v>23</v>
      </c>
      <c r="B415" s="43" t="s">
        <v>159</v>
      </c>
      <c r="C415" s="44" t="s">
        <v>565</v>
      </c>
      <c r="D415" s="45">
        <f>MROUND(MID($C415,6,3)/Basis!$E$3,0.5)</f>
        <v>23.5</v>
      </c>
      <c r="E415" s="45">
        <f>MROUND(MID($C415,9,3)/Basis!$E$3,0.5)</f>
        <v>31.5</v>
      </c>
      <c r="F415" s="124" t="s">
        <v>2947</v>
      </c>
      <c r="G415" s="45">
        <f>ROUND((ROUNDDOWN($F415/5,0)*5+1.8)/Basis!$E$3,1)</f>
        <v>6.6</v>
      </c>
      <c r="H415" s="120">
        <f>ROUND($P415*Basis!$E$2*((TaH-TrH)/LN(1/µ)/Basis!$E$7)^$N415*$AA$4*Glycol,0)</f>
        <v>3504</v>
      </c>
      <c r="I415" s="83">
        <f>ROUND(H415/(MID($C415,9,3)/Basis!$E$3/Basis!$E$9)*Basis!$E$11,0)</f>
        <v>1335</v>
      </c>
      <c r="J415" s="123">
        <f>IF(Basis!$E$1=1,ROUND(H415/((TaH-TrH)*1.163)/3600,3),ROUND(H415/(500*(TaH-TrH)),2))</f>
        <v>0.35</v>
      </c>
      <c r="K415" s="84"/>
      <c r="L415" s="177">
        <f>CHOOSE(Basis!$E$1,((AJ415*(J415*3600/Basis!$E$5)^AK415*(((MID(C415,9,3)*10)-144)/1000)*AL415+AM415*(J415*3600/Basis!$E$5)^2)*0.0098)/Basis!$E$10,((AJ415*(J415/Basis!$E$5)^AK415*(((MID(C415,9,3)*10)-144)/1000)*AL415+AM415*(J415/Basis!$E$5)^2)*0.0098)/Basis!$E$10)</f>
        <v>3.2153569807214781E-2</v>
      </c>
      <c r="M415" s="85"/>
      <c r="N415" s="110">
        <v>1.468</v>
      </c>
      <c r="O415" s="74"/>
      <c r="P415" s="73">
        <v>1667</v>
      </c>
      <c r="Q415" s="74"/>
      <c r="R415" s="75"/>
      <c r="S415" s="75"/>
      <c r="T415" s="75"/>
      <c r="U415" s="75"/>
      <c r="V415" s="75"/>
      <c r="W415" s="74"/>
      <c r="X415" s="76"/>
      <c r="Y415" s="76"/>
      <c r="Z415" s="76"/>
      <c r="AA415" s="76"/>
      <c r="AB415" s="76"/>
      <c r="AC415" s="74"/>
      <c r="AD415" s="77"/>
      <c r="AE415" s="77"/>
      <c r="AF415" s="77"/>
      <c r="AG415" s="77"/>
      <c r="AH415" s="77"/>
      <c r="AI415" s="68"/>
      <c r="AJ415" s="213">
        <v>2.0829999999999999E-4</v>
      </c>
      <c r="AK415" s="213">
        <v>1.724</v>
      </c>
      <c r="AL415" s="213">
        <v>4</v>
      </c>
      <c r="AM415" s="213">
        <v>1.392796E-3</v>
      </c>
      <c r="AN415" s="74"/>
      <c r="AO415" s="73"/>
      <c r="AP415" s="73"/>
      <c r="AQ415" s="73"/>
      <c r="AR415" s="73"/>
      <c r="AS415" s="73"/>
      <c r="AT415" s="74"/>
      <c r="AU415" s="47"/>
      <c r="AV415" s="48"/>
    </row>
    <row r="416" spans="1:48" ht="12.75" customHeight="1" x14ac:dyDescent="0.25">
      <c r="A416" s="72" t="s">
        <v>23</v>
      </c>
      <c r="B416" s="43" t="s">
        <v>159</v>
      </c>
      <c r="C416" s="44" t="s">
        <v>566</v>
      </c>
      <c r="D416" s="45">
        <f>MROUND(MID($C416,6,3)/Basis!$E$3,0.5)</f>
        <v>23.5</v>
      </c>
      <c r="E416" s="45">
        <f>MROUND(MID($C416,9,3)/Basis!$E$3,0.5)</f>
        <v>31.5</v>
      </c>
      <c r="F416" s="124" t="s">
        <v>2945</v>
      </c>
      <c r="G416" s="45">
        <f>ROUND((ROUNDDOWN($F416/5,0)*5+1.8)/Basis!$E$3,1)</f>
        <v>8.6</v>
      </c>
      <c r="H416" s="120">
        <f>ROUND($P416*Basis!$E$2*((TaH-TrH)/LN(1/µ)/Basis!$E$7)^$N416*$AA$4*Glycol,0)</f>
        <v>4542</v>
      </c>
      <c r="I416" s="83">
        <f>ROUND(H416/(MID($C416,9,3)/Basis!$E$3/Basis!$E$9)*Basis!$E$11,0)</f>
        <v>1731</v>
      </c>
      <c r="J416" s="123">
        <f>IF(Basis!$E$1=1,ROUND(H416/((TaH-TrH)*1.163)/3600,3),ROUND(H416/(500*(TaH-TrH)),2))</f>
        <v>0.45</v>
      </c>
      <c r="K416" s="84"/>
      <c r="L416" s="177">
        <f>CHOOSE(Basis!$E$1,((AJ416*(J416*3600/Basis!$E$5)^AK416*(((MID(C416,9,3)*10)-144)/1000)*AL416+AM416*(J416*3600/Basis!$E$5)^2)*0.0098)/Basis!$E$10,((AJ416*(J416/Basis!$E$5)^AK416*(((MID(C416,9,3)*10)-144)/1000)*AL416+AM416*(J416/Basis!$E$5)^2)*0.0098)/Basis!$E$10)</f>
        <v>1.4442527963100462E-2</v>
      </c>
      <c r="M416" s="85"/>
      <c r="N416" s="110">
        <v>1.361</v>
      </c>
      <c r="O416" s="74"/>
      <c r="P416" s="73">
        <v>2086</v>
      </c>
      <c r="Q416" s="74"/>
      <c r="R416" s="75"/>
      <c r="S416" s="75"/>
      <c r="T416" s="75"/>
      <c r="U416" s="75"/>
      <c r="V416" s="75"/>
      <c r="W416" s="74"/>
      <c r="X416" s="76"/>
      <c r="Y416" s="76"/>
      <c r="Z416" s="76"/>
      <c r="AA416" s="76"/>
      <c r="AB416" s="76"/>
      <c r="AC416" s="74"/>
      <c r="AD416" s="77"/>
      <c r="AE416" s="77"/>
      <c r="AF416" s="77"/>
      <c r="AG416" s="77"/>
      <c r="AH416" s="77"/>
      <c r="AI416" s="68"/>
      <c r="AJ416" s="213">
        <v>1.2760000000000001E-4</v>
      </c>
      <c r="AK416" s="213">
        <v>1.7219</v>
      </c>
      <c r="AL416" s="213">
        <v>2</v>
      </c>
      <c r="AM416" s="213">
        <v>3.76611E-4</v>
      </c>
      <c r="AN416" s="74"/>
      <c r="AO416" s="73"/>
      <c r="AP416" s="73"/>
      <c r="AQ416" s="73"/>
      <c r="AR416" s="73"/>
      <c r="AS416" s="73"/>
      <c r="AT416" s="74"/>
      <c r="AU416" s="47"/>
      <c r="AV416" s="48"/>
    </row>
    <row r="417" spans="1:48" ht="12.75" customHeight="1" x14ac:dyDescent="0.25">
      <c r="A417" s="72" t="s">
        <v>23</v>
      </c>
      <c r="B417" s="43" t="s">
        <v>159</v>
      </c>
      <c r="C417" s="44" t="s">
        <v>567</v>
      </c>
      <c r="D417" s="45">
        <f>MROUND(MID($C417,6,3)/Basis!$E$3,0.5)</f>
        <v>23.5</v>
      </c>
      <c r="E417" s="45">
        <f>MROUND(MID($C417,9,3)/Basis!$E$3,0.5)</f>
        <v>31.5</v>
      </c>
      <c r="F417" s="124" t="s">
        <v>2948</v>
      </c>
      <c r="G417" s="45">
        <f>ROUND((ROUNDDOWN($F417/5,0)*5+1.8)/Basis!$E$3,1)</f>
        <v>8.6</v>
      </c>
      <c r="H417" s="120">
        <f>ROUND($P417*Basis!$E$2*((TaH-TrH)/LN(1/µ)/Basis!$E$7)^$N417*$AA$4*Glycol,0)</f>
        <v>4807</v>
      </c>
      <c r="I417" s="83">
        <f>ROUND(H417/(MID($C417,9,3)/Basis!$E$3/Basis!$E$9)*Basis!$E$11,0)</f>
        <v>1831</v>
      </c>
      <c r="J417" s="123">
        <f>IF(Basis!$E$1=1,ROUND(H417/((TaH-TrH)*1.163)/3600,3),ROUND(H417/(500*(TaH-TrH)),2))</f>
        <v>0.48</v>
      </c>
      <c r="K417" s="84"/>
      <c r="L417" s="177">
        <f>CHOOSE(Basis!$E$1,((AJ417*(J417*3600/Basis!$E$5)^AK417*(((MID(C417,9,3)*10)-144)/1000)*AL417+AM417*(J417*3600/Basis!$E$5)^2)*0.0098)/Basis!$E$10,((AJ417*(J417/Basis!$E$5)^AK417*(((MID(C417,9,3)*10)-144)/1000)*AL417+AM417*(J417/Basis!$E$5)^2)*0.0098)/Basis!$E$10)</f>
        <v>2.3512122265976123E-2</v>
      </c>
      <c r="M417" s="85"/>
      <c r="N417" s="109">
        <v>1.4930000000000001</v>
      </c>
      <c r="O417" s="68"/>
      <c r="P417" s="67">
        <v>2306</v>
      </c>
      <c r="Q417" s="68"/>
      <c r="R417" s="69"/>
      <c r="S417" s="69"/>
      <c r="T417" s="69"/>
      <c r="U417" s="69"/>
      <c r="V417" s="69"/>
      <c r="W417" s="68"/>
      <c r="X417" s="70"/>
      <c r="Y417" s="70"/>
      <c r="Z417" s="70"/>
      <c r="AA417" s="70"/>
      <c r="AB417" s="70"/>
      <c r="AC417" s="68"/>
      <c r="AD417" s="71"/>
      <c r="AE417" s="71"/>
      <c r="AF417" s="71"/>
      <c r="AG417" s="71"/>
      <c r="AH417" s="71"/>
      <c r="AI417" s="68"/>
      <c r="AJ417" s="214">
        <v>1.2760000000000001E-4</v>
      </c>
      <c r="AK417" s="214">
        <v>1.7219</v>
      </c>
      <c r="AL417" s="214">
        <v>4</v>
      </c>
      <c r="AM417" s="214">
        <v>5.1420100000000005E-4</v>
      </c>
      <c r="AN417" s="68"/>
      <c r="AO417" s="67"/>
      <c r="AP417" s="67"/>
      <c r="AQ417" s="67"/>
      <c r="AR417" s="67"/>
      <c r="AS417" s="67"/>
      <c r="AT417" s="68"/>
      <c r="AU417" s="49"/>
      <c r="AV417" s="50"/>
    </row>
    <row r="418" spans="1:48" ht="12.75" customHeight="1" x14ac:dyDescent="0.25">
      <c r="A418" s="72" t="s">
        <v>23</v>
      </c>
      <c r="B418" s="43" t="s">
        <v>159</v>
      </c>
      <c r="C418" s="44" t="s">
        <v>568</v>
      </c>
      <c r="D418" s="45">
        <f>MROUND(MID($C418,6,3)/Basis!$E$3,0.5)</f>
        <v>23.5</v>
      </c>
      <c r="E418" s="45">
        <f>MROUND(MID($C418,9,3)/Basis!$E$3,0.5)</f>
        <v>35.5</v>
      </c>
      <c r="F418" s="124" t="s">
        <v>2943</v>
      </c>
      <c r="G418" s="45">
        <f>ROUND((ROUNDDOWN($F418/5,0)*5+1.8)/Basis!$E$3,1)</f>
        <v>4.5999999999999996</v>
      </c>
      <c r="H418" s="120">
        <f>ROUND($P418*Basis!$E$2*((TaH-TrH)/LN(1/µ)/Basis!$E$7)^$N418*$AA$4*Glycol,0)</f>
        <v>2282</v>
      </c>
      <c r="I418" s="83">
        <f>ROUND(H418/(MID($C418,9,3)/Basis!$E$3/Basis!$E$9)*Basis!$E$11,0)</f>
        <v>773</v>
      </c>
      <c r="J418" s="123">
        <f>IF(Basis!$E$1=1,ROUND(H418/((TaH-TrH)*1.163)/3600,3),ROUND(H418/(500*(TaH-TrH)),2))</f>
        <v>0.23</v>
      </c>
      <c r="K418" s="84"/>
      <c r="L418" s="177">
        <f>CHOOSE(Basis!$E$1,((AJ418*(J418*3600/Basis!$E$5)^AK418*(((MID(C418,9,3)*10)-144)/1000)*AL418+AM418*(J418*3600/Basis!$E$5)^2)*0.0098)/Basis!$E$10,((AJ418*(J418/Basis!$E$5)^AK418*(((MID(C418,9,3)*10)-144)/1000)*AL418+AM418*(J418/Basis!$E$5)^2)*0.0098)/Basis!$E$10)</f>
        <v>5.1517297141907307E-3</v>
      </c>
      <c r="M418" s="85"/>
      <c r="N418" s="109">
        <v>1.3759999999999999</v>
      </c>
      <c r="O418" s="68"/>
      <c r="P418" s="67">
        <v>1053</v>
      </c>
      <c r="Q418" s="68"/>
      <c r="R418" s="69"/>
      <c r="S418" s="69"/>
      <c r="T418" s="69"/>
      <c r="U418" s="69"/>
      <c r="V418" s="69"/>
      <c r="W418" s="68"/>
      <c r="X418" s="70"/>
      <c r="Y418" s="70"/>
      <c r="Z418" s="70"/>
      <c r="AA418" s="70"/>
      <c r="AB418" s="70"/>
      <c r="AC418" s="68"/>
      <c r="AD418" s="71"/>
      <c r="AE418" s="71"/>
      <c r="AF418" s="71"/>
      <c r="AG418" s="71"/>
      <c r="AH418" s="71"/>
      <c r="AI418" s="68"/>
      <c r="AJ418" s="214">
        <v>3.9689999999999994E-4</v>
      </c>
      <c r="AK418" s="214">
        <v>1.7345999999999999</v>
      </c>
      <c r="AL418" s="214">
        <v>2</v>
      </c>
      <c r="AM418" s="214">
        <v>3.6734700000000002E-4</v>
      </c>
      <c r="AN418" s="68"/>
      <c r="AO418" s="67"/>
      <c r="AP418" s="67"/>
      <c r="AQ418" s="67"/>
      <c r="AR418" s="67"/>
      <c r="AS418" s="67"/>
      <c r="AT418" s="68"/>
      <c r="AU418" s="49"/>
      <c r="AV418" s="50"/>
    </row>
    <row r="419" spans="1:48" ht="12.75" customHeight="1" x14ac:dyDescent="0.25">
      <c r="A419" s="72" t="s">
        <v>23</v>
      </c>
      <c r="B419" s="43" t="s">
        <v>159</v>
      </c>
      <c r="C419" s="44" t="s">
        <v>569</v>
      </c>
      <c r="D419" s="45">
        <f>MROUND(MID($C419,6,3)/Basis!$E$3,0.5)</f>
        <v>23.5</v>
      </c>
      <c r="E419" s="45">
        <f>MROUND(MID($C419,9,3)/Basis!$E$3,0.5)</f>
        <v>35.5</v>
      </c>
      <c r="F419" s="124" t="s">
        <v>2946</v>
      </c>
      <c r="G419" s="45">
        <f>ROUND((ROUNDDOWN($F419/5,0)*5+1.8)/Basis!$E$3,1)</f>
        <v>4.5999999999999996</v>
      </c>
      <c r="H419" s="120">
        <f>ROUND($P419*Basis!$E$2*((TaH-TrH)/LN(1/µ)/Basis!$E$7)^$N419*$AA$4*Glycol,0)</f>
        <v>2856</v>
      </c>
      <c r="I419" s="83">
        <f>ROUND(H419/(MID($C419,9,3)/Basis!$E$3/Basis!$E$9)*Basis!$E$11,0)</f>
        <v>967</v>
      </c>
      <c r="J419" s="123">
        <f>IF(Basis!$E$1=1,ROUND(H419/((TaH-TrH)*1.163)/3600,3),ROUND(H419/(500*(TaH-TrH)),2))</f>
        <v>0.28999999999999998</v>
      </c>
      <c r="K419" s="84"/>
      <c r="L419" s="177">
        <f>CHOOSE(Basis!$E$1,((AJ419*(J419*3600/Basis!$E$5)^AK419*(((MID(C419,9,3)*10)-144)/1000)*AL419+AM419*(J419*3600/Basis!$E$5)^2)*0.0098)/Basis!$E$10,((AJ419*(J419/Basis!$E$5)^AK419*(((MID(C419,9,3)*10)-144)/1000)*AL419+AM419*(J419/Basis!$E$5)^2)*0.0098)/Basis!$E$10)</f>
        <v>1.3749448113625719E-2</v>
      </c>
      <c r="M419" s="85"/>
      <c r="N419" s="110">
        <v>1.4370000000000001</v>
      </c>
      <c r="O419" s="74"/>
      <c r="P419" s="73">
        <v>1345</v>
      </c>
      <c r="Q419" s="74"/>
      <c r="R419" s="75"/>
      <c r="S419" s="75"/>
      <c r="T419" s="75"/>
      <c r="U419" s="75"/>
      <c r="V419" s="75"/>
      <c r="W419" s="74"/>
      <c r="X419" s="76"/>
      <c r="Y419" s="76"/>
      <c r="Z419" s="76"/>
      <c r="AA419" s="76"/>
      <c r="AB419" s="76"/>
      <c r="AC419" s="74"/>
      <c r="AD419" s="77"/>
      <c r="AE419" s="77"/>
      <c r="AF419" s="77"/>
      <c r="AG419" s="77"/>
      <c r="AH419" s="77"/>
      <c r="AI419" s="68"/>
      <c r="AJ419" s="213">
        <v>3.9689999999999994E-4</v>
      </c>
      <c r="AK419" s="213">
        <v>1.7345999999999999</v>
      </c>
      <c r="AL419" s="213">
        <v>4</v>
      </c>
      <c r="AM419" s="213">
        <v>5.7428799999999995E-4</v>
      </c>
      <c r="AN419" s="74"/>
      <c r="AO419" s="73"/>
      <c r="AP419" s="73"/>
      <c r="AQ419" s="73"/>
      <c r="AR419" s="73"/>
      <c r="AS419" s="73"/>
      <c r="AT419" s="74"/>
      <c r="AU419" s="47"/>
      <c r="AV419" s="48"/>
    </row>
    <row r="420" spans="1:48" ht="12.75" customHeight="1" x14ac:dyDescent="0.25">
      <c r="A420" s="72" t="s">
        <v>23</v>
      </c>
      <c r="B420" s="43" t="s">
        <v>159</v>
      </c>
      <c r="C420" s="44" t="s">
        <v>570</v>
      </c>
      <c r="D420" s="45">
        <f>MROUND(MID($C420,6,3)/Basis!$E$3,0.5)</f>
        <v>23.5</v>
      </c>
      <c r="E420" s="45">
        <f>MROUND(MID($C420,9,3)/Basis!$E$3,0.5)</f>
        <v>35.5</v>
      </c>
      <c r="F420" s="124" t="s">
        <v>2944</v>
      </c>
      <c r="G420" s="45">
        <f>ROUND((ROUNDDOWN($F420/5,0)*5+1.8)/Basis!$E$3,1)</f>
        <v>6.6</v>
      </c>
      <c r="H420" s="120">
        <f>ROUND($P420*Basis!$E$2*((TaH-TrH)/LN(1/µ)/Basis!$E$7)^$N420*$AA$4*Glycol,0)</f>
        <v>3656</v>
      </c>
      <c r="I420" s="83">
        <f>ROUND(H420/(MID($C420,9,3)/Basis!$E$3/Basis!$E$9)*Basis!$E$11,0)</f>
        <v>1238</v>
      </c>
      <c r="J420" s="123">
        <f>IF(Basis!$E$1=1,ROUND(H420/((TaH-TrH)*1.163)/3600,3),ROUND(H420/(500*(TaH-TrH)),2))</f>
        <v>0.37</v>
      </c>
      <c r="K420" s="84"/>
      <c r="L420" s="177">
        <f>CHOOSE(Basis!$E$1,((AJ420*(J420*3600/Basis!$E$5)^AK420*(((MID(C420,9,3)*10)-144)/1000)*AL420+AM420*(J420*3600/Basis!$E$5)^2)*0.0098)/Basis!$E$10,((AJ420*(J420/Basis!$E$5)^AK420*(((MID(C420,9,3)*10)-144)/1000)*AL420+AM420*(J420/Basis!$E$5)^2)*0.0098)/Basis!$E$10)</f>
        <v>1.2804650329036861E-2</v>
      </c>
      <c r="M420" s="85"/>
      <c r="N420" s="110">
        <v>1.361</v>
      </c>
      <c r="O420" s="74"/>
      <c r="P420" s="73">
        <v>1679</v>
      </c>
      <c r="Q420" s="74"/>
      <c r="R420" s="75"/>
      <c r="S420" s="75"/>
      <c r="T420" s="75"/>
      <c r="U420" s="75"/>
      <c r="V420" s="75"/>
      <c r="W420" s="74"/>
      <c r="X420" s="76"/>
      <c r="Y420" s="76"/>
      <c r="Z420" s="76"/>
      <c r="AA420" s="76"/>
      <c r="AB420" s="76"/>
      <c r="AC420" s="74"/>
      <c r="AD420" s="77"/>
      <c r="AE420" s="77"/>
      <c r="AF420" s="77"/>
      <c r="AG420" s="77"/>
      <c r="AH420" s="77"/>
      <c r="AI420" s="68"/>
      <c r="AJ420" s="213">
        <v>2.0829999999999999E-4</v>
      </c>
      <c r="AK420" s="213">
        <v>1.724</v>
      </c>
      <c r="AL420" s="213">
        <v>2</v>
      </c>
      <c r="AM420" s="213">
        <v>4.6182900000000003E-4</v>
      </c>
      <c r="AN420" s="74"/>
      <c r="AO420" s="73"/>
      <c r="AP420" s="73"/>
      <c r="AQ420" s="73"/>
      <c r="AR420" s="73"/>
      <c r="AS420" s="73"/>
      <c r="AT420" s="74"/>
      <c r="AU420" s="47"/>
      <c r="AV420" s="48"/>
    </row>
    <row r="421" spans="1:48" ht="12.75" customHeight="1" x14ac:dyDescent="0.25">
      <c r="A421" s="72" t="s">
        <v>23</v>
      </c>
      <c r="B421" s="43" t="s">
        <v>159</v>
      </c>
      <c r="C421" s="44" t="s">
        <v>571</v>
      </c>
      <c r="D421" s="45">
        <f>MROUND(MID($C421,6,3)/Basis!$E$3,0.5)</f>
        <v>23.5</v>
      </c>
      <c r="E421" s="45">
        <f>MROUND(MID($C421,9,3)/Basis!$E$3,0.5)</f>
        <v>35.5</v>
      </c>
      <c r="F421" s="124" t="s">
        <v>2947</v>
      </c>
      <c r="G421" s="45">
        <f>ROUND((ROUNDDOWN($F421/5,0)*5+1.8)/Basis!$E$3,1)</f>
        <v>6.6</v>
      </c>
      <c r="H421" s="120">
        <f>ROUND($P421*Basis!$E$2*((TaH-TrH)/LN(1/µ)/Basis!$E$7)^$N421*$AA$4*Glycol,0)</f>
        <v>3943</v>
      </c>
      <c r="I421" s="83">
        <f>ROUND(H421/(MID($C421,9,3)/Basis!$E$3/Basis!$E$9)*Basis!$E$11,0)</f>
        <v>1335</v>
      </c>
      <c r="J421" s="123">
        <f>IF(Basis!$E$1=1,ROUND(H421/((TaH-TrH)*1.163)/3600,3),ROUND(H421/(500*(TaH-TrH)),2))</f>
        <v>0.39</v>
      </c>
      <c r="K421" s="84"/>
      <c r="L421" s="177">
        <f>CHOOSE(Basis!$E$1,((AJ421*(J421*3600/Basis!$E$5)^AK421*(((MID(C421,9,3)*10)-144)/1000)*AL421+AM421*(J421*3600/Basis!$E$5)^2)*0.0098)/Basis!$E$10,((AJ421*(J421/Basis!$E$5)^AK421*(((MID(C421,9,3)*10)-144)/1000)*AL421+AM421*(J421/Basis!$E$5)^2)*0.0098)/Basis!$E$10)</f>
        <v>4.0419690064040358E-2</v>
      </c>
      <c r="M421" s="85"/>
      <c r="N421" s="109">
        <v>1.468</v>
      </c>
      <c r="O421" s="68"/>
      <c r="P421" s="67">
        <v>1876</v>
      </c>
      <c r="Q421" s="68"/>
      <c r="R421" s="69"/>
      <c r="S421" s="69"/>
      <c r="T421" s="69"/>
      <c r="U421" s="69"/>
      <c r="V421" s="69"/>
      <c r="W421" s="68"/>
      <c r="X421" s="70"/>
      <c r="Y421" s="70"/>
      <c r="Z421" s="70"/>
      <c r="AA421" s="70"/>
      <c r="AB421" s="70"/>
      <c r="AC421" s="68"/>
      <c r="AD421" s="71"/>
      <c r="AE421" s="71"/>
      <c r="AF421" s="71"/>
      <c r="AG421" s="71"/>
      <c r="AH421" s="71"/>
      <c r="AI421" s="68"/>
      <c r="AJ421" s="214">
        <v>2.0829999999999999E-4</v>
      </c>
      <c r="AK421" s="214">
        <v>1.724</v>
      </c>
      <c r="AL421" s="214">
        <v>4</v>
      </c>
      <c r="AM421" s="214">
        <v>1.392796E-3</v>
      </c>
      <c r="AN421" s="68"/>
      <c r="AO421" s="67"/>
      <c r="AP421" s="67"/>
      <c r="AQ421" s="67"/>
      <c r="AR421" s="67"/>
      <c r="AS421" s="67"/>
      <c r="AT421" s="68"/>
      <c r="AU421" s="49"/>
      <c r="AV421" s="50"/>
    </row>
    <row r="422" spans="1:48" ht="12.75" customHeight="1" x14ac:dyDescent="0.25">
      <c r="A422" s="72" t="s">
        <v>23</v>
      </c>
      <c r="B422" s="43" t="s">
        <v>159</v>
      </c>
      <c r="C422" s="44" t="s">
        <v>572</v>
      </c>
      <c r="D422" s="45">
        <f>MROUND(MID($C422,6,3)/Basis!$E$3,0.5)</f>
        <v>23.5</v>
      </c>
      <c r="E422" s="45">
        <f>MROUND(MID($C422,9,3)/Basis!$E$3,0.5)</f>
        <v>35.5</v>
      </c>
      <c r="F422" s="124" t="s">
        <v>2945</v>
      </c>
      <c r="G422" s="45">
        <f>ROUND((ROUNDDOWN($F422/5,0)*5+1.8)/Basis!$E$3,1)</f>
        <v>8.6</v>
      </c>
      <c r="H422" s="120">
        <f>ROUND($P422*Basis!$E$2*((TaH-TrH)/LN(1/µ)/Basis!$E$7)^$N422*$AA$4*Glycol,0)</f>
        <v>5110</v>
      </c>
      <c r="I422" s="83">
        <f>ROUND(H422/(MID($C422,9,3)/Basis!$E$3/Basis!$E$9)*Basis!$E$11,0)</f>
        <v>1731</v>
      </c>
      <c r="J422" s="123">
        <f>IF(Basis!$E$1=1,ROUND(H422/((TaH-TrH)*1.163)/3600,3),ROUND(H422/(500*(TaH-TrH)),2))</f>
        <v>0.51</v>
      </c>
      <c r="K422" s="84"/>
      <c r="L422" s="177">
        <f>CHOOSE(Basis!$E$1,((AJ422*(J422*3600/Basis!$E$5)^AK422*(((MID(C422,9,3)*10)-144)/1000)*AL422+AM422*(J422*3600/Basis!$E$5)^2)*0.0098)/Basis!$E$10,((AJ422*(J422/Basis!$E$5)^AK422*(((MID(C422,9,3)*10)-144)/1000)*AL422+AM422*(J422/Basis!$E$5)^2)*0.0098)/Basis!$E$10)</f>
        <v>1.8779852843296748E-2</v>
      </c>
      <c r="M422" s="85"/>
      <c r="N422" s="109">
        <v>1.361</v>
      </c>
      <c r="O422" s="68"/>
      <c r="P422" s="67">
        <v>2347</v>
      </c>
      <c r="Q422" s="68"/>
      <c r="R422" s="69"/>
      <c r="S422" s="69"/>
      <c r="T422" s="69"/>
      <c r="U422" s="69"/>
      <c r="V422" s="69"/>
      <c r="W422" s="68"/>
      <c r="X422" s="70"/>
      <c r="Y422" s="70"/>
      <c r="Z422" s="70"/>
      <c r="AA422" s="70"/>
      <c r="AB422" s="70"/>
      <c r="AC422" s="68"/>
      <c r="AD422" s="71"/>
      <c r="AE422" s="71"/>
      <c r="AF422" s="71"/>
      <c r="AG422" s="71"/>
      <c r="AH422" s="71"/>
      <c r="AI422" s="68"/>
      <c r="AJ422" s="214">
        <v>1.2760000000000001E-4</v>
      </c>
      <c r="AK422" s="214">
        <v>1.7219</v>
      </c>
      <c r="AL422" s="214">
        <v>2</v>
      </c>
      <c r="AM422" s="214">
        <v>3.76611E-4</v>
      </c>
      <c r="AN422" s="68"/>
      <c r="AO422" s="67"/>
      <c r="AP422" s="67"/>
      <c r="AQ422" s="67"/>
      <c r="AR422" s="67"/>
      <c r="AS422" s="67"/>
      <c r="AT422" s="68"/>
      <c r="AU422" s="49"/>
      <c r="AV422" s="50"/>
    </row>
    <row r="423" spans="1:48" ht="12.75" customHeight="1" x14ac:dyDescent="0.25">
      <c r="A423" s="72" t="s">
        <v>23</v>
      </c>
      <c r="B423" s="43" t="s">
        <v>159</v>
      </c>
      <c r="C423" s="44" t="s">
        <v>573</v>
      </c>
      <c r="D423" s="45">
        <f>MROUND(MID($C423,6,3)/Basis!$E$3,0.5)</f>
        <v>23.5</v>
      </c>
      <c r="E423" s="45">
        <f>MROUND(MID($C423,9,3)/Basis!$E$3,0.5)</f>
        <v>35.5</v>
      </c>
      <c r="F423" s="124" t="s">
        <v>2948</v>
      </c>
      <c r="G423" s="45">
        <f>ROUND((ROUNDDOWN($F423/5,0)*5+1.8)/Basis!$E$3,1)</f>
        <v>8.6</v>
      </c>
      <c r="H423" s="120">
        <f>ROUND($P423*Basis!$E$2*((TaH-TrH)/LN(1/µ)/Basis!$E$7)^$N423*$AA$4*Glycol,0)</f>
        <v>5407</v>
      </c>
      <c r="I423" s="83">
        <f>ROUND(H423/(MID($C423,9,3)/Basis!$E$3/Basis!$E$9)*Basis!$E$11,0)</f>
        <v>1831</v>
      </c>
      <c r="J423" s="123">
        <f>IF(Basis!$E$1=1,ROUND(H423/((TaH-TrH)*1.163)/3600,3),ROUND(H423/(500*(TaH-TrH)),2))</f>
        <v>0.54</v>
      </c>
      <c r="K423" s="84"/>
      <c r="L423" s="177">
        <f>CHOOSE(Basis!$E$1,((AJ423*(J423*3600/Basis!$E$5)^AK423*(((MID(C423,9,3)*10)-144)/1000)*AL423+AM423*(J423*3600/Basis!$E$5)^2)*0.0098)/Basis!$E$10,((AJ423*(J423/Basis!$E$5)^AK423*(((MID(C423,9,3)*10)-144)/1000)*AL423+AM423*(J423/Basis!$E$5)^2)*0.0098)/Basis!$E$10)</f>
        <v>3.027258016102307E-2</v>
      </c>
      <c r="M423" s="85"/>
      <c r="N423" s="110">
        <v>1.4930000000000001</v>
      </c>
      <c r="O423" s="74"/>
      <c r="P423" s="73">
        <v>2594</v>
      </c>
      <c r="Q423" s="74"/>
      <c r="R423" s="75"/>
      <c r="S423" s="75"/>
      <c r="T423" s="75"/>
      <c r="U423" s="75"/>
      <c r="V423" s="75"/>
      <c r="W423" s="74"/>
      <c r="X423" s="76"/>
      <c r="Y423" s="76"/>
      <c r="Z423" s="76"/>
      <c r="AA423" s="76"/>
      <c r="AB423" s="76"/>
      <c r="AC423" s="74"/>
      <c r="AD423" s="77"/>
      <c r="AE423" s="77"/>
      <c r="AF423" s="77"/>
      <c r="AG423" s="77"/>
      <c r="AH423" s="77"/>
      <c r="AI423" s="68"/>
      <c r="AJ423" s="213">
        <v>1.2760000000000001E-4</v>
      </c>
      <c r="AK423" s="213">
        <v>1.7219</v>
      </c>
      <c r="AL423" s="213">
        <v>4</v>
      </c>
      <c r="AM423" s="213">
        <v>5.1420100000000005E-4</v>
      </c>
      <c r="AN423" s="74"/>
      <c r="AO423" s="73"/>
      <c r="AP423" s="73"/>
      <c r="AQ423" s="73"/>
      <c r="AR423" s="73"/>
      <c r="AS423" s="73"/>
      <c r="AT423" s="74"/>
      <c r="AU423" s="47"/>
      <c r="AV423" s="48"/>
    </row>
    <row r="424" spans="1:48" ht="12.75" customHeight="1" x14ac:dyDescent="0.25">
      <c r="A424" s="72" t="s">
        <v>23</v>
      </c>
      <c r="B424" s="43" t="s">
        <v>159</v>
      </c>
      <c r="C424" s="44" t="s">
        <v>574</v>
      </c>
      <c r="D424" s="45">
        <f>MROUND(MID($C424,6,3)/Basis!$E$3,0.5)</f>
        <v>23.5</v>
      </c>
      <c r="E424" s="45">
        <f>MROUND(MID($C424,9,3)/Basis!$E$3,0.5)</f>
        <v>39.5</v>
      </c>
      <c r="F424" s="124" t="s">
        <v>2943</v>
      </c>
      <c r="G424" s="45">
        <f>ROUND((ROUNDDOWN($F424/5,0)*5+1.8)/Basis!$E$3,1)</f>
        <v>4.5999999999999996</v>
      </c>
      <c r="H424" s="120">
        <f>ROUND($P424*Basis!$E$2*((TaH-TrH)/LN(1/µ)/Basis!$E$7)^$N424*$AA$4*Glycol,0)</f>
        <v>2535</v>
      </c>
      <c r="I424" s="83">
        <f>ROUND(H424/(MID($C424,9,3)/Basis!$E$3/Basis!$E$9)*Basis!$E$11,0)</f>
        <v>773</v>
      </c>
      <c r="J424" s="123">
        <f>IF(Basis!$E$1=1,ROUND(H424/((TaH-TrH)*1.163)/3600,3),ROUND(H424/(500*(TaH-TrH)),2))</f>
        <v>0.25</v>
      </c>
      <c r="K424" s="84"/>
      <c r="L424" s="177">
        <f>CHOOSE(Basis!$E$1,((AJ424*(J424*3600/Basis!$E$5)^AK424*(((MID(C424,9,3)*10)-144)/1000)*AL424+AM424*(J424*3600/Basis!$E$5)^2)*0.0098)/Basis!$E$10,((AJ424*(J424/Basis!$E$5)^AK424*(((MID(C424,9,3)*10)-144)/1000)*AL424+AM424*(J424/Basis!$E$5)^2)*0.0098)/Basis!$E$10)</f>
        <v>6.3246400317573575E-3</v>
      </c>
      <c r="M424" s="85"/>
      <c r="N424" s="110">
        <v>1.3759999999999999</v>
      </c>
      <c r="O424" s="74"/>
      <c r="P424" s="73">
        <v>1170</v>
      </c>
      <c r="Q424" s="74"/>
      <c r="R424" s="75"/>
      <c r="S424" s="75"/>
      <c r="T424" s="75"/>
      <c r="U424" s="75"/>
      <c r="V424" s="75"/>
      <c r="W424" s="74"/>
      <c r="X424" s="76"/>
      <c r="Y424" s="76"/>
      <c r="Z424" s="76"/>
      <c r="AA424" s="76"/>
      <c r="AB424" s="76"/>
      <c r="AC424" s="74"/>
      <c r="AD424" s="77"/>
      <c r="AE424" s="77"/>
      <c r="AF424" s="77"/>
      <c r="AG424" s="77"/>
      <c r="AH424" s="77"/>
      <c r="AI424" s="68"/>
      <c r="AJ424" s="213">
        <v>3.9689999999999994E-4</v>
      </c>
      <c r="AK424" s="213">
        <v>1.7345999999999999</v>
      </c>
      <c r="AL424" s="213">
        <v>2</v>
      </c>
      <c r="AM424" s="213">
        <v>3.6734700000000002E-4</v>
      </c>
      <c r="AN424" s="74"/>
      <c r="AO424" s="73"/>
      <c r="AP424" s="73"/>
      <c r="AQ424" s="73"/>
      <c r="AR424" s="73"/>
      <c r="AS424" s="73"/>
      <c r="AT424" s="74"/>
      <c r="AU424" s="47"/>
      <c r="AV424" s="48"/>
    </row>
    <row r="425" spans="1:48" ht="12.75" customHeight="1" x14ac:dyDescent="0.25">
      <c r="A425" s="72" t="s">
        <v>23</v>
      </c>
      <c r="B425" s="43" t="s">
        <v>159</v>
      </c>
      <c r="C425" s="44" t="s">
        <v>575</v>
      </c>
      <c r="D425" s="45">
        <f>MROUND(MID($C425,6,3)/Basis!$E$3,0.5)</f>
        <v>23.5</v>
      </c>
      <c r="E425" s="45">
        <f>MROUND(MID($C425,9,3)/Basis!$E$3,0.5)</f>
        <v>39.5</v>
      </c>
      <c r="F425" s="124" t="s">
        <v>2946</v>
      </c>
      <c r="G425" s="45">
        <f>ROUND((ROUNDDOWN($F425/5,0)*5+1.8)/Basis!$E$3,1)</f>
        <v>4.5999999999999996</v>
      </c>
      <c r="H425" s="120">
        <f>ROUND($P425*Basis!$E$2*((TaH-TrH)/LN(1/µ)/Basis!$E$7)^$N425*$AA$4*Glycol,0)</f>
        <v>3173</v>
      </c>
      <c r="I425" s="83">
        <f>ROUND(H425/(MID($C425,9,3)/Basis!$E$3/Basis!$E$9)*Basis!$E$11,0)</f>
        <v>967</v>
      </c>
      <c r="J425" s="123">
        <f>IF(Basis!$E$1=1,ROUND(H425/((TaH-TrH)*1.163)/3600,3),ROUND(H425/(500*(TaH-TrH)),2))</f>
        <v>0.32</v>
      </c>
      <c r="K425" s="84"/>
      <c r="L425" s="177">
        <f>CHOOSE(Basis!$E$1,((AJ425*(J425*3600/Basis!$E$5)^AK425*(((MID(C425,9,3)*10)-144)/1000)*AL425+AM425*(J425*3600/Basis!$E$5)^2)*0.0098)/Basis!$E$10,((AJ425*(J425/Basis!$E$5)^AK425*(((MID(C425,9,3)*10)-144)/1000)*AL425+AM425*(J425/Basis!$E$5)^2)*0.0098)/Basis!$E$10)</f>
        <v>1.744452074115533E-2</v>
      </c>
      <c r="M425" s="85"/>
      <c r="N425" s="109">
        <v>1.4370000000000001</v>
      </c>
      <c r="O425" s="68"/>
      <c r="P425" s="67">
        <v>1494</v>
      </c>
      <c r="Q425" s="68"/>
      <c r="R425" s="69"/>
      <c r="S425" s="69"/>
      <c r="T425" s="69"/>
      <c r="U425" s="69"/>
      <c r="V425" s="69"/>
      <c r="W425" s="68"/>
      <c r="X425" s="70"/>
      <c r="Y425" s="70"/>
      <c r="Z425" s="70"/>
      <c r="AA425" s="70"/>
      <c r="AB425" s="70"/>
      <c r="AC425" s="68"/>
      <c r="AD425" s="71"/>
      <c r="AE425" s="71"/>
      <c r="AF425" s="71"/>
      <c r="AG425" s="71"/>
      <c r="AH425" s="71"/>
      <c r="AI425" s="68"/>
      <c r="AJ425" s="214">
        <v>3.9689999999999994E-4</v>
      </c>
      <c r="AK425" s="214">
        <v>1.7345999999999999</v>
      </c>
      <c r="AL425" s="214">
        <v>4</v>
      </c>
      <c r="AM425" s="214">
        <v>5.7428799999999995E-4</v>
      </c>
      <c r="AN425" s="68"/>
      <c r="AO425" s="67"/>
      <c r="AP425" s="67"/>
      <c r="AQ425" s="67"/>
      <c r="AR425" s="67"/>
      <c r="AS425" s="67"/>
      <c r="AT425" s="68"/>
      <c r="AU425" s="49"/>
      <c r="AV425" s="50"/>
    </row>
    <row r="426" spans="1:48" ht="12.75" customHeight="1" x14ac:dyDescent="0.25">
      <c r="A426" s="72" t="s">
        <v>23</v>
      </c>
      <c r="B426" s="43" t="s">
        <v>159</v>
      </c>
      <c r="C426" s="44" t="s">
        <v>576</v>
      </c>
      <c r="D426" s="45">
        <f>MROUND(MID($C426,6,3)/Basis!$E$3,0.5)</f>
        <v>23.5</v>
      </c>
      <c r="E426" s="45">
        <f>MROUND(MID($C426,9,3)/Basis!$E$3,0.5)</f>
        <v>39.5</v>
      </c>
      <c r="F426" s="124" t="s">
        <v>2944</v>
      </c>
      <c r="G426" s="45">
        <f>ROUND((ROUNDDOWN($F426/5,0)*5+1.8)/Basis!$E$3,1)</f>
        <v>6.6</v>
      </c>
      <c r="H426" s="120">
        <f>ROUND($P426*Basis!$E$2*((TaH-TrH)/LN(1/µ)/Basis!$E$7)^$N426*$AA$4*Glycol,0)</f>
        <v>4063</v>
      </c>
      <c r="I426" s="83">
        <f>ROUND(H426/(MID($C426,9,3)/Basis!$E$3/Basis!$E$9)*Basis!$E$11,0)</f>
        <v>1238</v>
      </c>
      <c r="J426" s="123">
        <f>IF(Basis!$E$1=1,ROUND(H426/((TaH-TrH)*1.163)/3600,3),ROUND(H426/(500*(TaH-TrH)),2))</f>
        <v>0.41</v>
      </c>
      <c r="K426" s="84"/>
      <c r="L426" s="177">
        <f>CHOOSE(Basis!$E$1,((AJ426*(J426*3600/Basis!$E$5)^AK426*(((MID(C426,9,3)*10)-144)/1000)*AL426+AM426*(J426*3600/Basis!$E$5)^2)*0.0098)/Basis!$E$10,((AJ426*(J426/Basis!$E$5)^AK426*(((MID(C426,9,3)*10)-144)/1000)*AL426+AM426*(J426/Basis!$E$5)^2)*0.0098)/Basis!$E$10)</f>
        <v>1.5987415322753579E-2</v>
      </c>
      <c r="M426" s="85"/>
      <c r="N426" s="109">
        <v>1.361</v>
      </c>
      <c r="O426" s="68"/>
      <c r="P426" s="67">
        <v>1866</v>
      </c>
      <c r="Q426" s="68"/>
      <c r="R426" s="69"/>
      <c r="S426" s="69"/>
      <c r="T426" s="69"/>
      <c r="U426" s="69"/>
      <c r="V426" s="69"/>
      <c r="W426" s="68"/>
      <c r="X426" s="70"/>
      <c r="Y426" s="70"/>
      <c r="Z426" s="70"/>
      <c r="AA426" s="70"/>
      <c r="AB426" s="70"/>
      <c r="AC426" s="68"/>
      <c r="AD426" s="71"/>
      <c r="AE426" s="71"/>
      <c r="AF426" s="71"/>
      <c r="AG426" s="71"/>
      <c r="AH426" s="71"/>
      <c r="AI426" s="68"/>
      <c r="AJ426" s="214">
        <v>2.0829999999999999E-4</v>
      </c>
      <c r="AK426" s="214">
        <v>1.724</v>
      </c>
      <c r="AL426" s="214">
        <v>2</v>
      </c>
      <c r="AM426" s="214">
        <v>4.6182900000000003E-4</v>
      </c>
      <c r="AN426" s="68"/>
      <c r="AO426" s="67"/>
      <c r="AP426" s="67"/>
      <c r="AQ426" s="67"/>
      <c r="AR426" s="67"/>
      <c r="AS426" s="67"/>
      <c r="AT426" s="68"/>
      <c r="AU426" s="49"/>
      <c r="AV426" s="50"/>
    </row>
    <row r="427" spans="1:48" ht="12.75" customHeight="1" x14ac:dyDescent="0.25">
      <c r="A427" s="72" t="s">
        <v>23</v>
      </c>
      <c r="B427" s="43" t="s">
        <v>159</v>
      </c>
      <c r="C427" s="44" t="s">
        <v>577</v>
      </c>
      <c r="D427" s="45">
        <f>MROUND(MID($C427,6,3)/Basis!$E$3,0.5)</f>
        <v>23.5</v>
      </c>
      <c r="E427" s="45">
        <f>MROUND(MID($C427,9,3)/Basis!$E$3,0.5)</f>
        <v>39.5</v>
      </c>
      <c r="F427" s="124" t="s">
        <v>2947</v>
      </c>
      <c r="G427" s="45">
        <f>ROUND((ROUNDDOWN($F427/5,0)*5+1.8)/Basis!$E$3,1)</f>
        <v>6.6</v>
      </c>
      <c r="H427" s="120">
        <f>ROUND($P427*Basis!$E$2*((TaH-TrH)/LN(1/µ)/Basis!$E$7)^$N427*$AA$4*Glycol,0)</f>
        <v>4380</v>
      </c>
      <c r="I427" s="83">
        <f>ROUND(H427/(MID($C427,9,3)/Basis!$E$3/Basis!$E$9)*Basis!$E$11,0)</f>
        <v>1335</v>
      </c>
      <c r="J427" s="123">
        <f>IF(Basis!$E$1=1,ROUND(H427/((TaH-TrH)*1.163)/3600,3),ROUND(H427/(500*(TaH-TrH)),2))</f>
        <v>0.44</v>
      </c>
      <c r="K427" s="84"/>
      <c r="L427" s="177">
        <f>CHOOSE(Basis!$E$1,((AJ427*(J427*3600/Basis!$E$5)^AK427*(((MID(C427,9,3)*10)-144)/1000)*AL427+AM427*(J427*3600/Basis!$E$5)^2)*0.0098)/Basis!$E$10,((AJ427*(J427/Basis!$E$5)^AK427*(((MID(C427,9,3)*10)-144)/1000)*AL427+AM427*(J427/Basis!$E$5)^2)*0.0098)/Basis!$E$10)</f>
        <v>5.2016122256833275E-2</v>
      </c>
      <c r="M427" s="85"/>
      <c r="N427" s="110">
        <v>1.468</v>
      </c>
      <c r="O427" s="74"/>
      <c r="P427" s="73">
        <v>2084</v>
      </c>
      <c r="Q427" s="74"/>
      <c r="R427" s="75"/>
      <c r="S427" s="75"/>
      <c r="T427" s="75"/>
      <c r="U427" s="75"/>
      <c r="V427" s="75"/>
      <c r="W427" s="74"/>
      <c r="X427" s="76"/>
      <c r="Y427" s="76"/>
      <c r="Z427" s="76"/>
      <c r="AA427" s="76"/>
      <c r="AB427" s="76"/>
      <c r="AC427" s="74"/>
      <c r="AD427" s="77"/>
      <c r="AE427" s="77"/>
      <c r="AF427" s="77"/>
      <c r="AG427" s="77"/>
      <c r="AH427" s="77"/>
      <c r="AI427" s="68"/>
      <c r="AJ427" s="213">
        <v>2.0829999999999999E-4</v>
      </c>
      <c r="AK427" s="213">
        <v>1.724</v>
      </c>
      <c r="AL427" s="213">
        <v>4</v>
      </c>
      <c r="AM427" s="213">
        <v>1.392796E-3</v>
      </c>
      <c r="AN427" s="74"/>
      <c r="AO427" s="73"/>
      <c r="AP427" s="73"/>
      <c r="AQ427" s="73"/>
      <c r="AR427" s="73"/>
      <c r="AS427" s="73"/>
      <c r="AT427" s="74"/>
      <c r="AU427" s="47"/>
      <c r="AV427" s="48"/>
    </row>
    <row r="428" spans="1:48" ht="12.75" customHeight="1" x14ac:dyDescent="0.25">
      <c r="A428" s="72" t="s">
        <v>23</v>
      </c>
      <c r="B428" s="43" t="s">
        <v>159</v>
      </c>
      <c r="C428" s="44" t="s">
        <v>578</v>
      </c>
      <c r="D428" s="45">
        <f>MROUND(MID($C428,6,3)/Basis!$E$3,0.5)</f>
        <v>23.5</v>
      </c>
      <c r="E428" s="45">
        <f>MROUND(MID($C428,9,3)/Basis!$E$3,0.5)</f>
        <v>39.5</v>
      </c>
      <c r="F428" s="124" t="s">
        <v>2945</v>
      </c>
      <c r="G428" s="45">
        <f>ROUND((ROUNDDOWN($F428/5,0)*5+1.8)/Basis!$E$3,1)</f>
        <v>8.6</v>
      </c>
      <c r="H428" s="120">
        <f>ROUND($P428*Basis!$E$2*((TaH-TrH)/LN(1/µ)/Basis!$E$7)^$N428*$AA$4*Glycol,0)</f>
        <v>5679</v>
      </c>
      <c r="I428" s="83">
        <f>ROUND(H428/(MID($C428,9,3)/Basis!$E$3/Basis!$E$9)*Basis!$E$11,0)</f>
        <v>1731</v>
      </c>
      <c r="J428" s="123">
        <f>IF(Basis!$E$1=1,ROUND(H428/((TaH-TrH)*1.163)/3600,3),ROUND(H428/(500*(TaH-TrH)),2))</f>
        <v>0.56999999999999995</v>
      </c>
      <c r="K428" s="84"/>
      <c r="L428" s="177">
        <f>CHOOSE(Basis!$E$1,((AJ428*(J428*3600/Basis!$E$5)^AK428*(((MID(C428,9,3)*10)-144)/1000)*AL428+AM428*(J428*3600/Basis!$E$5)^2)*0.0098)/Basis!$E$10,((AJ428*(J428/Basis!$E$5)^AK428*(((MID(C428,9,3)*10)-144)/1000)*AL428+AM428*(J428/Basis!$E$5)^2)*0.0098)/Basis!$E$10)</f>
        <v>2.3734327463232046E-2</v>
      </c>
      <c r="M428" s="85"/>
      <c r="N428" s="110">
        <v>1.361</v>
      </c>
      <c r="O428" s="74"/>
      <c r="P428" s="73">
        <v>2608</v>
      </c>
      <c r="Q428" s="74"/>
      <c r="R428" s="75"/>
      <c r="S428" s="75"/>
      <c r="T428" s="75"/>
      <c r="U428" s="75"/>
      <c r="V428" s="75"/>
      <c r="W428" s="74"/>
      <c r="X428" s="76"/>
      <c r="Y428" s="76"/>
      <c r="Z428" s="76"/>
      <c r="AA428" s="76"/>
      <c r="AB428" s="76"/>
      <c r="AC428" s="74"/>
      <c r="AD428" s="77"/>
      <c r="AE428" s="77"/>
      <c r="AF428" s="77"/>
      <c r="AG428" s="77"/>
      <c r="AH428" s="77"/>
      <c r="AI428" s="68"/>
      <c r="AJ428" s="213">
        <v>1.2760000000000001E-4</v>
      </c>
      <c r="AK428" s="213">
        <v>1.7219</v>
      </c>
      <c r="AL428" s="213">
        <v>2</v>
      </c>
      <c r="AM428" s="213">
        <v>3.76611E-4</v>
      </c>
      <c r="AN428" s="74"/>
      <c r="AO428" s="73"/>
      <c r="AP428" s="73"/>
      <c r="AQ428" s="73"/>
      <c r="AR428" s="73"/>
      <c r="AS428" s="73"/>
      <c r="AT428" s="74"/>
      <c r="AU428" s="47"/>
      <c r="AV428" s="48"/>
    </row>
    <row r="429" spans="1:48" ht="12.75" customHeight="1" x14ac:dyDescent="0.25">
      <c r="A429" s="72" t="s">
        <v>23</v>
      </c>
      <c r="B429" s="43" t="s">
        <v>159</v>
      </c>
      <c r="C429" s="44" t="s">
        <v>579</v>
      </c>
      <c r="D429" s="45">
        <f>MROUND(MID($C429,6,3)/Basis!$E$3,0.5)</f>
        <v>23.5</v>
      </c>
      <c r="E429" s="45">
        <f>MROUND(MID($C429,9,3)/Basis!$E$3,0.5)</f>
        <v>39.5</v>
      </c>
      <c r="F429" s="124" t="s">
        <v>2948</v>
      </c>
      <c r="G429" s="45">
        <f>ROUND((ROUNDDOWN($F429/5,0)*5+1.8)/Basis!$E$3,1)</f>
        <v>8.6</v>
      </c>
      <c r="H429" s="120">
        <f>ROUND($P429*Basis!$E$2*((TaH-TrH)/LN(1/µ)/Basis!$E$7)^$N429*$AA$4*Glycol,0)</f>
        <v>6008</v>
      </c>
      <c r="I429" s="83">
        <f>ROUND(H429/(MID($C429,9,3)/Basis!$E$3/Basis!$E$9)*Basis!$E$11,0)</f>
        <v>1831</v>
      </c>
      <c r="J429" s="123">
        <f>IF(Basis!$E$1=1,ROUND(H429/((TaH-TrH)*1.163)/3600,3),ROUND(H429/(500*(TaH-TrH)),2))</f>
        <v>0.6</v>
      </c>
      <c r="K429" s="84"/>
      <c r="L429" s="177">
        <f>CHOOSE(Basis!$E$1,((AJ429*(J429*3600/Basis!$E$5)^AK429*(((MID(C429,9,3)*10)-144)/1000)*AL429+AM429*(J429*3600/Basis!$E$5)^2)*0.0098)/Basis!$E$10,((AJ429*(J429/Basis!$E$5)^AK429*(((MID(C429,9,3)*10)-144)/1000)*AL429+AM429*(J429/Basis!$E$5)^2)*0.0098)/Basis!$E$10)</f>
        <v>3.7986036746706475E-2</v>
      </c>
      <c r="M429" s="85"/>
      <c r="N429" s="109">
        <v>1.4930000000000001</v>
      </c>
      <c r="O429" s="68"/>
      <c r="P429" s="67">
        <v>2882</v>
      </c>
      <c r="Q429" s="68"/>
      <c r="R429" s="69"/>
      <c r="S429" s="69"/>
      <c r="T429" s="69"/>
      <c r="U429" s="69"/>
      <c r="V429" s="69"/>
      <c r="W429" s="68"/>
      <c r="X429" s="70"/>
      <c r="Y429" s="70"/>
      <c r="Z429" s="70"/>
      <c r="AA429" s="70"/>
      <c r="AB429" s="70"/>
      <c r="AC429" s="68"/>
      <c r="AD429" s="71"/>
      <c r="AE429" s="71"/>
      <c r="AF429" s="71"/>
      <c r="AG429" s="71"/>
      <c r="AH429" s="71"/>
      <c r="AI429" s="68"/>
      <c r="AJ429" s="214">
        <v>1.2760000000000001E-4</v>
      </c>
      <c r="AK429" s="214">
        <v>1.7219</v>
      </c>
      <c r="AL429" s="214">
        <v>4</v>
      </c>
      <c r="AM429" s="214">
        <v>5.1420100000000005E-4</v>
      </c>
      <c r="AN429" s="68"/>
      <c r="AO429" s="67"/>
      <c r="AP429" s="67"/>
      <c r="AQ429" s="67"/>
      <c r="AR429" s="67"/>
      <c r="AS429" s="67"/>
      <c r="AT429" s="68"/>
      <c r="AU429" s="49"/>
      <c r="AV429" s="50"/>
    </row>
    <row r="430" spans="1:48" ht="12.75" customHeight="1" x14ac:dyDescent="0.25">
      <c r="A430" s="72" t="s">
        <v>23</v>
      </c>
      <c r="B430" s="43" t="s">
        <v>159</v>
      </c>
      <c r="C430" s="44" t="s">
        <v>580</v>
      </c>
      <c r="D430" s="45">
        <f>MROUND(MID($C430,6,3)/Basis!$E$3,0.5)</f>
        <v>23.5</v>
      </c>
      <c r="E430" s="45">
        <f>MROUND(MID($C430,9,3)/Basis!$E$3,0.5)</f>
        <v>43.5</v>
      </c>
      <c r="F430" s="124" t="s">
        <v>2943</v>
      </c>
      <c r="G430" s="45">
        <f>ROUND((ROUNDDOWN($F430/5,0)*5+1.8)/Basis!$E$3,1)</f>
        <v>4.5999999999999996</v>
      </c>
      <c r="H430" s="120">
        <f>ROUND($P430*Basis!$E$2*((TaH-TrH)/LN(1/µ)/Basis!$E$7)^$N430*$AA$4*Glycol,0)</f>
        <v>2789</v>
      </c>
      <c r="I430" s="83">
        <f>ROUND(H430/(MID($C430,9,3)/Basis!$E$3/Basis!$E$9)*Basis!$E$11,0)</f>
        <v>773</v>
      </c>
      <c r="J430" s="123">
        <f>IF(Basis!$E$1=1,ROUND(H430/((TaH-TrH)*1.163)/3600,3),ROUND(H430/(500*(TaH-TrH)),2))</f>
        <v>0.28000000000000003</v>
      </c>
      <c r="K430" s="84"/>
      <c r="L430" s="177">
        <f>CHOOSE(Basis!$E$1,((AJ430*(J430*3600/Basis!$E$5)^AK430*(((MID(C430,9,3)*10)-144)/1000)*AL430+AM430*(J430*3600/Basis!$E$5)^2)*0.0098)/Basis!$E$10,((AJ430*(J430/Basis!$E$5)^AK430*(((MID(C430,9,3)*10)-144)/1000)*AL430+AM430*(J430/Basis!$E$5)^2)*0.0098)/Basis!$E$10)</f>
        <v>8.1911804716726256E-3</v>
      </c>
      <c r="M430" s="85"/>
      <c r="N430" s="109">
        <v>1.3759999999999999</v>
      </c>
      <c r="O430" s="68"/>
      <c r="P430" s="67">
        <v>1287</v>
      </c>
      <c r="Q430" s="68"/>
      <c r="R430" s="69"/>
      <c r="S430" s="69"/>
      <c r="T430" s="69"/>
      <c r="U430" s="69"/>
      <c r="V430" s="69"/>
      <c r="W430" s="68"/>
      <c r="X430" s="70"/>
      <c r="Y430" s="70"/>
      <c r="Z430" s="70"/>
      <c r="AA430" s="70"/>
      <c r="AB430" s="70"/>
      <c r="AC430" s="68"/>
      <c r="AD430" s="71"/>
      <c r="AE430" s="71"/>
      <c r="AF430" s="71"/>
      <c r="AG430" s="71"/>
      <c r="AH430" s="71"/>
      <c r="AI430" s="68"/>
      <c r="AJ430" s="214">
        <v>3.9689999999999994E-4</v>
      </c>
      <c r="AK430" s="214">
        <v>1.7345999999999999</v>
      </c>
      <c r="AL430" s="214">
        <v>2</v>
      </c>
      <c r="AM430" s="214">
        <v>3.6734700000000002E-4</v>
      </c>
      <c r="AN430" s="68"/>
      <c r="AO430" s="67"/>
      <c r="AP430" s="67"/>
      <c r="AQ430" s="67"/>
      <c r="AR430" s="67"/>
      <c r="AS430" s="67"/>
      <c r="AT430" s="68"/>
      <c r="AU430" s="49"/>
      <c r="AV430" s="50"/>
    </row>
    <row r="431" spans="1:48" ht="12.75" customHeight="1" x14ac:dyDescent="0.25">
      <c r="A431" s="72" t="s">
        <v>23</v>
      </c>
      <c r="B431" s="43" t="s">
        <v>159</v>
      </c>
      <c r="C431" s="44" t="s">
        <v>581</v>
      </c>
      <c r="D431" s="45">
        <f>MROUND(MID($C431,6,3)/Basis!$E$3,0.5)</f>
        <v>23.5</v>
      </c>
      <c r="E431" s="45">
        <f>MROUND(MID($C431,9,3)/Basis!$E$3,0.5)</f>
        <v>43.5</v>
      </c>
      <c r="F431" s="124" t="s">
        <v>2946</v>
      </c>
      <c r="G431" s="45">
        <f>ROUND((ROUNDDOWN($F431/5,0)*5+1.8)/Basis!$E$3,1)</f>
        <v>4.5999999999999996</v>
      </c>
      <c r="H431" s="120">
        <f>ROUND($P431*Basis!$E$2*((TaH-TrH)/LN(1/µ)/Basis!$E$7)^$N431*$AA$4*Glycol,0)</f>
        <v>3489</v>
      </c>
      <c r="I431" s="83">
        <f>ROUND(H431/(MID($C431,9,3)/Basis!$E$3/Basis!$E$9)*Basis!$E$11,0)</f>
        <v>967</v>
      </c>
      <c r="J431" s="123">
        <f>IF(Basis!$E$1=1,ROUND(H431/((TaH-TrH)*1.163)/3600,3),ROUND(H431/(500*(TaH-TrH)),2))</f>
        <v>0.35</v>
      </c>
      <c r="K431" s="84"/>
      <c r="L431" s="177">
        <f>CHOOSE(Basis!$E$1,((AJ431*(J431*3600/Basis!$E$5)^AK431*(((MID(C431,9,3)*10)-144)/1000)*AL431+AM431*(J431*3600/Basis!$E$5)^2)*0.0098)/Basis!$E$10,((AJ431*(J431/Basis!$E$5)^AK431*(((MID(C431,9,3)*10)-144)/1000)*AL431+AM431*(J431/Basis!$E$5)^2)*0.0098)/Basis!$E$10)</f>
        <v>2.1684103338509737E-2</v>
      </c>
      <c r="M431" s="85"/>
      <c r="N431" s="110">
        <v>1.4370000000000001</v>
      </c>
      <c r="O431" s="74"/>
      <c r="P431" s="73">
        <v>1643</v>
      </c>
      <c r="Q431" s="74"/>
      <c r="R431" s="75"/>
      <c r="S431" s="75"/>
      <c r="T431" s="75"/>
      <c r="U431" s="75"/>
      <c r="V431" s="75"/>
      <c r="W431" s="74"/>
      <c r="X431" s="76"/>
      <c r="Y431" s="76"/>
      <c r="Z431" s="76"/>
      <c r="AA431" s="76"/>
      <c r="AB431" s="76"/>
      <c r="AC431" s="74"/>
      <c r="AD431" s="77"/>
      <c r="AE431" s="77"/>
      <c r="AF431" s="77"/>
      <c r="AG431" s="77"/>
      <c r="AH431" s="77"/>
      <c r="AI431" s="68"/>
      <c r="AJ431" s="213">
        <v>3.9689999999999994E-4</v>
      </c>
      <c r="AK431" s="213">
        <v>1.7345999999999999</v>
      </c>
      <c r="AL431" s="213">
        <v>4</v>
      </c>
      <c r="AM431" s="213">
        <v>5.7428799999999995E-4</v>
      </c>
      <c r="AN431" s="74"/>
      <c r="AO431" s="73"/>
      <c r="AP431" s="73"/>
      <c r="AQ431" s="73"/>
      <c r="AR431" s="73"/>
      <c r="AS431" s="73"/>
      <c r="AT431" s="74"/>
      <c r="AU431" s="47"/>
      <c r="AV431" s="48"/>
    </row>
    <row r="432" spans="1:48" ht="12.75" customHeight="1" x14ac:dyDescent="0.25">
      <c r="A432" s="72" t="s">
        <v>23</v>
      </c>
      <c r="B432" s="43" t="s">
        <v>159</v>
      </c>
      <c r="C432" s="44" t="s">
        <v>582</v>
      </c>
      <c r="D432" s="45">
        <f>MROUND(MID($C432,6,3)/Basis!$E$3,0.5)</f>
        <v>23.5</v>
      </c>
      <c r="E432" s="45">
        <f>MROUND(MID($C432,9,3)/Basis!$E$3,0.5)</f>
        <v>43.5</v>
      </c>
      <c r="F432" s="124" t="s">
        <v>2944</v>
      </c>
      <c r="G432" s="45">
        <f>ROUND((ROUNDDOWN($F432/5,0)*5+1.8)/Basis!$E$3,1)</f>
        <v>6.6</v>
      </c>
      <c r="H432" s="120">
        <f>ROUND($P432*Basis!$E$2*((TaH-TrH)/LN(1/µ)/Basis!$E$7)^$N432*$AA$4*Glycol,0)</f>
        <v>4470</v>
      </c>
      <c r="I432" s="83">
        <f>ROUND(H432/(MID($C432,9,3)/Basis!$E$3/Basis!$E$9)*Basis!$E$11,0)</f>
        <v>1239</v>
      </c>
      <c r="J432" s="123">
        <f>IF(Basis!$E$1=1,ROUND(H432/((TaH-TrH)*1.163)/3600,3),ROUND(H432/(500*(TaH-TrH)),2))</f>
        <v>0.45</v>
      </c>
      <c r="K432" s="84"/>
      <c r="L432" s="177">
        <f>CHOOSE(Basis!$E$1,((AJ432*(J432*3600/Basis!$E$5)^AK432*(((MID(C432,9,3)*10)-144)/1000)*AL432+AM432*(J432*3600/Basis!$E$5)^2)*0.0098)/Basis!$E$10,((AJ432*(J432/Basis!$E$5)^AK432*(((MID(C432,9,3)*10)-144)/1000)*AL432+AM432*(J432/Basis!$E$5)^2)*0.0098)/Basis!$E$10)</f>
        <v>1.95674808371143E-2</v>
      </c>
      <c r="M432" s="85"/>
      <c r="N432" s="110">
        <v>1.361</v>
      </c>
      <c r="O432" s="74"/>
      <c r="P432" s="73">
        <v>2053</v>
      </c>
      <c r="Q432" s="74"/>
      <c r="R432" s="75"/>
      <c r="S432" s="75"/>
      <c r="T432" s="75"/>
      <c r="U432" s="75"/>
      <c r="V432" s="75"/>
      <c r="W432" s="74"/>
      <c r="X432" s="76"/>
      <c r="Y432" s="76"/>
      <c r="Z432" s="76"/>
      <c r="AA432" s="76"/>
      <c r="AB432" s="76"/>
      <c r="AC432" s="74"/>
      <c r="AD432" s="77"/>
      <c r="AE432" s="77"/>
      <c r="AF432" s="77"/>
      <c r="AG432" s="77"/>
      <c r="AH432" s="77"/>
      <c r="AI432" s="68"/>
      <c r="AJ432" s="213">
        <v>2.0829999999999999E-4</v>
      </c>
      <c r="AK432" s="213">
        <v>1.724</v>
      </c>
      <c r="AL432" s="213">
        <v>2</v>
      </c>
      <c r="AM432" s="213">
        <v>4.6182900000000003E-4</v>
      </c>
      <c r="AN432" s="74"/>
      <c r="AO432" s="73"/>
      <c r="AP432" s="73"/>
      <c r="AQ432" s="73"/>
      <c r="AR432" s="73"/>
      <c r="AS432" s="73"/>
      <c r="AT432" s="74"/>
      <c r="AU432" s="47"/>
      <c r="AV432" s="48"/>
    </row>
    <row r="433" spans="1:48" ht="12.75" customHeight="1" x14ac:dyDescent="0.25">
      <c r="A433" s="72" t="s">
        <v>23</v>
      </c>
      <c r="B433" s="43" t="s">
        <v>159</v>
      </c>
      <c r="C433" s="44" t="s">
        <v>583</v>
      </c>
      <c r="D433" s="45">
        <f>MROUND(MID($C433,6,3)/Basis!$E$3,0.5)</f>
        <v>23.5</v>
      </c>
      <c r="E433" s="45">
        <f>MROUND(MID($C433,9,3)/Basis!$E$3,0.5)</f>
        <v>43.5</v>
      </c>
      <c r="F433" s="124" t="s">
        <v>2947</v>
      </c>
      <c r="G433" s="45">
        <f>ROUND((ROUNDDOWN($F433/5,0)*5+1.8)/Basis!$E$3,1)</f>
        <v>6.6</v>
      </c>
      <c r="H433" s="120">
        <f>ROUND($P433*Basis!$E$2*((TaH-TrH)/LN(1/µ)/Basis!$E$7)^$N433*$AA$4*Glycol,0)</f>
        <v>4818</v>
      </c>
      <c r="I433" s="83">
        <f>ROUND(H433/(MID($C433,9,3)/Basis!$E$3/Basis!$E$9)*Basis!$E$11,0)</f>
        <v>1335</v>
      </c>
      <c r="J433" s="123">
        <f>IF(Basis!$E$1=1,ROUND(H433/((TaH-TrH)*1.163)/3600,3),ROUND(H433/(500*(TaH-TrH)),2))</f>
        <v>0.48</v>
      </c>
      <c r="K433" s="84"/>
      <c r="L433" s="177">
        <f>CHOOSE(Basis!$E$1,((AJ433*(J433*3600/Basis!$E$5)^AK433*(((MID(C433,9,3)*10)-144)/1000)*AL433+AM433*(J433*3600/Basis!$E$5)^2)*0.0098)/Basis!$E$10,((AJ433*(J433/Basis!$E$5)^AK433*(((MID(C433,9,3)*10)-144)/1000)*AL433+AM433*(J433/Basis!$E$5)^2)*0.0098)/Basis!$E$10)</f>
        <v>6.2605933983434961E-2</v>
      </c>
      <c r="M433" s="85"/>
      <c r="N433" s="109">
        <v>1.468</v>
      </c>
      <c r="O433" s="68"/>
      <c r="P433" s="67">
        <v>2292</v>
      </c>
      <c r="Q433" s="68"/>
      <c r="R433" s="69"/>
      <c r="S433" s="69"/>
      <c r="T433" s="69"/>
      <c r="U433" s="69"/>
      <c r="V433" s="69"/>
      <c r="W433" s="68"/>
      <c r="X433" s="70"/>
      <c r="Y433" s="70"/>
      <c r="Z433" s="70"/>
      <c r="AA433" s="70"/>
      <c r="AB433" s="70"/>
      <c r="AC433" s="68"/>
      <c r="AD433" s="71"/>
      <c r="AE433" s="71"/>
      <c r="AF433" s="71"/>
      <c r="AG433" s="71"/>
      <c r="AH433" s="71"/>
      <c r="AI433" s="68"/>
      <c r="AJ433" s="214">
        <v>2.0829999999999999E-4</v>
      </c>
      <c r="AK433" s="214">
        <v>1.724</v>
      </c>
      <c r="AL433" s="214">
        <v>4</v>
      </c>
      <c r="AM433" s="214">
        <v>1.392796E-3</v>
      </c>
      <c r="AN433" s="68"/>
      <c r="AO433" s="67"/>
      <c r="AP433" s="67"/>
      <c r="AQ433" s="67"/>
      <c r="AR433" s="67"/>
      <c r="AS433" s="67"/>
      <c r="AT433" s="68"/>
      <c r="AU433" s="49"/>
      <c r="AV433" s="50"/>
    </row>
    <row r="434" spans="1:48" ht="12.75" customHeight="1" x14ac:dyDescent="0.25">
      <c r="A434" s="72" t="s">
        <v>23</v>
      </c>
      <c r="B434" s="43" t="s">
        <v>159</v>
      </c>
      <c r="C434" s="44" t="s">
        <v>584</v>
      </c>
      <c r="D434" s="45">
        <f>MROUND(MID($C434,6,3)/Basis!$E$3,0.5)</f>
        <v>23.5</v>
      </c>
      <c r="E434" s="45">
        <f>MROUND(MID($C434,9,3)/Basis!$E$3,0.5)</f>
        <v>43.5</v>
      </c>
      <c r="F434" s="124" t="s">
        <v>2945</v>
      </c>
      <c r="G434" s="45">
        <f>ROUND((ROUNDDOWN($F434/5,0)*5+1.8)/Basis!$E$3,1)</f>
        <v>8.6</v>
      </c>
      <c r="H434" s="120">
        <f>ROUND($P434*Basis!$E$2*((TaH-TrH)/LN(1/µ)/Basis!$E$7)^$N434*$AA$4*Glycol,0)</f>
        <v>6247</v>
      </c>
      <c r="I434" s="83">
        <f>ROUND(H434/(MID($C434,9,3)/Basis!$E$3/Basis!$E$9)*Basis!$E$11,0)</f>
        <v>1731</v>
      </c>
      <c r="J434" s="123">
        <f>IF(Basis!$E$1=1,ROUND(H434/((TaH-TrH)*1.163)/3600,3),ROUND(H434/(500*(TaH-TrH)),2))</f>
        <v>0.62</v>
      </c>
      <c r="K434" s="84"/>
      <c r="L434" s="177">
        <f>CHOOSE(Basis!$E$1,((AJ434*(J434*3600/Basis!$E$5)^AK434*(((MID(C434,9,3)*10)-144)/1000)*AL434+AM434*(J434*3600/Basis!$E$5)^2)*0.0098)/Basis!$E$10,((AJ434*(J434/Basis!$E$5)^AK434*(((MID(C434,9,3)*10)-144)/1000)*AL434+AM434*(J434/Basis!$E$5)^2)*0.0098)/Basis!$E$10)</f>
        <v>2.8414209391808411E-2</v>
      </c>
      <c r="M434" s="85"/>
      <c r="N434" s="109">
        <v>1.361</v>
      </c>
      <c r="O434" s="68"/>
      <c r="P434" s="67">
        <v>2869</v>
      </c>
      <c r="Q434" s="68"/>
      <c r="R434" s="69"/>
      <c r="S434" s="69"/>
      <c r="T434" s="69"/>
      <c r="U434" s="69"/>
      <c r="V434" s="69"/>
      <c r="W434" s="68"/>
      <c r="X434" s="70"/>
      <c r="Y434" s="70"/>
      <c r="Z434" s="70"/>
      <c r="AA434" s="70"/>
      <c r="AB434" s="70"/>
      <c r="AC434" s="68"/>
      <c r="AD434" s="71"/>
      <c r="AE434" s="71"/>
      <c r="AF434" s="71"/>
      <c r="AG434" s="71"/>
      <c r="AH434" s="71"/>
      <c r="AI434" s="68"/>
      <c r="AJ434" s="214">
        <v>1.2760000000000001E-4</v>
      </c>
      <c r="AK434" s="214">
        <v>1.7219</v>
      </c>
      <c r="AL434" s="214">
        <v>2</v>
      </c>
      <c r="AM434" s="214">
        <v>3.76611E-4</v>
      </c>
      <c r="AN434" s="68"/>
      <c r="AO434" s="67"/>
      <c r="AP434" s="67"/>
      <c r="AQ434" s="67"/>
      <c r="AR434" s="67"/>
      <c r="AS434" s="67"/>
      <c r="AT434" s="68"/>
      <c r="AU434" s="49"/>
      <c r="AV434" s="50"/>
    </row>
    <row r="435" spans="1:48" ht="12.75" customHeight="1" x14ac:dyDescent="0.25">
      <c r="A435" s="72" t="s">
        <v>23</v>
      </c>
      <c r="B435" s="43" t="s">
        <v>159</v>
      </c>
      <c r="C435" s="44" t="s">
        <v>585</v>
      </c>
      <c r="D435" s="45">
        <f>MROUND(MID($C435,6,3)/Basis!$E$3,0.5)</f>
        <v>23.5</v>
      </c>
      <c r="E435" s="45">
        <f>MROUND(MID($C435,9,3)/Basis!$E$3,0.5)</f>
        <v>43.5</v>
      </c>
      <c r="F435" s="124" t="s">
        <v>2948</v>
      </c>
      <c r="G435" s="45">
        <f>ROUND((ROUNDDOWN($F435/5,0)*5+1.8)/Basis!$E$3,1)</f>
        <v>8.6</v>
      </c>
      <c r="H435" s="120">
        <f>ROUND($P435*Basis!$E$2*((TaH-TrH)/LN(1/µ)/Basis!$E$7)^$N435*$AA$4*Glycol,0)</f>
        <v>6608</v>
      </c>
      <c r="I435" s="83">
        <f>ROUND(H435/(MID($C435,9,3)/Basis!$E$3/Basis!$E$9)*Basis!$E$11,0)</f>
        <v>1831</v>
      </c>
      <c r="J435" s="123">
        <f>IF(Basis!$E$1=1,ROUND(H435/((TaH-TrH)*1.163)/3600,3),ROUND(H435/(500*(TaH-TrH)),2))</f>
        <v>0.66</v>
      </c>
      <c r="K435" s="84"/>
      <c r="L435" s="177">
        <f>CHOOSE(Basis!$E$1,((AJ435*(J435*3600/Basis!$E$5)^AK435*(((MID(C435,9,3)*10)-144)/1000)*AL435+AM435*(J435*3600/Basis!$E$5)^2)*0.0098)/Basis!$E$10,((AJ435*(J435/Basis!$E$5)^AK435*(((MID(C435,9,3)*10)-144)/1000)*AL435+AM435*(J435/Basis!$E$5)^2)*0.0098)/Basis!$E$10)</f>
        <v>4.6680043108190357E-2</v>
      </c>
      <c r="M435" s="85"/>
      <c r="N435" s="110">
        <v>1.4930000000000001</v>
      </c>
      <c r="O435" s="74"/>
      <c r="P435" s="73">
        <v>3170</v>
      </c>
      <c r="Q435" s="74"/>
      <c r="R435" s="75"/>
      <c r="S435" s="75"/>
      <c r="T435" s="75"/>
      <c r="U435" s="75"/>
      <c r="V435" s="75"/>
      <c r="W435" s="74"/>
      <c r="X435" s="76"/>
      <c r="Y435" s="76"/>
      <c r="Z435" s="76"/>
      <c r="AA435" s="76"/>
      <c r="AB435" s="76"/>
      <c r="AC435" s="74"/>
      <c r="AD435" s="77"/>
      <c r="AE435" s="77"/>
      <c r="AF435" s="77"/>
      <c r="AG435" s="77"/>
      <c r="AH435" s="77"/>
      <c r="AI435" s="68"/>
      <c r="AJ435" s="213">
        <v>1.2760000000000001E-4</v>
      </c>
      <c r="AK435" s="213">
        <v>1.7219</v>
      </c>
      <c r="AL435" s="213">
        <v>4</v>
      </c>
      <c r="AM435" s="213">
        <v>5.1420100000000005E-4</v>
      </c>
      <c r="AN435" s="74"/>
      <c r="AO435" s="73"/>
      <c r="AP435" s="73"/>
      <c r="AQ435" s="73"/>
      <c r="AR435" s="73"/>
      <c r="AS435" s="73"/>
      <c r="AT435" s="74"/>
      <c r="AU435" s="47"/>
      <c r="AV435" s="48"/>
    </row>
    <row r="436" spans="1:48" ht="12.75" customHeight="1" x14ac:dyDescent="0.25">
      <c r="A436" s="72" t="s">
        <v>23</v>
      </c>
      <c r="B436" s="43" t="s">
        <v>159</v>
      </c>
      <c r="C436" s="44" t="s">
        <v>586</v>
      </c>
      <c r="D436" s="45">
        <f>MROUND(MID($C436,6,3)/Basis!$E$3,0.5)</f>
        <v>23.5</v>
      </c>
      <c r="E436" s="45">
        <f>MROUND(MID($C436,9,3)/Basis!$E$3,0.5)</f>
        <v>47</v>
      </c>
      <c r="F436" s="124" t="s">
        <v>2943</v>
      </c>
      <c r="G436" s="45">
        <f>ROUND((ROUNDDOWN($F436/5,0)*5+1.8)/Basis!$E$3,1)</f>
        <v>4.5999999999999996</v>
      </c>
      <c r="H436" s="120">
        <f>ROUND($P436*Basis!$E$2*((TaH-TrH)/LN(1/µ)/Basis!$E$7)^$N436*$AA$4*Glycol,0)</f>
        <v>3042</v>
      </c>
      <c r="I436" s="83">
        <f>ROUND(H436/(MID($C436,9,3)/Basis!$E$3/Basis!$E$9)*Basis!$E$11,0)</f>
        <v>773</v>
      </c>
      <c r="J436" s="123">
        <f>IF(Basis!$E$1=1,ROUND(H436/((TaH-TrH)*1.163)/3600,3),ROUND(H436/(500*(TaH-TrH)),2))</f>
        <v>0.3</v>
      </c>
      <c r="K436" s="84"/>
      <c r="L436" s="177">
        <f>CHOOSE(Basis!$E$1,((AJ436*(J436*3600/Basis!$E$5)^AK436*(((MID(C436,9,3)*10)-144)/1000)*AL436+AM436*(J436*3600/Basis!$E$5)^2)*0.0098)/Basis!$E$10,((AJ436*(J436/Basis!$E$5)^AK436*(((MID(C436,9,3)*10)-144)/1000)*AL436+AM436*(J436/Basis!$E$5)^2)*0.0098)/Basis!$E$10)</f>
        <v>9.726728690164296E-3</v>
      </c>
      <c r="M436" s="85"/>
      <c r="N436" s="110">
        <v>1.3759999999999999</v>
      </c>
      <c r="O436" s="74"/>
      <c r="P436" s="73">
        <v>1404</v>
      </c>
      <c r="Q436" s="74"/>
      <c r="R436" s="75"/>
      <c r="S436" s="75"/>
      <c r="T436" s="75"/>
      <c r="U436" s="75"/>
      <c r="V436" s="75"/>
      <c r="W436" s="74"/>
      <c r="X436" s="76"/>
      <c r="Y436" s="76"/>
      <c r="Z436" s="76"/>
      <c r="AA436" s="76"/>
      <c r="AB436" s="76"/>
      <c r="AC436" s="74"/>
      <c r="AD436" s="77"/>
      <c r="AE436" s="77"/>
      <c r="AF436" s="77"/>
      <c r="AG436" s="77"/>
      <c r="AH436" s="77"/>
      <c r="AI436" s="68"/>
      <c r="AJ436" s="213">
        <v>3.9689999999999994E-4</v>
      </c>
      <c r="AK436" s="213">
        <v>1.7345999999999999</v>
      </c>
      <c r="AL436" s="213">
        <v>2</v>
      </c>
      <c r="AM436" s="213">
        <v>3.6734700000000002E-4</v>
      </c>
      <c r="AN436" s="74"/>
      <c r="AO436" s="73"/>
      <c r="AP436" s="73"/>
      <c r="AQ436" s="73"/>
      <c r="AR436" s="73"/>
      <c r="AS436" s="73"/>
      <c r="AT436" s="74"/>
      <c r="AU436" s="47"/>
      <c r="AV436" s="48"/>
    </row>
    <row r="437" spans="1:48" ht="12.75" customHeight="1" x14ac:dyDescent="0.25">
      <c r="A437" s="72" t="s">
        <v>23</v>
      </c>
      <c r="B437" s="43" t="s">
        <v>159</v>
      </c>
      <c r="C437" s="44" t="s">
        <v>587</v>
      </c>
      <c r="D437" s="45">
        <f>MROUND(MID($C437,6,3)/Basis!$E$3,0.5)</f>
        <v>23.5</v>
      </c>
      <c r="E437" s="45">
        <f>MROUND(MID($C437,9,3)/Basis!$E$3,0.5)</f>
        <v>47</v>
      </c>
      <c r="F437" s="124" t="s">
        <v>2946</v>
      </c>
      <c r="G437" s="45">
        <f>ROUND((ROUNDDOWN($F437/5,0)*5+1.8)/Basis!$E$3,1)</f>
        <v>4.5999999999999996</v>
      </c>
      <c r="H437" s="120">
        <f>ROUND($P437*Basis!$E$2*((TaH-TrH)/LN(1/µ)/Basis!$E$7)^$N437*$AA$4*Glycol,0)</f>
        <v>3807</v>
      </c>
      <c r="I437" s="83">
        <f>ROUND(H437/(MID($C437,9,3)/Basis!$E$3/Basis!$E$9)*Basis!$E$11,0)</f>
        <v>967</v>
      </c>
      <c r="J437" s="123">
        <f>IF(Basis!$E$1=1,ROUND(H437/((TaH-TrH)*1.163)/3600,3),ROUND(H437/(500*(TaH-TrH)),2))</f>
        <v>0.38</v>
      </c>
      <c r="K437" s="84"/>
      <c r="L437" s="177">
        <f>CHOOSE(Basis!$E$1,((AJ437*(J437*3600/Basis!$E$5)^AK437*(((MID(C437,9,3)*10)-144)/1000)*AL437+AM437*(J437*3600/Basis!$E$5)^2)*0.0098)/Basis!$E$10,((AJ437*(J437/Basis!$E$5)^AK437*(((MID(C437,9,3)*10)-144)/1000)*AL437+AM437*(J437/Basis!$E$5)^2)*0.0098)/Basis!$E$10)</f>
        <v>2.6495292585474475E-2</v>
      </c>
      <c r="M437" s="85"/>
      <c r="N437" s="109">
        <v>1.4370000000000001</v>
      </c>
      <c r="O437" s="68"/>
      <c r="P437" s="67">
        <v>1793</v>
      </c>
      <c r="Q437" s="68"/>
      <c r="R437" s="69"/>
      <c r="S437" s="69"/>
      <c r="T437" s="69"/>
      <c r="U437" s="69"/>
      <c r="V437" s="69"/>
      <c r="W437" s="68"/>
      <c r="X437" s="70"/>
      <c r="Y437" s="70"/>
      <c r="Z437" s="70"/>
      <c r="AA437" s="70"/>
      <c r="AB437" s="70"/>
      <c r="AC437" s="68"/>
      <c r="AD437" s="71"/>
      <c r="AE437" s="71"/>
      <c r="AF437" s="71"/>
      <c r="AG437" s="71"/>
      <c r="AH437" s="71"/>
      <c r="AI437" s="68"/>
      <c r="AJ437" s="214">
        <v>3.9689999999999994E-4</v>
      </c>
      <c r="AK437" s="214">
        <v>1.7345999999999999</v>
      </c>
      <c r="AL437" s="214">
        <v>4</v>
      </c>
      <c r="AM437" s="214">
        <v>5.7428799999999995E-4</v>
      </c>
      <c r="AN437" s="68"/>
      <c r="AO437" s="67"/>
      <c r="AP437" s="67"/>
      <c r="AQ437" s="67"/>
      <c r="AR437" s="67"/>
      <c r="AS437" s="67"/>
      <c r="AT437" s="68"/>
      <c r="AU437" s="49"/>
      <c r="AV437" s="50"/>
    </row>
    <row r="438" spans="1:48" ht="12.75" customHeight="1" x14ac:dyDescent="0.25">
      <c r="A438" s="72" t="s">
        <v>23</v>
      </c>
      <c r="B438" s="43" t="s">
        <v>159</v>
      </c>
      <c r="C438" s="44" t="s">
        <v>588</v>
      </c>
      <c r="D438" s="45">
        <f>MROUND(MID($C438,6,3)/Basis!$E$3,0.5)</f>
        <v>23.5</v>
      </c>
      <c r="E438" s="45">
        <f>MROUND(MID($C438,9,3)/Basis!$E$3,0.5)</f>
        <v>47</v>
      </c>
      <c r="F438" s="124" t="s">
        <v>2944</v>
      </c>
      <c r="G438" s="45">
        <f>ROUND((ROUNDDOWN($F438/5,0)*5+1.8)/Basis!$E$3,1)</f>
        <v>6.6</v>
      </c>
      <c r="H438" s="120">
        <f>ROUND($P438*Basis!$E$2*((TaH-TrH)/LN(1/µ)/Basis!$E$7)^$N438*$AA$4*Glycol,0)</f>
        <v>4875</v>
      </c>
      <c r="I438" s="83">
        <f>ROUND(H438/(MID($C438,9,3)/Basis!$E$3/Basis!$E$9)*Basis!$E$11,0)</f>
        <v>1238</v>
      </c>
      <c r="J438" s="123">
        <f>IF(Basis!$E$1=1,ROUND(H438/((TaH-TrH)*1.163)/3600,3),ROUND(H438/(500*(TaH-TrH)),2))</f>
        <v>0.49</v>
      </c>
      <c r="K438" s="84"/>
      <c r="L438" s="177">
        <f>CHOOSE(Basis!$E$1,((AJ438*(J438*3600/Basis!$E$5)^AK438*(((MID(C438,9,3)*10)-144)/1000)*AL438+AM438*(J438*3600/Basis!$E$5)^2)*0.0098)/Basis!$E$10,((AJ438*(J438/Basis!$E$5)^AK438*(((MID(C438,9,3)*10)-144)/1000)*AL438+AM438*(J438/Basis!$E$5)^2)*0.0098)/Basis!$E$10)</f>
        <v>2.3555817857033562E-2</v>
      </c>
      <c r="M438" s="85"/>
      <c r="N438" s="109">
        <v>1.361</v>
      </c>
      <c r="O438" s="68"/>
      <c r="P438" s="67">
        <v>2239</v>
      </c>
      <c r="Q438" s="68"/>
      <c r="R438" s="69"/>
      <c r="S438" s="69"/>
      <c r="T438" s="69"/>
      <c r="U438" s="69"/>
      <c r="V438" s="69"/>
      <c r="W438" s="68"/>
      <c r="X438" s="70"/>
      <c r="Y438" s="70"/>
      <c r="Z438" s="70"/>
      <c r="AA438" s="70"/>
      <c r="AB438" s="70"/>
      <c r="AC438" s="68"/>
      <c r="AD438" s="71"/>
      <c r="AE438" s="71"/>
      <c r="AF438" s="71"/>
      <c r="AG438" s="71"/>
      <c r="AH438" s="71"/>
      <c r="AI438" s="68"/>
      <c r="AJ438" s="214">
        <v>2.0829999999999999E-4</v>
      </c>
      <c r="AK438" s="214">
        <v>1.724</v>
      </c>
      <c r="AL438" s="214">
        <v>2</v>
      </c>
      <c r="AM438" s="214">
        <v>4.6182900000000003E-4</v>
      </c>
      <c r="AN438" s="68"/>
      <c r="AO438" s="67"/>
      <c r="AP438" s="67"/>
      <c r="AQ438" s="67"/>
      <c r="AR438" s="67"/>
      <c r="AS438" s="67"/>
      <c r="AT438" s="68"/>
      <c r="AU438" s="49"/>
      <c r="AV438" s="50"/>
    </row>
    <row r="439" spans="1:48" ht="12.75" customHeight="1" x14ac:dyDescent="0.25">
      <c r="A439" s="72" t="s">
        <v>23</v>
      </c>
      <c r="B439" s="43" t="s">
        <v>159</v>
      </c>
      <c r="C439" s="44" t="s">
        <v>589</v>
      </c>
      <c r="D439" s="45">
        <f>MROUND(MID($C439,6,3)/Basis!$E$3,0.5)</f>
        <v>23.5</v>
      </c>
      <c r="E439" s="45">
        <f>MROUND(MID($C439,9,3)/Basis!$E$3,0.5)</f>
        <v>47</v>
      </c>
      <c r="F439" s="124" t="s">
        <v>2947</v>
      </c>
      <c r="G439" s="45">
        <f>ROUND((ROUNDDOWN($F439/5,0)*5+1.8)/Basis!$E$3,1)</f>
        <v>6.6</v>
      </c>
      <c r="H439" s="120">
        <f>ROUND($P439*Basis!$E$2*((TaH-TrH)/LN(1/µ)/Basis!$E$7)^$N439*$AA$4*Glycol,0)</f>
        <v>5257</v>
      </c>
      <c r="I439" s="83">
        <f>ROUND(H439/(MID($C439,9,3)/Basis!$E$3/Basis!$E$9)*Basis!$E$11,0)</f>
        <v>1335</v>
      </c>
      <c r="J439" s="123">
        <f>IF(Basis!$E$1=1,ROUND(H439/((TaH-TrH)*1.163)/3600,3),ROUND(H439/(500*(TaH-TrH)),2))</f>
        <v>0.53</v>
      </c>
      <c r="K439" s="84"/>
      <c r="L439" s="177">
        <f>CHOOSE(Basis!$E$1,((AJ439*(J439*3600/Basis!$E$5)^AK439*(((MID(C439,9,3)*10)-144)/1000)*AL439+AM439*(J439*3600/Basis!$E$5)^2)*0.0098)/Basis!$E$10,((AJ439*(J439/Basis!$E$5)^AK439*(((MID(C439,9,3)*10)-144)/1000)*AL439+AM439*(J439/Basis!$E$5)^2)*0.0098)/Basis!$E$10)</f>
        <v>7.7101479912659435E-2</v>
      </c>
      <c r="M439" s="85"/>
      <c r="N439" s="110">
        <v>1.468</v>
      </c>
      <c r="O439" s="74"/>
      <c r="P439" s="73">
        <v>2501</v>
      </c>
      <c r="Q439" s="74"/>
      <c r="R439" s="75"/>
      <c r="S439" s="75"/>
      <c r="T439" s="75"/>
      <c r="U439" s="75"/>
      <c r="V439" s="75"/>
      <c r="W439" s="74"/>
      <c r="X439" s="76"/>
      <c r="Y439" s="76"/>
      <c r="Z439" s="76"/>
      <c r="AA439" s="76"/>
      <c r="AB439" s="76"/>
      <c r="AC439" s="74"/>
      <c r="AD439" s="77"/>
      <c r="AE439" s="77"/>
      <c r="AF439" s="77"/>
      <c r="AG439" s="77"/>
      <c r="AH439" s="77"/>
      <c r="AI439" s="68"/>
      <c r="AJ439" s="213">
        <v>2.0829999999999999E-4</v>
      </c>
      <c r="AK439" s="213">
        <v>1.724</v>
      </c>
      <c r="AL439" s="213">
        <v>4</v>
      </c>
      <c r="AM439" s="213">
        <v>1.392796E-3</v>
      </c>
      <c r="AN439" s="74"/>
      <c r="AO439" s="73"/>
      <c r="AP439" s="73"/>
      <c r="AQ439" s="73"/>
      <c r="AR439" s="73"/>
      <c r="AS439" s="73"/>
      <c r="AT439" s="74"/>
      <c r="AU439" s="47"/>
      <c r="AV439" s="48"/>
    </row>
    <row r="440" spans="1:48" ht="12.75" customHeight="1" x14ac:dyDescent="0.25">
      <c r="A440" s="72" t="s">
        <v>23</v>
      </c>
      <c r="B440" s="43" t="s">
        <v>159</v>
      </c>
      <c r="C440" s="44" t="s">
        <v>590</v>
      </c>
      <c r="D440" s="45">
        <f>MROUND(MID($C440,6,3)/Basis!$E$3,0.5)</f>
        <v>23.5</v>
      </c>
      <c r="E440" s="45">
        <f>MROUND(MID($C440,9,3)/Basis!$E$3,0.5)</f>
        <v>47</v>
      </c>
      <c r="F440" s="124" t="s">
        <v>2945</v>
      </c>
      <c r="G440" s="45">
        <f>ROUND((ROUNDDOWN($F440/5,0)*5+1.8)/Basis!$E$3,1)</f>
        <v>8.6</v>
      </c>
      <c r="H440" s="120">
        <f>ROUND($P440*Basis!$E$2*((TaH-TrH)/LN(1/µ)/Basis!$E$7)^$N440*$AA$4*Glycol,0)</f>
        <v>6815</v>
      </c>
      <c r="I440" s="83">
        <f>ROUND(H440/(MID($C440,9,3)/Basis!$E$3/Basis!$E$9)*Basis!$E$11,0)</f>
        <v>1731</v>
      </c>
      <c r="J440" s="123">
        <f>IF(Basis!$E$1=1,ROUND(H440/((TaH-TrH)*1.163)/3600,3),ROUND(H440/(500*(TaH-TrH)),2))</f>
        <v>0.68</v>
      </c>
      <c r="K440" s="84"/>
      <c r="L440" s="177">
        <f>CHOOSE(Basis!$E$1,((AJ440*(J440*3600/Basis!$E$5)^AK440*(((MID(C440,9,3)*10)-144)/1000)*AL440+AM440*(J440*3600/Basis!$E$5)^2)*0.0098)/Basis!$E$10,((AJ440*(J440/Basis!$E$5)^AK440*(((MID(C440,9,3)*10)-144)/1000)*AL440+AM440*(J440/Basis!$E$5)^2)*0.0098)/Basis!$E$10)</f>
        <v>3.4547982285028152E-2</v>
      </c>
      <c r="M440" s="85"/>
      <c r="N440" s="110">
        <v>1.361</v>
      </c>
      <c r="O440" s="74"/>
      <c r="P440" s="73">
        <v>3130</v>
      </c>
      <c r="Q440" s="74"/>
      <c r="R440" s="75"/>
      <c r="S440" s="75"/>
      <c r="T440" s="75"/>
      <c r="U440" s="75"/>
      <c r="V440" s="75"/>
      <c r="W440" s="74"/>
      <c r="X440" s="76"/>
      <c r="Y440" s="76"/>
      <c r="Z440" s="76"/>
      <c r="AA440" s="76"/>
      <c r="AB440" s="76"/>
      <c r="AC440" s="74"/>
      <c r="AD440" s="77"/>
      <c r="AE440" s="77"/>
      <c r="AF440" s="77"/>
      <c r="AG440" s="77"/>
      <c r="AH440" s="77"/>
      <c r="AI440" s="68"/>
      <c r="AJ440" s="213">
        <v>1.2760000000000001E-4</v>
      </c>
      <c r="AK440" s="213">
        <v>1.7219</v>
      </c>
      <c r="AL440" s="213">
        <v>2</v>
      </c>
      <c r="AM440" s="213">
        <v>3.76611E-4</v>
      </c>
      <c r="AN440" s="74"/>
      <c r="AO440" s="73"/>
      <c r="AP440" s="73"/>
      <c r="AQ440" s="73"/>
      <c r="AR440" s="73"/>
      <c r="AS440" s="73"/>
      <c r="AT440" s="74"/>
      <c r="AU440" s="47"/>
      <c r="AV440" s="48"/>
    </row>
    <row r="441" spans="1:48" ht="12.75" customHeight="1" x14ac:dyDescent="0.25">
      <c r="A441" s="72" t="s">
        <v>23</v>
      </c>
      <c r="B441" s="43" t="s">
        <v>159</v>
      </c>
      <c r="C441" s="44" t="s">
        <v>591</v>
      </c>
      <c r="D441" s="45">
        <f>MROUND(MID($C441,6,3)/Basis!$E$3,0.5)</f>
        <v>23.5</v>
      </c>
      <c r="E441" s="45">
        <f>MROUND(MID($C441,9,3)/Basis!$E$3,0.5)</f>
        <v>47</v>
      </c>
      <c r="F441" s="124" t="s">
        <v>2948</v>
      </c>
      <c r="G441" s="45">
        <f>ROUND((ROUNDDOWN($F441/5,0)*5+1.8)/Basis!$E$3,1)</f>
        <v>8.6</v>
      </c>
      <c r="H441" s="120">
        <f>ROUND($P441*Basis!$E$2*((TaH-TrH)/LN(1/µ)/Basis!$E$7)^$N441*$AA$4*Glycol,0)</f>
        <v>7209</v>
      </c>
      <c r="I441" s="83">
        <f>ROUND(H441/(MID($C441,9,3)/Basis!$E$3/Basis!$E$9)*Basis!$E$11,0)</f>
        <v>1831</v>
      </c>
      <c r="J441" s="123">
        <f>IF(Basis!$E$1=1,ROUND(H441/((TaH-TrH)*1.163)/3600,3),ROUND(H441/(500*(TaH-TrH)),2))</f>
        <v>0.72</v>
      </c>
      <c r="K441" s="84"/>
      <c r="L441" s="177">
        <f>CHOOSE(Basis!$E$1,((AJ441*(J441*3600/Basis!$E$5)^AK441*(((MID(C441,9,3)*10)-144)/1000)*AL441+AM441*(J441*3600/Basis!$E$5)^2)*0.0098)/Basis!$E$10,((AJ441*(J441/Basis!$E$5)^AK441*(((MID(C441,9,3)*10)-144)/1000)*AL441+AM441*(J441/Basis!$E$5)^2)*0.0098)/Basis!$E$10)</f>
        <v>5.6381352364596612E-2</v>
      </c>
      <c r="M441" s="85"/>
      <c r="N441" s="109">
        <v>1.4930000000000001</v>
      </c>
      <c r="O441" s="68"/>
      <c r="P441" s="67">
        <v>3458</v>
      </c>
      <c r="Q441" s="68"/>
      <c r="R441" s="69"/>
      <c r="S441" s="69"/>
      <c r="T441" s="69"/>
      <c r="U441" s="69"/>
      <c r="V441" s="69"/>
      <c r="W441" s="68"/>
      <c r="X441" s="70"/>
      <c r="Y441" s="70"/>
      <c r="Z441" s="70"/>
      <c r="AA441" s="70"/>
      <c r="AB441" s="70"/>
      <c r="AC441" s="68"/>
      <c r="AD441" s="71"/>
      <c r="AE441" s="71"/>
      <c r="AF441" s="71"/>
      <c r="AG441" s="71"/>
      <c r="AH441" s="71"/>
      <c r="AI441" s="68"/>
      <c r="AJ441" s="214">
        <v>1.2760000000000001E-4</v>
      </c>
      <c r="AK441" s="214">
        <v>1.7219</v>
      </c>
      <c r="AL441" s="214">
        <v>4</v>
      </c>
      <c r="AM441" s="214">
        <v>5.1420100000000005E-4</v>
      </c>
      <c r="AN441" s="68"/>
      <c r="AO441" s="67"/>
      <c r="AP441" s="67"/>
      <c r="AQ441" s="67"/>
      <c r="AR441" s="67"/>
      <c r="AS441" s="67"/>
      <c r="AT441" s="68"/>
      <c r="AU441" s="49"/>
      <c r="AV441" s="50"/>
    </row>
    <row r="442" spans="1:48" ht="12.75" customHeight="1" x14ac:dyDescent="0.25">
      <c r="A442" s="72" t="s">
        <v>23</v>
      </c>
      <c r="B442" s="43" t="s">
        <v>159</v>
      </c>
      <c r="C442" s="44" t="s">
        <v>592</v>
      </c>
      <c r="D442" s="45">
        <f>MROUND(MID($C442,6,3)/Basis!$E$3,0.5)</f>
        <v>23.5</v>
      </c>
      <c r="E442" s="45">
        <f>MROUND(MID($C442,9,3)/Basis!$E$3,0.5)</f>
        <v>55</v>
      </c>
      <c r="F442" s="124" t="s">
        <v>2943</v>
      </c>
      <c r="G442" s="45">
        <f>ROUND((ROUNDDOWN($F442/5,0)*5+1.8)/Basis!$E$3,1)</f>
        <v>4.5999999999999996</v>
      </c>
      <c r="H442" s="120">
        <f>ROUND($P442*Basis!$E$2*((TaH-TrH)/LN(1/µ)/Basis!$E$7)^$N442*$AA$4*Glycol,0)</f>
        <v>3549</v>
      </c>
      <c r="I442" s="83">
        <f>ROUND(H442/(MID($C442,9,3)/Basis!$E$3/Basis!$E$9)*Basis!$E$11,0)</f>
        <v>773</v>
      </c>
      <c r="J442" s="123">
        <f>IF(Basis!$E$1=1,ROUND(H442/((TaH-TrH)*1.163)/3600,3),ROUND(H442/(500*(TaH-TrH)),2))</f>
        <v>0.35</v>
      </c>
      <c r="K442" s="84"/>
      <c r="L442" s="177">
        <f>CHOOSE(Basis!$E$1,((AJ442*(J442*3600/Basis!$E$5)^AK442*(((MID(C442,9,3)*10)-144)/1000)*AL442+AM442*(J442*3600/Basis!$E$5)^2)*0.0098)/Basis!$E$10,((AJ442*(J442/Basis!$E$5)^AK442*(((MID(C442,9,3)*10)-144)/1000)*AL442+AM442*(J442/Basis!$E$5)^2)*0.0098)/Basis!$E$10)</f>
        <v>1.4039712270143683E-2</v>
      </c>
      <c r="M442" s="85"/>
      <c r="N442" s="109">
        <v>1.3759999999999999</v>
      </c>
      <c r="O442" s="68"/>
      <c r="P442" s="67">
        <v>1638</v>
      </c>
      <c r="Q442" s="68"/>
      <c r="R442" s="69"/>
      <c r="S442" s="69"/>
      <c r="T442" s="69"/>
      <c r="U442" s="69"/>
      <c r="V442" s="69"/>
      <c r="W442" s="68"/>
      <c r="X442" s="70"/>
      <c r="Y442" s="70"/>
      <c r="Z442" s="70"/>
      <c r="AA442" s="70"/>
      <c r="AB442" s="70"/>
      <c r="AC442" s="68"/>
      <c r="AD442" s="71"/>
      <c r="AE442" s="71"/>
      <c r="AF442" s="71"/>
      <c r="AG442" s="71"/>
      <c r="AH442" s="71"/>
      <c r="AI442" s="68"/>
      <c r="AJ442" s="214">
        <v>3.9689999999999994E-4</v>
      </c>
      <c r="AK442" s="214">
        <v>1.7345999999999999</v>
      </c>
      <c r="AL442" s="214">
        <v>2</v>
      </c>
      <c r="AM442" s="214">
        <v>3.6734700000000002E-4</v>
      </c>
      <c r="AN442" s="68"/>
      <c r="AO442" s="67"/>
      <c r="AP442" s="67"/>
      <c r="AQ442" s="67"/>
      <c r="AR442" s="67"/>
      <c r="AS442" s="67"/>
      <c r="AT442" s="68"/>
      <c r="AU442" s="49"/>
      <c r="AV442" s="50"/>
    </row>
    <row r="443" spans="1:48" ht="12.75" customHeight="1" x14ac:dyDescent="0.25">
      <c r="A443" s="72" t="s">
        <v>23</v>
      </c>
      <c r="B443" s="43" t="s">
        <v>159</v>
      </c>
      <c r="C443" s="44" t="s">
        <v>593</v>
      </c>
      <c r="D443" s="45">
        <f>MROUND(MID($C443,6,3)/Basis!$E$3,0.5)</f>
        <v>23.5</v>
      </c>
      <c r="E443" s="45">
        <f>MROUND(MID($C443,9,3)/Basis!$E$3,0.5)</f>
        <v>55</v>
      </c>
      <c r="F443" s="124" t="s">
        <v>2946</v>
      </c>
      <c r="G443" s="45">
        <f>ROUND((ROUNDDOWN($F443/5,0)*5+1.8)/Basis!$E$3,1)</f>
        <v>4.5999999999999996</v>
      </c>
      <c r="H443" s="120">
        <f>ROUND($P443*Basis!$E$2*((TaH-TrH)/LN(1/µ)/Basis!$E$7)^$N443*$AA$4*Glycol,0)</f>
        <v>4442</v>
      </c>
      <c r="I443" s="83">
        <f>ROUND(H443/(MID($C443,9,3)/Basis!$E$3/Basis!$E$9)*Basis!$E$11,0)</f>
        <v>967</v>
      </c>
      <c r="J443" s="123">
        <f>IF(Basis!$E$1=1,ROUND(H443/((TaH-TrH)*1.163)/3600,3),ROUND(H443/(500*(TaH-TrH)),2))</f>
        <v>0.44</v>
      </c>
      <c r="K443" s="84"/>
      <c r="L443" s="177">
        <f>CHOOSE(Basis!$E$1,((AJ443*(J443*3600/Basis!$E$5)^AK443*(((MID(C443,9,3)*10)-144)/1000)*AL443+AM443*(J443*3600/Basis!$E$5)^2)*0.0098)/Basis!$E$10,((AJ443*(J443/Basis!$E$5)^AK443*(((MID(C443,9,3)*10)-144)/1000)*AL443+AM443*(J443/Basis!$E$5)^2)*0.0098)/Basis!$E$10)</f>
        <v>3.7937692733559625E-2</v>
      </c>
      <c r="M443" s="85"/>
      <c r="N443" s="110">
        <v>1.4370000000000001</v>
      </c>
      <c r="O443" s="74"/>
      <c r="P443" s="73">
        <v>2092</v>
      </c>
      <c r="Q443" s="74"/>
      <c r="R443" s="75"/>
      <c r="S443" s="75"/>
      <c r="T443" s="75"/>
      <c r="U443" s="75"/>
      <c r="V443" s="75"/>
      <c r="W443" s="74"/>
      <c r="X443" s="76"/>
      <c r="Y443" s="76"/>
      <c r="Z443" s="76"/>
      <c r="AA443" s="76"/>
      <c r="AB443" s="76"/>
      <c r="AC443" s="74"/>
      <c r="AD443" s="77"/>
      <c r="AE443" s="77"/>
      <c r="AF443" s="77"/>
      <c r="AG443" s="77"/>
      <c r="AH443" s="77"/>
      <c r="AI443" s="68"/>
      <c r="AJ443" s="213">
        <v>3.9689999999999994E-4</v>
      </c>
      <c r="AK443" s="213">
        <v>1.7345999999999999</v>
      </c>
      <c r="AL443" s="213">
        <v>4</v>
      </c>
      <c r="AM443" s="213">
        <v>5.7428799999999995E-4</v>
      </c>
      <c r="AN443" s="74"/>
      <c r="AO443" s="73"/>
      <c r="AP443" s="73"/>
      <c r="AQ443" s="73"/>
      <c r="AR443" s="73"/>
      <c r="AS443" s="73"/>
      <c r="AT443" s="74"/>
      <c r="AU443" s="47"/>
      <c r="AV443" s="48"/>
    </row>
    <row r="444" spans="1:48" ht="12.75" customHeight="1" x14ac:dyDescent="0.25">
      <c r="A444" s="72" t="s">
        <v>23</v>
      </c>
      <c r="B444" s="43" t="s">
        <v>159</v>
      </c>
      <c r="C444" s="44" t="s">
        <v>594</v>
      </c>
      <c r="D444" s="45">
        <f>MROUND(MID($C444,6,3)/Basis!$E$3,0.5)</f>
        <v>23.5</v>
      </c>
      <c r="E444" s="45">
        <f>MROUND(MID($C444,9,3)/Basis!$E$3,0.5)</f>
        <v>55</v>
      </c>
      <c r="F444" s="124" t="s">
        <v>2944</v>
      </c>
      <c r="G444" s="45">
        <f>ROUND((ROUNDDOWN($F444/5,0)*5+1.8)/Basis!$E$3,1)</f>
        <v>6.6</v>
      </c>
      <c r="H444" s="120">
        <f>ROUND($P444*Basis!$E$2*((TaH-TrH)/LN(1/µ)/Basis!$E$7)^$N444*$AA$4*Glycol,0)</f>
        <v>5687</v>
      </c>
      <c r="I444" s="83">
        <f>ROUND(H444/(MID($C444,9,3)/Basis!$E$3/Basis!$E$9)*Basis!$E$11,0)</f>
        <v>1238</v>
      </c>
      <c r="J444" s="123">
        <f>IF(Basis!$E$1=1,ROUND(H444/((TaH-TrH)*1.163)/3600,3),ROUND(H444/(500*(TaH-TrH)),2))</f>
        <v>0.56999999999999995</v>
      </c>
      <c r="K444" s="84"/>
      <c r="L444" s="177">
        <f>CHOOSE(Basis!$E$1,((AJ444*(J444*3600/Basis!$E$5)^AK444*(((MID(C444,9,3)*10)-144)/1000)*AL444+AM444*(J444*3600/Basis!$E$5)^2)*0.0098)/Basis!$E$10,((AJ444*(J444/Basis!$E$5)^AK444*(((MID(C444,9,3)*10)-144)/1000)*AL444+AM444*(J444/Basis!$E$5)^2)*0.0098)/Basis!$E$10)</f>
        <v>3.2799815254386466E-2</v>
      </c>
      <c r="M444" s="85"/>
      <c r="N444" s="110">
        <v>1.361</v>
      </c>
      <c r="O444" s="74"/>
      <c r="P444" s="73">
        <v>2612</v>
      </c>
      <c r="Q444" s="74"/>
      <c r="R444" s="75"/>
      <c r="S444" s="75"/>
      <c r="T444" s="75"/>
      <c r="U444" s="75"/>
      <c r="V444" s="75"/>
      <c r="W444" s="74"/>
      <c r="X444" s="76"/>
      <c r="Y444" s="76"/>
      <c r="Z444" s="76"/>
      <c r="AA444" s="76"/>
      <c r="AB444" s="76"/>
      <c r="AC444" s="74"/>
      <c r="AD444" s="77"/>
      <c r="AE444" s="77"/>
      <c r="AF444" s="77"/>
      <c r="AG444" s="77"/>
      <c r="AH444" s="77"/>
      <c r="AI444" s="68"/>
      <c r="AJ444" s="213">
        <v>2.0829999999999999E-4</v>
      </c>
      <c r="AK444" s="213">
        <v>1.724</v>
      </c>
      <c r="AL444" s="213">
        <v>2</v>
      </c>
      <c r="AM444" s="213">
        <v>4.6182900000000003E-4</v>
      </c>
      <c r="AN444" s="74"/>
      <c r="AO444" s="73"/>
      <c r="AP444" s="73"/>
      <c r="AQ444" s="73"/>
      <c r="AR444" s="73"/>
      <c r="AS444" s="73"/>
      <c r="AT444" s="74"/>
      <c r="AU444" s="47"/>
      <c r="AV444" s="48"/>
    </row>
    <row r="445" spans="1:48" ht="12.75" customHeight="1" x14ac:dyDescent="0.25">
      <c r="A445" s="72" t="s">
        <v>23</v>
      </c>
      <c r="B445" s="43" t="s">
        <v>159</v>
      </c>
      <c r="C445" s="44" t="s">
        <v>595</v>
      </c>
      <c r="D445" s="45">
        <f>MROUND(MID($C445,6,3)/Basis!$E$3,0.5)</f>
        <v>23.5</v>
      </c>
      <c r="E445" s="45">
        <f>MROUND(MID($C445,9,3)/Basis!$E$3,0.5)</f>
        <v>55</v>
      </c>
      <c r="F445" s="124" t="s">
        <v>2947</v>
      </c>
      <c r="G445" s="45">
        <f>ROUND((ROUNDDOWN($F445/5,0)*5+1.8)/Basis!$E$3,1)</f>
        <v>6.6</v>
      </c>
      <c r="H445" s="120">
        <f>ROUND($P445*Basis!$E$2*((TaH-TrH)/LN(1/µ)/Basis!$E$7)^$N445*$AA$4*Glycol,0)</f>
        <v>6133</v>
      </c>
      <c r="I445" s="83">
        <f>ROUND(H445/(MID($C445,9,3)/Basis!$E$3/Basis!$E$9)*Basis!$E$11,0)</f>
        <v>1335</v>
      </c>
      <c r="J445" s="123">
        <f>IF(Basis!$E$1=1,ROUND(H445/((TaH-TrH)*1.163)/3600,3),ROUND(H445/(500*(TaH-TrH)),2))</f>
        <v>0.61</v>
      </c>
      <c r="K445" s="84"/>
      <c r="L445" s="177">
        <f>CHOOSE(Basis!$E$1,((AJ445*(J445*3600/Basis!$E$5)^AK445*(((MID(C445,9,3)*10)-144)/1000)*AL445+AM445*(J445*3600/Basis!$E$5)^2)*0.0098)/Basis!$E$10,((AJ445*(J445/Basis!$E$5)^AK445*(((MID(C445,9,3)*10)-144)/1000)*AL445+AM445*(J445/Basis!$E$5)^2)*0.0098)/Basis!$E$10)</f>
        <v>0.10425553393387357</v>
      </c>
      <c r="M445" s="85"/>
      <c r="N445" s="109">
        <v>1.468</v>
      </c>
      <c r="O445" s="68"/>
      <c r="P445" s="67">
        <v>2918</v>
      </c>
      <c r="Q445" s="68"/>
      <c r="R445" s="69"/>
      <c r="S445" s="69"/>
      <c r="T445" s="69"/>
      <c r="U445" s="69"/>
      <c r="V445" s="69"/>
      <c r="W445" s="68"/>
      <c r="X445" s="70"/>
      <c r="Y445" s="70"/>
      <c r="Z445" s="70"/>
      <c r="AA445" s="70"/>
      <c r="AB445" s="70"/>
      <c r="AC445" s="68"/>
      <c r="AD445" s="71"/>
      <c r="AE445" s="71"/>
      <c r="AF445" s="71"/>
      <c r="AG445" s="71"/>
      <c r="AH445" s="71"/>
      <c r="AI445" s="68"/>
      <c r="AJ445" s="214">
        <v>2.0829999999999999E-4</v>
      </c>
      <c r="AK445" s="214">
        <v>1.724</v>
      </c>
      <c r="AL445" s="214">
        <v>4</v>
      </c>
      <c r="AM445" s="214">
        <v>1.392796E-3</v>
      </c>
      <c r="AN445" s="68"/>
      <c r="AO445" s="67"/>
      <c r="AP445" s="67"/>
      <c r="AQ445" s="67"/>
      <c r="AR445" s="67"/>
      <c r="AS445" s="67"/>
      <c r="AT445" s="68"/>
      <c r="AU445" s="49"/>
      <c r="AV445" s="50"/>
    </row>
    <row r="446" spans="1:48" ht="12.75" customHeight="1" x14ac:dyDescent="0.25">
      <c r="A446" s="72" t="s">
        <v>23</v>
      </c>
      <c r="B446" s="43" t="s">
        <v>159</v>
      </c>
      <c r="C446" s="44" t="s">
        <v>596</v>
      </c>
      <c r="D446" s="45">
        <f>MROUND(MID($C446,6,3)/Basis!$E$3,0.5)</f>
        <v>23.5</v>
      </c>
      <c r="E446" s="45">
        <f>MROUND(MID($C446,9,3)/Basis!$E$3,0.5)</f>
        <v>55</v>
      </c>
      <c r="F446" s="124" t="s">
        <v>2945</v>
      </c>
      <c r="G446" s="45">
        <f>ROUND((ROUNDDOWN($F446/5,0)*5+1.8)/Basis!$E$3,1)</f>
        <v>8.6</v>
      </c>
      <c r="H446" s="120">
        <f>ROUND($P446*Basis!$E$2*((TaH-TrH)/LN(1/µ)/Basis!$E$7)^$N446*$AA$4*Glycol,0)</f>
        <v>7950</v>
      </c>
      <c r="I446" s="83">
        <f>ROUND(H446/(MID($C446,9,3)/Basis!$E$3/Basis!$E$9)*Basis!$E$11,0)</f>
        <v>1731</v>
      </c>
      <c r="J446" s="123">
        <f>IF(Basis!$E$1=1,ROUND(H446/((TaH-TrH)*1.163)/3600,3),ROUND(H446/(500*(TaH-TrH)),2))</f>
        <v>0.8</v>
      </c>
      <c r="K446" s="84"/>
      <c r="L446" s="177">
        <f>CHOOSE(Basis!$E$1,((AJ446*(J446*3600/Basis!$E$5)^AK446*(((MID(C446,9,3)*10)-144)/1000)*AL446+AM446*(J446*3600/Basis!$E$5)^2)*0.0098)/Basis!$E$10,((AJ446*(J446/Basis!$E$5)^AK446*(((MID(C446,9,3)*10)-144)/1000)*AL446+AM446*(J446/Basis!$E$5)^2)*0.0098)/Basis!$E$10)</f>
        <v>4.8797359640396547E-2</v>
      </c>
      <c r="M446" s="85"/>
      <c r="N446" s="109">
        <v>1.361</v>
      </c>
      <c r="O446" s="68"/>
      <c r="P446" s="67">
        <v>3651</v>
      </c>
      <c r="Q446" s="68"/>
      <c r="R446" s="69"/>
      <c r="S446" s="69"/>
      <c r="T446" s="69"/>
      <c r="U446" s="69"/>
      <c r="V446" s="69"/>
      <c r="W446" s="68"/>
      <c r="X446" s="70"/>
      <c r="Y446" s="70"/>
      <c r="Z446" s="70"/>
      <c r="AA446" s="70"/>
      <c r="AB446" s="70"/>
      <c r="AC446" s="68"/>
      <c r="AD446" s="71"/>
      <c r="AE446" s="71"/>
      <c r="AF446" s="71"/>
      <c r="AG446" s="71"/>
      <c r="AH446" s="71"/>
      <c r="AI446" s="68"/>
      <c r="AJ446" s="214">
        <v>1.2760000000000001E-4</v>
      </c>
      <c r="AK446" s="214">
        <v>1.7219</v>
      </c>
      <c r="AL446" s="214">
        <v>2</v>
      </c>
      <c r="AM446" s="214">
        <v>3.76611E-4</v>
      </c>
      <c r="AN446" s="68"/>
      <c r="AO446" s="67"/>
      <c r="AP446" s="67"/>
      <c r="AQ446" s="67"/>
      <c r="AR446" s="67"/>
      <c r="AS446" s="67"/>
      <c r="AT446" s="68"/>
      <c r="AU446" s="49"/>
      <c r="AV446" s="50"/>
    </row>
    <row r="447" spans="1:48" ht="12.75" customHeight="1" x14ac:dyDescent="0.25">
      <c r="A447" s="72" t="s">
        <v>23</v>
      </c>
      <c r="B447" s="43" t="s">
        <v>159</v>
      </c>
      <c r="C447" s="44" t="s">
        <v>597</v>
      </c>
      <c r="D447" s="45">
        <f>MROUND(MID($C447,6,3)/Basis!$E$3,0.5)</f>
        <v>23.5</v>
      </c>
      <c r="E447" s="45">
        <f>MROUND(MID($C447,9,3)/Basis!$E$3,0.5)</f>
        <v>55</v>
      </c>
      <c r="F447" s="124" t="s">
        <v>2948</v>
      </c>
      <c r="G447" s="45">
        <f>ROUND((ROUNDDOWN($F447/5,0)*5+1.8)/Basis!$E$3,1)</f>
        <v>8.6</v>
      </c>
      <c r="H447" s="120">
        <f>ROUND($P447*Basis!$E$2*((TaH-TrH)/LN(1/µ)/Basis!$E$7)^$N447*$AA$4*Glycol,0)</f>
        <v>8411</v>
      </c>
      <c r="I447" s="83">
        <f>ROUND(H447/(MID($C447,9,3)/Basis!$E$3/Basis!$E$9)*Basis!$E$11,0)</f>
        <v>1831</v>
      </c>
      <c r="J447" s="123">
        <f>IF(Basis!$E$1=1,ROUND(H447/((TaH-TrH)*1.163)/3600,3),ROUND(H447/(500*(TaH-TrH)),2))</f>
        <v>0.84</v>
      </c>
      <c r="K447" s="84"/>
      <c r="L447" s="177">
        <f>CHOOSE(Basis!$E$1,((AJ447*(J447*3600/Basis!$E$5)^AK447*(((MID(C447,9,3)*10)-144)/1000)*AL447+AM447*(J447*3600/Basis!$E$5)^2)*0.0098)/Basis!$E$10,((AJ447*(J447/Basis!$E$5)^AK447*(((MID(C447,9,3)*10)-144)/1000)*AL447+AM447*(J447/Basis!$E$5)^2)*0.0098)/Basis!$E$10)</f>
        <v>7.8909460897894232E-2</v>
      </c>
      <c r="M447" s="85"/>
      <c r="N447" s="110">
        <v>1.4930000000000001</v>
      </c>
      <c r="O447" s="74"/>
      <c r="P447" s="73">
        <v>4035</v>
      </c>
      <c r="Q447" s="74"/>
      <c r="R447" s="75"/>
      <c r="S447" s="75"/>
      <c r="T447" s="75"/>
      <c r="U447" s="75"/>
      <c r="V447" s="75"/>
      <c r="W447" s="74"/>
      <c r="X447" s="76"/>
      <c r="Y447" s="76"/>
      <c r="Z447" s="76"/>
      <c r="AA447" s="76"/>
      <c r="AB447" s="76"/>
      <c r="AC447" s="74"/>
      <c r="AD447" s="77"/>
      <c r="AE447" s="77"/>
      <c r="AF447" s="77"/>
      <c r="AG447" s="77"/>
      <c r="AH447" s="77"/>
      <c r="AI447" s="68"/>
      <c r="AJ447" s="213">
        <v>1.2760000000000001E-4</v>
      </c>
      <c r="AK447" s="213">
        <v>1.7219</v>
      </c>
      <c r="AL447" s="213">
        <v>4</v>
      </c>
      <c r="AM447" s="213">
        <v>5.1420100000000005E-4</v>
      </c>
      <c r="AN447" s="74"/>
      <c r="AO447" s="73"/>
      <c r="AP447" s="73"/>
      <c r="AQ447" s="73"/>
      <c r="AR447" s="73"/>
      <c r="AS447" s="73"/>
      <c r="AT447" s="74"/>
      <c r="AU447" s="47"/>
      <c r="AV447" s="48"/>
    </row>
    <row r="448" spans="1:48" ht="12.75" customHeight="1" x14ac:dyDescent="0.25">
      <c r="A448" s="72" t="s">
        <v>23</v>
      </c>
      <c r="B448" s="43" t="s">
        <v>159</v>
      </c>
      <c r="C448" s="44" t="s">
        <v>598</v>
      </c>
      <c r="D448" s="45">
        <f>MROUND(MID($C448,6,3)/Basis!$E$3,0.5)</f>
        <v>23.5</v>
      </c>
      <c r="E448" s="45">
        <f>MROUND(MID($C448,9,3)/Basis!$E$3,0.5)</f>
        <v>63</v>
      </c>
      <c r="F448" s="124" t="s">
        <v>2943</v>
      </c>
      <c r="G448" s="45">
        <f>ROUND((ROUNDDOWN($F448/5,0)*5+1.8)/Basis!$E$3,1)</f>
        <v>4.5999999999999996</v>
      </c>
      <c r="H448" s="120">
        <f>ROUND($P448*Basis!$E$2*((TaH-TrH)/LN(1/µ)/Basis!$E$7)^$N448*$AA$4*Glycol,0)</f>
        <v>4056</v>
      </c>
      <c r="I448" s="83">
        <f>ROUND(H448/(MID($C448,9,3)/Basis!$E$3/Basis!$E$9)*Basis!$E$11,0)</f>
        <v>773</v>
      </c>
      <c r="J448" s="123">
        <f>IF(Basis!$E$1=1,ROUND(H448/((TaH-TrH)*1.163)/3600,3),ROUND(H448/(500*(TaH-TrH)),2))</f>
        <v>0.41</v>
      </c>
      <c r="K448" s="84"/>
      <c r="L448" s="177">
        <f>CHOOSE(Basis!$E$1,((AJ448*(J448*3600/Basis!$E$5)^AK448*(((MID(C448,9,3)*10)-144)/1000)*AL448+AM448*(J448*3600/Basis!$E$5)^2)*0.0098)/Basis!$E$10,((AJ448*(J448/Basis!$E$5)^AK448*(((MID(C448,9,3)*10)-144)/1000)*AL448+AM448*(J448/Basis!$E$5)^2)*0.0098)/Basis!$E$10)</f>
        <v>2.0253308659330064E-2</v>
      </c>
      <c r="M448" s="85"/>
      <c r="N448" s="110">
        <v>1.3759999999999999</v>
      </c>
      <c r="O448" s="74"/>
      <c r="P448" s="73">
        <v>1872</v>
      </c>
      <c r="Q448" s="74"/>
      <c r="R448" s="75"/>
      <c r="S448" s="75"/>
      <c r="T448" s="75"/>
      <c r="U448" s="75"/>
      <c r="V448" s="75"/>
      <c r="W448" s="74"/>
      <c r="X448" s="76"/>
      <c r="Y448" s="76"/>
      <c r="Z448" s="76"/>
      <c r="AA448" s="76"/>
      <c r="AB448" s="76"/>
      <c r="AC448" s="74"/>
      <c r="AD448" s="77"/>
      <c r="AE448" s="77"/>
      <c r="AF448" s="77"/>
      <c r="AG448" s="77"/>
      <c r="AH448" s="77"/>
      <c r="AI448" s="68"/>
      <c r="AJ448" s="213">
        <v>3.9689999999999994E-4</v>
      </c>
      <c r="AK448" s="213">
        <v>1.7345999999999999</v>
      </c>
      <c r="AL448" s="213">
        <v>2</v>
      </c>
      <c r="AM448" s="213">
        <v>3.6734700000000002E-4</v>
      </c>
      <c r="AN448" s="74"/>
      <c r="AO448" s="73"/>
      <c r="AP448" s="73"/>
      <c r="AQ448" s="73"/>
      <c r="AR448" s="73"/>
      <c r="AS448" s="73"/>
      <c r="AT448" s="74"/>
      <c r="AU448" s="47"/>
      <c r="AV448" s="48"/>
    </row>
    <row r="449" spans="1:48" ht="12.75" customHeight="1" x14ac:dyDescent="0.25">
      <c r="A449" s="72" t="s">
        <v>23</v>
      </c>
      <c r="B449" s="43" t="s">
        <v>159</v>
      </c>
      <c r="C449" s="44" t="s">
        <v>599</v>
      </c>
      <c r="D449" s="45">
        <f>MROUND(MID($C449,6,3)/Basis!$E$3,0.5)</f>
        <v>23.5</v>
      </c>
      <c r="E449" s="45">
        <f>MROUND(MID($C449,9,3)/Basis!$E$3,0.5)</f>
        <v>63</v>
      </c>
      <c r="F449" s="124" t="s">
        <v>2946</v>
      </c>
      <c r="G449" s="45">
        <f>ROUND((ROUNDDOWN($F449/5,0)*5+1.8)/Basis!$E$3,1)</f>
        <v>4.5999999999999996</v>
      </c>
      <c r="H449" s="120">
        <f>ROUND($P449*Basis!$E$2*((TaH-TrH)/LN(1/µ)/Basis!$E$7)^$N449*$AA$4*Glycol,0)</f>
        <v>5075</v>
      </c>
      <c r="I449" s="83">
        <f>ROUND(H449/(MID($C449,9,3)/Basis!$E$3/Basis!$E$9)*Basis!$E$11,0)</f>
        <v>967</v>
      </c>
      <c r="J449" s="123">
        <f>IF(Basis!$E$1=1,ROUND(H449/((TaH-TrH)*1.163)/3600,3),ROUND(H449/(500*(TaH-TrH)),2))</f>
        <v>0.51</v>
      </c>
      <c r="K449" s="84"/>
      <c r="L449" s="177">
        <f>CHOOSE(Basis!$E$1,((AJ449*(J449*3600/Basis!$E$5)^AK449*(((MID(C449,9,3)*10)-144)/1000)*AL449+AM449*(J449*3600/Basis!$E$5)^2)*0.0098)/Basis!$E$10,((AJ449*(J449/Basis!$E$5)^AK449*(((MID(C449,9,3)*10)-144)/1000)*AL449+AM449*(J449/Basis!$E$5)^2)*0.0098)/Basis!$E$10)</f>
        <v>5.3925092003003168E-2</v>
      </c>
      <c r="M449" s="85"/>
      <c r="N449" s="109">
        <v>1.4370000000000001</v>
      </c>
      <c r="O449" s="68"/>
      <c r="P449" s="67">
        <v>2390</v>
      </c>
      <c r="Q449" s="68"/>
      <c r="R449" s="69"/>
      <c r="S449" s="69"/>
      <c r="T449" s="69"/>
      <c r="U449" s="69"/>
      <c r="V449" s="69"/>
      <c r="W449" s="68"/>
      <c r="X449" s="70"/>
      <c r="Y449" s="70"/>
      <c r="Z449" s="70"/>
      <c r="AA449" s="70"/>
      <c r="AB449" s="70"/>
      <c r="AC449" s="68"/>
      <c r="AD449" s="71"/>
      <c r="AE449" s="71"/>
      <c r="AF449" s="71"/>
      <c r="AG449" s="71"/>
      <c r="AH449" s="71"/>
      <c r="AI449" s="68"/>
      <c r="AJ449" s="214">
        <v>3.9689999999999994E-4</v>
      </c>
      <c r="AK449" s="214">
        <v>1.7345999999999999</v>
      </c>
      <c r="AL449" s="214">
        <v>4</v>
      </c>
      <c r="AM449" s="214">
        <v>5.7428799999999995E-4</v>
      </c>
      <c r="AN449" s="68"/>
      <c r="AO449" s="67"/>
      <c r="AP449" s="67"/>
      <c r="AQ449" s="67"/>
      <c r="AR449" s="67"/>
      <c r="AS449" s="67"/>
      <c r="AT449" s="68"/>
      <c r="AU449" s="49"/>
      <c r="AV449" s="50"/>
    </row>
    <row r="450" spans="1:48" ht="12.75" customHeight="1" x14ac:dyDescent="0.25">
      <c r="A450" s="72" t="s">
        <v>23</v>
      </c>
      <c r="B450" s="43" t="s">
        <v>159</v>
      </c>
      <c r="C450" s="44" t="s">
        <v>600</v>
      </c>
      <c r="D450" s="45">
        <f>MROUND(MID($C450,6,3)/Basis!$E$3,0.5)</f>
        <v>23.5</v>
      </c>
      <c r="E450" s="45">
        <f>MROUND(MID($C450,9,3)/Basis!$E$3,0.5)</f>
        <v>63</v>
      </c>
      <c r="F450" s="124" t="s">
        <v>2944</v>
      </c>
      <c r="G450" s="45">
        <f>ROUND((ROUNDDOWN($F450/5,0)*5+1.8)/Basis!$E$3,1)</f>
        <v>6.6</v>
      </c>
      <c r="H450" s="120">
        <f>ROUND($P450*Basis!$E$2*((TaH-TrH)/LN(1/µ)/Basis!$E$7)^$N450*$AA$4*Glycol,0)</f>
        <v>6502</v>
      </c>
      <c r="I450" s="83">
        <f>ROUND(H450/(MID($C450,9,3)/Basis!$E$3/Basis!$E$9)*Basis!$E$11,0)</f>
        <v>1239</v>
      </c>
      <c r="J450" s="123">
        <f>IF(Basis!$E$1=1,ROUND(H450/((TaH-TrH)*1.163)/3600,3),ROUND(H450/(500*(TaH-TrH)),2))</f>
        <v>0.65</v>
      </c>
      <c r="K450" s="84"/>
      <c r="L450" s="177">
        <f>CHOOSE(Basis!$E$1,((AJ450*(J450*3600/Basis!$E$5)^AK450*(((MID(C450,9,3)*10)-144)/1000)*AL450+AM450*(J450*3600/Basis!$E$5)^2)*0.0098)/Basis!$E$10,((AJ450*(J450/Basis!$E$5)^AK450*(((MID(C450,9,3)*10)-144)/1000)*AL450+AM450*(J450/Basis!$E$5)^2)*0.0098)/Basis!$E$10)</f>
        <v>4.3802064889658349E-2</v>
      </c>
      <c r="M450" s="85"/>
      <c r="N450" s="109">
        <v>1.361</v>
      </c>
      <c r="O450" s="68"/>
      <c r="P450" s="67">
        <v>2986</v>
      </c>
      <c r="Q450" s="68"/>
      <c r="R450" s="69"/>
      <c r="S450" s="69"/>
      <c r="T450" s="69"/>
      <c r="U450" s="69"/>
      <c r="V450" s="69"/>
      <c r="W450" s="68"/>
      <c r="X450" s="70"/>
      <c r="Y450" s="70"/>
      <c r="Z450" s="70"/>
      <c r="AA450" s="70"/>
      <c r="AB450" s="70"/>
      <c r="AC450" s="68"/>
      <c r="AD450" s="71"/>
      <c r="AE450" s="71"/>
      <c r="AF450" s="71"/>
      <c r="AG450" s="71"/>
      <c r="AH450" s="71"/>
      <c r="AI450" s="68"/>
      <c r="AJ450" s="214">
        <v>2.0829999999999999E-4</v>
      </c>
      <c r="AK450" s="214">
        <v>1.724</v>
      </c>
      <c r="AL450" s="214">
        <v>2</v>
      </c>
      <c r="AM450" s="214">
        <v>4.6182900000000003E-4</v>
      </c>
      <c r="AN450" s="68"/>
      <c r="AO450" s="67"/>
      <c r="AP450" s="67"/>
      <c r="AQ450" s="67"/>
      <c r="AR450" s="67"/>
      <c r="AS450" s="67"/>
      <c r="AT450" s="68"/>
      <c r="AU450" s="49"/>
      <c r="AV450" s="50"/>
    </row>
    <row r="451" spans="1:48" ht="12.75" customHeight="1" x14ac:dyDescent="0.25">
      <c r="A451" s="72" t="s">
        <v>23</v>
      </c>
      <c r="B451" s="43" t="s">
        <v>159</v>
      </c>
      <c r="C451" s="44" t="s">
        <v>601</v>
      </c>
      <c r="D451" s="45">
        <f>MROUND(MID($C451,6,3)/Basis!$E$3,0.5)</f>
        <v>23.5</v>
      </c>
      <c r="E451" s="45">
        <f>MROUND(MID($C451,9,3)/Basis!$E$3,0.5)</f>
        <v>63</v>
      </c>
      <c r="F451" s="124" t="s">
        <v>2947</v>
      </c>
      <c r="G451" s="45">
        <f>ROUND((ROUNDDOWN($F451/5,0)*5+1.8)/Basis!$E$3,1)</f>
        <v>6.6</v>
      </c>
      <c r="H451" s="120">
        <f>ROUND($P451*Basis!$E$2*((TaH-TrH)/LN(1/µ)/Basis!$E$7)^$N451*$AA$4*Glycol,0)</f>
        <v>7008</v>
      </c>
      <c r="I451" s="83">
        <f>ROUND(H451/(MID($C451,9,3)/Basis!$E$3/Basis!$E$9)*Basis!$E$11,0)</f>
        <v>1335</v>
      </c>
      <c r="J451" s="123">
        <f>IF(Basis!$E$1=1,ROUND(H451/((TaH-TrH)*1.163)/3600,3),ROUND(H451/(500*(TaH-TrH)),2))</f>
        <v>0.7</v>
      </c>
      <c r="K451" s="84"/>
      <c r="L451" s="177">
        <f>CHOOSE(Basis!$E$1,((AJ451*(J451*3600/Basis!$E$5)^AK451*(((MID(C451,9,3)*10)-144)/1000)*AL451+AM451*(J451*3600/Basis!$E$5)^2)*0.0098)/Basis!$E$10,((AJ451*(J451/Basis!$E$5)^AK451*(((MID(C451,9,3)*10)-144)/1000)*AL451+AM451*(J451/Basis!$E$5)^2)*0.0098)/Basis!$E$10)</f>
        <v>0.13986208332233455</v>
      </c>
      <c r="M451" s="85"/>
      <c r="N451" s="110">
        <v>1.468</v>
      </c>
      <c r="O451" s="74"/>
      <c r="P451" s="73">
        <v>3334</v>
      </c>
      <c r="Q451" s="74"/>
      <c r="R451" s="75"/>
      <c r="S451" s="75"/>
      <c r="T451" s="75"/>
      <c r="U451" s="75"/>
      <c r="V451" s="75"/>
      <c r="W451" s="74"/>
      <c r="X451" s="76"/>
      <c r="Y451" s="76"/>
      <c r="Z451" s="76"/>
      <c r="AA451" s="76"/>
      <c r="AB451" s="76"/>
      <c r="AC451" s="74"/>
      <c r="AD451" s="77"/>
      <c r="AE451" s="77"/>
      <c r="AF451" s="77"/>
      <c r="AG451" s="77"/>
      <c r="AH451" s="77"/>
      <c r="AI451" s="68"/>
      <c r="AJ451" s="213">
        <v>2.0829999999999999E-4</v>
      </c>
      <c r="AK451" s="213">
        <v>1.724</v>
      </c>
      <c r="AL451" s="213">
        <v>4</v>
      </c>
      <c r="AM451" s="213">
        <v>1.392796E-3</v>
      </c>
      <c r="AN451" s="74"/>
      <c r="AO451" s="73"/>
      <c r="AP451" s="73"/>
      <c r="AQ451" s="73"/>
      <c r="AR451" s="73"/>
      <c r="AS451" s="73"/>
      <c r="AT451" s="74"/>
      <c r="AU451" s="47"/>
      <c r="AV451" s="48"/>
    </row>
    <row r="452" spans="1:48" ht="12.75" customHeight="1" x14ac:dyDescent="0.25">
      <c r="A452" s="72" t="s">
        <v>23</v>
      </c>
      <c r="B452" s="43" t="s">
        <v>159</v>
      </c>
      <c r="C452" s="44" t="s">
        <v>602</v>
      </c>
      <c r="D452" s="45">
        <f>MROUND(MID($C452,6,3)/Basis!$E$3,0.5)</f>
        <v>23.5</v>
      </c>
      <c r="E452" s="45">
        <f>MROUND(MID($C452,9,3)/Basis!$E$3,0.5)</f>
        <v>63</v>
      </c>
      <c r="F452" s="124" t="s">
        <v>2945</v>
      </c>
      <c r="G452" s="45">
        <f>ROUND((ROUNDDOWN($F452/5,0)*5+1.8)/Basis!$E$3,1)</f>
        <v>8.6</v>
      </c>
      <c r="H452" s="120">
        <f>ROUND($P452*Basis!$E$2*((TaH-TrH)/LN(1/µ)/Basis!$E$7)^$N452*$AA$4*Glycol,0)</f>
        <v>9086</v>
      </c>
      <c r="I452" s="83">
        <f>ROUND(H452/(MID($C452,9,3)/Basis!$E$3/Basis!$E$9)*Basis!$E$11,0)</f>
        <v>1731</v>
      </c>
      <c r="J452" s="123">
        <f>IF(Basis!$E$1=1,ROUND(H452/((TaH-TrH)*1.163)/3600,3),ROUND(H452/(500*(TaH-TrH)),2))</f>
        <v>0.91</v>
      </c>
      <c r="K452" s="84"/>
      <c r="L452" s="177">
        <f>CHOOSE(Basis!$E$1,((AJ452*(J452*3600/Basis!$E$5)^AK452*(((MID(C452,9,3)*10)-144)/1000)*AL452+AM452*(J452*3600/Basis!$E$5)^2)*0.0098)/Basis!$E$10,((AJ452*(J452/Basis!$E$5)^AK452*(((MID(C452,9,3)*10)-144)/1000)*AL452+AM452*(J452/Basis!$E$5)^2)*0.0098)/Basis!$E$10)</f>
        <v>6.438704258944293E-2</v>
      </c>
      <c r="M452" s="85"/>
      <c r="N452" s="110">
        <v>1.361</v>
      </c>
      <c r="O452" s="74"/>
      <c r="P452" s="73">
        <v>4173</v>
      </c>
      <c r="Q452" s="74"/>
      <c r="R452" s="75"/>
      <c r="S452" s="75"/>
      <c r="T452" s="75"/>
      <c r="U452" s="75"/>
      <c r="V452" s="75"/>
      <c r="W452" s="74"/>
      <c r="X452" s="76"/>
      <c r="Y452" s="76"/>
      <c r="Z452" s="76"/>
      <c r="AA452" s="76"/>
      <c r="AB452" s="76"/>
      <c r="AC452" s="74"/>
      <c r="AD452" s="77"/>
      <c r="AE452" s="77"/>
      <c r="AF452" s="77"/>
      <c r="AG452" s="77"/>
      <c r="AH452" s="77"/>
      <c r="AI452" s="68"/>
      <c r="AJ452" s="213">
        <v>1.2760000000000001E-4</v>
      </c>
      <c r="AK452" s="213">
        <v>1.7219</v>
      </c>
      <c r="AL452" s="213">
        <v>2</v>
      </c>
      <c r="AM452" s="213">
        <v>3.76611E-4</v>
      </c>
      <c r="AN452" s="74"/>
      <c r="AO452" s="73"/>
      <c r="AP452" s="73"/>
      <c r="AQ452" s="73"/>
      <c r="AR452" s="73"/>
      <c r="AS452" s="73"/>
      <c r="AT452" s="74"/>
      <c r="AU452" s="47"/>
      <c r="AV452" s="48"/>
    </row>
    <row r="453" spans="1:48" ht="12.75" customHeight="1" x14ac:dyDescent="0.25">
      <c r="A453" s="72" t="s">
        <v>23</v>
      </c>
      <c r="B453" s="43" t="s">
        <v>159</v>
      </c>
      <c r="C453" s="44" t="s">
        <v>603</v>
      </c>
      <c r="D453" s="45">
        <f>MROUND(MID($C453,6,3)/Basis!$E$3,0.5)</f>
        <v>23.5</v>
      </c>
      <c r="E453" s="45">
        <f>MROUND(MID($C453,9,3)/Basis!$E$3,0.5)</f>
        <v>63</v>
      </c>
      <c r="F453" s="124" t="s">
        <v>2948</v>
      </c>
      <c r="G453" s="45">
        <f>ROUND((ROUNDDOWN($F453/5,0)*5+1.8)/Basis!$E$3,1)</f>
        <v>8.6</v>
      </c>
      <c r="H453" s="120">
        <f>ROUND($P453*Basis!$E$2*((TaH-TrH)/LN(1/µ)/Basis!$E$7)^$N453*$AA$4*Glycol,0)</f>
        <v>9612</v>
      </c>
      <c r="I453" s="83">
        <f>ROUND(H453/(MID($C453,9,3)/Basis!$E$3/Basis!$E$9)*Basis!$E$11,0)</f>
        <v>1831</v>
      </c>
      <c r="J453" s="123">
        <f>IF(Basis!$E$1=1,ROUND(H453/((TaH-TrH)*1.163)/3600,3),ROUND(H453/(500*(TaH-TrH)),2))</f>
        <v>0.96</v>
      </c>
      <c r="K453" s="84"/>
      <c r="L453" s="177">
        <f>CHOOSE(Basis!$E$1,((AJ453*(J453*3600/Basis!$E$5)^AK453*(((MID(C453,9,3)*10)-144)/1000)*AL453+AM453*(J453*3600/Basis!$E$5)^2)*0.0098)/Basis!$E$10,((AJ453*(J453/Basis!$E$5)^AK453*(((MID(C453,9,3)*10)-144)/1000)*AL453+AM453*(J453/Basis!$E$5)^2)*0.0098)/Basis!$E$10)</f>
        <v>0.10577165090072652</v>
      </c>
      <c r="M453" s="85"/>
      <c r="N453" s="109">
        <v>1.4930000000000001</v>
      </c>
      <c r="O453" s="68"/>
      <c r="P453" s="67">
        <v>4611</v>
      </c>
      <c r="Q453" s="68"/>
      <c r="R453" s="69"/>
      <c r="S453" s="69"/>
      <c r="T453" s="69"/>
      <c r="U453" s="69"/>
      <c r="V453" s="69"/>
      <c r="W453" s="68"/>
      <c r="X453" s="70"/>
      <c r="Y453" s="70"/>
      <c r="Z453" s="70"/>
      <c r="AA453" s="70"/>
      <c r="AB453" s="70"/>
      <c r="AC453" s="68"/>
      <c r="AD453" s="71"/>
      <c r="AE453" s="71"/>
      <c r="AF453" s="71"/>
      <c r="AG453" s="71"/>
      <c r="AH453" s="71"/>
      <c r="AI453" s="68"/>
      <c r="AJ453" s="214">
        <v>1.2760000000000001E-4</v>
      </c>
      <c r="AK453" s="214">
        <v>1.7219</v>
      </c>
      <c r="AL453" s="214">
        <v>4</v>
      </c>
      <c r="AM453" s="214">
        <v>5.1420100000000005E-4</v>
      </c>
      <c r="AN453" s="68"/>
      <c r="AO453" s="67"/>
      <c r="AP453" s="67"/>
      <c r="AQ453" s="67"/>
      <c r="AR453" s="67"/>
      <c r="AS453" s="67"/>
      <c r="AT453" s="68"/>
      <c r="AU453" s="49"/>
      <c r="AV453" s="50"/>
    </row>
    <row r="454" spans="1:48" ht="12.75" customHeight="1" x14ac:dyDescent="0.25">
      <c r="A454" s="72" t="s">
        <v>23</v>
      </c>
      <c r="B454" s="43" t="s">
        <v>159</v>
      </c>
      <c r="C454" s="44" t="s">
        <v>604</v>
      </c>
      <c r="D454" s="45">
        <f>MROUND(MID($C454,6,3)/Basis!$E$3,0.5)</f>
        <v>23.5</v>
      </c>
      <c r="E454" s="45">
        <f>MROUND(MID($C454,9,3)/Basis!$E$3,0.5)</f>
        <v>71</v>
      </c>
      <c r="F454" s="124" t="s">
        <v>2943</v>
      </c>
      <c r="G454" s="45">
        <f>ROUND((ROUNDDOWN($F454/5,0)*5+1.8)/Basis!$E$3,1)</f>
        <v>4.5999999999999996</v>
      </c>
      <c r="H454" s="120">
        <f>ROUND($P454*Basis!$E$2*((TaH-TrH)/LN(1/µ)/Basis!$E$7)^$N454*$AA$4*Glycol,0)</f>
        <v>4563</v>
      </c>
      <c r="I454" s="83">
        <f>ROUND(H454/(MID($C454,9,3)/Basis!$E$3/Basis!$E$9)*Basis!$E$11,0)</f>
        <v>773</v>
      </c>
      <c r="J454" s="123">
        <f>IF(Basis!$E$1=1,ROUND(H454/((TaH-TrH)*1.163)/3600,3),ROUND(H454/(500*(TaH-TrH)),2))</f>
        <v>0.46</v>
      </c>
      <c r="K454" s="84"/>
      <c r="L454" s="177">
        <f>CHOOSE(Basis!$E$1,((AJ454*(J454*3600/Basis!$E$5)^AK454*(((MID(C454,9,3)*10)-144)/1000)*AL454+AM454*(J454*3600/Basis!$E$5)^2)*0.0098)/Basis!$E$10,((AJ454*(J454/Basis!$E$5)^AK454*(((MID(C454,9,3)*10)-144)/1000)*AL454+AM454*(J454/Basis!$E$5)^2)*0.0098)/Basis!$E$10)</f>
        <v>2.6771750234733976E-2</v>
      </c>
      <c r="M454" s="85"/>
      <c r="N454" s="109">
        <v>1.3759999999999999</v>
      </c>
      <c r="O454" s="68"/>
      <c r="P454" s="67">
        <v>2106</v>
      </c>
      <c r="Q454" s="68"/>
      <c r="R454" s="69"/>
      <c r="S454" s="69"/>
      <c r="T454" s="69"/>
      <c r="U454" s="69"/>
      <c r="V454" s="69"/>
      <c r="W454" s="68"/>
      <c r="X454" s="70"/>
      <c r="Y454" s="70"/>
      <c r="Z454" s="70"/>
      <c r="AA454" s="70"/>
      <c r="AB454" s="70"/>
      <c r="AC454" s="68"/>
      <c r="AD454" s="71"/>
      <c r="AE454" s="71"/>
      <c r="AF454" s="71"/>
      <c r="AG454" s="71"/>
      <c r="AH454" s="71"/>
      <c r="AI454" s="68"/>
      <c r="AJ454" s="214">
        <v>3.9689999999999994E-4</v>
      </c>
      <c r="AK454" s="214">
        <v>1.7345999999999999</v>
      </c>
      <c r="AL454" s="214">
        <v>2</v>
      </c>
      <c r="AM454" s="214">
        <v>3.6734700000000002E-4</v>
      </c>
      <c r="AN454" s="68"/>
      <c r="AO454" s="67"/>
      <c r="AP454" s="67"/>
      <c r="AQ454" s="67"/>
      <c r="AR454" s="67"/>
      <c r="AS454" s="67"/>
      <c r="AT454" s="68"/>
      <c r="AU454" s="49"/>
      <c r="AV454" s="50"/>
    </row>
    <row r="455" spans="1:48" ht="12.75" customHeight="1" x14ac:dyDescent="0.25">
      <c r="A455" s="72" t="s">
        <v>23</v>
      </c>
      <c r="B455" s="43" t="s">
        <v>159</v>
      </c>
      <c r="C455" s="44" t="s">
        <v>605</v>
      </c>
      <c r="D455" s="45">
        <f>MROUND(MID($C455,6,3)/Basis!$E$3,0.5)</f>
        <v>23.5</v>
      </c>
      <c r="E455" s="45">
        <f>MROUND(MID($C455,9,3)/Basis!$E$3,0.5)</f>
        <v>71</v>
      </c>
      <c r="F455" s="124" t="s">
        <v>2946</v>
      </c>
      <c r="G455" s="45">
        <f>ROUND((ROUNDDOWN($F455/5,0)*5+1.8)/Basis!$E$3,1)</f>
        <v>4.5999999999999996</v>
      </c>
      <c r="H455" s="120">
        <f>ROUND($P455*Basis!$E$2*((TaH-TrH)/LN(1/µ)/Basis!$E$7)^$N455*$AA$4*Glycol,0)</f>
        <v>5710</v>
      </c>
      <c r="I455" s="83">
        <f>ROUND(H455/(MID($C455,9,3)/Basis!$E$3/Basis!$E$9)*Basis!$E$11,0)</f>
        <v>967</v>
      </c>
      <c r="J455" s="123">
        <f>IF(Basis!$E$1=1,ROUND(H455/((TaH-TrH)*1.163)/3600,3),ROUND(H455/(500*(TaH-TrH)),2))</f>
        <v>0.56999999999999995</v>
      </c>
      <c r="K455" s="84"/>
      <c r="L455" s="177">
        <f>CHOOSE(Basis!$E$1,((AJ455*(J455*3600/Basis!$E$5)^AK455*(((MID(C455,9,3)*10)-144)/1000)*AL455+AM455*(J455*3600/Basis!$E$5)^2)*0.0098)/Basis!$E$10,((AJ455*(J455/Basis!$E$5)^AK455*(((MID(C455,9,3)*10)-144)/1000)*AL455+AM455*(J455/Basis!$E$5)^2)*0.0098)/Basis!$E$10)</f>
        <v>7.1102112127321232E-2</v>
      </c>
      <c r="M455" s="85"/>
      <c r="N455" s="110">
        <v>1.4370000000000001</v>
      </c>
      <c r="O455" s="74"/>
      <c r="P455" s="73">
        <v>2689</v>
      </c>
      <c r="Q455" s="74"/>
      <c r="R455" s="75"/>
      <c r="S455" s="75"/>
      <c r="T455" s="75"/>
      <c r="U455" s="75"/>
      <c r="V455" s="75"/>
      <c r="W455" s="74"/>
      <c r="X455" s="76"/>
      <c r="Y455" s="76"/>
      <c r="Z455" s="76"/>
      <c r="AA455" s="76"/>
      <c r="AB455" s="76"/>
      <c r="AC455" s="74"/>
      <c r="AD455" s="77"/>
      <c r="AE455" s="77"/>
      <c r="AF455" s="77"/>
      <c r="AG455" s="77"/>
      <c r="AH455" s="77"/>
      <c r="AI455" s="68"/>
      <c r="AJ455" s="213">
        <v>3.9689999999999994E-4</v>
      </c>
      <c r="AK455" s="213">
        <v>1.7345999999999999</v>
      </c>
      <c r="AL455" s="213">
        <v>4</v>
      </c>
      <c r="AM455" s="213">
        <v>5.7428799999999995E-4</v>
      </c>
      <c r="AN455" s="74"/>
      <c r="AO455" s="73"/>
      <c r="AP455" s="73"/>
      <c r="AQ455" s="73"/>
      <c r="AR455" s="73"/>
      <c r="AS455" s="73"/>
      <c r="AT455" s="74"/>
      <c r="AU455" s="47"/>
      <c r="AV455" s="48"/>
    </row>
    <row r="456" spans="1:48" ht="12.75" customHeight="1" x14ac:dyDescent="0.25">
      <c r="A456" s="72" t="s">
        <v>23</v>
      </c>
      <c r="B456" s="43" t="s">
        <v>159</v>
      </c>
      <c r="C456" s="44" t="s">
        <v>606</v>
      </c>
      <c r="D456" s="45">
        <f>MROUND(MID($C456,6,3)/Basis!$E$3,0.5)</f>
        <v>23.5</v>
      </c>
      <c r="E456" s="45">
        <f>MROUND(MID($C456,9,3)/Basis!$E$3,0.5)</f>
        <v>71</v>
      </c>
      <c r="F456" s="124" t="s">
        <v>2944</v>
      </c>
      <c r="G456" s="45">
        <f>ROUND((ROUNDDOWN($F456/5,0)*5+1.8)/Basis!$E$3,1)</f>
        <v>6.6</v>
      </c>
      <c r="H456" s="120">
        <f>ROUND($P456*Basis!$E$2*((TaH-TrH)/LN(1/µ)/Basis!$E$7)^$N456*$AA$4*Glycol,0)</f>
        <v>7314</v>
      </c>
      <c r="I456" s="83">
        <f>ROUND(H456/(MID($C456,9,3)/Basis!$E$3/Basis!$E$9)*Basis!$E$11,0)</f>
        <v>1239</v>
      </c>
      <c r="J456" s="123">
        <f>IF(Basis!$E$1=1,ROUND(H456/((TaH-TrH)*1.163)/3600,3),ROUND(H456/(500*(TaH-TrH)),2))</f>
        <v>0.73</v>
      </c>
      <c r="K456" s="84"/>
      <c r="L456" s="177">
        <f>CHOOSE(Basis!$E$1,((AJ456*(J456*3600/Basis!$E$5)^AK456*(((MID(C456,9,3)*10)-144)/1000)*AL456+AM456*(J456*3600/Basis!$E$5)^2)*0.0098)/Basis!$E$10,((AJ456*(J456/Basis!$E$5)^AK456*(((MID(C456,9,3)*10)-144)/1000)*AL456+AM456*(J456/Basis!$E$5)^2)*0.0098)/Basis!$E$10)</f>
        <v>5.6641922955935051E-2</v>
      </c>
      <c r="M456" s="85"/>
      <c r="N456" s="110">
        <v>1.361</v>
      </c>
      <c r="O456" s="74"/>
      <c r="P456" s="73">
        <v>3359</v>
      </c>
      <c r="Q456" s="74"/>
      <c r="R456" s="75"/>
      <c r="S456" s="75"/>
      <c r="T456" s="75"/>
      <c r="U456" s="75"/>
      <c r="V456" s="75"/>
      <c r="W456" s="74"/>
      <c r="X456" s="76"/>
      <c r="Y456" s="76"/>
      <c r="Z456" s="76"/>
      <c r="AA456" s="76"/>
      <c r="AB456" s="76"/>
      <c r="AC456" s="74"/>
      <c r="AD456" s="77"/>
      <c r="AE456" s="77"/>
      <c r="AF456" s="77"/>
      <c r="AG456" s="77"/>
      <c r="AH456" s="77"/>
      <c r="AI456" s="68"/>
      <c r="AJ456" s="213">
        <v>2.0829999999999999E-4</v>
      </c>
      <c r="AK456" s="213">
        <v>1.724</v>
      </c>
      <c r="AL456" s="213">
        <v>2</v>
      </c>
      <c r="AM456" s="213">
        <v>4.6182900000000003E-4</v>
      </c>
      <c r="AN456" s="74"/>
      <c r="AO456" s="73"/>
      <c r="AP456" s="73"/>
      <c r="AQ456" s="73"/>
      <c r="AR456" s="73"/>
      <c r="AS456" s="73"/>
      <c r="AT456" s="74"/>
      <c r="AU456" s="47"/>
      <c r="AV456" s="48"/>
    </row>
    <row r="457" spans="1:48" ht="12.75" customHeight="1" x14ac:dyDescent="0.25">
      <c r="A457" s="72" t="s">
        <v>23</v>
      </c>
      <c r="B457" s="43" t="s">
        <v>159</v>
      </c>
      <c r="C457" s="44" t="s">
        <v>607</v>
      </c>
      <c r="D457" s="45">
        <f>MROUND(MID($C457,6,3)/Basis!$E$3,0.5)</f>
        <v>23.5</v>
      </c>
      <c r="E457" s="45">
        <f>MROUND(MID($C457,9,3)/Basis!$E$3,0.5)</f>
        <v>71</v>
      </c>
      <c r="F457" s="124" t="s">
        <v>2947</v>
      </c>
      <c r="G457" s="45">
        <f>ROUND((ROUNDDOWN($F457/5,0)*5+1.8)/Basis!$E$3,1)</f>
        <v>6.6</v>
      </c>
      <c r="H457" s="120">
        <f>ROUND($P457*Basis!$E$2*((TaH-TrH)/LN(1/µ)/Basis!$E$7)^$N457*$AA$4*Glycol,0)</f>
        <v>7884</v>
      </c>
      <c r="I457" s="83">
        <f>ROUND(H457/(MID($C457,9,3)/Basis!$E$3/Basis!$E$9)*Basis!$E$11,0)</f>
        <v>1335</v>
      </c>
      <c r="J457" s="123">
        <f>IF(Basis!$E$1=1,ROUND(H457/((TaH-TrH)*1.163)/3600,3),ROUND(H457/(500*(TaH-TrH)),2))</f>
        <v>0.79</v>
      </c>
      <c r="K457" s="84"/>
      <c r="L457" s="177">
        <f>CHOOSE(Basis!$E$1,((AJ457*(J457*3600/Basis!$E$5)^AK457*(((MID(C457,9,3)*10)-144)/1000)*AL457+AM457*(J457*3600/Basis!$E$5)^2)*0.0098)/Basis!$E$10,((AJ457*(J457/Basis!$E$5)^AK457*(((MID(C457,9,3)*10)-144)/1000)*AL457+AM457*(J457/Basis!$E$5)^2)*0.0098)/Basis!$E$10)</f>
        <v>0.18129160436216415</v>
      </c>
      <c r="M457" s="85"/>
      <c r="N457" s="109">
        <v>1.468</v>
      </c>
      <c r="O457" s="68"/>
      <c r="P457" s="67">
        <v>3751</v>
      </c>
      <c r="Q457" s="68"/>
      <c r="R457" s="69"/>
      <c r="S457" s="69"/>
      <c r="T457" s="69"/>
      <c r="U457" s="69"/>
      <c r="V457" s="69"/>
      <c r="W457" s="68"/>
      <c r="X457" s="70"/>
      <c r="Y457" s="70"/>
      <c r="Z457" s="70"/>
      <c r="AA457" s="70"/>
      <c r="AB457" s="70"/>
      <c r="AC457" s="68"/>
      <c r="AD457" s="71"/>
      <c r="AE457" s="71"/>
      <c r="AF457" s="71"/>
      <c r="AG457" s="71"/>
      <c r="AH457" s="71"/>
      <c r="AI457" s="68"/>
      <c r="AJ457" s="214">
        <v>2.0829999999999999E-4</v>
      </c>
      <c r="AK457" s="214">
        <v>1.724</v>
      </c>
      <c r="AL457" s="214">
        <v>4</v>
      </c>
      <c r="AM457" s="214">
        <v>1.392796E-3</v>
      </c>
      <c r="AN457" s="68"/>
      <c r="AO457" s="67"/>
      <c r="AP457" s="67"/>
      <c r="AQ457" s="67"/>
      <c r="AR457" s="67"/>
      <c r="AS457" s="67"/>
      <c r="AT457" s="68"/>
      <c r="AU457" s="49"/>
      <c r="AV457" s="50"/>
    </row>
    <row r="458" spans="1:48" ht="12.75" customHeight="1" x14ac:dyDescent="0.25">
      <c r="A458" s="72" t="s">
        <v>23</v>
      </c>
      <c r="B458" s="43" t="s">
        <v>159</v>
      </c>
      <c r="C458" s="44" t="s">
        <v>608</v>
      </c>
      <c r="D458" s="45">
        <f>MROUND(MID($C458,6,3)/Basis!$E$3,0.5)</f>
        <v>23.5</v>
      </c>
      <c r="E458" s="45">
        <f>MROUND(MID($C458,9,3)/Basis!$E$3,0.5)</f>
        <v>71</v>
      </c>
      <c r="F458" s="124" t="s">
        <v>2945</v>
      </c>
      <c r="G458" s="45">
        <f>ROUND((ROUNDDOWN($F458/5,0)*5+1.8)/Basis!$E$3,1)</f>
        <v>8.6</v>
      </c>
      <c r="H458" s="120">
        <f>ROUND($P458*Basis!$E$2*((TaH-TrH)/LN(1/µ)/Basis!$E$7)^$N458*$AA$4*Glycol,0)</f>
        <v>10221</v>
      </c>
      <c r="I458" s="83">
        <f>ROUND(H458/(MID($C458,9,3)/Basis!$E$3/Basis!$E$9)*Basis!$E$11,0)</f>
        <v>1731</v>
      </c>
      <c r="J458" s="123">
        <f>IF(Basis!$E$1=1,ROUND(H458/((TaH-TrH)*1.163)/3600,3),ROUND(H458/(500*(TaH-TrH)),2))</f>
        <v>1.02</v>
      </c>
      <c r="K458" s="84"/>
      <c r="L458" s="177">
        <f>CHOOSE(Basis!$E$1,((AJ458*(J458*3600/Basis!$E$5)^AK458*(((MID(C458,9,3)*10)-144)/1000)*AL458+AM458*(J458*3600/Basis!$E$5)^2)*0.0098)/Basis!$E$10,((AJ458*(J458/Basis!$E$5)^AK458*(((MID(C458,9,3)*10)-144)/1000)*AL458+AM458*(J458/Basis!$E$5)^2)*0.0098)/Basis!$E$10)</f>
        <v>8.2401581684387562E-2</v>
      </c>
      <c r="M458" s="85"/>
      <c r="N458" s="109">
        <v>1.361</v>
      </c>
      <c r="O458" s="68"/>
      <c r="P458" s="67">
        <v>4694</v>
      </c>
      <c r="Q458" s="68"/>
      <c r="R458" s="69"/>
      <c r="S458" s="69"/>
      <c r="T458" s="69"/>
      <c r="U458" s="69"/>
      <c r="V458" s="69"/>
      <c r="W458" s="68"/>
      <c r="X458" s="70"/>
      <c r="Y458" s="70"/>
      <c r="Z458" s="70"/>
      <c r="AA458" s="70"/>
      <c r="AB458" s="70"/>
      <c r="AC458" s="68"/>
      <c r="AD458" s="71"/>
      <c r="AE458" s="71"/>
      <c r="AF458" s="71"/>
      <c r="AG458" s="71"/>
      <c r="AH458" s="71"/>
      <c r="AI458" s="68"/>
      <c r="AJ458" s="214">
        <v>1.2760000000000001E-4</v>
      </c>
      <c r="AK458" s="214">
        <v>1.7219</v>
      </c>
      <c r="AL458" s="214">
        <v>2</v>
      </c>
      <c r="AM458" s="214">
        <v>3.76611E-4</v>
      </c>
      <c r="AN458" s="68"/>
      <c r="AO458" s="67"/>
      <c r="AP458" s="67"/>
      <c r="AQ458" s="67"/>
      <c r="AR458" s="67"/>
      <c r="AS458" s="67"/>
      <c r="AT458" s="68"/>
      <c r="AU458" s="49"/>
      <c r="AV458" s="50"/>
    </row>
    <row r="459" spans="1:48" ht="12.75" customHeight="1" x14ac:dyDescent="0.25">
      <c r="A459" s="72" t="s">
        <v>23</v>
      </c>
      <c r="B459" s="43" t="s">
        <v>159</v>
      </c>
      <c r="C459" s="44" t="s">
        <v>609</v>
      </c>
      <c r="D459" s="45">
        <f>MROUND(MID($C459,6,3)/Basis!$E$3,0.5)</f>
        <v>23.5</v>
      </c>
      <c r="E459" s="45">
        <f>MROUND(MID($C459,9,3)/Basis!$E$3,0.5)</f>
        <v>71</v>
      </c>
      <c r="F459" s="124" t="s">
        <v>2948</v>
      </c>
      <c r="G459" s="45">
        <f>ROUND((ROUNDDOWN($F459/5,0)*5+1.8)/Basis!$E$3,1)</f>
        <v>8.6</v>
      </c>
      <c r="H459" s="120">
        <f>ROUND($P459*Basis!$E$2*((TaH-TrH)/LN(1/µ)/Basis!$E$7)^$N459*$AA$4*Glycol,0)</f>
        <v>10815</v>
      </c>
      <c r="I459" s="83">
        <f>ROUND(H459/(MID($C459,9,3)/Basis!$E$3/Basis!$E$9)*Basis!$E$11,0)</f>
        <v>1831</v>
      </c>
      <c r="J459" s="123">
        <f>IF(Basis!$E$1=1,ROUND(H459/((TaH-TrH)*1.163)/3600,3),ROUND(H459/(500*(TaH-TrH)),2))</f>
        <v>1.08</v>
      </c>
      <c r="K459" s="84"/>
      <c r="L459" s="177">
        <f>CHOOSE(Basis!$E$1,((AJ459*(J459*3600/Basis!$E$5)^AK459*(((MID(C459,9,3)*10)-144)/1000)*AL459+AM459*(J459*3600/Basis!$E$5)^2)*0.0098)/Basis!$E$10,((AJ459*(J459/Basis!$E$5)^AK459*(((MID(C459,9,3)*10)-144)/1000)*AL459+AM459*(J459/Basis!$E$5)^2)*0.0098)/Basis!$E$10)</f>
        <v>0.13716101184655763</v>
      </c>
      <c r="M459" s="85"/>
      <c r="N459" s="110">
        <v>1.4930000000000001</v>
      </c>
      <c r="O459" s="74"/>
      <c r="P459" s="73">
        <v>5188</v>
      </c>
      <c r="Q459" s="74"/>
      <c r="R459" s="75"/>
      <c r="S459" s="75"/>
      <c r="T459" s="75"/>
      <c r="U459" s="75"/>
      <c r="V459" s="75"/>
      <c r="W459" s="74"/>
      <c r="X459" s="76"/>
      <c r="Y459" s="76"/>
      <c r="Z459" s="76"/>
      <c r="AA459" s="76"/>
      <c r="AB459" s="76"/>
      <c r="AC459" s="74"/>
      <c r="AD459" s="77"/>
      <c r="AE459" s="77"/>
      <c r="AF459" s="77"/>
      <c r="AG459" s="77"/>
      <c r="AH459" s="77"/>
      <c r="AI459" s="68"/>
      <c r="AJ459" s="213">
        <v>1.2760000000000001E-4</v>
      </c>
      <c r="AK459" s="213">
        <v>1.7219</v>
      </c>
      <c r="AL459" s="213">
        <v>4</v>
      </c>
      <c r="AM459" s="213">
        <v>5.1420100000000005E-4</v>
      </c>
      <c r="AN459" s="74"/>
      <c r="AO459" s="73"/>
      <c r="AP459" s="73"/>
      <c r="AQ459" s="73"/>
      <c r="AR459" s="73"/>
      <c r="AS459" s="73"/>
      <c r="AT459" s="74"/>
      <c r="AU459" s="47"/>
      <c r="AV459" s="48"/>
    </row>
    <row r="460" spans="1:48" ht="12.75" customHeight="1" x14ac:dyDescent="0.25">
      <c r="A460" s="72" t="s">
        <v>23</v>
      </c>
      <c r="B460" s="43" t="s">
        <v>159</v>
      </c>
      <c r="C460" s="44" t="s">
        <v>610</v>
      </c>
      <c r="D460" s="45">
        <f>MROUND(MID($C460,6,3)/Basis!$E$3,0.5)</f>
        <v>23.5</v>
      </c>
      <c r="E460" s="45">
        <f>MROUND(MID($C460,9,3)/Basis!$E$3,0.5)</f>
        <v>78.5</v>
      </c>
      <c r="F460" s="124" t="s">
        <v>2943</v>
      </c>
      <c r="G460" s="45">
        <f>ROUND((ROUNDDOWN($F460/5,0)*5+1.8)/Basis!$E$3,1)</f>
        <v>4.5999999999999996</v>
      </c>
      <c r="H460" s="120">
        <f>ROUND($P460*Basis!$E$2*((TaH-TrH)/LN(1/µ)/Basis!$E$7)^$N460*$AA$4*Glycol,0)</f>
        <v>5070</v>
      </c>
      <c r="I460" s="83">
        <f>ROUND(H460/(MID($C460,9,3)/Basis!$E$3/Basis!$E$9)*Basis!$E$11,0)</f>
        <v>773</v>
      </c>
      <c r="J460" s="123">
        <f>IF(Basis!$E$1=1,ROUND(H460/((TaH-TrH)*1.163)/3600,3),ROUND(H460/(500*(TaH-TrH)),2))</f>
        <v>0.51</v>
      </c>
      <c r="K460" s="84"/>
      <c r="L460" s="177">
        <f>CHOOSE(Basis!$E$1,((AJ460*(J460*3600/Basis!$E$5)^AK460*(((MID(C460,9,3)*10)-144)/1000)*AL460+AM460*(J460*3600/Basis!$E$5)^2)*0.0098)/Basis!$E$10,((AJ460*(J460/Basis!$E$5)^AK460*(((MID(C460,9,3)*10)-144)/1000)*AL460+AM460*(J460/Basis!$E$5)^2)*0.0098)/Basis!$E$10)</f>
        <v>3.4427629603879156E-2</v>
      </c>
      <c r="M460" s="85"/>
      <c r="N460" s="110">
        <v>1.3759999999999999</v>
      </c>
      <c r="O460" s="74"/>
      <c r="P460" s="73">
        <v>2340</v>
      </c>
      <c r="Q460" s="74"/>
      <c r="R460" s="75"/>
      <c r="S460" s="75"/>
      <c r="T460" s="75"/>
      <c r="U460" s="75"/>
      <c r="V460" s="75"/>
      <c r="W460" s="74"/>
      <c r="X460" s="76"/>
      <c r="Y460" s="76"/>
      <c r="Z460" s="76"/>
      <c r="AA460" s="76"/>
      <c r="AB460" s="76"/>
      <c r="AC460" s="74"/>
      <c r="AD460" s="77"/>
      <c r="AE460" s="77"/>
      <c r="AF460" s="77"/>
      <c r="AG460" s="77"/>
      <c r="AH460" s="77"/>
      <c r="AI460" s="68"/>
      <c r="AJ460" s="213">
        <v>3.9689999999999994E-4</v>
      </c>
      <c r="AK460" s="213">
        <v>1.7345999999999999</v>
      </c>
      <c r="AL460" s="213">
        <v>2</v>
      </c>
      <c r="AM460" s="213">
        <v>3.6734700000000002E-4</v>
      </c>
      <c r="AN460" s="74"/>
      <c r="AO460" s="73"/>
      <c r="AP460" s="73"/>
      <c r="AQ460" s="73"/>
      <c r="AR460" s="73"/>
      <c r="AS460" s="73"/>
      <c r="AT460" s="74"/>
      <c r="AU460" s="47"/>
      <c r="AV460" s="48"/>
    </row>
    <row r="461" spans="1:48" ht="12.75" customHeight="1" x14ac:dyDescent="0.25">
      <c r="A461" s="72" t="s">
        <v>23</v>
      </c>
      <c r="B461" s="43" t="s">
        <v>159</v>
      </c>
      <c r="C461" s="44" t="s">
        <v>611</v>
      </c>
      <c r="D461" s="45">
        <f>MROUND(MID($C461,6,3)/Basis!$E$3,0.5)</f>
        <v>23.5</v>
      </c>
      <c r="E461" s="45">
        <f>MROUND(MID($C461,9,3)/Basis!$E$3,0.5)</f>
        <v>78.5</v>
      </c>
      <c r="F461" s="124" t="s">
        <v>2946</v>
      </c>
      <c r="G461" s="45">
        <f>ROUND((ROUNDDOWN($F461/5,0)*5+1.8)/Basis!$E$3,1)</f>
        <v>4.5999999999999996</v>
      </c>
      <c r="H461" s="120">
        <f>ROUND($P461*Basis!$E$2*((TaH-TrH)/LN(1/µ)/Basis!$E$7)^$N461*$AA$4*Glycol,0)</f>
        <v>6345</v>
      </c>
      <c r="I461" s="83">
        <f>ROUND(H461/(MID($C461,9,3)/Basis!$E$3/Basis!$E$9)*Basis!$E$11,0)</f>
        <v>967</v>
      </c>
      <c r="J461" s="123">
        <f>IF(Basis!$E$1=1,ROUND(H461/((TaH-TrH)*1.163)/3600,3),ROUND(H461/(500*(TaH-TrH)),2))</f>
        <v>0.63</v>
      </c>
      <c r="K461" s="84"/>
      <c r="L461" s="177">
        <f>CHOOSE(Basis!$E$1,((AJ461*(J461*3600/Basis!$E$5)^AK461*(((MID(C461,9,3)*10)-144)/1000)*AL461+AM461*(J461*3600/Basis!$E$5)^2)*0.0098)/Basis!$E$10,((AJ461*(J461/Basis!$E$5)^AK461*(((MID(C461,9,3)*10)-144)/1000)*AL461+AM461*(J461/Basis!$E$5)^2)*0.0098)/Basis!$E$10)</f>
        <v>9.1283506976796033E-2</v>
      </c>
      <c r="M461" s="85"/>
      <c r="N461" s="109">
        <v>1.4370000000000001</v>
      </c>
      <c r="O461" s="68"/>
      <c r="P461" s="67">
        <v>2988</v>
      </c>
      <c r="Q461" s="68"/>
      <c r="R461" s="69"/>
      <c r="S461" s="69"/>
      <c r="T461" s="69"/>
      <c r="U461" s="69"/>
      <c r="V461" s="69"/>
      <c r="W461" s="68"/>
      <c r="X461" s="70"/>
      <c r="Y461" s="70"/>
      <c r="Z461" s="70"/>
      <c r="AA461" s="70"/>
      <c r="AB461" s="70"/>
      <c r="AC461" s="68"/>
      <c r="AD461" s="71"/>
      <c r="AE461" s="71"/>
      <c r="AF461" s="71"/>
      <c r="AG461" s="71"/>
      <c r="AH461" s="71"/>
      <c r="AI461" s="68"/>
      <c r="AJ461" s="214">
        <v>3.9689999999999994E-4</v>
      </c>
      <c r="AK461" s="214">
        <v>1.7345999999999999</v>
      </c>
      <c r="AL461" s="214">
        <v>4</v>
      </c>
      <c r="AM461" s="214">
        <v>5.7428799999999995E-4</v>
      </c>
      <c r="AN461" s="68"/>
      <c r="AO461" s="67"/>
      <c r="AP461" s="67"/>
      <c r="AQ461" s="67"/>
      <c r="AR461" s="67"/>
      <c r="AS461" s="67"/>
      <c r="AT461" s="68"/>
      <c r="AU461" s="49"/>
      <c r="AV461" s="50"/>
    </row>
    <row r="462" spans="1:48" ht="12.75" customHeight="1" x14ac:dyDescent="0.25">
      <c r="A462" s="72" t="s">
        <v>23</v>
      </c>
      <c r="B462" s="43" t="s">
        <v>159</v>
      </c>
      <c r="C462" s="44" t="s">
        <v>612</v>
      </c>
      <c r="D462" s="45">
        <f>MROUND(MID($C462,6,3)/Basis!$E$3,0.5)</f>
        <v>23.5</v>
      </c>
      <c r="E462" s="45">
        <f>MROUND(MID($C462,9,3)/Basis!$E$3,0.5)</f>
        <v>78.5</v>
      </c>
      <c r="F462" s="124" t="s">
        <v>2944</v>
      </c>
      <c r="G462" s="45">
        <f>ROUND((ROUNDDOWN($F462/5,0)*5+1.8)/Basis!$E$3,1)</f>
        <v>6.6</v>
      </c>
      <c r="H462" s="120">
        <f>ROUND($P462*Basis!$E$2*((TaH-TrH)/LN(1/µ)/Basis!$E$7)^$N462*$AA$4*Glycol,0)</f>
        <v>8126</v>
      </c>
      <c r="I462" s="83">
        <f>ROUND(H462/(MID($C462,9,3)/Basis!$E$3/Basis!$E$9)*Basis!$E$11,0)</f>
        <v>1238</v>
      </c>
      <c r="J462" s="123">
        <f>IF(Basis!$E$1=1,ROUND(H462/((TaH-TrH)*1.163)/3600,3),ROUND(H462/(500*(TaH-TrH)),2))</f>
        <v>0.81</v>
      </c>
      <c r="K462" s="84"/>
      <c r="L462" s="177">
        <f>CHOOSE(Basis!$E$1,((AJ462*(J462*3600/Basis!$E$5)^AK462*(((MID(C462,9,3)*10)-144)/1000)*AL462+AM462*(J462*3600/Basis!$E$5)^2)*0.0098)/Basis!$E$10,((AJ462*(J462/Basis!$E$5)^AK462*(((MID(C462,9,3)*10)-144)/1000)*AL462+AM462*(J462/Basis!$E$5)^2)*0.0098)/Basis!$E$10)</f>
        <v>7.1395978919357964E-2</v>
      </c>
      <c r="M462" s="85"/>
      <c r="N462" s="109">
        <v>1.361</v>
      </c>
      <c r="O462" s="68"/>
      <c r="P462" s="67">
        <v>3732</v>
      </c>
      <c r="Q462" s="68"/>
      <c r="R462" s="69"/>
      <c r="S462" s="69"/>
      <c r="T462" s="69"/>
      <c r="U462" s="69"/>
      <c r="V462" s="69"/>
      <c r="W462" s="68"/>
      <c r="X462" s="70"/>
      <c r="Y462" s="70"/>
      <c r="Z462" s="70"/>
      <c r="AA462" s="70"/>
      <c r="AB462" s="70"/>
      <c r="AC462" s="68"/>
      <c r="AD462" s="71"/>
      <c r="AE462" s="71"/>
      <c r="AF462" s="71"/>
      <c r="AG462" s="71"/>
      <c r="AH462" s="71"/>
      <c r="AI462" s="68"/>
      <c r="AJ462" s="214">
        <v>2.0829999999999999E-4</v>
      </c>
      <c r="AK462" s="214">
        <v>1.724</v>
      </c>
      <c r="AL462" s="214">
        <v>2</v>
      </c>
      <c r="AM462" s="214">
        <v>4.6182900000000003E-4</v>
      </c>
      <c r="AN462" s="68"/>
      <c r="AO462" s="67"/>
      <c r="AP462" s="67"/>
      <c r="AQ462" s="67"/>
      <c r="AR462" s="67"/>
      <c r="AS462" s="67"/>
      <c r="AT462" s="68"/>
      <c r="AU462" s="49"/>
      <c r="AV462" s="50"/>
    </row>
    <row r="463" spans="1:48" ht="12.75" customHeight="1" x14ac:dyDescent="0.25">
      <c r="A463" s="72" t="s">
        <v>23</v>
      </c>
      <c r="B463" s="43" t="s">
        <v>159</v>
      </c>
      <c r="C463" s="44" t="s">
        <v>613</v>
      </c>
      <c r="D463" s="45">
        <f>MROUND(MID($C463,6,3)/Basis!$E$3,0.5)</f>
        <v>23.5</v>
      </c>
      <c r="E463" s="45">
        <f>MROUND(MID($C463,9,3)/Basis!$E$3,0.5)</f>
        <v>78.5</v>
      </c>
      <c r="F463" s="124" t="s">
        <v>2947</v>
      </c>
      <c r="G463" s="45">
        <f>ROUND((ROUNDDOWN($F463/5,0)*5+1.8)/Basis!$E$3,1)</f>
        <v>6.6</v>
      </c>
      <c r="H463" s="120">
        <f>ROUND($P463*Basis!$E$2*((TaH-TrH)/LN(1/µ)/Basis!$E$7)^$N463*$AA$4*Glycol,0)</f>
        <v>8761</v>
      </c>
      <c r="I463" s="83">
        <f>ROUND(H463/(MID($C463,9,3)/Basis!$E$3/Basis!$E$9)*Basis!$E$11,0)</f>
        <v>1335</v>
      </c>
      <c r="J463" s="123">
        <f>IF(Basis!$E$1=1,ROUND(H463/((TaH-TrH)*1.163)/3600,3),ROUND(H463/(500*(TaH-TrH)),2))</f>
        <v>0.88</v>
      </c>
      <c r="K463" s="84"/>
      <c r="L463" s="177">
        <f>CHOOSE(Basis!$E$1,((AJ463*(J463*3600/Basis!$E$5)^AK463*(((MID(C463,9,3)*10)-144)/1000)*AL463+AM463*(J463*3600/Basis!$E$5)^2)*0.0098)/Basis!$E$10,((AJ463*(J463/Basis!$E$5)^AK463*(((MID(C463,9,3)*10)-144)/1000)*AL463+AM463*(J463/Basis!$E$5)^2)*0.0098)/Basis!$E$10)</f>
        <v>0.22873319017027122</v>
      </c>
      <c r="M463" s="85"/>
      <c r="N463" s="110">
        <v>1.468</v>
      </c>
      <c r="O463" s="74"/>
      <c r="P463" s="73">
        <v>4168</v>
      </c>
      <c r="Q463" s="74"/>
      <c r="R463" s="75"/>
      <c r="S463" s="75"/>
      <c r="T463" s="75"/>
      <c r="U463" s="75"/>
      <c r="V463" s="75"/>
      <c r="W463" s="74"/>
      <c r="X463" s="76"/>
      <c r="Y463" s="76"/>
      <c r="Z463" s="76"/>
      <c r="AA463" s="76"/>
      <c r="AB463" s="76"/>
      <c r="AC463" s="74"/>
      <c r="AD463" s="77"/>
      <c r="AE463" s="77"/>
      <c r="AF463" s="77"/>
      <c r="AG463" s="77"/>
      <c r="AH463" s="77"/>
      <c r="AI463" s="68"/>
      <c r="AJ463" s="213">
        <v>2.0829999999999999E-4</v>
      </c>
      <c r="AK463" s="213">
        <v>1.724</v>
      </c>
      <c r="AL463" s="213">
        <v>4</v>
      </c>
      <c r="AM463" s="213">
        <v>1.392796E-3</v>
      </c>
      <c r="AN463" s="74"/>
      <c r="AO463" s="73"/>
      <c r="AP463" s="73"/>
      <c r="AQ463" s="73"/>
      <c r="AR463" s="73"/>
      <c r="AS463" s="73"/>
      <c r="AT463" s="74"/>
      <c r="AU463" s="47"/>
      <c r="AV463" s="48"/>
    </row>
    <row r="464" spans="1:48" ht="12.75" customHeight="1" x14ac:dyDescent="0.25">
      <c r="A464" s="72" t="s">
        <v>23</v>
      </c>
      <c r="B464" s="43" t="s">
        <v>159</v>
      </c>
      <c r="C464" s="44" t="s">
        <v>614</v>
      </c>
      <c r="D464" s="45">
        <f>MROUND(MID($C464,6,3)/Basis!$E$3,0.5)</f>
        <v>23.5</v>
      </c>
      <c r="E464" s="45">
        <f>MROUND(MID($C464,9,3)/Basis!$E$3,0.5)</f>
        <v>78.5</v>
      </c>
      <c r="F464" s="124" t="s">
        <v>2945</v>
      </c>
      <c r="G464" s="45">
        <f>ROUND((ROUNDDOWN($F464/5,0)*5+1.8)/Basis!$E$3,1)</f>
        <v>8.6</v>
      </c>
      <c r="H464" s="120">
        <f>ROUND($P464*Basis!$E$2*((TaH-TrH)/LN(1/µ)/Basis!$E$7)^$N464*$AA$4*Glycol,0)</f>
        <v>11357</v>
      </c>
      <c r="I464" s="83">
        <f>ROUND(H464/(MID($C464,9,3)/Basis!$E$3/Basis!$E$9)*Basis!$E$11,0)</f>
        <v>1731</v>
      </c>
      <c r="J464" s="123">
        <f>IF(Basis!$E$1=1,ROUND(H464/((TaH-TrH)*1.163)/3600,3),ROUND(H464/(500*(TaH-TrH)),2))</f>
        <v>1.1399999999999999</v>
      </c>
      <c r="K464" s="84"/>
      <c r="L464" s="177">
        <f>CHOOSE(Basis!$E$1,((AJ464*(J464*3600/Basis!$E$5)^AK464*(((MID(C464,9,3)*10)-144)/1000)*AL464+AM464*(J464*3600/Basis!$E$5)^2)*0.0098)/Basis!$E$10,((AJ464*(J464/Basis!$E$5)^AK464*(((MID(C464,9,3)*10)-144)/1000)*AL464+AM464*(J464/Basis!$E$5)^2)*0.0098)/Basis!$E$10)</f>
        <v>0.10469600999017883</v>
      </c>
      <c r="M464" s="85"/>
      <c r="N464" s="110">
        <v>1.361</v>
      </c>
      <c r="O464" s="74"/>
      <c r="P464" s="73">
        <v>5216</v>
      </c>
      <c r="Q464" s="74"/>
      <c r="R464" s="75"/>
      <c r="S464" s="75"/>
      <c r="T464" s="75"/>
      <c r="U464" s="75"/>
      <c r="V464" s="75"/>
      <c r="W464" s="74"/>
      <c r="X464" s="76"/>
      <c r="Y464" s="76"/>
      <c r="Z464" s="76"/>
      <c r="AA464" s="76"/>
      <c r="AB464" s="76"/>
      <c r="AC464" s="74"/>
      <c r="AD464" s="77"/>
      <c r="AE464" s="77"/>
      <c r="AF464" s="77"/>
      <c r="AG464" s="77"/>
      <c r="AH464" s="77"/>
      <c r="AI464" s="68"/>
      <c r="AJ464" s="213">
        <v>1.2760000000000001E-4</v>
      </c>
      <c r="AK464" s="213">
        <v>1.7219</v>
      </c>
      <c r="AL464" s="213">
        <v>2</v>
      </c>
      <c r="AM464" s="213">
        <v>3.76611E-4</v>
      </c>
      <c r="AN464" s="74"/>
      <c r="AO464" s="73"/>
      <c r="AP464" s="73"/>
      <c r="AQ464" s="73"/>
      <c r="AR464" s="73"/>
      <c r="AS464" s="73"/>
      <c r="AT464" s="74"/>
      <c r="AU464" s="47"/>
      <c r="AV464" s="48"/>
    </row>
    <row r="465" spans="1:48" ht="12.75" customHeight="1" x14ac:dyDescent="0.25">
      <c r="A465" s="72" t="s">
        <v>23</v>
      </c>
      <c r="B465" s="43" t="s">
        <v>159</v>
      </c>
      <c r="C465" s="44" t="s">
        <v>615</v>
      </c>
      <c r="D465" s="45">
        <f>MROUND(MID($C465,6,3)/Basis!$E$3,0.5)</f>
        <v>23.5</v>
      </c>
      <c r="E465" s="45">
        <f>MROUND(MID($C465,9,3)/Basis!$E$3,0.5)</f>
        <v>78.5</v>
      </c>
      <c r="F465" s="124" t="s">
        <v>2948</v>
      </c>
      <c r="G465" s="45">
        <f>ROUND((ROUNDDOWN($F465/5,0)*5+1.8)/Basis!$E$3,1)</f>
        <v>8.6</v>
      </c>
      <c r="H465" s="120">
        <f>ROUND($P465*Basis!$E$2*((TaH-TrH)/LN(1/µ)/Basis!$E$7)^$N465*$AA$4*Glycol,0)</f>
        <v>12016</v>
      </c>
      <c r="I465" s="83">
        <f>ROUND(H465/(MID($C465,9,3)/Basis!$E$3/Basis!$E$9)*Basis!$E$11,0)</f>
        <v>1831</v>
      </c>
      <c r="J465" s="123">
        <f>IF(Basis!$E$1=1,ROUND(H465/((TaH-TrH)*1.163)/3600,3),ROUND(H465/(500*(TaH-TrH)),2))</f>
        <v>1.2</v>
      </c>
      <c r="K465" s="84"/>
      <c r="L465" s="177">
        <f>CHOOSE(Basis!$E$1,((AJ465*(J465*3600/Basis!$E$5)^AK465*(((MID(C465,9,3)*10)-144)/1000)*AL465+AM465*(J465*3600/Basis!$E$5)^2)*0.0098)/Basis!$E$10,((AJ465*(J465/Basis!$E$5)^AK465*(((MID(C465,9,3)*10)-144)/1000)*AL465+AM465*(J465/Basis!$E$5)^2)*0.0098)/Basis!$E$10)</f>
        <v>0.17326377844747853</v>
      </c>
      <c r="M465" s="85"/>
      <c r="N465" s="109">
        <v>1.4930000000000001</v>
      </c>
      <c r="O465" s="68"/>
      <c r="P465" s="67">
        <v>5764</v>
      </c>
      <c r="Q465" s="68"/>
      <c r="R465" s="69"/>
      <c r="S465" s="69"/>
      <c r="T465" s="69"/>
      <c r="U465" s="69"/>
      <c r="V465" s="69"/>
      <c r="W465" s="68"/>
      <c r="X465" s="70"/>
      <c r="Y465" s="70"/>
      <c r="Z465" s="70"/>
      <c r="AA465" s="70"/>
      <c r="AB465" s="70"/>
      <c r="AC465" s="68"/>
      <c r="AD465" s="71"/>
      <c r="AE465" s="71"/>
      <c r="AF465" s="71"/>
      <c r="AG465" s="71"/>
      <c r="AH465" s="71"/>
      <c r="AI465" s="68"/>
      <c r="AJ465" s="214">
        <v>1.2760000000000001E-4</v>
      </c>
      <c r="AK465" s="214">
        <v>1.7219</v>
      </c>
      <c r="AL465" s="214">
        <v>4</v>
      </c>
      <c r="AM465" s="214">
        <v>5.1420100000000005E-4</v>
      </c>
      <c r="AN465" s="68"/>
      <c r="AO465" s="67"/>
      <c r="AP465" s="67"/>
      <c r="AQ465" s="67"/>
      <c r="AR465" s="67"/>
      <c r="AS465" s="67"/>
      <c r="AT465" s="68"/>
      <c r="AU465" s="49"/>
      <c r="AV465" s="50"/>
    </row>
    <row r="466" spans="1:48" ht="12.75" customHeight="1" x14ac:dyDescent="0.25">
      <c r="A466" s="72" t="s">
        <v>23</v>
      </c>
      <c r="B466" s="43" t="s">
        <v>159</v>
      </c>
      <c r="C466" s="44" t="s">
        <v>616</v>
      </c>
      <c r="D466" s="45">
        <f>MROUND(MID($C466,6,3)/Basis!$E$3,0.5)</f>
        <v>23.5</v>
      </c>
      <c r="E466" s="45">
        <f>MROUND(MID($C466,9,3)/Basis!$E$3,0.5)</f>
        <v>86.5</v>
      </c>
      <c r="F466" s="124" t="s">
        <v>2943</v>
      </c>
      <c r="G466" s="45">
        <f>ROUND((ROUNDDOWN($F466/5,0)*5+1.8)/Basis!$E$3,1)</f>
        <v>4.5999999999999996</v>
      </c>
      <c r="H466" s="120">
        <f>ROUND($P466*Basis!$E$2*((TaH-TrH)/LN(1/µ)/Basis!$E$7)^$N466*$AA$4*Glycol,0)</f>
        <v>5577</v>
      </c>
      <c r="I466" s="83">
        <f>ROUND(H466/(MID($C466,9,3)/Basis!$E$3/Basis!$E$9)*Basis!$E$11,0)</f>
        <v>773</v>
      </c>
      <c r="J466" s="123">
        <f>IF(Basis!$E$1=1,ROUND(H466/((TaH-TrH)*1.163)/3600,3),ROUND(H466/(500*(TaH-TrH)),2))</f>
        <v>0.56000000000000005</v>
      </c>
      <c r="K466" s="84"/>
      <c r="L466" s="177">
        <f>CHOOSE(Basis!$E$1,((AJ466*(J466*3600/Basis!$E$5)^AK466*(((MID(C466,9,3)*10)-144)/1000)*AL466+AM466*(J466*3600/Basis!$E$5)^2)*0.0098)/Basis!$E$10,((AJ466*(J466/Basis!$E$5)^AK466*(((MID(C466,9,3)*10)-144)/1000)*AL466+AM466*(J466/Basis!$E$5)^2)*0.0098)/Basis!$E$10)</f>
        <v>4.328857149697677E-2</v>
      </c>
      <c r="M466" s="85"/>
      <c r="N466" s="109">
        <v>1.3759999999999999</v>
      </c>
      <c r="O466" s="68"/>
      <c r="P466" s="67">
        <v>2574</v>
      </c>
      <c r="Q466" s="68"/>
      <c r="R466" s="69"/>
      <c r="S466" s="69"/>
      <c r="T466" s="69"/>
      <c r="U466" s="69"/>
      <c r="V466" s="69"/>
      <c r="W466" s="68"/>
      <c r="X466" s="70"/>
      <c r="Y466" s="70"/>
      <c r="Z466" s="70"/>
      <c r="AA466" s="70"/>
      <c r="AB466" s="70"/>
      <c r="AC466" s="68"/>
      <c r="AD466" s="71"/>
      <c r="AE466" s="71"/>
      <c r="AF466" s="71"/>
      <c r="AG466" s="71"/>
      <c r="AH466" s="71"/>
      <c r="AI466" s="68"/>
      <c r="AJ466" s="214">
        <v>3.9689999999999994E-4</v>
      </c>
      <c r="AK466" s="214">
        <v>1.7345999999999999</v>
      </c>
      <c r="AL466" s="214">
        <v>2</v>
      </c>
      <c r="AM466" s="214">
        <v>3.6734700000000002E-4</v>
      </c>
      <c r="AN466" s="68"/>
      <c r="AO466" s="67"/>
      <c r="AP466" s="67"/>
      <c r="AQ466" s="67"/>
      <c r="AR466" s="67"/>
      <c r="AS466" s="67"/>
      <c r="AT466" s="68"/>
      <c r="AU466" s="49"/>
      <c r="AV466" s="50"/>
    </row>
    <row r="467" spans="1:48" ht="12.75" customHeight="1" x14ac:dyDescent="0.25">
      <c r="A467" s="72" t="s">
        <v>23</v>
      </c>
      <c r="B467" s="43" t="s">
        <v>159</v>
      </c>
      <c r="C467" s="44" t="s">
        <v>617</v>
      </c>
      <c r="D467" s="45">
        <f>MROUND(MID($C467,6,3)/Basis!$E$3,0.5)</f>
        <v>23.5</v>
      </c>
      <c r="E467" s="45">
        <f>MROUND(MID($C467,9,3)/Basis!$E$3,0.5)</f>
        <v>86.5</v>
      </c>
      <c r="F467" s="124" t="s">
        <v>2946</v>
      </c>
      <c r="G467" s="45">
        <f>ROUND((ROUNDDOWN($F467/5,0)*5+1.8)/Basis!$E$3,1)</f>
        <v>4.5999999999999996</v>
      </c>
      <c r="H467" s="120">
        <f>ROUND($P467*Basis!$E$2*((TaH-TrH)/LN(1/µ)/Basis!$E$7)^$N467*$AA$4*Glycol,0)</f>
        <v>6980</v>
      </c>
      <c r="I467" s="83">
        <f>ROUND(H467/(MID($C467,9,3)/Basis!$E$3/Basis!$E$9)*Basis!$E$11,0)</f>
        <v>967</v>
      </c>
      <c r="J467" s="123">
        <f>IF(Basis!$E$1=1,ROUND(H467/((TaH-TrH)*1.163)/3600,3),ROUND(H467/(500*(TaH-TrH)),2))</f>
        <v>0.7</v>
      </c>
      <c r="K467" s="84"/>
      <c r="L467" s="177">
        <f>CHOOSE(Basis!$E$1,((AJ467*(J467*3600/Basis!$E$5)^AK467*(((MID(C467,9,3)*10)-144)/1000)*AL467+AM467*(J467*3600/Basis!$E$5)^2)*0.0098)/Basis!$E$10,((AJ467*(J467/Basis!$E$5)^AK467*(((MID(C467,9,3)*10)-144)/1000)*AL467+AM467*(J467/Basis!$E$5)^2)*0.0098)/Basis!$E$10)</f>
        <v>0.1177323480665252</v>
      </c>
      <c r="M467" s="85"/>
      <c r="N467" s="110">
        <v>1.4370000000000001</v>
      </c>
      <c r="O467" s="74"/>
      <c r="P467" s="73">
        <v>3287</v>
      </c>
      <c r="Q467" s="74"/>
      <c r="R467" s="75"/>
      <c r="S467" s="75"/>
      <c r="T467" s="75"/>
      <c r="U467" s="75"/>
      <c r="V467" s="75"/>
      <c r="W467" s="74"/>
      <c r="X467" s="76"/>
      <c r="Y467" s="76"/>
      <c r="Z467" s="76"/>
      <c r="AA467" s="76"/>
      <c r="AB467" s="76"/>
      <c r="AC467" s="74"/>
      <c r="AD467" s="77"/>
      <c r="AE467" s="77"/>
      <c r="AF467" s="77"/>
      <c r="AG467" s="77"/>
      <c r="AH467" s="77"/>
      <c r="AI467" s="68"/>
      <c r="AJ467" s="213">
        <v>3.9689999999999994E-4</v>
      </c>
      <c r="AK467" s="213">
        <v>1.7345999999999999</v>
      </c>
      <c r="AL467" s="213">
        <v>4</v>
      </c>
      <c r="AM467" s="213">
        <v>5.7428799999999995E-4</v>
      </c>
      <c r="AN467" s="74"/>
      <c r="AO467" s="73"/>
      <c r="AP467" s="73"/>
      <c r="AQ467" s="73"/>
      <c r="AR467" s="73"/>
      <c r="AS467" s="73"/>
      <c r="AT467" s="74"/>
      <c r="AU467" s="47"/>
      <c r="AV467" s="48"/>
    </row>
    <row r="468" spans="1:48" ht="12.75" customHeight="1" x14ac:dyDescent="0.25">
      <c r="A468" s="72" t="s">
        <v>23</v>
      </c>
      <c r="B468" s="43" t="s">
        <v>159</v>
      </c>
      <c r="C468" s="44" t="s">
        <v>618</v>
      </c>
      <c r="D468" s="45">
        <f>MROUND(MID($C468,6,3)/Basis!$E$3,0.5)</f>
        <v>23.5</v>
      </c>
      <c r="E468" s="45">
        <f>MROUND(MID($C468,9,3)/Basis!$E$3,0.5)</f>
        <v>86.5</v>
      </c>
      <c r="F468" s="124" t="s">
        <v>2944</v>
      </c>
      <c r="G468" s="45">
        <f>ROUND((ROUNDDOWN($F468/5,0)*5+1.8)/Basis!$E$3,1)</f>
        <v>6.6</v>
      </c>
      <c r="H468" s="120">
        <f>ROUND($P468*Basis!$E$2*((TaH-TrH)/LN(1/µ)/Basis!$E$7)^$N468*$AA$4*Glycol,0)</f>
        <v>8938</v>
      </c>
      <c r="I468" s="83">
        <f>ROUND(H468/(MID($C468,9,3)/Basis!$E$3/Basis!$E$9)*Basis!$E$11,0)</f>
        <v>1238</v>
      </c>
      <c r="J468" s="123">
        <f>IF(Basis!$E$1=1,ROUND(H468/((TaH-TrH)*1.163)/3600,3),ROUND(H468/(500*(TaH-TrH)),2))</f>
        <v>0.89</v>
      </c>
      <c r="K468" s="84"/>
      <c r="L468" s="177">
        <f>CHOOSE(Basis!$E$1,((AJ468*(J468*3600/Basis!$E$5)^AK468*(((MID(C468,9,3)*10)-144)/1000)*AL468+AM468*(J468*3600/Basis!$E$5)^2)*0.0098)/Basis!$E$10,((AJ468*(J468/Basis!$E$5)^AK468*(((MID(C468,9,3)*10)-144)/1000)*AL468+AM468*(J468/Basis!$E$5)^2)*0.0098)/Basis!$E$10)</f>
        <v>8.8138452604117137E-2</v>
      </c>
      <c r="M468" s="85"/>
      <c r="N468" s="110">
        <v>1.361</v>
      </c>
      <c r="O468" s="74"/>
      <c r="P468" s="73">
        <v>4105</v>
      </c>
      <c r="Q468" s="74"/>
      <c r="R468" s="75"/>
      <c r="S468" s="75"/>
      <c r="T468" s="75"/>
      <c r="U468" s="75"/>
      <c r="V468" s="75"/>
      <c r="W468" s="74"/>
      <c r="X468" s="76"/>
      <c r="Y468" s="76"/>
      <c r="Z468" s="76"/>
      <c r="AA468" s="76"/>
      <c r="AB468" s="76"/>
      <c r="AC468" s="74"/>
      <c r="AD468" s="77"/>
      <c r="AE468" s="77"/>
      <c r="AF468" s="77"/>
      <c r="AG468" s="77"/>
      <c r="AH468" s="77"/>
      <c r="AI468" s="68"/>
      <c r="AJ468" s="213">
        <v>2.0829999999999999E-4</v>
      </c>
      <c r="AK468" s="213">
        <v>1.724</v>
      </c>
      <c r="AL468" s="213">
        <v>2</v>
      </c>
      <c r="AM468" s="213">
        <v>4.6182900000000003E-4</v>
      </c>
      <c r="AN468" s="74"/>
      <c r="AO468" s="73"/>
      <c r="AP468" s="73"/>
      <c r="AQ468" s="73"/>
      <c r="AR468" s="73"/>
      <c r="AS468" s="73"/>
      <c r="AT468" s="74"/>
      <c r="AU468" s="47"/>
      <c r="AV468" s="48"/>
    </row>
    <row r="469" spans="1:48" ht="12.75" customHeight="1" x14ac:dyDescent="0.25">
      <c r="A469" s="72" t="s">
        <v>23</v>
      </c>
      <c r="B469" s="43" t="s">
        <v>159</v>
      </c>
      <c r="C469" s="44" t="s">
        <v>619</v>
      </c>
      <c r="D469" s="45">
        <f>MROUND(MID($C469,6,3)/Basis!$E$3,0.5)</f>
        <v>23.5</v>
      </c>
      <c r="E469" s="45">
        <f>MROUND(MID($C469,9,3)/Basis!$E$3,0.5)</f>
        <v>86.5</v>
      </c>
      <c r="F469" s="124" t="s">
        <v>2947</v>
      </c>
      <c r="G469" s="45">
        <f>ROUND((ROUNDDOWN($F469/5,0)*5+1.8)/Basis!$E$3,1)</f>
        <v>6.6</v>
      </c>
      <c r="H469" s="120">
        <f>ROUND($P469*Basis!$E$2*((TaH-TrH)/LN(1/µ)/Basis!$E$7)^$N469*$AA$4*Glycol,0)</f>
        <v>9637</v>
      </c>
      <c r="I469" s="83">
        <f>ROUND(H469/(MID($C469,9,3)/Basis!$E$3/Basis!$E$9)*Basis!$E$11,0)</f>
        <v>1335</v>
      </c>
      <c r="J469" s="123">
        <f>IF(Basis!$E$1=1,ROUND(H469/((TaH-TrH)*1.163)/3600,3),ROUND(H469/(500*(TaH-TrH)),2))</f>
        <v>0.96</v>
      </c>
      <c r="K469" s="84"/>
      <c r="L469" s="177">
        <f>CHOOSE(Basis!$E$1,((AJ469*(J469*3600/Basis!$E$5)^AK469*(((MID(C469,9,3)*10)-144)/1000)*AL469+AM469*(J469*3600/Basis!$E$5)^2)*0.0098)/Basis!$E$10,((AJ469*(J469/Basis!$E$5)^AK469*(((MID(C469,9,3)*10)-144)/1000)*AL469+AM469*(J469/Basis!$E$5)^2)*0.0098)/Basis!$E$10)</f>
        <v>0.27674994146355431</v>
      </c>
      <c r="M469" s="85"/>
      <c r="N469" s="109">
        <v>1.468</v>
      </c>
      <c r="O469" s="68"/>
      <c r="P469" s="67">
        <v>4585</v>
      </c>
      <c r="Q469" s="68"/>
      <c r="R469" s="69"/>
      <c r="S469" s="69"/>
      <c r="T469" s="69"/>
      <c r="U469" s="69"/>
      <c r="V469" s="69"/>
      <c r="W469" s="68"/>
      <c r="X469" s="70"/>
      <c r="Y469" s="70"/>
      <c r="Z469" s="70"/>
      <c r="AA469" s="70"/>
      <c r="AB469" s="70"/>
      <c r="AC469" s="68"/>
      <c r="AD469" s="71"/>
      <c r="AE469" s="71"/>
      <c r="AF469" s="71"/>
      <c r="AG469" s="71"/>
      <c r="AH469" s="71"/>
      <c r="AI469" s="68"/>
      <c r="AJ469" s="214">
        <v>2.0829999999999999E-4</v>
      </c>
      <c r="AK469" s="214">
        <v>1.724</v>
      </c>
      <c r="AL469" s="214">
        <v>4</v>
      </c>
      <c r="AM469" s="214">
        <v>1.392796E-3</v>
      </c>
      <c r="AN469" s="68"/>
      <c r="AO469" s="67"/>
      <c r="AP469" s="67"/>
      <c r="AQ469" s="67"/>
      <c r="AR469" s="67"/>
      <c r="AS469" s="67"/>
      <c r="AT469" s="68"/>
      <c r="AU469" s="49"/>
      <c r="AV469" s="50"/>
    </row>
    <row r="470" spans="1:48" ht="12.75" customHeight="1" x14ac:dyDescent="0.25">
      <c r="A470" s="72" t="s">
        <v>23</v>
      </c>
      <c r="B470" s="43" t="s">
        <v>159</v>
      </c>
      <c r="C470" s="44" t="s">
        <v>620</v>
      </c>
      <c r="D470" s="45">
        <f>MROUND(MID($C470,6,3)/Basis!$E$3,0.5)</f>
        <v>23.5</v>
      </c>
      <c r="E470" s="45">
        <f>MROUND(MID($C470,9,3)/Basis!$E$3,0.5)</f>
        <v>86.5</v>
      </c>
      <c r="F470" s="124" t="s">
        <v>2945</v>
      </c>
      <c r="G470" s="45">
        <f>ROUND((ROUNDDOWN($F470/5,0)*5+1.8)/Basis!$E$3,1)</f>
        <v>8.6</v>
      </c>
      <c r="H470" s="120">
        <f>ROUND($P470*Basis!$E$2*((TaH-TrH)/LN(1/µ)/Basis!$E$7)^$N470*$AA$4*Glycol,0)</f>
        <v>12494</v>
      </c>
      <c r="I470" s="83">
        <f>ROUND(H470/(MID($C470,9,3)/Basis!$E$3/Basis!$E$9)*Basis!$E$11,0)</f>
        <v>1731</v>
      </c>
      <c r="J470" s="123">
        <f>IF(Basis!$E$1=1,ROUND(H470/((TaH-TrH)*1.163)/3600,3),ROUND(H470/(500*(TaH-TrH)),2))</f>
        <v>1.25</v>
      </c>
      <c r="K470" s="84"/>
      <c r="L470" s="177">
        <f>CHOOSE(Basis!$E$1,((AJ470*(J470*3600/Basis!$E$5)^AK470*(((MID(C470,9,3)*10)-144)/1000)*AL470+AM470*(J470*3600/Basis!$E$5)^2)*0.0098)/Basis!$E$10,((AJ470*(J470/Basis!$E$5)^AK470*(((MID(C470,9,3)*10)-144)/1000)*AL470+AM470*(J470/Basis!$E$5)^2)*0.0098)/Basis!$E$10)</f>
        <v>0.12799804215894414</v>
      </c>
      <c r="M470" s="85"/>
      <c r="N470" s="109">
        <v>1.361</v>
      </c>
      <c r="O470" s="68"/>
      <c r="P470" s="67">
        <v>5738</v>
      </c>
      <c r="Q470" s="68"/>
      <c r="R470" s="69"/>
      <c r="S470" s="69"/>
      <c r="T470" s="69"/>
      <c r="U470" s="69"/>
      <c r="V470" s="69"/>
      <c r="W470" s="68"/>
      <c r="X470" s="70"/>
      <c r="Y470" s="70"/>
      <c r="Z470" s="70"/>
      <c r="AA470" s="70"/>
      <c r="AB470" s="70"/>
      <c r="AC470" s="68"/>
      <c r="AD470" s="71"/>
      <c r="AE470" s="71"/>
      <c r="AF470" s="71"/>
      <c r="AG470" s="71"/>
      <c r="AH470" s="71"/>
      <c r="AI470" s="68"/>
      <c r="AJ470" s="214">
        <v>1.2760000000000001E-4</v>
      </c>
      <c r="AK470" s="214">
        <v>1.7219</v>
      </c>
      <c r="AL470" s="214">
        <v>2</v>
      </c>
      <c r="AM470" s="214">
        <v>3.76611E-4</v>
      </c>
      <c r="AN470" s="68"/>
      <c r="AO470" s="67"/>
      <c r="AP470" s="67"/>
      <c r="AQ470" s="67"/>
      <c r="AR470" s="67"/>
      <c r="AS470" s="67"/>
      <c r="AT470" s="68"/>
      <c r="AU470" s="49"/>
      <c r="AV470" s="50"/>
    </row>
    <row r="471" spans="1:48" ht="12.75" customHeight="1" x14ac:dyDescent="0.25">
      <c r="A471" s="72" t="s">
        <v>23</v>
      </c>
      <c r="B471" s="43" t="s">
        <v>159</v>
      </c>
      <c r="C471" s="44" t="s">
        <v>621</v>
      </c>
      <c r="D471" s="45">
        <f>MROUND(MID($C471,6,3)/Basis!$E$3,0.5)</f>
        <v>23.5</v>
      </c>
      <c r="E471" s="45">
        <f>MROUND(MID($C471,9,3)/Basis!$E$3,0.5)</f>
        <v>86.5</v>
      </c>
      <c r="F471" s="124" t="s">
        <v>2948</v>
      </c>
      <c r="G471" s="45">
        <f>ROUND((ROUNDDOWN($F471/5,0)*5+1.8)/Basis!$E$3,1)</f>
        <v>8.6</v>
      </c>
      <c r="H471" s="120">
        <f>ROUND($P471*Basis!$E$2*((TaH-TrH)/LN(1/µ)/Basis!$E$7)^$N471*$AA$4*Glycol,0)</f>
        <v>13216</v>
      </c>
      <c r="I471" s="83">
        <f>ROUND(H471/(MID($C471,9,3)/Basis!$E$3/Basis!$E$9)*Basis!$E$11,0)</f>
        <v>1831</v>
      </c>
      <c r="J471" s="123">
        <f>IF(Basis!$E$1=1,ROUND(H471/((TaH-TrH)*1.163)/3600,3),ROUND(H471/(500*(TaH-TrH)),2))</f>
        <v>1.32</v>
      </c>
      <c r="K471" s="84"/>
      <c r="L471" s="177">
        <f>CHOOSE(Basis!$E$1,((AJ471*(J471*3600/Basis!$E$5)^AK471*(((MID(C471,9,3)*10)-144)/1000)*AL471+AM471*(J471*3600/Basis!$E$5)^2)*0.0098)/Basis!$E$10,((AJ471*(J471/Basis!$E$5)^AK471*(((MID(C471,9,3)*10)-144)/1000)*AL471+AM471*(J471/Basis!$E$5)^2)*0.0098)/Basis!$E$10)</f>
        <v>0.21426032562491512</v>
      </c>
      <c r="M471" s="85"/>
      <c r="N471" s="110">
        <v>1.4930000000000001</v>
      </c>
      <c r="O471" s="74"/>
      <c r="P471" s="73">
        <v>6340</v>
      </c>
      <c r="Q471" s="74"/>
      <c r="R471" s="75"/>
      <c r="S471" s="75"/>
      <c r="T471" s="75"/>
      <c r="U471" s="75"/>
      <c r="V471" s="75"/>
      <c r="W471" s="74"/>
      <c r="X471" s="76"/>
      <c r="Y471" s="76"/>
      <c r="Z471" s="76"/>
      <c r="AA471" s="76"/>
      <c r="AB471" s="76"/>
      <c r="AC471" s="74"/>
      <c r="AD471" s="77"/>
      <c r="AE471" s="77"/>
      <c r="AF471" s="77"/>
      <c r="AG471" s="77"/>
      <c r="AH471" s="77"/>
      <c r="AI471" s="68"/>
      <c r="AJ471" s="213">
        <v>1.2760000000000001E-4</v>
      </c>
      <c r="AK471" s="213">
        <v>1.7219</v>
      </c>
      <c r="AL471" s="213">
        <v>4</v>
      </c>
      <c r="AM471" s="213">
        <v>5.1420100000000005E-4</v>
      </c>
      <c r="AN471" s="74"/>
      <c r="AO471" s="73"/>
      <c r="AP471" s="73"/>
      <c r="AQ471" s="73"/>
      <c r="AR471" s="73"/>
      <c r="AS471" s="73"/>
      <c r="AT471" s="74"/>
      <c r="AU471" s="47"/>
      <c r="AV471" s="48"/>
    </row>
    <row r="472" spans="1:48" ht="12.75" customHeight="1" x14ac:dyDescent="0.25">
      <c r="A472" s="72" t="s">
        <v>23</v>
      </c>
      <c r="B472" s="43" t="s">
        <v>159</v>
      </c>
      <c r="C472" s="44" t="s">
        <v>622</v>
      </c>
      <c r="D472" s="45">
        <f>MROUND(MID($C472,6,3)/Basis!$E$3,0.5)</f>
        <v>23.5</v>
      </c>
      <c r="E472" s="45">
        <f>MROUND(MID($C472,9,3)/Basis!$E$3,0.5)</f>
        <v>94.5</v>
      </c>
      <c r="F472" s="124" t="s">
        <v>2943</v>
      </c>
      <c r="G472" s="45">
        <f>ROUND((ROUNDDOWN($F472/5,0)*5+1.8)/Basis!$E$3,1)</f>
        <v>4.5999999999999996</v>
      </c>
      <c r="H472" s="120">
        <f>ROUND($P472*Basis!$E$2*((TaH-TrH)/LN(1/µ)/Basis!$E$7)^$N472*$AA$4*Glycol,0)</f>
        <v>6084</v>
      </c>
      <c r="I472" s="83">
        <f>ROUND(H472/(MID($C472,9,3)/Basis!$E$3/Basis!$E$9)*Basis!$E$11,0)</f>
        <v>773</v>
      </c>
      <c r="J472" s="123">
        <f>IF(Basis!$E$1=1,ROUND(H472/((TaH-TrH)*1.163)/3600,3),ROUND(H472/(500*(TaH-TrH)),2))</f>
        <v>0.61</v>
      </c>
      <c r="K472" s="84"/>
      <c r="L472" s="177">
        <f>CHOOSE(Basis!$E$1,((AJ472*(J472*3600/Basis!$E$5)^AK472*(((MID(C472,9,3)*10)-144)/1000)*AL472+AM472*(J472*3600/Basis!$E$5)^2)*0.0098)/Basis!$E$10,((AJ472*(J472/Basis!$E$5)^AK472*(((MID(C472,9,3)*10)-144)/1000)*AL472+AM472*(J472/Basis!$E$5)^2)*0.0098)/Basis!$E$10)</f>
        <v>5.3420400438854661E-2</v>
      </c>
      <c r="M472" s="85"/>
      <c r="N472" s="110">
        <v>1.3759999999999999</v>
      </c>
      <c r="O472" s="74"/>
      <c r="P472" s="73">
        <v>2808</v>
      </c>
      <c r="Q472" s="74"/>
      <c r="R472" s="75"/>
      <c r="S472" s="75"/>
      <c r="T472" s="75"/>
      <c r="U472" s="75"/>
      <c r="V472" s="75"/>
      <c r="W472" s="74"/>
      <c r="X472" s="76"/>
      <c r="Y472" s="76"/>
      <c r="Z472" s="76"/>
      <c r="AA472" s="76"/>
      <c r="AB472" s="76"/>
      <c r="AC472" s="74"/>
      <c r="AD472" s="77"/>
      <c r="AE472" s="77"/>
      <c r="AF472" s="77"/>
      <c r="AG472" s="77"/>
      <c r="AH472" s="77"/>
      <c r="AI472" s="68"/>
      <c r="AJ472" s="213">
        <v>3.9689999999999994E-4</v>
      </c>
      <c r="AK472" s="213">
        <v>1.7345999999999999</v>
      </c>
      <c r="AL472" s="213">
        <v>2</v>
      </c>
      <c r="AM472" s="213">
        <v>3.6734700000000002E-4</v>
      </c>
      <c r="AN472" s="74"/>
      <c r="AO472" s="73"/>
      <c r="AP472" s="73"/>
      <c r="AQ472" s="73"/>
      <c r="AR472" s="73"/>
      <c r="AS472" s="73"/>
      <c r="AT472" s="74"/>
      <c r="AU472" s="47"/>
      <c r="AV472" s="48"/>
    </row>
    <row r="473" spans="1:48" ht="12.75" customHeight="1" x14ac:dyDescent="0.25">
      <c r="A473" s="72" t="s">
        <v>23</v>
      </c>
      <c r="B473" s="43" t="s">
        <v>159</v>
      </c>
      <c r="C473" s="44" t="s">
        <v>623</v>
      </c>
      <c r="D473" s="45">
        <f>MROUND(MID($C473,6,3)/Basis!$E$3,0.5)</f>
        <v>23.5</v>
      </c>
      <c r="E473" s="45">
        <f>MROUND(MID($C473,9,3)/Basis!$E$3,0.5)</f>
        <v>94.5</v>
      </c>
      <c r="F473" s="124" t="s">
        <v>2946</v>
      </c>
      <c r="G473" s="45">
        <f>ROUND((ROUNDDOWN($F473/5,0)*5+1.8)/Basis!$E$3,1)</f>
        <v>4.5999999999999996</v>
      </c>
      <c r="H473" s="120">
        <f>ROUND($P473*Basis!$E$2*((TaH-TrH)/LN(1/µ)/Basis!$E$7)^$N473*$AA$4*Glycol,0)</f>
        <v>7615</v>
      </c>
      <c r="I473" s="83">
        <f>ROUND(H473/(MID($C473,9,3)/Basis!$E$3/Basis!$E$9)*Basis!$E$11,0)</f>
        <v>967</v>
      </c>
      <c r="J473" s="123">
        <f>IF(Basis!$E$1=1,ROUND(H473/((TaH-TrH)*1.163)/3600,3),ROUND(H473/(500*(TaH-TrH)),2))</f>
        <v>0.76</v>
      </c>
      <c r="K473" s="84"/>
      <c r="L473" s="177">
        <f>CHOOSE(Basis!$E$1,((AJ473*(J473*3600/Basis!$E$5)^AK473*(((MID(C473,9,3)*10)-144)/1000)*AL473+AM473*(J473*3600/Basis!$E$5)^2)*0.0098)/Basis!$E$10,((AJ473*(J473/Basis!$E$5)^AK473*(((MID(C473,9,3)*10)-144)/1000)*AL473+AM473*(J473/Basis!$E$5)^2)*0.0098)/Basis!$E$10)</f>
        <v>0.14487523575904493</v>
      </c>
      <c r="M473" s="85"/>
      <c r="N473" s="109">
        <v>1.4370000000000001</v>
      </c>
      <c r="O473" s="68"/>
      <c r="P473" s="67">
        <v>3586</v>
      </c>
      <c r="Q473" s="68"/>
      <c r="R473" s="69"/>
      <c r="S473" s="69"/>
      <c r="T473" s="69"/>
      <c r="U473" s="69"/>
      <c r="V473" s="69"/>
      <c r="W473" s="68"/>
      <c r="X473" s="70"/>
      <c r="Y473" s="70"/>
      <c r="Z473" s="70"/>
      <c r="AA473" s="70"/>
      <c r="AB473" s="70"/>
      <c r="AC473" s="68"/>
      <c r="AD473" s="71"/>
      <c r="AE473" s="71"/>
      <c r="AF473" s="71"/>
      <c r="AG473" s="71"/>
      <c r="AH473" s="71"/>
      <c r="AI473" s="68"/>
      <c r="AJ473" s="214">
        <v>3.9689999999999994E-4</v>
      </c>
      <c r="AK473" s="214">
        <v>1.7345999999999999</v>
      </c>
      <c r="AL473" s="214">
        <v>4</v>
      </c>
      <c r="AM473" s="214">
        <v>5.7428799999999995E-4</v>
      </c>
      <c r="AN473" s="68"/>
      <c r="AO473" s="67"/>
      <c r="AP473" s="67"/>
      <c r="AQ473" s="67"/>
      <c r="AR473" s="67"/>
      <c r="AS473" s="67"/>
      <c r="AT473" s="68"/>
      <c r="AU473" s="49"/>
      <c r="AV473" s="50"/>
    </row>
    <row r="474" spans="1:48" ht="12.75" customHeight="1" x14ac:dyDescent="0.25">
      <c r="A474" s="72" t="s">
        <v>23</v>
      </c>
      <c r="B474" s="43" t="s">
        <v>159</v>
      </c>
      <c r="C474" s="44" t="s">
        <v>624</v>
      </c>
      <c r="D474" s="45">
        <f>MROUND(MID($C474,6,3)/Basis!$E$3,0.5)</f>
        <v>23.5</v>
      </c>
      <c r="E474" s="45">
        <f>MROUND(MID($C474,9,3)/Basis!$E$3,0.5)</f>
        <v>94.5</v>
      </c>
      <c r="F474" s="124" t="s">
        <v>2944</v>
      </c>
      <c r="G474" s="45">
        <f>ROUND((ROUNDDOWN($F474/5,0)*5+1.8)/Basis!$E$3,1)</f>
        <v>6.6</v>
      </c>
      <c r="H474" s="120">
        <f>ROUND($P474*Basis!$E$2*((TaH-TrH)/LN(1/µ)/Basis!$E$7)^$N474*$AA$4*Glycol,0)</f>
        <v>9751</v>
      </c>
      <c r="I474" s="83">
        <f>ROUND(H474/(MID($C474,9,3)/Basis!$E$3/Basis!$E$9)*Basis!$E$11,0)</f>
        <v>1238</v>
      </c>
      <c r="J474" s="123">
        <f>IF(Basis!$E$1=1,ROUND(H474/((TaH-TrH)*1.163)/3600,3),ROUND(H474/(500*(TaH-TrH)),2))</f>
        <v>0.98</v>
      </c>
      <c r="K474" s="84"/>
      <c r="L474" s="177">
        <f>CHOOSE(Basis!$E$1,((AJ474*(J474*3600/Basis!$E$5)^AK474*(((MID(C474,9,3)*10)-144)/1000)*AL474+AM474*(J474*3600/Basis!$E$5)^2)*0.0098)/Basis!$E$10,((AJ474*(J474/Basis!$E$5)^AK474*(((MID(C474,9,3)*10)-144)/1000)*AL474+AM474*(J474/Basis!$E$5)^2)*0.0098)/Basis!$E$10)</f>
        <v>0.10906075642365216</v>
      </c>
      <c r="M474" s="85"/>
      <c r="N474" s="109">
        <v>1.361</v>
      </c>
      <c r="O474" s="68"/>
      <c r="P474" s="67">
        <v>4478</v>
      </c>
      <c r="Q474" s="68"/>
      <c r="R474" s="69"/>
      <c r="S474" s="69"/>
      <c r="T474" s="69"/>
      <c r="U474" s="69"/>
      <c r="V474" s="69"/>
      <c r="W474" s="68"/>
      <c r="X474" s="70"/>
      <c r="Y474" s="70"/>
      <c r="Z474" s="70"/>
      <c r="AA474" s="70"/>
      <c r="AB474" s="70"/>
      <c r="AC474" s="68"/>
      <c r="AD474" s="71"/>
      <c r="AE474" s="71"/>
      <c r="AF474" s="71"/>
      <c r="AG474" s="71"/>
      <c r="AH474" s="71"/>
      <c r="AI474" s="68"/>
      <c r="AJ474" s="214">
        <v>2.0829999999999999E-4</v>
      </c>
      <c r="AK474" s="214">
        <v>1.724</v>
      </c>
      <c r="AL474" s="214">
        <v>2</v>
      </c>
      <c r="AM474" s="214">
        <v>4.6182900000000003E-4</v>
      </c>
      <c r="AN474" s="68"/>
      <c r="AO474" s="67"/>
      <c r="AP474" s="67"/>
      <c r="AQ474" s="67"/>
      <c r="AR474" s="67"/>
      <c r="AS474" s="67"/>
      <c r="AT474" s="68"/>
      <c r="AU474" s="49"/>
      <c r="AV474" s="50"/>
    </row>
    <row r="475" spans="1:48" ht="12.75" customHeight="1" x14ac:dyDescent="0.25">
      <c r="A475" s="72" t="s">
        <v>23</v>
      </c>
      <c r="B475" s="43" t="s">
        <v>159</v>
      </c>
      <c r="C475" s="44" t="s">
        <v>625</v>
      </c>
      <c r="D475" s="45">
        <f>MROUND(MID($C475,6,3)/Basis!$E$3,0.5)</f>
        <v>23.5</v>
      </c>
      <c r="E475" s="45">
        <f>MROUND(MID($C475,9,3)/Basis!$E$3,0.5)</f>
        <v>94.5</v>
      </c>
      <c r="F475" s="124" t="s">
        <v>2947</v>
      </c>
      <c r="G475" s="45">
        <f>ROUND((ROUNDDOWN($F475/5,0)*5+1.8)/Basis!$E$3,1)</f>
        <v>6.6</v>
      </c>
      <c r="H475" s="120">
        <f>ROUND($P475*Basis!$E$2*((TaH-TrH)/LN(1/µ)/Basis!$E$7)^$N475*$AA$4*Glycol,0)</f>
        <v>10514</v>
      </c>
      <c r="I475" s="83">
        <f>ROUND(H475/(MID($C475,9,3)/Basis!$E$3/Basis!$E$9)*Basis!$E$11,0)</f>
        <v>1335</v>
      </c>
      <c r="J475" s="123">
        <f>IF(Basis!$E$1=1,ROUND(H475/((TaH-TrH)*1.163)/3600,3),ROUND(H475/(500*(TaH-TrH)),2))</f>
        <v>1.05</v>
      </c>
      <c r="K475" s="84"/>
      <c r="L475" s="177">
        <f>CHOOSE(Basis!$E$1,((AJ475*(J475*3600/Basis!$E$5)^AK475*(((MID(C475,9,3)*10)-144)/1000)*AL475+AM475*(J475*3600/Basis!$E$5)^2)*0.0098)/Basis!$E$10,((AJ475*(J475/Basis!$E$5)^AK475*(((MID(C475,9,3)*10)-144)/1000)*AL475+AM475*(J475/Basis!$E$5)^2)*0.0098)/Basis!$E$10)</f>
        <v>0.3361517438653665</v>
      </c>
      <c r="M475" s="85"/>
      <c r="N475" s="110">
        <v>1.468</v>
      </c>
      <c r="O475" s="74"/>
      <c r="P475" s="73">
        <v>5002</v>
      </c>
      <c r="Q475" s="74"/>
      <c r="R475" s="75"/>
      <c r="S475" s="75"/>
      <c r="T475" s="75"/>
      <c r="U475" s="75"/>
      <c r="V475" s="75"/>
      <c r="W475" s="74"/>
      <c r="X475" s="76"/>
      <c r="Y475" s="76"/>
      <c r="Z475" s="76"/>
      <c r="AA475" s="76"/>
      <c r="AB475" s="76"/>
      <c r="AC475" s="74"/>
      <c r="AD475" s="77"/>
      <c r="AE475" s="77"/>
      <c r="AF475" s="77"/>
      <c r="AG475" s="77"/>
      <c r="AH475" s="77"/>
      <c r="AI475" s="68"/>
      <c r="AJ475" s="213">
        <v>2.0829999999999999E-4</v>
      </c>
      <c r="AK475" s="213">
        <v>1.724</v>
      </c>
      <c r="AL475" s="213">
        <v>4</v>
      </c>
      <c r="AM475" s="213">
        <v>1.392796E-3</v>
      </c>
      <c r="AN475" s="74"/>
      <c r="AO475" s="73"/>
      <c r="AP475" s="73"/>
      <c r="AQ475" s="73"/>
      <c r="AR475" s="73"/>
      <c r="AS475" s="73"/>
      <c r="AT475" s="74"/>
      <c r="AU475" s="47"/>
      <c r="AV475" s="48"/>
    </row>
    <row r="476" spans="1:48" ht="12.75" customHeight="1" x14ac:dyDescent="0.25">
      <c r="A476" s="72" t="s">
        <v>23</v>
      </c>
      <c r="B476" s="43" t="s">
        <v>159</v>
      </c>
      <c r="C476" s="44" t="s">
        <v>626</v>
      </c>
      <c r="D476" s="45">
        <f>MROUND(MID($C476,6,3)/Basis!$E$3,0.5)</f>
        <v>23.5</v>
      </c>
      <c r="E476" s="45">
        <f>MROUND(MID($C476,9,3)/Basis!$E$3,0.5)</f>
        <v>94.5</v>
      </c>
      <c r="F476" s="124" t="s">
        <v>2945</v>
      </c>
      <c r="G476" s="45">
        <f>ROUND((ROUNDDOWN($F476/5,0)*5+1.8)/Basis!$E$3,1)</f>
        <v>8.6</v>
      </c>
      <c r="H476" s="120">
        <f>ROUND($P476*Basis!$E$2*((TaH-TrH)/LN(1/µ)/Basis!$E$7)^$N476*$AA$4*Glycol,0)</f>
        <v>13629</v>
      </c>
      <c r="I476" s="83">
        <f>ROUND(H476/(MID($C476,9,3)/Basis!$E$3/Basis!$E$9)*Basis!$E$11,0)</f>
        <v>1731</v>
      </c>
      <c r="J476" s="123">
        <f>IF(Basis!$E$1=1,ROUND(H476/((TaH-TrH)*1.163)/3600,3),ROUND(H476/(500*(TaH-TrH)),2))</f>
        <v>1.36</v>
      </c>
      <c r="K476" s="84"/>
      <c r="L476" s="177">
        <f>CHOOSE(Basis!$E$1,((AJ476*(J476*3600/Basis!$E$5)^AK476*(((MID(C476,9,3)*10)-144)/1000)*AL476+AM476*(J476*3600/Basis!$E$5)^2)*0.0098)/Basis!$E$10,((AJ476*(J476/Basis!$E$5)^AK476*(((MID(C476,9,3)*10)-144)/1000)*AL476+AM476*(J476/Basis!$E$5)^2)*0.0098)/Basis!$E$10)</f>
        <v>0.15396121539814003</v>
      </c>
      <c r="M476" s="85"/>
      <c r="N476" s="110">
        <v>1.361</v>
      </c>
      <c r="O476" s="74"/>
      <c r="P476" s="73">
        <v>6259</v>
      </c>
      <c r="Q476" s="74"/>
      <c r="R476" s="75"/>
      <c r="S476" s="75"/>
      <c r="T476" s="75"/>
      <c r="U476" s="75"/>
      <c r="V476" s="75"/>
      <c r="W476" s="74"/>
      <c r="X476" s="76"/>
      <c r="Y476" s="76"/>
      <c r="Z476" s="76"/>
      <c r="AA476" s="76"/>
      <c r="AB476" s="76"/>
      <c r="AC476" s="74"/>
      <c r="AD476" s="77"/>
      <c r="AE476" s="77"/>
      <c r="AF476" s="77"/>
      <c r="AG476" s="77"/>
      <c r="AH476" s="77"/>
      <c r="AI476" s="68"/>
      <c r="AJ476" s="213">
        <v>1.2760000000000001E-4</v>
      </c>
      <c r="AK476" s="213">
        <v>1.7219</v>
      </c>
      <c r="AL476" s="213">
        <v>2</v>
      </c>
      <c r="AM476" s="213">
        <v>3.76611E-4</v>
      </c>
      <c r="AN476" s="74"/>
      <c r="AO476" s="73"/>
      <c r="AP476" s="73"/>
      <c r="AQ476" s="73"/>
      <c r="AR476" s="73"/>
      <c r="AS476" s="73"/>
      <c r="AT476" s="74"/>
      <c r="AU476" s="47"/>
      <c r="AV476" s="48"/>
    </row>
    <row r="477" spans="1:48" ht="12.75" customHeight="1" x14ac:dyDescent="0.25">
      <c r="A477" s="72" t="s">
        <v>23</v>
      </c>
      <c r="B477" s="43" t="s">
        <v>159</v>
      </c>
      <c r="C477" s="44" t="s">
        <v>627</v>
      </c>
      <c r="D477" s="45">
        <f>MROUND(MID($C477,6,3)/Basis!$E$3,0.5)</f>
        <v>23.5</v>
      </c>
      <c r="E477" s="45">
        <f>MROUND(MID($C477,9,3)/Basis!$E$3,0.5)</f>
        <v>94.5</v>
      </c>
      <c r="F477" s="124" t="s">
        <v>2948</v>
      </c>
      <c r="G477" s="45">
        <f>ROUND((ROUNDDOWN($F477/5,0)*5+1.8)/Basis!$E$3,1)</f>
        <v>8.6</v>
      </c>
      <c r="H477" s="120">
        <f>ROUND($P477*Basis!$E$2*((TaH-TrH)/LN(1/µ)/Basis!$E$7)^$N477*$AA$4*Glycol,0)</f>
        <v>14419</v>
      </c>
      <c r="I477" s="83">
        <f>ROUND(H477/(MID($C477,9,3)/Basis!$E$3/Basis!$E$9)*Basis!$E$11,0)</f>
        <v>1831</v>
      </c>
      <c r="J477" s="123">
        <f>IF(Basis!$E$1=1,ROUND(H477/((TaH-TrH)*1.163)/3600,3),ROUND(H477/(500*(TaH-TrH)),2))</f>
        <v>1.44</v>
      </c>
      <c r="K477" s="84"/>
      <c r="L477" s="177">
        <f>CHOOSE(Basis!$E$1,((AJ477*(J477*3600/Basis!$E$5)^AK477*(((MID(C477,9,3)*10)-144)/1000)*AL477+AM477*(J477*3600/Basis!$E$5)^2)*0.0098)/Basis!$E$10,((AJ477*(J477/Basis!$E$5)^AK477*(((MID(C477,9,3)*10)-144)/1000)*AL477+AM477*(J477/Basis!$E$5)^2)*0.0098)/Basis!$E$10)</f>
        <v>0.26032593170739976</v>
      </c>
      <c r="M477" s="85"/>
      <c r="N477" s="109">
        <v>1.4930000000000001</v>
      </c>
      <c r="O477" s="68"/>
      <c r="P477" s="67">
        <v>6917</v>
      </c>
      <c r="Q477" s="68"/>
      <c r="R477" s="69"/>
      <c r="S477" s="69"/>
      <c r="T477" s="69"/>
      <c r="U477" s="69"/>
      <c r="V477" s="69"/>
      <c r="W477" s="68"/>
      <c r="X477" s="70"/>
      <c r="Y477" s="70"/>
      <c r="Z477" s="70"/>
      <c r="AA477" s="70"/>
      <c r="AB477" s="70"/>
      <c r="AC477" s="68"/>
      <c r="AD477" s="71"/>
      <c r="AE477" s="71"/>
      <c r="AF477" s="71"/>
      <c r="AG477" s="71"/>
      <c r="AH477" s="71"/>
      <c r="AI477" s="68"/>
      <c r="AJ477" s="214">
        <v>1.2760000000000001E-4</v>
      </c>
      <c r="AK477" s="214">
        <v>1.7219</v>
      </c>
      <c r="AL477" s="214">
        <v>4</v>
      </c>
      <c r="AM477" s="214">
        <v>5.1420100000000005E-4</v>
      </c>
      <c r="AN477" s="68"/>
      <c r="AO477" s="67"/>
      <c r="AP477" s="67"/>
      <c r="AQ477" s="67"/>
      <c r="AR477" s="67"/>
      <c r="AS477" s="67"/>
      <c r="AT477" s="68"/>
      <c r="AU477" s="49"/>
      <c r="AV477" s="50"/>
    </row>
    <row r="478" spans="1:48" ht="12.75" customHeight="1" x14ac:dyDescent="0.25">
      <c r="A478" s="72" t="s">
        <v>23</v>
      </c>
      <c r="B478" s="43" t="s">
        <v>159</v>
      </c>
      <c r="C478" s="44" t="s">
        <v>628</v>
      </c>
      <c r="D478" s="45">
        <f>MROUND(MID($C478,6,3)/Basis!$E$3,0.5)</f>
        <v>23.5</v>
      </c>
      <c r="E478" s="45">
        <f>MROUND(MID($C478,9,3)/Basis!$E$3,0.5)</f>
        <v>102.5</v>
      </c>
      <c r="F478" s="124" t="s">
        <v>2943</v>
      </c>
      <c r="G478" s="45">
        <f>ROUND((ROUNDDOWN($F478/5,0)*5+1.8)/Basis!$E$3,1)</f>
        <v>4.5999999999999996</v>
      </c>
      <c r="H478" s="120">
        <f>ROUND($P478*Basis!$E$2*((TaH-TrH)/LN(1/µ)/Basis!$E$7)^$N478*$AA$4*Glycol,0)</f>
        <v>6591</v>
      </c>
      <c r="I478" s="83">
        <f>ROUND(H478/(MID($C478,9,3)/Basis!$E$3/Basis!$E$9)*Basis!$E$11,0)</f>
        <v>773</v>
      </c>
      <c r="J478" s="123">
        <f>IF(Basis!$E$1=1,ROUND(H478/((TaH-TrH)*1.163)/3600,3),ROUND(H478/(500*(TaH-TrH)),2))</f>
        <v>0.66</v>
      </c>
      <c r="K478" s="84"/>
      <c r="L478" s="177">
        <f>CHOOSE(Basis!$E$1,((AJ478*(J478*3600/Basis!$E$5)^AK478*(((MID(C478,9,3)*10)-144)/1000)*AL478+AM478*(J478*3600/Basis!$E$5)^2)*0.0098)/Basis!$E$10,((AJ478*(J478/Basis!$E$5)^AK478*(((MID(C478,9,3)*10)-144)/1000)*AL478+AM478*(J478/Basis!$E$5)^2)*0.0098)/Basis!$E$10)</f>
        <v>6.4887348777020251E-2</v>
      </c>
      <c r="M478" s="85"/>
      <c r="N478" s="109">
        <v>1.3759999999999999</v>
      </c>
      <c r="O478" s="68"/>
      <c r="P478" s="67">
        <v>3042</v>
      </c>
      <c r="Q478" s="68"/>
      <c r="R478" s="69"/>
      <c r="S478" s="69"/>
      <c r="T478" s="69"/>
      <c r="U478" s="69"/>
      <c r="V478" s="69"/>
      <c r="W478" s="68"/>
      <c r="X478" s="70"/>
      <c r="Y478" s="70"/>
      <c r="Z478" s="70"/>
      <c r="AA478" s="70"/>
      <c r="AB478" s="70"/>
      <c r="AC478" s="68"/>
      <c r="AD478" s="71"/>
      <c r="AE478" s="71"/>
      <c r="AF478" s="71"/>
      <c r="AG478" s="71"/>
      <c r="AH478" s="71"/>
      <c r="AI478" s="68"/>
      <c r="AJ478" s="214">
        <v>3.9689999999999994E-4</v>
      </c>
      <c r="AK478" s="214">
        <v>1.7345999999999999</v>
      </c>
      <c r="AL478" s="214">
        <v>2</v>
      </c>
      <c r="AM478" s="214">
        <v>3.6734700000000002E-4</v>
      </c>
      <c r="AN478" s="68"/>
      <c r="AO478" s="67"/>
      <c r="AP478" s="67"/>
      <c r="AQ478" s="67"/>
      <c r="AR478" s="67"/>
      <c r="AS478" s="67"/>
      <c r="AT478" s="68"/>
      <c r="AU478" s="49"/>
      <c r="AV478" s="50"/>
    </row>
    <row r="479" spans="1:48" ht="12.75" customHeight="1" x14ac:dyDescent="0.25">
      <c r="A479" s="72" t="s">
        <v>23</v>
      </c>
      <c r="B479" s="43" t="s">
        <v>159</v>
      </c>
      <c r="C479" s="44" t="s">
        <v>629</v>
      </c>
      <c r="D479" s="45">
        <f>MROUND(MID($C479,6,3)/Basis!$E$3,0.5)</f>
        <v>23.5</v>
      </c>
      <c r="E479" s="45">
        <f>MROUND(MID($C479,9,3)/Basis!$E$3,0.5)</f>
        <v>102.5</v>
      </c>
      <c r="F479" s="124" t="s">
        <v>2946</v>
      </c>
      <c r="G479" s="45">
        <f>ROUND((ROUNDDOWN($F479/5,0)*5+1.8)/Basis!$E$3,1)</f>
        <v>4.5999999999999996</v>
      </c>
      <c r="H479" s="120">
        <f>ROUND($P479*Basis!$E$2*((TaH-TrH)/LN(1/µ)/Basis!$E$7)^$N479*$AA$4*Glycol,0)</f>
        <v>8248</v>
      </c>
      <c r="I479" s="83">
        <f>ROUND(H479/(MID($C479,9,3)/Basis!$E$3/Basis!$E$9)*Basis!$E$11,0)</f>
        <v>967</v>
      </c>
      <c r="J479" s="123">
        <f>IF(Basis!$E$1=1,ROUND(H479/((TaH-TrH)*1.163)/3600,3),ROUND(H479/(500*(TaH-TrH)),2))</f>
        <v>0.82</v>
      </c>
      <c r="K479" s="84"/>
      <c r="L479" s="177">
        <f>CHOOSE(Basis!$E$1,((AJ479*(J479*3600/Basis!$E$5)^AK479*(((MID(C479,9,3)*10)-144)/1000)*AL479+AM479*(J479*3600/Basis!$E$5)^2)*0.0098)/Basis!$E$10,((AJ479*(J479/Basis!$E$5)^AK479*(((MID(C479,9,3)*10)-144)/1000)*AL479+AM479*(J479/Basis!$E$5)^2)*0.0098)/Basis!$E$10)</f>
        <v>0.17558064784468314</v>
      </c>
      <c r="M479" s="85"/>
      <c r="N479" s="110">
        <v>1.4370000000000001</v>
      </c>
      <c r="O479" s="74"/>
      <c r="P479" s="73">
        <v>3884</v>
      </c>
      <c r="Q479" s="74"/>
      <c r="R479" s="75"/>
      <c r="S479" s="75"/>
      <c r="T479" s="75"/>
      <c r="U479" s="75"/>
      <c r="V479" s="75"/>
      <c r="W479" s="74"/>
      <c r="X479" s="76"/>
      <c r="Y479" s="76"/>
      <c r="Z479" s="76"/>
      <c r="AA479" s="76"/>
      <c r="AB479" s="76"/>
      <c r="AC479" s="74"/>
      <c r="AD479" s="77"/>
      <c r="AE479" s="77"/>
      <c r="AF479" s="77"/>
      <c r="AG479" s="77"/>
      <c r="AH479" s="77"/>
      <c r="AI479" s="68"/>
      <c r="AJ479" s="213">
        <v>3.9689999999999994E-4</v>
      </c>
      <c r="AK479" s="213">
        <v>1.7345999999999999</v>
      </c>
      <c r="AL479" s="213">
        <v>4</v>
      </c>
      <c r="AM479" s="213">
        <v>5.7428799999999995E-4</v>
      </c>
      <c r="AN479" s="74"/>
      <c r="AO479" s="73"/>
      <c r="AP479" s="73"/>
      <c r="AQ479" s="73"/>
      <c r="AR479" s="73"/>
      <c r="AS479" s="73"/>
      <c r="AT479" s="74"/>
      <c r="AU479" s="47"/>
      <c r="AV479" s="48"/>
    </row>
    <row r="480" spans="1:48" ht="12.75" customHeight="1" x14ac:dyDescent="0.25">
      <c r="A480" s="72" t="s">
        <v>23</v>
      </c>
      <c r="B480" s="43" t="s">
        <v>159</v>
      </c>
      <c r="C480" s="44" t="s">
        <v>630</v>
      </c>
      <c r="D480" s="45">
        <f>MROUND(MID($C480,6,3)/Basis!$E$3,0.5)</f>
        <v>23.5</v>
      </c>
      <c r="E480" s="45">
        <f>MROUND(MID($C480,9,3)/Basis!$E$3,0.5)</f>
        <v>102.5</v>
      </c>
      <c r="F480" s="124" t="s">
        <v>2944</v>
      </c>
      <c r="G480" s="45">
        <f>ROUND((ROUNDDOWN($F480/5,0)*5+1.8)/Basis!$E$3,1)</f>
        <v>6.6</v>
      </c>
      <c r="H480" s="120">
        <f>ROUND($P480*Basis!$E$2*((TaH-TrH)/LN(1/µ)/Basis!$E$7)^$N480*$AA$4*Glycol,0)</f>
        <v>10565</v>
      </c>
      <c r="I480" s="83">
        <f>ROUND(H480/(MID($C480,9,3)/Basis!$E$3/Basis!$E$9)*Basis!$E$11,0)</f>
        <v>1239</v>
      </c>
      <c r="J480" s="123">
        <f>IF(Basis!$E$1=1,ROUND(H480/((TaH-TrH)*1.163)/3600,3),ROUND(H480/(500*(TaH-TrH)),2))</f>
        <v>1.06</v>
      </c>
      <c r="K480" s="84"/>
      <c r="L480" s="177">
        <f>CHOOSE(Basis!$E$1,((AJ480*(J480*3600/Basis!$E$5)^AK480*(((MID(C480,9,3)*10)-144)/1000)*AL480+AM480*(J480*3600/Basis!$E$5)^2)*0.0098)/Basis!$E$10,((AJ480*(J480/Basis!$E$5)^AK480*(((MID(C480,9,3)*10)-144)/1000)*AL480+AM480*(J480/Basis!$E$5)^2)*0.0098)/Basis!$E$10)</f>
        <v>0.13021095584196549</v>
      </c>
      <c r="M480" s="85"/>
      <c r="N480" s="110">
        <v>1.361</v>
      </c>
      <c r="O480" s="74"/>
      <c r="P480" s="73">
        <v>4852</v>
      </c>
      <c r="Q480" s="74"/>
      <c r="R480" s="75"/>
      <c r="S480" s="75"/>
      <c r="T480" s="75"/>
      <c r="U480" s="75"/>
      <c r="V480" s="75"/>
      <c r="W480" s="74"/>
      <c r="X480" s="76"/>
      <c r="Y480" s="76"/>
      <c r="Z480" s="76"/>
      <c r="AA480" s="76"/>
      <c r="AB480" s="76"/>
      <c r="AC480" s="74"/>
      <c r="AD480" s="77"/>
      <c r="AE480" s="77"/>
      <c r="AF480" s="77"/>
      <c r="AG480" s="77"/>
      <c r="AH480" s="77"/>
      <c r="AI480" s="68"/>
      <c r="AJ480" s="213">
        <v>2.0829999999999999E-4</v>
      </c>
      <c r="AK480" s="213">
        <v>1.724</v>
      </c>
      <c r="AL480" s="213">
        <v>2</v>
      </c>
      <c r="AM480" s="213">
        <v>4.6182900000000003E-4</v>
      </c>
      <c r="AN480" s="74"/>
      <c r="AO480" s="73"/>
      <c r="AP480" s="73"/>
      <c r="AQ480" s="73"/>
      <c r="AR480" s="73"/>
      <c r="AS480" s="73"/>
      <c r="AT480" s="74"/>
      <c r="AU480" s="47"/>
      <c r="AV480" s="48"/>
    </row>
    <row r="481" spans="1:48" ht="12.75" customHeight="1" x14ac:dyDescent="0.25">
      <c r="A481" s="72" t="s">
        <v>23</v>
      </c>
      <c r="B481" s="43" t="s">
        <v>159</v>
      </c>
      <c r="C481" s="44" t="s">
        <v>631</v>
      </c>
      <c r="D481" s="45">
        <f>MROUND(MID($C481,6,3)/Basis!$E$3,0.5)</f>
        <v>23.5</v>
      </c>
      <c r="E481" s="45">
        <f>MROUND(MID($C481,9,3)/Basis!$E$3,0.5)</f>
        <v>102.5</v>
      </c>
      <c r="F481" s="124" t="s">
        <v>2947</v>
      </c>
      <c r="G481" s="45">
        <f>ROUND((ROUNDDOWN($F481/5,0)*5+1.8)/Basis!$E$3,1)</f>
        <v>6.6</v>
      </c>
      <c r="H481" s="120">
        <f>ROUND($P481*Basis!$E$2*((TaH-TrH)/LN(1/µ)/Basis!$E$7)^$N481*$AA$4*Glycol,0)</f>
        <v>11388</v>
      </c>
      <c r="I481" s="83">
        <f>ROUND(H481/(MID($C481,9,3)/Basis!$E$3/Basis!$E$9)*Basis!$E$11,0)</f>
        <v>1335</v>
      </c>
      <c r="J481" s="123">
        <f>IF(Basis!$E$1=1,ROUND(H481/((TaH-TrH)*1.163)/3600,3),ROUND(H481/(500*(TaH-TrH)),2))</f>
        <v>1.1399999999999999</v>
      </c>
      <c r="K481" s="84"/>
      <c r="L481" s="177">
        <f>CHOOSE(Basis!$E$1,((AJ481*(J481*3600/Basis!$E$5)^AK481*(((MID(C481,9,3)*10)-144)/1000)*AL481+AM481*(J481*3600/Basis!$E$5)^2)*0.0098)/Basis!$E$10,((AJ481*(J481/Basis!$E$5)^AK481*(((MID(C481,9,3)*10)-144)/1000)*AL481+AM481*(J481/Basis!$E$5)^2)*0.0098)/Basis!$E$10)</f>
        <v>0.40208779032016867</v>
      </c>
      <c r="M481" s="85"/>
      <c r="N481" s="109">
        <v>1.468</v>
      </c>
      <c r="O481" s="68"/>
      <c r="P481" s="67">
        <v>5418</v>
      </c>
      <c r="Q481" s="68"/>
      <c r="R481" s="69"/>
      <c r="S481" s="69"/>
      <c r="T481" s="69"/>
      <c r="U481" s="69"/>
      <c r="V481" s="69"/>
      <c r="W481" s="68"/>
      <c r="X481" s="70"/>
      <c r="Y481" s="70"/>
      <c r="Z481" s="70"/>
      <c r="AA481" s="70"/>
      <c r="AB481" s="70"/>
      <c r="AC481" s="68"/>
      <c r="AD481" s="71"/>
      <c r="AE481" s="71"/>
      <c r="AF481" s="71"/>
      <c r="AG481" s="71"/>
      <c r="AH481" s="71"/>
      <c r="AI481" s="68"/>
      <c r="AJ481" s="214">
        <v>2.0829999999999999E-4</v>
      </c>
      <c r="AK481" s="214">
        <v>1.724</v>
      </c>
      <c r="AL481" s="214">
        <v>4</v>
      </c>
      <c r="AM481" s="214">
        <v>1.392796E-3</v>
      </c>
      <c r="AN481" s="68"/>
      <c r="AO481" s="67"/>
      <c r="AP481" s="67"/>
      <c r="AQ481" s="67"/>
      <c r="AR481" s="67"/>
      <c r="AS481" s="67"/>
      <c r="AT481" s="68"/>
      <c r="AU481" s="49"/>
      <c r="AV481" s="50"/>
    </row>
    <row r="482" spans="1:48" ht="12.75" customHeight="1" x14ac:dyDescent="0.25">
      <c r="A482" s="72" t="s">
        <v>23</v>
      </c>
      <c r="B482" s="43" t="s">
        <v>159</v>
      </c>
      <c r="C482" s="44" t="s">
        <v>632</v>
      </c>
      <c r="D482" s="45">
        <f>MROUND(MID($C482,6,3)/Basis!$E$3,0.5)</f>
        <v>23.5</v>
      </c>
      <c r="E482" s="45">
        <f>MROUND(MID($C482,9,3)/Basis!$E$3,0.5)</f>
        <v>102.5</v>
      </c>
      <c r="F482" s="124" t="s">
        <v>2945</v>
      </c>
      <c r="G482" s="45">
        <f>ROUND((ROUNDDOWN($F482/5,0)*5+1.8)/Basis!$E$3,1)</f>
        <v>8.6</v>
      </c>
      <c r="H482" s="120">
        <f>ROUND($P482*Basis!$E$2*((TaH-TrH)/LN(1/µ)/Basis!$E$7)^$N482*$AA$4*Glycol,0)</f>
        <v>14765</v>
      </c>
      <c r="I482" s="83">
        <f>ROUND(H482/(MID($C482,9,3)/Basis!$E$3/Basis!$E$9)*Basis!$E$11,0)</f>
        <v>1731</v>
      </c>
      <c r="J482" s="123">
        <f>IF(Basis!$E$1=1,ROUND(H482/((TaH-TrH)*1.163)/3600,3),ROUND(H482/(500*(TaH-TrH)),2))</f>
        <v>1.48</v>
      </c>
      <c r="K482" s="84"/>
      <c r="L482" s="177">
        <f>CHOOSE(Basis!$E$1,((AJ482*(J482*3600/Basis!$E$5)^AK482*(((MID(C482,9,3)*10)-144)/1000)*AL482+AM482*(J482*3600/Basis!$E$5)^2)*0.0098)/Basis!$E$10,((AJ482*(J482/Basis!$E$5)^AK482*(((MID(C482,9,3)*10)-144)/1000)*AL482+AM482*(J482/Basis!$E$5)^2)*0.0098)/Basis!$E$10)</f>
        <v>0.18506555236523806</v>
      </c>
      <c r="M482" s="85"/>
      <c r="N482" s="109">
        <v>1.361</v>
      </c>
      <c r="O482" s="68"/>
      <c r="P482" s="67">
        <v>6781</v>
      </c>
      <c r="Q482" s="68"/>
      <c r="R482" s="69"/>
      <c r="S482" s="69"/>
      <c r="T482" s="69"/>
      <c r="U482" s="69"/>
      <c r="V482" s="69"/>
      <c r="W482" s="68"/>
      <c r="X482" s="70"/>
      <c r="Y482" s="70"/>
      <c r="Z482" s="70"/>
      <c r="AA482" s="70"/>
      <c r="AB482" s="70"/>
      <c r="AC482" s="68"/>
      <c r="AD482" s="71"/>
      <c r="AE482" s="71"/>
      <c r="AF482" s="71"/>
      <c r="AG482" s="71"/>
      <c r="AH482" s="71"/>
      <c r="AI482" s="68"/>
      <c r="AJ482" s="214">
        <v>1.2760000000000001E-4</v>
      </c>
      <c r="AK482" s="214">
        <v>1.7219</v>
      </c>
      <c r="AL482" s="214">
        <v>2</v>
      </c>
      <c r="AM482" s="214">
        <v>3.76611E-4</v>
      </c>
      <c r="AN482" s="68"/>
      <c r="AO482" s="67"/>
      <c r="AP482" s="67"/>
      <c r="AQ482" s="67"/>
      <c r="AR482" s="67"/>
      <c r="AS482" s="67"/>
      <c r="AT482" s="68"/>
      <c r="AU482" s="49"/>
      <c r="AV482" s="50"/>
    </row>
    <row r="483" spans="1:48" ht="12.75" customHeight="1" x14ac:dyDescent="0.25">
      <c r="A483" s="72" t="s">
        <v>23</v>
      </c>
      <c r="B483" s="43" t="s">
        <v>159</v>
      </c>
      <c r="C483" s="44" t="s">
        <v>633</v>
      </c>
      <c r="D483" s="45">
        <f>MROUND(MID($C483,6,3)/Basis!$E$3,0.5)</f>
        <v>23.5</v>
      </c>
      <c r="E483" s="45">
        <f>MROUND(MID($C483,9,3)/Basis!$E$3,0.5)</f>
        <v>102.5</v>
      </c>
      <c r="F483" s="124" t="s">
        <v>2948</v>
      </c>
      <c r="G483" s="45">
        <f>ROUND((ROUNDDOWN($F483/5,0)*5+1.8)/Basis!$E$3,1)</f>
        <v>8.6</v>
      </c>
      <c r="H483" s="120">
        <f>ROUND($P483*Basis!$E$2*((TaH-TrH)/LN(1/µ)/Basis!$E$7)^$N483*$AA$4*Glycol,0)</f>
        <v>15620</v>
      </c>
      <c r="I483" s="83">
        <f>ROUND(H483/(MID($C483,9,3)/Basis!$E$3/Basis!$E$9)*Basis!$E$11,0)</f>
        <v>1831</v>
      </c>
      <c r="J483" s="123">
        <f>IF(Basis!$E$1=1,ROUND(H483/((TaH-TrH)*1.163)/3600,3),ROUND(H483/(500*(TaH-TrH)),2))</f>
        <v>1.56</v>
      </c>
      <c r="K483" s="84"/>
      <c r="L483" s="177">
        <f>CHOOSE(Basis!$E$1,((AJ483*(J483*3600/Basis!$E$5)^AK483*(((MID(C483,9,3)*10)-144)/1000)*AL483+AM483*(J483*3600/Basis!$E$5)^2)*0.0098)/Basis!$E$10,((AJ483*(J483/Basis!$E$5)^AK483*(((MID(C483,9,3)*10)-144)/1000)*AL483+AM483*(J483/Basis!$E$5)^2)*0.0098)/Basis!$E$10)</f>
        <v>0.31163138049276756</v>
      </c>
      <c r="M483" s="85"/>
      <c r="N483" s="110">
        <v>1.4930000000000001</v>
      </c>
      <c r="O483" s="74"/>
      <c r="P483" s="73">
        <v>7493</v>
      </c>
      <c r="Q483" s="74"/>
      <c r="R483" s="75"/>
      <c r="S483" s="75"/>
      <c r="T483" s="75"/>
      <c r="U483" s="75"/>
      <c r="V483" s="75"/>
      <c r="W483" s="74"/>
      <c r="X483" s="76"/>
      <c r="Y483" s="76"/>
      <c r="Z483" s="76"/>
      <c r="AA483" s="76"/>
      <c r="AB483" s="76"/>
      <c r="AC483" s="74"/>
      <c r="AD483" s="77"/>
      <c r="AE483" s="77"/>
      <c r="AF483" s="77"/>
      <c r="AG483" s="77"/>
      <c r="AH483" s="77"/>
      <c r="AI483" s="68"/>
      <c r="AJ483" s="213">
        <v>1.2760000000000001E-4</v>
      </c>
      <c r="AK483" s="213">
        <v>1.7219</v>
      </c>
      <c r="AL483" s="213">
        <v>4</v>
      </c>
      <c r="AM483" s="213">
        <v>5.1420100000000005E-4</v>
      </c>
      <c r="AN483" s="74"/>
      <c r="AO483" s="73"/>
      <c r="AP483" s="73"/>
      <c r="AQ483" s="73"/>
      <c r="AR483" s="73"/>
      <c r="AS483" s="73"/>
      <c r="AT483" s="74"/>
      <c r="AU483" s="47"/>
      <c r="AV483" s="48"/>
    </row>
    <row r="484" spans="1:48" ht="12.75" customHeight="1" x14ac:dyDescent="0.25">
      <c r="A484" s="72" t="s">
        <v>23</v>
      </c>
      <c r="B484" s="43" t="s">
        <v>159</v>
      </c>
      <c r="C484" s="44" t="s">
        <v>634</v>
      </c>
      <c r="D484" s="45">
        <f>MROUND(MID($C484,6,3)/Basis!$E$3,0.5)</f>
        <v>23.5</v>
      </c>
      <c r="E484" s="45">
        <f>MROUND(MID($C484,9,3)/Basis!$E$3,0.5)</f>
        <v>110</v>
      </c>
      <c r="F484" s="124" t="s">
        <v>2943</v>
      </c>
      <c r="G484" s="45">
        <f>ROUND((ROUNDDOWN($F484/5,0)*5+1.8)/Basis!$E$3,1)</f>
        <v>4.5999999999999996</v>
      </c>
      <c r="H484" s="120">
        <f>ROUND($P484*Basis!$E$2*((TaH-TrH)/LN(1/µ)/Basis!$E$7)^$N484*$AA$4*Glycol,0)</f>
        <v>7098</v>
      </c>
      <c r="I484" s="83">
        <f>ROUND(H484/(MID($C484,9,3)/Basis!$E$3/Basis!$E$9)*Basis!$E$11,0)</f>
        <v>773</v>
      </c>
      <c r="J484" s="123">
        <f>IF(Basis!$E$1=1,ROUND(H484/((TaH-TrH)*1.163)/3600,3),ROUND(H484/(500*(TaH-TrH)),2))</f>
        <v>0.71</v>
      </c>
      <c r="K484" s="84"/>
      <c r="L484" s="177">
        <f>CHOOSE(Basis!$E$1,((AJ484*(J484*3600/Basis!$E$5)^AK484*(((MID(C484,9,3)*10)-144)/1000)*AL484+AM484*(J484*3600/Basis!$E$5)^2)*0.0098)/Basis!$E$10,((AJ484*(J484/Basis!$E$5)^AK484*(((MID(C484,9,3)*10)-144)/1000)*AL484+AM484*(J484/Basis!$E$5)^2)*0.0098)/Basis!$E$10)</f>
        <v>7.7752225214239162E-2</v>
      </c>
      <c r="M484" s="85"/>
      <c r="N484" s="110">
        <v>1.3759999999999999</v>
      </c>
      <c r="O484" s="74"/>
      <c r="P484" s="73">
        <v>3276</v>
      </c>
      <c r="Q484" s="74"/>
      <c r="R484" s="75"/>
      <c r="S484" s="75"/>
      <c r="T484" s="75"/>
      <c r="U484" s="75"/>
      <c r="V484" s="75"/>
      <c r="W484" s="74"/>
      <c r="X484" s="76"/>
      <c r="Y484" s="76"/>
      <c r="Z484" s="76"/>
      <c r="AA484" s="76"/>
      <c r="AB484" s="76"/>
      <c r="AC484" s="74"/>
      <c r="AD484" s="77"/>
      <c r="AE484" s="77"/>
      <c r="AF484" s="77"/>
      <c r="AG484" s="77"/>
      <c r="AH484" s="77"/>
      <c r="AI484" s="68"/>
      <c r="AJ484" s="213">
        <v>3.9689999999999994E-4</v>
      </c>
      <c r="AK484" s="213">
        <v>1.7345999999999999</v>
      </c>
      <c r="AL484" s="213">
        <v>2</v>
      </c>
      <c r="AM484" s="213">
        <v>3.6734700000000002E-4</v>
      </c>
      <c r="AN484" s="74"/>
      <c r="AO484" s="73"/>
      <c r="AP484" s="73"/>
      <c r="AQ484" s="73"/>
      <c r="AR484" s="73"/>
      <c r="AS484" s="73"/>
      <c r="AT484" s="74"/>
      <c r="AU484" s="47"/>
      <c r="AV484" s="48"/>
    </row>
    <row r="485" spans="1:48" ht="12.75" customHeight="1" x14ac:dyDescent="0.25">
      <c r="A485" s="72" t="s">
        <v>23</v>
      </c>
      <c r="B485" s="43" t="s">
        <v>159</v>
      </c>
      <c r="C485" s="44" t="s">
        <v>635</v>
      </c>
      <c r="D485" s="45">
        <f>MROUND(MID($C485,6,3)/Basis!$E$3,0.5)</f>
        <v>23.5</v>
      </c>
      <c r="E485" s="45">
        <f>MROUND(MID($C485,9,3)/Basis!$E$3,0.5)</f>
        <v>110</v>
      </c>
      <c r="F485" s="124" t="s">
        <v>2946</v>
      </c>
      <c r="G485" s="45">
        <f>ROUND((ROUNDDOWN($F485/5,0)*5+1.8)/Basis!$E$3,1)</f>
        <v>4.5999999999999996</v>
      </c>
      <c r="H485" s="120">
        <f>ROUND($P485*Basis!$E$2*((TaH-TrH)/LN(1/µ)/Basis!$E$7)^$N485*$AA$4*Glycol,0)</f>
        <v>8883</v>
      </c>
      <c r="I485" s="83">
        <f>ROUND(H485/(MID($C485,9,3)/Basis!$E$3/Basis!$E$9)*Basis!$E$11,0)</f>
        <v>967</v>
      </c>
      <c r="J485" s="123">
        <f>IF(Basis!$E$1=1,ROUND(H485/((TaH-TrH)*1.163)/3600,3),ROUND(H485/(500*(TaH-TrH)),2))</f>
        <v>0.89</v>
      </c>
      <c r="K485" s="84"/>
      <c r="L485" s="177">
        <f>CHOOSE(Basis!$E$1,((AJ485*(J485*3600/Basis!$E$5)^AK485*(((MID(C485,9,3)*10)-144)/1000)*AL485+AM485*(J485*3600/Basis!$E$5)^2)*0.0098)/Basis!$E$10,((AJ485*(J485/Basis!$E$5)^AK485*(((MID(C485,9,3)*10)-144)/1000)*AL485+AM485*(J485/Basis!$E$5)^2)*0.0098)/Basis!$E$10)</f>
        <v>0.21440661522589846</v>
      </c>
      <c r="M485" s="85"/>
      <c r="N485" s="109">
        <v>1.4370000000000001</v>
      </c>
      <c r="O485" s="68"/>
      <c r="P485" s="67">
        <v>4183</v>
      </c>
      <c r="Q485" s="68"/>
      <c r="R485" s="69"/>
      <c r="S485" s="69"/>
      <c r="T485" s="69"/>
      <c r="U485" s="69"/>
      <c r="V485" s="69"/>
      <c r="W485" s="68"/>
      <c r="X485" s="70"/>
      <c r="Y485" s="70"/>
      <c r="Z485" s="70"/>
      <c r="AA485" s="70"/>
      <c r="AB485" s="70"/>
      <c r="AC485" s="68"/>
      <c r="AD485" s="71"/>
      <c r="AE485" s="71"/>
      <c r="AF485" s="71"/>
      <c r="AG485" s="71"/>
      <c r="AH485" s="71"/>
      <c r="AI485" s="68"/>
      <c r="AJ485" s="214">
        <v>3.9689999999999994E-4</v>
      </c>
      <c r="AK485" s="214">
        <v>1.7345999999999999</v>
      </c>
      <c r="AL485" s="214">
        <v>4</v>
      </c>
      <c r="AM485" s="214">
        <v>5.7428799999999995E-4</v>
      </c>
      <c r="AN485" s="68"/>
      <c r="AO485" s="67"/>
      <c r="AP485" s="67"/>
      <c r="AQ485" s="67"/>
      <c r="AR485" s="67"/>
      <c r="AS485" s="67"/>
      <c r="AT485" s="68"/>
      <c r="AU485" s="49"/>
      <c r="AV485" s="50"/>
    </row>
    <row r="486" spans="1:48" ht="12.75" customHeight="1" x14ac:dyDescent="0.25">
      <c r="A486" s="72" t="s">
        <v>23</v>
      </c>
      <c r="B486" s="43" t="s">
        <v>159</v>
      </c>
      <c r="C486" s="44" t="s">
        <v>636</v>
      </c>
      <c r="D486" s="45">
        <f>MROUND(MID($C486,6,3)/Basis!$E$3,0.5)</f>
        <v>23.5</v>
      </c>
      <c r="E486" s="45">
        <f>MROUND(MID($C486,9,3)/Basis!$E$3,0.5)</f>
        <v>110</v>
      </c>
      <c r="F486" s="124" t="s">
        <v>2944</v>
      </c>
      <c r="G486" s="45">
        <f>ROUND((ROUNDDOWN($F486/5,0)*5+1.8)/Basis!$E$3,1)</f>
        <v>6.6</v>
      </c>
      <c r="H486" s="120">
        <f>ROUND($P486*Basis!$E$2*((TaH-TrH)/LN(1/µ)/Basis!$E$7)^$N486*$AA$4*Glycol,0)</f>
        <v>11377</v>
      </c>
      <c r="I486" s="83">
        <f>ROUND(H486/(MID($C486,9,3)/Basis!$E$3/Basis!$E$9)*Basis!$E$11,0)</f>
        <v>1238</v>
      </c>
      <c r="J486" s="123">
        <f>IF(Basis!$E$1=1,ROUND(H486/((TaH-TrH)*1.163)/3600,3),ROUND(H486/(500*(TaH-TrH)),2))</f>
        <v>1.1399999999999999</v>
      </c>
      <c r="K486" s="84"/>
      <c r="L486" s="177">
        <f>CHOOSE(Basis!$E$1,((AJ486*(J486*3600/Basis!$E$5)^AK486*(((MID(C486,9,3)*10)-144)/1000)*AL486+AM486*(J486*3600/Basis!$E$5)^2)*0.0098)/Basis!$E$10,((AJ486*(J486/Basis!$E$5)^AK486*(((MID(C486,9,3)*10)-144)/1000)*AL486+AM486*(J486/Basis!$E$5)^2)*0.0098)/Basis!$E$10)</f>
        <v>0.15356615997894596</v>
      </c>
      <c r="M486" s="85"/>
      <c r="N486" s="109">
        <v>1.361</v>
      </c>
      <c r="O486" s="68"/>
      <c r="P486" s="67">
        <v>5225</v>
      </c>
      <c r="Q486" s="68"/>
      <c r="R486" s="69"/>
      <c r="S486" s="69"/>
      <c r="T486" s="69"/>
      <c r="U486" s="69"/>
      <c r="V486" s="69"/>
      <c r="W486" s="68"/>
      <c r="X486" s="70"/>
      <c r="Y486" s="70"/>
      <c r="Z486" s="70"/>
      <c r="AA486" s="70"/>
      <c r="AB486" s="70"/>
      <c r="AC486" s="68"/>
      <c r="AD486" s="71"/>
      <c r="AE486" s="71"/>
      <c r="AF486" s="71"/>
      <c r="AG486" s="71"/>
      <c r="AH486" s="71"/>
      <c r="AI486" s="68"/>
      <c r="AJ486" s="214">
        <v>2.0829999999999999E-4</v>
      </c>
      <c r="AK486" s="214">
        <v>1.724</v>
      </c>
      <c r="AL486" s="214">
        <v>2</v>
      </c>
      <c r="AM486" s="214">
        <v>4.6182900000000003E-4</v>
      </c>
      <c r="AN486" s="68"/>
      <c r="AO486" s="67"/>
      <c r="AP486" s="67"/>
      <c r="AQ486" s="67"/>
      <c r="AR486" s="67"/>
      <c r="AS486" s="67"/>
      <c r="AT486" s="68"/>
      <c r="AU486" s="49"/>
      <c r="AV486" s="50"/>
    </row>
    <row r="487" spans="1:48" ht="12.75" customHeight="1" x14ac:dyDescent="0.25">
      <c r="A487" s="72" t="s">
        <v>23</v>
      </c>
      <c r="B487" s="43" t="s">
        <v>159</v>
      </c>
      <c r="C487" s="44" t="s">
        <v>637</v>
      </c>
      <c r="D487" s="45">
        <f>MROUND(MID($C487,6,3)/Basis!$E$3,0.5)</f>
        <v>23.5</v>
      </c>
      <c r="E487" s="45">
        <f>MROUND(MID($C487,9,3)/Basis!$E$3,0.5)</f>
        <v>110</v>
      </c>
      <c r="F487" s="124" t="s">
        <v>2947</v>
      </c>
      <c r="G487" s="45">
        <f>ROUND((ROUNDDOWN($F487/5,0)*5+1.8)/Basis!$E$3,1)</f>
        <v>6.6</v>
      </c>
      <c r="H487" s="120">
        <f>ROUND($P487*Basis!$E$2*((TaH-TrH)/LN(1/µ)/Basis!$E$7)^$N487*$AA$4*Glycol,0)</f>
        <v>12264</v>
      </c>
      <c r="I487" s="83">
        <f>ROUND(H487/(MID($C487,9,3)/Basis!$E$3/Basis!$E$9)*Basis!$E$11,0)</f>
        <v>1335</v>
      </c>
      <c r="J487" s="123">
        <f>IF(Basis!$E$1=1,ROUND(H487/((TaH-TrH)*1.163)/3600,3),ROUND(H487/(500*(TaH-TrH)),2))</f>
        <v>1.23</v>
      </c>
      <c r="K487" s="84"/>
      <c r="L487" s="177">
        <f>CHOOSE(Basis!$E$1,((AJ487*(J487*3600/Basis!$E$5)^AK487*(((MID(C487,9,3)*10)-144)/1000)*AL487+AM487*(J487*3600/Basis!$E$5)^2)*0.0098)/Basis!$E$10,((AJ487*(J487/Basis!$E$5)^AK487*(((MID(C487,9,3)*10)-144)/1000)*AL487+AM487*(J487/Basis!$E$5)^2)*0.0098)/Basis!$E$10)</f>
        <v>0.47472755761872781</v>
      </c>
      <c r="M487" s="85"/>
      <c r="N487" s="110">
        <v>1.468</v>
      </c>
      <c r="O487" s="74"/>
      <c r="P487" s="73">
        <v>5835</v>
      </c>
      <c r="Q487" s="74"/>
      <c r="R487" s="75"/>
      <c r="S487" s="75"/>
      <c r="T487" s="75"/>
      <c r="U487" s="75"/>
      <c r="V487" s="75"/>
      <c r="W487" s="74"/>
      <c r="X487" s="76"/>
      <c r="Y487" s="76"/>
      <c r="Z487" s="76"/>
      <c r="AA487" s="76"/>
      <c r="AB487" s="76"/>
      <c r="AC487" s="74"/>
      <c r="AD487" s="77"/>
      <c r="AE487" s="77"/>
      <c r="AF487" s="77"/>
      <c r="AG487" s="77"/>
      <c r="AH487" s="77"/>
      <c r="AI487" s="68"/>
      <c r="AJ487" s="213">
        <v>2.0829999999999999E-4</v>
      </c>
      <c r="AK487" s="213">
        <v>1.724</v>
      </c>
      <c r="AL487" s="213">
        <v>4</v>
      </c>
      <c r="AM487" s="213">
        <v>1.392796E-3</v>
      </c>
      <c r="AN487" s="74"/>
      <c r="AO487" s="73"/>
      <c r="AP487" s="73"/>
      <c r="AQ487" s="73"/>
      <c r="AR487" s="73"/>
      <c r="AS487" s="73"/>
      <c r="AT487" s="74"/>
      <c r="AU487" s="47"/>
      <c r="AV487" s="48"/>
    </row>
    <row r="488" spans="1:48" ht="12.75" customHeight="1" x14ac:dyDescent="0.25">
      <c r="A488" s="72" t="s">
        <v>23</v>
      </c>
      <c r="B488" s="43" t="s">
        <v>159</v>
      </c>
      <c r="C488" s="44" t="s">
        <v>638</v>
      </c>
      <c r="D488" s="45">
        <f>MROUND(MID($C488,6,3)/Basis!$E$3,0.5)</f>
        <v>23.5</v>
      </c>
      <c r="E488" s="45">
        <f>MROUND(MID($C488,9,3)/Basis!$E$3,0.5)</f>
        <v>110</v>
      </c>
      <c r="F488" s="124" t="s">
        <v>2945</v>
      </c>
      <c r="G488" s="45">
        <f>ROUND((ROUNDDOWN($F488/5,0)*5+1.8)/Basis!$E$3,1)</f>
        <v>8.6</v>
      </c>
      <c r="H488" s="120">
        <f>ROUND($P488*Basis!$E$2*((TaH-TrH)/LN(1/µ)/Basis!$E$7)^$N488*$AA$4*Glycol,0)</f>
        <v>15900</v>
      </c>
      <c r="I488" s="83">
        <f>ROUND(H488/(MID($C488,9,3)/Basis!$E$3/Basis!$E$9)*Basis!$E$11,0)</f>
        <v>1731</v>
      </c>
      <c r="J488" s="123">
        <f>IF(Basis!$E$1=1,ROUND(H488/((TaH-TrH)*1.163)/3600,3),ROUND(H488/(500*(TaH-TrH)),2))</f>
        <v>1.59</v>
      </c>
      <c r="K488" s="84"/>
      <c r="L488" s="177">
        <f>CHOOSE(Basis!$E$1,((AJ488*(J488*3600/Basis!$E$5)^AK488*(((MID(C488,9,3)*10)-144)/1000)*AL488+AM488*(J488*3600/Basis!$E$5)^2)*0.0098)/Basis!$E$10,((AJ488*(J488/Basis!$E$5)^AK488*(((MID(C488,9,3)*10)-144)/1000)*AL488+AM488*(J488/Basis!$E$5)^2)*0.0098)/Basis!$E$10)</f>
        <v>0.2167824657486995</v>
      </c>
      <c r="M488" s="85"/>
      <c r="N488" s="110">
        <v>1.361</v>
      </c>
      <c r="O488" s="74"/>
      <c r="P488" s="73">
        <v>7302</v>
      </c>
      <c r="Q488" s="74"/>
      <c r="R488" s="75"/>
      <c r="S488" s="75"/>
      <c r="T488" s="75"/>
      <c r="U488" s="75"/>
      <c r="V488" s="75"/>
      <c r="W488" s="74"/>
      <c r="X488" s="76"/>
      <c r="Y488" s="76"/>
      <c r="Z488" s="76"/>
      <c r="AA488" s="76"/>
      <c r="AB488" s="76"/>
      <c r="AC488" s="74"/>
      <c r="AD488" s="77"/>
      <c r="AE488" s="77"/>
      <c r="AF488" s="77"/>
      <c r="AG488" s="77"/>
      <c r="AH488" s="77"/>
      <c r="AI488" s="68"/>
      <c r="AJ488" s="213">
        <v>1.2760000000000001E-4</v>
      </c>
      <c r="AK488" s="213">
        <v>1.7219</v>
      </c>
      <c r="AL488" s="213">
        <v>2</v>
      </c>
      <c r="AM488" s="213">
        <v>3.76611E-4</v>
      </c>
      <c r="AN488" s="74"/>
      <c r="AO488" s="73"/>
      <c r="AP488" s="73"/>
      <c r="AQ488" s="73"/>
      <c r="AR488" s="73"/>
      <c r="AS488" s="73"/>
      <c r="AT488" s="74"/>
      <c r="AU488" s="47"/>
      <c r="AV488" s="48"/>
    </row>
    <row r="489" spans="1:48" ht="12.75" customHeight="1" x14ac:dyDescent="0.25">
      <c r="A489" s="72" t="s">
        <v>23</v>
      </c>
      <c r="B489" s="43" t="s">
        <v>159</v>
      </c>
      <c r="C489" s="44" t="s">
        <v>639</v>
      </c>
      <c r="D489" s="45">
        <f>MROUND(MID($C489,6,3)/Basis!$E$3,0.5)</f>
        <v>23.5</v>
      </c>
      <c r="E489" s="45">
        <f>MROUND(MID($C489,9,3)/Basis!$E$3,0.5)</f>
        <v>110</v>
      </c>
      <c r="F489" s="124" t="s">
        <v>2948</v>
      </c>
      <c r="G489" s="45">
        <f>ROUND((ROUNDDOWN($F489/5,0)*5+1.8)/Basis!$E$3,1)</f>
        <v>8.6</v>
      </c>
      <c r="H489" s="120">
        <f>ROUND($P489*Basis!$E$2*((TaH-TrH)/LN(1/µ)/Basis!$E$7)^$N489*$AA$4*Glycol,0)</f>
        <v>16823</v>
      </c>
      <c r="I489" s="83">
        <f>ROUND(H489/(MID($C489,9,3)/Basis!$E$3/Basis!$E$9)*Basis!$E$11,0)</f>
        <v>1831</v>
      </c>
      <c r="J489" s="123">
        <f>IF(Basis!$E$1=1,ROUND(H489/((TaH-TrH)*1.163)/3600,3),ROUND(H489/(500*(TaH-TrH)),2))</f>
        <v>1.68</v>
      </c>
      <c r="K489" s="84"/>
      <c r="L489" s="177">
        <f>CHOOSE(Basis!$E$1,((AJ489*(J489*3600/Basis!$E$5)^AK489*(((MID(C489,9,3)*10)-144)/1000)*AL489+AM489*(J489*3600/Basis!$E$5)^2)*0.0098)/Basis!$E$10,((AJ489*(J489/Basis!$E$5)^AK489*(((MID(C489,9,3)*10)-144)/1000)*AL489+AM489*(J489/Basis!$E$5)^2)*0.0098)/Basis!$E$10)</f>
        <v>0.36834344705903549</v>
      </c>
      <c r="M489" s="85"/>
      <c r="N489" s="109">
        <v>1.4930000000000001</v>
      </c>
      <c r="O489" s="68"/>
      <c r="P489" s="67">
        <v>8070</v>
      </c>
      <c r="Q489" s="68"/>
      <c r="R489" s="69"/>
      <c r="S489" s="69"/>
      <c r="T489" s="69"/>
      <c r="U489" s="69"/>
      <c r="V489" s="69"/>
      <c r="W489" s="68"/>
      <c r="X489" s="70"/>
      <c r="Y489" s="70"/>
      <c r="Z489" s="70"/>
      <c r="AA489" s="70"/>
      <c r="AB489" s="70"/>
      <c r="AC489" s="68"/>
      <c r="AD489" s="71"/>
      <c r="AE489" s="71"/>
      <c r="AF489" s="71"/>
      <c r="AG489" s="71"/>
      <c r="AH489" s="71"/>
      <c r="AI489" s="68"/>
      <c r="AJ489" s="214">
        <v>1.2760000000000001E-4</v>
      </c>
      <c r="AK489" s="214">
        <v>1.7219</v>
      </c>
      <c r="AL489" s="214">
        <v>4</v>
      </c>
      <c r="AM489" s="214">
        <v>5.1420100000000005E-4</v>
      </c>
      <c r="AN489" s="68"/>
      <c r="AO489" s="67"/>
      <c r="AP489" s="67"/>
      <c r="AQ489" s="67"/>
      <c r="AR489" s="67"/>
      <c r="AS489" s="67"/>
      <c r="AT489" s="68"/>
      <c r="AU489" s="49"/>
      <c r="AV489" s="50"/>
    </row>
    <row r="490" spans="1:48" ht="12.75" customHeight="1" x14ac:dyDescent="0.25">
      <c r="A490" s="72" t="s">
        <v>23</v>
      </c>
      <c r="B490" s="43" t="s">
        <v>159</v>
      </c>
      <c r="C490" s="44" t="s">
        <v>640</v>
      </c>
      <c r="D490" s="45">
        <f>MROUND(MID($C490,6,3)/Basis!$E$3,0.5)</f>
        <v>23.5</v>
      </c>
      <c r="E490" s="45">
        <f>MROUND(MID($C490,9,3)/Basis!$E$3,0.5)</f>
        <v>118</v>
      </c>
      <c r="F490" s="124" t="s">
        <v>2943</v>
      </c>
      <c r="G490" s="45">
        <f>ROUND((ROUNDDOWN($F490/5,0)*5+1.8)/Basis!$E$3,1)</f>
        <v>4.5999999999999996</v>
      </c>
      <c r="H490" s="120">
        <f>ROUND($P490*Basis!$E$2*((TaH-TrH)/LN(1/µ)/Basis!$E$7)^$N490*$AA$4*Glycol,0)</f>
        <v>7605</v>
      </c>
      <c r="I490" s="83">
        <f>ROUND(H490/(MID($C490,9,3)/Basis!$E$3/Basis!$E$9)*Basis!$E$11,0)</f>
        <v>773</v>
      </c>
      <c r="J490" s="123">
        <f>IF(Basis!$E$1=1,ROUND(H490/((TaH-TrH)*1.163)/3600,3),ROUND(H490/(500*(TaH-TrH)),2))</f>
        <v>0.76</v>
      </c>
      <c r="K490" s="84"/>
      <c r="L490" s="177">
        <f>CHOOSE(Basis!$E$1,((AJ490*(J490*3600/Basis!$E$5)^AK490*(((MID(C490,9,3)*10)-144)/1000)*AL490+AM490*(J490*3600/Basis!$E$5)^2)*0.0098)/Basis!$E$10,((AJ490*(J490/Basis!$E$5)^AK490*(((MID(C490,9,3)*10)-144)/1000)*AL490+AM490*(J490/Basis!$E$5)^2)*0.0098)/Basis!$E$10)</f>
        <v>9.2076553831510144E-2</v>
      </c>
      <c r="M490" s="85"/>
      <c r="N490" s="109">
        <v>1.3759999999999999</v>
      </c>
      <c r="O490" s="68"/>
      <c r="P490" s="67">
        <v>3510</v>
      </c>
      <c r="Q490" s="68"/>
      <c r="R490" s="69"/>
      <c r="S490" s="69"/>
      <c r="T490" s="69"/>
      <c r="U490" s="69"/>
      <c r="V490" s="69"/>
      <c r="W490" s="68"/>
      <c r="X490" s="70"/>
      <c r="Y490" s="70"/>
      <c r="Z490" s="70"/>
      <c r="AA490" s="70"/>
      <c r="AB490" s="70"/>
      <c r="AC490" s="68"/>
      <c r="AD490" s="71"/>
      <c r="AE490" s="71"/>
      <c r="AF490" s="71"/>
      <c r="AG490" s="71"/>
      <c r="AH490" s="71"/>
      <c r="AI490" s="68"/>
      <c r="AJ490" s="214">
        <v>3.9689999999999994E-4</v>
      </c>
      <c r="AK490" s="214">
        <v>1.7345999999999999</v>
      </c>
      <c r="AL490" s="214">
        <v>2</v>
      </c>
      <c r="AM490" s="214">
        <v>3.6734700000000002E-4</v>
      </c>
      <c r="AN490" s="68"/>
      <c r="AO490" s="67"/>
      <c r="AP490" s="67"/>
      <c r="AQ490" s="67"/>
      <c r="AR490" s="67"/>
      <c r="AS490" s="67"/>
      <c r="AT490" s="68"/>
      <c r="AU490" s="49"/>
      <c r="AV490" s="50"/>
    </row>
    <row r="491" spans="1:48" ht="12.75" customHeight="1" x14ac:dyDescent="0.25">
      <c r="A491" s="72" t="s">
        <v>23</v>
      </c>
      <c r="B491" s="43" t="s">
        <v>159</v>
      </c>
      <c r="C491" s="44" t="s">
        <v>641</v>
      </c>
      <c r="D491" s="45">
        <f>MROUND(MID($C491,6,3)/Basis!$E$3,0.5)</f>
        <v>23.5</v>
      </c>
      <c r="E491" s="45">
        <f>MROUND(MID($C491,9,3)/Basis!$E$3,0.5)</f>
        <v>118</v>
      </c>
      <c r="F491" s="124" t="s">
        <v>2946</v>
      </c>
      <c r="G491" s="45">
        <f>ROUND((ROUNDDOWN($F491/5,0)*5+1.8)/Basis!$E$3,1)</f>
        <v>4.5999999999999996</v>
      </c>
      <c r="H491" s="120">
        <f>ROUND($P491*Basis!$E$2*((TaH-TrH)/LN(1/µ)/Basis!$E$7)^$N491*$AA$4*Glycol,0)</f>
        <v>9518</v>
      </c>
      <c r="I491" s="83">
        <f>ROUND(H491/(MID($C491,9,3)/Basis!$E$3/Basis!$E$9)*Basis!$E$11,0)</f>
        <v>967</v>
      </c>
      <c r="J491" s="123">
        <f>IF(Basis!$E$1=1,ROUND(H491/((TaH-TrH)*1.163)/3600,3),ROUND(H491/(500*(TaH-TrH)),2))</f>
        <v>0.95</v>
      </c>
      <c r="K491" s="84"/>
      <c r="L491" s="177">
        <f>CHOOSE(Basis!$E$1,((AJ491*(J491*3600/Basis!$E$5)^AK491*(((MID(C491,9,3)*10)-144)/1000)*AL491+AM491*(J491*3600/Basis!$E$5)^2)*0.0098)/Basis!$E$10,((AJ491*(J491/Basis!$E$5)^AK491*(((MID(C491,9,3)*10)-144)/1000)*AL491+AM491*(J491/Basis!$E$5)^2)*0.0098)/Basis!$E$10)</f>
        <v>0.25320669878449714</v>
      </c>
      <c r="M491" s="85"/>
      <c r="N491" s="110">
        <v>1.4370000000000001</v>
      </c>
      <c r="O491" s="74"/>
      <c r="P491" s="73">
        <v>4482</v>
      </c>
      <c r="Q491" s="74"/>
      <c r="R491" s="75"/>
      <c r="S491" s="75"/>
      <c r="T491" s="75"/>
      <c r="U491" s="75"/>
      <c r="V491" s="75"/>
      <c r="W491" s="74"/>
      <c r="X491" s="76"/>
      <c r="Y491" s="76"/>
      <c r="Z491" s="76"/>
      <c r="AA491" s="76"/>
      <c r="AB491" s="76"/>
      <c r="AC491" s="74"/>
      <c r="AD491" s="77"/>
      <c r="AE491" s="77"/>
      <c r="AF491" s="77"/>
      <c r="AG491" s="77"/>
      <c r="AH491" s="77"/>
      <c r="AI491" s="68"/>
      <c r="AJ491" s="213">
        <v>3.9689999999999994E-4</v>
      </c>
      <c r="AK491" s="213">
        <v>1.7345999999999999</v>
      </c>
      <c r="AL491" s="213">
        <v>4</v>
      </c>
      <c r="AM491" s="213">
        <v>5.7428799999999995E-4</v>
      </c>
      <c r="AN491" s="74"/>
      <c r="AO491" s="73"/>
      <c r="AP491" s="73"/>
      <c r="AQ491" s="73"/>
      <c r="AR491" s="73"/>
      <c r="AS491" s="73"/>
      <c r="AT491" s="74"/>
      <c r="AU491" s="47"/>
      <c r="AV491" s="48"/>
    </row>
    <row r="492" spans="1:48" ht="12.75" customHeight="1" x14ac:dyDescent="0.25">
      <c r="A492" s="72" t="s">
        <v>23</v>
      </c>
      <c r="B492" s="43" t="s">
        <v>159</v>
      </c>
      <c r="C492" s="44" t="s">
        <v>642</v>
      </c>
      <c r="D492" s="45">
        <f>MROUND(MID($C492,6,3)/Basis!$E$3,0.5)</f>
        <v>23.5</v>
      </c>
      <c r="E492" s="45">
        <f>MROUND(MID($C492,9,3)/Basis!$E$3,0.5)</f>
        <v>118</v>
      </c>
      <c r="F492" s="124" t="s">
        <v>2944</v>
      </c>
      <c r="G492" s="45">
        <f>ROUND((ROUNDDOWN($F492/5,0)*5+1.8)/Basis!$E$3,1)</f>
        <v>6.6</v>
      </c>
      <c r="H492" s="120">
        <f>ROUND($P492*Basis!$E$2*((TaH-TrH)/LN(1/µ)/Basis!$E$7)^$N492*$AA$4*Glycol,0)</f>
        <v>12189</v>
      </c>
      <c r="I492" s="83">
        <f>ROUND(H492/(MID($C492,9,3)/Basis!$E$3/Basis!$E$9)*Basis!$E$11,0)</f>
        <v>1238</v>
      </c>
      <c r="J492" s="123">
        <f>IF(Basis!$E$1=1,ROUND(H492/((TaH-TrH)*1.163)/3600,3),ROUND(H492/(500*(TaH-TrH)),2))</f>
        <v>1.22</v>
      </c>
      <c r="K492" s="84"/>
      <c r="L492" s="177">
        <f>CHOOSE(Basis!$E$1,((AJ492*(J492*3600/Basis!$E$5)^AK492*(((MID(C492,9,3)*10)-144)/1000)*AL492+AM492*(J492*3600/Basis!$E$5)^2)*0.0098)/Basis!$E$10,((AJ492*(J492/Basis!$E$5)^AK492*(((MID(C492,9,3)*10)-144)/1000)*AL492+AM492*(J492/Basis!$E$5)^2)*0.0098)/Basis!$E$10)</f>
        <v>0.17919349628120418</v>
      </c>
      <c r="M492" s="85"/>
      <c r="N492" s="110">
        <v>1.361</v>
      </c>
      <c r="O492" s="74"/>
      <c r="P492" s="73">
        <v>5598</v>
      </c>
      <c r="Q492" s="74"/>
      <c r="R492" s="75"/>
      <c r="S492" s="75"/>
      <c r="T492" s="75"/>
      <c r="U492" s="75"/>
      <c r="V492" s="75"/>
      <c r="W492" s="74"/>
      <c r="X492" s="76"/>
      <c r="Y492" s="76"/>
      <c r="Z492" s="76"/>
      <c r="AA492" s="76"/>
      <c r="AB492" s="76"/>
      <c r="AC492" s="74"/>
      <c r="AD492" s="77"/>
      <c r="AE492" s="77"/>
      <c r="AF492" s="77"/>
      <c r="AG492" s="77"/>
      <c r="AH492" s="77"/>
      <c r="AI492" s="68"/>
      <c r="AJ492" s="213">
        <v>2.0829999999999999E-4</v>
      </c>
      <c r="AK492" s="213">
        <v>1.724</v>
      </c>
      <c r="AL492" s="213">
        <v>2</v>
      </c>
      <c r="AM492" s="213">
        <v>4.6182900000000003E-4</v>
      </c>
      <c r="AN492" s="74"/>
      <c r="AO492" s="73"/>
      <c r="AP492" s="73"/>
      <c r="AQ492" s="73"/>
      <c r="AR492" s="73"/>
      <c r="AS492" s="73"/>
      <c r="AT492" s="74"/>
      <c r="AU492" s="47"/>
      <c r="AV492" s="48"/>
    </row>
    <row r="493" spans="1:48" ht="12.75" customHeight="1" x14ac:dyDescent="0.25">
      <c r="A493" s="72" t="s">
        <v>23</v>
      </c>
      <c r="B493" s="43" t="s">
        <v>159</v>
      </c>
      <c r="C493" s="44" t="s">
        <v>643</v>
      </c>
      <c r="D493" s="45">
        <f>MROUND(MID($C493,6,3)/Basis!$E$3,0.5)</f>
        <v>23.5</v>
      </c>
      <c r="E493" s="45">
        <f>MROUND(MID($C493,9,3)/Basis!$E$3,0.5)</f>
        <v>118</v>
      </c>
      <c r="F493" s="124" t="s">
        <v>2947</v>
      </c>
      <c r="G493" s="45">
        <f>ROUND((ROUNDDOWN($F493/5,0)*5+1.8)/Basis!$E$3,1)</f>
        <v>6.6</v>
      </c>
      <c r="H493" s="120">
        <f>ROUND($P493*Basis!$E$2*((TaH-TrH)/LN(1/µ)/Basis!$E$7)^$N493*$AA$4*Glycol,0)</f>
        <v>13141</v>
      </c>
      <c r="I493" s="83">
        <f>ROUND(H493/(MID($C493,9,3)/Basis!$E$3/Basis!$E$9)*Basis!$E$11,0)</f>
        <v>1335</v>
      </c>
      <c r="J493" s="123">
        <f>IF(Basis!$E$1=1,ROUND(H493/((TaH-TrH)*1.163)/3600,3),ROUND(H493/(500*(TaH-TrH)),2))</f>
        <v>1.31</v>
      </c>
      <c r="K493" s="84"/>
      <c r="L493" s="177">
        <f>CHOOSE(Basis!$E$1,((AJ493*(J493*3600/Basis!$E$5)^AK493*(((MID(C493,9,3)*10)-144)/1000)*AL493+AM493*(J493*3600/Basis!$E$5)^2)*0.0098)/Basis!$E$10,((AJ493*(J493/Basis!$E$5)^AK493*(((MID(C493,9,3)*10)-144)/1000)*AL493+AM493*(J493/Basis!$E$5)^2)*0.0098)/Basis!$E$10)</f>
        <v>0.54617096595628323</v>
      </c>
      <c r="M493" s="85"/>
      <c r="N493" s="109">
        <v>1.468</v>
      </c>
      <c r="O493" s="68"/>
      <c r="P493" s="67">
        <v>6252</v>
      </c>
      <c r="Q493" s="68"/>
      <c r="R493" s="69"/>
      <c r="S493" s="69"/>
      <c r="T493" s="69"/>
      <c r="U493" s="69"/>
      <c r="V493" s="69"/>
      <c r="W493" s="68"/>
      <c r="X493" s="70"/>
      <c r="Y493" s="70"/>
      <c r="Z493" s="70"/>
      <c r="AA493" s="70"/>
      <c r="AB493" s="70"/>
      <c r="AC493" s="68"/>
      <c r="AD493" s="71"/>
      <c r="AE493" s="71"/>
      <c r="AF493" s="71"/>
      <c r="AG493" s="71"/>
      <c r="AH493" s="71"/>
      <c r="AI493" s="68"/>
      <c r="AJ493" s="214">
        <v>2.0829999999999999E-4</v>
      </c>
      <c r="AK493" s="214">
        <v>1.724</v>
      </c>
      <c r="AL493" s="214">
        <v>4</v>
      </c>
      <c r="AM493" s="214">
        <v>1.392796E-3</v>
      </c>
      <c r="AN493" s="68"/>
      <c r="AO493" s="67"/>
      <c r="AP493" s="67"/>
      <c r="AQ493" s="67"/>
      <c r="AR493" s="67"/>
      <c r="AS493" s="67"/>
      <c r="AT493" s="68"/>
      <c r="AU493" s="49"/>
      <c r="AV493" s="50"/>
    </row>
    <row r="494" spans="1:48" ht="12.75" customHeight="1" x14ac:dyDescent="0.25">
      <c r="A494" s="72" t="s">
        <v>23</v>
      </c>
      <c r="B494" s="43" t="s">
        <v>159</v>
      </c>
      <c r="C494" s="44" t="s">
        <v>644</v>
      </c>
      <c r="D494" s="45">
        <f>MROUND(MID($C494,6,3)/Basis!$E$3,0.5)</f>
        <v>23.5</v>
      </c>
      <c r="E494" s="45">
        <f>MROUND(MID($C494,9,3)/Basis!$E$3,0.5)</f>
        <v>118</v>
      </c>
      <c r="F494" s="124" t="s">
        <v>2945</v>
      </c>
      <c r="G494" s="45">
        <f>ROUND((ROUNDDOWN($F494/5,0)*5+1.8)/Basis!$E$3,1)</f>
        <v>8.6</v>
      </c>
      <c r="H494" s="120">
        <f>ROUND($P494*Basis!$E$2*((TaH-TrH)/LN(1/µ)/Basis!$E$7)^$N494*$AA$4*Glycol,0)</f>
        <v>17036</v>
      </c>
      <c r="I494" s="83">
        <f>ROUND(H494/(MID($C494,9,3)/Basis!$E$3/Basis!$E$9)*Basis!$E$11,0)</f>
        <v>1731</v>
      </c>
      <c r="J494" s="123">
        <f>IF(Basis!$E$1=1,ROUND(H494/((TaH-TrH)*1.163)/3600,3),ROUND(H494/(500*(TaH-TrH)),2))</f>
        <v>1.7</v>
      </c>
      <c r="K494" s="84"/>
      <c r="L494" s="177">
        <f>CHOOSE(Basis!$E$1,((AJ494*(J494*3600/Basis!$E$5)^AK494*(((MID(C494,9,3)*10)-144)/1000)*AL494+AM494*(J494*3600/Basis!$E$5)^2)*0.0098)/Basis!$E$10,((AJ494*(J494/Basis!$E$5)^AK494*(((MID(C494,9,3)*10)-144)/1000)*AL494+AM494*(J494/Basis!$E$5)^2)*0.0098)/Basis!$E$10)</f>
        <v>0.25137889885755443</v>
      </c>
      <c r="M494" s="85"/>
      <c r="N494" s="109">
        <v>1.361</v>
      </c>
      <c r="O494" s="68"/>
      <c r="P494" s="67">
        <v>7824</v>
      </c>
      <c r="Q494" s="68"/>
      <c r="R494" s="69"/>
      <c r="S494" s="69"/>
      <c r="T494" s="69"/>
      <c r="U494" s="69"/>
      <c r="V494" s="69"/>
      <c r="W494" s="68"/>
      <c r="X494" s="70"/>
      <c r="Y494" s="70"/>
      <c r="Z494" s="70"/>
      <c r="AA494" s="70"/>
      <c r="AB494" s="70"/>
      <c r="AC494" s="68"/>
      <c r="AD494" s="71"/>
      <c r="AE494" s="71"/>
      <c r="AF494" s="71"/>
      <c r="AG494" s="71"/>
      <c r="AH494" s="71"/>
      <c r="AI494" s="68"/>
      <c r="AJ494" s="214">
        <v>1.2760000000000001E-4</v>
      </c>
      <c r="AK494" s="214">
        <v>1.7219</v>
      </c>
      <c r="AL494" s="214">
        <v>2</v>
      </c>
      <c r="AM494" s="214">
        <v>3.76611E-4</v>
      </c>
      <c r="AN494" s="68"/>
      <c r="AO494" s="67"/>
      <c r="AP494" s="67"/>
      <c r="AQ494" s="67"/>
      <c r="AR494" s="67"/>
      <c r="AS494" s="67"/>
      <c r="AT494" s="68"/>
      <c r="AU494" s="49"/>
      <c r="AV494" s="50"/>
    </row>
    <row r="495" spans="1:48" ht="12.75" customHeight="1" x14ac:dyDescent="0.25">
      <c r="A495" s="72" t="s">
        <v>23</v>
      </c>
      <c r="B495" s="43" t="s">
        <v>159</v>
      </c>
      <c r="C495" s="44" t="s">
        <v>645</v>
      </c>
      <c r="D495" s="45">
        <f>MROUND(MID($C495,6,3)/Basis!$E$3,0.5)</f>
        <v>23.5</v>
      </c>
      <c r="E495" s="45">
        <f>MROUND(MID($C495,9,3)/Basis!$E$3,0.5)</f>
        <v>118</v>
      </c>
      <c r="F495" s="124" t="s">
        <v>2948</v>
      </c>
      <c r="G495" s="45">
        <f>ROUND((ROUNDDOWN($F495/5,0)*5+1.8)/Basis!$E$3,1)</f>
        <v>8.6</v>
      </c>
      <c r="H495" s="120">
        <f>ROUND($P495*Basis!$E$2*((TaH-TrH)/LN(1/µ)/Basis!$E$7)^$N495*$AA$4*Glycol,0)</f>
        <v>18024</v>
      </c>
      <c r="I495" s="83">
        <f>ROUND(H495/(MID($C495,9,3)/Basis!$E$3/Basis!$E$9)*Basis!$E$11,0)</f>
        <v>1831</v>
      </c>
      <c r="J495" s="123">
        <f>IF(Basis!$E$1=1,ROUND(H495/((TaH-TrH)*1.163)/3600,3),ROUND(H495/(500*(TaH-TrH)),2))</f>
        <v>1.8</v>
      </c>
      <c r="K495" s="84"/>
      <c r="L495" s="177">
        <f>CHOOSE(Basis!$E$1,((AJ495*(J495*3600/Basis!$E$5)^AK495*(((MID(C495,9,3)*10)-144)/1000)*AL495+AM495*(J495*3600/Basis!$E$5)^2)*0.0098)/Basis!$E$10,((AJ495*(J495/Basis!$E$5)^AK495*(((MID(C495,9,3)*10)-144)/1000)*AL495+AM495*(J495/Basis!$E$5)^2)*0.0098)/Basis!$E$10)</f>
        <v>0.4306252971461656</v>
      </c>
      <c r="M495" s="85"/>
      <c r="N495" s="110">
        <v>1.4930000000000001</v>
      </c>
      <c r="O495" s="74"/>
      <c r="P495" s="73">
        <v>8646</v>
      </c>
      <c r="Q495" s="74"/>
      <c r="R495" s="75"/>
      <c r="S495" s="75"/>
      <c r="T495" s="75"/>
      <c r="U495" s="75"/>
      <c r="V495" s="75"/>
      <c r="W495" s="74"/>
      <c r="X495" s="76"/>
      <c r="Y495" s="76"/>
      <c r="Z495" s="76"/>
      <c r="AA495" s="76"/>
      <c r="AB495" s="76"/>
      <c r="AC495" s="74"/>
      <c r="AD495" s="77"/>
      <c r="AE495" s="77"/>
      <c r="AF495" s="77"/>
      <c r="AG495" s="77"/>
      <c r="AH495" s="77"/>
      <c r="AI495" s="68"/>
      <c r="AJ495" s="213">
        <v>1.2760000000000001E-4</v>
      </c>
      <c r="AK495" s="213">
        <v>1.7219</v>
      </c>
      <c r="AL495" s="213">
        <v>4</v>
      </c>
      <c r="AM495" s="213">
        <v>5.1420100000000005E-4</v>
      </c>
      <c r="AN495" s="74"/>
      <c r="AO495" s="73"/>
      <c r="AP495" s="73"/>
      <c r="AQ495" s="73"/>
      <c r="AR495" s="73"/>
      <c r="AS495" s="73"/>
      <c r="AT495" s="74"/>
      <c r="AU495" s="47"/>
      <c r="AV495" s="48"/>
    </row>
    <row r="496" spans="1:48" ht="12.75" customHeight="1" x14ac:dyDescent="0.25">
      <c r="A496" s="72" t="s">
        <v>23</v>
      </c>
      <c r="B496" s="43" t="s">
        <v>159</v>
      </c>
      <c r="C496" s="44" t="s">
        <v>646</v>
      </c>
      <c r="D496" s="45">
        <f>MROUND(MID($C496,6,3)/Basis!$E$3,0.5)</f>
        <v>27.5</v>
      </c>
      <c r="E496" s="45">
        <f>MROUND(MID($C496,9,3)/Basis!$E$3,0.5)</f>
        <v>15.5</v>
      </c>
      <c r="F496" s="124" t="s">
        <v>2943</v>
      </c>
      <c r="G496" s="45">
        <f>ROUND((ROUNDDOWN($F496/5,0)*5+1.8)/Basis!$E$3,1)</f>
        <v>4.5999999999999996</v>
      </c>
      <c r="H496" s="120">
        <f>ROUND($P496*Basis!$E$2*((TaH-TrH)/LN(1/µ)/Basis!$E$7)^$N496*$AA$4*Glycol,0)</f>
        <v>1085</v>
      </c>
      <c r="I496" s="83">
        <f>ROUND(H496/(MID($C496,9,3)/Basis!$E$3/Basis!$E$9)*Basis!$E$11,0)</f>
        <v>827</v>
      </c>
      <c r="J496" s="123">
        <f>IF(Basis!$E$1=1,ROUND(H496/((TaH-TrH)*1.163)/3600,3),ROUND(H496/(500*(TaH-TrH)),2))</f>
        <v>0.11</v>
      </c>
      <c r="K496" s="84"/>
      <c r="L496" s="177">
        <f>CHOOSE(Basis!$E$1,((AJ496*(J496*3600/Basis!$E$5)^AK496*(((MID(C496,9,3)*10)-144)/1000)*AL496+AM496*(J496*3600/Basis!$E$5)^2)*0.0098)/Basis!$E$10,((AJ496*(J496/Basis!$E$5)^AK496*(((MID(C496,9,3)*10)-144)/1000)*AL496+AM496*(J496/Basis!$E$5)^2)*0.0098)/Basis!$E$10)</f>
        <v>9.2625985501287042E-4</v>
      </c>
      <c r="M496" s="85"/>
      <c r="N496" s="110">
        <v>1.3660000000000001</v>
      </c>
      <c r="O496" s="74"/>
      <c r="P496" s="73">
        <v>499</v>
      </c>
      <c r="Q496" s="74"/>
      <c r="R496" s="75"/>
      <c r="S496" s="75"/>
      <c r="T496" s="75"/>
      <c r="U496" s="75"/>
      <c r="V496" s="75"/>
      <c r="W496" s="74"/>
      <c r="X496" s="76"/>
      <c r="Y496" s="76"/>
      <c r="Z496" s="76"/>
      <c r="AA496" s="76"/>
      <c r="AB496" s="76"/>
      <c r="AC496" s="74"/>
      <c r="AD496" s="77"/>
      <c r="AE496" s="77"/>
      <c r="AF496" s="77"/>
      <c r="AG496" s="77"/>
      <c r="AH496" s="77"/>
      <c r="AI496" s="68"/>
      <c r="AJ496" s="213">
        <v>3.9689999999999994E-4</v>
      </c>
      <c r="AK496" s="213">
        <v>1.7345999999999999</v>
      </c>
      <c r="AL496" s="213">
        <v>2</v>
      </c>
      <c r="AM496" s="213">
        <v>3.6734700000000002E-4</v>
      </c>
      <c r="AN496" s="74"/>
      <c r="AO496" s="73"/>
      <c r="AP496" s="73"/>
      <c r="AQ496" s="73"/>
      <c r="AR496" s="73"/>
      <c r="AS496" s="73"/>
      <c r="AT496" s="74"/>
      <c r="AU496" s="47"/>
      <c r="AV496" s="48"/>
    </row>
    <row r="497" spans="1:48" ht="12.75" customHeight="1" x14ac:dyDescent="0.25">
      <c r="A497" s="72" t="s">
        <v>23</v>
      </c>
      <c r="B497" s="43" t="s">
        <v>159</v>
      </c>
      <c r="C497" s="44" t="s">
        <v>647</v>
      </c>
      <c r="D497" s="45">
        <f>MROUND(MID($C497,6,3)/Basis!$E$3,0.5)</f>
        <v>27.5</v>
      </c>
      <c r="E497" s="45">
        <f>MROUND(MID($C497,9,3)/Basis!$E$3,0.5)</f>
        <v>15.5</v>
      </c>
      <c r="F497" s="124" t="s">
        <v>2946</v>
      </c>
      <c r="G497" s="45">
        <f>ROUND((ROUNDDOWN($F497/5,0)*5+1.8)/Basis!$E$3,1)</f>
        <v>4.5999999999999996</v>
      </c>
      <c r="H497" s="120">
        <f>ROUND($P497*Basis!$E$2*((TaH-TrH)/LN(1/µ)/Basis!$E$7)^$N497*$AA$4*Glycol,0)</f>
        <v>1351</v>
      </c>
      <c r="I497" s="83">
        <f>ROUND(H497/(MID($C497,9,3)/Basis!$E$3/Basis!$E$9)*Basis!$E$11,0)</f>
        <v>1029</v>
      </c>
      <c r="J497" s="123">
        <f>IF(Basis!$E$1=1,ROUND(H497/((TaH-TrH)*1.163)/3600,3),ROUND(H497/(500*(TaH-TrH)),2))</f>
        <v>0.14000000000000001</v>
      </c>
      <c r="K497" s="84"/>
      <c r="L497" s="177">
        <f>CHOOSE(Basis!$E$1,((AJ497*(J497*3600/Basis!$E$5)^AK497*(((MID(C497,9,3)*10)-144)/1000)*AL497+AM497*(J497*3600/Basis!$E$5)^2)*0.0098)/Basis!$E$10,((AJ497*(J497/Basis!$E$5)^AK497*(((MID(C497,9,3)*10)-144)/1000)*AL497+AM497*(J497/Basis!$E$5)^2)*0.0098)/Basis!$E$10)</f>
        <v>2.4350253012632777E-3</v>
      </c>
      <c r="M497" s="85"/>
      <c r="N497" s="109">
        <v>1.4359999999999999</v>
      </c>
      <c r="O497" s="68"/>
      <c r="P497" s="67">
        <v>636</v>
      </c>
      <c r="Q497" s="68"/>
      <c r="R497" s="69"/>
      <c r="S497" s="69"/>
      <c r="T497" s="69"/>
      <c r="U497" s="69"/>
      <c r="V497" s="69"/>
      <c r="W497" s="68"/>
      <c r="X497" s="70"/>
      <c r="Y497" s="70"/>
      <c r="Z497" s="70"/>
      <c r="AA497" s="70"/>
      <c r="AB497" s="70"/>
      <c r="AC497" s="68"/>
      <c r="AD497" s="71"/>
      <c r="AE497" s="71"/>
      <c r="AF497" s="71"/>
      <c r="AG497" s="71"/>
      <c r="AH497" s="71"/>
      <c r="AI497" s="68"/>
      <c r="AJ497" s="214">
        <v>3.9689999999999994E-4</v>
      </c>
      <c r="AK497" s="214">
        <v>1.7345999999999999</v>
      </c>
      <c r="AL497" s="214">
        <v>4</v>
      </c>
      <c r="AM497" s="214">
        <v>5.7428799999999995E-4</v>
      </c>
      <c r="AN497" s="68"/>
      <c r="AO497" s="67"/>
      <c r="AP497" s="67"/>
      <c r="AQ497" s="67"/>
      <c r="AR497" s="67"/>
      <c r="AS497" s="67"/>
      <c r="AT497" s="68"/>
      <c r="AU497" s="49"/>
      <c r="AV497" s="50"/>
    </row>
    <row r="498" spans="1:48" ht="12.75" customHeight="1" x14ac:dyDescent="0.25">
      <c r="A498" s="72" t="s">
        <v>23</v>
      </c>
      <c r="B498" s="43" t="s">
        <v>159</v>
      </c>
      <c r="C498" s="44" t="s">
        <v>648</v>
      </c>
      <c r="D498" s="45">
        <f>MROUND(MID($C498,6,3)/Basis!$E$3,0.5)</f>
        <v>27.5</v>
      </c>
      <c r="E498" s="45">
        <f>MROUND(MID($C498,9,3)/Basis!$E$3,0.5)</f>
        <v>15.5</v>
      </c>
      <c r="F498" s="124" t="s">
        <v>2944</v>
      </c>
      <c r="G498" s="45">
        <f>ROUND((ROUNDDOWN($F498/5,0)*5+1.8)/Basis!$E$3,1)</f>
        <v>6.6</v>
      </c>
      <c r="H498" s="120">
        <f>ROUND($P498*Basis!$E$2*((TaH-TrH)/LN(1/µ)/Basis!$E$7)^$N498*$AA$4*Glycol,0)</f>
        <v>1724</v>
      </c>
      <c r="I498" s="83">
        <f>ROUND(H498/(MID($C498,9,3)/Basis!$E$3/Basis!$E$9)*Basis!$E$11,0)</f>
        <v>1314</v>
      </c>
      <c r="J498" s="123">
        <f>IF(Basis!$E$1=1,ROUND(H498/((TaH-TrH)*1.163)/3600,3),ROUND(H498/(500*(TaH-TrH)),2))</f>
        <v>0.17</v>
      </c>
      <c r="K498" s="84"/>
      <c r="L498" s="177">
        <f>CHOOSE(Basis!$E$1,((AJ498*(J498*3600/Basis!$E$5)^AK498*(((MID(C498,9,3)*10)-144)/1000)*AL498+AM498*(J498*3600/Basis!$E$5)^2)*0.0098)/Basis!$E$10,((AJ498*(J498/Basis!$E$5)^AK498*(((MID(C498,9,3)*10)-144)/1000)*AL498+AM498*(J498/Basis!$E$5)^2)*0.0098)/Basis!$E$10)</f>
        <v>2.4408707814343716E-3</v>
      </c>
      <c r="M498" s="85"/>
      <c r="N498" s="110">
        <v>1.35</v>
      </c>
      <c r="O498" s="74"/>
      <c r="P498" s="73">
        <v>789</v>
      </c>
      <c r="Q498" s="74"/>
      <c r="R498" s="75"/>
      <c r="S498" s="75"/>
      <c r="T498" s="75"/>
      <c r="U498" s="75"/>
      <c r="V498" s="75"/>
      <c r="W498" s="74"/>
      <c r="X498" s="76"/>
      <c r="Y498" s="76"/>
      <c r="Z498" s="76"/>
      <c r="AA498" s="76"/>
      <c r="AB498" s="76"/>
      <c r="AC498" s="74"/>
      <c r="AD498" s="77"/>
      <c r="AE498" s="77"/>
      <c r="AF498" s="77"/>
      <c r="AG498" s="77"/>
      <c r="AH498" s="77"/>
      <c r="AI498" s="68"/>
      <c r="AJ498" s="213">
        <v>2.0829999999999999E-4</v>
      </c>
      <c r="AK498" s="213">
        <v>1.724</v>
      </c>
      <c r="AL498" s="213">
        <v>2</v>
      </c>
      <c r="AM498" s="213">
        <v>4.6182900000000003E-4</v>
      </c>
      <c r="AN498" s="74"/>
      <c r="AO498" s="73"/>
      <c r="AP498" s="73"/>
      <c r="AQ498" s="73"/>
      <c r="AR498" s="73"/>
      <c r="AS498" s="73"/>
      <c r="AT498" s="74"/>
      <c r="AU498" s="47"/>
      <c r="AV498" s="48"/>
    </row>
    <row r="499" spans="1:48" ht="12.75" customHeight="1" x14ac:dyDescent="0.25">
      <c r="A499" s="72" t="s">
        <v>23</v>
      </c>
      <c r="B499" s="43" t="s">
        <v>159</v>
      </c>
      <c r="C499" s="44" t="s">
        <v>649</v>
      </c>
      <c r="D499" s="45">
        <f>MROUND(MID($C499,6,3)/Basis!$E$3,0.5)</f>
        <v>27.5</v>
      </c>
      <c r="E499" s="45">
        <f>MROUND(MID($C499,9,3)/Basis!$E$3,0.5)</f>
        <v>15.5</v>
      </c>
      <c r="F499" s="124" t="s">
        <v>2947</v>
      </c>
      <c r="G499" s="45">
        <f>ROUND((ROUNDDOWN($F499/5,0)*5+1.8)/Basis!$E$3,1)</f>
        <v>6.6</v>
      </c>
      <c r="H499" s="120">
        <f>ROUND($P499*Basis!$E$2*((TaH-TrH)/LN(1/µ)/Basis!$E$7)^$N499*$AA$4*Glycol,0)</f>
        <v>1898</v>
      </c>
      <c r="I499" s="83">
        <f>ROUND(H499/(MID($C499,9,3)/Basis!$E$3/Basis!$E$9)*Basis!$E$11,0)</f>
        <v>1446</v>
      </c>
      <c r="J499" s="123">
        <f>IF(Basis!$E$1=1,ROUND(H499/((TaH-TrH)*1.163)/3600,3),ROUND(H499/(500*(TaH-TrH)),2))</f>
        <v>0.19</v>
      </c>
      <c r="K499" s="84"/>
      <c r="L499" s="177">
        <f>CHOOSE(Basis!$E$1,((AJ499*(J499*3600/Basis!$E$5)^AK499*(((MID(C499,9,3)*10)-144)/1000)*AL499+AM499*(J499*3600/Basis!$E$5)^2)*0.0098)/Basis!$E$10,((AJ499*(J499/Basis!$E$5)^AK499*(((MID(C499,9,3)*10)-144)/1000)*AL499+AM499*(J499/Basis!$E$5)^2)*0.0098)/Basis!$E$10)</f>
        <v>8.9402057270046124E-3</v>
      </c>
      <c r="M499" s="85"/>
      <c r="N499" s="109">
        <v>1.472</v>
      </c>
      <c r="O499" s="68"/>
      <c r="P499" s="67">
        <v>904</v>
      </c>
      <c r="Q499" s="68"/>
      <c r="R499" s="69"/>
      <c r="S499" s="69"/>
      <c r="T499" s="69"/>
      <c r="U499" s="69"/>
      <c r="V499" s="69"/>
      <c r="W499" s="68"/>
      <c r="X499" s="70"/>
      <c r="Y499" s="70"/>
      <c r="Z499" s="70"/>
      <c r="AA499" s="70"/>
      <c r="AB499" s="70"/>
      <c r="AC499" s="68"/>
      <c r="AD499" s="71"/>
      <c r="AE499" s="71"/>
      <c r="AF499" s="71"/>
      <c r="AG499" s="71"/>
      <c r="AH499" s="71"/>
      <c r="AI499" s="68"/>
      <c r="AJ499" s="214">
        <v>2.0829999999999999E-4</v>
      </c>
      <c r="AK499" s="214">
        <v>1.724</v>
      </c>
      <c r="AL499" s="214">
        <v>4</v>
      </c>
      <c r="AM499" s="214">
        <v>1.392796E-3</v>
      </c>
      <c r="AN499" s="68"/>
      <c r="AO499" s="67"/>
      <c r="AP499" s="67"/>
      <c r="AQ499" s="67"/>
      <c r="AR499" s="67"/>
      <c r="AS499" s="67"/>
      <c r="AT499" s="68"/>
      <c r="AU499" s="49"/>
      <c r="AV499" s="50"/>
    </row>
    <row r="500" spans="1:48" ht="12.75" customHeight="1" x14ac:dyDescent="0.25">
      <c r="A500" s="72" t="s">
        <v>23</v>
      </c>
      <c r="B500" s="43" t="s">
        <v>159</v>
      </c>
      <c r="C500" s="44" t="s">
        <v>650</v>
      </c>
      <c r="D500" s="45">
        <f>MROUND(MID($C500,6,3)/Basis!$E$3,0.5)</f>
        <v>27.5</v>
      </c>
      <c r="E500" s="45">
        <f>MROUND(MID($C500,9,3)/Basis!$E$3,0.5)</f>
        <v>15.5</v>
      </c>
      <c r="F500" s="124" t="s">
        <v>2945</v>
      </c>
      <c r="G500" s="45">
        <f>ROUND((ROUNDDOWN($F500/5,0)*5+1.8)/Basis!$E$3,1)</f>
        <v>8.6</v>
      </c>
      <c r="H500" s="120">
        <f>ROUND($P500*Basis!$E$2*((TaH-TrH)/LN(1/µ)/Basis!$E$7)^$N500*$AA$4*Glycol,0)</f>
        <v>2407</v>
      </c>
      <c r="I500" s="83">
        <f>ROUND(H500/(MID($C500,9,3)/Basis!$E$3/Basis!$E$9)*Basis!$E$11,0)</f>
        <v>1834</v>
      </c>
      <c r="J500" s="123">
        <f>IF(Basis!$E$1=1,ROUND(H500/((TaH-TrH)*1.163)/3600,3),ROUND(H500/(500*(TaH-TrH)),2))</f>
        <v>0.24</v>
      </c>
      <c r="K500" s="84"/>
      <c r="L500" s="177">
        <f>CHOOSE(Basis!$E$1,((AJ500*(J500*3600/Basis!$E$5)^AK500*(((MID(C500,9,3)*10)-144)/1000)*AL500+AM500*(J500*3600/Basis!$E$5)^2)*0.0098)/Basis!$E$10,((AJ500*(J500/Basis!$E$5)^AK500*(((MID(C500,9,3)*10)-144)/1000)*AL500+AM500*(J500/Basis!$E$5)^2)*0.0098)/Basis!$E$10)</f>
        <v>3.8676957668735278E-3</v>
      </c>
      <c r="M500" s="85"/>
      <c r="N500" s="110">
        <v>1.349</v>
      </c>
      <c r="O500" s="74"/>
      <c r="P500" s="73">
        <v>1101</v>
      </c>
      <c r="Q500" s="74"/>
      <c r="R500" s="75"/>
      <c r="S500" s="75"/>
      <c r="T500" s="75"/>
      <c r="U500" s="75"/>
      <c r="V500" s="75"/>
      <c r="W500" s="74"/>
      <c r="X500" s="76"/>
      <c r="Y500" s="76"/>
      <c r="Z500" s="76"/>
      <c r="AA500" s="76"/>
      <c r="AB500" s="76"/>
      <c r="AC500" s="74"/>
      <c r="AD500" s="77"/>
      <c r="AE500" s="77"/>
      <c r="AF500" s="77"/>
      <c r="AG500" s="77"/>
      <c r="AH500" s="77"/>
      <c r="AI500" s="68"/>
      <c r="AJ500" s="213">
        <v>1.2760000000000001E-4</v>
      </c>
      <c r="AK500" s="213">
        <v>1.7219</v>
      </c>
      <c r="AL500" s="213">
        <v>2</v>
      </c>
      <c r="AM500" s="213">
        <v>3.76611E-4</v>
      </c>
      <c r="AN500" s="74"/>
      <c r="AO500" s="73"/>
      <c r="AP500" s="73"/>
      <c r="AQ500" s="73"/>
      <c r="AR500" s="73"/>
      <c r="AS500" s="73"/>
      <c r="AT500" s="74"/>
      <c r="AU500" s="47"/>
      <c r="AV500" s="48"/>
    </row>
    <row r="501" spans="1:48" ht="12.75" customHeight="1" x14ac:dyDescent="0.25">
      <c r="A501" s="72" t="s">
        <v>23</v>
      </c>
      <c r="B501" s="43" t="s">
        <v>159</v>
      </c>
      <c r="C501" s="44" t="s">
        <v>651</v>
      </c>
      <c r="D501" s="45">
        <f>MROUND(MID($C501,6,3)/Basis!$E$3,0.5)</f>
        <v>27.5</v>
      </c>
      <c r="E501" s="45">
        <f>MROUND(MID($C501,9,3)/Basis!$E$3,0.5)</f>
        <v>15.5</v>
      </c>
      <c r="F501" s="124" t="s">
        <v>2948</v>
      </c>
      <c r="G501" s="45">
        <f>ROUND((ROUNDDOWN($F501/5,0)*5+1.8)/Basis!$E$3,1)</f>
        <v>8.6</v>
      </c>
      <c r="H501" s="120">
        <f>ROUND($P501*Basis!$E$2*((TaH-TrH)/LN(1/µ)/Basis!$E$7)^$N501*$AA$4*Glycol,0)</f>
        <v>2643</v>
      </c>
      <c r="I501" s="83">
        <f>ROUND(H501/(MID($C501,9,3)/Basis!$E$3/Basis!$E$9)*Basis!$E$11,0)</f>
        <v>2014</v>
      </c>
      <c r="J501" s="123">
        <f>IF(Basis!$E$1=1,ROUND(H501/((TaH-TrH)*1.163)/3600,3),ROUND(H501/(500*(TaH-TrH)),2))</f>
        <v>0.26</v>
      </c>
      <c r="K501" s="84"/>
      <c r="L501" s="177">
        <f>CHOOSE(Basis!$E$1,((AJ501*(J501*3600/Basis!$E$5)^AK501*(((MID(C501,9,3)*10)-144)/1000)*AL501+AM501*(J501*3600/Basis!$E$5)^2)*0.0098)/Basis!$E$10,((AJ501*(J501/Basis!$E$5)^AK501*(((MID(C501,9,3)*10)-144)/1000)*AL501+AM501*(J501/Basis!$E$5)^2)*0.0098)/Basis!$E$10)</f>
        <v>6.3422137568348155E-3</v>
      </c>
      <c r="M501" s="85"/>
      <c r="N501" s="109">
        <v>1.5009999999999999</v>
      </c>
      <c r="O501" s="68"/>
      <c r="P501" s="67">
        <v>1271</v>
      </c>
      <c r="Q501" s="68"/>
      <c r="R501" s="69"/>
      <c r="S501" s="69"/>
      <c r="T501" s="69"/>
      <c r="U501" s="69"/>
      <c r="V501" s="69"/>
      <c r="W501" s="68"/>
      <c r="X501" s="70"/>
      <c r="Y501" s="70"/>
      <c r="Z501" s="70"/>
      <c r="AA501" s="70"/>
      <c r="AB501" s="70"/>
      <c r="AC501" s="68"/>
      <c r="AD501" s="71"/>
      <c r="AE501" s="71"/>
      <c r="AF501" s="71"/>
      <c r="AG501" s="71"/>
      <c r="AH501" s="71"/>
      <c r="AI501" s="68"/>
      <c r="AJ501" s="214">
        <v>1.2760000000000001E-4</v>
      </c>
      <c r="AK501" s="214">
        <v>1.7219</v>
      </c>
      <c r="AL501" s="214">
        <v>4</v>
      </c>
      <c r="AM501" s="214">
        <v>5.1420100000000005E-4</v>
      </c>
      <c r="AN501" s="68"/>
      <c r="AO501" s="67"/>
      <c r="AP501" s="67"/>
      <c r="AQ501" s="67"/>
      <c r="AR501" s="67"/>
      <c r="AS501" s="67"/>
      <c r="AT501" s="68"/>
      <c r="AU501" s="49"/>
      <c r="AV501" s="50"/>
    </row>
    <row r="502" spans="1:48" ht="12.75" customHeight="1" x14ac:dyDescent="0.25">
      <c r="A502" s="72" t="s">
        <v>23</v>
      </c>
      <c r="B502" s="43" t="s">
        <v>159</v>
      </c>
      <c r="C502" s="44" t="s">
        <v>652</v>
      </c>
      <c r="D502" s="45">
        <f>MROUND(MID($C502,6,3)/Basis!$E$3,0.5)</f>
        <v>27.5</v>
      </c>
      <c r="E502" s="45">
        <f>MROUND(MID($C502,9,3)/Basis!$E$3,0.5)</f>
        <v>19.5</v>
      </c>
      <c r="F502" s="124" t="s">
        <v>2943</v>
      </c>
      <c r="G502" s="45">
        <f>ROUND((ROUNDDOWN($F502/5,0)*5+1.8)/Basis!$E$3,1)</f>
        <v>4.5999999999999996</v>
      </c>
      <c r="H502" s="120">
        <f>ROUND($P502*Basis!$E$2*((TaH-TrH)/LN(1/µ)/Basis!$E$7)^$N502*$AA$4*Glycol,0)</f>
        <v>1356</v>
      </c>
      <c r="I502" s="83">
        <f>ROUND(H502/(MID($C502,9,3)/Basis!$E$3/Basis!$E$9)*Basis!$E$11,0)</f>
        <v>827</v>
      </c>
      <c r="J502" s="123">
        <f>IF(Basis!$E$1=1,ROUND(H502/((TaH-TrH)*1.163)/3600,3),ROUND(H502/(500*(TaH-TrH)),2))</f>
        <v>0.14000000000000001</v>
      </c>
      <c r="K502" s="84"/>
      <c r="L502" s="177">
        <f>CHOOSE(Basis!$E$1,((AJ502*(J502*3600/Basis!$E$5)^AK502*(((MID(C502,9,3)*10)-144)/1000)*AL502+AM502*(J502*3600/Basis!$E$5)^2)*0.0098)/Basis!$E$10,((AJ502*(J502/Basis!$E$5)^AK502*(((MID(C502,9,3)*10)-144)/1000)*AL502+AM502*(J502/Basis!$E$5)^2)*0.0098)/Basis!$E$10)</f>
        <v>1.5874372375801881E-3</v>
      </c>
      <c r="M502" s="85"/>
      <c r="N502" s="110">
        <v>1.3660000000000001</v>
      </c>
      <c r="O502" s="74"/>
      <c r="P502" s="73">
        <v>624</v>
      </c>
      <c r="Q502" s="74"/>
      <c r="R502" s="75"/>
      <c r="S502" s="75"/>
      <c r="T502" s="75"/>
      <c r="U502" s="75"/>
      <c r="V502" s="75"/>
      <c r="W502" s="74"/>
      <c r="X502" s="76"/>
      <c r="Y502" s="76"/>
      <c r="Z502" s="76"/>
      <c r="AA502" s="76"/>
      <c r="AB502" s="76"/>
      <c r="AC502" s="74"/>
      <c r="AD502" s="77"/>
      <c r="AE502" s="77"/>
      <c r="AF502" s="77"/>
      <c r="AG502" s="77"/>
      <c r="AH502" s="77"/>
      <c r="AI502" s="68"/>
      <c r="AJ502" s="213">
        <v>3.9689999999999994E-4</v>
      </c>
      <c r="AK502" s="213">
        <v>1.7345999999999999</v>
      </c>
      <c r="AL502" s="213">
        <v>2</v>
      </c>
      <c r="AM502" s="213">
        <v>3.6734700000000002E-4</v>
      </c>
      <c r="AN502" s="74"/>
      <c r="AO502" s="73"/>
      <c r="AP502" s="73"/>
      <c r="AQ502" s="73"/>
      <c r="AR502" s="73"/>
      <c r="AS502" s="73"/>
      <c r="AT502" s="74"/>
      <c r="AU502" s="47"/>
      <c r="AV502" s="48"/>
    </row>
    <row r="503" spans="1:48" ht="12.75" customHeight="1" x14ac:dyDescent="0.25">
      <c r="A503" s="72" t="s">
        <v>23</v>
      </c>
      <c r="B503" s="43" t="s">
        <v>159</v>
      </c>
      <c r="C503" s="44" t="s">
        <v>653</v>
      </c>
      <c r="D503" s="45">
        <f>MROUND(MID($C503,6,3)/Basis!$E$3,0.5)</f>
        <v>27.5</v>
      </c>
      <c r="E503" s="45">
        <f>MROUND(MID($C503,9,3)/Basis!$E$3,0.5)</f>
        <v>19.5</v>
      </c>
      <c r="F503" s="124" t="s">
        <v>2946</v>
      </c>
      <c r="G503" s="45">
        <f>ROUND((ROUNDDOWN($F503/5,0)*5+1.8)/Basis!$E$3,1)</f>
        <v>4.5999999999999996</v>
      </c>
      <c r="H503" s="120">
        <f>ROUND($P503*Basis!$E$2*((TaH-TrH)/LN(1/µ)/Basis!$E$7)^$N503*$AA$4*Glycol,0)</f>
        <v>1689</v>
      </c>
      <c r="I503" s="83">
        <f>ROUND(H503/(MID($C503,9,3)/Basis!$E$3/Basis!$E$9)*Basis!$E$11,0)</f>
        <v>1030</v>
      </c>
      <c r="J503" s="123">
        <f>IF(Basis!$E$1=1,ROUND(H503/((TaH-TrH)*1.163)/3600,3),ROUND(H503/(500*(TaH-TrH)),2))</f>
        <v>0.17</v>
      </c>
      <c r="K503" s="84"/>
      <c r="L503" s="177">
        <f>CHOOSE(Basis!$E$1,((AJ503*(J503*3600/Basis!$E$5)^AK503*(((MID(C503,9,3)*10)-144)/1000)*AL503+AM503*(J503*3600/Basis!$E$5)^2)*0.0098)/Basis!$E$10,((AJ503*(J503/Basis!$E$5)^AK503*(((MID(C503,9,3)*10)-144)/1000)*AL503+AM503*(J503/Basis!$E$5)^2)*0.0098)/Basis!$E$10)</f>
        <v>3.8441640251661779E-3</v>
      </c>
      <c r="M503" s="85"/>
      <c r="N503" s="109">
        <v>1.4359999999999999</v>
      </c>
      <c r="O503" s="68"/>
      <c r="P503" s="67">
        <v>795</v>
      </c>
      <c r="Q503" s="68"/>
      <c r="R503" s="69"/>
      <c r="S503" s="69"/>
      <c r="T503" s="69"/>
      <c r="U503" s="69"/>
      <c r="V503" s="69"/>
      <c r="W503" s="68"/>
      <c r="X503" s="70"/>
      <c r="Y503" s="70"/>
      <c r="Z503" s="70"/>
      <c r="AA503" s="70"/>
      <c r="AB503" s="70"/>
      <c r="AC503" s="68"/>
      <c r="AD503" s="71"/>
      <c r="AE503" s="71"/>
      <c r="AF503" s="71"/>
      <c r="AG503" s="71"/>
      <c r="AH503" s="71"/>
      <c r="AI503" s="68"/>
      <c r="AJ503" s="214">
        <v>3.9689999999999994E-4</v>
      </c>
      <c r="AK503" s="214">
        <v>1.7345999999999999</v>
      </c>
      <c r="AL503" s="214">
        <v>4</v>
      </c>
      <c r="AM503" s="214">
        <v>5.7428799999999995E-4</v>
      </c>
      <c r="AN503" s="68"/>
      <c r="AO503" s="67"/>
      <c r="AP503" s="67"/>
      <c r="AQ503" s="67"/>
      <c r="AR503" s="67"/>
      <c r="AS503" s="67"/>
      <c r="AT503" s="68"/>
      <c r="AU503" s="49"/>
      <c r="AV503" s="50"/>
    </row>
    <row r="504" spans="1:48" ht="12.75" customHeight="1" x14ac:dyDescent="0.25">
      <c r="A504" s="72" t="s">
        <v>23</v>
      </c>
      <c r="B504" s="43" t="s">
        <v>159</v>
      </c>
      <c r="C504" s="44" t="s">
        <v>654</v>
      </c>
      <c r="D504" s="45">
        <f>MROUND(MID($C504,6,3)/Basis!$E$3,0.5)</f>
        <v>27.5</v>
      </c>
      <c r="E504" s="45">
        <f>MROUND(MID($C504,9,3)/Basis!$E$3,0.5)</f>
        <v>19.5</v>
      </c>
      <c r="F504" s="124" t="s">
        <v>2944</v>
      </c>
      <c r="G504" s="45">
        <f>ROUND((ROUNDDOWN($F504/5,0)*5+1.8)/Basis!$E$3,1)</f>
        <v>6.6</v>
      </c>
      <c r="H504" s="120">
        <f>ROUND($P504*Basis!$E$2*((TaH-TrH)/LN(1/µ)/Basis!$E$7)^$N504*$AA$4*Glycol,0)</f>
        <v>2155</v>
      </c>
      <c r="I504" s="83">
        <f>ROUND(H504/(MID($C504,9,3)/Basis!$E$3/Basis!$E$9)*Basis!$E$11,0)</f>
        <v>1314</v>
      </c>
      <c r="J504" s="123">
        <f>IF(Basis!$E$1=1,ROUND(H504/((TaH-TrH)*1.163)/3600,3),ROUND(H504/(500*(TaH-TrH)),2))</f>
        <v>0.22</v>
      </c>
      <c r="K504" s="84"/>
      <c r="L504" s="177">
        <f>CHOOSE(Basis!$E$1,((AJ504*(J504*3600/Basis!$E$5)^AK504*(((MID(C504,9,3)*10)-144)/1000)*AL504+AM504*(J504*3600/Basis!$E$5)^2)*0.0098)/Basis!$E$10,((AJ504*(J504/Basis!$E$5)^AK504*(((MID(C504,9,3)*10)-144)/1000)*AL504+AM504*(J504/Basis!$E$5)^2)*0.0098)/Basis!$E$10)</f>
        <v>4.1815578193225298E-3</v>
      </c>
      <c r="M504" s="85"/>
      <c r="N504" s="110">
        <v>1.35</v>
      </c>
      <c r="O504" s="74"/>
      <c r="P504" s="73">
        <v>986</v>
      </c>
      <c r="Q504" s="74"/>
      <c r="R504" s="75"/>
      <c r="S504" s="75"/>
      <c r="T504" s="75"/>
      <c r="U504" s="75"/>
      <c r="V504" s="75"/>
      <c r="W504" s="74"/>
      <c r="X504" s="76"/>
      <c r="Y504" s="76"/>
      <c r="Z504" s="76"/>
      <c r="AA504" s="76"/>
      <c r="AB504" s="76"/>
      <c r="AC504" s="74"/>
      <c r="AD504" s="77"/>
      <c r="AE504" s="77"/>
      <c r="AF504" s="77"/>
      <c r="AG504" s="77"/>
      <c r="AH504" s="77"/>
      <c r="AI504" s="68"/>
      <c r="AJ504" s="213">
        <v>2.0829999999999999E-4</v>
      </c>
      <c r="AK504" s="213">
        <v>1.724</v>
      </c>
      <c r="AL504" s="213">
        <v>2</v>
      </c>
      <c r="AM504" s="213">
        <v>4.6182900000000003E-4</v>
      </c>
      <c r="AN504" s="74"/>
      <c r="AO504" s="73"/>
      <c r="AP504" s="73"/>
      <c r="AQ504" s="73"/>
      <c r="AR504" s="73"/>
      <c r="AS504" s="73"/>
      <c r="AT504" s="74"/>
      <c r="AU504" s="47"/>
      <c r="AV504" s="48"/>
    </row>
    <row r="505" spans="1:48" ht="12.75" customHeight="1" x14ac:dyDescent="0.25">
      <c r="A505" s="72" t="s">
        <v>23</v>
      </c>
      <c r="B505" s="43" t="s">
        <v>159</v>
      </c>
      <c r="C505" s="44" t="s">
        <v>655</v>
      </c>
      <c r="D505" s="45">
        <f>MROUND(MID($C505,6,3)/Basis!$E$3,0.5)</f>
        <v>27.5</v>
      </c>
      <c r="E505" s="45">
        <f>MROUND(MID($C505,9,3)/Basis!$E$3,0.5)</f>
        <v>19.5</v>
      </c>
      <c r="F505" s="124" t="s">
        <v>2947</v>
      </c>
      <c r="G505" s="45">
        <f>ROUND((ROUNDDOWN($F505/5,0)*5+1.8)/Basis!$E$3,1)</f>
        <v>6.6</v>
      </c>
      <c r="H505" s="120">
        <f>ROUND($P505*Basis!$E$2*((TaH-TrH)/LN(1/µ)/Basis!$E$7)^$N505*$AA$4*Glycol,0)</f>
        <v>2372</v>
      </c>
      <c r="I505" s="83">
        <f>ROUND(H505/(MID($C505,9,3)/Basis!$E$3/Basis!$E$9)*Basis!$E$11,0)</f>
        <v>1446</v>
      </c>
      <c r="J505" s="123">
        <f>IF(Basis!$E$1=1,ROUND(H505/((TaH-TrH)*1.163)/3600,3),ROUND(H505/(500*(TaH-TrH)),2))</f>
        <v>0.24</v>
      </c>
      <c r="K505" s="84"/>
      <c r="L505" s="177">
        <f>CHOOSE(Basis!$E$1,((AJ505*(J505*3600/Basis!$E$5)^AK505*(((MID(C505,9,3)*10)-144)/1000)*AL505+AM505*(J505*3600/Basis!$E$5)^2)*0.0098)/Basis!$E$10,((AJ505*(J505/Basis!$E$5)^AK505*(((MID(C505,9,3)*10)-144)/1000)*AL505+AM505*(J505/Basis!$E$5)^2)*0.0098)/Basis!$E$10)</f>
        <v>1.4487426471002297E-2</v>
      </c>
      <c r="M505" s="85"/>
      <c r="N505" s="109">
        <v>1.472</v>
      </c>
      <c r="O505" s="68"/>
      <c r="P505" s="67">
        <v>1130</v>
      </c>
      <c r="Q505" s="68"/>
      <c r="R505" s="69"/>
      <c r="S505" s="69"/>
      <c r="T505" s="69"/>
      <c r="U505" s="69"/>
      <c r="V505" s="69"/>
      <c r="W505" s="68"/>
      <c r="X505" s="70"/>
      <c r="Y505" s="70"/>
      <c r="Z505" s="70"/>
      <c r="AA505" s="70"/>
      <c r="AB505" s="70"/>
      <c r="AC505" s="68"/>
      <c r="AD505" s="71"/>
      <c r="AE505" s="71"/>
      <c r="AF505" s="71"/>
      <c r="AG505" s="71"/>
      <c r="AH505" s="71"/>
      <c r="AI505" s="68"/>
      <c r="AJ505" s="214">
        <v>2.0829999999999999E-4</v>
      </c>
      <c r="AK505" s="214">
        <v>1.724</v>
      </c>
      <c r="AL505" s="214">
        <v>4</v>
      </c>
      <c r="AM505" s="214">
        <v>1.392796E-3</v>
      </c>
      <c r="AN505" s="68"/>
      <c r="AO505" s="67"/>
      <c r="AP505" s="67"/>
      <c r="AQ505" s="67"/>
      <c r="AR505" s="67"/>
      <c r="AS505" s="67"/>
      <c r="AT505" s="68"/>
      <c r="AU505" s="49"/>
      <c r="AV505" s="50"/>
    </row>
    <row r="506" spans="1:48" ht="12.75" customHeight="1" x14ac:dyDescent="0.25">
      <c r="A506" s="72" t="s">
        <v>23</v>
      </c>
      <c r="B506" s="43" t="s">
        <v>159</v>
      </c>
      <c r="C506" s="44" t="s">
        <v>656</v>
      </c>
      <c r="D506" s="45">
        <f>MROUND(MID($C506,6,3)/Basis!$E$3,0.5)</f>
        <v>27.5</v>
      </c>
      <c r="E506" s="45">
        <f>MROUND(MID($C506,9,3)/Basis!$E$3,0.5)</f>
        <v>19.5</v>
      </c>
      <c r="F506" s="124" t="s">
        <v>2945</v>
      </c>
      <c r="G506" s="45">
        <f>ROUND((ROUNDDOWN($F506/5,0)*5+1.8)/Basis!$E$3,1)</f>
        <v>8.6</v>
      </c>
      <c r="H506" s="120">
        <f>ROUND($P506*Basis!$E$2*((TaH-TrH)/LN(1/µ)/Basis!$E$7)^$N506*$AA$4*Glycol,0)</f>
        <v>3010</v>
      </c>
      <c r="I506" s="83">
        <f>ROUND(H506/(MID($C506,9,3)/Basis!$E$3/Basis!$E$9)*Basis!$E$11,0)</f>
        <v>1835</v>
      </c>
      <c r="J506" s="123">
        <f>IF(Basis!$E$1=1,ROUND(H506/((TaH-TrH)*1.163)/3600,3),ROUND(H506/(500*(TaH-TrH)),2))</f>
        <v>0.3</v>
      </c>
      <c r="K506" s="84"/>
      <c r="L506" s="177">
        <f>CHOOSE(Basis!$E$1,((AJ506*(J506*3600/Basis!$E$5)^AK506*(((MID(C506,9,3)*10)-144)/1000)*AL506+AM506*(J506*3600/Basis!$E$5)^2)*0.0098)/Basis!$E$10,((AJ506*(J506/Basis!$E$5)^AK506*(((MID(C506,9,3)*10)-144)/1000)*AL506+AM506*(J506/Basis!$E$5)^2)*0.0098)/Basis!$E$10)</f>
        <v>6.1434036964823115E-3</v>
      </c>
      <c r="M506" s="85"/>
      <c r="N506" s="110">
        <v>1.349</v>
      </c>
      <c r="O506" s="74"/>
      <c r="P506" s="73">
        <v>1377</v>
      </c>
      <c r="Q506" s="74"/>
      <c r="R506" s="75"/>
      <c r="S506" s="75"/>
      <c r="T506" s="75"/>
      <c r="U506" s="75"/>
      <c r="V506" s="75"/>
      <c r="W506" s="74"/>
      <c r="X506" s="76"/>
      <c r="Y506" s="76"/>
      <c r="Z506" s="76"/>
      <c r="AA506" s="76"/>
      <c r="AB506" s="76"/>
      <c r="AC506" s="74"/>
      <c r="AD506" s="77"/>
      <c r="AE506" s="77"/>
      <c r="AF506" s="77"/>
      <c r="AG506" s="77"/>
      <c r="AH506" s="77"/>
      <c r="AI506" s="68"/>
      <c r="AJ506" s="213">
        <v>1.2760000000000001E-4</v>
      </c>
      <c r="AK506" s="213">
        <v>1.7219</v>
      </c>
      <c r="AL506" s="213">
        <v>2</v>
      </c>
      <c r="AM506" s="213">
        <v>3.76611E-4</v>
      </c>
      <c r="AN506" s="74"/>
      <c r="AO506" s="73"/>
      <c r="AP506" s="73"/>
      <c r="AQ506" s="73"/>
      <c r="AR506" s="73"/>
      <c r="AS506" s="73"/>
      <c r="AT506" s="74"/>
      <c r="AU506" s="47"/>
      <c r="AV506" s="48"/>
    </row>
    <row r="507" spans="1:48" ht="12.75" customHeight="1" x14ac:dyDescent="0.25">
      <c r="A507" s="72" t="s">
        <v>23</v>
      </c>
      <c r="B507" s="43" t="s">
        <v>159</v>
      </c>
      <c r="C507" s="44" t="s">
        <v>657</v>
      </c>
      <c r="D507" s="45">
        <f>MROUND(MID($C507,6,3)/Basis!$E$3,0.5)</f>
        <v>27.5</v>
      </c>
      <c r="E507" s="45">
        <f>MROUND(MID($C507,9,3)/Basis!$E$3,0.5)</f>
        <v>19.5</v>
      </c>
      <c r="F507" s="124" t="s">
        <v>2948</v>
      </c>
      <c r="G507" s="45">
        <f>ROUND((ROUNDDOWN($F507/5,0)*5+1.8)/Basis!$E$3,1)</f>
        <v>8.6</v>
      </c>
      <c r="H507" s="120">
        <f>ROUND($P507*Basis!$E$2*((TaH-TrH)/LN(1/µ)/Basis!$E$7)^$N507*$AA$4*Glycol,0)</f>
        <v>3304</v>
      </c>
      <c r="I507" s="83">
        <f>ROUND(H507/(MID($C507,9,3)/Basis!$E$3/Basis!$E$9)*Basis!$E$11,0)</f>
        <v>2014</v>
      </c>
      <c r="J507" s="123">
        <f>IF(Basis!$E$1=1,ROUND(H507/((TaH-TrH)*1.163)/3600,3),ROUND(H507/(500*(TaH-TrH)),2))</f>
        <v>0.33</v>
      </c>
      <c r="K507" s="84"/>
      <c r="L507" s="177">
        <f>CHOOSE(Basis!$E$1,((AJ507*(J507*3600/Basis!$E$5)^AK507*(((MID(C507,9,3)*10)-144)/1000)*AL507+AM507*(J507*3600/Basis!$E$5)^2)*0.0098)/Basis!$E$10,((AJ507*(J507/Basis!$E$5)^AK507*(((MID(C507,9,3)*10)-144)/1000)*AL507+AM507*(J507/Basis!$E$5)^2)*0.0098)/Basis!$E$10)</f>
        <v>1.0449671601161588E-2</v>
      </c>
      <c r="M507" s="85"/>
      <c r="N507" s="109">
        <v>1.5009999999999999</v>
      </c>
      <c r="O507" s="68"/>
      <c r="P507" s="67">
        <v>1589</v>
      </c>
      <c r="Q507" s="68"/>
      <c r="R507" s="69"/>
      <c r="S507" s="69"/>
      <c r="T507" s="69"/>
      <c r="U507" s="69"/>
      <c r="V507" s="69"/>
      <c r="W507" s="68"/>
      <c r="X507" s="70"/>
      <c r="Y507" s="70"/>
      <c r="Z507" s="70"/>
      <c r="AA507" s="70"/>
      <c r="AB507" s="70"/>
      <c r="AC507" s="68"/>
      <c r="AD507" s="71"/>
      <c r="AE507" s="71"/>
      <c r="AF507" s="71"/>
      <c r="AG507" s="71"/>
      <c r="AH507" s="71"/>
      <c r="AI507" s="68"/>
      <c r="AJ507" s="214">
        <v>1.2760000000000001E-4</v>
      </c>
      <c r="AK507" s="214">
        <v>1.7219</v>
      </c>
      <c r="AL507" s="214">
        <v>4</v>
      </c>
      <c r="AM507" s="214">
        <v>5.1420100000000005E-4</v>
      </c>
      <c r="AN507" s="68"/>
      <c r="AO507" s="67"/>
      <c r="AP507" s="67"/>
      <c r="AQ507" s="67"/>
      <c r="AR507" s="67"/>
      <c r="AS507" s="67"/>
      <c r="AT507" s="68"/>
      <c r="AU507" s="49"/>
      <c r="AV507" s="50"/>
    </row>
    <row r="508" spans="1:48" ht="12.75" customHeight="1" x14ac:dyDescent="0.25">
      <c r="A508" s="72" t="s">
        <v>23</v>
      </c>
      <c r="B508" s="43" t="s">
        <v>159</v>
      </c>
      <c r="C508" s="44" t="s">
        <v>658</v>
      </c>
      <c r="D508" s="45">
        <f>MROUND(MID($C508,6,3)/Basis!$E$3,0.5)</f>
        <v>27.5</v>
      </c>
      <c r="E508" s="45">
        <f>MROUND(MID($C508,9,3)/Basis!$E$3,0.5)</f>
        <v>23.5</v>
      </c>
      <c r="F508" s="124" t="s">
        <v>2943</v>
      </c>
      <c r="G508" s="45">
        <f>ROUND((ROUNDDOWN($F508/5,0)*5+1.8)/Basis!$E$3,1)</f>
        <v>4.5999999999999996</v>
      </c>
      <c r="H508" s="120">
        <f>ROUND($P508*Basis!$E$2*((TaH-TrH)/LN(1/µ)/Basis!$E$7)^$N508*$AA$4*Glycol,0)</f>
        <v>1628</v>
      </c>
      <c r="I508" s="83">
        <f>ROUND(H508/(MID($C508,9,3)/Basis!$E$3/Basis!$E$9)*Basis!$E$11,0)</f>
        <v>827</v>
      </c>
      <c r="J508" s="123">
        <f>IF(Basis!$E$1=1,ROUND(H508/((TaH-TrH)*1.163)/3600,3),ROUND(H508/(500*(TaH-TrH)),2))</f>
        <v>0.16</v>
      </c>
      <c r="K508" s="84"/>
      <c r="L508" s="177">
        <f>CHOOSE(Basis!$E$1,((AJ508*(J508*3600/Basis!$E$5)^AK508*(((MID(C508,9,3)*10)-144)/1000)*AL508+AM508*(J508*3600/Basis!$E$5)^2)*0.0098)/Basis!$E$10,((AJ508*(J508/Basis!$E$5)^AK508*(((MID(C508,9,3)*10)-144)/1000)*AL508+AM508*(J508/Basis!$E$5)^2)*0.0098)/Basis!$E$10)</f>
        <v>2.1885127192364483E-3</v>
      </c>
      <c r="M508" s="85"/>
      <c r="N508" s="110">
        <v>1.3660000000000001</v>
      </c>
      <c r="O508" s="74"/>
      <c r="P508" s="73">
        <v>749</v>
      </c>
      <c r="Q508" s="74"/>
      <c r="R508" s="75"/>
      <c r="S508" s="75"/>
      <c r="T508" s="75"/>
      <c r="U508" s="75"/>
      <c r="V508" s="75"/>
      <c r="W508" s="74"/>
      <c r="X508" s="76"/>
      <c r="Y508" s="76"/>
      <c r="Z508" s="76"/>
      <c r="AA508" s="76"/>
      <c r="AB508" s="76"/>
      <c r="AC508" s="74"/>
      <c r="AD508" s="77"/>
      <c r="AE508" s="77"/>
      <c r="AF508" s="77"/>
      <c r="AG508" s="77"/>
      <c r="AH508" s="77"/>
      <c r="AI508" s="68"/>
      <c r="AJ508" s="213">
        <v>3.9689999999999994E-4</v>
      </c>
      <c r="AK508" s="213">
        <v>1.7345999999999999</v>
      </c>
      <c r="AL508" s="213">
        <v>2</v>
      </c>
      <c r="AM508" s="213">
        <v>3.6734700000000002E-4</v>
      </c>
      <c r="AN508" s="74"/>
      <c r="AO508" s="73"/>
      <c r="AP508" s="73"/>
      <c r="AQ508" s="73"/>
      <c r="AR508" s="73"/>
      <c r="AS508" s="73"/>
      <c r="AT508" s="74"/>
      <c r="AU508" s="47"/>
      <c r="AV508" s="48"/>
    </row>
    <row r="509" spans="1:48" ht="12.75" customHeight="1" x14ac:dyDescent="0.25">
      <c r="A509" s="72" t="s">
        <v>23</v>
      </c>
      <c r="B509" s="43" t="s">
        <v>159</v>
      </c>
      <c r="C509" s="44" t="s">
        <v>659</v>
      </c>
      <c r="D509" s="45">
        <f>MROUND(MID($C509,6,3)/Basis!$E$3,0.5)</f>
        <v>27.5</v>
      </c>
      <c r="E509" s="45">
        <f>MROUND(MID($C509,9,3)/Basis!$E$3,0.5)</f>
        <v>23.5</v>
      </c>
      <c r="F509" s="124" t="s">
        <v>2946</v>
      </c>
      <c r="G509" s="45">
        <f>ROUND((ROUNDDOWN($F509/5,0)*5+1.8)/Basis!$E$3,1)</f>
        <v>4.5999999999999996</v>
      </c>
      <c r="H509" s="120">
        <f>ROUND($P509*Basis!$E$2*((TaH-TrH)/LN(1/µ)/Basis!$E$7)^$N509*$AA$4*Glycol,0)</f>
        <v>2026</v>
      </c>
      <c r="I509" s="83">
        <f>ROUND(H509/(MID($C509,9,3)/Basis!$E$3/Basis!$E$9)*Basis!$E$11,0)</f>
        <v>1029</v>
      </c>
      <c r="J509" s="123">
        <f>IF(Basis!$E$1=1,ROUND(H509/((TaH-TrH)*1.163)/3600,3),ROUND(H509/(500*(TaH-TrH)),2))</f>
        <v>0.2</v>
      </c>
      <c r="K509" s="84"/>
      <c r="L509" s="177">
        <f>CHOOSE(Basis!$E$1,((AJ509*(J509*3600/Basis!$E$5)^AK509*(((MID(C509,9,3)*10)-144)/1000)*AL509+AM509*(J509*3600/Basis!$E$5)^2)*0.0098)/Basis!$E$10,((AJ509*(J509/Basis!$E$5)^AK509*(((MID(C509,9,3)*10)-144)/1000)*AL509+AM509*(J509/Basis!$E$5)^2)*0.0098)/Basis!$E$10)</f>
        <v>5.6486391721736603E-3</v>
      </c>
      <c r="M509" s="85"/>
      <c r="N509" s="109">
        <v>1.4359999999999999</v>
      </c>
      <c r="O509" s="68"/>
      <c r="P509" s="67">
        <v>954</v>
      </c>
      <c r="Q509" s="68"/>
      <c r="R509" s="69"/>
      <c r="S509" s="69"/>
      <c r="T509" s="69"/>
      <c r="U509" s="69"/>
      <c r="V509" s="69"/>
      <c r="W509" s="68"/>
      <c r="X509" s="70"/>
      <c r="Y509" s="70"/>
      <c r="Z509" s="70"/>
      <c r="AA509" s="70"/>
      <c r="AB509" s="70"/>
      <c r="AC509" s="68"/>
      <c r="AD509" s="71"/>
      <c r="AE509" s="71"/>
      <c r="AF509" s="71"/>
      <c r="AG509" s="71"/>
      <c r="AH509" s="71"/>
      <c r="AI509" s="68"/>
      <c r="AJ509" s="214">
        <v>3.9689999999999994E-4</v>
      </c>
      <c r="AK509" s="214">
        <v>1.7345999999999999</v>
      </c>
      <c r="AL509" s="214">
        <v>4</v>
      </c>
      <c r="AM509" s="214">
        <v>5.7428799999999995E-4</v>
      </c>
      <c r="AN509" s="68"/>
      <c r="AO509" s="67"/>
      <c r="AP509" s="67"/>
      <c r="AQ509" s="67"/>
      <c r="AR509" s="67"/>
      <c r="AS509" s="67"/>
      <c r="AT509" s="68"/>
      <c r="AU509" s="49"/>
      <c r="AV509" s="50"/>
    </row>
    <row r="510" spans="1:48" ht="12.75" customHeight="1" x14ac:dyDescent="0.25">
      <c r="A510" s="72" t="s">
        <v>23</v>
      </c>
      <c r="B510" s="43" t="s">
        <v>159</v>
      </c>
      <c r="C510" s="44" t="s">
        <v>660</v>
      </c>
      <c r="D510" s="45">
        <f>MROUND(MID($C510,6,3)/Basis!$E$3,0.5)</f>
        <v>27.5</v>
      </c>
      <c r="E510" s="45">
        <f>MROUND(MID($C510,9,3)/Basis!$E$3,0.5)</f>
        <v>23.5</v>
      </c>
      <c r="F510" s="124" t="s">
        <v>2944</v>
      </c>
      <c r="G510" s="45">
        <f>ROUND((ROUNDDOWN($F510/5,0)*5+1.8)/Basis!$E$3,1)</f>
        <v>6.6</v>
      </c>
      <c r="H510" s="120">
        <f>ROUND($P510*Basis!$E$2*((TaH-TrH)/LN(1/µ)/Basis!$E$7)^$N510*$AA$4*Glycol,0)</f>
        <v>2585</v>
      </c>
      <c r="I510" s="83">
        <f>ROUND(H510/(MID($C510,9,3)/Basis!$E$3/Basis!$E$9)*Basis!$E$11,0)</f>
        <v>1313</v>
      </c>
      <c r="J510" s="123">
        <f>IF(Basis!$E$1=1,ROUND(H510/((TaH-TrH)*1.163)/3600,3),ROUND(H510/(500*(TaH-TrH)),2))</f>
        <v>0.26</v>
      </c>
      <c r="K510" s="84"/>
      <c r="L510" s="177">
        <f>CHOOSE(Basis!$E$1,((AJ510*(J510*3600/Basis!$E$5)^AK510*(((MID(C510,9,3)*10)-144)/1000)*AL510+AM510*(J510*3600/Basis!$E$5)^2)*0.0098)/Basis!$E$10,((AJ510*(J510/Basis!$E$5)^AK510*(((MID(C510,9,3)*10)-144)/1000)*AL510+AM510*(J510/Basis!$E$5)^2)*0.0098)/Basis!$E$10)</f>
        <v>5.9685841332678914E-3</v>
      </c>
      <c r="M510" s="85"/>
      <c r="N510" s="109">
        <v>1.35</v>
      </c>
      <c r="O510" s="68"/>
      <c r="P510" s="67">
        <v>1183</v>
      </c>
      <c r="Q510" s="68"/>
      <c r="R510" s="69"/>
      <c r="S510" s="69"/>
      <c r="T510" s="69"/>
      <c r="U510" s="69"/>
      <c r="V510" s="69"/>
      <c r="W510" s="68"/>
      <c r="X510" s="70"/>
      <c r="Y510" s="70"/>
      <c r="Z510" s="70"/>
      <c r="AA510" s="70"/>
      <c r="AB510" s="70"/>
      <c r="AC510" s="68"/>
      <c r="AD510" s="71"/>
      <c r="AE510" s="71"/>
      <c r="AF510" s="71"/>
      <c r="AG510" s="71"/>
      <c r="AH510" s="71"/>
      <c r="AI510" s="68"/>
      <c r="AJ510" s="214">
        <v>2.0829999999999999E-4</v>
      </c>
      <c r="AK510" s="214">
        <v>1.724</v>
      </c>
      <c r="AL510" s="214">
        <v>2</v>
      </c>
      <c r="AM510" s="214">
        <v>4.6182900000000003E-4</v>
      </c>
      <c r="AN510" s="68"/>
      <c r="AO510" s="67"/>
      <c r="AP510" s="67"/>
      <c r="AQ510" s="67"/>
      <c r="AR510" s="67"/>
      <c r="AS510" s="67"/>
      <c r="AT510" s="68"/>
      <c r="AU510" s="49"/>
      <c r="AV510" s="50"/>
    </row>
    <row r="511" spans="1:48" ht="12.75" customHeight="1" x14ac:dyDescent="0.25">
      <c r="A511" s="72" t="s">
        <v>23</v>
      </c>
      <c r="B511" s="43" t="s">
        <v>159</v>
      </c>
      <c r="C511" s="44" t="s">
        <v>661</v>
      </c>
      <c r="D511" s="45">
        <f>MROUND(MID($C511,6,3)/Basis!$E$3,0.5)</f>
        <v>27.5</v>
      </c>
      <c r="E511" s="45">
        <f>MROUND(MID($C511,9,3)/Basis!$E$3,0.5)</f>
        <v>23.5</v>
      </c>
      <c r="F511" s="124" t="s">
        <v>2947</v>
      </c>
      <c r="G511" s="45">
        <f>ROUND((ROUNDDOWN($F511/5,0)*5+1.8)/Basis!$E$3,1)</f>
        <v>6.6</v>
      </c>
      <c r="H511" s="120">
        <f>ROUND($P511*Basis!$E$2*((TaH-TrH)/LN(1/µ)/Basis!$E$7)^$N511*$AA$4*Glycol,0)</f>
        <v>2846</v>
      </c>
      <c r="I511" s="83">
        <f>ROUND(H511/(MID($C511,9,3)/Basis!$E$3/Basis!$E$9)*Basis!$E$11,0)</f>
        <v>1446</v>
      </c>
      <c r="J511" s="123">
        <f>IF(Basis!$E$1=1,ROUND(H511/((TaH-TrH)*1.163)/3600,3),ROUND(H511/(500*(TaH-TrH)),2))</f>
        <v>0.28000000000000003</v>
      </c>
      <c r="K511" s="84"/>
      <c r="L511" s="177">
        <f>CHOOSE(Basis!$E$1,((AJ511*(J511*3600/Basis!$E$5)^AK511*(((MID(C511,9,3)*10)-144)/1000)*AL511+AM511*(J511*3600/Basis!$E$5)^2)*0.0098)/Basis!$E$10,((AJ511*(J511/Basis!$E$5)^AK511*(((MID(C511,9,3)*10)-144)/1000)*AL511+AM511*(J511/Basis!$E$5)^2)*0.0098)/Basis!$E$10)</f>
        <v>2.0015041983456737E-2</v>
      </c>
      <c r="M511" s="85"/>
      <c r="N511" s="110">
        <v>1.472</v>
      </c>
      <c r="O511" s="74"/>
      <c r="P511" s="73">
        <v>1356</v>
      </c>
      <c r="Q511" s="74"/>
      <c r="R511" s="75"/>
      <c r="S511" s="75"/>
      <c r="T511" s="75"/>
      <c r="U511" s="75"/>
      <c r="V511" s="75"/>
      <c r="W511" s="74"/>
      <c r="X511" s="76"/>
      <c r="Y511" s="76"/>
      <c r="Z511" s="76"/>
      <c r="AA511" s="76"/>
      <c r="AB511" s="76"/>
      <c r="AC511" s="74"/>
      <c r="AD511" s="77"/>
      <c r="AE511" s="77"/>
      <c r="AF511" s="77"/>
      <c r="AG511" s="77"/>
      <c r="AH511" s="77"/>
      <c r="AI511" s="68"/>
      <c r="AJ511" s="213">
        <v>2.0829999999999999E-4</v>
      </c>
      <c r="AK511" s="213">
        <v>1.724</v>
      </c>
      <c r="AL511" s="213">
        <v>4</v>
      </c>
      <c r="AM511" s="213">
        <v>1.392796E-3</v>
      </c>
      <c r="AN511" s="74"/>
      <c r="AO511" s="73"/>
      <c r="AP511" s="73"/>
      <c r="AQ511" s="73"/>
      <c r="AR511" s="73"/>
      <c r="AS511" s="73"/>
      <c r="AT511" s="74"/>
      <c r="AU511" s="47"/>
      <c r="AV511" s="48"/>
    </row>
    <row r="512" spans="1:48" ht="12.75" customHeight="1" x14ac:dyDescent="0.25">
      <c r="A512" s="72" t="s">
        <v>23</v>
      </c>
      <c r="B512" s="43" t="s">
        <v>159</v>
      </c>
      <c r="C512" s="44" t="s">
        <v>662</v>
      </c>
      <c r="D512" s="45">
        <f>MROUND(MID($C512,6,3)/Basis!$E$3,0.5)</f>
        <v>27.5</v>
      </c>
      <c r="E512" s="45">
        <f>MROUND(MID($C512,9,3)/Basis!$E$3,0.5)</f>
        <v>23.5</v>
      </c>
      <c r="F512" s="124" t="s">
        <v>2945</v>
      </c>
      <c r="G512" s="45">
        <f>ROUND((ROUNDDOWN($F512/5,0)*5+1.8)/Basis!$E$3,1)</f>
        <v>8.6</v>
      </c>
      <c r="H512" s="120">
        <f>ROUND($P512*Basis!$E$2*((TaH-TrH)/LN(1/µ)/Basis!$E$7)^$N512*$AA$4*Glycol,0)</f>
        <v>3611</v>
      </c>
      <c r="I512" s="83">
        <f>ROUND(H512/(MID($C512,9,3)/Basis!$E$3/Basis!$E$9)*Basis!$E$11,0)</f>
        <v>1834</v>
      </c>
      <c r="J512" s="123">
        <f>IF(Basis!$E$1=1,ROUND(H512/((TaH-TrH)*1.163)/3600,3),ROUND(H512/(500*(TaH-TrH)),2))</f>
        <v>0.36</v>
      </c>
      <c r="K512" s="84"/>
      <c r="L512" s="177">
        <f>CHOOSE(Basis!$E$1,((AJ512*(J512*3600/Basis!$E$5)^AK512*(((MID(C512,9,3)*10)-144)/1000)*AL512+AM512*(J512*3600/Basis!$E$5)^2)*0.0098)/Basis!$E$10,((AJ512*(J512/Basis!$E$5)^AK512*(((MID(C512,9,3)*10)-144)/1000)*AL512+AM512*(J512/Basis!$E$5)^2)*0.0098)/Basis!$E$10)</f>
        <v>8.9800732194548327E-3</v>
      </c>
      <c r="M512" s="85"/>
      <c r="N512" s="110">
        <v>1.349</v>
      </c>
      <c r="O512" s="74"/>
      <c r="P512" s="73">
        <v>1652</v>
      </c>
      <c r="Q512" s="74"/>
      <c r="R512" s="75"/>
      <c r="S512" s="75"/>
      <c r="T512" s="75"/>
      <c r="U512" s="75"/>
      <c r="V512" s="75"/>
      <c r="W512" s="74"/>
      <c r="X512" s="76"/>
      <c r="Y512" s="76"/>
      <c r="Z512" s="76"/>
      <c r="AA512" s="76"/>
      <c r="AB512" s="76"/>
      <c r="AC512" s="74"/>
      <c r="AD512" s="77"/>
      <c r="AE512" s="77"/>
      <c r="AF512" s="77"/>
      <c r="AG512" s="77"/>
      <c r="AH512" s="77"/>
      <c r="AI512" s="68"/>
      <c r="AJ512" s="213">
        <v>1.2760000000000001E-4</v>
      </c>
      <c r="AK512" s="213">
        <v>1.7219</v>
      </c>
      <c r="AL512" s="213">
        <v>2</v>
      </c>
      <c r="AM512" s="213">
        <v>3.76611E-4</v>
      </c>
      <c r="AN512" s="74"/>
      <c r="AO512" s="73"/>
      <c r="AP512" s="73"/>
      <c r="AQ512" s="73"/>
      <c r="AR512" s="73"/>
      <c r="AS512" s="73"/>
      <c r="AT512" s="74"/>
      <c r="AU512" s="47"/>
      <c r="AV512" s="48"/>
    </row>
    <row r="513" spans="1:48" ht="12.75" customHeight="1" x14ac:dyDescent="0.25">
      <c r="A513" s="72" t="s">
        <v>23</v>
      </c>
      <c r="B513" s="43" t="s">
        <v>159</v>
      </c>
      <c r="C513" s="44" t="s">
        <v>663</v>
      </c>
      <c r="D513" s="45">
        <f>MROUND(MID($C513,6,3)/Basis!$E$3,0.5)</f>
        <v>27.5</v>
      </c>
      <c r="E513" s="45">
        <f>MROUND(MID($C513,9,3)/Basis!$E$3,0.5)</f>
        <v>23.5</v>
      </c>
      <c r="F513" s="124" t="s">
        <v>2948</v>
      </c>
      <c r="G513" s="45">
        <f>ROUND((ROUNDDOWN($F513/5,0)*5+1.8)/Basis!$E$3,1)</f>
        <v>8.6</v>
      </c>
      <c r="H513" s="120">
        <f>ROUND($P513*Basis!$E$2*((TaH-TrH)/LN(1/µ)/Basis!$E$7)^$N513*$AA$4*Glycol,0)</f>
        <v>3963</v>
      </c>
      <c r="I513" s="83">
        <f>ROUND(H513/(MID($C513,9,3)/Basis!$E$3/Basis!$E$9)*Basis!$E$11,0)</f>
        <v>2013</v>
      </c>
      <c r="J513" s="123">
        <f>IF(Basis!$E$1=1,ROUND(H513/((TaH-TrH)*1.163)/3600,3),ROUND(H513/(500*(TaH-TrH)),2))</f>
        <v>0.4</v>
      </c>
      <c r="K513" s="84"/>
      <c r="L513" s="177">
        <f>CHOOSE(Basis!$E$1,((AJ513*(J513*3600/Basis!$E$5)^AK513*(((MID(C513,9,3)*10)-144)/1000)*AL513+AM513*(J513*3600/Basis!$E$5)^2)*0.0098)/Basis!$E$10,((AJ513*(J513/Basis!$E$5)^AK513*(((MID(C513,9,3)*10)-144)/1000)*AL513+AM513*(J513/Basis!$E$5)^2)*0.0098)/Basis!$E$10)</f>
        <v>1.5669216384948084E-2</v>
      </c>
      <c r="M513" s="85"/>
      <c r="N513" s="109">
        <v>1.5009999999999999</v>
      </c>
      <c r="O513" s="68"/>
      <c r="P513" s="67">
        <v>1906</v>
      </c>
      <c r="Q513" s="68"/>
      <c r="R513" s="69"/>
      <c r="S513" s="69"/>
      <c r="T513" s="69"/>
      <c r="U513" s="69"/>
      <c r="V513" s="69"/>
      <c r="W513" s="68"/>
      <c r="X513" s="70"/>
      <c r="Y513" s="70"/>
      <c r="Z513" s="70"/>
      <c r="AA513" s="70"/>
      <c r="AB513" s="70"/>
      <c r="AC513" s="68"/>
      <c r="AD513" s="71"/>
      <c r="AE513" s="71"/>
      <c r="AF513" s="71"/>
      <c r="AG513" s="71"/>
      <c r="AH513" s="71"/>
      <c r="AI513" s="68"/>
      <c r="AJ513" s="214">
        <v>1.2760000000000001E-4</v>
      </c>
      <c r="AK513" s="214">
        <v>1.7219</v>
      </c>
      <c r="AL513" s="214">
        <v>4</v>
      </c>
      <c r="AM513" s="214">
        <v>5.1420100000000005E-4</v>
      </c>
      <c r="AN513" s="68"/>
      <c r="AO513" s="67"/>
      <c r="AP513" s="67"/>
      <c r="AQ513" s="67"/>
      <c r="AR513" s="67"/>
      <c r="AS513" s="67"/>
      <c r="AT513" s="68"/>
      <c r="AU513" s="49"/>
      <c r="AV513" s="50"/>
    </row>
    <row r="514" spans="1:48" ht="12.75" customHeight="1" x14ac:dyDescent="0.25">
      <c r="A514" s="72" t="s">
        <v>23</v>
      </c>
      <c r="B514" s="43" t="s">
        <v>159</v>
      </c>
      <c r="C514" s="44" t="s">
        <v>664</v>
      </c>
      <c r="D514" s="45">
        <f>MROUND(MID($C514,6,3)/Basis!$E$3,0.5)</f>
        <v>27.5</v>
      </c>
      <c r="E514" s="45">
        <f>MROUND(MID($C514,9,3)/Basis!$E$3,0.5)</f>
        <v>27.5</v>
      </c>
      <c r="F514" s="124" t="s">
        <v>2943</v>
      </c>
      <c r="G514" s="45">
        <f>ROUND((ROUNDDOWN($F514/5,0)*5+1.8)/Basis!$E$3,1)</f>
        <v>4.5999999999999996</v>
      </c>
      <c r="H514" s="120">
        <f>ROUND($P514*Basis!$E$2*((TaH-TrH)/LN(1/µ)/Basis!$E$7)^$N514*$AA$4*Glycol,0)</f>
        <v>1900</v>
      </c>
      <c r="I514" s="83">
        <f>ROUND(H514/(MID($C514,9,3)/Basis!$E$3/Basis!$E$9)*Basis!$E$11,0)</f>
        <v>827</v>
      </c>
      <c r="J514" s="123">
        <f>IF(Basis!$E$1=1,ROUND(H514/((TaH-TrH)*1.163)/3600,3),ROUND(H514/(500*(TaH-TrH)),2))</f>
        <v>0.19</v>
      </c>
      <c r="K514" s="84"/>
      <c r="L514" s="177">
        <f>CHOOSE(Basis!$E$1,((AJ514*(J514*3600/Basis!$E$5)^AK514*(((MID(C514,9,3)*10)-144)/1000)*AL514+AM514*(J514*3600/Basis!$E$5)^2)*0.0098)/Basis!$E$10,((AJ514*(J514/Basis!$E$5)^AK514*(((MID(C514,9,3)*10)-144)/1000)*AL514+AM514*(J514/Basis!$E$5)^2)*0.0098)/Basis!$E$10)</f>
        <v>3.226237381339266E-3</v>
      </c>
      <c r="M514" s="85"/>
      <c r="N514" s="109">
        <v>1.3660000000000001</v>
      </c>
      <c r="O514" s="68"/>
      <c r="P514" s="67">
        <v>874</v>
      </c>
      <c r="Q514" s="68"/>
      <c r="R514" s="69"/>
      <c r="S514" s="69"/>
      <c r="T514" s="69"/>
      <c r="U514" s="69"/>
      <c r="V514" s="69"/>
      <c r="W514" s="68"/>
      <c r="X514" s="70"/>
      <c r="Y514" s="70"/>
      <c r="Z514" s="70"/>
      <c r="AA514" s="70"/>
      <c r="AB514" s="70"/>
      <c r="AC514" s="68"/>
      <c r="AD514" s="71"/>
      <c r="AE514" s="71"/>
      <c r="AF514" s="71"/>
      <c r="AG514" s="71"/>
      <c r="AH514" s="71"/>
      <c r="AI514" s="68"/>
      <c r="AJ514" s="214">
        <v>3.9689999999999994E-4</v>
      </c>
      <c r="AK514" s="214">
        <v>1.7345999999999999</v>
      </c>
      <c r="AL514" s="214">
        <v>2</v>
      </c>
      <c r="AM514" s="214">
        <v>3.6734700000000002E-4</v>
      </c>
      <c r="AN514" s="68"/>
      <c r="AO514" s="67"/>
      <c r="AP514" s="67"/>
      <c r="AQ514" s="67"/>
      <c r="AR514" s="67"/>
      <c r="AS514" s="67"/>
      <c r="AT514" s="68"/>
      <c r="AU514" s="49"/>
      <c r="AV514" s="50"/>
    </row>
    <row r="515" spans="1:48" ht="12.75" customHeight="1" x14ac:dyDescent="0.25">
      <c r="A515" s="72" t="s">
        <v>23</v>
      </c>
      <c r="B515" s="43" t="s">
        <v>159</v>
      </c>
      <c r="C515" s="44" t="s">
        <v>665</v>
      </c>
      <c r="D515" s="45">
        <f>MROUND(MID($C515,6,3)/Basis!$E$3,0.5)</f>
        <v>27.5</v>
      </c>
      <c r="E515" s="45">
        <f>MROUND(MID($C515,9,3)/Basis!$E$3,0.5)</f>
        <v>27.5</v>
      </c>
      <c r="F515" s="124" t="s">
        <v>2946</v>
      </c>
      <c r="G515" s="45">
        <f>ROUND((ROUNDDOWN($F515/5,0)*5+1.8)/Basis!$E$3,1)</f>
        <v>4.5999999999999996</v>
      </c>
      <c r="H515" s="120">
        <f>ROUND($P515*Basis!$E$2*((TaH-TrH)/LN(1/µ)/Basis!$E$7)^$N515*$AA$4*Glycol,0)</f>
        <v>2364</v>
      </c>
      <c r="I515" s="83">
        <f>ROUND(H515/(MID($C515,9,3)/Basis!$E$3/Basis!$E$9)*Basis!$E$11,0)</f>
        <v>1029</v>
      </c>
      <c r="J515" s="123">
        <f>IF(Basis!$E$1=1,ROUND(H515/((TaH-TrH)*1.163)/3600,3),ROUND(H515/(500*(TaH-TrH)),2))</f>
        <v>0.24</v>
      </c>
      <c r="K515" s="84"/>
      <c r="L515" s="177">
        <f>CHOOSE(Basis!$E$1,((AJ515*(J515*3600/Basis!$E$5)^AK515*(((MID(C515,9,3)*10)-144)/1000)*AL515+AM515*(J515*3600/Basis!$E$5)^2)*0.0098)/Basis!$E$10,((AJ515*(J515/Basis!$E$5)^AK515*(((MID(C515,9,3)*10)-144)/1000)*AL515+AM515*(J515/Basis!$E$5)^2)*0.0098)/Basis!$E$10)</f>
        <v>8.5471287736951247E-3</v>
      </c>
      <c r="M515" s="85"/>
      <c r="N515" s="110">
        <v>1.4359999999999999</v>
      </c>
      <c r="O515" s="74"/>
      <c r="P515" s="73">
        <v>1113</v>
      </c>
      <c r="Q515" s="74"/>
      <c r="R515" s="75"/>
      <c r="S515" s="75"/>
      <c r="T515" s="75"/>
      <c r="U515" s="75"/>
      <c r="V515" s="75"/>
      <c r="W515" s="74"/>
      <c r="X515" s="76"/>
      <c r="Y515" s="76"/>
      <c r="Z515" s="76"/>
      <c r="AA515" s="76"/>
      <c r="AB515" s="76"/>
      <c r="AC515" s="74"/>
      <c r="AD515" s="77"/>
      <c r="AE515" s="77"/>
      <c r="AF515" s="77"/>
      <c r="AG515" s="77"/>
      <c r="AH515" s="77"/>
      <c r="AI515" s="68"/>
      <c r="AJ515" s="213">
        <v>3.9689999999999994E-4</v>
      </c>
      <c r="AK515" s="213">
        <v>1.7345999999999999</v>
      </c>
      <c r="AL515" s="213">
        <v>4</v>
      </c>
      <c r="AM515" s="213">
        <v>5.7428799999999995E-4</v>
      </c>
      <c r="AN515" s="74"/>
      <c r="AO515" s="73"/>
      <c r="AP515" s="73"/>
      <c r="AQ515" s="73"/>
      <c r="AR515" s="73"/>
      <c r="AS515" s="73"/>
      <c r="AT515" s="74"/>
      <c r="AU515" s="47"/>
      <c r="AV515" s="48"/>
    </row>
    <row r="516" spans="1:48" ht="12.75" customHeight="1" x14ac:dyDescent="0.25">
      <c r="A516" s="72" t="s">
        <v>23</v>
      </c>
      <c r="B516" s="43" t="s">
        <v>159</v>
      </c>
      <c r="C516" s="44" t="s">
        <v>666</v>
      </c>
      <c r="D516" s="45">
        <f>MROUND(MID($C516,6,3)/Basis!$E$3,0.5)</f>
        <v>27.5</v>
      </c>
      <c r="E516" s="45">
        <f>MROUND(MID($C516,9,3)/Basis!$E$3,0.5)</f>
        <v>27.5</v>
      </c>
      <c r="F516" s="124" t="s">
        <v>2944</v>
      </c>
      <c r="G516" s="45">
        <f>ROUND((ROUNDDOWN($F516/5,0)*5+1.8)/Basis!$E$3,1)</f>
        <v>6.6</v>
      </c>
      <c r="H516" s="120">
        <f>ROUND($P516*Basis!$E$2*((TaH-TrH)/LN(1/µ)/Basis!$E$7)^$N516*$AA$4*Glycol,0)</f>
        <v>3016</v>
      </c>
      <c r="I516" s="83">
        <f>ROUND(H516/(MID($C516,9,3)/Basis!$E$3/Basis!$E$9)*Basis!$E$11,0)</f>
        <v>1313</v>
      </c>
      <c r="J516" s="123">
        <f>IF(Basis!$E$1=1,ROUND(H516/((TaH-TrH)*1.163)/3600,3),ROUND(H516/(500*(TaH-TrH)),2))</f>
        <v>0.3</v>
      </c>
      <c r="K516" s="84"/>
      <c r="L516" s="177">
        <f>CHOOSE(Basis!$E$1,((AJ516*(J516*3600/Basis!$E$5)^AK516*(((MID(C516,9,3)*10)-144)/1000)*AL516+AM516*(J516*3600/Basis!$E$5)^2)*0.0098)/Basis!$E$10,((AJ516*(J516/Basis!$E$5)^AK516*(((MID(C516,9,3)*10)-144)/1000)*AL516+AM516*(J516/Basis!$E$5)^2)*0.0098)/Basis!$E$10)</f>
        <v>8.1073436086667519E-3</v>
      </c>
      <c r="M516" s="85"/>
      <c r="N516" s="110">
        <v>1.35</v>
      </c>
      <c r="O516" s="74"/>
      <c r="P516" s="73">
        <v>1380</v>
      </c>
      <c r="Q516" s="74"/>
      <c r="R516" s="75"/>
      <c r="S516" s="75"/>
      <c r="T516" s="75"/>
      <c r="U516" s="75"/>
      <c r="V516" s="75"/>
      <c r="W516" s="74"/>
      <c r="X516" s="76"/>
      <c r="Y516" s="76"/>
      <c r="Z516" s="76"/>
      <c r="AA516" s="76"/>
      <c r="AB516" s="76"/>
      <c r="AC516" s="74"/>
      <c r="AD516" s="77"/>
      <c r="AE516" s="77"/>
      <c r="AF516" s="77"/>
      <c r="AG516" s="77"/>
      <c r="AH516" s="77"/>
      <c r="AI516" s="68"/>
      <c r="AJ516" s="213">
        <v>2.0829999999999999E-4</v>
      </c>
      <c r="AK516" s="213">
        <v>1.724</v>
      </c>
      <c r="AL516" s="213">
        <v>2</v>
      </c>
      <c r="AM516" s="213">
        <v>4.6182900000000003E-4</v>
      </c>
      <c r="AN516" s="74"/>
      <c r="AO516" s="73"/>
      <c r="AP516" s="73"/>
      <c r="AQ516" s="73"/>
      <c r="AR516" s="73"/>
      <c r="AS516" s="73"/>
      <c r="AT516" s="74"/>
      <c r="AU516" s="47"/>
      <c r="AV516" s="48"/>
    </row>
    <row r="517" spans="1:48" ht="12.75" customHeight="1" x14ac:dyDescent="0.25">
      <c r="A517" s="72" t="s">
        <v>23</v>
      </c>
      <c r="B517" s="43" t="s">
        <v>159</v>
      </c>
      <c r="C517" s="44" t="s">
        <v>667</v>
      </c>
      <c r="D517" s="45">
        <f>MROUND(MID($C517,6,3)/Basis!$E$3,0.5)</f>
        <v>27.5</v>
      </c>
      <c r="E517" s="45">
        <f>MROUND(MID($C517,9,3)/Basis!$E$3,0.5)</f>
        <v>27.5</v>
      </c>
      <c r="F517" s="124" t="s">
        <v>2947</v>
      </c>
      <c r="G517" s="45">
        <f>ROUND((ROUNDDOWN($F517/5,0)*5+1.8)/Basis!$E$3,1)</f>
        <v>6.6</v>
      </c>
      <c r="H517" s="120">
        <f>ROUND($P517*Basis!$E$2*((TaH-TrH)/LN(1/µ)/Basis!$E$7)^$N517*$AA$4*Glycol,0)</f>
        <v>3321</v>
      </c>
      <c r="I517" s="83">
        <f>ROUND(H517/(MID($C517,9,3)/Basis!$E$3/Basis!$E$9)*Basis!$E$11,0)</f>
        <v>1446</v>
      </c>
      <c r="J517" s="123">
        <f>IF(Basis!$E$1=1,ROUND(H517/((TaH-TrH)*1.163)/3600,3),ROUND(H517/(500*(TaH-TrH)),2))</f>
        <v>0.33</v>
      </c>
      <c r="K517" s="84"/>
      <c r="L517" s="177">
        <f>CHOOSE(Basis!$E$1,((AJ517*(J517*3600/Basis!$E$5)^AK517*(((MID(C517,9,3)*10)-144)/1000)*AL517+AM517*(J517*3600/Basis!$E$5)^2)*0.0098)/Basis!$E$10,((AJ517*(J517/Basis!$E$5)^AK517*(((MID(C517,9,3)*10)-144)/1000)*AL517+AM517*(J517/Basis!$E$5)^2)*0.0098)/Basis!$E$10)</f>
        <v>2.8168075666937777E-2</v>
      </c>
      <c r="M517" s="85"/>
      <c r="N517" s="109">
        <v>1.472</v>
      </c>
      <c r="O517" s="68"/>
      <c r="P517" s="67">
        <v>1582</v>
      </c>
      <c r="Q517" s="68"/>
      <c r="R517" s="69"/>
      <c r="S517" s="69"/>
      <c r="T517" s="69"/>
      <c r="U517" s="69"/>
      <c r="V517" s="69"/>
      <c r="W517" s="68"/>
      <c r="X517" s="70"/>
      <c r="Y517" s="70"/>
      <c r="Z517" s="70"/>
      <c r="AA517" s="70"/>
      <c r="AB517" s="70"/>
      <c r="AC517" s="68"/>
      <c r="AD517" s="71"/>
      <c r="AE517" s="71"/>
      <c r="AF517" s="71"/>
      <c r="AG517" s="71"/>
      <c r="AH517" s="71"/>
      <c r="AI517" s="68"/>
      <c r="AJ517" s="214">
        <v>2.0829999999999999E-4</v>
      </c>
      <c r="AK517" s="214">
        <v>1.724</v>
      </c>
      <c r="AL517" s="214">
        <v>4</v>
      </c>
      <c r="AM517" s="214">
        <v>1.392796E-3</v>
      </c>
      <c r="AN517" s="68"/>
      <c r="AO517" s="67"/>
      <c r="AP517" s="67"/>
      <c r="AQ517" s="67"/>
      <c r="AR517" s="67"/>
      <c r="AS517" s="67"/>
      <c r="AT517" s="68"/>
      <c r="AU517" s="49"/>
      <c r="AV517" s="50"/>
    </row>
    <row r="518" spans="1:48" ht="12.75" customHeight="1" x14ac:dyDescent="0.25">
      <c r="A518" s="72" t="s">
        <v>23</v>
      </c>
      <c r="B518" s="43" t="s">
        <v>159</v>
      </c>
      <c r="C518" s="44" t="s">
        <v>668</v>
      </c>
      <c r="D518" s="45">
        <f>MROUND(MID($C518,6,3)/Basis!$E$3,0.5)</f>
        <v>27.5</v>
      </c>
      <c r="E518" s="45">
        <f>MROUND(MID($C518,9,3)/Basis!$E$3,0.5)</f>
        <v>27.5</v>
      </c>
      <c r="F518" s="124" t="s">
        <v>2945</v>
      </c>
      <c r="G518" s="45">
        <f>ROUND((ROUNDDOWN($F518/5,0)*5+1.8)/Basis!$E$3,1)</f>
        <v>8.6</v>
      </c>
      <c r="H518" s="120">
        <f>ROUND($P518*Basis!$E$2*((TaH-TrH)/LN(1/µ)/Basis!$E$7)^$N518*$AA$4*Glycol,0)</f>
        <v>4213</v>
      </c>
      <c r="I518" s="83">
        <f>ROUND(H518/(MID($C518,9,3)/Basis!$E$3/Basis!$E$9)*Basis!$E$11,0)</f>
        <v>1834</v>
      </c>
      <c r="J518" s="123">
        <f>IF(Basis!$E$1=1,ROUND(H518/((TaH-TrH)*1.163)/3600,3),ROUND(H518/(500*(TaH-TrH)),2))</f>
        <v>0.42</v>
      </c>
      <c r="K518" s="84"/>
      <c r="L518" s="177">
        <f>CHOOSE(Basis!$E$1,((AJ518*(J518*3600/Basis!$E$5)^AK518*(((MID(C518,9,3)*10)-144)/1000)*AL518+AM518*(J518*3600/Basis!$E$5)^2)*0.0098)/Basis!$E$10,((AJ518*(J518/Basis!$E$5)^AK518*(((MID(C518,9,3)*10)-144)/1000)*AL518+AM518*(J518/Basis!$E$5)^2)*0.0098)/Basis!$E$10)</f>
        <v>1.2393938862806292E-2</v>
      </c>
      <c r="M518" s="85"/>
      <c r="N518" s="109">
        <v>1.349</v>
      </c>
      <c r="O518" s="68"/>
      <c r="P518" s="67">
        <v>1927</v>
      </c>
      <c r="Q518" s="68"/>
      <c r="R518" s="69"/>
      <c r="S518" s="69"/>
      <c r="T518" s="69"/>
      <c r="U518" s="69"/>
      <c r="V518" s="69"/>
      <c r="W518" s="68"/>
      <c r="X518" s="70"/>
      <c r="Y518" s="70"/>
      <c r="Z518" s="70"/>
      <c r="AA518" s="70"/>
      <c r="AB518" s="70"/>
      <c r="AC518" s="68"/>
      <c r="AD518" s="71"/>
      <c r="AE518" s="71"/>
      <c r="AF518" s="71"/>
      <c r="AG518" s="71"/>
      <c r="AH518" s="71"/>
      <c r="AI518" s="68"/>
      <c r="AJ518" s="214">
        <v>1.2760000000000001E-4</v>
      </c>
      <c r="AK518" s="214">
        <v>1.7219</v>
      </c>
      <c r="AL518" s="214">
        <v>2</v>
      </c>
      <c r="AM518" s="214">
        <v>3.76611E-4</v>
      </c>
      <c r="AN518" s="68"/>
      <c r="AO518" s="67"/>
      <c r="AP518" s="67"/>
      <c r="AQ518" s="67"/>
      <c r="AR518" s="67"/>
      <c r="AS518" s="67"/>
      <c r="AT518" s="68"/>
      <c r="AU518" s="49"/>
      <c r="AV518" s="50"/>
    </row>
    <row r="519" spans="1:48" ht="12.75" customHeight="1" x14ac:dyDescent="0.25">
      <c r="A519" s="72" t="s">
        <v>23</v>
      </c>
      <c r="B519" s="43" t="s">
        <v>159</v>
      </c>
      <c r="C519" s="44" t="s">
        <v>669</v>
      </c>
      <c r="D519" s="45">
        <f>MROUND(MID($C519,6,3)/Basis!$E$3,0.5)</f>
        <v>27.5</v>
      </c>
      <c r="E519" s="45">
        <f>MROUND(MID($C519,9,3)/Basis!$E$3,0.5)</f>
        <v>27.5</v>
      </c>
      <c r="F519" s="124" t="s">
        <v>2948</v>
      </c>
      <c r="G519" s="45">
        <f>ROUND((ROUNDDOWN($F519/5,0)*5+1.8)/Basis!$E$3,1)</f>
        <v>8.6</v>
      </c>
      <c r="H519" s="120">
        <f>ROUND($P519*Basis!$E$2*((TaH-TrH)/LN(1/µ)/Basis!$E$7)^$N519*$AA$4*Glycol,0)</f>
        <v>4624</v>
      </c>
      <c r="I519" s="83">
        <f>ROUND(H519/(MID($C519,9,3)/Basis!$E$3/Basis!$E$9)*Basis!$E$11,0)</f>
        <v>2013</v>
      </c>
      <c r="J519" s="123">
        <f>IF(Basis!$E$1=1,ROUND(H519/((TaH-TrH)*1.163)/3600,3),ROUND(H519/(500*(TaH-TrH)),2))</f>
        <v>0.46</v>
      </c>
      <c r="K519" s="84"/>
      <c r="L519" s="177">
        <f>CHOOSE(Basis!$E$1,((AJ519*(J519*3600/Basis!$E$5)^AK519*(((MID(C519,9,3)*10)-144)/1000)*AL519+AM519*(J519*3600/Basis!$E$5)^2)*0.0098)/Basis!$E$10,((AJ519*(J519/Basis!$E$5)^AK519*(((MID(C519,9,3)*10)-144)/1000)*AL519+AM519*(J519/Basis!$E$5)^2)*0.0098)/Basis!$E$10)</f>
        <v>2.113218275196635E-2</v>
      </c>
      <c r="M519" s="85"/>
      <c r="N519" s="110">
        <v>1.5009999999999999</v>
      </c>
      <c r="O519" s="74"/>
      <c r="P519" s="73">
        <v>2224</v>
      </c>
      <c r="Q519" s="74"/>
      <c r="R519" s="75"/>
      <c r="S519" s="75"/>
      <c r="T519" s="75"/>
      <c r="U519" s="75"/>
      <c r="V519" s="75"/>
      <c r="W519" s="74"/>
      <c r="X519" s="76"/>
      <c r="Y519" s="76"/>
      <c r="Z519" s="76"/>
      <c r="AA519" s="76"/>
      <c r="AB519" s="76"/>
      <c r="AC519" s="74"/>
      <c r="AD519" s="77"/>
      <c r="AE519" s="77"/>
      <c r="AF519" s="77"/>
      <c r="AG519" s="77"/>
      <c r="AH519" s="77"/>
      <c r="AI519" s="68"/>
      <c r="AJ519" s="213">
        <v>1.2760000000000001E-4</v>
      </c>
      <c r="AK519" s="213">
        <v>1.7219</v>
      </c>
      <c r="AL519" s="213">
        <v>4</v>
      </c>
      <c r="AM519" s="213">
        <v>5.1420100000000005E-4</v>
      </c>
      <c r="AN519" s="74"/>
      <c r="AO519" s="73"/>
      <c r="AP519" s="73"/>
      <c r="AQ519" s="73"/>
      <c r="AR519" s="73"/>
      <c r="AS519" s="73"/>
      <c r="AT519" s="74"/>
      <c r="AU519" s="47"/>
      <c r="AV519" s="48"/>
    </row>
    <row r="520" spans="1:48" ht="12.75" customHeight="1" x14ac:dyDescent="0.25">
      <c r="A520" s="72" t="s">
        <v>23</v>
      </c>
      <c r="B520" s="43" t="s">
        <v>159</v>
      </c>
      <c r="C520" s="44" t="s">
        <v>670</v>
      </c>
      <c r="D520" s="45">
        <f>MROUND(MID($C520,6,3)/Basis!$E$3,0.5)</f>
        <v>27.5</v>
      </c>
      <c r="E520" s="45">
        <f>MROUND(MID($C520,9,3)/Basis!$E$3,0.5)</f>
        <v>31.5</v>
      </c>
      <c r="F520" s="124" t="s">
        <v>2943</v>
      </c>
      <c r="G520" s="45">
        <f>ROUND((ROUNDDOWN($F520/5,0)*5+1.8)/Basis!$E$3,1)</f>
        <v>4.5999999999999996</v>
      </c>
      <c r="H520" s="120">
        <f>ROUND($P520*Basis!$E$2*((TaH-TrH)/LN(1/µ)/Basis!$E$7)^$N520*$AA$4*Glycol,0)</f>
        <v>2169</v>
      </c>
      <c r="I520" s="83">
        <f>ROUND(H520/(MID($C520,9,3)/Basis!$E$3/Basis!$E$9)*Basis!$E$11,0)</f>
        <v>826</v>
      </c>
      <c r="J520" s="123">
        <f>IF(Basis!$E$1=1,ROUND(H520/((TaH-TrH)*1.163)/3600,3),ROUND(H520/(500*(TaH-TrH)),2))</f>
        <v>0.22</v>
      </c>
      <c r="K520" s="84"/>
      <c r="L520" s="177">
        <f>CHOOSE(Basis!$E$1,((AJ520*(J520*3600/Basis!$E$5)^AK520*(((MID(C520,9,3)*10)-144)/1000)*AL520+AM520*(J520*3600/Basis!$E$5)^2)*0.0098)/Basis!$E$10,((AJ520*(J520/Basis!$E$5)^AK520*(((MID(C520,9,3)*10)-144)/1000)*AL520+AM520*(J520/Basis!$E$5)^2)*0.0098)/Basis!$E$10)</f>
        <v>4.5043483399197573E-3</v>
      </c>
      <c r="M520" s="85"/>
      <c r="N520" s="110">
        <v>1.3660000000000001</v>
      </c>
      <c r="O520" s="74"/>
      <c r="P520" s="73">
        <v>998</v>
      </c>
      <c r="Q520" s="74"/>
      <c r="R520" s="75"/>
      <c r="S520" s="75"/>
      <c r="T520" s="75"/>
      <c r="U520" s="75"/>
      <c r="V520" s="75"/>
      <c r="W520" s="74"/>
      <c r="X520" s="76"/>
      <c r="Y520" s="76"/>
      <c r="Z520" s="76"/>
      <c r="AA520" s="76"/>
      <c r="AB520" s="76"/>
      <c r="AC520" s="74"/>
      <c r="AD520" s="77"/>
      <c r="AE520" s="77"/>
      <c r="AF520" s="77"/>
      <c r="AG520" s="77"/>
      <c r="AH520" s="77"/>
      <c r="AI520" s="68"/>
      <c r="AJ520" s="213">
        <v>3.9689999999999994E-4</v>
      </c>
      <c r="AK520" s="213">
        <v>1.7345999999999999</v>
      </c>
      <c r="AL520" s="213">
        <v>2</v>
      </c>
      <c r="AM520" s="213">
        <v>3.6734700000000002E-4</v>
      </c>
      <c r="AN520" s="74"/>
      <c r="AO520" s="73"/>
      <c r="AP520" s="73"/>
      <c r="AQ520" s="73"/>
      <c r="AR520" s="73"/>
      <c r="AS520" s="73"/>
      <c r="AT520" s="74"/>
      <c r="AU520" s="47"/>
      <c r="AV520" s="48"/>
    </row>
    <row r="521" spans="1:48" ht="12.75" customHeight="1" x14ac:dyDescent="0.25">
      <c r="A521" s="72" t="s">
        <v>23</v>
      </c>
      <c r="B521" s="43" t="s">
        <v>159</v>
      </c>
      <c r="C521" s="44" t="s">
        <v>671</v>
      </c>
      <c r="D521" s="45">
        <f>MROUND(MID($C521,6,3)/Basis!$E$3,0.5)</f>
        <v>27.5</v>
      </c>
      <c r="E521" s="45">
        <f>MROUND(MID($C521,9,3)/Basis!$E$3,0.5)</f>
        <v>31.5</v>
      </c>
      <c r="F521" s="124" t="s">
        <v>2946</v>
      </c>
      <c r="G521" s="45">
        <f>ROUND((ROUNDDOWN($F521/5,0)*5+1.8)/Basis!$E$3,1)</f>
        <v>4.5999999999999996</v>
      </c>
      <c r="H521" s="120">
        <f>ROUND($P521*Basis!$E$2*((TaH-TrH)/LN(1/µ)/Basis!$E$7)^$N521*$AA$4*Glycol,0)</f>
        <v>2702</v>
      </c>
      <c r="I521" s="83">
        <f>ROUND(H521/(MID($C521,9,3)/Basis!$E$3/Basis!$E$9)*Basis!$E$11,0)</f>
        <v>1029</v>
      </c>
      <c r="J521" s="123">
        <f>IF(Basis!$E$1=1,ROUND(H521/((TaH-TrH)*1.163)/3600,3),ROUND(H521/(500*(TaH-TrH)),2))</f>
        <v>0.27</v>
      </c>
      <c r="K521" s="84"/>
      <c r="L521" s="177">
        <f>CHOOSE(Basis!$E$1,((AJ521*(J521*3600/Basis!$E$5)^AK521*(((MID(C521,9,3)*10)-144)/1000)*AL521+AM521*(J521*3600/Basis!$E$5)^2)*0.0098)/Basis!$E$10,((AJ521*(J521/Basis!$E$5)^AK521*(((MID(C521,9,3)*10)-144)/1000)*AL521+AM521*(J521/Basis!$E$5)^2)*0.0098)/Basis!$E$10)</f>
        <v>1.1356612263128696E-2</v>
      </c>
      <c r="M521" s="85"/>
      <c r="N521" s="109">
        <v>1.4359999999999999</v>
      </c>
      <c r="O521" s="68"/>
      <c r="P521" s="67">
        <v>1272</v>
      </c>
      <c r="Q521" s="68"/>
      <c r="R521" s="69"/>
      <c r="S521" s="69"/>
      <c r="T521" s="69"/>
      <c r="U521" s="69"/>
      <c r="V521" s="69"/>
      <c r="W521" s="68"/>
      <c r="X521" s="70"/>
      <c r="Y521" s="70"/>
      <c r="Z521" s="70"/>
      <c r="AA521" s="70"/>
      <c r="AB521" s="70"/>
      <c r="AC521" s="68"/>
      <c r="AD521" s="71"/>
      <c r="AE521" s="71"/>
      <c r="AF521" s="71"/>
      <c r="AG521" s="71"/>
      <c r="AH521" s="71"/>
      <c r="AI521" s="68"/>
      <c r="AJ521" s="214">
        <v>3.9689999999999994E-4</v>
      </c>
      <c r="AK521" s="214">
        <v>1.7345999999999999</v>
      </c>
      <c r="AL521" s="214">
        <v>4</v>
      </c>
      <c r="AM521" s="214">
        <v>5.7428799999999995E-4</v>
      </c>
      <c r="AN521" s="68"/>
      <c r="AO521" s="67"/>
      <c r="AP521" s="67"/>
      <c r="AQ521" s="67"/>
      <c r="AR521" s="67"/>
      <c r="AS521" s="67"/>
      <c r="AT521" s="68"/>
      <c r="AU521" s="49"/>
      <c r="AV521" s="50"/>
    </row>
    <row r="522" spans="1:48" ht="12.75" customHeight="1" x14ac:dyDescent="0.25">
      <c r="A522" s="72" t="s">
        <v>23</v>
      </c>
      <c r="B522" s="43" t="s">
        <v>159</v>
      </c>
      <c r="C522" s="44" t="s">
        <v>672</v>
      </c>
      <c r="D522" s="45">
        <f>MROUND(MID($C522,6,3)/Basis!$E$3,0.5)</f>
        <v>27.5</v>
      </c>
      <c r="E522" s="45">
        <f>MROUND(MID($C522,9,3)/Basis!$E$3,0.5)</f>
        <v>31.5</v>
      </c>
      <c r="F522" s="124" t="s">
        <v>2944</v>
      </c>
      <c r="G522" s="45">
        <f>ROUND((ROUNDDOWN($F522/5,0)*5+1.8)/Basis!$E$3,1)</f>
        <v>6.6</v>
      </c>
      <c r="H522" s="120">
        <f>ROUND($P522*Basis!$E$2*((TaH-TrH)/LN(1/µ)/Basis!$E$7)^$N522*$AA$4*Glycol,0)</f>
        <v>3448</v>
      </c>
      <c r="I522" s="83">
        <f>ROUND(H522/(MID($C522,9,3)/Basis!$E$3/Basis!$E$9)*Basis!$E$11,0)</f>
        <v>1314</v>
      </c>
      <c r="J522" s="123">
        <f>IF(Basis!$E$1=1,ROUND(H522/((TaH-TrH)*1.163)/3600,3),ROUND(H522/(500*(TaH-TrH)),2))</f>
        <v>0.34</v>
      </c>
      <c r="K522" s="84"/>
      <c r="L522" s="177">
        <f>CHOOSE(Basis!$E$1,((AJ522*(J522*3600/Basis!$E$5)^AK522*(((MID(C522,9,3)*10)-144)/1000)*AL522+AM522*(J522*3600/Basis!$E$5)^2)*0.0098)/Basis!$E$10,((AJ522*(J522/Basis!$E$5)^AK522*(((MID(C522,9,3)*10)-144)/1000)*AL522+AM522*(J522/Basis!$E$5)^2)*0.0098)/Basis!$E$10)</f>
        <v>1.0610342233549093E-2</v>
      </c>
      <c r="M522" s="85"/>
      <c r="N522" s="109">
        <v>1.35</v>
      </c>
      <c r="O522" s="68"/>
      <c r="P522" s="67">
        <v>1578</v>
      </c>
      <c r="Q522" s="68"/>
      <c r="R522" s="69"/>
      <c r="S522" s="69"/>
      <c r="T522" s="69"/>
      <c r="U522" s="69"/>
      <c r="V522" s="69"/>
      <c r="W522" s="68"/>
      <c r="X522" s="70"/>
      <c r="Y522" s="70"/>
      <c r="Z522" s="70"/>
      <c r="AA522" s="70"/>
      <c r="AB522" s="70"/>
      <c r="AC522" s="68"/>
      <c r="AD522" s="71"/>
      <c r="AE522" s="71"/>
      <c r="AF522" s="71"/>
      <c r="AG522" s="71"/>
      <c r="AH522" s="71"/>
      <c r="AI522" s="68"/>
      <c r="AJ522" s="214">
        <v>2.0829999999999999E-4</v>
      </c>
      <c r="AK522" s="214">
        <v>1.724</v>
      </c>
      <c r="AL522" s="214">
        <v>2</v>
      </c>
      <c r="AM522" s="214">
        <v>4.6182900000000003E-4</v>
      </c>
      <c r="AN522" s="68"/>
      <c r="AO522" s="67"/>
      <c r="AP522" s="67"/>
      <c r="AQ522" s="67"/>
      <c r="AR522" s="67"/>
      <c r="AS522" s="67"/>
      <c r="AT522" s="68"/>
      <c r="AU522" s="49"/>
      <c r="AV522" s="50"/>
    </row>
    <row r="523" spans="1:48" ht="12.75" customHeight="1" x14ac:dyDescent="0.25">
      <c r="A523" s="72" t="s">
        <v>23</v>
      </c>
      <c r="B523" s="43" t="s">
        <v>159</v>
      </c>
      <c r="C523" s="44" t="s">
        <v>673</v>
      </c>
      <c r="D523" s="45">
        <f>MROUND(MID($C523,6,3)/Basis!$E$3,0.5)</f>
        <v>27.5</v>
      </c>
      <c r="E523" s="45">
        <f>MROUND(MID($C523,9,3)/Basis!$E$3,0.5)</f>
        <v>31.5</v>
      </c>
      <c r="F523" s="124" t="s">
        <v>2947</v>
      </c>
      <c r="G523" s="45">
        <f>ROUND((ROUNDDOWN($F523/5,0)*5+1.8)/Basis!$E$3,1)</f>
        <v>6.6</v>
      </c>
      <c r="H523" s="120">
        <f>ROUND($P523*Basis!$E$2*((TaH-TrH)/LN(1/µ)/Basis!$E$7)^$N523*$AA$4*Glycol,0)</f>
        <v>3795</v>
      </c>
      <c r="I523" s="83">
        <f>ROUND(H523/(MID($C523,9,3)/Basis!$E$3/Basis!$E$9)*Basis!$E$11,0)</f>
        <v>1446</v>
      </c>
      <c r="J523" s="123">
        <f>IF(Basis!$E$1=1,ROUND(H523/((TaH-TrH)*1.163)/3600,3),ROUND(H523/(500*(TaH-TrH)),2))</f>
        <v>0.38</v>
      </c>
      <c r="K523" s="84"/>
      <c r="L523" s="177">
        <f>CHOOSE(Basis!$E$1,((AJ523*(J523*3600/Basis!$E$5)^AK523*(((MID(C523,9,3)*10)-144)/1000)*AL523+AM523*(J523*3600/Basis!$E$5)^2)*0.0098)/Basis!$E$10,((AJ523*(J523/Basis!$E$5)^AK523*(((MID(C523,9,3)*10)-144)/1000)*AL523+AM523*(J523/Basis!$E$5)^2)*0.0098)/Basis!$E$10)</f>
        <v>3.7812544485709171E-2</v>
      </c>
      <c r="M523" s="85"/>
      <c r="N523" s="110">
        <v>1.472</v>
      </c>
      <c r="O523" s="74"/>
      <c r="P523" s="73">
        <v>1808</v>
      </c>
      <c r="Q523" s="74"/>
      <c r="R523" s="75"/>
      <c r="S523" s="75"/>
      <c r="T523" s="75"/>
      <c r="U523" s="75"/>
      <c r="V523" s="75"/>
      <c r="W523" s="74"/>
      <c r="X523" s="76"/>
      <c r="Y523" s="76"/>
      <c r="Z523" s="76"/>
      <c r="AA523" s="76"/>
      <c r="AB523" s="76"/>
      <c r="AC523" s="74"/>
      <c r="AD523" s="77"/>
      <c r="AE523" s="77"/>
      <c r="AF523" s="77"/>
      <c r="AG523" s="77"/>
      <c r="AH523" s="77"/>
      <c r="AI523" s="68"/>
      <c r="AJ523" s="213">
        <v>2.0829999999999999E-4</v>
      </c>
      <c r="AK523" s="213">
        <v>1.724</v>
      </c>
      <c r="AL523" s="213">
        <v>4</v>
      </c>
      <c r="AM523" s="213">
        <v>1.392796E-3</v>
      </c>
      <c r="AN523" s="74"/>
      <c r="AO523" s="73"/>
      <c r="AP523" s="73"/>
      <c r="AQ523" s="73"/>
      <c r="AR523" s="73"/>
      <c r="AS523" s="73"/>
      <c r="AT523" s="74"/>
      <c r="AU523" s="47"/>
      <c r="AV523" s="48"/>
    </row>
    <row r="524" spans="1:48" ht="12.75" customHeight="1" x14ac:dyDescent="0.25">
      <c r="A524" s="72" t="s">
        <v>23</v>
      </c>
      <c r="B524" s="43" t="s">
        <v>159</v>
      </c>
      <c r="C524" s="44" t="s">
        <v>674</v>
      </c>
      <c r="D524" s="45">
        <f>MROUND(MID($C524,6,3)/Basis!$E$3,0.5)</f>
        <v>27.5</v>
      </c>
      <c r="E524" s="45">
        <f>MROUND(MID($C524,9,3)/Basis!$E$3,0.5)</f>
        <v>31.5</v>
      </c>
      <c r="F524" s="124" t="s">
        <v>2945</v>
      </c>
      <c r="G524" s="45">
        <f>ROUND((ROUNDDOWN($F524/5,0)*5+1.8)/Basis!$E$3,1)</f>
        <v>8.6</v>
      </c>
      <c r="H524" s="120">
        <f>ROUND($P524*Basis!$E$2*((TaH-TrH)/LN(1/µ)/Basis!$E$7)^$N524*$AA$4*Glycol,0)</f>
        <v>4814</v>
      </c>
      <c r="I524" s="83">
        <f>ROUND(H524/(MID($C524,9,3)/Basis!$E$3/Basis!$E$9)*Basis!$E$11,0)</f>
        <v>1834</v>
      </c>
      <c r="J524" s="123">
        <f>IF(Basis!$E$1=1,ROUND(H524/((TaH-TrH)*1.163)/3600,3),ROUND(H524/(500*(TaH-TrH)),2))</f>
        <v>0.48</v>
      </c>
      <c r="K524" s="84"/>
      <c r="L524" s="177">
        <f>CHOOSE(Basis!$E$1,((AJ524*(J524*3600/Basis!$E$5)^AK524*(((MID(C524,9,3)*10)-144)/1000)*AL524+AM524*(J524*3600/Basis!$E$5)^2)*0.0098)/Basis!$E$10,((AJ524*(J524/Basis!$E$5)^AK524*(((MID(C524,9,3)*10)-144)/1000)*AL524+AM524*(J524/Basis!$E$5)^2)*0.0098)/Basis!$E$10)</f>
        <v>1.6400427760336945E-2</v>
      </c>
      <c r="M524" s="85"/>
      <c r="N524" s="110">
        <v>1.349</v>
      </c>
      <c r="O524" s="74"/>
      <c r="P524" s="73">
        <v>2202</v>
      </c>
      <c r="Q524" s="74"/>
      <c r="R524" s="75"/>
      <c r="S524" s="75"/>
      <c r="T524" s="75"/>
      <c r="U524" s="75"/>
      <c r="V524" s="75"/>
      <c r="W524" s="74"/>
      <c r="X524" s="76"/>
      <c r="Y524" s="76"/>
      <c r="Z524" s="76"/>
      <c r="AA524" s="76"/>
      <c r="AB524" s="76"/>
      <c r="AC524" s="74"/>
      <c r="AD524" s="77"/>
      <c r="AE524" s="77"/>
      <c r="AF524" s="77"/>
      <c r="AG524" s="77"/>
      <c r="AH524" s="77"/>
      <c r="AI524" s="68"/>
      <c r="AJ524" s="213">
        <v>1.2760000000000001E-4</v>
      </c>
      <c r="AK524" s="213">
        <v>1.7219</v>
      </c>
      <c r="AL524" s="213">
        <v>2</v>
      </c>
      <c r="AM524" s="213">
        <v>3.76611E-4</v>
      </c>
      <c r="AN524" s="74"/>
      <c r="AO524" s="73"/>
      <c r="AP524" s="73"/>
      <c r="AQ524" s="73"/>
      <c r="AR524" s="73"/>
      <c r="AS524" s="73"/>
      <c r="AT524" s="74"/>
      <c r="AU524" s="47"/>
      <c r="AV524" s="48"/>
    </row>
    <row r="525" spans="1:48" ht="12.75" customHeight="1" x14ac:dyDescent="0.25">
      <c r="A525" s="72" t="s">
        <v>23</v>
      </c>
      <c r="B525" s="43" t="s">
        <v>159</v>
      </c>
      <c r="C525" s="44" t="s">
        <v>675</v>
      </c>
      <c r="D525" s="45">
        <f>MROUND(MID($C525,6,3)/Basis!$E$3,0.5)</f>
        <v>27.5</v>
      </c>
      <c r="E525" s="45">
        <f>MROUND(MID($C525,9,3)/Basis!$E$3,0.5)</f>
        <v>31.5</v>
      </c>
      <c r="F525" s="124" t="s">
        <v>2948</v>
      </c>
      <c r="G525" s="45">
        <f>ROUND((ROUNDDOWN($F525/5,0)*5+1.8)/Basis!$E$3,1)</f>
        <v>8.6</v>
      </c>
      <c r="H525" s="120">
        <f>ROUND($P525*Basis!$E$2*((TaH-TrH)/LN(1/µ)/Basis!$E$7)^$N525*$AA$4*Glycol,0)</f>
        <v>5285</v>
      </c>
      <c r="I525" s="83">
        <f>ROUND(H525/(MID($C525,9,3)/Basis!$E$3/Basis!$E$9)*Basis!$E$11,0)</f>
        <v>2014</v>
      </c>
      <c r="J525" s="123">
        <f>IF(Basis!$E$1=1,ROUND(H525/((TaH-TrH)*1.163)/3600,3),ROUND(H525/(500*(TaH-TrH)),2))</f>
        <v>0.53</v>
      </c>
      <c r="K525" s="84"/>
      <c r="L525" s="177">
        <f>CHOOSE(Basis!$E$1,((AJ525*(J525*3600/Basis!$E$5)^AK525*(((MID(C525,9,3)*10)-144)/1000)*AL525+AM525*(J525*3600/Basis!$E$5)^2)*0.0098)/Basis!$E$10,((AJ525*(J525/Basis!$E$5)^AK525*(((MID(C525,9,3)*10)-144)/1000)*AL525+AM525*(J525/Basis!$E$5)^2)*0.0098)/Basis!$E$10)</f>
        <v>2.8548642656556288E-2</v>
      </c>
      <c r="M525" s="85"/>
      <c r="N525" s="109">
        <v>1.5009999999999999</v>
      </c>
      <c r="O525" s="68"/>
      <c r="P525" s="67">
        <v>2542</v>
      </c>
      <c r="Q525" s="68"/>
      <c r="R525" s="69"/>
      <c r="S525" s="69"/>
      <c r="T525" s="69"/>
      <c r="U525" s="69"/>
      <c r="V525" s="69"/>
      <c r="W525" s="68"/>
      <c r="X525" s="70"/>
      <c r="Y525" s="70"/>
      <c r="Z525" s="70"/>
      <c r="AA525" s="70"/>
      <c r="AB525" s="70"/>
      <c r="AC525" s="68"/>
      <c r="AD525" s="71"/>
      <c r="AE525" s="71"/>
      <c r="AF525" s="71"/>
      <c r="AG525" s="71"/>
      <c r="AH525" s="71"/>
      <c r="AI525" s="68"/>
      <c r="AJ525" s="214">
        <v>1.2760000000000001E-4</v>
      </c>
      <c r="AK525" s="214">
        <v>1.7219</v>
      </c>
      <c r="AL525" s="214">
        <v>4</v>
      </c>
      <c r="AM525" s="214">
        <v>5.1420100000000005E-4</v>
      </c>
      <c r="AN525" s="68"/>
      <c r="AO525" s="67"/>
      <c r="AP525" s="67"/>
      <c r="AQ525" s="67"/>
      <c r="AR525" s="67"/>
      <c r="AS525" s="67"/>
      <c r="AT525" s="68"/>
      <c r="AU525" s="49"/>
      <c r="AV525" s="50"/>
    </row>
    <row r="526" spans="1:48" ht="12.75" customHeight="1" x14ac:dyDescent="0.25">
      <c r="A526" s="72" t="s">
        <v>23</v>
      </c>
      <c r="B526" s="43" t="s">
        <v>159</v>
      </c>
      <c r="C526" s="44" t="s">
        <v>676</v>
      </c>
      <c r="D526" s="45">
        <f>MROUND(MID($C526,6,3)/Basis!$E$3,0.5)</f>
        <v>27.5</v>
      </c>
      <c r="E526" s="45">
        <f>MROUND(MID($C526,9,3)/Basis!$E$3,0.5)</f>
        <v>35.5</v>
      </c>
      <c r="F526" s="124" t="s">
        <v>2943</v>
      </c>
      <c r="G526" s="45">
        <f>ROUND((ROUNDDOWN($F526/5,0)*5+1.8)/Basis!$E$3,1)</f>
        <v>4.5999999999999996</v>
      </c>
      <c r="H526" s="120">
        <f>ROUND($P526*Basis!$E$2*((TaH-TrH)/LN(1/µ)/Basis!$E$7)^$N526*$AA$4*Glycol,0)</f>
        <v>2441</v>
      </c>
      <c r="I526" s="83">
        <f>ROUND(H526/(MID($C526,9,3)/Basis!$E$3/Basis!$E$9)*Basis!$E$11,0)</f>
        <v>827</v>
      </c>
      <c r="J526" s="123">
        <f>IF(Basis!$E$1=1,ROUND(H526/((TaH-TrH)*1.163)/3600,3),ROUND(H526/(500*(TaH-TrH)),2))</f>
        <v>0.24</v>
      </c>
      <c r="K526" s="84"/>
      <c r="L526" s="177">
        <f>CHOOSE(Basis!$E$1,((AJ526*(J526*3600/Basis!$E$5)^AK526*(((MID(C526,9,3)*10)-144)/1000)*AL526+AM526*(J526*3600/Basis!$E$5)^2)*0.0098)/Basis!$E$10,((AJ526*(J526/Basis!$E$5)^AK526*(((MID(C526,9,3)*10)-144)/1000)*AL526+AM526*(J526/Basis!$E$5)^2)*0.0098)/Basis!$E$10)</f>
        <v>5.5865261385593208E-3</v>
      </c>
      <c r="M526" s="85"/>
      <c r="N526" s="109">
        <v>1.3660000000000001</v>
      </c>
      <c r="O526" s="68"/>
      <c r="P526" s="67">
        <v>1123</v>
      </c>
      <c r="Q526" s="68"/>
      <c r="R526" s="69"/>
      <c r="S526" s="69"/>
      <c r="T526" s="69"/>
      <c r="U526" s="69"/>
      <c r="V526" s="69"/>
      <c r="W526" s="68"/>
      <c r="X526" s="70"/>
      <c r="Y526" s="70"/>
      <c r="Z526" s="70"/>
      <c r="AA526" s="70"/>
      <c r="AB526" s="70"/>
      <c r="AC526" s="68"/>
      <c r="AD526" s="71"/>
      <c r="AE526" s="71"/>
      <c r="AF526" s="71"/>
      <c r="AG526" s="71"/>
      <c r="AH526" s="71"/>
      <c r="AI526" s="68"/>
      <c r="AJ526" s="214">
        <v>3.9689999999999994E-4</v>
      </c>
      <c r="AK526" s="214">
        <v>1.7345999999999999</v>
      </c>
      <c r="AL526" s="214">
        <v>2</v>
      </c>
      <c r="AM526" s="214">
        <v>3.6734700000000002E-4</v>
      </c>
      <c r="AN526" s="68"/>
      <c r="AO526" s="67"/>
      <c r="AP526" s="67"/>
      <c r="AQ526" s="67"/>
      <c r="AR526" s="67"/>
      <c r="AS526" s="67"/>
      <c r="AT526" s="68"/>
      <c r="AU526" s="49"/>
      <c r="AV526" s="50"/>
    </row>
    <row r="527" spans="1:48" ht="12.75" customHeight="1" x14ac:dyDescent="0.25">
      <c r="A527" s="72" t="s">
        <v>23</v>
      </c>
      <c r="B527" s="43" t="s">
        <v>159</v>
      </c>
      <c r="C527" s="44" t="s">
        <v>677</v>
      </c>
      <c r="D527" s="45">
        <f>MROUND(MID($C527,6,3)/Basis!$E$3,0.5)</f>
        <v>27.5</v>
      </c>
      <c r="E527" s="45">
        <f>MROUND(MID($C527,9,3)/Basis!$E$3,0.5)</f>
        <v>35.5</v>
      </c>
      <c r="F527" s="124" t="s">
        <v>2946</v>
      </c>
      <c r="G527" s="45">
        <f>ROUND((ROUNDDOWN($F527/5,0)*5+1.8)/Basis!$E$3,1)</f>
        <v>4.5999999999999996</v>
      </c>
      <c r="H527" s="120">
        <f>ROUND($P527*Basis!$E$2*((TaH-TrH)/LN(1/µ)/Basis!$E$7)^$N527*$AA$4*Glycol,0)</f>
        <v>3040</v>
      </c>
      <c r="I527" s="83">
        <f>ROUND(H527/(MID($C527,9,3)/Basis!$E$3/Basis!$E$9)*Basis!$E$11,0)</f>
        <v>1030</v>
      </c>
      <c r="J527" s="123">
        <f>IF(Basis!$E$1=1,ROUND(H527/((TaH-TrH)*1.163)/3600,3),ROUND(H527/(500*(TaH-TrH)),2))</f>
        <v>0.3</v>
      </c>
      <c r="K527" s="84"/>
      <c r="L527" s="177">
        <f>CHOOSE(Basis!$E$1,((AJ527*(J527*3600/Basis!$E$5)^AK527*(((MID(C527,9,3)*10)-144)/1000)*AL527+AM527*(J527*3600/Basis!$E$5)^2)*0.0098)/Basis!$E$10,((AJ527*(J527/Basis!$E$5)^AK527*(((MID(C527,9,3)*10)-144)/1000)*AL527+AM527*(J527/Basis!$E$5)^2)*0.0098)/Basis!$E$10)</f>
        <v>1.4660326467626215E-2</v>
      </c>
      <c r="M527" s="85"/>
      <c r="N527" s="110">
        <v>1.4359999999999999</v>
      </c>
      <c r="O527" s="74"/>
      <c r="P527" s="73">
        <v>1431</v>
      </c>
      <c r="Q527" s="74"/>
      <c r="R527" s="75"/>
      <c r="S527" s="75"/>
      <c r="T527" s="75"/>
      <c r="U527" s="75"/>
      <c r="V527" s="75"/>
      <c r="W527" s="74"/>
      <c r="X527" s="76"/>
      <c r="Y527" s="76"/>
      <c r="Z527" s="76"/>
      <c r="AA527" s="76"/>
      <c r="AB527" s="76"/>
      <c r="AC527" s="74"/>
      <c r="AD527" s="77"/>
      <c r="AE527" s="77"/>
      <c r="AF527" s="77"/>
      <c r="AG527" s="77"/>
      <c r="AH527" s="77"/>
      <c r="AI527" s="68"/>
      <c r="AJ527" s="213">
        <v>3.9689999999999994E-4</v>
      </c>
      <c r="AK527" s="213">
        <v>1.7345999999999999</v>
      </c>
      <c r="AL527" s="213">
        <v>4</v>
      </c>
      <c r="AM527" s="213">
        <v>5.7428799999999995E-4</v>
      </c>
      <c r="AN527" s="74"/>
      <c r="AO527" s="73"/>
      <c r="AP527" s="73"/>
      <c r="AQ527" s="73"/>
      <c r="AR527" s="73"/>
      <c r="AS527" s="73"/>
      <c r="AT527" s="74"/>
      <c r="AU527" s="47"/>
      <c r="AV527" s="48"/>
    </row>
    <row r="528" spans="1:48" ht="12.75" customHeight="1" x14ac:dyDescent="0.25">
      <c r="A528" s="72" t="s">
        <v>23</v>
      </c>
      <c r="B528" s="43" t="s">
        <v>159</v>
      </c>
      <c r="C528" s="44" t="s">
        <v>678</v>
      </c>
      <c r="D528" s="45">
        <f>MROUND(MID($C528,6,3)/Basis!$E$3,0.5)</f>
        <v>27.5</v>
      </c>
      <c r="E528" s="45">
        <f>MROUND(MID($C528,9,3)/Basis!$E$3,0.5)</f>
        <v>35.5</v>
      </c>
      <c r="F528" s="124" t="s">
        <v>2944</v>
      </c>
      <c r="G528" s="45">
        <f>ROUND((ROUNDDOWN($F528/5,0)*5+1.8)/Basis!$E$3,1)</f>
        <v>6.6</v>
      </c>
      <c r="H528" s="120">
        <f>ROUND($P528*Basis!$E$2*((TaH-TrH)/LN(1/µ)/Basis!$E$7)^$N528*$AA$4*Glycol,0)</f>
        <v>3879</v>
      </c>
      <c r="I528" s="83">
        <f>ROUND(H528/(MID($C528,9,3)/Basis!$E$3/Basis!$E$9)*Basis!$E$11,0)</f>
        <v>1314</v>
      </c>
      <c r="J528" s="123">
        <f>IF(Basis!$E$1=1,ROUND(H528/((TaH-TrH)*1.163)/3600,3),ROUND(H528/(500*(TaH-TrH)),2))</f>
        <v>0.39</v>
      </c>
      <c r="K528" s="84"/>
      <c r="L528" s="177">
        <f>CHOOSE(Basis!$E$1,((AJ528*(J528*3600/Basis!$E$5)^AK528*(((MID(C528,9,3)*10)-144)/1000)*AL528+AM528*(J528*3600/Basis!$E$5)^2)*0.0098)/Basis!$E$10,((AJ528*(J528/Basis!$E$5)^AK528*(((MID(C528,9,3)*10)-144)/1000)*AL528+AM528*(J528/Basis!$E$5)^2)*0.0098)/Basis!$E$10)</f>
        <v>1.4192044504543267E-2</v>
      </c>
      <c r="M528" s="85"/>
      <c r="N528" s="110">
        <v>1.35</v>
      </c>
      <c r="O528" s="74"/>
      <c r="P528" s="73">
        <v>1775</v>
      </c>
      <c r="Q528" s="74"/>
      <c r="R528" s="75"/>
      <c r="S528" s="75"/>
      <c r="T528" s="75"/>
      <c r="U528" s="75"/>
      <c r="V528" s="75"/>
      <c r="W528" s="74"/>
      <c r="X528" s="76"/>
      <c r="Y528" s="76"/>
      <c r="Z528" s="76"/>
      <c r="AA528" s="76"/>
      <c r="AB528" s="76"/>
      <c r="AC528" s="74"/>
      <c r="AD528" s="77"/>
      <c r="AE528" s="77"/>
      <c r="AF528" s="77"/>
      <c r="AG528" s="77"/>
      <c r="AH528" s="77"/>
      <c r="AI528" s="68"/>
      <c r="AJ528" s="213">
        <v>2.0829999999999999E-4</v>
      </c>
      <c r="AK528" s="213">
        <v>1.724</v>
      </c>
      <c r="AL528" s="213">
        <v>2</v>
      </c>
      <c r="AM528" s="213">
        <v>4.6182900000000003E-4</v>
      </c>
      <c r="AN528" s="74"/>
      <c r="AO528" s="73"/>
      <c r="AP528" s="73"/>
      <c r="AQ528" s="73"/>
      <c r="AR528" s="73"/>
      <c r="AS528" s="73"/>
      <c r="AT528" s="74"/>
      <c r="AU528" s="47"/>
      <c r="AV528" s="48"/>
    </row>
    <row r="529" spans="1:48" ht="12.75" customHeight="1" x14ac:dyDescent="0.25">
      <c r="A529" s="72" t="s">
        <v>23</v>
      </c>
      <c r="B529" s="43" t="s">
        <v>159</v>
      </c>
      <c r="C529" s="44" t="s">
        <v>679</v>
      </c>
      <c r="D529" s="45">
        <f>MROUND(MID($C529,6,3)/Basis!$E$3,0.5)</f>
        <v>27.5</v>
      </c>
      <c r="E529" s="45">
        <f>MROUND(MID($C529,9,3)/Basis!$E$3,0.5)</f>
        <v>35.5</v>
      </c>
      <c r="F529" s="124" t="s">
        <v>2947</v>
      </c>
      <c r="G529" s="45">
        <f>ROUND((ROUNDDOWN($F529/5,0)*5+1.8)/Basis!$E$3,1)</f>
        <v>6.6</v>
      </c>
      <c r="H529" s="120">
        <f>ROUND($P529*Basis!$E$2*((TaH-TrH)/LN(1/µ)/Basis!$E$7)^$N529*$AA$4*Glycol,0)</f>
        <v>4270</v>
      </c>
      <c r="I529" s="83">
        <f>ROUND(H529/(MID($C529,9,3)/Basis!$E$3/Basis!$E$9)*Basis!$E$11,0)</f>
        <v>1446</v>
      </c>
      <c r="J529" s="123">
        <f>IF(Basis!$E$1=1,ROUND(H529/((TaH-TrH)*1.163)/3600,3),ROUND(H529/(500*(TaH-TrH)),2))</f>
        <v>0.43</v>
      </c>
      <c r="K529" s="84"/>
      <c r="L529" s="177">
        <f>CHOOSE(Basis!$E$1,((AJ529*(J529*3600/Basis!$E$5)^AK529*(((MID(C529,9,3)*10)-144)/1000)*AL529+AM529*(J529*3600/Basis!$E$5)^2)*0.0098)/Basis!$E$10,((AJ529*(J529/Basis!$E$5)^AK529*(((MID(C529,9,3)*10)-144)/1000)*AL529+AM529*(J529/Basis!$E$5)^2)*0.0098)/Basis!$E$10)</f>
        <v>4.8984576360098085E-2</v>
      </c>
      <c r="M529" s="85"/>
      <c r="N529" s="109">
        <v>1.472</v>
      </c>
      <c r="O529" s="68"/>
      <c r="P529" s="67">
        <v>2034</v>
      </c>
      <c r="Q529" s="68"/>
      <c r="R529" s="69"/>
      <c r="S529" s="69"/>
      <c r="T529" s="69"/>
      <c r="U529" s="69"/>
      <c r="V529" s="69"/>
      <c r="W529" s="68"/>
      <c r="X529" s="70"/>
      <c r="Y529" s="70"/>
      <c r="Z529" s="70"/>
      <c r="AA529" s="70"/>
      <c r="AB529" s="70"/>
      <c r="AC529" s="68"/>
      <c r="AD529" s="71"/>
      <c r="AE529" s="71"/>
      <c r="AF529" s="71"/>
      <c r="AG529" s="71"/>
      <c r="AH529" s="71"/>
      <c r="AI529" s="68"/>
      <c r="AJ529" s="214">
        <v>2.0829999999999999E-4</v>
      </c>
      <c r="AK529" s="214">
        <v>1.724</v>
      </c>
      <c r="AL529" s="214">
        <v>4</v>
      </c>
      <c r="AM529" s="214">
        <v>1.392796E-3</v>
      </c>
      <c r="AN529" s="68"/>
      <c r="AO529" s="67"/>
      <c r="AP529" s="67"/>
      <c r="AQ529" s="67"/>
      <c r="AR529" s="67"/>
      <c r="AS529" s="67"/>
      <c r="AT529" s="68"/>
      <c r="AU529" s="49"/>
      <c r="AV529" s="50"/>
    </row>
    <row r="530" spans="1:48" ht="12.75" customHeight="1" x14ac:dyDescent="0.25">
      <c r="A530" s="72" t="s">
        <v>23</v>
      </c>
      <c r="B530" s="43" t="s">
        <v>159</v>
      </c>
      <c r="C530" s="44" t="s">
        <v>680</v>
      </c>
      <c r="D530" s="45">
        <f>MROUND(MID($C530,6,3)/Basis!$E$3,0.5)</f>
        <v>27.5</v>
      </c>
      <c r="E530" s="45">
        <f>MROUND(MID($C530,9,3)/Basis!$E$3,0.5)</f>
        <v>35.5</v>
      </c>
      <c r="F530" s="124" t="s">
        <v>2945</v>
      </c>
      <c r="G530" s="45">
        <f>ROUND((ROUNDDOWN($F530/5,0)*5+1.8)/Basis!$E$3,1)</f>
        <v>8.6</v>
      </c>
      <c r="H530" s="120">
        <f>ROUND($P530*Basis!$E$2*((TaH-TrH)/LN(1/µ)/Basis!$E$7)^$N530*$AA$4*Glycol,0)</f>
        <v>5417</v>
      </c>
      <c r="I530" s="83">
        <f>ROUND(H530/(MID($C530,9,3)/Basis!$E$3/Basis!$E$9)*Basis!$E$11,0)</f>
        <v>1835</v>
      </c>
      <c r="J530" s="123">
        <f>IF(Basis!$E$1=1,ROUND(H530/((TaH-TrH)*1.163)/3600,3),ROUND(H530/(500*(TaH-TrH)),2))</f>
        <v>0.54</v>
      </c>
      <c r="K530" s="84"/>
      <c r="L530" s="177">
        <f>CHOOSE(Basis!$E$1,((AJ530*(J530*3600/Basis!$E$5)^AK530*(((MID(C530,9,3)*10)-144)/1000)*AL530+AM530*(J530*3600/Basis!$E$5)^2)*0.0098)/Basis!$E$10,((AJ530*(J530/Basis!$E$5)^AK530*(((MID(C530,9,3)*10)-144)/1000)*AL530+AM530*(J530/Basis!$E$5)^2)*0.0098)/Basis!$E$10)</f>
        <v>2.1014316593249972E-2</v>
      </c>
      <c r="M530" s="85"/>
      <c r="N530" s="109">
        <v>1.349</v>
      </c>
      <c r="O530" s="68"/>
      <c r="P530" s="67">
        <v>2478</v>
      </c>
      <c r="Q530" s="68"/>
      <c r="R530" s="69"/>
      <c r="S530" s="69"/>
      <c r="T530" s="69"/>
      <c r="U530" s="69"/>
      <c r="V530" s="69"/>
      <c r="W530" s="68"/>
      <c r="X530" s="70"/>
      <c r="Y530" s="70"/>
      <c r="Z530" s="70"/>
      <c r="AA530" s="70"/>
      <c r="AB530" s="70"/>
      <c r="AC530" s="68"/>
      <c r="AD530" s="71"/>
      <c r="AE530" s="71"/>
      <c r="AF530" s="71"/>
      <c r="AG530" s="71"/>
      <c r="AH530" s="71"/>
      <c r="AI530" s="68"/>
      <c r="AJ530" s="214">
        <v>1.2760000000000001E-4</v>
      </c>
      <c r="AK530" s="214">
        <v>1.7219</v>
      </c>
      <c r="AL530" s="214">
        <v>2</v>
      </c>
      <c r="AM530" s="214">
        <v>3.76611E-4</v>
      </c>
      <c r="AN530" s="68"/>
      <c r="AO530" s="67"/>
      <c r="AP530" s="67"/>
      <c r="AQ530" s="67"/>
      <c r="AR530" s="67"/>
      <c r="AS530" s="67"/>
      <c r="AT530" s="68"/>
      <c r="AU530" s="49"/>
      <c r="AV530" s="50"/>
    </row>
    <row r="531" spans="1:48" ht="12.75" customHeight="1" x14ac:dyDescent="0.25">
      <c r="A531" s="72" t="s">
        <v>23</v>
      </c>
      <c r="B531" s="43" t="s">
        <v>159</v>
      </c>
      <c r="C531" s="44" t="s">
        <v>681</v>
      </c>
      <c r="D531" s="45">
        <f>MROUND(MID($C531,6,3)/Basis!$E$3,0.5)</f>
        <v>27.5</v>
      </c>
      <c r="E531" s="45">
        <f>MROUND(MID($C531,9,3)/Basis!$E$3,0.5)</f>
        <v>35.5</v>
      </c>
      <c r="F531" s="124" t="s">
        <v>2948</v>
      </c>
      <c r="G531" s="45">
        <f>ROUND((ROUNDDOWN($F531/5,0)*5+1.8)/Basis!$E$3,1)</f>
        <v>8.6</v>
      </c>
      <c r="H531" s="120">
        <f>ROUND($P531*Basis!$E$2*((TaH-TrH)/LN(1/µ)/Basis!$E$7)^$N531*$AA$4*Glycol,0)</f>
        <v>5944</v>
      </c>
      <c r="I531" s="83">
        <f>ROUND(H531/(MID($C531,9,3)/Basis!$E$3/Basis!$E$9)*Basis!$E$11,0)</f>
        <v>2013</v>
      </c>
      <c r="J531" s="123">
        <f>IF(Basis!$E$1=1,ROUND(H531/((TaH-TrH)*1.163)/3600,3),ROUND(H531/(500*(TaH-TrH)),2))</f>
        <v>0.59</v>
      </c>
      <c r="K531" s="84"/>
      <c r="L531" s="177">
        <f>CHOOSE(Basis!$E$1,((AJ531*(J531*3600/Basis!$E$5)^AK531*(((MID(C531,9,3)*10)-144)/1000)*AL531+AM531*(J531*3600/Basis!$E$5)^2)*0.0098)/Basis!$E$10,((AJ531*(J531/Basis!$E$5)^AK531*(((MID(C531,9,3)*10)-144)/1000)*AL531+AM531*(J531/Basis!$E$5)^2)*0.0098)/Basis!$E$10)</f>
        <v>3.5993477663189041E-2</v>
      </c>
      <c r="M531" s="85"/>
      <c r="N531" s="110">
        <v>1.5009999999999999</v>
      </c>
      <c r="O531" s="74"/>
      <c r="P531" s="73">
        <v>2859</v>
      </c>
      <c r="Q531" s="74"/>
      <c r="R531" s="75"/>
      <c r="S531" s="75"/>
      <c r="T531" s="75"/>
      <c r="U531" s="75"/>
      <c r="V531" s="75"/>
      <c r="W531" s="74"/>
      <c r="X531" s="76"/>
      <c r="Y531" s="76"/>
      <c r="Z531" s="76"/>
      <c r="AA531" s="76"/>
      <c r="AB531" s="76"/>
      <c r="AC531" s="74"/>
      <c r="AD531" s="77"/>
      <c r="AE531" s="77"/>
      <c r="AF531" s="77"/>
      <c r="AG531" s="77"/>
      <c r="AH531" s="77"/>
      <c r="AI531" s="68"/>
      <c r="AJ531" s="213">
        <v>1.2760000000000001E-4</v>
      </c>
      <c r="AK531" s="213">
        <v>1.7219</v>
      </c>
      <c r="AL531" s="213">
        <v>4</v>
      </c>
      <c r="AM531" s="213">
        <v>5.1420100000000005E-4</v>
      </c>
      <c r="AN531" s="74"/>
      <c r="AO531" s="73"/>
      <c r="AP531" s="73"/>
      <c r="AQ531" s="73"/>
      <c r="AR531" s="73"/>
      <c r="AS531" s="73"/>
      <c r="AT531" s="74"/>
      <c r="AU531" s="47"/>
      <c r="AV531" s="48"/>
    </row>
    <row r="532" spans="1:48" ht="12.75" customHeight="1" x14ac:dyDescent="0.25">
      <c r="A532" s="72" t="s">
        <v>23</v>
      </c>
      <c r="B532" s="43" t="s">
        <v>159</v>
      </c>
      <c r="C532" s="44" t="s">
        <v>682</v>
      </c>
      <c r="D532" s="45">
        <f>MROUND(MID($C532,6,3)/Basis!$E$3,0.5)</f>
        <v>27.5</v>
      </c>
      <c r="E532" s="45">
        <f>MROUND(MID($C532,9,3)/Basis!$E$3,0.5)</f>
        <v>39.5</v>
      </c>
      <c r="F532" s="124" t="s">
        <v>2943</v>
      </c>
      <c r="G532" s="45">
        <f>ROUND((ROUNDDOWN($F532/5,0)*5+1.8)/Basis!$E$3,1)</f>
        <v>4.5999999999999996</v>
      </c>
      <c r="H532" s="120">
        <f>ROUND($P532*Basis!$E$2*((TaH-TrH)/LN(1/µ)/Basis!$E$7)^$N532*$AA$4*Glycol,0)</f>
        <v>2713</v>
      </c>
      <c r="I532" s="83">
        <f>ROUND(H532/(MID($C532,9,3)/Basis!$E$3/Basis!$E$9)*Basis!$E$11,0)</f>
        <v>827</v>
      </c>
      <c r="J532" s="123">
        <f>IF(Basis!$E$1=1,ROUND(H532/((TaH-TrH)*1.163)/3600,3),ROUND(H532/(500*(TaH-TrH)),2))</f>
        <v>0.27</v>
      </c>
      <c r="K532" s="84"/>
      <c r="L532" s="177">
        <f>CHOOSE(Basis!$E$1,((AJ532*(J532*3600/Basis!$E$5)^AK532*(((MID(C532,9,3)*10)-144)/1000)*AL532+AM532*(J532*3600/Basis!$E$5)^2)*0.0098)/Basis!$E$10,((AJ532*(J532/Basis!$E$5)^AK532*(((MID(C532,9,3)*10)-144)/1000)*AL532+AM532*(J532/Basis!$E$5)^2)*0.0098)/Basis!$E$10)</f>
        <v>7.3192329498677688E-3</v>
      </c>
      <c r="M532" s="85"/>
      <c r="N532" s="110">
        <v>1.3660000000000001</v>
      </c>
      <c r="O532" s="74"/>
      <c r="P532" s="73">
        <v>1248</v>
      </c>
      <c r="Q532" s="74"/>
      <c r="R532" s="75"/>
      <c r="S532" s="75"/>
      <c r="T532" s="75"/>
      <c r="U532" s="75"/>
      <c r="V532" s="75"/>
      <c r="W532" s="74"/>
      <c r="X532" s="76"/>
      <c r="Y532" s="76"/>
      <c r="Z532" s="76"/>
      <c r="AA532" s="76"/>
      <c r="AB532" s="76"/>
      <c r="AC532" s="74"/>
      <c r="AD532" s="77"/>
      <c r="AE532" s="77"/>
      <c r="AF532" s="77"/>
      <c r="AG532" s="77"/>
      <c r="AH532" s="77"/>
      <c r="AI532" s="68"/>
      <c r="AJ532" s="213">
        <v>3.9689999999999994E-4</v>
      </c>
      <c r="AK532" s="213">
        <v>1.7345999999999999</v>
      </c>
      <c r="AL532" s="213">
        <v>2</v>
      </c>
      <c r="AM532" s="213">
        <v>3.6734700000000002E-4</v>
      </c>
      <c r="AN532" s="74"/>
      <c r="AO532" s="73"/>
      <c r="AP532" s="73"/>
      <c r="AQ532" s="73"/>
      <c r="AR532" s="73"/>
      <c r="AS532" s="73"/>
      <c r="AT532" s="74"/>
      <c r="AU532" s="47"/>
      <c r="AV532" s="48"/>
    </row>
    <row r="533" spans="1:48" ht="12.75" customHeight="1" x14ac:dyDescent="0.25">
      <c r="A533" s="72" t="s">
        <v>23</v>
      </c>
      <c r="B533" s="43" t="s">
        <v>159</v>
      </c>
      <c r="C533" s="44" t="s">
        <v>683</v>
      </c>
      <c r="D533" s="45">
        <f>MROUND(MID($C533,6,3)/Basis!$E$3,0.5)</f>
        <v>27.5</v>
      </c>
      <c r="E533" s="45">
        <f>MROUND(MID($C533,9,3)/Basis!$E$3,0.5)</f>
        <v>39.5</v>
      </c>
      <c r="F533" s="124" t="s">
        <v>2946</v>
      </c>
      <c r="G533" s="45">
        <f>ROUND((ROUNDDOWN($F533/5,0)*5+1.8)/Basis!$E$3,1)</f>
        <v>4.5999999999999996</v>
      </c>
      <c r="H533" s="120">
        <f>ROUND($P533*Basis!$E$2*((TaH-TrH)/LN(1/µ)/Basis!$E$7)^$N533*$AA$4*Glycol,0)</f>
        <v>3377</v>
      </c>
      <c r="I533" s="83">
        <f>ROUND(H533/(MID($C533,9,3)/Basis!$E$3/Basis!$E$9)*Basis!$E$11,0)</f>
        <v>1029</v>
      </c>
      <c r="J533" s="123">
        <f>IF(Basis!$E$1=1,ROUND(H533/((TaH-TrH)*1.163)/3600,3),ROUND(H533/(500*(TaH-TrH)),2))</f>
        <v>0.34</v>
      </c>
      <c r="K533" s="84"/>
      <c r="L533" s="177">
        <f>CHOOSE(Basis!$E$1,((AJ533*(J533*3600/Basis!$E$5)^AK533*(((MID(C533,9,3)*10)-144)/1000)*AL533+AM533*(J533*3600/Basis!$E$5)^2)*0.0098)/Basis!$E$10,((AJ533*(J533/Basis!$E$5)^AK533*(((MID(C533,9,3)*10)-144)/1000)*AL533+AM533*(J533/Basis!$E$5)^2)*0.0098)/Basis!$E$10)</f>
        <v>1.955762978890371E-2</v>
      </c>
      <c r="M533" s="85"/>
      <c r="N533" s="109">
        <v>1.4359999999999999</v>
      </c>
      <c r="O533" s="68"/>
      <c r="P533" s="67">
        <v>1590</v>
      </c>
      <c r="Q533" s="68"/>
      <c r="R533" s="69"/>
      <c r="S533" s="69"/>
      <c r="T533" s="69"/>
      <c r="U533" s="69"/>
      <c r="V533" s="69"/>
      <c r="W533" s="68"/>
      <c r="X533" s="70"/>
      <c r="Y533" s="70"/>
      <c r="Z533" s="70"/>
      <c r="AA533" s="70"/>
      <c r="AB533" s="70"/>
      <c r="AC533" s="68"/>
      <c r="AD533" s="71"/>
      <c r="AE533" s="71"/>
      <c r="AF533" s="71"/>
      <c r="AG533" s="71"/>
      <c r="AH533" s="71"/>
      <c r="AI533" s="68"/>
      <c r="AJ533" s="214">
        <v>3.9689999999999994E-4</v>
      </c>
      <c r="AK533" s="214">
        <v>1.7345999999999999</v>
      </c>
      <c r="AL533" s="214">
        <v>4</v>
      </c>
      <c r="AM533" s="214">
        <v>5.7428799999999995E-4</v>
      </c>
      <c r="AN533" s="68"/>
      <c r="AO533" s="67"/>
      <c r="AP533" s="67"/>
      <c r="AQ533" s="67"/>
      <c r="AR533" s="67"/>
      <c r="AS533" s="67"/>
      <c r="AT533" s="68"/>
      <c r="AU533" s="49"/>
      <c r="AV533" s="50"/>
    </row>
    <row r="534" spans="1:48" ht="12.75" customHeight="1" x14ac:dyDescent="0.25">
      <c r="A534" s="72" t="s">
        <v>23</v>
      </c>
      <c r="B534" s="43" t="s">
        <v>159</v>
      </c>
      <c r="C534" s="44" t="s">
        <v>684</v>
      </c>
      <c r="D534" s="45">
        <f>MROUND(MID($C534,6,3)/Basis!$E$3,0.5)</f>
        <v>27.5</v>
      </c>
      <c r="E534" s="45">
        <f>MROUND(MID($C534,9,3)/Basis!$E$3,0.5)</f>
        <v>39.5</v>
      </c>
      <c r="F534" s="124" t="s">
        <v>2944</v>
      </c>
      <c r="G534" s="45">
        <f>ROUND((ROUNDDOWN($F534/5,0)*5+1.8)/Basis!$E$3,1)</f>
        <v>6.6</v>
      </c>
      <c r="H534" s="120">
        <f>ROUND($P534*Basis!$E$2*((TaH-TrH)/LN(1/µ)/Basis!$E$7)^$N534*$AA$4*Glycol,0)</f>
        <v>4310</v>
      </c>
      <c r="I534" s="83">
        <f>ROUND(H534/(MID($C534,9,3)/Basis!$E$3/Basis!$E$9)*Basis!$E$11,0)</f>
        <v>1314</v>
      </c>
      <c r="J534" s="123">
        <f>IF(Basis!$E$1=1,ROUND(H534/((TaH-TrH)*1.163)/3600,3),ROUND(H534/(500*(TaH-TrH)),2))</f>
        <v>0.43</v>
      </c>
      <c r="K534" s="84"/>
      <c r="L534" s="177">
        <f>CHOOSE(Basis!$E$1,((AJ534*(J534*3600/Basis!$E$5)^AK534*(((MID(C534,9,3)*10)-144)/1000)*AL534+AM534*(J534*3600/Basis!$E$5)^2)*0.0098)/Basis!$E$10,((AJ534*(J534/Basis!$E$5)^AK534*(((MID(C534,9,3)*10)-144)/1000)*AL534+AM534*(J534/Basis!$E$5)^2)*0.0098)/Basis!$E$10)</f>
        <v>1.7543649695485025E-2</v>
      </c>
      <c r="M534" s="85"/>
      <c r="N534" s="109">
        <v>1.35</v>
      </c>
      <c r="O534" s="68"/>
      <c r="P534" s="67">
        <v>1972</v>
      </c>
      <c r="Q534" s="68"/>
      <c r="R534" s="69"/>
      <c r="S534" s="69"/>
      <c r="T534" s="69"/>
      <c r="U534" s="69"/>
      <c r="V534" s="69"/>
      <c r="W534" s="68"/>
      <c r="X534" s="70"/>
      <c r="Y534" s="70"/>
      <c r="Z534" s="70"/>
      <c r="AA534" s="70"/>
      <c r="AB534" s="70"/>
      <c r="AC534" s="68"/>
      <c r="AD534" s="71"/>
      <c r="AE534" s="71"/>
      <c r="AF534" s="71"/>
      <c r="AG534" s="71"/>
      <c r="AH534" s="71"/>
      <c r="AI534" s="68"/>
      <c r="AJ534" s="214">
        <v>2.0829999999999999E-4</v>
      </c>
      <c r="AK534" s="214">
        <v>1.724</v>
      </c>
      <c r="AL534" s="214">
        <v>2</v>
      </c>
      <c r="AM534" s="214">
        <v>4.6182900000000003E-4</v>
      </c>
      <c r="AN534" s="68"/>
      <c r="AO534" s="67"/>
      <c r="AP534" s="67"/>
      <c r="AQ534" s="67"/>
      <c r="AR534" s="67"/>
      <c r="AS534" s="67"/>
      <c r="AT534" s="68"/>
      <c r="AU534" s="49"/>
      <c r="AV534" s="50"/>
    </row>
    <row r="535" spans="1:48" ht="12.75" customHeight="1" x14ac:dyDescent="0.25">
      <c r="A535" s="72" t="s">
        <v>23</v>
      </c>
      <c r="B535" s="43" t="s">
        <v>159</v>
      </c>
      <c r="C535" s="44" t="s">
        <v>685</v>
      </c>
      <c r="D535" s="45">
        <f>MROUND(MID($C535,6,3)/Basis!$E$3,0.5)</f>
        <v>27.5</v>
      </c>
      <c r="E535" s="45">
        <f>MROUND(MID($C535,9,3)/Basis!$E$3,0.5)</f>
        <v>39.5</v>
      </c>
      <c r="F535" s="124" t="s">
        <v>2947</v>
      </c>
      <c r="G535" s="45">
        <f>ROUND((ROUNDDOWN($F535/5,0)*5+1.8)/Basis!$E$3,1)</f>
        <v>6.6</v>
      </c>
      <c r="H535" s="120">
        <f>ROUND($P535*Basis!$E$2*((TaH-TrH)/LN(1/µ)/Basis!$E$7)^$N535*$AA$4*Glycol,0)</f>
        <v>4744</v>
      </c>
      <c r="I535" s="83">
        <f>ROUND(H535/(MID($C535,9,3)/Basis!$E$3/Basis!$E$9)*Basis!$E$11,0)</f>
        <v>1446</v>
      </c>
      <c r="J535" s="123">
        <f>IF(Basis!$E$1=1,ROUND(H535/((TaH-TrH)*1.163)/3600,3),ROUND(H535/(500*(TaH-TrH)),2))</f>
        <v>0.47</v>
      </c>
      <c r="K535" s="84"/>
      <c r="L535" s="177">
        <f>CHOOSE(Basis!$E$1,((AJ535*(J535*3600/Basis!$E$5)^AK535*(((MID(C535,9,3)*10)-144)/1000)*AL535+AM535*(J535*3600/Basis!$E$5)^2)*0.0098)/Basis!$E$10,((AJ535*(J535/Basis!$E$5)^AK535*(((MID(C535,9,3)*10)-144)/1000)*AL535+AM535*(J535/Basis!$E$5)^2)*0.0098)/Basis!$E$10)</f>
        <v>5.9216526254646323E-2</v>
      </c>
      <c r="M535" s="85"/>
      <c r="N535" s="110">
        <v>1.472</v>
      </c>
      <c r="O535" s="74"/>
      <c r="P535" s="73">
        <v>2260</v>
      </c>
      <c r="Q535" s="74"/>
      <c r="R535" s="75"/>
      <c r="S535" s="75"/>
      <c r="T535" s="75"/>
      <c r="U535" s="75"/>
      <c r="V535" s="75"/>
      <c r="W535" s="74"/>
      <c r="X535" s="76"/>
      <c r="Y535" s="76"/>
      <c r="Z535" s="76"/>
      <c r="AA535" s="76"/>
      <c r="AB535" s="76"/>
      <c r="AC535" s="74"/>
      <c r="AD535" s="77"/>
      <c r="AE535" s="77"/>
      <c r="AF535" s="77"/>
      <c r="AG535" s="77"/>
      <c r="AH535" s="77"/>
      <c r="AI535" s="68"/>
      <c r="AJ535" s="213">
        <v>2.0829999999999999E-4</v>
      </c>
      <c r="AK535" s="213">
        <v>1.724</v>
      </c>
      <c r="AL535" s="213">
        <v>4</v>
      </c>
      <c r="AM535" s="213">
        <v>1.392796E-3</v>
      </c>
      <c r="AN535" s="74"/>
      <c r="AO535" s="73"/>
      <c r="AP535" s="73"/>
      <c r="AQ535" s="73"/>
      <c r="AR535" s="73"/>
      <c r="AS535" s="73"/>
      <c r="AT535" s="74"/>
      <c r="AU535" s="47"/>
      <c r="AV535" s="48"/>
    </row>
    <row r="536" spans="1:48" ht="12.75" customHeight="1" x14ac:dyDescent="0.25">
      <c r="A536" s="72" t="s">
        <v>23</v>
      </c>
      <c r="B536" s="43" t="s">
        <v>159</v>
      </c>
      <c r="C536" s="44" t="s">
        <v>686</v>
      </c>
      <c r="D536" s="45">
        <f>MROUND(MID($C536,6,3)/Basis!$E$3,0.5)</f>
        <v>27.5</v>
      </c>
      <c r="E536" s="45">
        <f>MROUND(MID($C536,9,3)/Basis!$E$3,0.5)</f>
        <v>39.5</v>
      </c>
      <c r="F536" s="124" t="s">
        <v>2945</v>
      </c>
      <c r="G536" s="45">
        <f>ROUND((ROUNDDOWN($F536/5,0)*5+1.8)/Basis!$E$3,1)</f>
        <v>8.6</v>
      </c>
      <c r="H536" s="120">
        <f>ROUND($P536*Basis!$E$2*((TaH-TrH)/LN(1/µ)/Basis!$E$7)^$N536*$AA$4*Glycol,0)</f>
        <v>6018</v>
      </c>
      <c r="I536" s="83">
        <f>ROUND(H536/(MID($C536,9,3)/Basis!$E$3/Basis!$E$9)*Basis!$E$11,0)</f>
        <v>1834</v>
      </c>
      <c r="J536" s="123">
        <f>IF(Basis!$E$1=1,ROUND(H536/((TaH-TrH)*1.163)/3600,3),ROUND(H536/(500*(TaH-TrH)),2))</f>
        <v>0.6</v>
      </c>
      <c r="K536" s="84"/>
      <c r="L536" s="177">
        <f>CHOOSE(Basis!$E$1,((AJ536*(J536*3600/Basis!$E$5)^AK536*(((MID(C536,9,3)*10)-144)/1000)*AL536+AM536*(J536*3600/Basis!$E$5)^2)*0.0098)/Basis!$E$10,((AJ536*(J536/Basis!$E$5)^AK536*(((MID(C536,9,3)*10)-144)/1000)*AL536+AM536*(J536/Basis!$E$5)^2)*0.0098)/Basis!$E$10)</f>
        <v>2.6249841228585872E-2</v>
      </c>
      <c r="M536" s="85"/>
      <c r="N536" s="110">
        <v>1.349</v>
      </c>
      <c r="O536" s="74"/>
      <c r="P536" s="73">
        <v>2753</v>
      </c>
      <c r="Q536" s="74"/>
      <c r="R536" s="75"/>
      <c r="S536" s="75"/>
      <c r="T536" s="75"/>
      <c r="U536" s="75"/>
      <c r="V536" s="75"/>
      <c r="W536" s="74"/>
      <c r="X536" s="76"/>
      <c r="Y536" s="76"/>
      <c r="Z536" s="76"/>
      <c r="AA536" s="76"/>
      <c r="AB536" s="76"/>
      <c r="AC536" s="74"/>
      <c r="AD536" s="77"/>
      <c r="AE536" s="77"/>
      <c r="AF536" s="77"/>
      <c r="AG536" s="77"/>
      <c r="AH536" s="77"/>
      <c r="AI536" s="68"/>
      <c r="AJ536" s="213">
        <v>1.2760000000000001E-4</v>
      </c>
      <c r="AK536" s="213">
        <v>1.7219</v>
      </c>
      <c r="AL536" s="213">
        <v>2</v>
      </c>
      <c r="AM536" s="213">
        <v>3.76611E-4</v>
      </c>
      <c r="AN536" s="74"/>
      <c r="AO536" s="73"/>
      <c r="AP536" s="73"/>
      <c r="AQ536" s="73"/>
      <c r="AR536" s="73"/>
      <c r="AS536" s="73"/>
      <c r="AT536" s="74"/>
      <c r="AU536" s="47"/>
      <c r="AV536" s="48"/>
    </row>
    <row r="537" spans="1:48" ht="12.75" customHeight="1" x14ac:dyDescent="0.25">
      <c r="A537" s="72" t="s">
        <v>23</v>
      </c>
      <c r="B537" s="43" t="s">
        <v>159</v>
      </c>
      <c r="C537" s="44" t="s">
        <v>687</v>
      </c>
      <c r="D537" s="45">
        <f>MROUND(MID($C537,6,3)/Basis!$E$3,0.5)</f>
        <v>27.5</v>
      </c>
      <c r="E537" s="45">
        <f>MROUND(MID($C537,9,3)/Basis!$E$3,0.5)</f>
        <v>39.5</v>
      </c>
      <c r="F537" s="124" t="s">
        <v>2948</v>
      </c>
      <c r="G537" s="45">
        <f>ROUND((ROUNDDOWN($F537/5,0)*5+1.8)/Basis!$E$3,1)</f>
        <v>8.6</v>
      </c>
      <c r="H537" s="120">
        <f>ROUND($P537*Basis!$E$2*((TaH-TrH)/LN(1/µ)/Basis!$E$7)^$N537*$AA$4*Glycol,0)</f>
        <v>6605</v>
      </c>
      <c r="I537" s="83">
        <f>ROUND(H537/(MID($C537,9,3)/Basis!$E$3/Basis!$E$9)*Basis!$E$11,0)</f>
        <v>2013</v>
      </c>
      <c r="J537" s="123">
        <f>IF(Basis!$E$1=1,ROUND(H537/((TaH-TrH)*1.163)/3600,3),ROUND(H537/(500*(TaH-TrH)),2))</f>
        <v>0.66</v>
      </c>
      <c r="K537" s="84"/>
      <c r="L537" s="177">
        <f>CHOOSE(Basis!$E$1,((AJ537*(J537*3600/Basis!$E$5)^AK537*(((MID(C537,9,3)*10)-144)/1000)*AL537+AM537*(J537*3600/Basis!$E$5)^2)*0.0098)/Basis!$E$10,((AJ537*(J537/Basis!$E$5)^AK537*(((MID(C537,9,3)*10)-144)/1000)*AL537+AM537*(J537/Basis!$E$5)^2)*0.0098)/Basis!$E$10)</f>
        <v>4.5749047064678756E-2</v>
      </c>
      <c r="M537" s="85"/>
      <c r="N537" s="109">
        <v>1.5009999999999999</v>
      </c>
      <c r="O537" s="68"/>
      <c r="P537" s="67">
        <v>3177</v>
      </c>
      <c r="Q537" s="68"/>
      <c r="R537" s="69"/>
      <c r="S537" s="69"/>
      <c r="T537" s="69"/>
      <c r="U537" s="69"/>
      <c r="V537" s="69"/>
      <c r="W537" s="68"/>
      <c r="X537" s="70"/>
      <c r="Y537" s="70"/>
      <c r="Z537" s="70"/>
      <c r="AA537" s="70"/>
      <c r="AB537" s="70"/>
      <c r="AC537" s="68"/>
      <c r="AD537" s="71"/>
      <c r="AE537" s="71"/>
      <c r="AF537" s="71"/>
      <c r="AG537" s="71"/>
      <c r="AH537" s="71"/>
      <c r="AI537" s="68"/>
      <c r="AJ537" s="214">
        <v>1.2760000000000001E-4</v>
      </c>
      <c r="AK537" s="214">
        <v>1.7219</v>
      </c>
      <c r="AL537" s="214">
        <v>4</v>
      </c>
      <c r="AM537" s="214">
        <v>5.1420100000000005E-4</v>
      </c>
      <c r="AN537" s="68"/>
      <c r="AO537" s="67"/>
      <c r="AP537" s="67"/>
      <c r="AQ537" s="67"/>
      <c r="AR537" s="67"/>
      <c r="AS537" s="67"/>
      <c r="AT537" s="68"/>
      <c r="AU537" s="49"/>
      <c r="AV537" s="50"/>
    </row>
    <row r="538" spans="1:48" ht="12.75" customHeight="1" x14ac:dyDescent="0.25">
      <c r="A538" s="72" t="s">
        <v>23</v>
      </c>
      <c r="B538" s="43" t="s">
        <v>159</v>
      </c>
      <c r="C538" s="44" t="s">
        <v>688</v>
      </c>
      <c r="D538" s="45">
        <f>MROUND(MID($C538,6,3)/Basis!$E$3,0.5)</f>
        <v>27.5</v>
      </c>
      <c r="E538" s="45">
        <f>MROUND(MID($C538,9,3)/Basis!$E$3,0.5)</f>
        <v>43.5</v>
      </c>
      <c r="F538" s="124" t="s">
        <v>2943</v>
      </c>
      <c r="G538" s="45">
        <f>ROUND((ROUNDDOWN($F538/5,0)*5+1.8)/Basis!$E$3,1)</f>
        <v>4.5999999999999996</v>
      </c>
      <c r="H538" s="120">
        <f>ROUND($P538*Basis!$E$2*((TaH-TrH)/LN(1/µ)/Basis!$E$7)^$N538*$AA$4*Glycol,0)</f>
        <v>2985</v>
      </c>
      <c r="I538" s="83">
        <f>ROUND(H538/(MID($C538,9,3)/Basis!$E$3/Basis!$E$9)*Basis!$E$11,0)</f>
        <v>827</v>
      </c>
      <c r="J538" s="123">
        <f>IF(Basis!$E$1=1,ROUND(H538/((TaH-TrH)*1.163)/3600,3),ROUND(H538/(500*(TaH-TrH)),2))</f>
        <v>0.3</v>
      </c>
      <c r="K538" s="84"/>
      <c r="L538" s="177">
        <f>CHOOSE(Basis!$E$1,((AJ538*(J538*3600/Basis!$E$5)^AK538*(((MID(C538,9,3)*10)-144)/1000)*AL538+AM538*(J538*3600/Basis!$E$5)^2)*0.0098)/Basis!$E$10,((AJ538*(J538/Basis!$E$5)^AK538*(((MID(C538,9,3)*10)-144)/1000)*AL538+AM538*(J538/Basis!$E$5)^2)*0.0098)/Basis!$E$10)</f>
        <v>9.3337088436328108E-3</v>
      </c>
      <c r="M538" s="85"/>
      <c r="N538" s="109">
        <v>1.3660000000000001</v>
      </c>
      <c r="O538" s="68"/>
      <c r="P538" s="67">
        <v>1373</v>
      </c>
      <c r="Q538" s="68"/>
      <c r="R538" s="69"/>
      <c r="S538" s="69"/>
      <c r="T538" s="69"/>
      <c r="U538" s="69"/>
      <c r="V538" s="69"/>
      <c r="W538" s="68"/>
      <c r="X538" s="70"/>
      <c r="Y538" s="70"/>
      <c r="Z538" s="70"/>
      <c r="AA538" s="70"/>
      <c r="AB538" s="70"/>
      <c r="AC538" s="68"/>
      <c r="AD538" s="71"/>
      <c r="AE538" s="71"/>
      <c r="AF538" s="71"/>
      <c r="AG538" s="71"/>
      <c r="AH538" s="71"/>
      <c r="AI538" s="68"/>
      <c r="AJ538" s="214">
        <v>3.9689999999999994E-4</v>
      </c>
      <c r="AK538" s="214">
        <v>1.7345999999999999</v>
      </c>
      <c r="AL538" s="214">
        <v>2</v>
      </c>
      <c r="AM538" s="214">
        <v>3.6734700000000002E-4</v>
      </c>
      <c r="AN538" s="68"/>
      <c r="AO538" s="67"/>
      <c r="AP538" s="67"/>
      <c r="AQ538" s="67"/>
      <c r="AR538" s="67"/>
      <c r="AS538" s="67"/>
      <c r="AT538" s="68"/>
      <c r="AU538" s="49"/>
      <c r="AV538" s="50"/>
    </row>
    <row r="539" spans="1:48" ht="12.75" customHeight="1" x14ac:dyDescent="0.25">
      <c r="A539" s="72" t="s">
        <v>23</v>
      </c>
      <c r="B539" s="43" t="s">
        <v>159</v>
      </c>
      <c r="C539" s="44" t="s">
        <v>689</v>
      </c>
      <c r="D539" s="45">
        <f>MROUND(MID($C539,6,3)/Basis!$E$3,0.5)</f>
        <v>27.5</v>
      </c>
      <c r="E539" s="45">
        <f>MROUND(MID($C539,9,3)/Basis!$E$3,0.5)</f>
        <v>43.5</v>
      </c>
      <c r="F539" s="124" t="s">
        <v>2946</v>
      </c>
      <c r="G539" s="45">
        <f>ROUND((ROUNDDOWN($F539/5,0)*5+1.8)/Basis!$E$3,1)</f>
        <v>4.5999999999999996</v>
      </c>
      <c r="H539" s="120">
        <f>ROUND($P539*Basis!$E$2*((TaH-TrH)/LN(1/µ)/Basis!$E$7)^$N539*$AA$4*Glycol,0)</f>
        <v>3715</v>
      </c>
      <c r="I539" s="83">
        <f>ROUND(H539/(MID($C539,9,3)/Basis!$E$3/Basis!$E$9)*Basis!$E$11,0)</f>
        <v>1029</v>
      </c>
      <c r="J539" s="123">
        <f>IF(Basis!$E$1=1,ROUND(H539/((TaH-TrH)*1.163)/3600,3),ROUND(H539/(500*(TaH-TrH)),2))</f>
        <v>0.37</v>
      </c>
      <c r="K539" s="84"/>
      <c r="L539" s="177">
        <f>CHOOSE(Basis!$E$1,((AJ539*(J539*3600/Basis!$E$5)^AK539*(((MID(C539,9,3)*10)-144)/1000)*AL539+AM539*(J539*3600/Basis!$E$5)^2)*0.0098)/Basis!$E$10,((AJ539*(J539/Basis!$E$5)^AK539*(((MID(C539,9,3)*10)-144)/1000)*AL539+AM539*(J539/Basis!$E$5)^2)*0.0098)/Basis!$E$10)</f>
        <v>2.4072457921656975E-2</v>
      </c>
      <c r="M539" s="85"/>
      <c r="N539" s="110">
        <v>1.4359999999999999</v>
      </c>
      <c r="O539" s="74"/>
      <c r="P539" s="73">
        <v>1749</v>
      </c>
      <c r="Q539" s="74"/>
      <c r="R539" s="75"/>
      <c r="S539" s="75"/>
      <c r="T539" s="75"/>
      <c r="U539" s="75"/>
      <c r="V539" s="75"/>
      <c r="W539" s="74"/>
      <c r="X539" s="76"/>
      <c r="Y539" s="76"/>
      <c r="Z539" s="76"/>
      <c r="AA539" s="76"/>
      <c r="AB539" s="76"/>
      <c r="AC539" s="74"/>
      <c r="AD539" s="77"/>
      <c r="AE539" s="77"/>
      <c r="AF539" s="77"/>
      <c r="AG539" s="77"/>
      <c r="AH539" s="77"/>
      <c r="AI539" s="68"/>
      <c r="AJ539" s="213">
        <v>3.9689999999999994E-4</v>
      </c>
      <c r="AK539" s="213">
        <v>1.7345999999999999</v>
      </c>
      <c r="AL539" s="213">
        <v>4</v>
      </c>
      <c r="AM539" s="213">
        <v>5.7428799999999995E-4</v>
      </c>
      <c r="AN539" s="74"/>
      <c r="AO539" s="73"/>
      <c r="AP539" s="73"/>
      <c r="AQ539" s="73"/>
      <c r="AR539" s="73"/>
      <c r="AS539" s="73"/>
      <c r="AT539" s="74"/>
      <c r="AU539" s="47"/>
      <c r="AV539" s="48"/>
    </row>
    <row r="540" spans="1:48" ht="12.75" customHeight="1" x14ac:dyDescent="0.25">
      <c r="A540" s="72" t="s">
        <v>23</v>
      </c>
      <c r="B540" s="43" t="s">
        <v>159</v>
      </c>
      <c r="C540" s="44" t="s">
        <v>690</v>
      </c>
      <c r="D540" s="45">
        <f>MROUND(MID($C540,6,3)/Basis!$E$3,0.5)</f>
        <v>27.5</v>
      </c>
      <c r="E540" s="45">
        <f>MROUND(MID($C540,9,3)/Basis!$E$3,0.5)</f>
        <v>43.5</v>
      </c>
      <c r="F540" s="124" t="s">
        <v>2944</v>
      </c>
      <c r="G540" s="45">
        <f>ROUND((ROUNDDOWN($F540/5,0)*5+1.8)/Basis!$E$3,1)</f>
        <v>6.6</v>
      </c>
      <c r="H540" s="120">
        <f>ROUND($P540*Basis!$E$2*((TaH-TrH)/LN(1/µ)/Basis!$E$7)^$N540*$AA$4*Glycol,0)</f>
        <v>4740</v>
      </c>
      <c r="I540" s="83">
        <f>ROUND(H540/(MID($C540,9,3)/Basis!$E$3/Basis!$E$9)*Basis!$E$11,0)</f>
        <v>1313</v>
      </c>
      <c r="J540" s="123">
        <f>IF(Basis!$E$1=1,ROUND(H540/((TaH-TrH)*1.163)/3600,3),ROUND(H540/(500*(TaH-TrH)),2))</f>
        <v>0.47</v>
      </c>
      <c r="K540" s="84"/>
      <c r="L540" s="177">
        <f>CHOOSE(Basis!$E$1,((AJ540*(J540*3600/Basis!$E$5)^AK540*(((MID(C540,9,3)*10)-144)/1000)*AL540+AM540*(J540*3600/Basis!$E$5)^2)*0.0098)/Basis!$E$10,((AJ540*(J540/Basis!$E$5)^AK540*(((MID(C540,9,3)*10)-144)/1000)*AL540+AM540*(J540/Basis!$E$5)^2)*0.0098)/Basis!$E$10)</f>
        <v>2.1296096351003553E-2</v>
      </c>
      <c r="M540" s="85"/>
      <c r="N540" s="110">
        <v>1.35</v>
      </c>
      <c r="O540" s="74"/>
      <c r="P540" s="73">
        <v>2169</v>
      </c>
      <c r="Q540" s="74"/>
      <c r="R540" s="75"/>
      <c r="S540" s="75"/>
      <c r="T540" s="75"/>
      <c r="U540" s="75"/>
      <c r="V540" s="75"/>
      <c r="W540" s="74"/>
      <c r="X540" s="76"/>
      <c r="Y540" s="76"/>
      <c r="Z540" s="76"/>
      <c r="AA540" s="76"/>
      <c r="AB540" s="76"/>
      <c r="AC540" s="74"/>
      <c r="AD540" s="77"/>
      <c r="AE540" s="77"/>
      <c r="AF540" s="77"/>
      <c r="AG540" s="77"/>
      <c r="AH540" s="77"/>
      <c r="AI540" s="68"/>
      <c r="AJ540" s="213">
        <v>2.0829999999999999E-4</v>
      </c>
      <c r="AK540" s="213">
        <v>1.724</v>
      </c>
      <c r="AL540" s="213">
        <v>2</v>
      </c>
      <c r="AM540" s="213">
        <v>4.6182900000000003E-4</v>
      </c>
      <c r="AN540" s="74"/>
      <c r="AO540" s="73"/>
      <c r="AP540" s="73"/>
      <c r="AQ540" s="73"/>
      <c r="AR540" s="73"/>
      <c r="AS540" s="73"/>
      <c r="AT540" s="74"/>
      <c r="AU540" s="47"/>
      <c r="AV540" s="48"/>
    </row>
    <row r="541" spans="1:48" ht="12.75" customHeight="1" x14ac:dyDescent="0.25">
      <c r="A541" s="72" t="s">
        <v>23</v>
      </c>
      <c r="B541" s="43" t="s">
        <v>159</v>
      </c>
      <c r="C541" s="44" t="s">
        <v>691</v>
      </c>
      <c r="D541" s="45">
        <f>MROUND(MID($C541,6,3)/Basis!$E$3,0.5)</f>
        <v>27.5</v>
      </c>
      <c r="E541" s="45">
        <f>MROUND(MID($C541,9,3)/Basis!$E$3,0.5)</f>
        <v>43.5</v>
      </c>
      <c r="F541" s="124" t="s">
        <v>2947</v>
      </c>
      <c r="G541" s="45">
        <f>ROUND((ROUNDDOWN($F541/5,0)*5+1.8)/Basis!$E$3,1)</f>
        <v>6.6</v>
      </c>
      <c r="H541" s="120">
        <f>ROUND($P541*Basis!$E$2*((TaH-TrH)/LN(1/µ)/Basis!$E$7)^$N541*$AA$4*Glycol,0)</f>
        <v>5218</v>
      </c>
      <c r="I541" s="83">
        <f>ROUND(H541/(MID($C541,9,3)/Basis!$E$3/Basis!$E$9)*Basis!$E$11,0)</f>
        <v>1446</v>
      </c>
      <c r="J541" s="123">
        <f>IF(Basis!$E$1=1,ROUND(H541/((TaH-TrH)*1.163)/3600,3),ROUND(H541/(500*(TaH-TrH)),2))</f>
        <v>0.52</v>
      </c>
      <c r="K541" s="84"/>
      <c r="L541" s="177">
        <f>CHOOSE(Basis!$E$1,((AJ541*(J541*3600/Basis!$E$5)^AK541*(((MID(C541,9,3)*10)-144)/1000)*AL541+AM541*(J541*3600/Basis!$E$5)^2)*0.0098)/Basis!$E$10,((AJ541*(J541/Basis!$E$5)^AK541*(((MID(C541,9,3)*10)-144)/1000)*AL541+AM541*(J541/Basis!$E$5)^2)*0.0098)/Basis!$E$10)</f>
        <v>7.325757627522915E-2</v>
      </c>
      <c r="M541" s="85"/>
      <c r="N541" s="109">
        <v>1.472</v>
      </c>
      <c r="O541" s="68"/>
      <c r="P541" s="67">
        <v>2486</v>
      </c>
      <c r="Q541" s="68"/>
      <c r="R541" s="69"/>
      <c r="S541" s="69"/>
      <c r="T541" s="69"/>
      <c r="U541" s="69"/>
      <c r="V541" s="69"/>
      <c r="W541" s="68"/>
      <c r="X541" s="70"/>
      <c r="Y541" s="70"/>
      <c r="Z541" s="70"/>
      <c r="AA541" s="70"/>
      <c r="AB541" s="70"/>
      <c r="AC541" s="68"/>
      <c r="AD541" s="71"/>
      <c r="AE541" s="71"/>
      <c r="AF541" s="71"/>
      <c r="AG541" s="71"/>
      <c r="AH541" s="71"/>
      <c r="AI541" s="68"/>
      <c r="AJ541" s="214">
        <v>2.0829999999999999E-4</v>
      </c>
      <c r="AK541" s="214">
        <v>1.724</v>
      </c>
      <c r="AL541" s="214">
        <v>4</v>
      </c>
      <c r="AM541" s="214">
        <v>1.392796E-3</v>
      </c>
      <c r="AN541" s="68"/>
      <c r="AO541" s="67"/>
      <c r="AP541" s="67"/>
      <c r="AQ541" s="67"/>
      <c r="AR541" s="67"/>
      <c r="AS541" s="67"/>
      <c r="AT541" s="68"/>
      <c r="AU541" s="49"/>
      <c r="AV541" s="50"/>
    </row>
    <row r="542" spans="1:48" ht="12.75" customHeight="1" x14ac:dyDescent="0.25">
      <c r="A542" s="72" t="s">
        <v>23</v>
      </c>
      <c r="B542" s="43" t="s">
        <v>159</v>
      </c>
      <c r="C542" s="44" t="s">
        <v>692</v>
      </c>
      <c r="D542" s="45">
        <f>MROUND(MID($C542,6,3)/Basis!$E$3,0.5)</f>
        <v>27.5</v>
      </c>
      <c r="E542" s="45">
        <f>MROUND(MID($C542,9,3)/Basis!$E$3,0.5)</f>
        <v>43.5</v>
      </c>
      <c r="F542" s="124" t="s">
        <v>2945</v>
      </c>
      <c r="G542" s="45">
        <f>ROUND((ROUNDDOWN($F542/5,0)*5+1.8)/Basis!$E$3,1)</f>
        <v>8.6</v>
      </c>
      <c r="H542" s="120">
        <f>ROUND($P542*Basis!$E$2*((TaH-TrH)/LN(1/µ)/Basis!$E$7)^$N542*$AA$4*Glycol,0)</f>
        <v>6619</v>
      </c>
      <c r="I542" s="83">
        <f>ROUND(H542/(MID($C542,9,3)/Basis!$E$3/Basis!$E$9)*Basis!$E$11,0)</f>
        <v>1834</v>
      </c>
      <c r="J542" s="123">
        <f>IF(Basis!$E$1=1,ROUND(H542/((TaH-TrH)*1.163)/3600,3),ROUND(H542/(500*(TaH-TrH)),2))</f>
        <v>0.66</v>
      </c>
      <c r="K542" s="84"/>
      <c r="L542" s="177">
        <f>CHOOSE(Basis!$E$1,((AJ542*(J542*3600/Basis!$E$5)^AK542*(((MID(C542,9,3)*10)-144)/1000)*AL542+AM542*(J542*3600/Basis!$E$5)^2)*0.0098)/Basis!$E$10,((AJ542*(J542/Basis!$E$5)^AK542*(((MID(C542,9,3)*10)-144)/1000)*AL542+AM542*(J542/Basis!$E$5)^2)*0.0098)/Basis!$E$10)</f>
        <v>3.2120777208926671E-2</v>
      </c>
      <c r="M542" s="85"/>
      <c r="N542" s="109">
        <v>1.349</v>
      </c>
      <c r="O542" s="68"/>
      <c r="P542" s="67">
        <v>3028</v>
      </c>
      <c r="Q542" s="68"/>
      <c r="R542" s="69"/>
      <c r="S542" s="69"/>
      <c r="T542" s="69"/>
      <c r="U542" s="69"/>
      <c r="V542" s="69"/>
      <c r="W542" s="68"/>
      <c r="X542" s="70"/>
      <c r="Y542" s="70"/>
      <c r="Z542" s="70"/>
      <c r="AA542" s="70"/>
      <c r="AB542" s="70"/>
      <c r="AC542" s="68"/>
      <c r="AD542" s="71"/>
      <c r="AE542" s="71"/>
      <c r="AF542" s="71"/>
      <c r="AG542" s="71"/>
      <c r="AH542" s="71"/>
      <c r="AI542" s="68"/>
      <c r="AJ542" s="214">
        <v>1.2760000000000001E-4</v>
      </c>
      <c r="AK542" s="214">
        <v>1.7219</v>
      </c>
      <c r="AL542" s="214">
        <v>2</v>
      </c>
      <c r="AM542" s="214">
        <v>3.76611E-4</v>
      </c>
      <c r="AN542" s="68"/>
      <c r="AO542" s="67"/>
      <c r="AP542" s="67"/>
      <c r="AQ542" s="67"/>
      <c r="AR542" s="67"/>
      <c r="AS542" s="67"/>
      <c r="AT542" s="68"/>
      <c r="AU542" s="49"/>
      <c r="AV542" s="50"/>
    </row>
    <row r="543" spans="1:48" ht="12.75" customHeight="1" x14ac:dyDescent="0.25">
      <c r="A543" s="72" t="s">
        <v>23</v>
      </c>
      <c r="B543" s="43" t="s">
        <v>159</v>
      </c>
      <c r="C543" s="44" t="s">
        <v>693</v>
      </c>
      <c r="D543" s="45">
        <f>MROUND(MID($C543,6,3)/Basis!$E$3,0.5)</f>
        <v>27.5</v>
      </c>
      <c r="E543" s="45">
        <f>MROUND(MID($C543,9,3)/Basis!$E$3,0.5)</f>
        <v>43.5</v>
      </c>
      <c r="F543" s="124" t="s">
        <v>2948</v>
      </c>
      <c r="G543" s="45">
        <f>ROUND((ROUNDDOWN($F543/5,0)*5+1.8)/Basis!$E$3,1)</f>
        <v>8.6</v>
      </c>
      <c r="H543" s="120">
        <f>ROUND($P543*Basis!$E$2*((TaH-TrH)/LN(1/µ)/Basis!$E$7)^$N543*$AA$4*Glycol,0)</f>
        <v>7266</v>
      </c>
      <c r="I543" s="83">
        <f>ROUND(H543/(MID($C543,9,3)/Basis!$E$3/Basis!$E$9)*Basis!$E$11,0)</f>
        <v>2013</v>
      </c>
      <c r="J543" s="123">
        <f>IF(Basis!$E$1=1,ROUND(H543/((TaH-TrH)*1.163)/3600,3),ROUND(H543/(500*(TaH-TrH)),2))</f>
        <v>0.73</v>
      </c>
      <c r="K543" s="84"/>
      <c r="L543" s="177">
        <f>CHOOSE(Basis!$E$1,((AJ543*(J543*3600/Basis!$E$5)^AK543*(((MID(C543,9,3)*10)-144)/1000)*AL543+AM543*(J543*3600/Basis!$E$5)^2)*0.0098)/Basis!$E$10,((AJ543*(J543/Basis!$E$5)^AK543*(((MID(C543,9,3)*10)-144)/1000)*AL543+AM543*(J543/Basis!$E$5)^2)*0.0098)/Basis!$E$10)</f>
        <v>5.6805963450040332E-2</v>
      </c>
      <c r="M543" s="85"/>
      <c r="N543" s="110">
        <v>1.5009999999999999</v>
      </c>
      <c r="O543" s="74"/>
      <c r="P543" s="73">
        <v>3495</v>
      </c>
      <c r="Q543" s="74"/>
      <c r="R543" s="75"/>
      <c r="S543" s="75"/>
      <c r="T543" s="75"/>
      <c r="U543" s="75"/>
      <c r="V543" s="75"/>
      <c r="W543" s="74"/>
      <c r="X543" s="76"/>
      <c r="Y543" s="76"/>
      <c r="Z543" s="76"/>
      <c r="AA543" s="76"/>
      <c r="AB543" s="76"/>
      <c r="AC543" s="74"/>
      <c r="AD543" s="77"/>
      <c r="AE543" s="77"/>
      <c r="AF543" s="77"/>
      <c r="AG543" s="77"/>
      <c r="AH543" s="77"/>
      <c r="AI543" s="68"/>
      <c r="AJ543" s="213">
        <v>1.2760000000000001E-4</v>
      </c>
      <c r="AK543" s="213">
        <v>1.7219</v>
      </c>
      <c r="AL543" s="213">
        <v>4</v>
      </c>
      <c r="AM543" s="213">
        <v>5.1420100000000005E-4</v>
      </c>
      <c r="AN543" s="74"/>
      <c r="AO543" s="73"/>
      <c r="AP543" s="73"/>
      <c r="AQ543" s="73"/>
      <c r="AR543" s="73"/>
      <c r="AS543" s="73"/>
      <c r="AT543" s="74"/>
      <c r="AU543" s="47"/>
      <c r="AV543" s="48"/>
    </row>
    <row r="544" spans="1:48" ht="12.75" customHeight="1" x14ac:dyDescent="0.25">
      <c r="A544" s="72" t="s">
        <v>23</v>
      </c>
      <c r="B544" s="43" t="s">
        <v>159</v>
      </c>
      <c r="C544" s="44" t="s">
        <v>694</v>
      </c>
      <c r="D544" s="45">
        <f>MROUND(MID($C544,6,3)/Basis!$E$3,0.5)</f>
        <v>27.5</v>
      </c>
      <c r="E544" s="45">
        <f>MROUND(MID($C544,9,3)/Basis!$E$3,0.5)</f>
        <v>47</v>
      </c>
      <c r="F544" s="124" t="s">
        <v>2943</v>
      </c>
      <c r="G544" s="45">
        <f>ROUND((ROUNDDOWN($F544/5,0)*5+1.8)/Basis!$E$3,1)</f>
        <v>4.5999999999999996</v>
      </c>
      <c r="H544" s="120">
        <f>ROUND($P544*Basis!$E$2*((TaH-TrH)/LN(1/µ)/Basis!$E$7)^$N544*$AA$4*Glycol,0)</f>
        <v>3256</v>
      </c>
      <c r="I544" s="83">
        <f>ROUND(H544/(MID($C544,9,3)/Basis!$E$3/Basis!$E$9)*Basis!$E$11,0)</f>
        <v>827</v>
      </c>
      <c r="J544" s="123">
        <f>IF(Basis!$E$1=1,ROUND(H544/((TaH-TrH)*1.163)/3600,3),ROUND(H544/(500*(TaH-TrH)),2))</f>
        <v>0.33</v>
      </c>
      <c r="K544" s="84"/>
      <c r="L544" s="177">
        <f>CHOOSE(Basis!$E$1,((AJ544*(J544*3600/Basis!$E$5)^AK544*(((MID(C544,9,3)*10)-144)/1000)*AL544+AM544*(J544*3600/Basis!$E$5)^2)*0.0098)/Basis!$E$10,((AJ544*(J544/Basis!$E$5)^AK544*(((MID(C544,9,3)*10)-144)/1000)*AL544+AM544*(J544/Basis!$E$5)^2)*0.0098)/Basis!$E$10)</f>
        <v>1.1643905556149059E-2</v>
      </c>
      <c r="M544" s="85"/>
      <c r="N544" s="110">
        <v>1.3660000000000001</v>
      </c>
      <c r="O544" s="74"/>
      <c r="P544" s="73">
        <v>1498</v>
      </c>
      <c r="Q544" s="74"/>
      <c r="R544" s="75"/>
      <c r="S544" s="75"/>
      <c r="T544" s="75"/>
      <c r="U544" s="75"/>
      <c r="V544" s="75"/>
      <c r="W544" s="74"/>
      <c r="X544" s="76"/>
      <c r="Y544" s="76"/>
      <c r="Z544" s="76"/>
      <c r="AA544" s="76"/>
      <c r="AB544" s="76"/>
      <c r="AC544" s="74"/>
      <c r="AD544" s="77"/>
      <c r="AE544" s="77"/>
      <c r="AF544" s="77"/>
      <c r="AG544" s="77"/>
      <c r="AH544" s="77"/>
      <c r="AI544" s="68"/>
      <c r="AJ544" s="213">
        <v>3.9689999999999994E-4</v>
      </c>
      <c r="AK544" s="213">
        <v>1.7345999999999999</v>
      </c>
      <c r="AL544" s="213">
        <v>2</v>
      </c>
      <c r="AM544" s="213">
        <v>3.6734700000000002E-4</v>
      </c>
      <c r="AN544" s="74"/>
      <c r="AO544" s="73"/>
      <c r="AP544" s="73"/>
      <c r="AQ544" s="73"/>
      <c r="AR544" s="73"/>
      <c r="AS544" s="73"/>
      <c r="AT544" s="74"/>
      <c r="AU544" s="47"/>
      <c r="AV544" s="48"/>
    </row>
    <row r="545" spans="1:48" ht="12.75" customHeight="1" x14ac:dyDescent="0.25">
      <c r="A545" s="72" t="s">
        <v>23</v>
      </c>
      <c r="B545" s="43" t="s">
        <v>159</v>
      </c>
      <c r="C545" s="44" t="s">
        <v>695</v>
      </c>
      <c r="D545" s="45">
        <f>MROUND(MID($C545,6,3)/Basis!$E$3,0.5)</f>
        <v>27.5</v>
      </c>
      <c r="E545" s="45">
        <f>MROUND(MID($C545,9,3)/Basis!$E$3,0.5)</f>
        <v>47</v>
      </c>
      <c r="F545" s="124" t="s">
        <v>2946</v>
      </c>
      <c r="G545" s="45">
        <f>ROUND((ROUNDDOWN($F545/5,0)*5+1.8)/Basis!$E$3,1)</f>
        <v>4.5999999999999996</v>
      </c>
      <c r="H545" s="120">
        <f>ROUND($P545*Basis!$E$2*((TaH-TrH)/LN(1/µ)/Basis!$E$7)^$N545*$AA$4*Glycol,0)</f>
        <v>4053</v>
      </c>
      <c r="I545" s="83">
        <f>ROUND(H545/(MID($C545,9,3)/Basis!$E$3/Basis!$E$9)*Basis!$E$11,0)</f>
        <v>1029</v>
      </c>
      <c r="J545" s="123">
        <f>IF(Basis!$E$1=1,ROUND(H545/((TaH-TrH)*1.163)/3600,3),ROUND(H545/(500*(TaH-TrH)),2))</f>
        <v>0.41</v>
      </c>
      <c r="K545" s="84"/>
      <c r="L545" s="177">
        <f>CHOOSE(Basis!$E$1,((AJ545*(J545*3600/Basis!$E$5)^AK545*(((MID(C545,9,3)*10)-144)/1000)*AL545+AM545*(J545*3600/Basis!$E$5)^2)*0.0098)/Basis!$E$10,((AJ545*(J545/Basis!$E$5)^AK545*(((MID(C545,9,3)*10)-144)/1000)*AL545+AM545*(J545/Basis!$E$5)^2)*0.0098)/Basis!$E$10)</f>
        <v>3.055319390483608E-2</v>
      </c>
      <c r="M545" s="85"/>
      <c r="N545" s="109">
        <v>1.4359999999999999</v>
      </c>
      <c r="O545" s="68"/>
      <c r="P545" s="67">
        <v>1908</v>
      </c>
      <c r="Q545" s="68"/>
      <c r="R545" s="69"/>
      <c r="S545" s="69"/>
      <c r="T545" s="69"/>
      <c r="U545" s="69"/>
      <c r="V545" s="69"/>
      <c r="W545" s="68"/>
      <c r="X545" s="70"/>
      <c r="Y545" s="70"/>
      <c r="Z545" s="70"/>
      <c r="AA545" s="70"/>
      <c r="AB545" s="70"/>
      <c r="AC545" s="68"/>
      <c r="AD545" s="71"/>
      <c r="AE545" s="71"/>
      <c r="AF545" s="71"/>
      <c r="AG545" s="71"/>
      <c r="AH545" s="71"/>
      <c r="AI545" s="68"/>
      <c r="AJ545" s="214">
        <v>3.9689999999999994E-4</v>
      </c>
      <c r="AK545" s="214">
        <v>1.7345999999999999</v>
      </c>
      <c r="AL545" s="214">
        <v>4</v>
      </c>
      <c r="AM545" s="214">
        <v>5.7428799999999995E-4</v>
      </c>
      <c r="AN545" s="68"/>
      <c r="AO545" s="67"/>
      <c r="AP545" s="67"/>
      <c r="AQ545" s="67"/>
      <c r="AR545" s="67"/>
      <c r="AS545" s="67"/>
      <c r="AT545" s="68"/>
      <c r="AU545" s="49"/>
      <c r="AV545" s="50"/>
    </row>
    <row r="546" spans="1:48" ht="12.75" customHeight="1" x14ac:dyDescent="0.25">
      <c r="A546" s="72" t="s">
        <v>23</v>
      </c>
      <c r="B546" s="43" t="s">
        <v>159</v>
      </c>
      <c r="C546" s="44" t="s">
        <v>696</v>
      </c>
      <c r="D546" s="45">
        <f>MROUND(MID($C546,6,3)/Basis!$E$3,0.5)</f>
        <v>27.5</v>
      </c>
      <c r="E546" s="45">
        <f>MROUND(MID($C546,9,3)/Basis!$E$3,0.5)</f>
        <v>47</v>
      </c>
      <c r="F546" s="124" t="s">
        <v>2944</v>
      </c>
      <c r="G546" s="45">
        <f>ROUND((ROUNDDOWN($F546/5,0)*5+1.8)/Basis!$E$3,1)</f>
        <v>6.6</v>
      </c>
      <c r="H546" s="120">
        <f>ROUND($P546*Basis!$E$2*((TaH-TrH)/LN(1/µ)/Basis!$E$7)^$N546*$AA$4*Glycol,0)</f>
        <v>5171</v>
      </c>
      <c r="I546" s="83">
        <f>ROUND(H546/(MID($C546,9,3)/Basis!$E$3/Basis!$E$9)*Basis!$E$11,0)</f>
        <v>1313</v>
      </c>
      <c r="J546" s="123">
        <f>IF(Basis!$E$1=1,ROUND(H546/((TaH-TrH)*1.163)/3600,3),ROUND(H546/(500*(TaH-TrH)),2))</f>
        <v>0.52</v>
      </c>
      <c r="K546" s="84"/>
      <c r="L546" s="177">
        <f>CHOOSE(Basis!$E$1,((AJ546*(J546*3600/Basis!$E$5)^AK546*(((MID(C546,9,3)*10)-144)/1000)*AL546+AM546*(J546*3600/Basis!$E$5)^2)*0.0098)/Basis!$E$10,((AJ546*(J546/Basis!$E$5)^AK546*(((MID(C546,9,3)*10)-144)/1000)*AL546+AM546*(J546/Basis!$E$5)^2)*0.0098)/Basis!$E$10)</f>
        <v>2.6439597808355048E-2</v>
      </c>
      <c r="M546" s="85"/>
      <c r="N546" s="109">
        <v>1.35</v>
      </c>
      <c r="O546" s="68"/>
      <c r="P546" s="67">
        <v>2366</v>
      </c>
      <c r="Q546" s="68"/>
      <c r="R546" s="69"/>
      <c r="S546" s="69"/>
      <c r="T546" s="69"/>
      <c r="U546" s="69"/>
      <c r="V546" s="69"/>
      <c r="W546" s="68"/>
      <c r="X546" s="70"/>
      <c r="Y546" s="70"/>
      <c r="Z546" s="70"/>
      <c r="AA546" s="70"/>
      <c r="AB546" s="70"/>
      <c r="AC546" s="68"/>
      <c r="AD546" s="71"/>
      <c r="AE546" s="71"/>
      <c r="AF546" s="71"/>
      <c r="AG546" s="71"/>
      <c r="AH546" s="71"/>
      <c r="AI546" s="68"/>
      <c r="AJ546" s="214">
        <v>2.0829999999999999E-4</v>
      </c>
      <c r="AK546" s="214">
        <v>1.724</v>
      </c>
      <c r="AL546" s="214">
        <v>2</v>
      </c>
      <c r="AM546" s="214">
        <v>4.6182900000000003E-4</v>
      </c>
      <c r="AN546" s="68"/>
      <c r="AO546" s="67"/>
      <c r="AP546" s="67"/>
      <c r="AQ546" s="67"/>
      <c r="AR546" s="67"/>
      <c r="AS546" s="67"/>
      <c r="AT546" s="68"/>
      <c r="AU546" s="49"/>
      <c r="AV546" s="50"/>
    </row>
    <row r="547" spans="1:48" ht="12.75" customHeight="1" x14ac:dyDescent="0.25">
      <c r="A547" s="72" t="s">
        <v>23</v>
      </c>
      <c r="B547" s="43" t="s">
        <v>159</v>
      </c>
      <c r="C547" s="44" t="s">
        <v>697</v>
      </c>
      <c r="D547" s="45">
        <f>MROUND(MID($C547,6,3)/Basis!$E$3,0.5)</f>
        <v>27.5</v>
      </c>
      <c r="E547" s="45">
        <f>MROUND(MID($C547,9,3)/Basis!$E$3,0.5)</f>
        <v>47</v>
      </c>
      <c r="F547" s="124" t="s">
        <v>2947</v>
      </c>
      <c r="G547" s="45">
        <f>ROUND((ROUNDDOWN($F547/5,0)*5+1.8)/Basis!$E$3,1)</f>
        <v>6.6</v>
      </c>
      <c r="H547" s="120">
        <f>ROUND($P547*Basis!$E$2*((TaH-TrH)/LN(1/µ)/Basis!$E$7)^$N547*$AA$4*Glycol,0)</f>
        <v>5693</v>
      </c>
      <c r="I547" s="83">
        <f>ROUND(H547/(MID($C547,9,3)/Basis!$E$3/Basis!$E$9)*Basis!$E$11,0)</f>
        <v>1446</v>
      </c>
      <c r="J547" s="123">
        <f>IF(Basis!$E$1=1,ROUND(H547/((TaH-TrH)*1.163)/3600,3),ROUND(H547/(500*(TaH-TrH)),2))</f>
        <v>0.56999999999999995</v>
      </c>
      <c r="K547" s="84"/>
      <c r="L547" s="177">
        <f>CHOOSE(Basis!$E$1,((AJ547*(J547*3600/Basis!$E$5)^AK547*(((MID(C547,9,3)*10)-144)/1000)*AL547+AM547*(J547*3600/Basis!$E$5)^2)*0.0098)/Basis!$E$10,((AJ547*(J547/Basis!$E$5)^AK547*(((MID(C547,9,3)*10)-144)/1000)*AL547+AM547*(J547/Basis!$E$5)^2)*0.0098)/Basis!$E$10)</f>
        <v>8.892309035805146E-2</v>
      </c>
      <c r="M547" s="85"/>
      <c r="N547" s="110">
        <v>1.472</v>
      </c>
      <c r="O547" s="74"/>
      <c r="P547" s="73">
        <v>2712</v>
      </c>
      <c r="Q547" s="74"/>
      <c r="R547" s="75"/>
      <c r="S547" s="75"/>
      <c r="T547" s="75"/>
      <c r="U547" s="75"/>
      <c r="V547" s="75"/>
      <c r="W547" s="74"/>
      <c r="X547" s="76"/>
      <c r="Y547" s="76"/>
      <c r="Z547" s="76"/>
      <c r="AA547" s="76"/>
      <c r="AB547" s="76"/>
      <c r="AC547" s="74"/>
      <c r="AD547" s="77"/>
      <c r="AE547" s="77"/>
      <c r="AF547" s="77"/>
      <c r="AG547" s="77"/>
      <c r="AH547" s="77"/>
      <c r="AI547" s="68"/>
      <c r="AJ547" s="213">
        <v>2.0829999999999999E-4</v>
      </c>
      <c r="AK547" s="213">
        <v>1.724</v>
      </c>
      <c r="AL547" s="213">
        <v>4</v>
      </c>
      <c r="AM547" s="213">
        <v>1.392796E-3</v>
      </c>
      <c r="AN547" s="74"/>
      <c r="AO547" s="73"/>
      <c r="AP547" s="73"/>
      <c r="AQ547" s="73"/>
      <c r="AR547" s="73"/>
      <c r="AS547" s="73"/>
      <c r="AT547" s="74"/>
      <c r="AU547" s="47"/>
      <c r="AV547" s="48"/>
    </row>
    <row r="548" spans="1:48" ht="12.75" customHeight="1" x14ac:dyDescent="0.25">
      <c r="A548" s="72" t="s">
        <v>23</v>
      </c>
      <c r="B548" s="43" t="s">
        <v>159</v>
      </c>
      <c r="C548" s="44" t="s">
        <v>698</v>
      </c>
      <c r="D548" s="45">
        <f>MROUND(MID($C548,6,3)/Basis!$E$3,0.5)</f>
        <v>27.5</v>
      </c>
      <c r="E548" s="45">
        <f>MROUND(MID($C548,9,3)/Basis!$E$3,0.5)</f>
        <v>47</v>
      </c>
      <c r="F548" s="124" t="s">
        <v>2945</v>
      </c>
      <c r="G548" s="45">
        <f>ROUND((ROUNDDOWN($F548/5,0)*5+1.8)/Basis!$E$3,1)</f>
        <v>8.6</v>
      </c>
      <c r="H548" s="120">
        <f>ROUND($P548*Basis!$E$2*((TaH-TrH)/LN(1/µ)/Basis!$E$7)^$N548*$AA$4*Glycol,0)</f>
        <v>7223</v>
      </c>
      <c r="I548" s="83">
        <f>ROUND(H548/(MID($C548,9,3)/Basis!$E$3/Basis!$E$9)*Basis!$E$11,0)</f>
        <v>1835</v>
      </c>
      <c r="J548" s="123">
        <f>IF(Basis!$E$1=1,ROUND(H548/((TaH-TrH)*1.163)/3600,3),ROUND(H548/(500*(TaH-TrH)),2))</f>
        <v>0.72</v>
      </c>
      <c r="K548" s="84"/>
      <c r="L548" s="177">
        <f>CHOOSE(Basis!$E$1,((AJ548*(J548*3600/Basis!$E$5)^AK548*(((MID(C548,9,3)*10)-144)/1000)*AL548+AM548*(J548*3600/Basis!$E$5)^2)*0.0098)/Basis!$E$10,((AJ548*(J548/Basis!$E$5)^AK548*(((MID(C548,9,3)*10)-144)/1000)*AL548+AM548*(J548/Basis!$E$5)^2)*0.0098)/Basis!$E$10)</f>
        <v>3.8640501093833296E-2</v>
      </c>
      <c r="M548" s="85"/>
      <c r="N548" s="110">
        <v>1.349</v>
      </c>
      <c r="O548" s="74"/>
      <c r="P548" s="73">
        <v>3304</v>
      </c>
      <c r="Q548" s="74"/>
      <c r="R548" s="75"/>
      <c r="S548" s="75"/>
      <c r="T548" s="75"/>
      <c r="U548" s="75"/>
      <c r="V548" s="75"/>
      <c r="W548" s="74"/>
      <c r="X548" s="76"/>
      <c r="Y548" s="76"/>
      <c r="Z548" s="76"/>
      <c r="AA548" s="76"/>
      <c r="AB548" s="76"/>
      <c r="AC548" s="74"/>
      <c r="AD548" s="77"/>
      <c r="AE548" s="77"/>
      <c r="AF548" s="77"/>
      <c r="AG548" s="77"/>
      <c r="AH548" s="77"/>
      <c r="AI548" s="68"/>
      <c r="AJ548" s="213">
        <v>1.2760000000000001E-4</v>
      </c>
      <c r="AK548" s="213">
        <v>1.7219</v>
      </c>
      <c r="AL548" s="213">
        <v>2</v>
      </c>
      <c r="AM548" s="213">
        <v>3.76611E-4</v>
      </c>
      <c r="AN548" s="74"/>
      <c r="AO548" s="73"/>
      <c r="AP548" s="73"/>
      <c r="AQ548" s="73"/>
      <c r="AR548" s="73"/>
      <c r="AS548" s="73"/>
      <c r="AT548" s="74"/>
      <c r="AU548" s="47"/>
      <c r="AV548" s="48"/>
    </row>
    <row r="549" spans="1:48" ht="12.75" customHeight="1" x14ac:dyDescent="0.25">
      <c r="A549" s="72" t="s">
        <v>23</v>
      </c>
      <c r="B549" s="43" t="s">
        <v>159</v>
      </c>
      <c r="C549" s="44" t="s">
        <v>699</v>
      </c>
      <c r="D549" s="45">
        <f>MROUND(MID($C549,6,3)/Basis!$E$3,0.5)</f>
        <v>27.5</v>
      </c>
      <c r="E549" s="45">
        <f>MROUND(MID($C549,9,3)/Basis!$E$3,0.5)</f>
        <v>47</v>
      </c>
      <c r="F549" s="124" t="s">
        <v>2948</v>
      </c>
      <c r="G549" s="45">
        <f>ROUND((ROUNDDOWN($F549/5,0)*5+1.8)/Basis!$E$3,1)</f>
        <v>8.6</v>
      </c>
      <c r="H549" s="120">
        <f>ROUND($P549*Basis!$E$2*((TaH-TrH)/LN(1/µ)/Basis!$E$7)^$N549*$AA$4*Glycol,0)</f>
        <v>7926</v>
      </c>
      <c r="I549" s="83">
        <f>ROUND(H549/(MID($C549,9,3)/Basis!$E$3/Basis!$E$9)*Basis!$E$11,0)</f>
        <v>2013</v>
      </c>
      <c r="J549" s="123">
        <f>IF(Basis!$E$1=1,ROUND(H549/((TaH-TrH)*1.163)/3600,3),ROUND(H549/(500*(TaH-TrH)),2))</f>
        <v>0.79</v>
      </c>
      <c r="K549" s="84"/>
      <c r="L549" s="177">
        <f>CHOOSE(Basis!$E$1,((AJ549*(J549*3600/Basis!$E$5)^AK549*(((MID(C549,9,3)*10)-144)/1000)*AL549+AM549*(J549*3600/Basis!$E$5)^2)*0.0098)/Basis!$E$10,((AJ549*(J549/Basis!$E$5)^AK549*(((MID(C549,9,3)*10)-144)/1000)*AL549+AM549*(J549/Basis!$E$5)^2)*0.0098)/Basis!$E$10)</f>
        <v>6.7527098147011175E-2</v>
      </c>
      <c r="M549" s="85"/>
      <c r="N549" s="109">
        <v>1.5009999999999999</v>
      </c>
      <c r="O549" s="68"/>
      <c r="P549" s="67">
        <v>3812</v>
      </c>
      <c r="Q549" s="68"/>
      <c r="R549" s="69"/>
      <c r="S549" s="69"/>
      <c r="T549" s="69"/>
      <c r="U549" s="69"/>
      <c r="V549" s="69"/>
      <c r="W549" s="68"/>
      <c r="X549" s="70"/>
      <c r="Y549" s="70"/>
      <c r="Z549" s="70"/>
      <c r="AA549" s="70"/>
      <c r="AB549" s="70"/>
      <c r="AC549" s="68"/>
      <c r="AD549" s="71"/>
      <c r="AE549" s="71"/>
      <c r="AF549" s="71"/>
      <c r="AG549" s="71"/>
      <c r="AH549" s="71"/>
      <c r="AI549" s="68"/>
      <c r="AJ549" s="214">
        <v>1.2760000000000001E-4</v>
      </c>
      <c r="AK549" s="214">
        <v>1.7219</v>
      </c>
      <c r="AL549" s="214">
        <v>4</v>
      </c>
      <c r="AM549" s="214">
        <v>5.1420100000000005E-4</v>
      </c>
      <c r="AN549" s="68"/>
      <c r="AO549" s="67"/>
      <c r="AP549" s="67"/>
      <c r="AQ549" s="67"/>
      <c r="AR549" s="67"/>
      <c r="AS549" s="67"/>
      <c r="AT549" s="68"/>
      <c r="AU549" s="49"/>
      <c r="AV549" s="50"/>
    </row>
    <row r="550" spans="1:48" ht="12.75" customHeight="1" x14ac:dyDescent="0.25">
      <c r="A550" s="72" t="s">
        <v>23</v>
      </c>
      <c r="B550" s="43" t="s">
        <v>159</v>
      </c>
      <c r="C550" s="44" t="s">
        <v>700</v>
      </c>
      <c r="D550" s="45">
        <f>MROUND(MID($C550,6,3)/Basis!$E$3,0.5)</f>
        <v>27.5</v>
      </c>
      <c r="E550" s="45">
        <f>MROUND(MID($C550,9,3)/Basis!$E$3,0.5)</f>
        <v>55</v>
      </c>
      <c r="F550" s="124" t="s">
        <v>2943</v>
      </c>
      <c r="G550" s="45">
        <f>ROUND((ROUNDDOWN($F550/5,0)*5+1.8)/Basis!$E$3,1)</f>
        <v>4.5999999999999996</v>
      </c>
      <c r="H550" s="120">
        <f>ROUND($P550*Basis!$E$2*((TaH-TrH)/LN(1/µ)/Basis!$E$7)^$N550*$AA$4*Glycol,0)</f>
        <v>3798</v>
      </c>
      <c r="I550" s="83">
        <f>ROUND(H550/(MID($C550,9,3)/Basis!$E$3/Basis!$E$9)*Basis!$E$11,0)</f>
        <v>827</v>
      </c>
      <c r="J550" s="123">
        <f>IF(Basis!$E$1=1,ROUND(H550/((TaH-TrH)*1.163)/3600,3),ROUND(H550/(500*(TaH-TrH)),2))</f>
        <v>0.38</v>
      </c>
      <c r="K550" s="84"/>
      <c r="L550" s="177">
        <f>CHOOSE(Basis!$E$1,((AJ550*(J550*3600/Basis!$E$5)^AK550*(((MID(C550,9,3)*10)-144)/1000)*AL550+AM550*(J550*3600/Basis!$E$5)^2)*0.0098)/Basis!$E$10,((AJ550*(J550/Basis!$E$5)^AK550*(((MID(C550,9,3)*10)-144)/1000)*AL550+AM550*(J550/Basis!$E$5)^2)*0.0098)/Basis!$E$10)</f>
        <v>1.638553283367233E-2</v>
      </c>
      <c r="M550" s="85"/>
      <c r="N550" s="109">
        <v>1.3660000000000001</v>
      </c>
      <c r="O550" s="68"/>
      <c r="P550" s="67">
        <v>1747</v>
      </c>
      <c r="Q550" s="68"/>
      <c r="R550" s="69"/>
      <c r="S550" s="69"/>
      <c r="T550" s="69"/>
      <c r="U550" s="69"/>
      <c r="V550" s="69"/>
      <c r="W550" s="68"/>
      <c r="X550" s="70"/>
      <c r="Y550" s="70"/>
      <c r="Z550" s="70"/>
      <c r="AA550" s="70"/>
      <c r="AB550" s="70"/>
      <c r="AC550" s="68"/>
      <c r="AD550" s="71"/>
      <c r="AE550" s="71"/>
      <c r="AF550" s="71"/>
      <c r="AG550" s="71"/>
      <c r="AH550" s="71"/>
      <c r="AI550" s="68"/>
      <c r="AJ550" s="214">
        <v>3.9689999999999994E-4</v>
      </c>
      <c r="AK550" s="214">
        <v>1.7345999999999999</v>
      </c>
      <c r="AL550" s="214">
        <v>2</v>
      </c>
      <c r="AM550" s="214">
        <v>3.6734700000000002E-4</v>
      </c>
      <c r="AN550" s="68"/>
      <c r="AO550" s="67"/>
      <c r="AP550" s="67"/>
      <c r="AQ550" s="67"/>
      <c r="AR550" s="67"/>
      <c r="AS550" s="67"/>
      <c r="AT550" s="68"/>
      <c r="AU550" s="49"/>
      <c r="AV550" s="50"/>
    </row>
    <row r="551" spans="1:48" ht="12.75" customHeight="1" x14ac:dyDescent="0.25">
      <c r="A551" s="72" t="s">
        <v>23</v>
      </c>
      <c r="B551" s="43" t="s">
        <v>159</v>
      </c>
      <c r="C551" s="44" t="s">
        <v>701</v>
      </c>
      <c r="D551" s="45">
        <f>MROUND(MID($C551,6,3)/Basis!$E$3,0.5)</f>
        <v>27.5</v>
      </c>
      <c r="E551" s="45">
        <f>MROUND(MID($C551,9,3)/Basis!$E$3,0.5)</f>
        <v>55</v>
      </c>
      <c r="F551" s="124" t="s">
        <v>2946</v>
      </c>
      <c r="G551" s="45">
        <f>ROUND((ROUNDDOWN($F551/5,0)*5+1.8)/Basis!$E$3,1)</f>
        <v>4.5999999999999996</v>
      </c>
      <c r="H551" s="120">
        <f>ROUND($P551*Basis!$E$2*((TaH-TrH)/LN(1/µ)/Basis!$E$7)^$N551*$AA$4*Glycol,0)</f>
        <v>4728</v>
      </c>
      <c r="I551" s="83">
        <f>ROUND(H551/(MID($C551,9,3)/Basis!$E$3/Basis!$E$9)*Basis!$E$11,0)</f>
        <v>1029</v>
      </c>
      <c r="J551" s="123">
        <f>IF(Basis!$E$1=1,ROUND(H551/((TaH-TrH)*1.163)/3600,3),ROUND(H551/(500*(TaH-TrH)),2))</f>
        <v>0.47</v>
      </c>
      <c r="K551" s="84"/>
      <c r="L551" s="177">
        <f>CHOOSE(Basis!$E$1,((AJ551*(J551*3600/Basis!$E$5)^AK551*(((MID(C551,9,3)*10)-144)/1000)*AL551+AM551*(J551*3600/Basis!$E$5)^2)*0.0098)/Basis!$E$10,((AJ551*(J551/Basis!$E$5)^AK551*(((MID(C551,9,3)*10)-144)/1000)*AL551+AM551*(J551/Basis!$E$5)^2)*0.0098)/Basis!$E$10)</f>
        <v>4.2907524783139174E-2</v>
      </c>
      <c r="M551" s="85"/>
      <c r="N551" s="110">
        <v>1.4359999999999999</v>
      </c>
      <c r="O551" s="74"/>
      <c r="P551" s="73">
        <v>2226</v>
      </c>
      <c r="Q551" s="74"/>
      <c r="R551" s="75"/>
      <c r="S551" s="75"/>
      <c r="T551" s="75"/>
      <c r="U551" s="75"/>
      <c r="V551" s="75"/>
      <c r="W551" s="74"/>
      <c r="X551" s="76"/>
      <c r="Y551" s="76"/>
      <c r="Z551" s="76"/>
      <c r="AA551" s="76"/>
      <c r="AB551" s="76"/>
      <c r="AC551" s="74"/>
      <c r="AD551" s="77"/>
      <c r="AE551" s="77"/>
      <c r="AF551" s="77"/>
      <c r="AG551" s="77"/>
      <c r="AH551" s="77"/>
      <c r="AI551" s="68"/>
      <c r="AJ551" s="213">
        <v>3.9689999999999994E-4</v>
      </c>
      <c r="AK551" s="213">
        <v>1.7345999999999999</v>
      </c>
      <c r="AL551" s="213">
        <v>4</v>
      </c>
      <c r="AM551" s="213">
        <v>5.7428799999999995E-4</v>
      </c>
      <c r="AN551" s="74"/>
      <c r="AO551" s="73"/>
      <c r="AP551" s="73"/>
      <c r="AQ551" s="73"/>
      <c r="AR551" s="73"/>
      <c r="AS551" s="73"/>
      <c r="AT551" s="74"/>
      <c r="AU551" s="47"/>
      <c r="AV551" s="48"/>
    </row>
    <row r="552" spans="1:48" ht="12.75" customHeight="1" x14ac:dyDescent="0.25">
      <c r="A552" s="72" t="s">
        <v>23</v>
      </c>
      <c r="B552" s="43" t="s">
        <v>159</v>
      </c>
      <c r="C552" s="44" t="s">
        <v>702</v>
      </c>
      <c r="D552" s="45">
        <f>MROUND(MID($C552,6,3)/Basis!$E$3,0.5)</f>
        <v>27.5</v>
      </c>
      <c r="E552" s="45">
        <f>MROUND(MID($C552,9,3)/Basis!$E$3,0.5)</f>
        <v>55</v>
      </c>
      <c r="F552" s="124" t="s">
        <v>2944</v>
      </c>
      <c r="G552" s="45">
        <f>ROUND((ROUNDDOWN($F552/5,0)*5+1.8)/Basis!$E$3,1)</f>
        <v>6.6</v>
      </c>
      <c r="H552" s="120">
        <f>ROUND($P552*Basis!$E$2*((TaH-TrH)/LN(1/µ)/Basis!$E$7)^$N552*$AA$4*Glycol,0)</f>
        <v>6034</v>
      </c>
      <c r="I552" s="83">
        <f>ROUND(H552/(MID($C552,9,3)/Basis!$E$3/Basis!$E$9)*Basis!$E$11,0)</f>
        <v>1314</v>
      </c>
      <c r="J552" s="123">
        <f>IF(Basis!$E$1=1,ROUND(H552/((TaH-TrH)*1.163)/3600,3),ROUND(H552/(500*(TaH-TrH)),2))</f>
        <v>0.6</v>
      </c>
      <c r="K552" s="84"/>
      <c r="L552" s="177">
        <f>CHOOSE(Basis!$E$1,((AJ552*(J552*3600/Basis!$E$5)^AK552*(((MID(C552,9,3)*10)-144)/1000)*AL552+AM552*(J552*3600/Basis!$E$5)^2)*0.0098)/Basis!$E$10,((AJ552*(J552/Basis!$E$5)^AK552*(((MID(C552,9,3)*10)-144)/1000)*AL552+AM552*(J552/Basis!$E$5)^2)*0.0098)/Basis!$E$10)</f>
        <v>3.622660418202308E-2</v>
      </c>
      <c r="M552" s="85"/>
      <c r="N552" s="110">
        <v>1.35</v>
      </c>
      <c r="O552" s="74"/>
      <c r="P552" s="73">
        <v>2761</v>
      </c>
      <c r="Q552" s="74"/>
      <c r="R552" s="75"/>
      <c r="S552" s="75"/>
      <c r="T552" s="75"/>
      <c r="U552" s="75"/>
      <c r="V552" s="75"/>
      <c r="W552" s="74"/>
      <c r="X552" s="76"/>
      <c r="Y552" s="76"/>
      <c r="Z552" s="76"/>
      <c r="AA552" s="76"/>
      <c r="AB552" s="76"/>
      <c r="AC552" s="74"/>
      <c r="AD552" s="77"/>
      <c r="AE552" s="77"/>
      <c r="AF552" s="77"/>
      <c r="AG552" s="77"/>
      <c r="AH552" s="77"/>
      <c r="AI552" s="68"/>
      <c r="AJ552" s="213">
        <v>2.0829999999999999E-4</v>
      </c>
      <c r="AK552" s="213">
        <v>1.724</v>
      </c>
      <c r="AL552" s="213">
        <v>2</v>
      </c>
      <c r="AM552" s="213">
        <v>4.6182900000000003E-4</v>
      </c>
      <c r="AN552" s="74"/>
      <c r="AO552" s="73"/>
      <c r="AP552" s="73"/>
      <c r="AQ552" s="73"/>
      <c r="AR552" s="73"/>
      <c r="AS552" s="73"/>
      <c r="AT552" s="74"/>
      <c r="AU552" s="47"/>
      <c r="AV552" s="48"/>
    </row>
    <row r="553" spans="1:48" ht="12.75" customHeight="1" x14ac:dyDescent="0.25">
      <c r="A553" s="72" t="s">
        <v>23</v>
      </c>
      <c r="B553" s="43" t="s">
        <v>159</v>
      </c>
      <c r="C553" s="44" t="s">
        <v>703</v>
      </c>
      <c r="D553" s="45">
        <f>MROUND(MID($C553,6,3)/Basis!$E$3,0.5)</f>
        <v>27.5</v>
      </c>
      <c r="E553" s="45">
        <f>MROUND(MID($C553,9,3)/Basis!$E$3,0.5)</f>
        <v>55</v>
      </c>
      <c r="F553" s="124" t="s">
        <v>2947</v>
      </c>
      <c r="G553" s="45">
        <f>ROUND((ROUNDDOWN($F553/5,0)*5+1.8)/Basis!$E$3,1)</f>
        <v>6.6</v>
      </c>
      <c r="H553" s="120">
        <f>ROUND($P553*Basis!$E$2*((TaH-TrH)/LN(1/µ)/Basis!$E$7)^$N553*$AA$4*Glycol,0)</f>
        <v>6642</v>
      </c>
      <c r="I553" s="83">
        <f>ROUND(H553/(MID($C553,9,3)/Basis!$E$3/Basis!$E$9)*Basis!$E$11,0)</f>
        <v>1446</v>
      </c>
      <c r="J553" s="123">
        <f>IF(Basis!$E$1=1,ROUND(H553/((TaH-TrH)*1.163)/3600,3),ROUND(H553/(500*(TaH-TrH)),2))</f>
        <v>0.66</v>
      </c>
      <c r="K553" s="84"/>
      <c r="L553" s="177">
        <f>CHOOSE(Basis!$E$1,((AJ553*(J553*3600/Basis!$E$5)^AK553*(((MID(C553,9,3)*10)-144)/1000)*AL553+AM553*(J553*3600/Basis!$E$5)^2)*0.0098)/Basis!$E$10,((AJ553*(J553/Basis!$E$5)^AK553*(((MID(C553,9,3)*10)-144)/1000)*AL553+AM553*(J553/Basis!$E$5)^2)*0.0098)/Basis!$E$10)</f>
        <v>0.12162302035473321</v>
      </c>
      <c r="M553" s="85"/>
      <c r="N553" s="109">
        <v>1.472</v>
      </c>
      <c r="O553" s="68"/>
      <c r="P553" s="67">
        <v>3164</v>
      </c>
      <c r="Q553" s="68"/>
      <c r="R553" s="69"/>
      <c r="S553" s="69"/>
      <c r="T553" s="69"/>
      <c r="U553" s="69"/>
      <c r="V553" s="69"/>
      <c r="W553" s="68"/>
      <c r="X553" s="70"/>
      <c r="Y553" s="70"/>
      <c r="Z553" s="70"/>
      <c r="AA553" s="70"/>
      <c r="AB553" s="70"/>
      <c r="AC553" s="68"/>
      <c r="AD553" s="71"/>
      <c r="AE553" s="71"/>
      <c r="AF553" s="71"/>
      <c r="AG553" s="71"/>
      <c r="AH553" s="71"/>
      <c r="AI553" s="68"/>
      <c r="AJ553" s="214">
        <v>2.0829999999999999E-4</v>
      </c>
      <c r="AK553" s="214">
        <v>1.724</v>
      </c>
      <c r="AL553" s="214">
        <v>4</v>
      </c>
      <c r="AM553" s="214">
        <v>1.392796E-3</v>
      </c>
      <c r="AN553" s="68"/>
      <c r="AO553" s="67"/>
      <c r="AP553" s="67"/>
      <c r="AQ553" s="67"/>
      <c r="AR553" s="67"/>
      <c r="AS553" s="67"/>
      <c r="AT553" s="68"/>
      <c r="AU553" s="49"/>
      <c r="AV553" s="50"/>
    </row>
    <row r="554" spans="1:48" ht="12.75" customHeight="1" x14ac:dyDescent="0.25">
      <c r="A554" s="72" t="s">
        <v>23</v>
      </c>
      <c r="B554" s="43" t="s">
        <v>159</v>
      </c>
      <c r="C554" s="44" t="s">
        <v>704</v>
      </c>
      <c r="D554" s="45">
        <f>MROUND(MID($C554,6,3)/Basis!$E$3,0.5)</f>
        <v>27.5</v>
      </c>
      <c r="E554" s="45">
        <f>MROUND(MID($C554,9,3)/Basis!$E$3,0.5)</f>
        <v>55</v>
      </c>
      <c r="F554" s="124" t="s">
        <v>2945</v>
      </c>
      <c r="G554" s="45">
        <f>ROUND((ROUNDDOWN($F554/5,0)*5+1.8)/Basis!$E$3,1)</f>
        <v>8.6</v>
      </c>
      <c r="H554" s="120">
        <f>ROUND($P554*Basis!$E$2*((TaH-TrH)/LN(1/µ)/Basis!$E$7)^$N554*$AA$4*Glycol,0)</f>
        <v>8425</v>
      </c>
      <c r="I554" s="83">
        <f>ROUND(H554/(MID($C554,9,3)/Basis!$E$3/Basis!$E$9)*Basis!$E$11,0)</f>
        <v>1834</v>
      </c>
      <c r="J554" s="123">
        <f>IF(Basis!$E$1=1,ROUND(H554/((TaH-TrH)*1.163)/3600,3),ROUND(H554/(500*(TaH-TrH)),2))</f>
        <v>0.84</v>
      </c>
      <c r="K554" s="84"/>
      <c r="L554" s="177">
        <f>CHOOSE(Basis!$E$1,((AJ554*(J554*3600/Basis!$E$5)^AK554*(((MID(C554,9,3)*10)-144)/1000)*AL554+AM554*(J554*3600/Basis!$E$5)^2)*0.0098)/Basis!$E$10,((AJ554*(J554/Basis!$E$5)^AK554*(((MID(C554,9,3)*10)-144)/1000)*AL554+AM554*(J554/Basis!$E$5)^2)*0.0098)/Basis!$E$10)</f>
        <v>5.3678103245203085E-2</v>
      </c>
      <c r="M554" s="85"/>
      <c r="N554" s="109">
        <v>1.349</v>
      </c>
      <c r="O554" s="68"/>
      <c r="P554" s="67">
        <v>3854</v>
      </c>
      <c r="Q554" s="68"/>
      <c r="R554" s="69"/>
      <c r="S554" s="69"/>
      <c r="T554" s="69"/>
      <c r="U554" s="69"/>
      <c r="V554" s="69"/>
      <c r="W554" s="68"/>
      <c r="X554" s="70"/>
      <c r="Y554" s="70"/>
      <c r="Z554" s="70"/>
      <c r="AA554" s="70"/>
      <c r="AB554" s="70"/>
      <c r="AC554" s="68"/>
      <c r="AD554" s="71"/>
      <c r="AE554" s="71"/>
      <c r="AF554" s="71"/>
      <c r="AG554" s="71"/>
      <c r="AH554" s="71"/>
      <c r="AI554" s="68"/>
      <c r="AJ554" s="214">
        <v>1.2760000000000001E-4</v>
      </c>
      <c r="AK554" s="214">
        <v>1.7219</v>
      </c>
      <c r="AL554" s="214">
        <v>2</v>
      </c>
      <c r="AM554" s="214">
        <v>3.76611E-4</v>
      </c>
      <c r="AN554" s="68"/>
      <c r="AO554" s="67"/>
      <c r="AP554" s="67"/>
      <c r="AQ554" s="67"/>
      <c r="AR554" s="67"/>
      <c r="AS554" s="67"/>
      <c r="AT554" s="68"/>
      <c r="AU554" s="49"/>
      <c r="AV554" s="50"/>
    </row>
    <row r="555" spans="1:48" ht="12.75" customHeight="1" x14ac:dyDescent="0.25">
      <c r="A555" s="72" t="s">
        <v>23</v>
      </c>
      <c r="B555" s="43" t="s">
        <v>159</v>
      </c>
      <c r="C555" s="44" t="s">
        <v>705</v>
      </c>
      <c r="D555" s="45">
        <f>MROUND(MID($C555,6,3)/Basis!$E$3,0.5)</f>
        <v>27.5</v>
      </c>
      <c r="E555" s="45">
        <f>MROUND(MID($C555,9,3)/Basis!$E$3,0.5)</f>
        <v>55</v>
      </c>
      <c r="F555" s="124" t="s">
        <v>2948</v>
      </c>
      <c r="G555" s="45">
        <f>ROUND((ROUNDDOWN($F555/5,0)*5+1.8)/Basis!$E$3,1)</f>
        <v>8.6</v>
      </c>
      <c r="H555" s="120">
        <f>ROUND($P555*Basis!$E$2*((TaH-TrH)/LN(1/µ)/Basis!$E$7)^$N555*$AA$4*Glycol,0)</f>
        <v>9248</v>
      </c>
      <c r="I555" s="83">
        <f>ROUND(H555/(MID($C555,9,3)/Basis!$E$3/Basis!$E$9)*Basis!$E$11,0)</f>
        <v>2013</v>
      </c>
      <c r="J555" s="123">
        <f>IF(Basis!$E$1=1,ROUND(H555/((TaH-TrH)*1.163)/3600,3),ROUND(H555/(500*(TaH-TrH)),2))</f>
        <v>0.92</v>
      </c>
      <c r="K555" s="84"/>
      <c r="L555" s="177">
        <f>CHOOSE(Basis!$E$1,((AJ555*(J555*3600/Basis!$E$5)^AK555*(((MID(C555,9,3)*10)-144)/1000)*AL555+AM555*(J555*3600/Basis!$E$5)^2)*0.0098)/Basis!$E$10,((AJ555*(J555/Basis!$E$5)^AK555*(((MID(C555,9,3)*10)-144)/1000)*AL555+AM555*(J555/Basis!$E$5)^2)*0.0098)/Basis!$E$10)</f>
        <v>9.4124774986157872E-2</v>
      </c>
      <c r="M555" s="85"/>
      <c r="N555" s="110">
        <v>1.5009999999999999</v>
      </c>
      <c r="O555" s="74"/>
      <c r="P555" s="73">
        <v>4448</v>
      </c>
      <c r="Q555" s="74"/>
      <c r="R555" s="75"/>
      <c r="S555" s="75"/>
      <c r="T555" s="75"/>
      <c r="U555" s="75"/>
      <c r="V555" s="75"/>
      <c r="W555" s="74"/>
      <c r="X555" s="76"/>
      <c r="Y555" s="76"/>
      <c r="Z555" s="76"/>
      <c r="AA555" s="76"/>
      <c r="AB555" s="76"/>
      <c r="AC555" s="74"/>
      <c r="AD555" s="77"/>
      <c r="AE555" s="77"/>
      <c r="AF555" s="77"/>
      <c r="AG555" s="77"/>
      <c r="AH555" s="77"/>
      <c r="AI555" s="68"/>
      <c r="AJ555" s="213">
        <v>1.2760000000000001E-4</v>
      </c>
      <c r="AK555" s="213">
        <v>1.7219</v>
      </c>
      <c r="AL555" s="213">
        <v>4</v>
      </c>
      <c r="AM555" s="213">
        <v>5.1420100000000005E-4</v>
      </c>
      <c r="AN555" s="74"/>
      <c r="AO555" s="73"/>
      <c r="AP555" s="73"/>
      <c r="AQ555" s="73"/>
      <c r="AR555" s="73"/>
      <c r="AS555" s="73"/>
      <c r="AT555" s="74"/>
      <c r="AU555" s="47"/>
      <c r="AV555" s="48"/>
    </row>
    <row r="556" spans="1:48" ht="12.75" customHeight="1" x14ac:dyDescent="0.25">
      <c r="A556" s="72" t="s">
        <v>23</v>
      </c>
      <c r="B556" s="43" t="s">
        <v>159</v>
      </c>
      <c r="C556" s="44" t="s">
        <v>706</v>
      </c>
      <c r="D556" s="45">
        <f>MROUND(MID($C556,6,3)/Basis!$E$3,0.5)</f>
        <v>27.5</v>
      </c>
      <c r="E556" s="45">
        <f>MROUND(MID($C556,9,3)/Basis!$E$3,0.5)</f>
        <v>63</v>
      </c>
      <c r="F556" s="124" t="s">
        <v>2943</v>
      </c>
      <c r="G556" s="45">
        <f>ROUND((ROUNDDOWN($F556/5,0)*5+1.8)/Basis!$E$3,1)</f>
        <v>4.5999999999999996</v>
      </c>
      <c r="H556" s="120">
        <f>ROUND($P556*Basis!$E$2*((TaH-TrH)/LN(1/µ)/Basis!$E$7)^$N556*$AA$4*Glycol,0)</f>
        <v>4341</v>
      </c>
      <c r="I556" s="83">
        <f>ROUND(H556/(MID($C556,9,3)/Basis!$E$3/Basis!$E$9)*Basis!$E$11,0)</f>
        <v>827</v>
      </c>
      <c r="J556" s="123">
        <f>IF(Basis!$E$1=1,ROUND(H556/((TaH-TrH)*1.163)/3600,3),ROUND(H556/(500*(TaH-TrH)),2))</f>
        <v>0.43</v>
      </c>
      <c r="K556" s="84"/>
      <c r="L556" s="177">
        <f>CHOOSE(Basis!$E$1,((AJ556*(J556*3600/Basis!$E$5)^AK556*(((MID(C556,9,3)*10)-144)/1000)*AL556+AM556*(J556*3600/Basis!$E$5)^2)*0.0098)/Basis!$E$10,((AJ556*(J556/Basis!$E$5)^AK556*(((MID(C556,9,3)*10)-144)/1000)*AL556+AM556*(J556/Basis!$E$5)^2)*0.0098)/Basis!$E$10)</f>
        <v>2.2141513501169538E-2</v>
      </c>
      <c r="M556" s="85"/>
      <c r="N556" s="110">
        <v>1.3660000000000001</v>
      </c>
      <c r="O556" s="74"/>
      <c r="P556" s="73">
        <v>1997</v>
      </c>
      <c r="Q556" s="74"/>
      <c r="R556" s="75"/>
      <c r="S556" s="75"/>
      <c r="T556" s="75"/>
      <c r="U556" s="75"/>
      <c r="V556" s="75"/>
      <c r="W556" s="74"/>
      <c r="X556" s="76"/>
      <c r="Y556" s="76"/>
      <c r="Z556" s="76"/>
      <c r="AA556" s="76"/>
      <c r="AB556" s="76"/>
      <c r="AC556" s="74"/>
      <c r="AD556" s="77"/>
      <c r="AE556" s="77"/>
      <c r="AF556" s="77"/>
      <c r="AG556" s="77"/>
      <c r="AH556" s="77"/>
      <c r="AI556" s="68"/>
      <c r="AJ556" s="213">
        <v>3.9689999999999994E-4</v>
      </c>
      <c r="AK556" s="213">
        <v>1.7345999999999999</v>
      </c>
      <c r="AL556" s="213">
        <v>2</v>
      </c>
      <c r="AM556" s="213">
        <v>3.6734700000000002E-4</v>
      </c>
      <c r="AN556" s="74"/>
      <c r="AO556" s="73"/>
      <c r="AP556" s="73"/>
      <c r="AQ556" s="73"/>
      <c r="AR556" s="73"/>
      <c r="AS556" s="73"/>
      <c r="AT556" s="74"/>
      <c r="AU556" s="47"/>
      <c r="AV556" s="48"/>
    </row>
    <row r="557" spans="1:48" ht="12.75" customHeight="1" x14ac:dyDescent="0.25">
      <c r="A557" s="72" t="s">
        <v>23</v>
      </c>
      <c r="B557" s="43" t="s">
        <v>159</v>
      </c>
      <c r="C557" s="44" t="s">
        <v>707</v>
      </c>
      <c r="D557" s="45">
        <f>MROUND(MID($C557,6,3)/Basis!$E$3,0.5)</f>
        <v>27.5</v>
      </c>
      <c r="E557" s="45">
        <f>MROUND(MID($C557,9,3)/Basis!$E$3,0.5)</f>
        <v>63</v>
      </c>
      <c r="F557" s="124" t="s">
        <v>2946</v>
      </c>
      <c r="G557" s="45">
        <f>ROUND((ROUNDDOWN($F557/5,0)*5+1.8)/Basis!$E$3,1)</f>
        <v>4.5999999999999996</v>
      </c>
      <c r="H557" s="120">
        <f>ROUND($P557*Basis!$E$2*((TaH-TrH)/LN(1/µ)/Basis!$E$7)^$N557*$AA$4*Glycol,0)</f>
        <v>5404</v>
      </c>
      <c r="I557" s="83">
        <f>ROUND(H557/(MID($C557,9,3)/Basis!$E$3/Basis!$E$9)*Basis!$E$11,0)</f>
        <v>1029</v>
      </c>
      <c r="J557" s="123">
        <f>IF(Basis!$E$1=1,ROUND(H557/((TaH-TrH)*1.163)/3600,3),ROUND(H557/(500*(TaH-TrH)),2))</f>
        <v>0.54</v>
      </c>
      <c r="K557" s="84"/>
      <c r="L557" s="177">
        <f>CHOOSE(Basis!$E$1,((AJ557*(J557*3600/Basis!$E$5)^AK557*(((MID(C557,9,3)*10)-144)/1000)*AL557+AM557*(J557*3600/Basis!$E$5)^2)*0.0098)/Basis!$E$10,((AJ557*(J557/Basis!$E$5)^AK557*(((MID(C557,9,3)*10)-144)/1000)*AL557+AM557*(J557/Basis!$E$5)^2)*0.0098)/Basis!$E$10)</f>
        <v>5.9970880446500049E-2</v>
      </c>
      <c r="M557" s="85"/>
      <c r="N557" s="109">
        <v>1.4359999999999999</v>
      </c>
      <c r="O557" s="68"/>
      <c r="P557" s="67">
        <v>2544</v>
      </c>
      <c r="Q557" s="68"/>
      <c r="R557" s="69"/>
      <c r="S557" s="69"/>
      <c r="T557" s="69"/>
      <c r="U557" s="69"/>
      <c r="V557" s="69"/>
      <c r="W557" s="68"/>
      <c r="X557" s="70"/>
      <c r="Y557" s="70"/>
      <c r="Z557" s="70"/>
      <c r="AA557" s="70"/>
      <c r="AB557" s="70"/>
      <c r="AC557" s="68"/>
      <c r="AD557" s="71"/>
      <c r="AE557" s="71"/>
      <c r="AF557" s="71"/>
      <c r="AG557" s="71"/>
      <c r="AH557" s="71"/>
      <c r="AI557" s="68"/>
      <c r="AJ557" s="214">
        <v>3.9689999999999994E-4</v>
      </c>
      <c r="AK557" s="214">
        <v>1.7345999999999999</v>
      </c>
      <c r="AL557" s="214">
        <v>4</v>
      </c>
      <c r="AM557" s="214">
        <v>5.7428799999999995E-4</v>
      </c>
      <c r="AN557" s="68"/>
      <c r="AO557" s="67"/>
      <c r="AP557" s="67"/>
      <c r="AQ557" s="67"/>
      <c r="AR557" s="67"/>
      <c r="AS557" s="67"/>
      <c r="AT557" s="68"/>
      <c r="AU557" s="49"/>
      <c r="AV557" s="50"/>
    </row>
    <row r="558" spans="1:48" ht="12.75" customHeight="1" x14ac:dyDescent="0.25">
      <c r="A558" s="72" t="s">
        <v>23</v>
      </c>
      <c r="B558" s="43" t="s">
        <v>159</v>
      </c>
      <c r="C558" s="44" t="s">
        <v>708</v>
      </c>
      <c r="D558" s="45">
        <f>MROUND(MID($C558,6,3)/Basis!$E$3,0.5)</f>
        <v>27.5</v>
      </c>
      <c r="E558" s="45">
        <f>MROUND(MID($C558,9,3)/Basis!$E$3,0.5)</f>
        <v>63</v>
      </c>
      <c r="F558" s="124" t="s">
        <v>2944</v>
      </c>
      <c r="G558" s="45">
        <f>ROUND((ROUNDDOWN($F558/5,0)*5+1.8)/Basis!$E$3,1)</f>
        <v>6.6</v>
      </c>
      <c r="H558" s="120">
        <f>ROUND($P558*Basis!$E$2*((TaH-TrH)/LN(1/µ)/Basis!$E$7)^$N558*$AA$4*Glycol,0)</f>
        <v>6895</v>
      </c>
      <c r="I558" s="83">
        <f>ROUND(H558/(MID($C558,9,3)/Basis!$E$3/Basis!$E$9)*Basis!$E$11,0)</f>
        <v>1313</v>
      </c>
      <c r="J558" s="123">
        <f>IF(Basis!$E$1=1,ROUND(H558/((TaH-TrH)*1.163)/3600,3),ROUND(H558/(500*(TaH-TrH)),2))</f>
        <v>0.69</v>
      </c>
      <c r="K558" s="84"/>
      <c r="L558" s="177">
        <f>CHOOSE(Basis!$E$1,((AJ558*(J558*3600/Basis!$E$5)^AK558*(((MID(C558,9,3)*10)-144)/1000)*AL558+AM558*(J558*3600/Basis!$E$5)^2)*0.0098)/Basis!$E$10,((AJ558*(J558/Basis!$E$5)^AK558*(((MID(C558,9,3)*10)-144)/1000)*AL558+AM558*(J558/Basis!$E$5)^2)*0.0098)/Basis!$E$10)</f>
        <v>4.9158344884376731E-2</v>
      </c>
      <c r="M558" s="85"/>
      <c r="N558" s="109">
        <v>1.35</v>
      </c>
      <c r="O558" s="68"/>
      <c r="P558" s="67">
        <v>3155</v>
      </c>
      <c r="Q558" s="68"/>
      <c r="R558" s="69"/>
      <c r="S558" s="69"/>
      <c r="T558" s="69"/>
      <c r="U558" s="69"/>
      <c r="V558" s="69"/>
      <c r="W558" s="68"/>
      <c r="X558" s="70"/>
      <c r="Y558" s="70"/>
      <c r="Z558" s="70"/>
      <c r="AA558" s="70"/>
      <c r="AB558" s="70"/>
      <c r="AC558" s="68"/>
      <c r="AD558" s="71"/>
      <c r="AE558" s="71"/>
      <c r="AF558" s="71"/>
      <c r="AG558" s="71"/>
      <c r="AH558" s="71"/>
      <c r="AI558" s="68"/>
      <c r="AJ558" s="214">
        <v>2.0829999999999999E-4</v>
      </c>
      <c r="AK558" s="214">
        <v>1.724</v>
      </c>
      <c r="AL558" s="214">
        <v>2</v>
      </c>
      <c r="AM558" s="214">
        <v>4.6182900000000003E-4</v>
      </c>
      <c r="AN558" s="68"/>
      <c r="AO558" s="67"/>
      <c r="AP558" s="67"/>
      <c r="AQ558" s="67"/>
      <c r="AR558" s="67"/>
      <c r="AS558" s="67"/>
      <c r="AT558" s="68"/>
      <c r="AU558" s="49"/>
      <c r="AV558" s="50"/>
    </row>
    <row r="559" spans="1:48" ht="12.75" customHeight="1" x14ac:dyDescent="0.25">
      <c r="A559" s="72" t="s">
        <v>23</v>
      </c>
      <c r="B559" s="43" t="s">
        <v>159</v>
      </c>
      <c r="C559" s="44" t="s">
        <v>709</v>
      </c>
      <c r="D559" s="45">
        <f>MROUND(MID($C559,6,3)/Basis!$E$3,0.5)</f>
        <v>27.5</v>
      </c>
      <c r="E559" s="45">
        <f>MROUND(MID($C559,9,3)/Basis!$E$3,0.5)</f>
        <v>63</v>
      </c>
      <c r="F559" s="124" t="s">
        <v>2947</v>
      </c>
      <c r="G559" s="45">
        <f>ROUND((ROUNDDOWN($F559/5,0)*5+1.8)/Basis!$E$3,1)</f>
        <v>6.6</v>
      </c>
      <c r="H559" s="120">
        <f>ROUND($P559*Basis!$E$2*((TaH-TrH)/LN(1/µ)/Basis!$E$7)^$N559*$AA$4*Glycol,0)</f>
        <v>7590</v>
      </c>
      <c r="I559" s="83">
        <f>ROUND(H559/(MID($C559,9,3)/Basis!$E$3/Basis!$E$9)*Basis!$E$11,0)</f>
        <v>1446</v>
      </c>
      <c r="J559" s="123">
        <f>IF(Basis!$E$1=1,ROUND(H559/((TaH-TrH)*1.163)/3600,3),ROUND(H559/(500*(TaH-TrH)),2))</f>
        <v>0.76</v>
      </c>
      <c r="K559" s="84"/>
      <c r="L559" s="177">
        <f>CHOOSE(Basis!$E$1,((AJ559*(J559*3600/Basis!$E$5)^AK559*(((MID(C559,9,3)*10)-144)/1000)*AL559+AM559*(J559*3600/Basis!$E$5)^2)*0.0098)/Basis!$E$10,((AJ559*(J559/Basis!$E$5)^AK559*(((MID(C559,9,3)*10)-144)/1000)*AL559+AM559*(J559/Basis!$E$5)^2)*0.0098)/Basis!$E$10)</f>
        <v>0.16421126284837417</v>
      </c>
      <c r="M559" s="85"/>
      <c r="N559" s="110">
        <v>1.472</v>
      </c>
      <c r="O559" s="74"/>
      <c r="P559" s="73">
        <v>3616</v>
      </c>
      <c r="Q559" s="74"/>
      <c r="R559" s="75"/>
      <c r="S559" s="75"/>
      <c r="T559" s="75"/>
      <c r="U559" s="75"/>
      <c r="V559" s="75"/>
      <c r="W559" s="74"/>
      <c r="X559" s="76"/>
      <c r="Y559" s="76"/>
      <c r="Z559" s="76"/>
      <c r="AA559" s="76"/>
      <c r="AB559" s="76"/>
      <c r="AC559" s="74"/>
      <c r="AD559" s="77"/>
      <c r="AE559" s="77"/>
      <c r="AF559" s="77"/>
      <c r="AG559" s="77"/>
      <c r="AH559" s="77"/>
      <c r="AI559" s="68"/>
      <c r="AJ559" s="213">
        <v>2.0829999999999999E-4</v>
      </c>
      <c r="AK559" s="213">
        <v>1.724</v>
      </c>
      <c r="AL559" s="213">
        <v>4</v>
      </c>
      <c r="AM559" s="213">
        <v>1.392796E-3</v>
      </c>
      <c r="AN559" s="74"/>
      <c r="AO559" s="73"/>
      <c r="AP559" s="73"/>
      <c r="AQ559" s="73"/>
      <c r="AR559" s="73"/>
      <c r="AS559" s="73"/>
      <c r="AT559" s="74"/>
      <c r="AU559" s="47"/>
      <c r="AV559" s="48"/>
    </row>
    <row r="560" spans="1:48" ht="12.75" customHeight="1" x14ac:dyDescent="0.25">
      <c r="A560" s="72" t="s">
        <v>23</v>
      </c>
      <c r="B560" s="43" t="s">
        <v>159</v>
      </c>
      <c r="C560" s="44" t="s">
        <v>710</v>
      </c>
      <c r="D560" s="45">
        <f>MROUND(MID($C560,6,3)/Basis!$E$3,0.5)</f>
        <v>27.5</v>
      </c>
      <c r="E560" s="45">
        <f>MROUND(MID($C560,9,3)/Basis!$E$3,0.5)</f>
        <v>63</v>
      </c>
      <c r="F560" s="124" t="s">
        <v>2945</v>
      </c>
      <c r="G560" s="45">
        <f>ROUND((ROUNDDOWN($F560/5,0)*5+1.8)/Basis!$E$3,1)</f>
        <v>8.6</v>
      </c>
      <c r="H560" s="120">
        <f>ROUND($P560*Basis!$E$2*((TaH-TrH)/LN(1/µ)/Basis!$E$7)^$N560*$AA$4*Glycol,0)</f>
        <v>9630</v>
      </c>
      <c r="I560" s="83">
        <f>ROUND(H560/(MID($C560,9,3)/Basis!$E$3/Basis!$E$9)*Basis!$E$11,0)</f>
        <v>1835</v>
      </c>
      <c r="J560" s="123">
        <f>IF(Basis!$E$1=1,ROUND(H560/((TaH-TrH)*1.163)/3600,3),ROUND(H560/(500*(TaH-TrH)),2))</f>
        <v>0.96</v>
      </c>
      <c r="K560" s="84"/>
      <c r="L560" s="177">
        <f>CHOOSE(Basis!$E$1,((AJ560*(J560*3600/Basis!$E$5)^AK560*(((MID(C560,9,3)*10)-144)/1000)*AL560+AM560*(J560*3600/Basis!$E$5)^2)*0.0098)/Basis!$E$10,((AJ560*(J560/Basis!$E$5)^AK560*(((MID(C560,9,3)*10)-144)/1000)*AL560+AM560*(J560/Basis!$E$5)^2)*0.0098)/Basis!$E$10)</f>
        <v>7.1463291959758798E-2</v>
      </c>
      <c r="M560" s="85"/>
      <c r="N560" s="110">
        <v>1.349</v>
      </c>
      <c r="O560" s="74"/>
      <c r="P560" s="73">
        <v>4405</v>
      </c>
      <c r="Q560" s="74"/>
      <c r="R560" s="75"/>
      <c r="S560" s="75"/>
      <c r="T560" s="75"/>
      <c r="U560" s="75"/>
      <c r="V560" s="75"/>
      <c r="W560" s="74"/>
      <c r="X560" s="76"/>
      <c r="Y560" s="76"/>
      <c r="Z560" s="76"/>
      <c r="AA560" s="76"/>
      <c r="AB560" s="76"/>
      <c r="AC560" s="74"/>
      <c r="AD560" s="77"/>
      <c r="AE560" s="77"/>
      <c r="AF560" s="77"/>
      <c r="AG560" s="77"/>
      <c r="AH560" s="77"/>
      <c r="AI560" s="68"/>
      <c r="AJ560" s="213">
        <v>1.2760000000000001E-4</v>
      </c>
      <c r="AK560" s="213">
        <v>1.7219</v>
      </c>
      <c r="AL560" s="213">
        <v>2</v>
      </c>
      <c r="AM560" s="213">
        <v>3.76611E-4</v>
      </c>
      <c r="AN560" s="74"/>
      <c r="AO560" s="73"/>
      <c r="AP560" s="73"/>
      <c r="AQ560" s="73"/>
      <c r="AR560" s="73"/>
      <c r="AS560" s="73"/>
      <c r="AT560" s="74"/>
      <c r="AU560" s="47"/>
      <c r="AV560" s="48"/>
    </row>
    <row r="561" spans="1:48" ht="12.75" customHeight="1" x14ac:dyDescent="0.25">
      <c r="A561" s="72" t="s">
        <v>23</v>
      </c>
      <c r="B561" s="43" t="s">
        <v>159</v>
      </c>
      <c r="C561" s="44" t="s">
        <v>711</v>
      </c>
      <c r="D561" s="45">
        <f>MROUND(MID($C561,6,3)/Basis!$E$3,0.5)</f>
        <v>27.5</v>
      </c>
      <c r="E561" s="45">
        <f>MROUND(MID($C561,9,3)/Basis!$E$3,0.5)</f>
        <v>63</v>
      </c>
      <c r="F561" s="124" t="s">
        <v>2948</v>
      </c>
      <c r="G561" s="45">
        <f>ROUND((ROUNDDOWN($F561/5,0)*5+1.8)/Basis!$E$3,1)</f>
        <v>8.6</v>
      </c>
      <c r="H561" s="120">
        <f>ROUND($P561*Basis!$E$2*((TaH-TrH)/LN(1/µ)/Basis!$E$7)^$N561*$AA$4*Glycol,0)</f>
        <v>10568</v>
      </c>
      <c r="I561" s="83">
        <f>ROUND(H561/(MID($C561,9,3)/Basis!$E$3/Basis!$E$9)*Basis!$E$11,0)</f>
        <v>2013</v>
      </c>
      <c r="J561" s="123">
        <f>IF(Basis!$E$1=1,ROUND(H561/((TaH-TrH)*1.163)/3600,3),ROUND(H561/(500*(TaH-TrH)),2))</f>
        <v>1.06</v>
      </c>
      <c r="K561" s="84"/>
      <c r="L561" s="177">
        <f>CHOOSE(Basis!$E$1,((AJ561*(J561*3600/Basis!$E$5)^AK561*(((MID(C561,9,3)*10)-144)/1000)*AL561+AM561*(J561*3600/Basis!$E$5)^2)*0.0098)/Basis!$E$10,((AJ561*(J561/Basis!$E$5)^AK561*(((MID(C561,9,3)*10)-144)/1000)*AL561+AM561*(J561/Basis!$E$5)^2)*0.0098)/Basis!$E$10)</f>
        <v>0.12809877342871337</v>
      </c>
      <c r="M561" s="85"/>
      <c r="N561" s="109">
        <v>1.5009999999999999</v>
      </c>
      <c r="O561" s="68"/>
      <c r="P561" s="67">
        <v>5083</v>
      </c>
      <c r="Q561" s="68"/>
      <c r="R561" s="69"/>
      <c r="S561" s="69"/>
      <c r="T561" s="69"/>
      <c r="U561" s="69"/>
      <c r="V561" s="69"/>
      <c r="W561" s="68"/>
      <c r="X561" s="70"/>
      <c r="Y561" s="70"/>
      <c r="Z561" s="70"/>
      <c r="AA561" s="70"/>
      <c r="AB561" s="70"/>
      <c r="AC561" s="68"/>
      <c r="AD561" s="71"/>
      <c r="AE561" s="71"/>
      <c r="AF561" s="71"/>
      <c r="AG561" s="71"/>
      <c r="AH561" s="71"/>
      <c r="AI561" s="68"/>
      <c r="AJ561" s="214">
        <v>1.2760000000000001E-4</v>
      </c>
      <c r="AK561" s="214">
        <v>1.7219</v>
      </c>
      <c r="AL561" s="214">
        <v>4</v>
      </c>
      <c r="AM561" s="214">
        <v>5.1420100000000005E-4</v>
      </c>
      <c r="AN561" s="68"/>
      <c r="AO561" s="67"/>
      <c r="AP561" s="67"/>
      <c r="AQ561" s="67"/>
      <c r="AR561" s="67"/>
      <c r="AS561" s="67"/>
      <c r="AT561" s="68"/>
      <c r="AU561" s="49"/>
      <c r="AV561" s="50"/>
    </row>
    <row r="562" spans="1:48" ht="12.75" customHeight="1" x14ac:dyDescent="0.25">
      <c r="A562" s="72" t="s">
        <v>23</v>
      </c>
      <c r="B562" s="43" t="s">
        <v>159</v>
      </c>
      <c r="C562" s="44" t="s">
        <v>712</v>
      </c>
      <c r="D562" s="45">
        <f>MROUND(MID($C562,6,3)/Basis!$E$3,0.5)</f>
        <v>27.5</v>
      </c>
      <c r="E562" s="45">
        <f>MROUND(MID($C562,9,3)/Basis!$E$3,0.5)</f>
        <v>71</v>
      </c>
      <c r="F562" s="124" t="s">
        <v>2943</v>
      </c>
      <c r="G562" s="45">
        <f>ROUND((ROUNDDOWN($F562/5,0)*5+1.8)/Basis!$E$3,1)</f>
        <v>4.5999999999999996</v>
      </c>
      <c r="H562" s="120">
        <f>ROUND($P562*Basis!$E$2*((TaH-TrH)/LN(1/µ)/Basis!$E$7)^$N562*$AA$4*Glycol,0)</f>
        <v>4882</v>
      </c>
      <c r="I562" s="83">
        <f>ROUND(H562/(MID($C562,9,3)/Basis!$E$3/Basis!$E$9)*Basis!$E$11,0)</f>
        <v>827</v>
      </c>
      <c r="J562" s="123">
        <f>IF(Basis!$E$1=1,ROUND(H562/((TaH-TrH)*1.163)/3600,3),ROUND(H562/(500*(TaH-TrH)),2))</f>
        <v>0.49</v>
      </c>
      <c r="K562" s="84"/>
      <c r="L562" s="177">
        <f>CHOOSE(Basis!$E$1,((AJ562*(J562*3600/Basis!$E$5)^AK562*(((MID(C562,9,3)*10)-144)/1000)*AL562+AM562*(J562*3600/Basis!$E$5)^2)*0.0098)/Basis!$E$10,((AJ562*(J562/Basis!$E$5)^AK562*(((MID(C562,9,3)*10)-144)/1000)*AL562+AM562*(J562/Basis!$E$5)^2)*0.0098)/Basis!$E$10)</f>
        <v>3.0119839206938587E-2</v>
      </c>
      <c r="M562" s="85"/>
      <c r="N562" s="109">
        <v>1.3660000000000001</v>
      </c>
      <c r="O562" s="68"/>
      <c r="P562" s="67">
        <v>2246</v>
      </c>
      <c r="Q562" s="68"/>
      <c r="R562" s="69"/>
      <c r="S562" s="69"/>
      <c r="T562" s="69"/>
      <c r="U562" s="69"/>
      <c r="V562" s="69"/>
      <c r="W562" s="68"/>
      <c r="X562" s="70"/>
      <c r="Y562" s="70"/>
      <c r="Z562" s="70"/>
      <c r="AA562" s="70"/>
      <c r="AB562" s="70"/>
      <c r="AC562" s="68"/>
      <c r="AD562" s="71"/>
      <c r="AE562" s="71"/>
      <c r="AF562" s="71"/>
      <c r="AG562" s="71"/>
      <c r="AH562" s="71"/>
      <c r="AI562" s="68"/>
      <c r="AJ562" s="214">
        <v>3.9689999999999994E-4</v>
      </c>
      <c r="AK562" s="214">
        <v>1.7345999999999999</v>
      </c>
      <c r="AL562" s="214">
        <v>2</v>
      </c>
      <c r="AM562" s="214">
        <v>3.6734700000000002E-4</v>
      </c>
      <c r="AN562" s="68"/>
      <c r="AO562" s="67"/>
      <c r="AP562" s="67"/>
      <c r="AQ562" s="67"/>
      <c r="AR562" s="67"/>
      <c r="AS562" s="67"/>
      <c r="AT562" s="68"/>
      <c r="AU562" s="49"/>
      <c r="AV562" s="50"/>
    </row>
    <row r="563" spans="1:48" ht="12.75" customHeight="1" x14ac:dyDescent="0.25">
      <c r="A563" s="72" t="s">
        <v>23</v>
      </c>
      <c r="B563" s="43" t="s">
        <v>159</v>
      </c>
      <c r="C563" s="44" t="s">
        <v>713</v>
      </c>
      <c r="D563" s="45">
        <f>MROUND(MID($C563,6,3)/Basis!$E$3,0.5)</f>
        <v>27.5</v>
      </c>
      <c r="E563" s="45">
        <f>MROUND(MID($C563,9,3)/Basis!$E$3,0.5)</f>
        <v>71</v>
      </c>
      <c r="F563" s="124" t="s">
        <v>2946</v>
      </c>
      <c r="G563" s="45">
        <f>ROUND((ROUNDDOWN($F563/5,0)*5+1.8)/Basis!$E$3,1)</f>
        <v>4.5999999999999996</v>
      </c>
      <c r="H563" s="120">
        <f>ROUND($P563*Basis!$E$2*((TaH-TrH)/LN(1/µ)/Basis!$E$7)^$N563*$AA$4*Glycol,0)</f>
        <v>6079</v>
      </c>
      <c r="I563" s="83">
        <f>ROUND(H563/(MID($C563,9,3)/Basis!$E$3/Basis!$E$9)*Basis!$E$11,0)</f>
        <v>1029</v>
      </c>
      <c r="J563" s="123">
        <f>IF(Basis!$E$1=1,ROUND(H563/((TaH-TrH)*1.163)/3600,3),ROUND(H563/(500*(TaH-TrH)),2))</f>
        <v>0.61</v>
      </c>
      <c r="K563" s="84"/>
      <c r="L563" s="177">
        <f>CHOOSE(Basis!$E$1,((AJ563*(J563*3600/Basis!$E$5)^AK563*(((MID(C563,9,3)*10)-144)/1000)*AL563+AM563*(J563*3600/Basis!$E$5)^2)*0.0098)/Basis!$E$10,((AJ563*(J563/Basis!$E$5)^AK563*(((MID(C563,9,3)*10)-144)/1000)*AL563+AM563*(J563/Basis!$E$5)^2)*0.0098)/Basis!$E$10)</f>
        <v>8.0621825082898668E-2</v>
      </c>
      <c r="M563" s="85"/>
      <c r="N563" s="110">
        <v>1.4359999999999999</v>
      </c>
      <c r="O563" s="74"/>
      <c r="P563" s="73">
        <v>2862</v>
      </c>
      <c r="Q563" s="74"/>
      <c r="R563" s="75"/>
      <c r="S563" s="75"/>
      <c r="T563" s="75"/>
      <c r="U563" s="75"/>
      <c r="V563" s="75"/>
      <c r="W563" s="74"/>
      <c r="X563" s="76"/>
      <c r="Y563" s="76"/>
      <c r="Z563" s="76"/>
      <c r="AA563" s="76"/>
      <c r="AB563" s="76"/>
      <c r="AC563" s="74"/>
      <c r="AD563" s="77"/>
      <c r="AE563" s="77"/>
      <c r="AF563" s="77"/>
      <c r="AG563" s="77"/>
      <c r="AH563" s="77"/>
      <c r="AI563" s="68"/>
      <c r="AJ563" s="213">
        <v>3.9689999999999994E-4</v>
      </c>
      <c r="AK563" s="213">
        <v>1.7345999999999999</v>
      </c>
      <c r="AL563" s="213">
        <v>4</v>
      </c>
      <c r="AM563" s="213">
        <v>5.7428799999999995E-4</v>
      </c>
      <c r="AN563" s="74"/>
      <c r="AO563" s="73"/>
      <c r="AP563" s="73"/>
      <c r="AQ563" s="73"/>
      <c r="AR563" s="73"/>
      <c r="AS563" s="73"/>
      <c r="AT563" s="74"/>
      <c r="AU563" s="47"/>
      <c r="AV563" s="48"/>
    </row>
    <row r="564" spans="1:48" ht="12.75" customHeight="1" x14ac:dyDescent="0.25">
      <c r="A564" s="72" t="s">
        <v>23</v>
      </c>
      <c r="B564" s="43" t="s">
        <v>159</v>
      </c>
      <c r="C564" s="44" t="s">
        <v>714</v>
      </c>
      <c r="D564" s="45">
        <f>MROUND(MID($C564,6,3)/Basis!$E$3,0.5)</f>
        <v>27.5</v>
      </c>
      <c r="E564" s="45">
        <f>MROUND(MID($C564,9,3)/Basis!$E$3,0.5)</f>
        <v>71</v>
      </c>
      <c r="F564" s="124" t="s">
        <v>2944</v>
      </c>
      <c r="G564" s="45">
        <f>ROUND((ROUNDDOWN($F564/5,0)*5+1.8)/Basis!$E$3,1)</f>
        <v>6.6</v>
      </c>
      <c r="H564" s="120">
        <f>ROUND($P564*Basis!$E$2*((TaH-TrH)/LN(1/µ)/Basis!$E$7)^$N564*$AA$4*Glycol,0)</f>
        <v>7758</v>
      </c>
      <c r="I564" s="83">
        <f>ROUND(H564/(MID($C564,9,3)/Basis!$E$3/Basis!$E$9)*Basis!$E$11,0)</f>
        <v>1314</v>
      </c>
      <c r="J564" s="123">
        <f>IF(Basis!$E$1=1,ROUND(H564/((TaH-TrH)*1.163)/3600,3),ROUND(H564/(500*(TaH-TrH)),2))</f>
        <v>0.78</v>
      </c>
      <c r="K564" s="84"/>
      <c r="L564" s="177">
        <f>CHOOSE(Basis!$E$1,((AJ564*(J564*3600/Basis!$E$5)^AK564*(((MID(C564,9,3)*10)-144)/1000)*AL564+AM564*(J564*3600/Basis!$E$5)^2)*0.0098)/Basis!$E$10,((AJ564*(J564/Basis!$E$5)^AK564*(((MID(C564,9,3)*10)-144)/1000)*AL564+AM564*(J564/Basis!$E$5)^2)*0.0098)/Basis!$E$10)</f>
        <v>6.4353825174010865E-2</v>
      </c>
      <c r="M564" s="85"/>
      <c r="N564" s="110">
        <v>1.35</v>
      </c>
      <c r="O564" s="74"/>
      <c r="P564" s="73">
        <v>3550</v>
      </c>
      <c r="Q564" s="74"/>
      <c r="R564" s="75"/>
      <c r="S564" s="75"/>
      <c r="T564" s="75"/>
      <c r="U564" s="75"/>
      <c r="V564" s="75"/>
      <c r="W564" s="74"/>
      <c r="X564" s="76"/>
      <c r="Y564" s="76"/>
      <c r="Z564" s="76"/>
      <c r="AA564" s="76"/>
      <c r="AB564" s="76"/>
      <c r="AC564" s="74"/>
      <c r="AD564" s="77"/>
      <c r="AE564" s="77"/>
      <c r="AF564" s="77"/>
      <c r="AG564" s="77"/>
      <c r="AH564" s="77"/>
      <c r="AI564" s="68"/>
      <c r="AJ564" s="213">
        <v>2.0829999999999999E-4</v>
      </c>
      <c r="AK564" s="213">
        <v>1.724</v>
      </c>
      <c r="AL564" s="213">
        <v>2</v>
      </c>
      <c r="AM564" s="213">
        <v>4.6182900000000003E-4</v>
      </c>
      <c r="AN564" s="74"/>
      <c r="AO564" s="73"/>
      <c r="AP564" s="73"/>
      <c r="AQ564" s="73"/>
      <c r="AR564" s="73"/>
      <c r="AS564" s="73"/>
      <c r="AT564" s="74"/>
      <c r="AU564" s="47"/>
      <c r="AV564" s="48"/>
    </row>
    <row r="565" spans="1:48" ht="12.75" customHeight="1" x14ac:dyDescent="0.25">
      <c r="A565" s="72" t="s">
        <v>23</v>
      </c>
      <c r="B565" s="43" t="s">
        <v>159</v>
      </c>
      <c r="C565" s="44" t="s">
        <v>715</v>
      </c>
      <c r="D565" s="45">
        <f>MROUND(MID($C565,6,3)/Basis!$E$3,0.5)</f>
        <v>27.5</v>
      </c>
      <c r="E565" s="45">
        <f>MROUND(MID($C565,9,3)/Basis!$E$3,0.5)</f>
        <v>71</v>
      </c>
      <c r="F565" s="124" t="s">
        <v>2947</v>
      </c>
      <c r="G565" s="45">
        <f>ROUND((ROUNDDOWN($F565/5,0)*5+1.8)/Basis!$E$3,1)</f>
        <v>6.6</v>
      </c>
      <c r="H565" s="120">
        <f>ROUND($P565*Basis!$E$2*((TaH-TrH)/LN(1/µ)/Basis!$E$7)^$N565*$AA$4*Glycol,0)</f>
        <v>8539</v>
      </c>
      <c r="I565" s="83">
        <f>ROUND(H565/(MID($C565,9,3)/Basis!$E$3/Basis!$E$9)*Basis!$E$11,0)</f>
        <v>1446</v>
      </c>
      <c r="J565" s="123">
        <f>IF(Basis!$E$1=1,ROUND(H565/((TaH-TrH)*1.163)/3600,3),ROUND(H565/(500*(TaH-TrH)),2))</f>
        <v>0.85</v>
      </c>
      <c r="K565" s="84"/>
      <c r="L565" s="177">
        <f>CHOOSE(Basis!$E$1,((AJ565*(J565*3600/Basis!$E$5)^AK565*(((MID(C565,9,3)*10)-144)/1000)*AL565+AM565*(J565*3600/Basis!$E$5)^2)*0.0098)/Basis!$E$10,((AJ565*(J565/Basis!$E$5)^AK565*(((MID(C565,9,3)*10)-144)/1000)*AL565+AM565*(J565/Basis!$E$5)^2)*0.0098)/Basis!$E$10)</f>
        <v>0.20907238925591912</v>
      </c>
      <c r="M565" s="85"/>
      <c r="N565" s="109">
        <v>1.472</v>
      </c>
      <c r="O565" s="68"/>
      <c r="P565" s="67">
        <v>4068</v>
      </c>
      <c r="Q565" s="68"/>
      <c r="R565" s="69"/>
      <c r="S565" s="69"/>
      <c r="T565" s="69"/>
      <c r="U565" s="69"/>
      <c r="V565" s="69"/>
      <c r="W565" s="68"/>
      <c r="X565" s="70"/>
      <c r="Y565" s="70"/>
      <c r="Z565" s="70"/>
      <c r="AA565" s="70"/>
      <c r="AB565" s="70"/>
      <c r="AC565" s="68"/>
      <c r="AD565" s="71"/>
      <c r="AE565" s="71"/>
      <c r="AF565" s="71"/>
      <c r="AG565" s="71"/>
      <c r="AH565" s="71"/>
      <c r="AI565" s="68"/>
      <c r="AJ565" s="214">
        <v>2.0829999999999999E-4</v>
      </c>
      <c r="AK565" s="214">
        <v>1.724</v>
      </c>
      <c r="AL565" s="214">
        <v>4</v>
      </c>
      <c r="AM565" s="214">
        <v>1.392796E-3</v>
      </c>
      <c r="AN565" s="68"/>
      <c r="AO565" s="67"/>
      <c r="AP565" s="67"/>
      <c r="AQ565" s="67"/>
      <c r="AR565" s="67"/>
      <c r="AS565" s="67"/>
      <c r="AT565" s="68"/>
      <c r="AU565" s="49"/>
      <c r="AV565" s="50"/>
    </row>
    <row r="566" spans="1:48" ht="12.75" customHeight="1" x14ac:dyDescent="0.25">
      <c r="A566" s="72" t="s">
        <v>23</v>
      </c>
      <c r="B566" s="43" t="s">
        <v>159</v>
      </c>
      <c r="C566" s="44" t="s">
        <v>716</v>
      </c>
      <c r="D566" s="45">
        <f>MROUND(MID($C566,6,3)/Basis!$E$3,0.5)</f>
        <v>27.5</v>
      </c>
      <c r="E566" s="45">
        <f>MROUND(MID($C566,9,3)/Basis!$E$3,0.5)</f>
        <v>71</v>
      </c>
      <c r="F566" s="124" t="s">
        <v>2945</v>
      </c>
      <c r="G566" s="45">
        <f>ROUND((ROUNDDOWN($F566/5,0)*5+1.8)/Basis!$E$3,1)</f>
        <v>8.6</v>
      </c>
      <c r="H566" s="120">
        <f>ROUND($P566*Basis!$E$2*((TaH-TrH)/LN(1/µ)/Basis!$E$7)^$N566*$AA$4*Glycol,0)</f>
        <v>10832</v>
      </c>
      <c r="I566" s="83">
        <f>ROUND(H566/(MID($C566,9,3)/Basis!$E$3/Basis!$E$9)*Basis!$E$11,0)</f>
        <v>1834</v>
      </c>
      <c r="J566" s="123">
        <f>IF(Basis!$E$1=1,ROUND(H566/((TaH-TrH)*1.163)/3600,3),ROUND(H566/(500*(TaH-TrH)),2))</f>
        <v>1.08</v>
      </c>
      <c r="K566" s="84"/>
      <c r="L566" s="177">
        <f>CHOOSE(Basis!$E$1,((AJ566*(J566*3600/Basis!$E$5)^AK566*(((MID(C566,9,3)*10)-144)/1000)*AL566+AM566*(J566*3600/Basis!$E$5)^2)*0.0098)/Basis!$E$10,((AJ566*(J566/Basis!$E$5)^AK566*(((MID(C566,9,3)*10)-144)/1000)*AL566+AM566*(J566/Basis!$E$5)^2)*0.0098)/Basis!$E$10)</f>
        <v>9.2092611974232561E-2</v>
      </c>
      <c r="M566" s="85"/>
      <c r="N566" s="109">
        <v>1.349</v>
      </c>
      <c r="O566" s="68"/>
      <c r="P566" s="67">
        <v>4955</v>
      </c>
      <c r="Q566" s="68"/>
      <c r="R566" s="69"/>
      <c r="S566" s="69"/>
      <c r="T566" s="69"/>
      <c r="U566" s="69"/>
      <c r="V566" s="69"/>
      <c r="W566" s="68"/>
      <c r="X566" s="70"/>
      <c r="Y566" s="70"/>
      <c r="Z566" s="70"/>
      <c r="AA566" s="70"/>
      <c r="AB566" s="70"/>
      <c r="AC566" s="68"/>
      <c r="AD566" s="71"/>
      <c r="AE566" s="71"/>
      <c r="AF566" s="71"/>
      <c r="AG566" s="71"/>
      <c r="AH566" s="71"/>
      <c r="AI566" s="68"/>
      <c r="AJ566" s="214">
        <v>1.2760000000000001E-4</v>
      </c>
      <c r="AK566" s="214">
        <v>1.7219</v>
      </c>
      <c r="AL566" s="214">
        <v>2</v>
      </c>
      <c r="AM566" s="214">
        <v>3.76611E-4</v>
      </c>
      <c r="AN566" s="68"/>
      <c r="AO566" s="67"/>
      <c r="AP566" s="67"/>
      <c r="AQ566" s="67"/>
      <c r="AR566" s="67"/>
      <c r="AS566" s="67"/>
      <c r="AT566" s="68"/>
      <c r="AU566" s="49"/>
      <c r="AV566" s="50"/>
    </row>
    <row r="567" spans="1:48" ht="12.75" customHeight="1" x14ac:dyDescent="0.25">
      <c r="A567" s="72" t="s">
        <v>23</v>
      </c>
      <c r="B567" s="43" t="s">
        <v>159</v>
      </c>
      <c r="C567" s="44" t="s">
        <v>717</v>
      </c>
      <c r="D567" s="45">
        <f>MROUND(MID($C567,6,3)/Basis!$E$3,0.5)</f>
        <v>27.5</v>
      </c>
      <c r="E567" s="45">
        <f>MROUND(MID($C567,9,3)/Basis!$E$3,0.5)</f>
        <v>71</v>
      </c>
      <c r="F567" s="124" t="s">
        <v>2948</v>
      </c>
      <c r="G567" s="45">
        <f>ROUND((ROUNDDOWN($F567/5,0)*5+1.8)/Basis!$E$3,1)</f>
        <v>8.6</v>
      </c>
      <c r="H567" s="120">
        <f>ROUND($P567*Basis!$E$2*((TaH-TrH)/LN(1/µ)/Basis!$E$7)^$N567*$AA$4*Glycol,0)</f>
        <v>11890</v>
      </c>
      <c r="I567" s="83">
        <f>ROUND(H567/(MID($C567,9,3)/Basis!$E$3/Basis!$E$9)*Basis!$E$11,0)</f>
        <v>2013</v>
      </c>
      <c r="J567" s="123">
        <f>IF(Basis!$E$1=1,ROUND(H567/((TaH-TrH)*1.163)/3600,3),ROUND(H567/(500*(TaH-TrH)),2))</f>
        <v>1.19</v>
      </c>
      <c r="K567" s="84"/>
      <c r="L567" s="177">
        <f>CHOOSE(Basis!$E$1,((AJ567*(J567*3600/Basis!$E$5)^AK567*(((MID(C567,9,3)*10)-144)/1000)*AL567+AM567*(J567*3600/Basis!$E$5)^2)*0.0098)/Basis!$E$10,((AJ567*(J567/Basis!$E$5)^AK567*(((MID(C567,9,3)*10)-144)/1000)*AL567+AM567*(J567/Basis!$E$5)^2)*0.0098)/Basis!$E$10)</f>
        <v>0.16536096879646167</v>
      </c>
      <c r="M567" s="85"/>
      <c r="N567" s="110">
        <v>1.5009999999999999</v>
      </c>
      <c r="O567" s="74"/>
      <c r="P567" s="73">
        <v>5719</v>
      </c>
      <c r="Q567" s="74"/>
      <c r="R567" s="75"/>
      <c r="S567" s="75"/>
      <c r="T567" s="75"/>
      <c r="U567" s="75"/>
      <c r="V567" s="75"/>
      <c r="W567" s="74"/>
      <c r="X567" s="76"/>
      <c r="Y567" s="76"/>
      <c r="Z567" s="76"/>
      <c r="AA567" s="76"/>
      <c r="AB567" s="76"/>
      <c r="AC567" s="74"/>
      <c r="AD567" s="77"/>
      <c r="AE567" s="77"/>
      <c r="AF567" s="77"/>
      <c r="AG567" s="77"/>
      <c r="AH567" s="77"/>
      <c r="AI567" s="68"/>
      <c r="AJ567" s="213">
        <v>1.2760000000000001E-4</v>
      </c>
      <c r="AK567" s="213">
        <v>1.7219</v>
      </c>
      <c r="AL567" s="213">
        <v>4</v>
      </c>
      <c r="AM567" s="213">
        <v>5.1420100000000005E-4</v>
      </c>
      <c r="AN567" s="74"/>
      <c r="AO567" s="73"/>
      <c r="AP567" s="73"/>
      <c r="AQ567" s="73"/>
      <c r="AR567" s="73"/>
      <c r="AS567" s="73"/>
      <c r="AT567" s="74"/>
      <c r="AU567" s="47"/>
      <c r="AV567" s="48"/>
    </row>
    <row r="568" spans="1:48" ht="12.75" customHeight="1" x14ac:dyDescent="0.25">
      <c r="A568" s="72" t="s">
        <v>23</v>
      </c>
      <c r="B568" s="43" t="s">
        <v>159</v>
      </c>
      <c r="C568" s="44" t="s">
        <v>718</v>
      </c>
      <c r="D568" s="45">
        <f>MROUND(MID($C568,6,3)/Basis!$E$3,0.5)</f>
        <v>27.5</v>
      </c>
      <c r="E568" s="45">
        <f>MROUND(MID($C568,9,3)/Basis!$E$3,0.5)</f>
        <v>78.5</v>
      </c>
      <c r="F568" s="124" t="s">
        <v>2943</v>
      </c>
      <c r="G568" s="45">
        <f>ROUND((ROUNDDOWN($F568/5,0)*5+1.8)/Basis!$E$3,1)</f>
        <v>4.5999999999999996</v>
      </c>
      <c r="H568" s="120">
        <f>ROUND($P568*Basis!$E$2*((TaH-TrH)/LN(1/µ)/Basis!$E$7)^$N568*$AA$4*Glycol,0)</f>
        <v>5426</v>
      </c>
      <c r="I568" s="83">
        <f>ROUND(H568/(MID($C568,9,3)/Basis!$E$3/Basis!$E$9)*Basis!$E$11,0)</f>
        <v>827</v>
      </c>
      <c r="J568" s="123">
        <f>IF(Basis!$E$1=1,ROUND(H568/((TaH-TrH)*1.163)/3600,3),ROUND(H568/(500*(TaH-TrH)),2))</f>
        <v>0.54</v>
      </c>
      <c r="K568" s="84"/>
      <c r="L568" s="177">
        <f>CHOOSE(Basis!$E$1,((AJ568*(J568*3600/Basis!$E$5)^AK568*(((MID(C568,9,3)*10)-144)/1000)*AL568+AM568*(J568*3600/Basis!$E$5)^2)*0.0098)/Basis!$E$10,((AJ568*(J568/Basis!$E$5)^AK568*(((MID(C568,9,3)*10)-144)/1000)*AL568+AM568*(J568/Basis!$E$5)^2)*0.0098)/Basis!$E$10)</f>
        <v>3.8287988150293585E-2</v>
      </c>
      <c r="M568" s="85"/>
      <c r="N568" s="110">
        <v>1.3660000000000001</v>
      </c>
      <c r="O568" s="74"/>
      <c r="P568" s="73">
        <v>2496</v>
      </c>
      <c r="Q568" s="74"/>
      <c r="R568" s="75"/>
      <c r="S568" s="75"/>
      <c r="T568" s="75"/>
      <c r="U568" s="75"/>
      <c r="V568" s="75"/>
      <c r="W568" s="74"/>
      <c r="X568" s="76"/>
      <c r="Y568" s="76"/>
      <c r="Z568" s="76"/>
      <c r="AA568" s="76"/>
      <c r="AB568" s="76"/>
      <c r="AC568" s="74"/>
      <c r="AD568" s="77"/>
      <c r="AE568" s="77"/>
      <c r="AF568" s="77"/>
      <c r="AG568" s="77"/>
      <c r="AH568" s="77"/>
      <c r="AI568" s="68"/>
      <c r="AJ568" s="213">
        <v>3.9689999999999994E-4</v>
      </c>
      <c r="AK568" s="213">
        <v>1.7345999999999999</v>
      </c>
      <c r="AL568" s="213">
        <v>2</v>
      </c>
      <c r="AM568" s="213">
        <v>3.6734700000000002E-4</v>
      </c>
      <c r="AN568" s="74"/>
      <c r="AO568" s="73"/>
      <c r="AP568" s="73"/>
      <c r="AQ568" s="73"/>
      <c r="AR568" s="73"/>
      <c r="AS568" s="73"/>
      <c r="AT568" s="74"/>
      <c r="AU568" s="47"/>
      <c r="AV568" s="48"/>
    </row>
    <row r="569" spans="1:48" ht="12.75" customHeight="1" x14ac:dyDescent="0.25">
      <c r="A569" s="72" t="s">
        <v>23</v>
      </c>
      <c r="B569" s="43" t="s">
        <v>159</v>
      </c>
      <c r="C569" s="44" t="s">
        <v>719</v>
      </c>
      <c r="D569" s="45">
        <f>MROUND(MID($C569,6,3)/Basis!$E$3,0.5)</f>
        <v>27.5</v>
      </c>
      <c r="E569" s="45">
        <f>MROUND(MID($C569,9,3)/Basis!$E$3,0.5)</f>
        <v>78.5</v>
      </c>
      <c r="F569" s="124" t="s">
        <v>2946</v>
      </c>
      <c r="G569" s="45">
        <f>ROUND((ROUNDDOWN($F569/5,0)*5+1.8)/Basis!$E$3,1)</f>
        <v>4.5999999999999996</v>
      </c>
      <c r="H569" s="120">
        <f>ROUND($P569*Basis!$E$2*((TaH-TrH)/LN(1/µ)/Basis!$E$7)^$N569*$AA$4*Glycol,0)</f>
        <v>6755</v>
      </c>
      <c r="I569" s="83">
        <f>ROUND(H569/(MID($C569,9,3)/Basis!$E$3/Basis!$E$9)*Basis!$E$11,0)</f>
        <v>1029</v>
      </c>
      <c r="J569" s="123">
        <f>IF(Basis!$E$1=1,ROUND(H569/((TaH-TrH)*1.163)/3600,3),ROUND(H569/(500*(TaH-TrH)),2))</f>
        <v>0.68</v>
      </c>
      <c r="K569" s="84"/>
      <c r="L569" s="177">
        <f>CHOOSE(Basis!$E$1,((AJ569*(J569*3600/Basis!$E$5)^AK569*(((MID(C569,9,3)*10)-144)/1000)*AL569+AM569*(J569*3600/Basis!$E$5)^2)*0.0098)/Basis!$E$10,((AJ569*(J569/Basis!$E$5)^AK569*(((MID(C569,9,3)*10)-144)/1000)*AL569+AM569*(J569/Basis!$E$5)^2)*0.0098)/Basis!$E$10)</f>
        <v>0.10511275861970087</v>
      </c>
      <c r="M569" s="85"/>
      <c r="N569" s="109">
        <v>1.4359999999999999</v>
      </c>
      <c r="O569" s="68"/>
      <c r="P569" s="67">
        <v>3180</v>
      </c>
      <c r="Q569" s="68"/>
      <c r="R569" s="69"/>
      <c r="S569" s="69"/>
      <c r="T569" s="69"/>
      <c r="U569" s="69"/>
      <c r="V569" s="69"/>
      <c r="W569" s="68"/>
      <c r="X569" s="70"/>
      <c r="Y569" s="70"/>
      <c r="Z569" s="70"/>
      <c r="AA569" s="70"/>
      <c r="AB569" s="70"/>
      <c r="AC569" s="68"/>
      <c r="AD569" s="71"/>
      <c r="AE569" s="71"/>
      <c r="AF569" s="71"/>
      <c r="AG569" s="71"/>
      <c r="AH569" s="71"/>
      <c r="AI569" s="68"/>
      <c r="AJ569" s="214">
        <v>3.9689999999999994E-4</v>
      </c>
      <c r="AK569" s="214">
        <v>1.7345999999999999</v>
      </c>
      <c r="AL569" s="214">
        <v>4</v>
      </c>
      <c r="AM569" s="214">
        <v>5.7428799999999995E-4</v>
      </c>
      <c r="AN569" s="68"/>
      <c r="AO569" s="67"/>
      <c r="AP569" s="67"/>
      <c r="AQ569" s="67"/>
      <c r="AR569" s="67"/>
      <c r="AS569" s="67"/>
      <c r="AT569" s="68"/>
      <c r="AU569" s="49"/>
      <c r="AV569" s="50"/>
    </row>
    <row r="570" spans="1:48" ht="12.75" customHeight="1" x14ac:dyDescent="0.25">
      <c r="A570" s="72" t="s">
        <v>23</v>
      </c>
      <c r="B570" s="43" t="s">
        <v>159</v>
      </c>
      <c r="C570" s="44" t="s">
        <v>720</v>
      </c>
      <c r="D570" s="45">
        <f>MROUND(MID($C570,6,3)/Basis!$E$3,0.5)</f>
        <v>27.5</v>
      </c>
      <c r="E570" s="45">
        <f>MROUND(MID($C570,9,3)/Basis!$E$3,0.5)</f>
        <v>78.5</v>
      </c>
      <c r="F570" s="124" t="s">
        <v>2944</v>
      </c>
      <c r="G570" s="45">
        <f>ROUND((ROUNDDOWN($F570/5,0)*5+1.8)/Basis!$E$3,1)</f>
        <v>6.6</v>
      </c>
      <c r="H570" s="120">
        <f>ROUND($P570*Basis!$E$2*((TaH-TrH)/LN(1/µ)/Basis!$E$7)^$N570*$AA$4*Glycol,0)</f>
        <v>8619</v>
      </c>
      <c r="I570" s="83">
        <f>ROUND(H570/(MID($C570,9,3)/Basis!$E$3/Basis!$E$9)*Basis!$E$11,0)</f>
        <v>1314</v>
      </c>
      <c r="J570" s="123">
        <f>IF(Basis!$E$1=1,ROUND(H570/((TaH-TrH)*1.163)/3600,3),ROUND(H570/(500*(TaH-TrH)),2))</f>
        <v>0.86</v>
      </c>
      <c r="K570" s="84"/>
      <c r="L570" s="177">
        <f>CHOOSE(Basis!$E$1,((AJ570*(J570*3600/Basis!$E$5)^AK570*(((MID(C570,9,3)*10)-144)/1000)*AL570+AM570*(J570*3600/Basis!$E$5)^2)*0.0098)/Basis!$E$10,((AJ570*(J570/Basis!$E$5)^AK570*(((MID(C570,9,3)*10)-144)/1000)*AL570+AM570*(J570/Basis!$E$5)^2)*0.0098)/Basis!$E$10)</f>
        <v>8.0107369101050721E-2</v>
      </c>
      <c r="M570" s="85"/>
      <c r="N570" s="109">
        <v>1.35</v>
      </c>
      <c r="O570" s="68"/>
      <c r="P570" s="67">
        <v>3944</v>
      </c>
      <c r="Q570" s="68"/>
      <c r="R570" s="69"/>
      <c r="S570" s="69"/>
      <c r="T570" s="69"/>
      <c r="U570" s="69"/>
      <c r="V570" s="69"/>
      <c r="W570" s="68"/>
      <c r="X570" s="70"/>
      <c r="Y570" s="70"/>
      <c r="Z570" s="70"/>
      <c r="AA570" s="70"/>
      <c r="AB570" s="70"/>
      <c r="AC570" s="68"/>
      <c r="AD570" s="71"/>
      <c r="AE570" s="71"/>
      <c r="AF570" s="71"/>
      <c r="AG570" s="71"/>
      <c r="AH570" s="71"/>
      <c r="AI570" s="68"/>
      <c r="AJ570" s="214">
        <v>2.0829999999999999E-4</v>
      </c>
      <c r="AK570" s="214">
        <v>1.724</v>
      </c>
      <c r="AL570" s="214">
        <v>2</v>
      </c>
      <c r="AM570" s="214">
        <v>4.6182900000000003E-4</v>
      </c>
      <c r="AN570" s="68"/>
      <c r="AO570" s="67"/>
      <c r="AP570" s="67"/>
      <c r="AQ570" s="67"/>
      <c r="AR570" s="67"/>
      <c r="AS570" s="67"/>
      <c r="AT570" s="68"/>
      <c r="AU570" s="49"/>
      <c r="AV570" s="50"/>
    </row>
    <row r="571" spans="1:48" ht="12.75" customHeight="1" x14ac:dyDescent="0.25">
      <c r="A571" s="72" t="s">
        <v>23</v>
      </c>
      <c r="B571" s="43" t="s">
        <v>159</v>
      </c>
      <c r="C571" s="44" t="s">
        <v>721</v>
      </c>
      <c r="D571" s="45">
        <f>MROUND(MID($C571,6,3)/Basis!$E$3,0.5)</f>
        <v>27.5</v>
      </c>
      <c r="E571" s="45">
        <f>MROUND(MID($C571,9,3)/Basis!$E$3,0.5)</f>
        <v>78.5</v>
      </c>
      <c r="F571" s="124" t="s">
        <v>2947</v>
      </c>
      <c r="G571" s="45">
        <f>ROUND((ROUNDDOWN($F571/5,0)*5+1.8)/Basis!$E$3,1)</f>
        <v>6.6</v>
      </c>
      <c r="H571" s="120">
        <f>ROUND($P571*Basis!$E$2*((TaH-TrH)/LN(1/µ)/Basis!$E$7)^$N571*$AA$4*Glycol,0)</f>
        <v>9488</v>
      </c>
      <c r="I571" s="83">
        <f>ROUND(H571/(MID($C571,9,3)/Basis!$E$3/Basis!$E$9)*Basis!$E$11,0)</f>
        <v>1446</v>
      </c>
      <c r="J571" s="123">
        <f>IF(Basis!$E$1=1,ROUND(H571/((TaH-TrH)*1.163)/3600,3),ROUND(H571/(500*(TaH-TrH)),2))</f>
        <v>0.95</v>
      </c>
      <c r="K571" s="84"/>
      <c r="L571" s="177">
        <f>CHOOSE(Basis!$E$1,((AJ571*(J571*3600/Basis!$E$5)^AK571*(((MID(C571,9,3)*10)-144)/1000)*AL571+AM571*(J571*3600/Basis!$E$5)^2)*0.0098)/Basis!$E$10,((AJ571*(J571/Basis!$E$5)^AK571*(((MID(C571,9,3)*10)-144)/1000)*AL571+AM571*(J571/Basis!$E$5)^2)*0.0098)/Basis!$E$10)</f>
        <v>0.26542954092236654</v>
      </c>
      <c r="M571" s="85"/>
      <c r="N571" s="110">
        <v>1.472</v>
      </c>
      <c r="O571" s="74"/>
      <c r="P571" s="73">
        <v>4520</v>
      </c>
      <c r="Q571" s="74"/>
      <c r="R571" s="75"/>
      <c r="S571" s="75"/>
      <c r="T571" s="75"/>
      <c r="U571" s="75"/>
      <c r="V571" s="75"/>
      <c r="W571" s="74"/>
      <c r="X571" s="76"/>
      <c r="Y571" s="76"/>
      <c r="Z571" s="76"/>
      <c r="AA571" s="76"/>
      <c r="AB571" s="76"/>
      <c r="AC571" s="74"/>
      <c r="AD571" s="77"/>
      <c r="AE571" s="77"/>
      <c r="AF571" s="77"/>
      <c r="AG571" s="77"/>
      <c r="AH571" s="77"/>
      <c r="AI571" s="68"/>
      <c r="AJ571" s="213">
        <v>2.0829999999999999E-4</v>
      </c>
      <c r="AK571" s="213">
        <v>1.724</v>
      </c>
      <c r="AL571" s="213">
        <v>4</v>
      </c>
      <c r="AM571" s="213">
        <v>1.392796E-3</v>
      </c>
      <c r="AN571" s="74"/>
      <c r="AO571" s="73"/>
      <c r="AP571" s="73"/>
      <c r="AQ571" s="73"/>
      <c r="AR571" s="73"/>
      <c r="AS571" s="73"/>
      <c r="AT571" s="74"/>
      <c r="AU571" s="47"/>
      <c r="AV571" s="48"/>
    </row>
    <row r="572" spans="1:48" ht="12.75" customHeight="1" x14ac:dyDescent="0.25">
      <c r="A572" s="72" t="s">
        <v>23</v>
      </c>
      <c r="B572" s="43" t="s">
        <v>159</v>
      </c>
      <c r="C572" s="44" t="s">
        <v>722</v>
      </c>
      <c r="D572" s="45">
        <f>MROUND(MID($C572,6,3)/Basis!$E$3,0.5)</f>
        <v>27.5</v>
      </c>
      <c r="E572" s="45">
        <f>MROUND(MID($C572,9,3)/Basis!$E$3,0.5)</f>
        <v>78.5</v>
      </c>
      <c r="F572" s="124" t="s">
        <v>2945</v>
      </c>
      <c r="G572" s="45">
        <f>ROUND((ROUNDDOWN($F572/5,0)*5+1.8)/Basis!$E$3,1)</f>
        <v>8.6</v>
      </c>
      <c r="H572" s="120">
        <f>ROUND($P572*Basis!$E$2*((TaH-TrH)/LN(1/µ)/Basis!$E$7)^$N572*$AA$4*Glycol,0)</f>
        <v>12037</v>
      </c>
      <c r="I572" s="83">
        <f>ROUND(H572/(MID($C572,9,3)/Basis!$E$3/Basis!$E$9)*Basis!$E$11,0)</f>
        <v>1834</v>
      </c>
      <c r="J572" s="123">
        <f>IF(Basis!$E$1=1,ROUND(H572/((TaH-TrH)*1.163)/3600,3),ROUND(H572/(500*(TaH-TrH)),2))</f>
        <v>1.2</v>
      </c>
      <c r="K572" s="84"/>
      <c r="L572" s="177">
        <f>CHOOSE(Basis!$E$1,((AJ572*(J572*3600/Basis!$E$5)^AK572*(((MID(C572,9,3)*10)-144)/1000)*AL572+AM572*(J572*3600/Basis!$E$5)^2)*0.0098)/Basis!$E$10,((AJ572*(J572/Basis!$E$5)^AK572*(((MID(C572,9,3)*10)-144)/1000)*AL572+AM572*(J572/Basis!$E$5)^2)*0.0098)/Basis!$E$10)</f>
        <v>0.11565918064466979</v>
      </c>
      <c r="M572" s="85"/>
      <c r="N572" s="110">
        <v>1.349</v>
      </c>
      <c r="O572" s="74"/>
      <c r="P572" s="73">
        <v>5506</v>
      </c>
      <c r="Q572" s="74"/>
      <c r="R572" s="75"/>
      <c r="S572" s="75"/>
      <c r="T572" s="75"/>
      <c r="U572" s="75"/>
      <c r="V572" s="75"/>
      <c r="W572" s="74"/>
      <c r="X572" s="76"/>
      <c r="Y572" s="76"/>
      <c r="Z572" s="76"/>
      <c r="AA572" s="76"/>
      <c r="AB572" s="76"/>
      <c r="AC572" s="74"/>
      <c r="AD572" s="77"/>
      <c r="AE572" s="77"/>
      <c r="AF572" s="77"/>
      <c r="AG572" s="77"/>
      <c r="AH572" s="77"/>
      <c r="AI572" s="68"/>
      <c r="AJ572" s="213">
        <v>1.2760000000000001E-4</v>
      </c>
      <c r="AK572" s="213">
        <v>1.7219</v>
      </c>
      <c r="AL572" s="213">
        <v>2</v>
      </c>
      <c r="AM572" s="213">
        <v>3.76611E-4</v>
      </c>
      <c r="AN572" s="74"/>
      <c r="AO572" s="73"/>
      <c r="AP572" s="73"/>
      <c r="AQ572" s="73"/>
      <c r="AR572" s="73"/>
      <c r="AS572" s="73"/>
      <c r="AT572" s="74"/>
      <c r="AU572" s="47"/>
      <c r="AV572" s="48"/>
    </row>
    <row r="573" spans="1:48" ht="12.75" customHeight="1" x14ac:dyDescent="0.25">
      <c r="A573" s="72" t="s">
        <v>23</v>
      </c>
      <c r="B573" s="43" t="s">
        <v>159</v>
      </c>
      <c r="C573" s="44" t="s">
        <v>723</v>
      </c>
      <c r="D573" s="45">
        <f>MROUND(MID($C573,6,3)/Basis!$E$3,0.5)</f>
        <v>27.5</v>
      </c>
      <c r="E573" s="45">
        <f>MROUND(MID($C573,9,3)/Basis!$E$3,0.5)</f>
        <v>78.5</v>
      </c>
      <c r="F573" s="124" t="s">
        <v>2948</v>
      </c>
      <c r="G573" s="45">
        <f>ROUND((ROUNDDOWN($F573/5,0)*5+1.8)/Basis!$E$3,1)</f>
        <v>8.6</v>
      </c>
      <c r="H573" s="120">
        <f>ROUND($P573*Basis!$E$2*((TaH-TrH)/LN(1/µ)/Basis!$E$7)^$N573*$AA$4*Glycol,0)</f>
        <v>13211</v>
      </c>
      <c r="I573" s="83">
        <f>ROUND(H573/(MID($C573,9,3)/Basis!$E$3/Basis!$E$9)*Basis!$E$11,0)</f>
        <v>2013</v>
      </c>
      <c r="J573" s="123">
        <f>IF(Basis!$E$1=1,ROUND(H573/((TaH-TrH)*1.163)/3600,3),ROUND(H573/(500*(TaH-TrH)),2))</f>
        <v>1.32</v>
      </c>
      <c r="K573" s="84"/>
      <c r="L573" s="177">
        <f>CHOOSE(Basis!$E$1,((AJ573*(J573*3600/Basis!$E$5)^AK573*(((MID(C573,9,3)*10)-144)/1000)*AL573+AM573*(J573*3600/Basis!$E$5)^2)*0.0098)/Basis!$E$10,((AJ573*(J573/Basis!$E$5)^AK573*(((MID(C573,9,3)*10)-144)/1000)*AL573+AM573*(J573/Basis!$E$5)^2)*0.0098)/Basis!$E$10)</f>
        <v>0.20811816201635111</v>
      </c>
      <c r="M573" s="85"/>
      <c r="N573" s="109">
        <v>1.5009999999999999</v>
      </c>
      <c r="O573" s="68"/>
      <c r="P573" s="67">
        <v>6354</v>
      </c>
      <c r="Q573" s="68"/>
      <c r="R573" s="69"/>
      <c r="S573" s="69"/>
      <c r="T573" s="69"/>
      <c r="U573" s="69"/>
      <c r="V573" s="69"/>
      <c r="W573" s="68"/>
      <c r="X573" s="70"/>
      <c r="Y573" s="70"/>
      <c r="Z573" s="70"/>
      <c r="AA573" s="70"/>
      <c r="AB573" s="70"/>
      <c r="AC573" s="68"/>
      <c r="AD573" s="71"/>
      <c r="AE573" s="71"/>
      <c r="AF573" s="71"/>
      <c r="AG573" s="71"/>
      <c r="AH573" s="71"/>
      <c r="AI573" s="68"/>
      <c r="AJ573" s="214">
        <v>1.2760000000000001E-4</v>
      </c>
      <c r="AK573" s="214">
        <v>1.7219</v>
      </c>
      <c r="AL573" s="214">
        <v>4</v>
      </c>
      <c r="AM573" s="214">
        <v>5.1420100000000005E-4</v>
      </c>
      <c r="AN573" s="68"/>
      <c r="AO573" s="67"/>
      <c r="AP573" s="67"/>
      <c r="AQ573" s="67"/>
      <c r="AR573" s="67"/>
      <c r="AS573" s="67"/>
      <c r="AT573" s="68"/>
      <c r="AU573" s="49"/>
      <c r="AV573" s="50"/>
    </row>
    <row r="574" spans="1:48" ht="12.75" customHeight="1" x14ac:dyDescent="0.25">
      <c r="A574" s="72" t="s">
        <v>23</v>
      </c>
      <c r="B574" s="43" t="s">
        <v>159</v>
      </c>
      <c r="C574" s="44" t="s">
        <v>724</v>
      </c>
      <c r="D574" s="45">
        <f>MROUND(MID($C574,6,3)/Basis!$E$3,0.5)</f>
        <v>27.5</v>
      </c>
      <c r="E574" s="45">
        <f>MROUND(MID($C574,9,3)/Basis!$E$3,0.5)</f>
        <v>86.5</v>
      </c>
      <c r="F574" s="124" t="s">
        <v>2943</v>
      </c>
      <c r="G574" s="45">
        <f>ROUND((ROUNDDOWN($F574/5,0)*5+1.8)/Basis!$E$3,1)</f>
        <v>4.5999999999999996</v>
      </c>
      <c r="H574" s="120">
        <f>ROUND($P574*Basis!$E$2*((TaH-TrH)/LN(1/µ)/Basis!$E$7)^$N574*$AA$4*Glycol,0)</f>
        <v>5969</v>
      </c>
      <c r="I574" s="83">
        <f>ROUND(H574/(MID($C574,9,3)/Basis!$E$3/Basis!$E$9)*Basis!$E$11,0)</f>
        <v>827</v>
      </c>
      <c r="J574" s="123">
        <f>IF(Basis!$E$1=1,ROUND(H574/((TaH-TrH)*1.163)/3600,3),ROUND(H574/(500*(TaH-TrH)),2))</f>
        <v>0.6</v>
      </c>
      <c r="K574" s="84"/>
      <c r="L574" s="177">
        <f>CHOOSE(Basis!$E$1,((AJ574*(J574*3600/Basis!$E$5)^AK574*(((MID(C574,9,3)*10)-144)/1000)*AL574+AM574*(J574*3600/Basis!$E$5)^2)*0.0098)/Basis!$E$10,((AJ574*(J574/Basis!$E$5)^AK574*(((MID(C574,9,3)*10)-144)/1000)*AL574+AM574*(J574/Basis!$E$5)^2)*0.0098)/Basis!$E$10)</f>
        <v>4.9196587394588064E-2</v>
      </c>
      <c r="M574" s="85"/>
      <c r="N574" s="109">
        <v>1.3660000000000001</v>
      </c>
      <c r="O574" s="68"/>
      <c r="P574" s="67">
        <v>2746</v>
      </c>
      <c r="Q574" s="68"/>
      <c r="R574" s="69"/>
      <c r="S574" s="69"/>
      <c r="T574" s="69"/>
      <c r="U574" s="69"/>
      <c r="V574" s="69"/>
      <c r="W574" s="68"/>
      <c r="X574" s="70"/>
      <c r="Y574" s="70"/>
      <c r="Z574" s="70"/>
      <c r="AA574" s="70"/>
      <c r="AB574" s="70"/>
      <c r="AC574" s="68"/>
      <c r="AD574" s="71"/>
      <c r="AE574" s="71"/>
      <c r="AF574" s="71"/>
      <c r="AG574" s="71"/>
      <c r="AH574" s="71"/>
      <c r="AI574" s="68"/>
      <c r="AJ574" s="214">
        <v>3.9689999999999994E-4</v>
      </c>
      <c r="AK574" s="214">
        <v>1.7345999999999999</v>
      </c>
      <c r="AL574" s="214">
        <v>2</v>
      </c>
      <c r="AM574" s="214">
        <v>3.6734700000000002E-4</v>
      </c>
      <c r="AN574" s="68"/>
      <c r="AO574" s="67"/>
      <c r="AP574" s="67"/>
      <c r="AQ574" s="67"/>
      <c r="AR574" s="67"/>
      <c r="AS574" s="67"/>
      <c r="AT574" s="68"/>
      <c r="AU574" s="49"/>
      <c r="AV574" s="50"/>
    </row>
    <row r="575" spans="1:48" ht="12.75" customHeight="1" x14ac:dyDescent="0.25">
      <c r="A575" s="72" t="s">
        <v>23</v>
      </c>
      <c r="B575" s="43" t="s">
        <v>159</v>
      </c>
      <c r="C575" s="44" t="s">
        <v>725</v>
      </c>
      <c r="D575" s="45">
        <f>MROUND(MID($C575,6,3)/Basis!$E$3,0.5)</f>
        <v>27.5</v>
      </c>
      <c r="E575" s="45">
        <f>MROUND(MID($C575,9,3)/Basis!$E$3,0.5)</f>
        <v>86.5</v>
      </c>
      <c r="F575" s="124" t="s">
        <v>2946</v>
      </c>
      <c r="G575" s="45">
        <f>ROUND((ROUNDDOWN($F575/5,0)*5+1.8)/Basis!$E$3,1)</f>
        <v>4.5999999999999996</v>
      </c>
      <c r="H575" s="120">
        <f>ROUND($P575*Basis!$E$2*((TaH-TrH)/LN(1/µ)/Basis!$E$7)^$N575*$AA$4*Glycol,0)</f>
        <v>7430</v>
      </c>
      <c r="I575" s="83">
        <f>ROUND(H575/(MID($C575,9,3)/Basis!$E$3/Basis!$E$9)*Basis!$E$11,0)</f>
        <v>1029</v>
      </c>
      <c r="J575" s="123">
        <f>IF(Basis!$E$1=1,ROUND(H575/((TaH-TrH)*1.163)/3600,3),ROUND(H575/(500*(TaH-TrH)),2))</f>
        <v>0.74</v>
      </c>
      <c r="K575" s="84"/>
      <c r="L575" s="177">
        <f>CHOOSE(Basis!$E$1,((AJ575*(J575*3600/Basis!$E$5)^AK575*(((MID(C575,9,3)*10)-144)/1000)*AL575+AM575*(J575*3600/Basis!$E$5)^2)*0.0098)/Basis!$E$10,((AJ575*(J575/Basis!$E$5)^AK575*(((MID(C575,9,3)*10)-144)/1000)*AL575+AM575*(J575/Basis!$E$5)^2)*0.0098)/Basis!$E$10)</f>
        <v>0.13042224675876707</v>
      </c>
      <c r="M575" s="85"/>
      <c r="N575" s="110">
        <v>1.4359999999999999</v>
      </c>
      <c r="O575" s="74"/>
      <c r="P575" s="73">
        <v>3498</v>
      </c>
      <c r="Q575" s="74"/>
      <c r="R575" s="75"/>
      <c r="S575" s="75"/>
      <c r="T575" s="75"/>
      <c r="U575" s="75"/>
      <c r="V575" s="75"/>
      <c r="W575" s="74"/>
      <c r="X575" s="76"/>
      <c r="Y575" s="76"/>
      <c r="Z575" s="76"/>
      <c r="AA575" s="76"/>
      <c r="AB575" s="76"/>
      <c r="AC575" s="74"/>
      <c r="AD575" s="77"/>
      <c r="AE575" s="77"/>
      <c r="AF575" s="77"/>
      <c r="AG575" s="77"/>
      <c r="AH575" s="77"/>
      <c r="AI575" s="68"/>
      <c r="AJ575" s="213">
        <v>3.9689999999999994E-4</v>
      </c>
      <c r="AK575" s="213">
        <v>1.7345999999999999</v>
      </c>
      <c r="AL575" s="213">
        <v>4</v>
      </c>
      <c r="AM575" s="213">
        <v>5.7428799999999995E-4</v>
      </c>
      <c r="AN575" s="74"/>
      <c r="AO575" s="73"/>
      <c r="AP575" s="73"/>
      <c r="AQ575" s="73"/>
      <c r="AR575" s="73"/>
      <c r="AS575" s="73"/>
      <c r="AT575" s="74"/>
      <c r="AU575" s="47"/>
      <c r="AV575" s="48"/>
    </row>
    <row r="576" spans="1:48" ht="12.75" customHeight="1" x14ac:dyDescent="0.25">
      <c r="A576" s="72" t="s">
        <v>23</v>
      </c>
      <c r="B576" s="43" t="s">
        <v>159</v>
      </c>
      <c r="C576" s="44" t="s">
        <v>726</v>
      </c>
      <c r="D576" s="45">
        <f>MROUND(MID($C576,6,3)/Basis!$E$3,0.5)</f>
        <v>27.5</v>
      </c>
      <c r="E576" s="45">
        <f>MROUND(MID($C576,9,3)/Basis!$E$3,0.5)</f>
        <v>86.5</v>
      </c>
      <c r="F576" s="124" t="s">
        <v>2944</v>
      </c>
      <c r="G576" s="45">
        <f>ROUND((ROUNDDOWN($F576/5,0)*5+1.8)/Basis!$E$3,1)</f>
        <v>6.6</v>
      </c>
      <c r="H576" s="120">
        <f>ROUND($P576*Basis!$E$2*((TaH-TrH)/LN(1/µ)/Basis!$E$7)^$N576*$AA$4*Glycol,0)</f>
        <v>9480</v>
      </c>
      <c r="I576" s="83">
        <f>ROUND(H576/(MID($C576,9,3)/Basis!$E$3/Basis!$E$9)*Basis!$E$11,0)</f>
        <v>1313</v>
      </c>
      <c r="J576" s="123">
        <f>IF(Basis!$E$1=1,ROUND(H576/((TaH-TrH)*1.163)/3600,3),ROUND(H576/(500*(TaH-TrH)),2))</f>
        <v>0.95</v>
      </c>
      <c r="K576" s="84"/>
      <c r="L576" s="177">
        <f>CHOOSE(Basis!$E$1,((AJ576*(J576*3600/Basis!$E$5)^AK576*(((MID(C576,9,3)*10)-144)/1000)*AL576+AM576*(J576*3600/Basis!$E$5)^2)*0.0098)/Basis!$E$10,((AJ576*(J576/Basis!$E$5)^AK576*(((MID(C576,9,3)*10)-144)/1000)*AL576+AM576*(J576/Basis!$E$5)^2)*0.0098)/Basis!$E$10)</f>
        <v>9.9885349827731701E-2</v>
      </c>
      <c r="M576" s="85"/>
      <c r="N576" s="110">
        <v>1.35</v>
      </c>
      <c r="O576" s="74"/>
      <c r="P576" s="73">
        <v>4338</v>
      </c>
      <c r="Q576" s="74"/>
      <c r="R576" s="75"/>
      <c r="S576" s="75"/>
      <c r="T576" s="75"/>
      <c r="U576" s="75"/>
      <c r="V576" s="75"/>
      <c r="W576" s="74"/>
      <c r="X576" s="76"/>
      <c r="Y576" s="76"/>
      <c r="Z576" s="76"/>
      <c r="AA576" s="76"/>
      <c r="AB576" s="76"/>
      <c r="AC576" s="74"/>
      <c r="AD576" s="77"/>
      <c r="AE576" s="77"/>
      <c r="AF576" s="77"/>
      <c r="AG576" s="77"/>
      <c r="AH576" s="77"/>
      <c r="AI576" s="68"/>
      <c r="AJ576" s="213">
        <v>2.0829999999999999E-4</v>
      </c>
      <c r="AK576" s="213">
        <v>1.724</v>
      </c>
      <c r="AL576" s="213">
        <v>2</v>
      </c>
      <c r="AM576" s="213">
        <v>4.6182900000000003E-4</v>
      </c>
      <c r="AN576" s="74"/>
      <c r="AO576" s="73"/>
      <c r="AP576" s="73"/>
      <c r="AQ576" s="73"/>
      <c r="AR576" s="73"/>
      <c r="AS576" s="73"/>
      <c r="AT576" s="74"/>
      <c r="AU576" s="47"/>
      <c r="AV576" s="48"/>
    </row>
    <row r="577" spans="1:48" ht="12.75" customHeight="1" x14ac:dyDescent="0.25">
      <c r="A577" s="72" t="s">
        <v>23</v>
      </c>
      <c r="B577" s="43" t="s">
        <v>159</v>
      </c>
      <c r="C577" s="44" t="s">
        <v>727</v>
      </c>
      <c r="D577" s="45">
        <f>MROUND(MID($C577,6,3)/Basis!$E$3,0.5)</f>
        <v>27.5</v>
      </c>
      <c r="E577" s="45">
        <f>MROUND(MID($C577,9,3)/Basis!$E$3,0.5)</f>
        <v>86.5</v>
      </c>
      <c r="F577" s="124" t="s">
        <v>2947</v>
      </c>
      <c r="G577" s="45">
        <f>ROUND((ROUNDDOWN($F577/5,0)*5+1.8)/Basis!$E$3,1)</f>
        <v>6.6</v>
      </c>
      <c r="H577" s="120">
        <f>ROUND($P577*Basis!$E$2*((TaH-TrH)/LN(1/µ)/Basis!$E$7)^$N577*$AA$4*Glycol,0)</f>
        <v>10437</v>
      </c>
      <c r="I577" s="83">
        <f>ROUND(H577/(MID($C577,9,3)/Basis!$E$3/Basis!$E$9)*Basis!$E$11,0)</f>
        <v>1446</v>
      </c>
      <c r="J577" s="123">
        <f>IF(Basis!$E$1=1,ROUND(H577/((TaH-TrH)*1.163)/3600,3),ROUND(H577/(500*(TaH-TrH)),2))</f>
        <v>1.04</v>
      </c>
      <c r="K577" s="84"/>
      <c r="L577" s="177">
        <f>CHOOSE(Basis!$E$1,((AJ577*(J577*3600/Basis!$E$5)^AK577*(((MID(C577,9,3)*10)-144)/1000)*AL577+AM577*(J577*3600/Basis!$E$5)^2)*0.0098)/Basis!$E$10,((AJ577*(J577/Basis!$E$5)^AK577*(((MID(C577,9,3)*10)-144)/1000)*AL577+AM577*(J577/Basis!$E$5)^2)*0.0098)/Basis!$E$10)</f>
        <v>0.32325195280856556</v>
      </c>
      <c r="M577" s="85"/>
      <c r="N577" s="109">
        <v>1.472</v>
      </c>
      <c r="O577" s="68"/>
      <c r="P577" s="67">
        <v>4972</v>
      </c>
      <c r="Q577" s="68"/>
      <c r="R577" s="69"/>
      <c r="S577" s="69"/>
      <c r="T577" s="69"/>
      <c r="U577" s="69"/>
      <c r="V577" s="69"/>
      <c r="W577" s="68"/>
      <c r="X577" s="70"/>
      <c r="Y577" s="70"/>
      <c r="Z577" s="70"/>
      <c r="AA577" s="70"/>
      <c r="AB577" s="70"/>
      <c r="AC577" s="68"/>
      <c r="AD577" s="71"/>
      <c r="AE577" s="71"/>
      <c r="AF577" s="71"/>
      <c r="AG577" s="71"/>
      <c r="AH577" s="71"/>
      <c r="AI577" s="68"/>
      <c r="AJ577" s="214">
        <v>2.0829999999999999E-4</v>
      </c>
      <c r="AK577" s="214">
        <v>1.724</v>
      </c>
      <c r="AL577" s="214">
        <v>4</v>
      </c>
      <c r="AM577" s="214">
        <v>1.392796E-3</v>
      </c>
      <c r="AN577" s="68"/>
      <c r="AO577" s="67"/>
      <c r="AP577" s="67"/>
      <c r="AQ577" s="67"/>
      <c r="AR577" s="67"/>
      <c r="AS577" s="67"/>
      <c r="AT577" s="68"/>
      <c r="AU577" s="49"/>
      <c r="AV577" s="50"/>
    </row>
    <row r="578" spans="1:48" ht="12.75" customHeight="1" x14ac:dyDescent="0.25">
      <c r="A578" s="72" t="s">
        <v>23</v>
      </c>
      <c r="B578" s="43" t="s">
        <v>159</v>
      </c>
      <c r="C578" s="44" t="s">
        <v>728</v>
      </c>
      <c r="D578" s="45">
        <f>MROUND(MID($C578,6,3)/Basis!$E$3,0.5)</f>
        <v>27.5</v>
      </c>
      <c r="E578" s="45">
        <f>MROUND(MID($C578,9,3)/Basis!$E$3,0.5)</f>
        <v>86.5</v>
      </c>
      <c r="F578" s="124" t="s">
        <v>2945</v>
      </c>
      <c r="G578" s="45">
        <f>ROUND((ROUNDDOWN($F578/5,0)*5+1.8)/Basis!$E$3,1)</f>
        <v>8.6</v>
      </c>
      <c r="H578" s="120">
        <f>ROUND($P578*Basis!$E$2*((TaH-TrH)/LN(1/µ)/Basis!$E$7)^$N578*$AA$4*Glycol,0)</f>
        <v>13241</v>
      </c>
      <c r="I578" s="83">
        <f>ROUND(H578/(MID($C578,9,3)/Basis!$E$3/Basis!$E$9)*Basis!$E$11,0)</f>
        <v>1834</v>
      </c>
      <c r="J578" s="123">
        <f>IF(Basis!$E$1=1,ROUND(H578/((TaH-TrH)*1.163)/3600,3),ROUND(H578/(500*(TaH-TrH)),2))</f>
        <v>1.32</v>
      </c>
      <c r="K578" s="84"/>
      <c r="L578" s="177">
        <f>CHOOSE(Basis!$E$1,((AJ578*(J578*3600/Basis!$E$5)^AK578*(((MID(C578,9,3)*10)-144)/1000)*AL578+AM578*(J578*3600/Basis!$E$5)^2)*0.0098)/Basis!$E$10,((AJ578*(J578/Basis!$E$5)^AK578*(((MID(C578,9,3)*10)-144)/1000)*AL578+AM578*(J578/Basis!$E$5)^2)*0.0098)/Basis!$E$10)</f>
        <v>0.1422531854317835</v>
      </c>
      <c r="M578" s="85"/>
      <c r="N578" s="109">
        <v>1.349</v>
      </c>
      <c r="O578" s="68"/>
      <c r="P578" s="67">
        <v>6057</v>
      </c>
      <c r="Q578" s="68"/>
      <c r="R578" s="69"/>
      <c r="S578" s="69"/>
      <c r="T578" s="69"/>
      <c r="U578" s="69"/>
      <c r="V578" s="69"/>
      <c r="W578" s="68"/>
      <c r="X578" s="70"/>
      <c r="Y578" s="70"/>
      <c r="Z578" s="70"/>
      <c r="AA578" s="70"/>
      <c r="AB578" s="70"/>
      <c r="AC578" s="68"/>
      <c r="AD578" s="71"/>
      <c r="AE578" s="71"/>
      <c r="AF578" s="71"/>
      <c r="AG578" s="71"/>
      <c r="AH578" s="71"/>
      <c r="AI578" s="68"/>
      <c r="AJ578" s="214">
        <v>1.2760000000000001E-4</v>
      </c>
      <c r="AK578" s="214">
        <v>1.7219</v>
      </c>
      <c r="AL578" s="214">
        <v>2</v>
      </c>
      <c r="AM578" s="214">
        <v>3.76611E-4</v>
      </c>
      <c r="AN578" s="68"/>
      <c r="AO578" s="67"/>
      <c r="AP578" s="67"/>
      <c r="AQ578" s="67"/>
      <c r="AR578" s="67"/>
      <c r="AS578" s="67"/>
      <c r="AT578" s="68"/>
      <c r="AU578" s="49"/>
      <c r="AV578" s="50"/>
    </row>
    <row r="579" spans="1:48" ht="12.75" customHeight="1" x14ac:dyDescent="0.25">
      <c r="A579" s="72" t="s">
        <v>23</v>
      </c>
      <c r="B579" s="43" t="s">
        <v>159</v>
      </c>
      <c r="C579" s="44" t="s">
        <v>729</v>
      </c>
      <c r="D579" s="45">
        <f>MROUND(MID($C579,6,3)/Basis!$E$3,0.5)</f>
        <v>27.5</v>
      </c>
      <c r="E579" s="45">
        <f>MROUND(MID($C579,9,3)/Basis!$E$3,0.5)</f>
        <v>86.5</v>
      </c>
      <c r="F579" s="124" t="s">
        <v>2948</v>
      </c>
      <c r="G579" s="45">
        <f>ROUND((ROUNDDOWN($F579/5,0)*5+1.8)/Basis!$E$3,1)</f>
        <v>8.6</v>
      </c>
      <c r="H579" s="120">
        <f>ROUND($P579*Basis!$E$2*((TaH-TrH)/LN(1/µ)/Basis!$E$7)^$N579*$AA$4*Glycol,0)</f>
        <v>14531</v>
      </c>
      <c r="I579" s="83">
        <f>ROUND(H579/(MID($C579,9,3)/Basis!$E$3/Basis!$E$9)*Basis!$E$11,0)</f>
        <v>2013</v>
      </c>
      <c r="J579" s="123">
        <f>IF(Basis!$E$1=1,ROUND(H579/((TaH-TrH)*1.163)/3600,3),ROUND(H579/(500*(TaH-TrH)),2))</f>
        <v>1.45</v>
      </c>
      <c r="K579" s="84"/>
      <c r="L579" s="177">
        <f>CHOOSE(Basis!$E$1,((AJ579*(J579*3600/Basis!$E$5)^AK579*(((MID(C579,9,3)*10)-144)/1000)*AL579+AM579*(J579*3600/Basis!$E$5)^2)*0.0098)/Basis!$E$10,((AJ579*(J579/Basis!$E$5)^AK579*(((MID(C579,9,3)*10)-144)/1000)*AL579+AM579*(J579/Basis!$E$5)^2)*0.0098)/Basis!$E$10)</f>
        <v>0.25657676551635766</v>
      </c>
      <c r="M579" s="85"/>
      <c r="N579" s="110">
        <v>1.5009999999999999</v>
      </c>
      <c r="O579" s="74"/>
      <c r="P579" s="73">
        <v>6989</v>
      </c>
      <c r="Q579" s="74"/>
      <c r="R579" s="75"/>
      <c r="S579" s="75"/>
      <c r="T579" s="75"/>
      <c r="U579" s="75"/>
      <c r="V579" s="75"/>
      <c r="W579" s="74"/>
      <c r="X579" s="76"/>
      <c r="Y579" s="76"/>
      <c r="Z579" s="76"/>
      <c r="AA579" s="76"/>
      <c r="AB579" s="76"/>
      <c r="AC579" s="74"/>
      <c r="AD579" s="77"/>
      <c r="AE579" s="77"/>
      <c r="AF579" s="77"/>
      <c r="AG579" s="77"/>
      <c r="AH579" s="77"/>
      <c r="AI579" s="68"/>
      <c r="AJ579" s="213">
        <v>1.2760000000000001E-4</v>
      </c>
      <c r="AK579" s="213">
        <v>1.7219</v>
      </c>
      <c r="AL579" s="213">
        <v>4</v>
      </c>
      <c r="AM579" s="213">
        <v>5.1420100000000005E-4</v>
      </c>
      <c r="AN579" s="74"/>
      <c r="AO579" s="73"/>
      <c r="AP579" s="73"/>
      <c r="AQ579" s="73"/>
      <c r="AR579" s="73"/>
      <c r="AS579" s="73"/>
      <c r="AT579" s="74"/>
      <c r="AU579" s="47"/>
      <c r="AV579" s="48"/>
    </row>
    <row r="580" spans="1:48" ht="12.75" customHeight="1" x14ac:dyDescent="0.25">
      <c r="A580" s="72" t="s">
        <v>23</v>
      </c>
      <c r="B580" s="43" t="s">
        <v>159</v>
      </c>
      <c r="C580" s="44" t="s">
        <v>730</v>
      </c>
      <c r="D580" s="45">
        <f>MROUND(MID($C580,6,3)/Basis!$E$3,0.5)</f>
        <v>27.5</v>
      </c>
      <c r="E580" s="45">
        <f>MROUND(MID($C580,9,3)/Basis!$E$3,0.5)</f>
        <v>94.5</v>
      </c>
      <c r="F580" s="124" t="s">
        <v>2943</v>
      </c>
      <c r="G580" s="45">
        <f>ROUND((ROUNDDOWN($F580/5,0)*5+1.8)/Basis!$E$3,1)</f>
        <v>4.5999999999999996</v>
      </c>
      <c r="H580" s="120">
        <f>ROUND($P580*Basis!$E$2*((TaH-TrH)/LN(1/µ)/Basis!$E$7)^$N580*$AA$4*Glycol,0)</f>
        <v>6511</v>
      </c>
      <c r="I580" s="83">
        <f>ROUND(H580/(MID($C580,9,3)/Basis!$E$3/Basis!$E$9)*Basis!$E$11,0)</f>
        <v>827</v>
      </c>
      <c r="J580" s="123">
        <f>IF(Basis!$E$1=1,ROUND(H580/((TaH-TrH)*1.163)/3600,3),ROUND(H580/(500*(TaH-TrH)),2))</f>
        <v>0.65</v>
      </c>
      <c r="K580" s="84"/>
      <c r="L580" s="177">
        <f>CHOOSE(Basis!$E$1,((AJ580*(J580*3600/Basis!$E$5)^AK580*(((MID(C580,9,3)*10)-144)/1000)*AL580+AM580*(J580*3600/Basis!$E$5)^2)*0.0098)/Basis!$E$10,((AJ580*(J580/Basis!$E$5)^AK580*(((MID(C580,9,3)*10)-144)/1000)*AL580+AM580*(J580/Basis!$E$5)^2)*0.0098)/Basis!$E$10)</f>
        <v>6.0079755711218742E-2</v>
      </c>
      <c r="M580" s="85"/>
      <c r="N580" s="110">
        <v>1.3660000000000001</v>
      </c>
      <c r="O580" s="74"/>
      <c r="P580" s="73">
        <v>2995</v>
      </c>
      <c r="Q580" s="74"/>
      <c r="R580" s="75"/>
      <c r="S580" s="75"/>
      <c r="T580" s="75"/>
      <c r="U580" s="75"/>
      <c r="V580" s="75"/>
      <c r="W580" s="74"/>
      <c r="X580" s="76"/>
      <c r="Y580" s="76"/>
      <c r="Z580" s="76"/>
      <c r="AA580" s="76"/>
      <c r="AB580" s="76"/>
      <c r="AC580" s="74"/>
      <c r="AD580" s="77"/>
      <c r="AE580" s="77"/>
      <c r="AF580" s="77"/>
      <c r="AG580" s="77"/>
      <c r="AH580" s="77"/>
      <c r="AI580" s="68"/>
      <c r="AJ580" s="213">
        <v>3.9689999999999994E-4</v>
      </c>
      <c r="AK580" s="213">
        <v>1.7345999999999999</v>
      </c>
      <c r="AL580" s="213">
        <v>2</v>
      </c>
      <c r="AM580" s="213">
        <v>3.6734700000000002E-4</v>
      </c>
      <c r="AN580" s="74"/>
      <c r="AO580" s="73"/>
      <c r="AP580" s="73"/>
      <c r="AQ580" s="73"/>
      <c r="AR580" s="73"/>
      <c r="AS580" s="73"/>
      <c r="AT580" s="74"/>
      <c r="AU580" s="47"/>
      <c r="AV580" s="48"/>
    </row>
    <row r="581" spans="1:48" ht="12.75" customHeight="1" x14ac:dyDescent="0.25">
      <c r="A581" s="72" t="s">
        <v>23</v>
      </c>
      <c r="B581" s="43" t="s">
        <v>159</v>
      </c>
      <c r="C581" s="44" t="s">
        <v>731</v>
      </c>
      <c r="D581" s="45">
        <f>MROUND(MID($C581,6,3)/Basis!$E$3,0.5)</f>
        <v>27.5</v>
      </c>
      <c r="E581" s="45">
        <f>MROUND(MID($C581,9,3)/Basis!$E$3,0.5)</f>
        <v>94.5</v>
      </c>
      <c r="F581" s="124" t="s">
        <v>2946</v>
      </c>
      <c r="G581" s="45">
        <f>ROUND((ROUNDDOWN($F581/5,0)*5+1.8)/Basis!$E$3,1)</f>
        <v>4.5999999999999996</v>
      </c>
      <c r="H581" s="120">
        <f>ROUND($P581*Basis!$E$2*((TaH-TrH)/LN(1/µ)/Basis!$E$7)^$N581*$AA$4*Glycol,0)</f>
        <v>8106</v>
      </c>
      <c r="I581" s="83">
        <f>ROUND(H581/(MID($C581,9,3)/Basis!$E$3/Basis!$E$9)*Basis!$E$11,0)</f>
        <v>1029</v>
      </c>
      <c r="J581" s="123">
        <f>IF(Basis!$E$1=1,ROUND(H581/((TaH-TrH)*1.163)/3600,3),ROUND(H581/(500*(TaH-TrH)),2))</f>
        <v>0.81</v>
      </c>
      <c r="K581" s="84"/>
      <c r="L581" s="177">
        <f>CHOOSE(Basis!$E$1,((AJ581*(J581*3600/Basis!$E$5)^AK581*(((MID(C581,9,3)*10)-144)/1000)*AL581+AM581*(J581*3600/Basis!$E$5)^2)*0.0098)/Basis!$E$10,((AJ581*(J581/Basis!$E$5)^AK581*(((MID(C581,9,3)*10)-144)/1000)*AL581+AM581*(J581/Basis!$E$5)^2)*0.0098)/Basis!$E$10)</f>
        <v>0.16287106132110138</v>
      </c>
      <c r="M581" s="85"/>
      <c r="N581" s="109">
        <v>1.4359999999999999</v>
      </c>
      <c r="O581" s="68"/>
      <c r="P581" s="67">
        <v>3816</v>
      </c>
      <c r="Q581" s="68"/>
      <c r="R581" s="69"/>
      <c r="S581" s="69"/>
      <c r="T581" s="69"/>
      <c r="U581" s="69"/>
      <c r="V581" s="69"/>
      <c r="W581" s="68"/>
      <c r="X581" s="70"/>
      <c r="Y581" s="70"/>
      <c r="Z581" s="70"/>
      <c r="AA581" s="70"/>
      <c r="AB581" s="70"/>
      <c r="AC581" s="68"/>
      <c r="AD581" s="71"/>
      <c r="AE581" s="71"/>
      <c r="AF581" s="71"/>
      <c r="AG581" s="71"/>
      <c r="AH581" s="71"/>
      <c r="AI581" s="68"/>
      <c r="AJ581" s="214">
        <v>3.9689999999999994E-4</v>
      </c>
      <c r="AK581" s="214">
        <v>1.7345999999999999</v>
      </c>
      <c r="AL581" s="214">
        <v>4</v>
      </c>
      <c r="AM581" s="214">
        <v>5.7428799999999995E-4</v>
      </c>
      <c r="AN581" s="68"/>
      <c r="AO581" s="67"/>
      <c r="AP581" s="67"/>
      <c r="AQ581" s="67"/>
      <c r="AR581" s="67"/>
      <c r="AS581" s="67"/>
      <c r="AT581" s="68"/>
      <c r="AU581" s="49"/>
      <c r="AV581" s="50"/>
    </row>
    <row r="582" spans="1:48" ht="12.75" customHeight="1" x14ac:dyDescent="0.25">
      <c r="A582" s="72" t="s">
        <v>23</v>
      </c>
      <c r="B582" s="43" t="s">
        <v>159</v>
      </c>
      <c r="C582" s="44" t="s">
        <v>732</v>
      </c>
      <c r="D582" s="45">
        <f>MROUND(MID($C582,6,3)/Basis!$E$3,0.5)</f>
        <v>27.5</v>
      </c>
      <c r="E582" s="45">
        <f>MROUND(MID($C582,9,3)/Basis!$E$3,0.5)</f>
        <v>94.5</v>
      </c>
      <c r="F582" s="124" t="s">
        <v>2944</v>
      </c>
      <c r="G582" s="45">
        <f>ROUND((ROUNDDOWN($F582/5,0)*5+1.8)/Basis!$E$3,1)</f>
        <v>6.6</v>
      </c>
      <c r="H582" s="120">
        <f>ROUND($P582*Basis!$E$2*((TaH-TrH)/LN(1/µ)/Basis!$E$7)^$N582*$AA$4*Glycol,0)</f>
        <v>10343</v>
      </c>
      <c r="I582" s="83">
        <f>ROUND(H582/(MID($C582,9,3)/Basis!$E$3/Basis!$E$9)*Basis!$E$11,0)</f>
        <v>1314</v>
      </c>
      <c r="J582" s="123">
        <f>IF(Basis!$E$1=1,ROUND(H582/((TaH-TrH)*1.163)/3600,3),ROUND(H582/(500*(TaH-TrH)),2))</f>
        <v>1.03</v>
      </c>
      <c r="K582" s="84"/>
      <c r="L582" s="177">
        <f>CHOOSE(Basis!$E$1,((AJ582*(J582*3600/Basis!$E$5)^AK582*(((MID(C582,9,3)*10)-144)/1000)*AL582+AM582*(J582*3600/Basis!$E$5)^2)*0.0098)/Basis!$E$10,((AJ582*(J582/Basis!$E$5)^AK582*(((MID(C582,9,3)*10)-144)/1000)*AL582+AM582*(J582/Basis!$E$5)^2)*0.0098)/Basis!$E$10)</f>
        <v>0.11995725040793428</v>
      </c>
      <c r="M582" s="85"/>
      <c r="N582" s="109">
        <v>1.35</v>
      </c>
      <c r="O582" s="68"/>
      <c r="P582" s="67">
        <v>4733</v>
      </c>
      <c r="Q582" s="68"/>
      <c r="R582" s="69"/>
      <c r="S582" s="69"/>
      <c r="T582" s="69"/>
      <c r="U582" s="69"/>
      <c r="V582" s="69"/>
      <c r="W582" s="68"/>
      <c r="X582" s="70"/>
      <c r="Y582" s="70"/>
      <c r="Z582" s="70"/>
      <c r="AA582" s="70"/>
      <c r="AB582" s="70"/>
      <c r="AC582" s="68"/>
      <c r="AD582" s="71"/>
      <c r="AE582" s="71"/>
      <c r="AF582" s="71"/>
      <c r="AG582" s="71"/>
      <c r="AH582" s="71"/>
      <c r="AI582" s="68"/>
      <c r="AJ582" s="214">
        <v>2.0829999999999999E-4</v>
      </c>
      <c r="AK582" s="214">
        <v>1.724</v>
      </c>
      <c r="AL582" s="214">
        <v>2</v>
      </c>
      <c r="AM582" s="214">
        <v>4.6182900000000003E-4</v>
      </c>
      <c r="AN582" s="68"/>
      <c r="AO582" s="67"/>
      <c r="AP582" s="67"/>
      <c r="AQ582" s="67"/>
      <c r="AR582" s="67"/>
      <c r="AS582" s="67"/>
      <c r="AT582" s="68"/>
      <c r="AU582" s="49"/>
      <c r="AV582" s="50"/>
    </row>
    <row r="583" spans="1:48" ht="12.75" customHeight="1" x14ac:dyDescent="0.25">
      <c r="A583" s="72" t="s">
        <v>23</v>
      </c>
      <c r="B583" s="43" t="s">
        <v>159</v>
      </c>
      <c r="C583" s="44" t="s">
        <v>733</v>
      </c>
      <c r="D583" s="45">
        <f>MROUND(MID($C583,6,3)/Basis!$E$3,0.5)</f>
        <v>27.5</v>
      </c>
      <c r="E583" s="45">
        <f>MROUND(MID($C583,9,3)/Basis!$E$3,0.5)</f>
        <v>94.5</v>
      </c>
      <c r="F583" s="124" t="s">
        <v>2947</v>
      </c>
      <c r="G583" s="45">
        <f>ROUND((ROUNDDOWN($F583/5,0)*5+1.8)/Basis!$E$3,1)</f>
        <v>6.6</v>
      </c>
      <c r="H583" s="120">
        <f>ROUND($P583*Basis!$E$2*((TaH-TrH)/LN(1/µ)/Basis!$E$7)^$N583*$AA$4*Glycol,0)</f>
        <v>11386</v>
      </c>
      <c r="I583" s="83">
        <f>ROUND(H583/(MID($C583,9,3)/Basis!$E$3/Basis!$E$9)*Basis!$E$11,0)</f>
        <v>1446</v>
      </c>
      <c r="J583" s="123">
        <f>IF(Basis!$E$1=1,ROUND(H583/((TaH-TrH)*1.163)/3600,3),ROUND(H583/(500*(TaH-TrH)),2))</f>
        <v>1.1399999999999999</v>
      </c>
      <c r="K583" s="84"/>
      <c r="L583" s="177">
        <f>CHOOSE(Basis!$E$1,((AJ583*(J583*3600/Basis!$E$5)^AK583*(((MID(C583,9,3)*10)-144)/1000)*AL583+AM583*(J583*3600/Basis!$E$5)^2)*0.0098)/Basis!$E$10,((AJ583*(J583/Basis!$E$5)^AK583*(((MID(C583,9,3)*10)-144)/1000)*AL583+AM583*(J583/Basis!$E$5)^2)*0.0098)/Basis!$E$10)</f>
        <v>0.39420652740816553</v>
      </c>
      <c r="M583" s="85"/>
      <c r="N583" s="110">
        <v>1.472</v>
      </c>
      <c r="O583" s="74"/>
      <c r="P583" s="73">
        <v>5424</v>
      </c>
      <c r="Q583" s="74"/>
      <c r="R583" s="75"/>
      <c r="S583" s="75"/>
      <c r="T583" s="75"/>
      <c r="U583" s="75"/>
      <c r="V583" s="75"/>
      <c r="W583" s="74"/>
      <c r="X583" s="76"/>
      <c r="Y583" s="76"/>
      <c r="Z583" s="76"/>
      <c r="AA583" s="76"/>
      <c r="AB583" s="76"/>
      <c r="AC583" s="74"/>
      <c r="AD583" s="77"/>
      <c r="AE583" s="77"/>
      <c r="AF583" s="77"/>
      <c r="AG583" s="77"/>
      <c r="AH583" s="77"/>
      <c r="AI583" s="68"/>
      <c r="AJ583" s="213">
        <v>2.0829999999999999E-4</v>
      </c>
      <c r="AK583" s="213">
        <v>1.724</v>
      </c>
      <c r="AL583" s="213">
        <v>4</v>
      </c>
      <c r="AM583" s="213">
        <v>1.392796E-3</v>
      </c>
      <c r="AN583" s="74"/>
      <c r="AO583" s="73"/>
      <c r="AP583" s="73"/>
      <c r="AQ583" s="73"/>
      <c r="AR583" s="73"/>
      <c r="AS583" s="73"/>
      <c r="AT583" s="74"/>
      <c r="AU583" s="47"/>
      <c r="AV583" s="48"/>
    </row>
    <row r="584" spans="1:48" ht="12.75" customHeight="1" x14ac:dyDescent="0.25">
      <c r="A584" s="72" t="s">
        <v>23</v>
      </c>
      <c r="B584" s="43" t="s">
        <v>159</v>
      </c>
      <c r="C584" s="44" t="s">
        <v>734</v>
      </c>
      <c r="D584" s="45">
        <f>MROUND(MID($C584,6,3)/Basis!$E$3,0.5)</f>
        <v>27.5</v>
      </c>
      <c r="E584" s="45">
        <f>MROUND(MID($C584,9,3)/Basis!$E$3,0.5)</f>
        <v>94.5</v>
      </c>
      <c r="F584" s="124" t="s">
        <v>2945</v>
      </c>
      <c r="G584" s="45">
        <f>ROUND((ROUNDDOWN($F584/5,0)*5+1.8)/Basis!$E$3,1)</f>
        <v>8.6</v>
      </c>
      <c r="H584" s="120">
        <f>ROUND($P584*Basis!$E$2*((TaH-TrH)/LN(1/µ)/Basis!$E$7)^$N584*$AA$4*Glycol,0)</f>
        <v>14443</v>
      </c>
      <c r="I584" s="83">
        <f>ROUND(H584/(MID($C584,9,3)/Basis!$E$3/Basis!$E$9)*Basis!$E$11,0)</f>
        <v>1834</v>
      </c>
      <c r="J584" s="123">
        <f>IF(Basis!$E$1=1,ROUND(H584/((TaH-TrH)*1.163)/3600,3),ROUND(H584/(500*(TaH-TrH)),2))</f>
        <v>1.44</v>
      </c>
      <c r="K584" s="84"/>
      <c r="L584" s="177">
        <f>CHOOSE(Basis!$E$1,((AJ584*(J584*3600/Basis!$E$5)^AK584*(((MID(C584,9,3)*10)-144)/1000)*AL584+AM584*(J584*3600/Basis!$E$5)^2)*0.0098)/Basis!$E$10,((AJ584*(J584/Basis!$E$5)^AK584*(((MID(C584,9,3)*10)-144)/1000)*AL584+AM584*(J584/Basis!$E$5)^2)*0.0098)/Basis!$E$10)</f>
        <v>0.17196226549983984</v>
      </c>
      <c r="M584" s="85"/>
      <c r="N584" s="110">
        <v>1.349</v>
      </c>
      <c r="O584" s="74"/>
      <c r="P584" s="73">
        <v>6607</v>
      </c>
      <c r="Q584" s="74"/>
      <c r="R584" s="75"/>
      <c r="S584" s="75"/>
      <c r="T584" s="75"/>
      <c r="U584" s="75"/>
      <c r="V584" s="75"/>
      <c r="W584" s="74"/>
      <c r="X584" s="76"/>
      <c r="Y584" s="76"/>
      <c r="Z584" s="76"/>
      <c r="AA584" s="76"/>
      <c r="AB584" s="76"/>
      <c r="AC584" s="74"/>
      <c r="AD584" s="77"/>
      <c r="AE584" s="77"/>
      <c r="AF584" s="77"/>
      <c r="AG584" s="77"/>
      <c r="AH584" s="77"/>
      <c r="AI584" s="68"/>
      <c r="AJ584" s="213">
        <v>1.2760000000000001E-4</v>
      </c>
      <c r="AK584" s="213">
        <v>1.7219</v>
      </c>
      <c r="AL584" s="213">
        <v>2</v>
      </c>
      <c r="AM584" s="213">
        <v>3.76611E-4</v>
      </c>
      <c r="AN584" s="74"/>
      <c r="AO584" s="73"/>
      <c r="AP584" s="73"/>
      <c r="AQ584" s="73"/>
      <c r="AR584" s="73"/>
      <c r="AS584" s="73"/>
      <c r="AT584" s="74"/>
      <c r="AU584" s="47"/>
      <c r="AV584" s="48"/>
    </row>
    <row r="585" spans="1:48" ht="12.75" customHeight="1" x14ac:dyDescent="0.25">
      <c r="A585" s="72" t="s">
        <v>23</v>
      </c>
      <c r="B585" s="43" t="s">
        <v>159</v>
      </c>
      <c r="C585" s="44" t="s">
        <v>735</v>
      </c>
      <c r="D585" s="45">
        <f>MROUND(MID($C585,6,3)/Basis!$E$3,0.5)</f>
        <v>27.5</v>
      </c>
      <c r="E585" s="45">
        <f>MROUND(MID($C585,9,3)/Basis!$E$3,0.5)</f>
        <v>94.5</v>
      </c>
      <c r="F585" s="124" t="s">
        <v>2948</v>
      </c>
      <c r="G585" s="45">
        <f>ROUND((ROUNDDOWN($F585/5,0)*5+1.8)/Basis!$E$3,1)</f>
        <v>8.6</v>
      </c>
      <c r="H585" s="120">
        <f>ROUND($P585*Basis!$E$2*((TaH-TrH)/LN(1/µ)/Basis!$E$7)^$N585*$AA$4*Glycol,0)</f>
        <v>15853</v>
      </c>
      <c r="I585" s="83">
        <f>ROUND(H585/(MID($C585,9,3)/Basis!$E$3/Basis!$E$9)*Basis!$E$11,0)</f>
        <v>2013</v>
      </c>
      <c r="J585" s="123">
        <f>IF(Basis!$E$1=1,ROUND(H585/((TaH-TrH)*1.163)/3600,3),ROUND(H585/(500*(TaH-TrH)),2))</f>
        <v>1.59</v>
      </c>
      <c r="K585" s="84"/>
      <c r="L585" s="177">
        <f>CHOOSE(Basis!$E$1,((AJ585*(J585*3600/Basis!$E$5)^AK585*(((MID(C585,9,3)*10)-144)/1000)*AL585+AM585*(J585*3600/Basis!$E$5)^2)*0.0098)/Basis!$E$10,((AJ585*(J585/Basis!$E$5)^AK585*(((MID(C585,9,3)*10)-144)/1000)*AL585+AM585*(J585/Basis!$E$5)^2)*0.0098)/Basis!$E$10)</f>
        <v>0.31471816021939042</v>
      </c>
      <c r="M585" s="85"/>
      <c r="N585" s="109">
        <v>1.5009999999999999</v>
      </c>
      <c r="O585" s="68"/>
      <c r="P585" s="67">
        <v>7625</v>
      </c>
      <c r="Q585" s="68"/>
      <c r="R585" s="69"/>
      <c r="S585" s="69"/>
      <c r="T585" s="69"/>
      <c r="U585" s="69"/>
      <c r="V585" s="69"/>
      <c r="W585" s="68"/>
      <c r="X585" s="70"/>
      <c r="Y585" s="70"/>
      <c r="Z585" s="70"/>
      <c r="AA585" s="70"/>
      <c r="AB585" s="70"/>
      <c r="AC585" s="68"/>
      <c r="AD585" s="71"/>
      <c r="AE585" s="71"/>
      <c r="AF585" s="71"/>
      <c r="AG585" s="71"/>
      <c r="AH585" s="71"/>
      <c r="AI585" s="68"/>
      <c r="AJ585" s="214">
        <v>1.2760000000000001E-4</v>
      </c>
      <c r="AK585" s="214">
        <v>1.7219</v>
      </c>
      <c r="AL585" s="214">
        <v>4</v>
      </c>
      <c r="AM585" s="214">
        <v>5.1420100000000005E-4</v>
      </c>
      <c r="AN585" s="68"/>
      <c r="AO585" s="67"/>
      <c r="AP585" s="67"/>
      <c r="AQ585" s="67"/>
      <c r="AR585" s="67"/>
      <c r="AS585" s="67"/>
      <c r="AT585" s="68"/>
      <c r="AU585" s="49"/>
      <c r="AV585" s="50"/>
    </row>
    <row r="586" spans="1:48" ht="12.75" customHeight="1" x14ac:dyDescent="0.25">
      <c r="A586" s="72" t="s">
        <v>23</v>
      </c>
      <c r="B586" s="43" t="s">
        <v>159</v>
      </c>
      <c r="C586" s="44" t="s">
        <v>736</v>
      </c>
      <c r="D586" s="45">
        <f>MROUND(MID($C586,6,3)/Basis!$E$3,0.5)</f>
        <v>27.5</v>
      </c>
      <c r="E586" s="45">
        <f>MROUND(MID($C586,9,3)/Basis!$E$3,0.5)</f>
        <v>102.5</v>
      </c>
      <c r="F586" s="124" t="s">
        <v>2943</v>
      </c>
      <c r="G586" s="45">
        <f>ROUND((ROUNDDOWN($F586/5,0)*5+1.8)/Basis!$E$3,1)</f>
        <v>4.5999999999999996</v>
      </c>
      <c r="H586" s="120">
        <f>ROUND($P586*Basis!$E$2*((TaH-TrH)/LN(1/µ)/Basis!$E$7)^$N586*$AA$4*Glycol,0)</f>
        <v>7054</v>
      </c>
      <c r="I586" s="83">
        <f>ROUND(H586/(MID($C586,9,3)/Basis!$E$3/Basis!$E$9)*Basis!$E$11,0)</f>
        <v>827</v>
      </c>
      <c r="J586" s="123">
        <f>IF(Basis!$E$1=1,ROUND(H586/((TaH-TrH)*1.163)/3600,3),ROUND(H586/(500*(TaH-TrH)),2))</f>
        <v>0.71</v>
      </c>
      <c r="K586" s="84"/>
      <c r="L586" s="177">
        <f>CHOOSE(Basis!$E$1,((AJ586*(J586*3600/Basis!$E$5)^AK586*(((MID(C586,9,3)*10)-144)/1000)*AL586+AM586*(J586*3600/Basis!$E$5)^2)*0.0098)/Basis!$E$10,((AJ586*(J586/Basis!$E$5)^AK586*(((MID(C586,9,3)*10)-144)/1000)*AL586+AM586*(J586/Basis!$E$5)^2)*0.0098)/Basis!$E$10)</f>
        <v>7.4249366016170742E-2</v>
      </c>
      <c r="M586" s="85"/>
      <c r="N586" s="109">
        <v>1.3660000000000001</v>
      </c>
      <c r="O586" s="68"/>
      <c r="P586" s="67">
        <v>3245</v>
      </c>
      <c r="Q586" s="68"/>
      <c r="R586" s="69"/>
      <c r="S586" s="69"/>
      <c r="T586" s="69"/>
      <c r="U586" s="69"/>
      <c r="V586" s="69"/>
      <c r="W586" s="68"/>
      <c r="X586" s="70"/>
      <c r="Y586" s="70"/>
      <c r="Z586" s="70"/>
      <c r="AA586" s="70"/>
      <c r="AB586" s="70"/>
      <c r="AC586" s="68"/>
      <c r="AD586" s="71"/>
      <c r="AE586" s="71"/>
      <c r="AF586" s="71"/>
      <c r="AG586" s="71"/>
      <c r="AH586" s="71"/>
      <c r="AI586" s="68"/>
      <c r="AJ586" s="214">
        <v>3.9689999999999994E-4</v>
      </c>
      <c r="AK586" s="214">
        <v>1.7345999999999999</v>
      </c>
      <c r="AL586" s="214">
        <v>2</v>
      </c>
      <c r="AM586" s="214">
        <v>3.6734700000000002E-4</v>
      </c>
      <c r="AN586" s="68"/>
      <c r="AO586" s="67"/>
      <c r="AP586" s="67"/>
      <c r="AQ586" s="67"/>
      <c r="AR586" s="67"/>
      <c r="AS586" s="67"/>
      <c r="AT586" s="68"/>
      <c r="AU586" s="49"/>
      <c r="AV586" s="50"/>
    </row>
    <row r="587" spans="1:48" ht="12.75" customHeight="1" x14ac:dyDescent="0.25">
      <c r="A587" s="72" t="s">
        <v>23</v>
      </c>
      <c r="B587" s="43" t="s">
        <v>159</v>
      </c>
      <c r="C587" s="44" t="s">
        <v>737</v>
      </c>
      <c r="D587" s="45">
        <f>MROUND(MID($C587,6,3)/Basis!$E$3,0.5)</f>
        <v>27.5</v>
      </c>
      <c r="E587" s="45">
        <f>MROUND(MID($C587,9,3)/Basis!$E$3,0.5)</f>
        <v>102.5</v>
      </c>
      <c r="F587" s="124" t="s">
        <v>2946</v>
      </c>
      <c r="G587" s="45">
        <f>ROUND((ROUNDDOWN($F587/5,0)*5+1.8)/Basis!$E$3,1)</f>
        <v>4.5999999999999996</v>
      </c>
      <c r="H587" s="120">
        <f>ROUND($P587*Basis!$E$2*((TaH-TrH)/LN(1/µ)/Basis!$E$7)^$N587*$AA$4*Glycol,0)</f>
        <v>8781</v>
      </c>
      <c r="I587" s="83">
        <f>ROUND(H587/(MID($C587,9,3)/Basis!$E$3/Basis!$E$9)*Basis!$E$11,0)</f>
        <v>1029</v>
      </c>
      <c r="J587" s="123">
        <f>IF(Basis!$E$1=1,ROUND(H587/((TaH-TrH)*1.163)/3600,3),ROUND(H587/(500*(TaH-TrH)),2))</f>
        <v>0.88</v>
      </c>
      <c r="K587" s="84"/>
      <c r="L587" s="177">
        <f>CHOOSE(Basis!$E$1,((AJ587*(J587*3600/Basis!$E$5)^AK587*(((MID(C587,9,3)*10)-144)/1000)*AL587+AM587*(J587*3600/Basis!$E$5)^2)*0.0098)/Basis!$E$10,((AJ587*(J587/Basis!$E$5)^AK587*(((MID(C587,9,3)*10)-144)/1000)*AL587+AM587*(J587/Basis!$E$5)^2)*0.0098)/Basis!$E$10)</f>
        <v>0.19985360275713307</v>
      </c>
      <c r="M587" s="85"/>
      <c r="N587" s="110">
        <v>1.4359999999999999</v>
      </c>
      <c r="O587" s="74"/>
      <c r="P587" s="73">
        <v>4134</v>
      </c>
      <c r="Q587" s="74"/>
      <c r="R587" s="75"/>
      <c r="S587" s="75"/>
      <c r="T587" s="75"/>
      <c r="U587" s="75"/>
      <c r="V587" s="75"/>
      <c r="W587" s="74"/>
      <c r="X587" s="76"/>
      <c r="Y587" s="76"/>
      <c r="Z587" s="76"/>
      <c r="AA587" s="76"/>
      <c r="AB587" s="76"/>
      <c r="AC587" s="74"/>
      <c r="AD587" s="77"/>
      <c r="AE587" s="77"/>
      <c r="AF587" s="77"/>
      <c r="AG587" s="77"/>
      <c r="AH587" s="77"/>
      <c r="AI587" s="68"/>
      <c r="AJ587" s="213">
        <v>3.9689999999999994E-4</v>
      </c>
      <c r="AK587" s="213">
        <v>1.7345999999999999</v>
      </c>
      <c r="AL587" s="213">
        <v>4</v>
      </c>
      <c r="AM587" s="213">
        <v>5.7428799999999995E-4</v>
      </c>
      <c r="AN587" s="74"/>
      <c r="AO587" s="73"/>
      <c r="AP587" s="73"/>
      <c r="AQ587" s="73"/>
      <c r="AR587" s="73"/>
      <c r="AS587" s="73"/>
      <c r="AT587" s="74"/>
      <c r="AU587" s="47"/>
      <c r="AV587" s="48"/>
    </row>
    <row r="588" spans="1:48" ht="12.75" customHeight="1" x14ac:dyDescent="0.25">
      <c r="A588" s="72" t="s">
        <v>23</v>
      </c>
      <c r="B588" s="43" t="s">
        <v>159</v>
      </c>
      <c r="C588" s="44" t="s">
        <v>738</v>
      </c>
      <c r="D588" s="45">
        <f>MROUND(MID($C588,6,3)/Basis!$E$3,0.5)</f>
        <v>27.5</v>
      </c>
      <c r="E588" s="45">
        <f>MROUND(MID($C588,9,3)/Basis!$E$3,0.5)</f>
        <v>102.5</v>
      </c>
      <c r="F588" s="124" t="s">
        <v>2944</v>
      </c>
      <c r="G588" s="45">
        <f>ROUND((ROUNDDOWN($F588/5,0)*5+1.8)/Basis!$E$3,1)</f>
        <v>6.6</v>
      </c>
      <c r="H588" s="120">
        <f>ROUND($P588*Basis!$E$2*((TaH-TrH)/LN(1/µ)/Basis!$E$7)^$N588*$AA$4*Glycol,0)</f>
        <v>11204</v>
      </c>
      <c r="I588" s="83">
        <f>ROUND(H588/(MID($C588,9,3)/Basis!$E$3/Basis!$E$9)*Basis!$E$11,0)</f>
        <v>1313</v>
      </c>
      <c r="J588" s="123">
        <f>IF(Basis!$E$1=1,ROUND(H588/((TaH-TrH)*1.163)/3600,3),ROUND(H588/(500*(TaH-TrH)),2))</f>
        <v>1.1200000000000001</v>
      </c>
      <c r="K588" s="84"/>
      <c r="L588" s="177">
        <f>CHOOSE(Basis!$E$1,((AJ588*(J588*3600/Basis!$E$5)^AK588*(((MID(C588,9,3)*10)-144)/1000)*AL588+AM588*(J588*3600/Basis!$E$5)^2)*0.0098)/Basis!$E$10,((AJ588*(J588/Basis!$E$5)^AK588*(((MID(C588,9,3)*10)-144)/1000)*AL588+AM588*(J588/Basis!$E$5)^2)*0.0098)/Basis!$E$10)</f>
        <v>0.14465029308078728</v>
      </c>
      <c r="M588" s="85"/>
      <c r="N588" s="110">
        <v>1.35</v>
      </c>
      <c r="O588" s="74"/>
      <c r="P588" s="73">
        <v>5127</v>
      </c>
      <c r="Q588" s="74"/>
      <c r="R588" s="75"/>
      <c r="S588" s="75"/>
      <c r="T588" s="75"/>
      <c r="U588" s="75"/>
      <c r="V588" s="75"/>
      <c r="W588" s="74"/>
      <c r="X588" s="76"/>
      <c r="Y588" s="76"/>
      <c r="Z588" s="76"/>
      <c r="AA588" s="76"/>
      <c r="AB588" s="76"/>
      <c r="AC588" s="74"/>
      <c r="AD588" s="77"/>
      <c r="AE588" s="77"/>
      <c r="AF588" s="77"/>
      <c r="AG588" s="77"/>
      <c r="AH588" s="77"/>
      <c r="AI588" s="68"/>
      <c r="AJ588" s="213">
        <v>2.0829999999999999E-4</v>
      </c>
      <c r="AK588" s="213">
        <v>1.724</v>
      </c>
      <c r="AL588" s="213">
        <v>2</v>
      </c>
      <c r="AM588" s="213">
        <v>4.6182900000000003E-4</v>
      </c>
      <c r="AN588" s="74"/>
      <c r="AO588" s="73"/>
      <c r="AP588" s="73"/>
      <c r="AQ588" s="73"/>
      <c r="AR588" s="73"/>
      <c r="AS588" s="73"/>
      <c r="AT588" s="74"/>
      <c r="AU588" s="47"/>
      <c r="AV588" s="48"/>
    </row>
    <row r="589" spans="1:48" ht="12.75" customHeight="1" x14ac:dyDescent="0.25">
      <c r="A589" s="72" t="s">
        <v>23</v>
      </c>
      <c r="B589" s="43" t="s">
        <v>159</v>
      </c>
      <c r="C589" s="44" t="s">
        <v>739</v>
      </c>
      <c r="D589" s="45">
        <f>MROUND(MID($C589,6,3)/Basis!$E$3,0.5)</f>
        <v>27.5</v>
      </c>
      <c r="E589" s="45">
        <f>MROUND(MID($C589,9,3)/Basis!$E$3,0.5)</f>
        <v>102.5</v>
      </c>
      <c r="F589" s="124" t="s">
        <v>2947</v>
      </c>
      <c r="G589" s="45">
        <f>ROUND((ROUNDDOWN($F589/5,0)*5+1.8)/Basis!$E$3,1)</f>
        <v>6.6</v>
      </c>
      <c r="H589" s="120">
        <f>ROUND($P589*Basis!$E$2*((TaH-TrH)/LN(1/µ)/Basis!$E$7)^$N589*$AA$4*Glycol,0)</f>
        <v>12334</v>
      </c>
      <c r="I589" s="83">
        <f>ROUND(H589/(MID($C589,9,3)/Basis!$E$3/Basis!$E$9)*Basis!$E$11,0)</f>
        <v>1446</v>
      </c>
      <c r="J589" s="123">
        <f>IF(Basis!$E$1=1,ROUND(H589/((TaH-TrH)*1.163)/3600,3),ROUND(H589/(500*(TaH-TrH)),2))</f>
        <v>1.23</v>
      </c>
      <c r="K589" s="84"/>
      <c r="L589" s="177">
        <f>CHOOSE(Basis!$E$1,((AJ589*(J589*3600/Basis!$E$5)^AK589*(((MID(C589,9,3)*10)-144)/1000)*AL589+AM589*(J589*3600/Basis!$E$5)^2)*0.0098)/Basis!$E$10,((AJ589*(J589/Basis!$E$5)^AK589*(((MID(C589,9,3)*10)-144)/1000)*AL589+AM589*(J589/Basis!$E$5)^2)*0.0098)/Basis!$E$10)</f>
        <v>0.46574317448569763</v>
      </c>
      <c r="M589" s="85"/>
      <c r="N589" s="109">
        <v>1.472</v>
      </c>
      <c r="O589" s="68"/>
      <c r="P589" s="67">
        <v>5876</v>
      </c>
      <c r="Q589" s="68"/>
      <c r="R589" s="69"/>
      <c r="S589" s="69"/>
      <c r="T589" s="69"/>
      <c r="U589" s="69"/>
      <c r="V589" s="69"/>
      <c r="W589" s="68"/>
      <c r="X589" s="70"/>
      <c r="Y589" s="70"/>
      <c r="Z589" s="70"/>
      <c r="AA589" s="70"/>
      <c r="AB589" s="70"/>
      <c r="AC589" s="68"/>
      <c r="AD589" s="71"/>
      <c r="AE589" s="71"/>
      <c r="AF589" s="71"/>
      <c r="AG589" s="71"/>
      <c r="AH589" s="71"/>
      <c r="AI589" s="68"/>
      <c r="AJ589" s="214">
        <v>2.0829999999999999E-4</v>
      </c>
      <c r="AK589" s="214">
        <v>1.724</v>
      </c>
      <c r="AL589" s="214">
        <v>4</v>
      </c>
      <c r="AM589" s="214">
        <v>1.392796E-3</v>
      </c>
      <c r="AN589" s="68"/>
      <c r="AO589" s="67"/>
      <c r="AP589" s="67"/>
      <c r="AQ589" s="67"/>
      <c r="AR589" s="67"/>
      <c r="AS589" s="67"/>
      <c r="AT589" s="68"/>
      <c r="AU589" s="49"/>
      <c r="AV589" s="50"/>
    </row>
    <row r="590" spans="1:48" ht="12.75" customHeight="1" x14ac:dyDescent="0.25">
      <c r="A590" s="72" t="s">
        <v>23</v>
      </c>
      <c r="B590" s="43" t="s">
        <v>159</v>
      </c>
      <c r="C590" s="44" t="s">
        <v>740</v>
      </c>
      <c r="D590" s="45">
        <f>MROUND(MID($C590,6,3)/Basis!$E$3,0.5)</f>
        <v>27.5</v>
      </c>
      <c r="E590" s="45">
        <f>MROUND(MID($C590,9,3)/Basis!$E$3,0.5)</f>
        <v>102.5</v>
      </c>
      <c r="F590" s="124" t="s">
        <v>2945</v>
      </c>
      <c r="G590" s="45">
        <f>ROUND((ROUNDDOWN($F590/5,0)*5+1.8)/Basis!$E$3,1)</f>
        <v>8.6</v>
      </c>
      <c r="H590" s="120">
        <f>ROUND($P590*Basis!$E$2*((TaH-TrH)/LN(1/µ)/Basis!$E$7)^$N590*$AA$4*Glycol,0)</f>
        <v>15648</v>
      </c>
      <c r="I590" s="83">
        <f>ROUND(H590/(MID($C590,9,3)/Basis!$E$3/Basis!$E$9)*Basis!$E$11,0)</f>
        <v>1834</v>
      </c>
      <c r="J590" s="123">
        <f>IF(Basis!$E$1=1,ROUND(H590/((TaH-TrH)*1.163)/3600,3),ROUND(H590/(500*(TaH-TrH)),2))</f>
        <v>1.56</v>
      </c>
      <c r="K590" s="84"/>
      <c r="L590" s="177">
        <f>CHOOSE(Basis!$E$1,((AJ590*(J590*3600/Basis!$E$5)^AK590*(((MID(C590,9,3)*10)-144)/1000)*AL590+AM590*(J590*3600/Basis!$E$5)^2)*0.0098)/Basis!$E$10,((AJ590*(J590/Basis!$E$5)^AK590*(((MID(C590,9,3)*10)-144)/1000)*AL590+AM590*(J590/Basis!$E$5)^2)*0.0098)/Basis!$E$10)</f>
        <v>0.20487181274775637</v>
      </c>
      <c r="M590" s="85"/>
      <c r="N590" s="109">
        <v>1.349</v>
      </c>
      <c r="O590" s="68"/>
      <c r="P590" s="67">
        <v>7158</v>
      </c>
      <c r="Q590" s="68"/>
      <c r="R590" s="69"/>
      <c r="S590" s="69"/>
      <c r="T590" s="69"/>
      <c r="U590" s="69"/>
      <c r="V590" s="69"/>
      <c r="W590" s="68"/>
      <c r="X590" s="70"/>
      <c r="Y590" s="70"/>
      <c r="Z590" s="70"/>
      <c r="AA590" s="70"/>
      <c r="AB590" s="70"/>
      <c r="AC590" s="68"/>
      <c r="AD590" s="71"/>
      <c r="AE590" s="71"/>
      <c r="AF590" s="71"/>
      <c r="AG590" s="71"/>
      <c r="AH590" s="71"/>
      <c r="AI590" s="68"/>
      <c r="AJ590" s="214">
        <v>1.2760000000000001E-4</v>
      </c>
      <c r="AK590" s="214">
        <v>1.7219</v>
      </c>
      <c r="AL590" s="214">
        <v>2</v>
      </c>
      <c r="AM590" s="214">
        <v>3.76611E-4</v>
      </c>
      <c r="AN590" s="68"/>
      <c r="AO590" s="67"/>
      <c r="AP590" s="67"/>
      <c r="AQ590" s="67"/>
      <c r="AR590" s="67"/>
      <c r="AS590" s="67"/>
      <c r="AT590" s="68"/>
      <c r="AU590" s="49"/>
      <c r="AV590" s="50"/>
    </row>
    <row r="591" spans="1:48" ht="12.75" customHeight="1" x14ac:dyDescent="0.25">
      <c r="A591" s="72" t="s">
        <v>23</v>
      </c>
      <c r="B591" s="43" t="s">
        <v>159</v>
      </c>
      <c r="C591" s="44" t="s">
        <v>741</v>
      </c>
      <c r="D591" s="45">
        <f>MROUND(MID($C591,6,3)/Basis!$E$3,0.5)</f>
        <v>27.5</v>
      </c>
      <c r="E591" s="45">
        <f>MROUND(MID($C591,9,3)/Basis!$E$3,0.5)</f>
        <v>102.5</v>
      </c>
      <c r="F591" s="124" t="s">
        <v>2948</v>
      </c>
      <c r="G591" s="45">
        <f>ROUND((ROUNDDOWN($F591/5,0)*5+1.8)/Basis!$E$3,1)</f>
        <v>8.6</v>
      </c>
      <c r="H591" s="120">
        <f>ROUND($P591*Basis!$E$2*((TaH-TrH)/LN(1/µ)/Basis!$E$7)^$N591*$AA$4*Glycol,0)</f>
        <v>17173</v>
      </c>
      <c r="I591" s="83">
        <f>ROUND(H591/(MID($C591,9,3)/Basis!$E$3/Basis!$E$9)*Basis!$E$11,0)</f>
        <v>2013</v>
      </c>
      <c r="J591" s="123">
        <f>IF(Basis!$E$1=1,ROUND(H591/((TaH-TrH)*1.163)/3600,3),ROUND(H591/(500*(TaH-TrH)),2))</f>
        <v>1.72</v>
      </c>
      <c r="K591" s="84"/>
      <c r="L591" s="177">
        <f>CHOOSE(Basis!$E$1,((AJ591*(J591*3600/Basis!$E$5)^AK591*(((MID(C591,9,3)*10)-144)/1000)*AL591+AM591*(J591*3600/Basis!$E$5)^2)*0.0098)/Basis!$E$10,((AJ591*(J591/Basis!$E$5)^AK591*(((MID(C591,9,3)*10)-144)/1000)*AL591+AM591*(J591/Basis!$E$5)^2)*0.0098)/Basis!$E$10)</f>
        <v>0.37555908937510768</v>
      </c>
      <c r="M591" s="85"/>
      <c r="N591" s="110">
        <v>1.5009999999999999</v>
      </c>
      <c r="O591" s="74"/>
      <c r="P591" s="73">
        <v>8260</v>
      </c>
      <c r="Q591" s="74"/>
      <c r="R591" s="75"/>
      <c r="S591" s="75"/>
      <c r="T591" s="75"/>
      <c r="U591" s="75"/>
      <c r="V591" s="75"/>
      <c r="W591" s="74"/>
      <c r="X591" s="76"/>
      <c r="Y591" s="76"/>
      <c r="Z591" s="76"/>
      <c r="AA591" s="76"/>
      <c r="AB591" s="76"/>
      <c r="AC591" s="74"/>
      <c r="AD591" s="77"/>
      <c r="AE591" s="77"/>
      <c r="AF591" s="77"/>
      <c r="AG591" s="77"/>
      <c r="AH591" s="77"/>
      <c r="AI591" s="68"/>
      <c r="AJ591" s="213">
        <v>1.2760000000000001E-4</v>
      </c>
      <c r="AK591" s="213">
        <v>1.7219</v>
      </c>
      <c r="AL591" s="213">
        <v>4</v>
      </c>
      <c r="AM591" s="213">
        <v>5.1420100000000005E-4</v>
      </c>
      <c r="AN591" s="74"/>
      <c r="AO591" s="73"/>
      <c r="AP591" s="73"/>
      <c r="AQ591" s="73"/>
      <c r="AR591" s="73"/>
      <c r="AS591" s="73"/>
      <c r="AT591" s="74"/>
      <c r="AU591" s="47"/>
      <c r="AV591" s="48"/>
    </row>
    <row r="592" spans="1:48" ht="12.75" customHeight="1" x14ac:dyDescent="0.25">
      <c r="A592" s="72" t="s">
        <v>23</v>
      </c>
      <c r="B592" s="43" t="s">
        <v>159</v>
      </c>
      <c r="C592" s="44" t="s">
        <v>742</v>
      </c>
      <c r="D592" s="45">
        <f>MROUND(MID($C592,6,3)/Basis!$E$3,0.5)</f>
        <v>27.5</v>
      </c>
      <c r="E592" s="45">
        <f>MROUND(MID($C592,9,3)/Basis!$E$3,0.5)</f>
        <v>110</v>
      </c>
      <c r="F592" s="124" t="s">
        <v>2943</v>
      </c>
      <c r="G592" s="45">
        <f>ROUND((ROUNDDOWN($F592/5,0)*5+1.8)/Basis!$E$3,1)</f>
        <v>4.5999999999999996</v>
      </c>
      <c r="H592" s="120">
        <f>ROUND($P592*Basis!$E$2*((TaH-TrH)/LN(1/µ)/Basis!$E$7)^$N592*$AA$4*Glycol,0)</f>
        <v>7595</v>
      </c>
      <c r="I592" s="83">
        <f>ROUND(H592/(MID($C592,9,3)/Basis!$E$3/Basis!$E$9)*Basis!$E$11,0)</f>
        <v>827</v>
      </c>
      <c r="J592" s="123">
        <f>IF(Basis!$E$1=1,ROUND(H592/((TaH-TrH)*1.163)/3600,3),ROUND(H592/(500*(TaH-TrH)),2))</f>
        <v>0.76</v>
      </c>
      <c r="K592" s="84"/>
      <c r="L592" s="177">
        <f>CHOOSE(Basis!$E$1,((AJ592*(J592*3600/Basis!$E$5)^AK592*(((MID(C592,9,3)*10)-144)/1000)*AL592+AM592*(J592*3600/Basis!$E$5)^2)*0.0098)/Basis!$E$10,((AJ592*(J592/Basis!$E$5)^AK592*(((MID(C592,9,3)*10)-144)/1000)*AL592+AM592*(J592/Basis!$E$5)^2)*0.0098)/Basis!$E$10)</f>
        <v>8.8134802653139041E-2</v>
      </c>
      <c r="M592" s="85"/>
      <c r="N592" s="110">
        <v>1.3660000000000001</v>
      </c>
      <c r="O592" s="74"/>
      <c r="P592" s="73">
        <v>3494</v>
      </c>
      <c r="Q592" s="74"/>
      <c r="R592" s="75"/>
      <c r="S592" s="75"/>
      <c r="T592" s="75"/>
      <c r="U592" s="75"/>
      <c r="V592" s="75"/>
      <c r="W592" s="74"/>
      <c r="X592" s="76"/>
      <c r="Y592" s="76"/>
      <c r="Z592" s="76"/>
      <c r="AA592" s="76"/>
      <c r="AB592" s="76"/>
      <c r="AC592" s="74"/>
      <c r="AD592" s="77"/>
      <c r="AE592" s="77"/>
      <c r="AF592" s="77"/>
      <c r="AG592" s="77"/>
      <c r="AH592" s="77"/>
      <c r="AI592" s="68"/>
      <c r="AJ592" s="213">
        <v>3.9689999999999994E-4</v>
      </c>
      <c r="AK592" s="213">
        <v>1.7345999999999999</v>
      </c>
      <c r="AL592" s="213">
        <v>2</v>
      </c>
      <c r="AM592" s="213">
        <v>3.6734700000000002E-4</v>
      </c>
      <c r="AN592" s="74"/>
      <c r="AO592" s="73"/>
      <c r="AP592" s="73"/>
      <c r="AQ592" s="73"/>
      <c r="AR592" s="73"/>
      <c r="AS592" s="73"/>
      <c r="AT592" s="74"/>
      <c r="AU592" s="47"/>
      <c r="AV592" s="48"/>
    </row>
    <row r="593" spans="1:48" ht="12.75" customHeight="1" x14ac:dyDescent="0.25">
      <c r="A593" s="72" t="s">
        <v>23</v>
      </c>
      <c r="B593" s="43" t="s">
        <v>159</v>
      </c>
      <c r="C593" s="44" t="s">
        <v>743</v>
      </c>
      <c r="D593" s="45">
        <f>MROUND(MID($C593,6,3)/Basis!$E$3,0.5)</f>
        <v>27.5</v>
      </c>
      <c r="E593" s="45">
        <f>MROUND(MID($C593,9,3)/Basis!$E$3,0.5)</f>
        <v>110</v>
      </c>
      <c r="F593" s="124" t="s">
        <v>2946</v>
      </c>
      <c r="G593" s="45">
        <f>ROUND((ROUNDDOWN($F593/5,0)*5+1.8)/Basis!$E$3,1)</f>
        <v>4.5999999999999996</v>
      </c>
      <c r="H593" s="120">
        <f>ROUND($P593*Basis!$E$2*((TaH-TrH)/LN(1/µ)/Basis!$E$7)^$N593*$AA$4*Glycol,0)</f>
        <v>9457</v>
      </c>
      <c r="I593" s="83">
        <f>ROUND(H593/(MID($C593,9,3)/Basis!$E$3/Basis!$E$9)*Basis!$E$11,0)</f>
        <v>1029</v>
      </c>
      <c r="J593" s="123">
        <f>IF(Basis!$E$1=1,ROUND(H593/((TaH-TrH)*1.163)/3600,3),ROUND(H593/(500*(TaH-TrH)),2))</f>
        <v>0.95</v>
      </c>
      <c r="K593" s="84"/>
      <c r="L593" s="177">
        <f>CHOOSE(Basis!$E$1,((AJ593*(J593*3600/Basis!$E$5)^AK593*(((MID(C593,9,3)*10)-144)/1000)*AL593+AM593*(J593*3600/Basis!$E$5)^2)*0.0098)/Basis!$E$10,((AJ593*(J593/Basis!$E$5)^AK593*(((MID(C593,9,3)*10)-144)/1000)*AL593+AM593*(J593/Basis!$E$5)^2)*0.0098)/Basis!$E$10)</f>
        <v>0.24159704388613787</v>
      </c>
      <c r="M593" s="85"/>
      <c r="N593" s="109">
        <v>1.4359999999999999</v>
      </c>
      <c r="O593" s="68"/>
      <c r="P593" s="67">
        <v>4452</v>
      </c>
      <c r="Q593" s="68"/>
      <c r="R593" s="69"/>
      <c r="S593" s="69"/>
      <c r="T593" s="69"/>
      <c r="U593" s="69"/>
      <c r="V593" s="69"/>
      <c r="W593" s="68"/>
      <c r="X593" s="70"/>
      <c r="Y593" s="70"/>
      <c r="Z593" s="70"/>
      <c r="AA593" s="70"/>
      <c r="AB593" s="70"/>
      <c r="AC593" s="68"/>
      <c r="AD593" s="71"/>
      <c r="AE593" s="71"/>
      <c r="AF593" s="71"/>
      <c r="AG593" s="71"/>
      <c r="AH593" s="71"/>
      <c r="AI593" s="68"/>
      <c r="AJ593" s="214">
        <v>3.9689999999999994E-4</v>
      </c>
      <c r="AK593" s="214">
        <v>1.7345999999999999</v>
      </c>
      <c r="AL593" s="214">
        <v>4</v>
      </c>
      <c r="AM593" s="214">
        <v>5.7428799999999995E-4</v>
      </c>
      <c r="AN593" s="68"/>
      <c r="AO593" s="67"/>
      <c r="AP593" s="67"/>
      <c r="AQ593" s="67"/>
      <c r="AR593" s="67"/>
      <c r="AS593" s="67"/>
      <c r="AT593" s="68"/>
      <c r="AU593" s="49"/>
      <c r="AV593" s="50"/>
    </row>
    <row r="594" spans="1:48" ht="12.75" customHeight="1" x14ac:dyDescent="0.25">
      <c r="A594" s="72" t="s">
        <v>23</v>
      </c>
      <c r="B594" s="43" t="s">
        <v>159</v>
      </c>
      <c r="C594" s="44" t="s">
        <v>744</v>
      </c>
      <c r="D594" s="45">
        <f>MROUND(MID($C594,6,3)/Basis!$E$3,0.5)</f>
        <v>27.5</v>
      </c>
      <c r="E594" s="45">
        <f>MROUND(MID($C594,9,3)/Basis!$E$3,0.5)</f>
        <v>110</v>
      </c>
      <c r="F594" s="124" t="s">
        <v>2944</v>
      </c>
      <c r="G594" s="45">
        <f>ROUND((ROUNDDOWN($F594/5,0)*5+1.8)/Basis!$E$3,1)</f>
        <v>6.6</v>
      </c>
      <c r="H594" s="120">
        <f>ROUND($P594*Basis!$E$2*((TaH-TrH)/LN(1/µ)/Basis!$E$7)^$N594*$AA$4*Glycol,0)</f>
        <v>12068</v>
      </c>
      <c r="I594" s="83">
        <f>ROUND(H594/(MID($C594,9,3)/Basis!$E$3/Basis!$E$9)*Basis!$E$11,0)</f>
        <v>1314</v>
      </c>
      <c r="J594" s="123">
        <f>IF(Basis!$E$1=1,ROUND(H594/((TaH-TrH)*1.163)/3600,3),ROUND(H594/(500*(TaH-TrH)),2))</f>
        <v>1.21</v>
      </c>
      <c r="K594" s="84"/>
      <c r="L594" s="177">
        <f>CHOOSE(Basis!$E$1,((AJ594*(J594*3600/Basis!$E$5)^AK594*(((MID(C594,9,3)*10)-144)/1000)*AL594+AM594*(J594*3600/Basis!$E$5)^2)*0.0098)/Basis!$E$10,((AJ594*(J594/Basis!$E$5)^AK594*(((MID(C594,9,3)*10)-144)/1000)*AL594+AM594*(J594/Basis!$E$5)^2)*0.0098)/Basis!$E$10)</f>
        <v>0.17204243010025139</v>
      </c>
      <c r="M594" s="85"/>
      <c r="N594" s="109">
        <v>1.35</v>
      </c>
      <c r="O594" s="68"/>
      <c r="P594" s="67">
        <v>5522</v>
      </c>
      <c r="Q594" s="68"/>
      <c r="R594" s="69"/>
      <c r="S594" s="69"/>
      <c r="T594" s="69"/>
      <c r="U594" s="69"/>
      <c r="V594" s="69"/>
      <c r="W594" s="68"/>
      <c r="X594" s="70"/>
      <c r="Y594" s="70"/>
      <c r="Z594" s="70"/>
      <c r="AA594" s="70"/>
      <c r="AB594" s="70"/>
      <c r="AC594" s="68"/>
      <c r="AD594" s="71"/>
      <c r="AE594" s="71"/>
      <c r="AF594" s="71"/>
      <c r="AG594" s="71"/>
      <c r="AH594" s="71"/>
      <c r="AI594" s="68"/>
      <c r="AJ594" s="214">
        <v>2.0829999999999999E-4</v>
      </c>
      <c r="AK594" s="214">
        <v>1.724</v>
      </c>
      <c r="AL594" s="214">
        <v>2</v>
      </c>
      <c r="AM594" s="214">
        <v>4.6182900000000003E-4</v>
      </c>
      <c r="AN594" s="68"/>
      <c r="AO594" s="67"/>
      <c r="AP594" s="67"/>
      <c r="AQ594" s="67"/>
      <c r="AR594" s="67"/>
      <c r="AS594" s="67"/>
      <c r="AT594" s="68"/>
      <c r="AU594" s="49"/>
      <c r="AV594" s="50"/>
    </row>
    <row r="595" spans="1:48" ht="12.75" customHeight="1" x14ac:dyDescent="0.25">
      <c r="A595" s="72" t="s">
        <v>23</v>
      </c>
      <c r="B595" s="43" t="s">
        <v>159</v>
      </c>
      <c r="C595" s="44" t="s">
        <v>745</v>
      </c>
      <c r="D595" s="45">
        <f>MROUND(MID($C595,6,3)/Basis!$E$3,0.5)</f>
        <v>27.5</v>
      </c>
      <c r="E595" s="45">
        <f>MROUND(MID($C595,9,3)/Basis!$E$3,0.5)</f>
        <v>110</v>
      </c>
      <c r="F595" s="124" t="s">
        <v>2947</v>
      </c>
      <c r="G595" s="45">
        <f>ROUND((ROUNDDOWN($F595/5,0)*5+1.8)/Basis!$E$3,1)</f>
        <v>6.6</v>
      </c>
      <c r="H595" s="120">
        <f>ROUND($P595*Basis!$E$2*((TaH-TrH)/LN(1/µ)/Basis!$E$7)^$N595*$AA$4*Glycol,0)</f>
        <v>13283</v>
      </c>
      <c r="I595" s="83">
        <f>ROUND(H595/(MID($C595,9,3)/Basis!$E$3/Basis!$E$9)*Basis!$E$11,0)</f>
        <v>1446</v>
      </c>
      <c r="J595" s="123">
        <f>IF(Basis!$E$1=1,ROUND(H595/((TaH-TrH)*1.163)/3600,3),ROUND(H595/(500*(TaH-TrH)),2))</f>
        <v>1.33</v>
      </c>
      <c r="K595" s="84"/>
      <c r="L595" s="177">
        <f>CHOOSE(Basis!$E$1,((AJ595*(J595*3600/Basis!$E$5)^AK595*(((MID(C595,9,3)*10)-144)/1000)*AL595+AM595*(J595*3600/Basis!$E$5)^2)*0.0098)/Basis!$E$10,((AJ595*(J595/Basis!$E$5)^AK595*(((MID(C595,9,3)*10)-144)/1000)*AL595+AM595*(J595/Basis!$E$5)^2)*0.0098)/Basis!$E$10)</f>
        <v>0.55207958998341222</v>
      </c>
      <c r="M595" s="85"/>
      <c r="N595" s="110">
        <v>1.472</v>
      </c>
      <c r="O595" s="74"/>
      <c r="P595" s="73">
        <v>6328</v>
      </c>
      <c r="Q595" s="74"/>
      <c r="R595" s="75"/>
      <c r="S595" s="75"/>
      <c r="T595" s="75"/>
      <c r="U595" s="75"/>
      <c r="V595" s="75"/>
      <c r="W595" s="74"/>
      <c r="X595" s="76"/>
      <c r="Y595" s="76"/>
      <c r="Z595" s="76"/>
      <c r="AA595" s="76"/>
      <c r="AB595" s="76"/>
      <c r="AC595" s="74"/>
      <c r="AD595" s="77"/>
      <c r="AE595" s="77"/>
      <c r="AF595" s="77"/>
      <c r="AG595" s="77"/>
      <c r="AH595" s="77"/>
      <c r="AI595" s="68"/>
      <c r="AJ595" s="213">
        <v>2.0829999999999999E-4</v>
      </c>
      <c r="AK595" s="213">
        <v>1.724</v>
      </c>
      <c r="AL595" s="213">
        <v>4</v>
      </c>
      <c r="AM595" s="213">
        <v>1.392796E-3</v>
      </c>
      <c r="AN595" s="74"/>
      <c r="AO595" s="73"/>
      <c r="AP595" s="73"/>
      <c r="AQ595" s="73"/>
      <c r="AR595" s="73"/>
      <c r="AS595" s="73"/>
      <c r="AT595" s="74"/>
      <c r="AU595" s="47"/>
      <c r="AV595" s="48"/>
    </row>
    <row r="596" spans="1:48" ht="12.75" customHeight="1" x14ac:dyDescent="0.25">
      <c r="A596" s="72" t="s">
        <v>23</v>
      </c>
      <c r="B596" s="43" t="s">
        <v>159</v>
      </c>
      <c r="C596" s="44" t="s">
        <v>746</v>
      </c>
      <c r="D596" s="45">
        <f>MROUND(MID($C596,6,3)/Basis!$E$3,0.5)</f>
        <v>27.5</v>
      </c>
      <c r="E596" s="45">
        <f>MROUND(MID($C596,9,3)/Basis!$E$3,0.5)</f>
        <v>110</v>
      </c>
      <c r="F596" s="124" t="s">
        <v>2945</v>
      </c>
      <c r="G596" s="45">
        <f>ROUND((ROUNDDOWN($F596/5,0)*5+1.8)/Basis!$E$3,1)</f>
        <v>8.6</v>
      </c>
      <c r="H596" s="120">
        <f>ROUND($P596*Basis!$E$2*((TaH-TrH)/LN(1/µ)/Basis!$E$7)^$N596*$AA$4*Glycol,0)</f>
        <v>16850</v>
      </c>
      <c r="I596" s="83">
        <f>ROUND(H596/(MID($C596,9,3)/Basis!$E$3/Basis!$E$9)*Basis!$E$11,0)</f>
        <v>1834</v>
      </c>
      <c r="J596" s="123">
        <f>IF(Basis!$E$1=1,ROUND(H596/((TaH-TrH)*1.163)/3600,3),ROUND(H596/(500*(TaH-TrH)),2))</f>
        <v>1.69</v>
      </c>
      <c r="K596" s="84"/>
      <c r="L596" s="177">
        <f>CHOOSE(Basis!$E$1,((AJ596*(J596*3600/Basis!$E$5)^AK596*(((MID(C596,9,3)*10)-144)/1000)*AL596+AM596*(J596*3600/Basis!$E$5)^2)*0.0098)/Basis!$E$10,((AJ596*(J596/Basis!$E$5)^AK596*(((MID(C596,9,3)*10)-144)/1000)*AL596+AM596*(J596/Basis!$E$5)^2)*0.0098)/Basis!$E$10)</f>
        <v>0.24384048614296588</v>
      </c>
      <c r="M596" s="85"/>
      <c r="N596" s="110">
        <v>1.349</v>
      </c>
      <c r="O596" s="74"/>
      <c r="P596" s="73">
        <v>7708</v>
      </c>
      <c r="Q596" s="74"/>
      <c r="R596" s="75"/>
      <c r="S596" s="75"/>
      <c r="T596" s="75"/>
      <c r="U596" s="75"/>
      <c r="V596" s="75"/>
      <c r="W596" s="74"/>
      <c r="X596" s="76"/>
      <c r="Y596" s="76"/>
      <c r="Z596" s="76"/>
      <c r="AA596" s="76"/>
      <c r="AB596" s="76"/>
      <c r="AC596" s="74"/>
      <c r="AD596" s="77"/>
      <c r="AE596" s="77"/>
      <c r="AF596" s="77"/>
      <c r="AG596" s="77"/>
      <c r="AH596" s="77"/>
      <c r="AI596" s="68"/>
      <c r="AJ596" s="213">
        <v>1.2760000000000001E-4</v>
      </c>
      <c r="AK596" s="213">
        <v>1.7219</v>
      </c>
      <c r="AL596" s="213">
        <v>2</v>
      </c>
      <c r="AM596" s="213">
        <v>3.76611E-4</v>
      </c>
      <c r="AN596" s="74"/>
      <c r="AO596" s="73"/>
      <c r="AP596" s="73"/>
      <c r="AQ596" s="73"/>
      <c r="AR596" s="73"/>
      <c r="AS596" s="73"/>
      <c r="AT596" s="74"/>
      <c r="AU596" s="47"/>
      <c r="AV596" s="48"/>
    </row>
    <row r="597" spans="1:48" ht="12.75" customHeight="1" x14ac:dyDescent="0.25">
      <c r="A597" s="72" t="s">
        <v>23</v>
      </c>
      <c r="B597" s="43" t="s">
        <v>159</v>
      </c>
      <c r="C597" s="44" t="s">
        <v>747</v>
      </c>
      <c r="D597" s="45">
        <f>MROUND(MID($C597,6,3)/Basis!$E$3,0.5)</f>
        <v>27.5</v>
      </c>
      <c r="E597" s="45">
        <f>MROUND(MID($C597,9,3)/Basis!$E$3,0.5)</f>
        <v>110</v>
      </c>
      <c r="F597" s="124" t="s">
        <v>2948</v>
      </c>
      <c r="G597" s="45">
        <f>ROUND((ROUNDDOWN($F597/5,0)*5+1.8)/Basis!$E$3,1)</f>
        <v>8.6</v>
      </c>
      <c r="H597" s="120">
        <f>ROUND($P597*Basis!$E$2*((TaH-TrH)/LN(1/µ)/Basis!$E$7)^$N597*$AA$4*Glycol,0)</f>
        <v>18496</v>
      </c>
      <c r="I597" s="83">
        <f>ROUND(H597/(MID($C597,9,3)/Basis!$E$3/Basis!$E$9)*Basis!$E$11,0)</f>
        <v>2013</v>
      </c>
      <c r="J597" s="123">
        <f>IF(Basis!$E$1=1,ROUND(H597/((TaH-TrH)*1.163)/3600,3),ROUND(H597/(500*(TaH-TrH)),2))</f>
        <v>1.85</v>
      </c>
      <c r="K597" s="84"/>
      <c r="L597" s="177">
        <f>CHOOSE(Basis!$E$1,((AJ597*(J597*3600/Basis!$E$5)^AK597*(((MID(C597,9,3)*10)-144)/1000)*AL597+AM597*(J597*3600/Basis!$E$5)^2)*0.0098)/Basis!$E$10,((AJ597*(J597/Basis!$E$5)^AK597*(((MID(C597,9,3)*10)-144)/1000)*AL597+AM597*(J597/Basis!$E$5)^2)*0.0098)/Basis!$E$10)</f>
        <v>0.44269782579959371</v>
      </c>
      <c r="M597" s="85"/>
      <c r="N597" s="109">
        <v>1.5009999999999999</v>
      </c>
      <c r="O597" s="68"/>
      <c r="P597" s="67">
        <v>8896</v>
      </c>
      <c r="Q597" s="68"/>
      <c r="R597" s="69"/>
      <c r="S597" s="69"/>
      <c r="T597" s="69"/>
      <c r="U597" s="69"/>
      <c r="V597" s="69"/>
      <c r="W597" s="68"/>
      <c r="X597" s="70"/>
      <c r="Y597" s="70"/>
      <c r="Z597" s="70"/>
      <c r="AA597" s="70"/>
      <c r="AB597" s="70"/>
      <c r="AC597" s="68"/>
      <c r="AD597" s="71"/>
      <c r="AE597" s="71"/>
      <c r="AF597" s="71"/>
      <c r="AG597" s="71"/>
      <c r="AH597" s="71"/>
      <c r="AI597" s="68"/>
      <c r="AJ597" s="214">
        <v>1.2760000000000001E-4</v>
      </c>
      <c r="AK597" s="214">
        <v>1.7219</v>
      </c>
      <c r="AL597" s="214">
        <v>4</v>
      </c>
      <c r="AM597" s="214">
        <v>5.1420100000000005E-4</v>
      </c>
      <c r="AN597" s="68"/>
      <c r="AO597" s="67"/>
      <c r="AP597" s="67"/>
      <c r="AQ597" s="67"/>
      <c r="AR597" s="67"/>
      <c r="AS597" s="67"/>
      <c r="AT597" s="68"/>
      <c r="AU597" s="49"/>
      <c r="AV597" s="50"/>
    </row>
    <row r="598" spans="1:48" ht="12.75" customHeight="1" x14ac:dyDescent="0.25">
      <c r="A598" s="72" t="s">
        <v>23</v>
      </c>
      <c r="B598" s="43" t="s">
        <v>159</v>
      </c>
      <c r="C598" s="44" t="s">
        <v>748</v>
      </c>
      <c r="D598" s="45">
        <f>MROUND(MID($C598,6,3)/Basis!$E$3,0.5)</f>
        <v>27.5</v>
      </c>
      <c r="E598" s="45">
        <f>MROUND(MID($C598,9,3)/Basis!$E$3,0.5)</f>
        <v>118</v>
      </c>
      <c r="F598" s="124" t="s">
        <v>2943</v>
      </c>
      <c r="G598" s="45">
        <f>ROUND((ROUNDDOWN($F598/5,0)*5+1.8)/Basis!$E$3,1)</f>
        <v>4.5999999999999996</v>
      </c>
      <c r="H598" s="120">
        <f>ROUND($P598*Basis!$E$2*((TaH-TrH)/LN(1/µ)/Basis!$E$7)^$N598*$AA$4*Glycol,0)</f>
        <v>8139</v>
      </c>
      <c r="I598" s="83">
        <f>ROUND(H598/(MID($C598,9,3)/Basis!$E$3/Basis!$E$9)*Basis!$E$11,0)</f>
        <v>827</v>
      </c>
      <c r="J598" s="123">
        <f>IF(Basis!$E$1=1,ROUND(H598/((TaH-TrH)*1.163)/3600,3),ROUND(H598/(500*(TaH-TrH)),2))</f>
        <v>0.81</v>
      </c>
      <c r="K598" s="84"/>
      <c r="L598" s="177">
        <f>CHOOSE(Basis!$E$1,((AJ598*(J598*3600/Basis!$E$5)^AK598*(((MID(C598,9,3)*10)-144)/1000)*AL598+AM598*(J598*3600/Basis!$E$5)^2)*0.0098)/Basis!$E$10,((AJ598*(J598/Basis!$E$5)^AK598*(((MID(C598,9,3)*10)-144)/1000)*AL598+AM598*(J598/Basis!$E$5)^2)*0.0098)/Basis!$E$10)</f>
        <v>0.10351830509052508</v>
      </c>
      <c r="M598" s="85"/>
      <c r="N598" s="109">
        <v>1.3660000000000001</v>
      </c>
      <c r="O598" s="68"/>
      <c r="P598" s="67">
        <v>3744</v>
      </c>
      <c r="Q598" s="68"/>
      <c r="R598" s="69"/>
      <c r="S598" s="69"/>
      <c r="T598" s="69"/>
      <c r="U598" s="69"/>
      <c r="V598" s="69"/>
      <c r="W598" s="68"/>
      <c r="X598" s="70"/>
      <c r="Y598" s="70"/>
      <c r="Z598" s="70"/>
      <c r="AA598" s="70"/>
      <c r="AB598" s="70"/>
      <c r="AC598" s="68"/>
      <c r="AD598" s="71"/>
      <c r="AE598" s="71"/>
      <c r="AF598" s="71"/>
      <c r="AG598" s="71"/>
      <c r="AH598" s="71"/>
      <c r="AI598" s="68"/>
      <c r="AJ598" s="214">
        <v>3.9689999999999994E-4</v>
      </c>
      <c r="AK598" s="214">
        <v>1.7345999999999999</v>
      </c>
      <c r="AL598" s="214">
        <v>2</v>
      </c>
      <c r="AM598" s="214">
        <v>3.6734700000000002E-4</v>
      </c>
      <c r="AN598" s="68"/>
      <c r="AO598" s="67"/>
      <c r="AP598" s="67"/>
      <c r="AQ598" s="67"/>
      <c r="AR598" s="67"/>
      <c r="AS598" s="67"/>
      <c r="AT598" s="68"/>
      <c r="AU598" s="49"/>
      <c r="AV598" s="50"/>
    </row>
    <row r="599" spans="1:48" ht="12.75" customHeight="1" x14ac:dyDescent="0.25">
      <c r="A599" s="72" t="s">
        <v>23</v>
      </c>
      <c r="B599" s="43" t="s">
        <v>159</v>
      </c>
      <c r="C599" s="44" t="s">
        <v>749</v>
      </c>
      <c r="D599" s="45">
        <f>MROUND(MID($C599,6,3)/Basis!$E$3,0.5)</f>
        <v>27.5</v>
      </c>
      <c r="E599" s="45">
        <f>MROUND(MID($C599,9,3)/Basis!$E$3,0.5)</f>
        <v>118</v>
      </c>
      <c r="F599" s="124" t="s">
        <v>2946</v>
      </c>
      <c r="G599" s="45">
        <f>ROUND((ROUNDDOWN($F599/5,0)*5+1.8)/Basis!$E$3,1)</f>
        <v>4.5999999999999996</v>
      </c>
      <c r="H599" s="120">
        <f>ROUND($P599*Basis!$E$2*((TaH-TrH)/LN(1/µ)/Basis!$E$7)^$N599*$AA$4*Glycol,0)</f>
        <v>10132</v>
      </c>
      <c r="I599" s="83">
        <f>ROUND(H599/(MID($C599,9,3)/Basis!$E$3/Basis!$E$9)*Basis!$E$11,0)</f>
        <v>1029</v>
      </c>
      <c r="J599" s="123">
        <f>IF(Basis!$E$1=1,ROUND(H599/((TaH-TrH)*1.163)/3600,3),ROUND(H599/(500*(TaH-TrH)),2))</f>
        <v>1.01</v>
      </c>
      <c r="K599" s="84"/>
      <c r="L599" s="177">
        <f>CHOOSE(Basis!$E$1,((AJ599*(J599*3600/Basis!$E$5)^AK599*(((MID(C599,9,3)*10)-144)/1000)*AL599+AM599*(J599*3600/Basis!$E$5)^2)*0.0098)/Basis!$E$10,((AJ599*(J599/Basis!$E$5)^AK599*(((MID(C599,9,3)*10)-144)/1000)*AL599+AM599*(J599/Basis!$E$5)^2)*0.0098)/Basis!$E$10)</f>
        <v>0.2831795195389713</v>
      </c>
      <c r="M599" s="85"/>
      <c r="N599" s="110">
        <v>1.4359999999999999</v>
      </c>
      <c r="O599" s="74"/>
      <c r="P599" s="73">
        <v>4770</v>
      </c>
      <c r="Q599" s="74"/>
      <c r="R599" s="75"/>
      <c r="S599" s="75"/>
      <c r="T599" s="75"/>
      <c r="U599" s="75"/>
      <c r="V599" s="75"/>
      <c r="W599" s="74"/>
      <c r="X599" s="76"/>
      <c r="Y599" s="76"/>
      <c r="Z599" s="76"/>
      <c r="AA599" s="76"/>
      <c r="AB599" s="76"/>
      <c r="AC599" s="74"/>
      <c r="AD599" s="77"/>
      <c r="AE599" s="77"/>
      <c r="AF599" s="77"/>
      <c r="AG599" s="77"/>
      <c r="AH599" s="77"/>
      <c r="AI599" s="68"/>
      <c r="AJ599" s="213">
        <v>3.9689999999999994E-4</v>
      </c>
      <c r="AK599" s="213">
        <v>1.7345999999999999</v>
      </c>
      <c r="AL599" s="213">
        <v>4</v>
      </c>
      <c r="AM599" s="213">
        <v>5.7428799999999995E-4</v>
      </c>
      <c r="AN599" s="74"/>
      <c r="AO599" s="73"/>
      <c r="AP599" s="73"/>
      <c r="AQ599" s="73"/>
      <c r="AR599" s="73"/>
      <c r="AS599" s="73"/>
      <c r="AT599" s="74"/>
      <c r="AU599" s="47"/>
      <c r="AV599" s="48"/>
    </row>
    <row r="600" spans="1:48" ht="12.75" customHeight="1" x14ac:dyDescent="0.25">
      <c r="A600" s="72" t="s">
        <v>23</v>
      </c>
      <c r="B600" s="43" t="s">
        <v>159</v>
      </c>
      <c r="C600" s="44" t="s">
        <v>750</v>
      </c>
      <c r="D600" s="45">
        <f>MROUND(MID($C600,6,3)/Basis!$E$3,0.5)</f>
        <v>27.5</v>
      </c>
      <c r="E600" s="45">
        <f>MROUND(MID($C600,9,3)/Basis!$E$3,0.5)</f>
        <v>118</v>
      </c>
      <c r="F600" s="124" t="s">
        <v>2944</v>
      </c>
      <c r="G600" s="45">
        <f>ROUND((ROUNDDOWN($F600/5,0)*5+1.8)/Basis!$E$3,1)</f>
        <v>6.6</v>
      </c>
      <c r="H600" s="120">
        <f>ROUND($P600*Basis!$E$2*((TaH-TrH)/LN(1/µ)/Basis!$E$7)^$N600*$AA$4*Glycol,0)</f>
        <v>12929</v>
      </c>
      <c r="I600" s="83">
        <f>ROUND(H600/(MID($C600,9,3)/Basis!$E$3/Basis!$E$9)*Basis!$E$11,0)</f>
        <v>1314</v>
      </c>
      <c r="J600" s="123">
        <f>IF(Basis!$E$1=1,ROUND(H600/((TaH-TrH)*1.163)/3600,3),ROUND(H600/(500*(TaH-TrH)),2))</f>
        <v>1.29</v>
      </c>
      <c r="K600" s="84"/>
      <c r="L600" s="177">
        <f>CHOOSE(Basis!$E$1,((AJ600*(J600*3600/Basis!$E$5)^AK600*(((MID(C600,9,3)*10)-144)/1000)*AL600+AM600*(J600*3600/Basis!$E$5)^2)*0.0098)/Basis!$E$10,((AJ600*(J600/Basis!$E$5)^AK600*(((MID(C600,9,3)*10)-144)/1000)*AL600+AM600*(J600/Basis!$E$5)^2)*0.0098)/Basis!$E$10)</f>
        <v>0.19926599746944165</v>
      </c>
      <c r="M600" s="85"/>
      <c r="N600" s="110">
        <v>1.35</v>
      </c>
      <c r="O600" s="74"/>
      <c r="P600" s="73">
        <v>5916</v>
      </c>
      <c r="Q600" s="74"/>
      <c r="R600" s="75"/>
      <c r="S600" s="75"/>
      <c r="T600" s="75"/>
      <c r="U600" s="75"/>
      <c r="V600" s="75"/>
      <c r="W600" s="74"/>
      <c r="X600" s="76"/>
      <c r="Y600" s="76"/>
      <c r="Z600" s="76"/>
      <c r="AA600" s="76"/>
      <c r="AB600" s="76"/>
      <c r="AC600" s="74"/>
      <c r="AD600" s="77"/>
      <c r="AE600" s="77"/>
      <c r="AF600" s="77"/>
      <c r="AG600" s="77"/>
      <c r="AH600" s="77"/>
      <c r="AI600" s="68"/>
      <c r="AJ600" s="213">
        <v>2.0829999999999999E-4</v>
      </c>
      <c r="AK600" s="213">
        <v>1.724</v>
      </c>
      <c r="AL600" s="213">
        <v>2</v>
      </c>
      <c r="AM600" s="213">
        <v>4.6182900000000003E-4</v>
      </c>
      <c r="AN600" s="74"/>
      <c r="AO600" s="73"/>
      <c r="AP600" s="73"/>
      <c r="AQ600" s="73"/>
      <c r="AR600" s="73"/>
      <c r="AS600" s="73"/>
      <c r="AT600" s="74"/>
      <c r="AU600" s="47"/>
      <c r="AV600" s="48"/>
    </row>
    <row r="601" spans="1:48" ht="12.75" customHeight="1" x14ac:dyDescent="0.25">
      <c r="A601" s="72" t="s">
        <v>23</v>
      </c>
      <c r="B601" s="43" t="s">
        <v>159</v>
      </c>
      <c r="C601" s="44" t="s">
        <v>751</v>
      </c>
      <c r="D601" s="45">
        <f>MROUND(MID($C601,6,3)/Basis!$E$3,0.5)</f>
        <v>27.5</v>
      </c>
      <c r="E601" s="45">
        <f>MROUND(MID($C601,9,3)/Basis!$E$3,0.5)</f>
        <v>118</v>
      </c>
      <c r="F601" s="124" t="s">
        <v>2947</v>
      </c>
      <c r="G601" s="45">
        <f>ROUND((ROUNDDOWN($F601/5,0)*5+1.8)/Basis!$E$3,1)</f>
        <v>6.6</v>
      </c>
      <c r="H601" s="120">
        <f>ROUND($P601*Basis!$E$2*((TaH-TrH)/LN(1/µ)/Basis!$E$7)^$N601*$AA$4*Glycol,0)</f>
        <v>14232</v>
      </c>
      <c r="I601" s="83">
        <f>ROUND(H601/(MID($C601,9,3)/Basis!$E$3/Basis!$E$9)*Basis!$E$11,0)</f>
        <v>1446</v>
      </c>
      <c r="J601" s="123">
        <f>IF(Basis!$E$1=1,ROUND(H601/((TaH-TrH)*1.163)/3600,3),ROUND(H601/(500*(TaH-TrH)),2))</f>
        <v>1.42</v>
      </c>
      <c r="K601" s="84"/>
      <c r="L601" s="177">
        <f>CHOOSE(Basis!$E$1,((AJ601*(J601*3600/Basis!$E$5)^AK601*(((MID(C601,9,3)*10)-144)/1000)*AL601+AM601*(J601*3600/Basis!$E$5)^2)*0.0098)/Basis!$E$10,((AJ601*(J601/Basis!$E$5)^AK601*(((MID(C601,9,3)*10)-144)/1000)*AL601+AM601*(J601/Basis!$E$5)^2)*0.0098)/Basis!$E$10)</f>
        <v>0.63804694171241749</v>
      </c>
      <c r="M601" s="85"/>
      <c r="N601" s="109">
        <v>1.472</v>
      </c>
      <c r="O601" s="68"/>
      <c r="P601" s="67">
        <v>6780</v>
      </c>
      <c r="Q601" s="68"/>
      <c r="R601" s="69"/>
      <c r="S601" s="69"/>
      <c r="T601" s="69"/>
      <c r="U601" s="69"/>
      <c r="V601" s="69"/>
      <c r="W601" s="68"/>
      <c r="X601" s="70"/>
      <c r="Y601" s="70"/>
      <c r="Z601" s="70"/>
      <c r="AA601" s="70"/>
      <c r="AB601" s="70"/>
      <c r="AC601" s="68"/>
      <c r="AD601" s="71"/>
      <c r="AE601" s="71"/>
      <c r="AF601" s="71"/>
      <c r="AG601" s="71"/>
      <c r="AH601" s="71"/>
      <c r="AI601" s="68"/>
      <c r="AJ601" s="214">
        <v>2.0829999999999999E-4</v>
      </c>
      <c r="AK601" s="214">
        <v>1.724</v>
      </c>
      <c r="AL601" s="214">
        <v>4</v>
      </c>
      <c r="AM601" s="214">
        <v>1.392796E-3</v>
      </c>
      <c r="AN601" s="68"/>
      <c r="AO601" s="67"/>
      <c r="AP601" s="67"/>
      <c r="AQ601" s="67"/>
      <c r="AR601" s="67"/>
      <c r="AS601" s="67"/>
      <c r="AT601" s="68"/>
      <c r="AU601" s="49"/>
      <c r="AV601" s="50"/>
    </row>
    <row r="602" spans="1:48" ht="12.75" customHeight="1" x14ac:dyDescent="0.25">
      <c r="A602" s="72" t="s">
        <v>23</v>
      </c>
      <c r="B602" s="43" t="s">
        <v>159</v>
      </c>
      <c r="C602" s="44" t="s">
        <v>752</v>
      </c>
      <c r="D602" s="45">
        <f>MROUND(MID($C602,6,3)/Basis!$E$3,0.5)</f>
        <v>27.5</v>
      </c>
      <c r="E602" s="45">
        <f>MROUND(MID($C602,9,3)/Basis!$E$3,0.5)</f>
        <v>118</v>
      </c>
      <c r="F602" s="124" t="s">
        <v>2945</v>
      </c>
      <c r="G602" s="45">
        <f>ROUND((ROUNDDOWN($F602/5,0)*5+1.8)/Basis!$E$3,1)</f>
        <v>8.6</v>
      </c>
      <c r="H602" s="120">
        <f>ROUND($P602*Basis!$E$2*((TaH-TrH)/LN(1/µ)/Basis!$E$7)^$N602*$AA$4*Glycol,0)</f>
        <v>18055</v>
      </c>
      <c r="I602" s="83">
        <f>ROUND(H602/(MID($C602,9,3)/Basis!$E$3/Basis!$E$9)*Basis!$E$11,0)</f>
        <v>1834</v>
      </c>
      <c r="J602" s="123">
        <f>IF(Basis!$E$1=1,ROUND(H602/((TaH-TrH)*1.163)/3600,3),ROUND(H602/(500*(TaH-TrH)),2))</f>
        <v>1.81</v>
      </c>
      <c r="K602" s="84"/>
      <c r="L602" s="177">
        <f>CHOOSE(Basis!$E$1,((AJ602*(J602*3600/Basis!$E$5)^AK602*(((MID(C602,9,3)*10)-144)/1000)*AL602+AM602*(J602*3600/Basis!$E$5)^2)*0.0098)/Basis!$E$10,((AJ602*(J602/Basis!$E$5)^AK602*(((MID(C602,9,3)*10)-144)/1000)*AL602+AM602*(J602/Basis!$E$5)^2)*0.0098)/Basis!$E$10)</f>
        <v>0.28363430516801696</v>
      </c>
      <c r="M602" s="85"/>
      <c r="N602" s="109">
        <v>1.349</v>
      </c>
      <c r="O602" s="68"/>
      <c r="P602" s="67">
        <v>8259</v>
      </c>
      <c r="Q602" s="68"/>
      <c r="R602" s="69"/>
      <c r="S602" s="69"/>
      <c r="T602" s="69"/>
      <c r="U602" s="69"/>
      <c r="V602" s="69"/>
      <c r="W602" s="68"/>
      <c r="X602" s="70"/>
      <c r="Y602" s="70"/>
      <c r="Z602" s="70"/>
      <c r="AA602" s="70"/>
      <c r="AB602" s="70"/>
      <c r="AC602" s="68"/>
      <c r="AD602" s="71"/>
      <c r="AE602" s="71"/>
      <c r="AF602" s="71"/>
      <c r="AG602" s="71"/>
      <c r="AH602" s="71"/>
      <c r="AI602" s="68"/>
      <c r="AJ602" s="214">
        <v>1.2760000000000001E-4</v>
      </c>
      <c r="AK602" s="214">
        <v>1.7219</v>
      </c>
      <c r="AL602" s="214">
        <v>2</v>
      </c>
      <c r="AM602" s="214">
        <v>3.76611E-4</v>
      </c>
      <c r="AN602" s="68"/>
      <c r="AO602" s="67"/>
      <c r="AP602" s="67"/>
      <c r="AQ602" s="67"/>
      <c r="AR602" s="67"/>
      <c r="AS602" s="67"/>
      <c r="AT602" s="68"/>
      <c r="AU602" s="49"/>
      <c r="AV602" s="50"/>
    </row>
    <row r="603" spans="1:48" ht="12.75" customHeight="1" x14ac:dyDescent="0.25">
      <c r="A603" s="72" t="s">
        <v>23</v>
      </c>
      <c r="B603" s="43" t="s">
        <v>159</v>
      </c>
      <c r="C603" s="44" t="s">
        <v>753</v>
      </c>
      <c r="D603" s="45">
        <f>MROUND(MID($C603,6,3)/Basis!$E$3,0.5)</f>
        <v>27.5</v>
      </c>
      <c r="E603" s="45">
        <f>MROUND(MID($C603,9,3)/Basis!$E$3,0.5)</f>
        <v>118</v>
      </c>
      <c r="F603" s="124" t="s">
        <v>2948</v>
      </c>
      <c r="G603" s="45">
        <f>ROUND((ROUNDDOWN($F603/5,0)*5+1.8)/Basis!$E$3,1)</f>
        <v>8.6</v>
      </c>
      <c r="H603" s="120">
        <f>ROUND($P603*Basis!$E$2*((TaH-TrH)/LN(1/µ)/Basis!$E$7)^$N603*$AA$4*Glycol,0)</f>
        <v>19816</v>
      </c>
      <c r="I603" s="83">
        <f>ROUND(H603/(MID($C603,9,3)/Basis!$E$3/Basis!$E$9)*Basis!$E$11,0)</f>
        <v>2013</v>
      </c>
      <c r="J603" s="123">
        <f>IF(Basis!$E$1=1,ROUND(H603/((TaH-TrH)*1.163)/3600,3),ROUND(H603/(500*(TaH-TrH)),2))</f>
        <v>1.98</v>
      </c>
      <c r="K603" s="84"/>
      <c r="L603" s="177">
        <f>CHOOSE(Basis!$E$1,((AJ603*(J603*3600/Basis!$E$5)^AK603*(((MID(C603,9,3)*10)-144)/1000)*AL603+AM603*(J603*3600/Basis!$E$5)^2)*0.0098)/Basis!$E$10,((AJ603*(J603/Basis!$E$5)^AK603*(((MID(C603,9,3)*10)-144)/1000)*AL603+AM603*(J603/Basis!$E$5)^2)*0.0098)/Basis!$E$10)</f>
        <v>0.51632106669784039</v>
      </c>
      <c r="M603" s="85"/>
      <c r="N603" s="110">
        <v>1.5009999999999999</v>
      </c>
      <c r="O603" s="74"/>
      <c r="P603" s="73">
        <v>9531</v>
      </c>
      <c r="Q603" s="74"/>
      <c r="R603" s="75"/>
      <c r="S603" s="75"/>
      <c r="T603" s="75"/>
      <c r="U603" s="75"/>
      <c r="V603" s="75"/>
      <c r="W603" s="74"/>
      <c r="X603" s="76"/>
      <c r="Y603" s="76"/>
      <c r="Z603" s="76"/>
      <c r="AA603" s="76"/>
      <c r="AB603" s="76"/>
      <c r="AC603" s="74"/>
      <c r="AD603" s="77"/>
      <c r="AE603" s="77"/>
      <c r="AF603" s="77"/>
      <c r="AG603" s="77"/>
      <c r="AH603" s="77"/>
      <c r="AI603" s="68"/>
      <c r="AJ603" s="213">
        <v>1.2760000000000001E-4</v>
      </c>
      <c r="AK603" s="213">
        <v>1.7219</v>
      </c>
      <c r="AL603" s="213">
        <v>4</v>
      </c>
      <c r="AM603" s="213">
        <v>5.1420100000000005E-4</v>
      </c>
      <c r="AN603" s="74"/>
      <c r="AO603" s="73"/>
      <c r="AP603" s="73"/>
      <c r="AQ603" s="73"/>
      <c r="AR603" s="73"/>
      <c r="AS603" s="73"/>
      <c r="AT603" s="74"/>
      <c r="AU603" s="47"/>
      <c r="AV603" s="48"/>
    </row>
    <row r="604" spans="1:48" ht="12.75" customHeight="1" x14ac:dyDescent="0.25">
      <c r="A604" s="72" t="s">
        <v>23</v>
      </c>
      <c r="B604" s="43" t="s">
        <v>159</v>
      </c>
      <c r="C604" s="44" t="s">
        <v>754</v>
      </c>
      <c r="D604" s="45">
        <f>MROUND(MID($C604,6,3)/Basis!$E$3,0.5)</f>
        <v>35.5</v>
      </c>
      <c r="E604" s="45">
        <f>MROUND(MID($C604,9,3)/Basis!$E$3,0.5)</f>
        <v>15.5</v>
      </c>
      <c r="F604" s="124" t="s">
        <v>2943</v>
      </c>
      <c r="G604" s="45">
        <f>ROUND((ROUNDDOWN($F604/5,0)*5+1.8)/Basis!$E$3,1)</f>
        <v>4.5999999999999996</v>
      </c>
      <c r="H604" s="120">
        <f>ROUND($P604*Basis!$E$2*((TaH-TrH)/LN(1/µ)/Basis!$E$7)^$N604*$AA$4*Glycol,0)</f>
        <v>1198</v>
      </c>
      <c r="I604" s="83">
        <f>ROUND(H604/(MID($C604,9,3)/Basis!$E$3/Basis!$E$9)*Basis!$E$11,0)</f>
        <v>913</v>
      </c>
      <c r="J604" s="123">
        <f>IF(Basis!$E$1=1,ROUND(H604/((TaH-TrH)*1.163)/3600,3),ROUND(H604/(500*(TaH-TrH)),2))</f>
        <v>0.12</v>
      </c>
      <c r="K604" s="84"/>
      <c r="L604" s="177">
        <f>CHOOSE(Basis!$E$1,((AJ604*(J604*3600/Basis!$E$5)^AK604*(((MID(C604,9,3)*10)-144)/1000)*AL604+AM604*(J604*3600/Basis!$E$5)^2)*0.0098)/Basis!$E$10,((AJ604*(J604/Basis!$E$5)^AK604*(((MID(C604,9,3)*10)-144)/1000)*AL604+AM604*(J604/Basis!$E$5)^2)*0.0098)/Basis!$E$10)</f>
        <v>1.0975296709045716E-3</v>
      </c>
      <c r="M604" s="85"/>
      <c r="N604" s="110">
        <v>1.3480000000000001</v>
      </c>
      <c r="O604" s="74"/>
      <c r="P604" s="73">
        <v>548</v>
      </c>
      <c r="Q604" s="74"/>
      <c r="R604" s="75"/>
      <c r="S604" s="75"/>
      <c r="T604" s="75"/>
      <c r="U604" s="75"/>
      <c r="V604" s="75"/>
      <c r="W604" s="74"/>
      <c r="X604" s="76"/>
      <c r="Y604" s="76"/>
      <c r="Z604" s="76"/>
      <c r="AA604" s="76"/>
      <c r="AB604" s="76"/>
      <c r="AC604" s="74"/>
      <c r="AD604" s="77"/>
      <c r="AE604" s="77"/>
      <c r="AF604" s="77"/>
      <c r="AG604" s="77"/>
      <c r="AH604" s="77"/>
      <c r="AI604" s="68"/>
      <c r="AJ604" s="213">
        <v>3.9689999999999994E-4</v>
      </c>
      <c r="AK604" s="213">
        <v>1.7345999999999999</v>
      </c>
      <c r="AL604" s="213">
        <v>2</v>
      </c>
      <c r="AM604" s="213">
        <v>3.6734700000000002E-4</v>
      </c>
      <c r="AN604" s="74"/>
      <c r="AO604" s="73"/>
      <c r="AP604" s="73"/>
      <c r="AQ604" s="73"/>
      <c r="AR604" s="73"/>
      <c r="AS604" s="73"/>
      <c r="AT604" s="74"/>
      <c r="AU604" s="47"/>
      <c r="AV604" s="48"/>
    </row>
    <row r="605" spans="1:48" ht="12.75" customHeight="1" x14ac:dyDescent="0.25">
      <c r="A605" s="72" t="s">
        <v>23</v>
      </c>
      <c r="B605" s="43" t="s">
        <v>159</v>
      </c>
      <c r="C605" s="44" t="s">
        <v>755</v>
      </c>
      <c r="D605" s="45">
        <f>MROUND(MID($C605,6,3)/Basis!$E$3,0.5)</f>
        <v>35.5</v>
      </c>
      <c r="E605" s="45">
        <f>MROUND(MID($C605,9,3)/Basis!$E$3,0.5)</f>
        <v>15.5</v>
      </c>
      <c r="F605" s="124" t="s">
        <v>2946</v>
      </c>
      <c r="G605" s="45">
        <f>ROUND((ROUNDDOWN($F605/5,0)*5+1.8)/Basis!$E$3,1)</f>
        <v>4.5999999999999996</v>
      </c>
      <c r="H605" s="120">
        <f>ROUND($P605*Basis!$E$2*((TaH-TrH)/LN(1/µ)/Basis!$E$7)^$N605*$AA$4*Glycol,0)</f>
        <v>1494</v>
      </c>
      <c r="I605" s="83">
        <f>ROUND(H605/(MID($C605,9,3)/Basis!$E$3/Basis!$E$9)*Basis!$E$11,0)</f>
        <v>1138</v>
      </c>
      <c r="J605" s="123">
        <f>IF(Basis!$E$1=1,ROUND(H605/((TaH-TrH)*1.163)/3600,3),ROUND(H605/(500*(TaH-TrH)),2))</f>
        <v>0.15</v>
      </c>
      <c r="K605" s="84"/>
      <c r="L605" s="177">
        <f>CHOOSE(Basis!$E$1,((AJ605*(J605*3600/Basis!$E$5)^AK605*(((MID(C605,9,3)*10)-144)/1000)*AL605+AM605*(J605*3600/Basis!$E$5)^2)*0.0098)/Basis!$E$10,((AJ605*(J605/Basis!$E$5)^AK605*(((MID(C605,9,3)*10)-144)/1000)*AL605+AM605*(J605/Basis!$E$5)^2)*0.0098)/Basis!$E$10)</f>
        <v>2.7841357478531402E-3</v>
      </c>
      <c r="M605" s="85"/>
      <c r="N605" s="109">
        <v>1.4339999999999999</v>
      </c>
      <c r="O605" s="68"/>
      <c r="P605" s="67">
        <v>703</v>
      </c>
      <c r="Q605" s="68"/>
      <c r="R605" s="69"/>
      <c r="S605" s="69"/>
      <c r="T605" s="69"/>
      <c r="U605" s="69"/>
      <c r="V605" s="69"/>
      <c r="W605" s="68"/>
      <c r="X605" s="70"/>
      <c r="Y605" s="70"/>
      <c r="Z605" s="70"/>
      <c r="AA605" s="70"/>
      <c r="AB605" s="70"/>
      <c r="AC605" s="68"/>
      <c r="AD605" s="71"/>
      <c r="AE605" s="71"/>
      <c r="AF605" s="71"/>
      <c r="AG605" s="71"/>
      <c r="AH605" s="71"/>
      <c r="AI605" s="68"/>
      <c r="AJ605" s="214">
        <v>3.9689999999999994E-4</v>
      </c>
      <c r="AK605" s="214">
        <v>1.7345999999999999</v>
      </c>
      <c r="AL605" s="214">
        <v>4</v>
      </c>
      <c r="AM605" s="214">
        <v>5.7428799999999995E-4</v>
      </c>
      <c r="AN605" s="68"/>
      <c r="AO605" s="67"/>
      <c r="AP605" s="67"/>
      <c r="AQ605" s="67"/>
      <c r="AR605" s="67"/>
      <c r="AS605" s="67"/>
      <c r="AT605" s="68"/>
      <c r="AU605" s="49"/>
      <c r="AV605" s="50"/>
    </row>
    <row r="606" spans="1:48" ht="12.75" customHeight="1" x14ac:dyDescent="0.25">
      <c r="A606" s="72" t="s">
        <v>23</v>
      </c>
      <c r="B606" s="43" t="s">
        <v>159</v>
      </c>
      <c r="C606" s="44" t="s">
        <v>756</v>
      </c>
      <c r="D606" s="45">
        <f>MROUND(MID($C606,6,3)/Basis!$E$3,0.5)</f>
        <v>35.5</v>
      </c>
      <c r="E606" s="45">
        <f>MROUND(MID($C606,9,3)/Basis!$E$3,0.5)</f>
        <v>15.5</v>
      </c>
      <c r="F606" s="124" t="s">
        <v>2944</v>
      </c>
      <c r="G606" s="45">
        <f>ROUND((ROUNDDOWN($F606/5,0)*5+1.8)/Basis!$E$3,1)</f>
        <v>6.6</v>
      </c>
      <c r="H606" s="120">
        <f>ROUND($P606*Basis!$E$2*((TaH-TrH)/LN(1/µ)/Basis!$E$7)^$N606*$AA$4*Glycol,0)</f>
        <v>1868</v>
      </c>
      <c r="I606" s="83">
        <f>ROUND(H606/(MID($C606,9,3)/Basis!$E$3/Basis!$E$9)*Basis!$E$11,0)</f>
        <v>1423</v>
      </c>
      <c r="J606" s="123">
        <f>IF(Basis!$E$1=1,ROUND(H606/((TaH-TrH)*1.163)/3600,3),ROUND(H606/(500*(TaH-TrH)),2))</f>
        <v>0.19</v>
      </c>
      <c r="K606" s="84"/>
      <c r="L606" s="177">
        <f>CHOOSE(Basis!$E$1,((AJ606*(J606*3600/Basis!$E$5)^AK606*(((MID(C606,9,3)*10)-144)/1000)*AL606+AM606*(J606*3600/Basis!$E$5)^2)*0.0098)/Basis!$E$10,((AJ606*(J606/Basis!$E$5)^AK606*(((MID(C606,9,3)*10)-144)/1000)*AL606+AM606*(J606/Basis!$E$5)^2)*0.0098)/Basis!$E$10)</f>
        <v>3.0418149013595281E-3</v>
      </c>
      <c r="M606" s="85"/>
      <c r="N606" s="110">
        <v>1.3260000000000001</v>
      </c>
      <c r="O606" s="74"/>
      <c r="P606" s="73">
        <v>848</v>
      </c>
      <c r="Q606" s="74"/>
      <c r="R606" s="75"/>
      <c r="S606" s="75"/>
      <c r="T606" s="75"/>
      <c r="U606" s="75"/>
      <c r="V606" s="75"/>
      <c r="W606" s="74"/>
      <c r="X606" s="76"/>
      <c r="Y606" s="76"/>
      <c r="Z606" s="76"/>
      <c r="AA606" s="76"/>
      <c r="AB606" s="76"/>
      <c r="AC606" s="74"/>
      <c r="AD606" s="77"/>
      <c r="AE606" s="77"/>
      <c r="AF606" s="77"/>
      <c r="AG606" s="77"/>
      <c r="AH606" s="77"/>
      <c r="AI606" s="68"/>
      <c r="AJ606" s="213">
        <v>2.0829999999999999E-4</v>
      </c>
      <c r="AK606" s="213">
        <v>1.724</v>
      </c>
      <c r="AL606" s="213">
        <v>2</v>
      </c>
      <c r="AM606" s="213">
        <v>4.6182900000000003E-4</v>
      </c>
      <c r="AN606" s="74"/>
      <c r="AO606" s="73"/>
      <c r="AP606" s="73"/>
      <c r="AQ606" s="73"/>
      <c r="AR606" s="73"/>
      <c r="AS606" s="73"/>
      <c r="AT606" s="74"/>
      <c r="AU606" s="47"/>
      <c r="AV606" s="48"/>
    </row>
    <row r="607" spans="1:48" ht="12.75" customHeight="1" x14ac:dyDescent="0.25">
      <c r="A607" s="72" t="s">
        <v>23</v>
      </c>
      <c r="B607" s="43" t="s">
        <v>159</v>
      </c>
      <c r="C607" s="44" t="s">
        <v>757</v>
      </c>
      <c r="D607" s="45">
        <f>MROUND(MID($C607,6,3)/Basis!$E$3,0.5)</f>
        <v>35.5</v>
      </c>
      <c r="E607" s="45">
        <f>MROUND(MID($C607,9,3)/Basis!$E$3,0.5)</f>
        <v>15.5</v>
      </c>
      <c r="F607" s="124" t="s">
        <v>2947</v>
      </c>
      <c r="G607" s="45">
        <f>ROUND((ROUNDDOWN($F607/5,0)*5+1.8)/Basis!$E$3,1)</f>
        <v>6.6</v>
      </c>
      <c r="H607" s="120">
        <f>ROUND($P607*Basis!$E$2*((TaH-TrH)/LN(1/µ)/Basis!$E$7)^$N607*$AA$4*Glycol,0)</f>
        <v>2173</v>
      </c>
      <c r="I607" s="83">
        <f>ROUND(H607/(MID($C607,9,3)/Basis!$E$3/Basis!$E$9)*Basis!$E$11,0)</f>
        <v>1656</v>
      </c>
      <c r="J607" s="123">
        <f>IF(Basis!$E$1=1,ROUND(H607/((TaH-TrH)*1.163)/3600,3),ROUND(H607/(500*(TaH-TrH)),2))</f>
        <v>0.22</v>
      </c>
      <c r="K607" s="84"/>
      <c r="L607" s="177">
        <f>CHOOSE(Basis!$E$1,((AJ607*(J607*3600/Basis!$E$5)^AK607*(((MID(C607,9,3)*10)-144)/1000)*AL607+AM607*(J607*3600/Basis!$E$5)^2)*0.0098)/Basis!$E$10,((AJ607*(J607/Basis!$E$5)^AK607*(((MID(C607,9,3)*10)-144)/1000)*AL607+AM607*(J607/Basis!$E$5)^2)*0.0098)/Basis!$E$10)</f>
        <v>1.1961885483310864E-2</v>
      </c>
      <c r="M607" s="85"/>
      <c r="N607" s="109">
        <v>1.48</v>
      </c>
      <c r="O607" s="68"/>
      <c r="P607" s="67">
        <v>1038</v>
      </c>
      <c r="Q607" s="68"/>
      <c r="R607" s="69"/>
      <c r="S607" s="69"/>
      <c r="T607" s="69"/>
      <c r="U607" s="69"/>
      <c r="V607" s="69"/>
      <c r="W607" s="68"/>
      <c r="X607" s="70"/>
      <c r="Y607" s="70"/>
      <c r="Z607" s="70"/>
      <c r="AA607" s="70"/>
      <c r="AB607" s="70"/>
      <c r="AC607" s="68"/>
      <c r="AD607" s="71"/>
      <c r="AE607" s="71"/>
      <c r="AF607" s="71"/>
      <c r="AG607" s="71"/>
      <c r="AH607" s="71"/>
      <c r="AI607" s="68"/>
      <c r="AJ607" s="214">
        <v>2.0829999999999999E-4</v>
      </c>
      <c r="AK607" s="214">
        <v>1.724</v>
      </c>
      <c r="AL607" s="214">
        <v>4</v>
      </c>
      <c r="AM607" s="214">
        <v>1.392796E-3</v>
      </c>
      <c r="AN607" s="68"/>
      <c r="AO607" s="67"/>
      <c r="AP607" s="67"/>
      <c r="AQ607" s="67"/>
      <c r="AR607" s="67"/>
      <c r="AS607" s="67"/>
      <c r="AT607" s="68"/>
      <c r="AU607" s="49"/>
      <c r="AV607" s="50"/>
    </row>
    <row r="608" spans="1:48" ht="12.75" customHeight="1" x14ac:dyDescent="0.25">
      <c r="A608" s="72" t="s">
        <v>23</v>
      </c>
      <c r="B608" s="43" t="s">
        <v>159</v>
      </c>
      <c r="C608" s="44" t="s">
        <v>758</v>
      </c>
      <c r="D608" s="45">
        <f>MROUND(MID($C608,6,3)/Basis!$E$3,0.5)</f>
        <v>35.5</v>
      </c>
      <c r="E608" s="45">
        <f>MROUND(MID($C608,9,3)/Basis!$E$3,0.5)</f>
        <v>15.5</v>
      </c>
      <c r="F608" s="124" t="s">
        <v>2945</v>
      </c>
      <c r="G608" s="45">
        <f>ROUND((ROUNDDOWN($F608/5,0)*5+1.8)/Basis!$E$3,1)</f>
        <v>8.6</v>
      </c>
      <c r="H608" s="120">
        <f>ROUND($P608*Basis!$E$2*((TaH-TrH)/LN(1/µ)/Basis!$E$7)^$N608*$AA$4*Glycol,0)</f>
        <v>2606</v>
      </c>
      <c r="I608" s="83">
        <f>ROUND(H608/(MID($C608,9,3)/Basis!$E$3/Basis!$E$9)*Basis!$E$11,0)</f>
        <v>1986</v>
      </c>
      <c r="J608" s="123">
        <f>IF(Basis!$E$1=1,ROUND(H608/((TaH-TrH)*1.163)/3600,3),ROUND(H608/(500*(TaH-TrH)),2))</f>
        <v>0.26</v>
      </c>
      <c r="K608" s="84"/>
      <c r="L608" s="177">
        <f>CHOOSE(Basis!$E$1,((AJ608*(J608*3600/Basis!$E$5)^AK608*(((MID(C608,9,3)*10)-144)/1000)*AL608+AM608*(J608*3600/Basis!$E$5)^2)*0.0098)/Basis!$E$10,((AJ608*(J608/Basis!$E$5)^AK608*(((MID(C608,9,3)*10)-144)/1000)*AL608+AM608*(J608/Basis!$E$5)^2)*0.0098)/Basis!$E$10)</f>
        <v>4.5337769478999805E-3</v>
      </c>
      <c r="M608" s="85"/>
      <c r="N608" s="110">
        <v>1.3260000000000001</v>
      </c>
      <c r="O608" s="74"/>
      <c r="P608" s="73">
        <v>1183</v>
      </c>
      <c r="Q608" s="74"/>
      <c r="R608" s="75"/>
      <c r="S608" s="75"/>
      <c r="T608" s="75"/>
      <c r="U608" s="75"/>
      <c r="V608" s="75"/>
      <c r="W608" s="74"/>
      <c r="X608" s="76"/>
      <c r="Y608" s="76"/>
      <c r="Z608" s="76"/>
      <c r="AA608" s="76"/>
      <c r="AB608" s="76"/>
      <c r="AC608" s="74"/>
      <c r="AD608" s="77"/>
      <c r="AE608" s="77"/>
      <c r="AF608" s="77"/>
      <c r="AG608" s="77"/>
      <c r="AH608" s="77"/>
      <c r="AI608" s="68"/>
      <c r="AJ608" s="213">
        <v>1.2760000000000001E-4</v>
      </c>
      <c r="AK608" s="213">
        <v>1.7219</v>
      </c>
      <c r="AL608" s="213">
        <v>2</v>
      </c>
      <c r="AM608" s="213">
        <v>3.76611E-4</v>
      </c>
      <c r="AN608" s="74"/>
      <c r="AO608" s="73"/>
      <c r="AP608" s="73"/>
      <c r="AQ608" s="73"/>
      <c r="AR608" s="73"/>
      <c r="AS608" s="73"/>
      <c r="AT608" s="74"/>
      <c r="AU608" s="47"/>
      <c r="AV608" s="48"/>
    </row>
    <row r="609" spans="1:48" ht="12.75" customHeight="1" x14ac:dyDescent="0.25">
      <c r="A609" s="72" t="s">
        <v>23</v>
      </c>
      <c r="B609" s="43" t="s">
        <v>159</v>
      </c>
      <c r="C609" s="44" t="s">
        <v>759</v>
      </c>
      <c r="D609" s="45">
        <f>MROUND(MID($C609,6,3)/Basis!$E$3,0.5)</f>
        <v>35.5</v>
      </c>
      <c r="E609" s="45">
        <f>MROUND(MID($C609,9,3)/Basis!$E$3,0.5)</f>
        <v>15.5</v>
      </c>
      <c r="F609" s="124" t="s">
        <v>2948</v>
      </c>
      <c r="G609" s="45">
        <f>ROUND((ROUNDDOWN($F609/5,0)*5+1.8)/Basis!$E$3,1)</f>
        <v>8.6</v>
      </c>
      <c r="H609" s="120">
        <f>ROUND($P609*Basis!$E$2*((TaH-TrH)/LN(1/µ)/Basis!$E$7)^$N609*$AA$4*Glycol,0)</f>
        <v>3118</v>
      </c>
      <c r="I609" s="83">
        <f>ROUND(H609/(MID($C609,9,3)/Basis!$E$3/Basis!$E$9)*Basis!$E$11,0)</f>
        <v>2376</v>
      </c>
      <c r="J609" s="123">
        <f>IF(Basis!$E$1=1,ROUND(H609/((TaH-TrH)*1.163)/3600,3),ROUND(H609/(500*(TaH-TrH)),2))</f>
        <v>0.31</v>
      </c>
      <c r="K609" s="84"/>
      <c r="L609" s="177">
        <f>CHOOSE(Basis!$E$1,((AJ609*(J609*3600/Basis!$E$5)^AK609*(((MID(C609,9,3)*10)-144)/1000)*AL609+AM609*(J609*3600/Basis!$E$5)^2)*0.0098)/Basis!$E$10,((AJ609*(J609/Basis!$E$5)^AK609*(((MID(C609,9,3)*10)-144)/1000)*AL609+AM609*(J609/Basis!$E$5)^2)*0.0098)/Basis!$E$10)</f>
        <v>8.9835523856699375E-3</v>
      </c>
      <c r="M609" s="85"/>
      <c r="N609" s="109">
        <v>1.518</v>
      </c>
      <c r="O609" s="68"/>
      <c r="P609" s="67">
        <v>1508</v>
      </c>
      <c r="Q609" s="68"/>
      <c r="R609" s="69"/>
      <c r="S609" s="69"/>
      <c r="T609" s="69"/>
      <c r="U609" s="69"/>
      <c r="V609" s="69"/>
      <c r="W609" s="68"/>
      <c r="X609" s="70"/>
      <c r="Y609" s="70"/>
      <c r="Z609" s="70"/>
      <c r="AA609" s="70"/>
      <c r="AB609" s="70"/>
      <c r="AC609" s="68"/>
      <c r="AD609" s="71"/>
      <c r="AE609" s="71"/>
      <c r="AF609" s="71"/>
      <c r="AG609" s="71"/>
      <c r="AH609" s="71"/>
      <c r="AI609" s="68"/>
      <c r="AJ609" s="214">
        <v>1.2760000000000001E-4</v>
      </c>
      <c r="AK609" s="214">
        <v>1.7219</v>
      </c>
      <c r="AL609" s="214">
        <v>4</v>
      </c>
      <c r="AM609" s="214">
        <v>5.1420100000000005E-4</v>
      </c>
      <c r="AN609" s="68"/>
      <c r="AO609" s="67"/>
      <c r="AP609" s="67"/>
      <c r="AQ609" s="67"/>
      <c r="AR609" s="67"/>
      <c r="AS609" s="67"/>
      <c r="AT609" s="68"/>
      <c r="AU609" s="49"/>
      <c r="AV609" s="50"/>
    </row>
    <row r="610" spans="1:48" ht="12.75" customHeight="1" x14ac:dyDescent="0.25">
      <c r="A610" s="72" t="s">
        <v>23</v>
      </c>
      <c r="B610" s="43" t="s">
        <v>159</v>
      </c>
      <c r="C610" s="44" t="s">
        <v>760</v>
      </c>
      <c r="D610" s="45">
        <f>MROUND(MID($C610,6,3)/Basis!$E$3,0.5)</f>
        <v>35.5</v>
      </c>
      <c r="E610" s="45">
        <f>MROUND(MID($C610,9,3)/Basis!$E$3,0.5)</f>
        <v>19.5</v>
      </c>
      <c r="F610" s="124" t="s">
        <v>2943</v>
      </c>
      <c r="G610" s="45">
        <f>ROUND((ROUNDDOWN($F610/5,0)*5+1.8)/Basis!$E$3,1)</f>
        <v>4.5999999999999996</v>
      </c>
      <c r="H610" s="120">
        <f>ROUND($P610*Basis!$E$2*((TaH-TrH)/LN(1/µ)/Basis!$E$7)^$N610*$AA$4*Glycol,0)</f>
        <v>1498</v>
      </c>
      <c r="I610" s="83">
        <f>ROUND(H610/(MID($C610,9,3)/Basis!$E$3/Basis!$E$9)*Basis!$E$11,0)</f>
        <v>913</v>
      </c>
      <c r="J610" s="123">
        <f>IF(Basis!$E$1=1,ROUND(H610/((TaH-TrH)*1.163)/3600,3),ROUND(H610/(500*(TaH-TrH)),2))</f>
        <v>0.15</v>
      </c>
      <c r="K610" s="84"/>
      <c r="L610" s="177">
        <f>CHOOSE(Basis!$E$1,((AJ610*(J610*3600/Basis!$E$5)^AK610*(((MID(C610,9,3)*10)-144)/1000)*AL610+AM610*(J610*3600/Basis!$E$5)^2)*0.0098)/Basis!$E$10,((AJ610*(J610/Basis!$E$5)^AK610*(((MID(C610,9,3)*10)-144)/1000)*AL610+AM610*(J610/Basis!$E$5)^2)*0.0098)/Basis!$E$10)</f>
        <v>1.8145437966383313E-3</v>
      </c>
      <c r="M610" s="85"/>
      <c r="N610" s="110">
        <v>1.3480000000000001</v>
      </c>
      <c r="O610" s="74"/>
      <c r="P610" s="73">
        <v>685</v>
      </c>
      <c r="Q610" s="74"/>
      <c r="R610" s="75"/>
      <c r="S610" s="75"/>
      <c r="T610" s="75"/>
      <c r="U610" s="75"/>
      <c r="V610" s="75"/>
      <c r="W610" s="74"/>
      <c r="X610" s="76"/>
      <c r="Y610" s="76"/>
      <c r="Z610" s="76"/>
      <c r="AA610" s="76"/>
      <c r="AB610" s="76"/>
      <c r="AC610" s="74"/>
      <c r="AD610" s="77"/>
      <c r="AE610" s="77"/>
      <c r="AF610" s="77"/>
      <c r="AG610" s="77"/>
      <c r="AH610" s="77"/>
      <c r="AI610" s="68"/>
      <c r="AJ610" s="213">
        <v>3.9689999999999994E-4</v>
      </c>
      <c r="AK610" s="213">
        <v>1.7345999999999999</v>
      </c>
      <c r="AL610" s="213">
        <v>2</v>
      </c>
      <c r="AM610" s="213">
        <v>3.6734700000000002E-4</v>
      </c>
      <c r="AN610" s="74"/>
      <c r="AO610" s="73"/>
      <c r="AP610" s="73"/>
      <c r="AQ610" s="73"/>
      <c r="AR610" s="73"/>
      <c r="AS610" s="73"/>
      <c r="AT610" s="74"/>
      <c r="AU610" s="47"/>
      <c r="AV610" s="48"/>
    </row>
    <row r="611" spans="1:48" ht="12.75" customHeight="1" x14ac:dyDescent="0.25">
      <c r="A611" s="72" t="s">
        <v>23</v>
      </c>
      <c r="B611" s="43" t="s">
        <v>159</v>
      </c>
      <c r="C611" s="44" t="s">
        <v>761</v>
      </c>
      <c r="D611" s="45">
        <f>MROUND(MID($C611,6,3)/Basis!$E$3,0.5)</f>
        <v>35.5</v>
      </c>
      <c r="E611" s="45">
        <f>MROUND(MID($C611,9,3)/Basis!$E$3,0.5)</f>
        <v>19.5</v>
      </c>
      <c r="F611" s="124" t="s">
        <v>2946</v>
      </c>
      <c r="G611" s="45">
        <f>ROUND((ROUNDDOWN($F611/5,0)*5+1.8)/Basis!$E$3,1)</f>
        <v>4.5999999999999996</v>
      </c>
      <c r="H611" s="120">
        <f>ROUND($P611*Basis!$E$2*((TaH-TrH)/LN(1/µ)/Basis!$E$7)^$N611*$AA$4*Glycol,0)</f>
        <v>1868</v>
      </c>
      <c r="I611" s="83">
        <f>ROUND(H611/(MID($C611,9,3)/Basis!$E$3/Basis!$E$9)*Basis!$E$11,0)</f>
        <v>1139</v>
      </c>
      <c r="J611" s="123">
        <f>IF(Basis!$E$1=1,ROUND(H611/((TaH-TrH)*1.163)/3600,3),ROUND(H611/(500*(TaH-TrH)),2))</f>
        <v>0.19</v>
      </c>
      <c r="K611" s="84"/>
      <c r="L611" s="177">
        <f>CHOOSE(Basis!$E$1,((AJ611*(J611*3600/Basis!$E$5)^AK611*(((MID(C611,9,3)*10)-144)/1000)*AL611+AM611*(J611*3600/Basis!$E$5)^2)*0.0098)/Basis!$E$10,((AJ611*(J611/Basis!$E$5)^AK611*(((MID(C611,9,3)*10)-144)/1000)*AL611+AM611*(J611/Basis!$E$5)^2)*0.0098)/Basis!$E$10)</f>
        <v>4.7639186378598125E-3</v>
      </c>
      <c r="M611" s="85"/>
      <c r="N611" s="109">
        <v>1.4339999999999999</v>
      </c>
      <c r="O611" s="68"/>
      <c r="P611" s="67">
        <v>879</v>
      </c>
      <c r="Q611" s="68"/>
      <c r="R611" s="69"/>
      <c r="S611" s="69"/>
      <c r="T611" s="69"/>
      <c r="U611" s="69"/>
      <c r="V611" s="69"/>
      <c r="W611" s="68"/>
      <c r="X611" s="70"/>
      <c r="Y611" s="70"/>
      <c r="Z611" s="70"/>
      <c r="AA611" s="70"/>
      <c r="AB611" s="70"/>
      <c r="AC611" s="68"/>
      <c r="AD611" s="71"/>
      <c r="AE611" s="71"/>
      <c r="AF611" s="71"/>
      <c r="AG611" s="71"/>
      <c r="AH611" s="71"/>
      <c r="AI611" s="68"/>
      <c r="AJ611" s="214">
        <v>3.9689999999999994E-4</v>
      </c>
      <c r="AK611" s="214">
        <v>1.7345999999999999</v>
      </c>
      <c r="AL611" s="214">
        <v>4</v>
      </c>
      <c r="AM611" s="214">
        <v>5.7428799999999995E-4</v>
      </c>
      <c r="AN611" s="68"/>
      <c r="AO611" s="67"/>
      <c r="AP611" s="67"/>
      <c r="AQ611" s="67"/>
      <c r="AR611" s="67"/>
      <c r="AS611" s="67"/>
      <c r="AT611" s="68"/>
      <c r="AU611" s="49"/>
      <c r="AV611" s="50"/>
    </row>
    <row r="612" spans="1:48" ht="12.75" customHeight="1" x14ac:dyDescent="0.25">
      <c r="A612" s="72" t="s">
        <v>23</v>
      </c>
      <c r="B612" s="43" t="s">
        <v>159</v>
      </c>
      <c r="C612" s="44" t="s">
        <v>762</v>
      </c>
      <c r="D612" s="45">
        <f>MROUND(MID($C612,6,3)/Basis!$E$3,0.5)</f>
        <v>35.5</v>
      </c>
      <c r="E612" s="45">
        <f>MROUND(MID($C612,9,3)/Basis!$E$3,0.5)</f>
        <v>19.5</v>
      </c>
      <c r="F612" s="124" t="s">
        <v>2944</v>
      </c>
      <c r="G612" s="45">
        <f>ROUND((ROUNDDOWN($F612/5,0)*5+1.8)/Basis!$E$3,1)</f>
        <v>6.6</v>
      </c>
      <c r="H612" s="120">
        <f>ROUND($P612*Basis!$E$2*((TaH-TrH)/LN(1/µ)/Basis!$E$7)^$N612*$AA$4*Glycol,0)</f>
        <v>2335</v>
      </c>
      <c r="I612" s="83">
        <f>ROUND(H612/(MID($C612,9,3)/Basis!$E$3/Basis!$E$9)*Basis!$E$11,0)</f>
        <v>1423</v>
      </c>
      <c r="J612" s="123">
        <f>IF(Basis!$E$1=1,ROUND(H612/((TaH-TrH)*1.163)/3600,3),ROUND(H612/(500*(TaH-TrH)),2))</f>
        <v>0.23</v>
      </c>
      <c r="K612" s="84"/>
      <c r="L612" s="177">
        <f>CHOOSE(Basis!$E$1,((AJ612*(J612*3600/Basis!$E$5)^AK612*(((MID(C612,9,3)*10)-144)/1000)*AL612+AM612*(J612*3600/Basis!$E$5)^2)*0.0098)/Basis!$E$10,((AJ612*(J612/Basis!$E$5)^AK612*(((MID(C612,9,3)*10)-144)/1000)*AL612+AM612*(J612/Basis!$E$5)^2)*0.0098)/Basis!$E$10)</f>
        <v>4.5648566867699724E-3</v>
      </c>
      <c r="M612" s="85"/>
      <c r="N612" s="110">
        <v>1.3260000000000001</v>
      </c>
      <c r="O612" s="74"/>
      <c r="P612" s="73">
        <v>1060</v>
      </c>
      <c r="Q612" s="74"/>
      <c r="R612" s="75"/>
      <c r="S612" s="75"/>
      <c r="T612" s="75"/>
      <c r="U612" s="75"/>
      <c r="V612" s="75"/>
      <c r="W612" s="74"/>
      <c r="X612" s="76"/>
      <c r="Y612" s="76"/>
      <c r="Z612" s="76"/>
      <c r="AA612" s="76"/>
      <c r="AB612" s="76"/>
      <c r="AC612" s="74"/>
      <c r="AD612" s="77"/>
      <c r="AE612" s="77"/>
      <c r="AF612" s="77"/>
      <c r="AG612" s="77"/>
      <c r="AH612" s="77"/>
      <c r="AI612" s="68"/>
      <c r="AJ612" s="213">
        <v>2.0829999999999999E-4</v>
      </c>
      <c r="AK612" s="213">
        <v>1.724</v>
      </c>
      <c r="AL612" s="213">
        <v>2</v>
      </c>
      <c r="AM612" s="213">
        <v>4.6182900000000003E-4</v>
      </c>
      <c r="AN612" s="74"/>
      <c r="AO612" s="73"/>
      <c r="AP612" s="73"/>
      <c r="AQ612" s="73"/>
      <c r="AR612" s="73"/>
      <c r="AS612" s="73"/>
      <c r="AT612" s="74"/>
      <c r="AU612" s="47"/>
      <c r="AV612" s="48"/>
    </row>
    <row r="613" spans="1:48" ht="12.75" customHeight="1" x14ac:dyDescent="0.25">
      <c r="A613" s="72" t="s">
        <v>23</v>
      </c>
      <c r="B613" s="43" t="s">
        <v>159</v>
      </c>
      <c r="C613" s="44" t="s">
        <v>763</v>
      </c>
      <c r="D613" s="45">
        <f>MROUND(MID($C613,6,3)/Basis!$E$3,0.5)</f>
        <v>35.5</v>
      </c>
      <c r="E613" s="45">
        <f>MROUND(MID($C613,9,3)/Basis!$E$3,0.5)</f>
        <v>19.5</v>
      </c>
      <c r="F613" s="124" t="s">
        <v>2947</v>
      </c>
      <c r="G613" s="45">
        <f>ROUND((ROUNDDOWN($F613/5,0)*5+1.8)/Basis!$E$3,1)</f>
        <v>6.6</v>
      </c>
      <c r="H613" s="120">
        <f>ROUND($P613*Basis!$E$2*((TaH-TrH)/LN(1/µ)/Basis!$E$7)^$N613*$AA$4*Glycol,0)</f>
        <v>2717</v>
      </c>
      <c r="I613" s="83">
        <f>ROUND(H613/(MID($C613,9,3)/Basis!$E$3/Basis!$E$9)*Basis!$E$11,0)</f>
        <v>1656</v>
      </c>
      <c r="J613" s="123">
        <f>IF(Basis!$E$1=1,ROUND(H613/((TaH-TrH)*1.163)/3600,3),ROUND(H613/(500*(TaH-TrH)),2))</f>
        <v>0.27</v>
      </c>
      <c r="K613" s="84"/>
      <c r="L613" s="177">
        <f>CHOOSE(Basis!$E$1,((AJ613*(J613*3600/Basis!$E$5)^AK613*(((MID(C613,9,3)*10)-144)/1000)*AL613+AM613*(J613*3600/Basis!$E$5)^2)*0.0098)/Basis!$E$10,((AJ613*(J613/Basis!$E$5)^AK613*(((MID(C613,9,3)*10)-144)/1000)*AL613+AM613*(J613/Basis!$E$5)^2)*0.0098)/Basis!$E$10)</f>
        <v>1.8296954294083134E-2</v>
      </c>
      <c r="M613" s="85"/>
      <c r="N613" s="109">
        <v>1.48</v>
      </c>
      <c r="O613" s="68"/>
      <c r="P613" s="67">
        <v>1298</v>
      </c>
      <c r="Q613" s="68"/>
      <c r="R613" s="69"/>
      <c r="S613" s="69"/>
      <c r="T613" s="69"/>
      <c r="U613" s="69"/>
      <c r="V613" s="69"/>
      <c r="W613" s="68"/>
      <c r="X613" s="70"/>
      <c r="Y613" s="70"/>
      <c r="Z613" s="70"/>
      <c r="AA613" s="70"/>
      <c r="AB613" s="70"/>
      <c r="AC613" s="68"/>
      <c r="AD613" s="71"/>
      <c r="AE613" s="71"/>
      <c r="AF613" s="71"/>
      <c r="AG613" s="71"/>
      <c r="AH613" s="71"/>
      <c r="AI613" s="68"/>
      <c r="AJ613" s="214">
        <v>2.0829999999999999E-4</v>
      </c>
      <c r="AK613" s="214">
        <v>1.724</v>
      </c>
      <c r="AL613" s="214">
        <v>4</v>
      </c>
      <c r="AM613" s="214">
        <v>1.392796E-3</v>
      </c>
      <c r="AN613" s="68"/>
      <c r="AO613" s="67"/>
      <c r="AP613" s="67"/>
      <c r="AQ613" s="67"/>
      <c r="AR613" s="67"/>
      <c r="AS613" s="67"/>
      <c r="AT613" s="68"/>
      <c r="AU613" s="49"/>
      <c r="AV613" s="50"/>
    </row>
    <row r="614" spans="1:48" ht="12.75" customHeight="1" x14ac:dyDescent="0.25">
      <c r="A614" s="72" t="s">
        <v>23</v>
      </c>
      <c r="B614" s="43" t="s">
        <v>159</v>
      </c>
      <c r="C614" s="44" t="s">
        <v>764</v>
      </c>
      <c r="D614" s="45">
        <f>MROUND(MID($C614,6,3)/Basis!$E$3,0.5)</f>
        <v>35.5</v>
      </c>
      <c r="E614" s="45">
        <f>MROUND(MID($C614,9,3)/Basis!$E$3,0.5)</f>
        <v>19.5</v>
      </c>
      <c r="F614" s="124" t="s">
        <v>2945</v>
      </c>
      <c r="G614" s="45">
        <f>ROUND((ROUNDDOWN($F614/5,0)*5+1.8)/Basis!$E$3,1)</f>
        <v>8.6</v>
      </c>
      <c r="H614" s="120">
        <f>ROUND($P614*Basis!$E$2*((TaH-TrH)/LN(1/µ)/Basis!$E$7)^$N614*$AA$4*Glycol,0)</f>
        <v>3258</v>
      </c>
      <c r="I614" s="83">
        <f>ROUND(H614/(MID($C614,9,3)/Basis!$E$3/Basis!$E$9)*Basis!$E$11,0)</f>
        <v>1986</v>
      </c>
      <c r="J614" s="123">
        <f>IF(Basis!$E$1=1,ROUND(H614/((TaH-TrH)*1.163)/3600,3),ROUND(H614/(500*(TaH-TrH)),2))</f>
        <v>0.33</v>
      </c>
      <c r="K614" s="84"/>
      <c r="L614" s="177">
        <f>CHOOSE(Basis!$E$1,((AJ614*(J614*3600/Basis!$E$5)^AK614*(((MID(C614,9,3)*10)-144)/1000)*AL614+AM614*(J614*3600/Basis!$E$5)^2)*0.0098)/Basis!$E$10,((AJ614*(J614/Basis!$E$5)^AK614*(((MID(C614,9,3)*10)-144)/1000)*AL614+AM614*(J614/Basis!$E$5)^2)*0.0098)/Basis!$E$10)</f>
        <v>7.4200247142886663E-3</v>
      </c>
      <c r="M614" s="85"/>
      <c r="N614" s="110">
        <v>1.3260000000000001</v>
      </c>
      <c r="O614" s="74"/>
      <c r="P614" s="73">
        <v>1479</v>
      </c>
      <c r="Q614" s="74"/>
      <c r="R614" s="75"/>
      <c r="S614" s="75"/>
      <c r="T614" s="75"/>
      <c r="U614" s="75"/>
      <c r="V614" s="75"/>
      <c r="W614" s="74"/>
      <c r="X614" s="76"/>
      <c r="Y614" s="76"/>
      <c r="Z614" s="76"/>
      <c r="AA614" s="76"/>
      <c r="AB614" s="76"/>
      <c r="AC614" s="74"/>
      <c r="AD614" s="77"/>
      <c r="AE614" s="77"/>
      <c r="AF614" s="77"/>
      <c r="AG614" s="77"/>
      <c r="AH614" s="77"/>
      <c r="AI614" s="68"/>
      <c r="AJ614" s="213">
        <v>1.2760000000000001E-4</v>
      </c>
      <c r="AK614" s="213">
        <v>1.7219</v>
      </c>
      <c r="AL614" s="213">
        <v>2</v>
      </c>
      <c r="AM614" s="213">
        <v>3.76611E-4</v>
      </c>
      <c r="AN614" s="74"/>
      <c r="AO614" s="73"/>
      <c r="AP614" s="73"/>
      <c r="AQ614" s="73"/>
      <c r="AR614" s="73"/>
      <c r="AS614" s="73"/>
      <c r="AT614" s="74"/>
      <c r="AU614" s="47"/>
      <c r="AV614" s="48"/>
    </row>
    <row r="615" spans="1:48" ht="12.75" customHeight="1" x14ac:dyDescent="0.25">
      <c r="A615" s="72" t="s">
        <v>23</v>
      </c>
      <c r="B615" s="43" t="s">
        <v>159</v>
      </c>
      <c r="C615" s="44" t="s">
        <v>765</v>
      </c>
      <c r="D615" s="45">
        <f>MROUND(MID($C615,6,3)/Basis!$E$3,0.5)</f>
        <v>35.5</v>
      </c>
      <c r="E615" s="45">
        <f>MROUND(MID($C615,9,3)/Basis!$E$3,0.5)</f>
        <v>19.5</v>
      </c>
      <c r="F615" s="124" t="s">
        <v>2948</v>
      </c>
      <c r="G615" s="45">
        <f>ROUND((ROUNDDOWN($F615/5,0)*5+1.8)/Basis!$E$3,1)</f>
        <v>8.6</v>
      </c>
      <c r="H615" s="120">
        <f>ROUND($P615*Basis!$E$2*((TaH-TrH)/LN(1/µ)/Basis!$E$7)^$N615*$AA$4*Glycol,0)</f>
        <v>3897</v>
      </c>
      <c r="I615" s="83">
        <f>ROUND(H615/(MID($C615,9,3)/Basis!$E$3/Basis!$E$9)*Basis!$E$11,0)</f>
        <v>2376</v>
      </c>
      <c r="J615" s="123">
        <f>IF(Basis!$E$1=1,ROUND(H615/((TaH-TrH)*1.163)/3600,3),ROUND(H615/(500*(TaH-TrH)),2))</f>
        <v>0.39</v>
      </c>
      <c r="K615" s="84"/>
      <c r="L615" s="177">
        <f>CHOOSE(Basis!$E$1,((AJ615*(J615*3600/Basis!$E$5)^AK615*(((MID(C615,9,3)*10)-144)/1000)*AL615+AM615*(J615*3600/Basis!$E$5)^2)*0.0098)/Basis!$E$10,((AJ615*(J615/Basis!$E$5)^AK615*(((MID(C615,9,3)*10)-144)/1000)*AL615+AM615*(J615/Basis!$E$5)^2)*0.0098)/Basis!$E$10)</f>
        <v>1.4531292182419876E-2</v>
      </c>
      <c r="M615" s="85"/>
      <c r="N615" s="109">
        <v>1.518</v>
      </c>
      <c r="O615" s="68"/>
      <c r="P615" s="67">
        <v>1885</v>
      </c>
      <c r="Q615" s="68"/>
      <c r="R615" s="69"/>
      <c r="S615" s="69"/>
      <c r="T615" s="69"/>
      <c r="U615" s="69"/>
      <c r="V615" s="69"/>
      <c r="W615" s="68"/>
      <c r="X615" s="70"/>
      <c r="Y615" s="70"/>
      <c r="Z615" s="70"/>
      <c r="AA615" s="70"/>
      <c r="AB615" s="70"/>
      <c r="AC615" s="68"/>
      <c r="AD615" s="71"/>
      <c r="AE615" s="71"/>
      <c r="AF615" s="71"/>
      <c r="AG615" s="71"/>
      <c r="AH615" s="71"/>
      <c r="AI615" s="68"/>
      <c r="AJ615" s="214">
        <v>1.2760000000000001E-4</v>
      </c>
      <c r="AK615" s="214">
        <v>1.7219</v>
      </c>
      <c r="AL615" s="214">
        <v>4</v>
      </c>
      <c r="AM615" s="214">
        <v>5.1420100000000005E-4</v>
      </c>
      <c r="AN615" s="68"/>
      <c r="AO615" s="67"/>
      <c r="AP615" s="67"/>
      <c r="AQ615" s="67"/>
      <c r="AR615" s="67"/>
      <c r="AS615" s="67"/>
      <c r="AT615" s="68"/>
      <c r="AU615" s="49"/>
      <c r="AV615" s="50"/>
    </row>
    <row r="616" spans="1:48" ht="12.75" customHeight="1" x14ac:dyDescent="0.25">
      <c r="A616" s="72" t="s">
        <v>23</v>
      </c>
      <c r="B616" s="43" t="s">
        <v>159</v>
      </c>
      <c r="C616" s="44" t="s">
        <v>766</v>
      </c>
      <c r="D616" s="45">
        <f>MROUND(MID($C616,6,3)/Basis!$E$3,0.5)</f>
        <v>35.5</v>
      </c>
      <c r="E616" s="45">
        <f>MROUND(MID($C616,9,3)/Basis!$E$3,0.5)</f>
        <v>23.5</v>
      </c>
      <c r="F616" s="124" t="s">
        <v>2943</v>
      </c>
      <c r="G616" s="45">
        <f>ROUND((ROUNDDOWN($F616/5,0)*5+1.8)/Basis!$E$3,1)</f>
        <v>4.5999999999999996</v>
      </c>
      <c r="H616" s="120">
        <f>ROUND($P616*Basis!$E$2*((TaH-TrH)/LN(1/µ)/Basis!$E$7)^$N616*$AA$4*Glycol,0)</f>
        <v>1795</v>
      </c>
      <c r="I616" s="83">
        <f>ROUND(H616/(MID($C616,9,3)/Basis!$E$3/Basis!$E$9)*Basis!$E$11,0)</f>
        <v>912</v>
      </c>
      <c r="J616" s="123">
        <f>IF(Basis!$E$1=1,ROUND(H616/((TaH-TrH)*1.163)/3600,3),ROUND(H616/(500*(TaH-TrH)),2))</f>
        <v>0.18</v>
      </c>
      <c r="K616" s="84"/>
      <c r="L616" s="177">
        <f>CHOOSE(Basis!$E$1,((AJ616*(J616*3600/Basis!$E$5)^AK616*(((MID(C616,9,3)*10)-144)/1000)*AL616+AM616*(J616*3600/Basis!$E$5)^2)*0.0098)/Basis!$E$10,((AJ616*(J616/Basis!$E$5)^AK616*(((MID(C616,9,3)*10)-144)/1000)*AL616+AM616*(J616/Basis!$E$5)^2)*0.0098)/Basis!$E$10)</f>
        <v>2.7463752348444274E-3</v>
      </c>
      <c r="M616" s="85"/>
      <c r="N616" s="110">
        <v>1.3480000000000001</v>
      </c>
      <c r="O616" s="74"/>
      <c r="P616" s="73">
        <v>821</v>
      </c>
      <c r="Q616" s="74"/>
      <c r="R616" s="75"/>
      <c r="S616" s="75"/>
      <c r="T616" s="75"/>
      <c r="U616" s="75"/>
      <c r="V616" s="75"/>
      <c r="W616" s="74"/>
      <c r="X616" s="76"/>
      <c r="Y616" s="76"/>
      <c r="Z616" s="76"/>
      <c r="AA616" s="76"/>
      <c r="AB616" s="76"/>
      <c r="AC616" s="74"/>
      <c r="AD616" s="77"/>
      <c r="AE616" s="77"/>
      <c r="AF616" s="77"/>
      <c r="AG616" s="77"/>
      <c r="AH616" s="77"/>
      <c r="AI616" s="68"/>
      <c r="AJ616" s="213">
        <v>3.9689999999999994E-4</v>
      </c>
      <c r="AK616" s="213">
        <v>1.7345999999999999</v>
      </c>
      <c r="AL616" s="213">
        <v>2</v>
      </c>
      <c r="AM616" s="213">
        <v>3.6734700000000002E-4</v>
      </c>
      <c r="AN616" s="74"/>
      <c r="AO616" s="73"/>
      <c r="AP616" s="73"/>
      <c r="AQ616" s="73"/>
      <c r="AR616" s="73"/>
      <c r="AS616" s="73"/>
      <c r="AT616" s="74"/>
      <c r="AU616" s="47"/>
      <c r="AV616" s="48"/>
    </row>
    <row r="617" spans="1:48" ht="12.75" customHeight="1" x14ac:dyDescent="0.25">
      <c r="A617" s="72" t="s">
        <v>23</v>
      </c>
      <c r="B617" s="43" t="s">
        <v>159</v>
      </c>
      <c r="C617" s="44" t="s">
        <v>767</v>
      </c>
      <c r="D617" s="45">
        <f>MROUND(MID($C617,6,3)/Basis!$E$3,0.5)</f>
        <v>35.5</v>
      </c>
      <c r="E617" s="45">
        <f>MROUND(MID($C617,9,3)/Basis!$E$3,0.5)</f>
        <v>23.5</v>
      </c>
      <c r="F617" s="124" t="s">
        <v>2946</v>
      </c>
      <c r="G617" s="45">
        <f>ROUND((ROUNDDOWN($F617/5,0)*5+1.8)/Basis!$E$3,1)</f>
        <v>4.5999999999999996</v>
      </c>
      <c r="H617" s="120">
        <f>ROUND($P617*Basis!$E$2*((TaH-TrH)/LN(1/µ)/Basis!$E$7)^$N617*$AA$4*Glycol,0)</f>
        <v>2243</v>
      </c>
      <c r="I617" s="83">
        <f>ROUND(H617/(MID($C617,9,3)/Basis!$E$3/Basis!$E$9)*Basis!$E$11,0)</f>
        <v>1139</v>
      </c>
      <c r="J617" s="123">
        <f>IF(Basis!$E$1=1,ROUND(H617/((TaH-TrH)*1.163)/3600,3),ROUND(H617/(500*(TaH-TrH)),2))</f>
        <v>0.22</v>
      </c>
      <c r="K617" s="84"/>
      <c r="L617" s="177">
        <f>CHOOSE(Basis!$E$1,((AJ617*(J617*3600/Basis!$E$5)^AK617*(((MID(C617,9,3)*10)-144)/1000)*AL617+AM617*(J617*3600/Basis!$E$5)^2)*0.0098)/Basis!$E$10,((AJ617*(J617/Basis!$E$5)^AK617*(((MID(C617,9,3)*10)-144)/1000)*AL617+AM617*(J617/Basis!$E$5)^2)*0.0098)/Basis!$E$10)</f>
        <v>6.7812359960494097E-3</v>
      </c>
      <c r="M617" s="85"/>
      <c r="N617" s="109">
        <v>1.4339999999999999</v>
      </c>
      <c r="O617" s="68"/>
      <c r="P617" s="67">
        <v>1055</v>
      </c>
      <c r="Q617" s="68"/>
      <c r="R617" s="69"/>
      <c r="S617" s="69"/>
      <c r="T617" s="69"/>
      <c r="U617" s="69"/>
      <c r="V617" s="69"/>
      <c r="W617" s="68"/>
      <c r="X617" s="70"/>
      <c r="Y617" s="70"/>
      <c r="Z617" s="70"/>
      <c r="AA617" s="70"/>
      <c r="AB617" s="70"/>
      <c r="AC617" s="68"/>
      <c r="AD617" s="71"/>
      <c r="AE617" s="71"/>
      <c r="AF617" s="71"/>
      <c r="AG617" s="71"/>
      <c r="AH617" s="71"/>
      <c r="AI617" s="68"/>
      <c r="AJ617" s="214">
        <v>3.9689999999999994E-4</v>
      </c>
      <c r="AK617" s="214">
        <v>1.7345999999999999</v>
      </c>
      <c r="AL617" s="214">
        <v>4</v>
      </c>
      <c r="AM617" s="214">
        <v>5.7428799999999995E-4</v>
      </c>
      <c r="AN617" s="68"/>
      <c r="AO617" s="67"/>
      <c r="AP617" s="67"/>
      <c r="AQ617" s="67"/>
      <c r="AR617" s="67"/>
      <c r="AS617" s="67"/>
      <c r="AT617" s="68"/>
      <c r="AU617" s="49"/>
      <c r="AV617" s="50"/>
    </row>
    <row r="618" spans="1:48" ht="12.75" customHeight="1" x14ac:dyDescent="0.25">
      <c r="A618" s="72" t="s">
        <v>23</v>
      </c>
      <c r="B618" s="43" t="s">
        <v>159</v>
      </c>
      <c r="C618" s="44" t="s">
        <v>768</v>
      </c>
      <c r="D618" s="45">
        <f>MROUND(MID($C618,6,3)/Basis!$E$3,0.5)</f>
        <v>35.5</v>
      </c>
      <c r="E618" s="45">
        <f>MROUND(MID($C618,9,3)/Basis!$E$3,0.5)</f>
        <v>23.5</v>
      </c>
      <c r="F618" s="124" t="s">
        <v>2944</v>
      </c>
      <c r="G618" s="45">
        <f>ROUND((ROUNDDOWN($F618/5,0)*5+1.8)/Basis!$E$3,1)</f>
        <v>6.6</v>
      </c>
      <c r="H618" s="120">
        <f>ROUND($P618*Basis!$E$2*((TaH-TrH)/LN(1/µ)/Basis!$E$7)^$N618*$AA$4*Glycol,0)</f>
        <v>2802</v>
      </c>
      <c r="I618" s="83">
        <f>ROUND(H618/(MID($C618,9,3)/Basis!$E$3/Basis!$E$9)*Basis!$E$11,0)</f>
        <v>1423</v>
      </c>
      <c r="J618" s="123">
        <f>IF(Basis!$E$1=1,ROUND(H618/((TaH-TrH)*1.163)/3600,3),ROUND(H618/(500*(TaH-TrH)),2))</f>
        <v>0.28000000000000003</v>
      </c>
      <c r="K618" s="84"/>
      <c r="L618" s="177">
        <f>CHOOSE(Basis!$E$1,((AJ618*(J618*3600/Basis!$E$5)^AK618*(((MID(C618,9,3)*10)-144)/1000)*AL618+AM618*(J618*3600/Basis!$E$5)^2)*0.0098)/Basis!$E$10,((AJ618*(J618/Basis!$E$5)^AK618*(((MID(C618,9,3)*10)-144)/1000)*AL618+AM618*(J618/Basis!$E$5)^2)*0.0098)/Basis!$E$10)</f>
        <v>6.9056435337784029E-3</v>
      </c>
      <c r="M618" s="85"/>
      <c r="N618" s="109">
        <v>1.3260000000000001</v>
      </c>
      <c r="O618" s="68"/>
      <c r="P618" s="67">
        <v>1272</v>
      </c>
      <c r="Q618" s="68"/>
      <c r="R618" s="69"/>
      <c r="S618" s="69"/>
      <c r="T618" s="69"/>
      <c r="U618" s="69"/>
      <c r="V618" s="69"/>
      <c r="W618" s="68"/>
      <c r="X618" s="70"/>
      <c r="Y618" s="70"/>
      <c r="Z618" s="70"/>
      <c r="AA618" s="70"/>
      <c r="AB618" s="70"/>
      <c r="AC618" s="68"/>
      <c r="AD618" s="71"/>
      <c r="AE618" s="71"/>
      <c r="AF618" s="71"/>
      <c r="AG618" s="71"/>
      <c r="AH618" s="71"/>
      <c r="AI618" s="68"/>
      <c r="AJ618" s="214">
        <v>2.0829999999999999E-4</v>
      </c>
      <c r="AK618" s="214">
        <v>1.724</v>
      </c>
      <c r="AL618" s="214">
        <v>2</v>
      </c>
      <c r="AM618" s="214">
        <v>4.6182900000000003E-4</v>
      </c>
      <c r="AN618" s="68"/>
      <c r="AO618" s="67"/>
      <c r="AP618" s="67"/>
      <c r="AQ618" s="67"/>
      <c r="AR618" s="67"/>
      <c r="AS618" s="67"/>
      <c r="AT618" s="68"/>
      <c r="AU618" s="49"/>
      <c r="AV618" s="50"/>
    </row>
    <row r="619" spans="1:48" ht="12.75" customHeight="1" x14ac:dyDescent="0.25">
      <c r="A619" s="72" t="s">
        <v>23</v>
      </c>
      <c r="B619" s="43" t="s">
        <v>159</v>
      </c>
      <c r="C619" s="44" t="s">
        <v>769</v>
      </c>
      <c r="D619" s="45">
        <f>MROUND(MID($C619,6,3)/Basis!$E$3,0.5)</f>
        <v>35.5</v>
      </c>
      <c r="E619" s="45">
        <f>MROUND(MID($C619,9,3)/Basis!$E$3,0.5)</f>
        <v>23.5</v>
      </c>
      <c r="F619" s="124" t="s">
        <v>2947</v>
      </c>
      <c r="G619" s="45">
        <f>ROUND((ROUNDDOWN($F619/5,0)*5+1.8)/Basis!$E$3,1)</f>
        <v>6.6</v>
      </c>
      <c r="H619" s="120">
        <f>ROUND($P619*Basis!$E$2*((TaH-TrH)/LN(1/µ)/Basis!$E$7)^$N619*$AA$4*Glycol,0)</f>
        <v>3262</v>
      </c>
      <c r="I619" s="83">
        <f>ROUND(H619/(MID($C619,9,3)/Basis!$E$3/Basis!$E$9)*Basis!$E$11,0)</f>
        <v>1657</v>
      </c>
      <c r="J619" s="123">
        <f>IF(Basis!$E$1=1,ROUND(H619/((TaH-TrH)*1.163)/3600,3),ROUND(H619/(500*(TaH-TrH)),2))</f>
        <v>0.33</v>
      </c>
      <c r="K619" s="84"/>
      <c r="L619" s="177">
        <f>CHOOSE(Basis!$E$1,((AJ619*(J619*3600/Basis!$E$5)^AK619*(((MID(C619,9,3)*10)-144)/1000)*AL619+AM619*(J619*3600/Basis!$E$5)^2)*0.0098)/Basis!$E$10,((AJ619*(J619/Basis!$E$5)^AK619*(((MID(C619,9,3)*10)-144)/1000)*AL619+AM619*(J619/Basis!$E$5)^2)*0.0098)/Basis!$E$10)</f>
        <v>2.7703153890646277E-2</v>
      </c>
      <c r="M619" s="85"/>
      <c r="N619" s="110">
        <v>1.48</v>
      </c>
      <c r="O619" s="74"/>
      <c r="P619" s="73">
        <v>1558</v>
      </c>
      <c r="Q619" s="74"/>
      <c r="R619" s="75"/>
      <c r="S619" s="75"/>
      <c r="T619" s="75"/>
      <c r="U619" s="75"/>
      <c r="V619" s="75"/>
      <c r="W619" s="74"/>
      <c r="X619" s="76"/>
      <c r="Y619" s="76"/>
      <c r="Z619" s="76"/>
      <c r="AA619" s="76"/>
      <c r="AB619" s="76"/>
      <c r="AC619" s="74"/>
      <c r="AD619" s="77"/>
      <c r="AE619" s="77"/>
      <c r="AF619" s="77"/>
      <c r="AG619" s="77"/>
      <c r="AH619" s="77"/>
      <c r="AI619" s="68"/>
      <c r="AJ619" s="213">
        <v>2.0829999999999999E-4</v>
      </c>
      <c r="AK619" s="213">
        <v>1.724</v>
      </c>
      <c r="AL619" s="213">
        <v>4</v>
      </c>
      <c r="AM619" s="213">
        <v>1.392796E-3</v>
      </c>
      <c r="AN619" s="74"/>
      <c r="AO619" s="73"/>
      <c r="AP619" s="73"/>
      <c r="AQ619" s="73"/>
      <c r="AR619" s="73"/>
      <c r="AS619" s="73"/>
      <c r="AT619" s="74"/>
      <c r="AU619" s="47"/>
      <c r="AV619" s="48"/>
    </row>
    <row r="620" spans="1:48" ht="12.75" customHeight="1" x14ac:dyDescent="0.25">
      <c r="A620" s="72" t="s">
        <v>23</v>
      </c>
      <c r="B620" s="43" t="s">
        <v>159</v>
      </c>
      <c r="C620" s="44" t="s">
        <v>770</v>
      </c>
      <c r="D620" s="45">
        <f>MROUND(MID($C620,6,3)/Basis!$E$3,0.5)</f>
        <v>35.5</v>
      </c>
      <c r="E620" s="45">
        <f>MROUND(MID($C620,9,3)/Basis!$E$3,0.5)</f>
        <v>23.5</v>
      </c>
      <c r="F620" s="124" t="s">
        <v>2945</v>
      </c>
      <c r="G620" s="45">
        <f>ROUND((ROUNDDOWN($F620/5,0)*5+1.8)/Basis!$E$3,1)</f>
        <v>8.6</v>
      </c>
      <c r="H620" s="120">
        <f>ROUND($P620*Basis!$E$2*((TaH-TrH)/LN(1/µ)/Basis!$E$7)^$N620*$AA$4*Glycol,0)</f>
        <v>3908</v>
      </c>
      <c r="I620" s="83">
        <f>ROUND(H620/(MID($C620,9,3)/Basis!$E$3/Basis!$E$9)*Basis!$E$11,0)</f>
        <v>1985</v>
      </c>
      <c r="J620" s="123">
        <f>IF(Basis!$E$1=1,ROUND(H620/((TaH-TrH)*1.163)/3600,3),ROUND(H620/(500*(TaH-TrH)),2))</f>
        <v>0.39</v>
      </c>
      <c r="K620" s="84"/>
      <c r="L620" s="177">
        <f>CHOOSE(Basis!$E$1,((AJ620*(J620*3600/Basis!$E$5)^AK620*(((MID(C620,9,3)*10)-144)/1000)*AL620+AM620*(J620*3600/Basis!$E$5)^2)*0.0098)/Basis!$E$10,((AJ620*(J620/Basis!$E$5)^AK620*(((MID(C620,9,3)*10)-144)/1000)*AL620+AM620*(J620/Basis!$E$5)^2)*0.0098)/Basis!$E$10)</f>
        <v>1.0519801607939607E-2</v>
      </c>
      <c r="M620" s="85"/>
      <c r="N620" s="110">
        <v>1.3260000000000001</v>
      </c>
      <c r="O620" s="74"/>
      <c r="P620" s="73">
        <v>1774</v>
      </c>
      <c r="Q620" s="74"/>
      <c r="R620" s="75"/>
      <c r="S620" s="75"/>
      <c r="T620" s="75"/>
      <c r="U620" s="75"/>
      <c r="V620" s="75"/>
      <c r="W620" s="74"/>
      <c r="X620" s="76"/>
      <c r="Y620" s="76"/>
      <c r="Z620" s="76"/>
      <c r="AA620" s="76"/>
      <c r="AB620" s="76"/>
      <c r="AC620" s="74"/>
      <c r="AD620" s="77"/>
      <c r="AE620" s="77"/>
      <c r="AF620" s="77"/>
      <c r="AG620" s="77"/>
      <c r="AH620" s="77"/>
      <c r="AI620" s="68"/>
      <c r="AJ620" s="213">
        <v>1.2760000000000001E-4</v>
      </c>
      <c r="AK620" s="213">
        <v>1.7219</v>
      </c>
      <c r="AL620" s="213">
        <v>2</v>
      </c>
      <c r="AM620" s="213">
        <v>3.76611E-4</v>
      </c>
      <c r="AN620" s="74"/>
      <c r="AO620" s="73"/>
      <c r="AP620" s="73"/>
      <c r="AQ620" s="73"/>
      <c r="AR620" s="73"/>
      <c r="AS620" s="73"/>
      <c r="AT620" s="74"/>
      <c r="AU620" s="47"/>
      <c r="AV620" s="48"/>
    </row>
    <row r="621" spans="1:48" ht="12.75" customHeight="1" x14ac:dyDescent="0.25">
      <c r="A621" s="72" t="s">
        <v>23</v>
      </c>
      <c r="B621" s="43" t="s">
        <v>159</v>
      </c>
      <c r="C621" s="44" t="s">
        <v>771</v>
      </c>
      <c r="D621" s="45">
        <f>MROUND(MID($C621,6,3)/Basis!$E$3,0.5)</f>
        <v>35.5</v>
      </c>
      <c r="E621" s="45">
        <f>MROUND(MID($C621,9,3)/Basis!$E$3,0.5)</f>
        <v>23.5</v>
      </c>
      <c r="F621" s="124" t="s">
        <v>2948</v>
      </c>
      <c r="G621" s="45">
        <f>ROUND((ROUNDDOWN($F621/5,0)*5+1.8)/Basis!$E$3,1)</f>
        <v>8.6</v>
      </c>
      <c r="H621" s="120">
        <f>ROUND($P621*Basis!$E$2*((TaH-TrH)/LN(1/µ)/Basis!$E$7)^$N621*$AA$4*Glycol,0)</f>
        <v>4677</v>
      </c>
      <c r="I621" s="83">
        <f>ROUND(H621/(MID($C621,9,3)/Basis!$E$3/Basis!$E$9)*Basis!$E$11,0)</f>
        <v>2376</v>
      </c>
      <c r="J621" s="123">
        <f>IF(Basis!$E$1=1,ROUND(H621/((TaH-TrH)*1.163)/3600,3),ROUND(H621/(500*(TaH-TrH)),2))</f>
        <v>0.47</v>
      </c>
      <c r="K621" s="84"/>
      <c r="L621" s="177">
        <f>CHOOSE(Basis!$E$1,((AJ621*(J621*3600/Basis!$E$5)^AK621*(((MID(C621,9,3)*10)-144)/1000)*AL621+AM621*(J621*3600/Basis!$E$5)^2)*0.0098)/Basis!$E$10,((AJ621*(J621/Basis!$E$5)^AK621*(((MID(C621,9,3)*10)-144)/1000)*AL621+AM621*(J621/Basis!$E$5)^2)*0.0098)/Basis!$E$10)</f>
        <v>2.1524781815841925E-2</v>
      </c>
      <c r="M621" s="85"/>
      <c r="N621" s="109">
        <v>1.518</v>
      </c>
      <c r="O621" s="68"/>
      <c r="P621" s="67">
        <v>2262</v>
      </c>
      <c r="Q621" s="68"/>
      <c r="R621" s="69"/>
      <c r="S621" s="69"/>
      <c r="T621" s="69"/>
      <c r="U621" s="69"/>
      <c r="V621" s="69"/>
      <c r="W621" s="68"/>
      <c r="X621" s="70"/>
      <c r="Y621" s="70"/>
      <c r="Z621" s="70"/>
      <c r="AA621" s="70"/>
      <c r="AB621" s="70"/>
      <c r="AC621" s="68"/>
      <c r="AD621" s="71"/>
      <c r="AE621" s="71"/>
      <c r="AF621" s="71"/>
      <c r="AG621" s="71"/>
      <c r="AH621" s="71"/>
      <c r="AI621" s="68"/>
      <c r="AJ621" s="214">
        <v>1.2760000000000001E-4</v>
      </c>
      <c r="AK621" s="214">
        <v>1.7219</v>
      </c>
      <c r="AL621" s="214">
        <v>4</v>
      </c>
      <c r="AM621" s="214">
        <v>5.1420100000000005E-4</v>
      </c>
      <c r="AN621" s="68"/>
      <c r="AO621" s="67"/>
      <c r="AP621" s="67"/>
      <c r="AQ621" s="67"/>
      <c r="AR621" s="67"/>
      <c r="AS621" s="67"/>
      <c r="AT621" s="68"/>
      <c r="AU621" s="49"/>
      <c r="AV621" s="50"/>
    </row>
    <row r="622" spans="1:48" ht="12.75" customHeight="1" x14ac:dyDescent="0.25">
      <c r="A622" s="72" t="s">
        <v>23</v>
      </c>
      <c r="B622" s="43" t="s">
        <v>159</v>
      </c>
      <c r="C622" s="44" t="s">
        <v>772</v>
      </c>
      <c r="D622" s="45">
        <f>MROUND(MID($C622,6,3)/Basis!$E$3,0.5)</f>
        <v>35.5</v>
      </c>
      <c r="E622" s="45">
        <f>MROUND(MID($C622,9,3)/Basis!$E$3,0.5)</f>
        <v>27.5</v>
      </c>
      <c r="F622" s="124" t="s">
        <v>2943</v>
      </c>
      <c r="G622" s="45">
        <f>ROUND((ROUNDDOWN($F622/5,0)*5+1.8)/Basis!$E$3,1)</f>
        <v>4.5999999999999996</v>
      </c>
      <c r="H622" s="120">
        <f>ROUND($P622*Basis!$E$2*((TaH-TrH)/LN(1/µ)/Basis!$E$7)^$N622*$AA$4*Glycol,0)</f>
        <v>2095</v>
      </c>
      <c r="I622" s="83">
        <f>ROUND(H622/(MID($C622,9,3)/Basis!$E$3/Basis!$E$9)*Basis!$E$11,0)</f>
        <v>912</v>
      </c>
      <c r="J622" s="123">
        <f>IF(Basis!$E$1=1,ROUND(H622/((TaH-TrH)*1.163)/3600,3),ROUND(H622/(500*(TaH-TrH)),2))</f>
        <v>0.21</v>
      </c>
      <c r="K622" s="84"/>
      <c r="L622" s="177">
        <f>CHOOSE(Basis!$E$1,((AJ622*(J622*3600/Basis!$E$5)^AK622*(((MID(C622,9,3)*10)-144)/1000)*AL622+AM622*(J622*3600/Basis!$E$5)^2)*0.0098)/Basis!$E$10,((AJ622*(J622/Basis!$E$5)^AK622*(((MID(C622,9,3)*10)-144)/1000)*AL622+AM622*(J622/Basis!$E$5)^2)*0.0098)/Basis!$E$10)</f>
        <v>3.9095090178842707E-3</v>
      </c>
      <c r="M622" s="85"/>
      <c r="N622" s="109">
        <v>1.3480000000000001</v>
      </c>
      <c r="O622" s="68"/>
      <c r="P622" s="67">
        <v>958</v>
      </c>
      <c r="Q622" s="68"/>
      <c r="R622" s="69"/>
      <c r="S622" s="69"/>
      <c r="T622" s="69"/>
      <c r="U622" s="69"/>
      <c r="V622" s="69"/>
      <c r="W622" s="68"/>
      <c r="X622" s="70"/>
      <c r="Y622" s="70"/>
      <c r="Z622" s="70"/>
      <c r="AA622" s="70"/>
      <c r="AB622" s="70"/>
      <c r="AC622" s="68"/>
      <c r="AD622" s="71"/>
      <c r="AE622" s="71"/>
      <c r="AF622" s="71"/>
      <c r="AG622" s="71"/>
      <c r="AH622" s="71"/>
      <c r="AI622" s="68"/>
      <c r="AJ622" s="214">
        <v>3.9689999999999994E-4</v>
      </c>
      <c r="AK622" s="214">
        <v>1.7345999999999999</v>
      </c>
      <c r="AL622" s="214">
        <v>2</v>
      </c>
      <c r="AM622" s="214">
        <v>3.6734700000000002E-4</v>
      </c>
      <c r="AN622" s="68"/>
      <c r="AO622" s="67"/>
      <c r="AP622" s="67"/>
      <c r="AQ622" s="67"/>
      <c r="AR622" s="67"/>
      <c r="AS622" s="67"/>
      <c r="AT622" s="68"/>
      <c r="AU622" s="49"/>
      <c r="AV622" s="50"/>
    </row>
    <row r="623" spans="1:48" ht="12.75" customHeight="1" x14ac:dyDescent="0.25">
      <c r="A623" s="72" t="s">
        <v>23</v>
      </c>
      <c r="B623" s="43" t="s">
        <v>159</v>
      </c>
      <c r="C623" s="44" t="s">
        <v>773</v>
      </c>
      <c r="D623" s="45">
        <f>MROUND(MID($C623,6,3)/Basis!$E$3,0.5)</f>
        <v>35.5</v>
      </c>
      <c r="E623" s="45">
        <f>MROUND(MID($C623,9,3)/Basis!$E$3,0.5)</f>
        <v>27.5</v>
      </c>
      <c r="F623" s="124" t="s">
        <v>2946</v>
      </c>
      <c r="G623" s="45">
        <f>ROUND((ROUNDDOWN($F623/5,0)*5+1.8)/Basis!$E$3,1)</f>
        <v>4.5999999999999996</v>
      </c>
      <c r="H623" s="120">
        <f>ROUND($P623*Basis!$E$2*((TaH-TrH)/LN(1/µ)/Basis!$E$7)^$N623*$AA$4*Glycol,0)</f>
        <v>2617</v>
      </c>
      <c r="I623" s="83">
        <f>ROUND(H623/(MID($C623,9,3)/Basis!$E$3/Basis!$E$9)*Basis!$E$11,0)</f>
        <v>1140</v>
      </c>
      <c r="J623" s="123">
        <f>IF(Basis!$E$1=1,ROUND(H623/((TaH-TrH)*1.163)/3600,3),ROUND(H623/(500*(TaH-TrH)),2))</f>
        <v>0.26</v>
      </c>
      <c r="K623" s="84"/>
      <c r="L623" s="177">
        <f>CHOOSE(Basis!$E$1,((AJ623*(J623*3600/Basis!$E$5)^AK623*(((MID(C623,9,3)*10)-144)/1000)*AL623+AM623*(J623*3600/Basis!$E$5)^2)*0.0098)/Basis!$E$10,((AJ623*(J623/Basis!$E$5)^AK623*(((MID(C623,9,3)*10)-144)/1000)*AL623+AM623*(J623/Basis!$E$5)^2)*0.0098)/Basis!$E$10)</f>
        <v>9.9577968324637816E-3</v>
      </c>
      <c r="M623" s="85"/>
      <c r="N623" s="110">
        <v>1.4339999999999999</v>
      </c>
      <c r="O623" s="74"/>
      <c r="P623" s="73">
        <v>1231</v>
      </c>
      <c r="Q623" s="74"/>
      <c r="R623" s="75"/>
      <c r="S623" s="75"/>
      <c r="T623" s="75"/>
      <c r="U623" s="75"/>
      <c r="V623" s="75"/>
      <c r="W623" s="74"/>
      <c r="X623" s="76"/>
      <c r="Y623" s="76"/>
      <c r="Z623" s="76"/>
      <c r="AA623" s="76"/>
      <c r="AB623" s="76"/>
      <c r="AC623" s="74"/>
      <c r="AD623" s="77"/>
      <c r="AE623" s="77"/>
      <c r="AF623" s="77"/>
      <c r="AG623" s="77"/>
      <c r="AH623" s="77"/>
      <c r="AI623" s="68"/>
      <c r="AJ623" s="213">
        <v>3.9689999999999994E-4</v>
      </c>
      <c r="AK623" s="213">
        <v>1.7345999999999999</v>
      </c>
      <c r="AL623" s="213">
        <v>4</v>
      </c>
      <c r="AM623" s="213">
        <v>5.7428799999999995E-4</v>
      </c>
      <c r="AN623" s="74"/>
      <c r="AO623" s="73"/>
      <c r="AP623" s="73"/>
      <c r="AQ623" s="73"/>
      <c r="AR623" s="73"/>
      <c r="AS623" s="73"/>
      <c r="AT623" s="74"/>
      <c r="AU623" s="47"/>
      <c r="AV623" s="48"/>
    </row>
    <row r="624" spans="1:48" ht="12.75" customHeight="1" x14ac:dyDescent="0.25">
      <c r="A624" s="72" t="s">
        <v>23</v>
      </c>
      <c r="B624" s="43" t="s">
        <v>159</v>
      </c>
      <c r="C624" s="44" t="s">
        <v>774</v>
      </c>
      <c r="D624" s="45">
        <f>MROUND(MID($C624,6,3)/Basis!$E$3,0.5)</f>
        <v>35.5</v>
      </c>
      <c r="E624" s="45">
        <f>MROUND(MID($C624,9,3)/Basis!$E$3,0.5)</f>
        <v>27.5</v>
      </c>
      <c r="F624" s="124" t="s">
        <v>2944</v>
      </c>
      <c r="G624" s="45">
        <f>ROUND((ROUNDDOWN($F624/5,0)*5+1.8)/Basis!$E$3,1)</f>
        <v>6.6</v>
      </c>
      <c r="H624" s="120">
        <f>ROUND($P624*Basis!$E$2*((TaH-TrH)/LN(1/µ)/Basis!$E$7)^$N624*$AA$4*Glycol,0)</f>
        <v>3269</v>
      </c>
      <c r="I624" s="83">
        <f>ROUND(H624/(MID($C624,9,3)/Basis!$E$3/Basis!$E$9)*Basis!$E$11,0)</f>
        <v>1423</v>
      </c>
      <c r="J624" s="123">
        <f>IF(Basis!$E$1=1,ROUND(H624/((TaH-TrH)*1.163)/3600,3),ROUND(H624/(500*(TaH-TrH)),2))</f>
        <v>0.33</v>
      </c>
      <c r="K624" s="84"/>
      <c r="L624" s="177">
        <f>CHOOSE(Basis!$E$1,((AJ624*(J624*3600/Basis!$E$5)^AK624*(((MID(C624,9,3)*10)-144)/1000)*AL624+AM624*(J624*3600/Basis!$E$5)^2)*0.0098)/Basis!$E$10,((AJ624*(J624/Basis!$E$5)^AK624*(((MID(C624,9,3)*10)-144)/1000)*AL624+AM624*(J624/Basis!$E$5)^2)*0.0098)/Basis!$E$10)</f>
        <v>9.7754350889440005E-3</v>
      </c>
      <c r="M624" s="85"/>
      <c r="N624" s="110">
        <v>1.3260000000000001</v>
      </c>
      <c r="O624" s="74"/>
      <c r="P624" s="73">
        <v>1484</v>
      </c>
      <c r="Q624" s="74"/>
      <c r="R624" s="75"/>
      <c r="S624" s="75"/>
      <c r="T624" s="75"/>
      <c r="U624" s="75"/>
      <c r="V624" s="75"/>
      <c r="W624" s="74"/>
      <c r="X624" s="76"/>
      <c r="Y624" s="76"/>
      <c r="Z624" s="76"/>
      <c r="AA624" s="76"/>
      <c r="AB624" s="76"/>
      <c r="AC624" s="74"/>
      <c r="AD624" s="77"/>
      <c r="AE624" s="77"/>
      <c r="AF624" s="77"/>
      <c r="AG624" s="77"/>
      <c r="AH624" s="77"/>
      <c r="AI624" s="68"/>
      <c r="AJ624" s="213">
        <v>2.0829999999999999E-4</v>
      </c>
      <c r="AK624" s="213">
        <v>1.724</v>
      </c>
      <c r="AL624" s="213">
        <v>2</v>
      </c>
      <c r="AM624" s="213">
        <v>4.6182900000000003E-4</v>
      </c>
      <c r="AN624" s="74"/>
      <c r="AO624" s="73"/>
      <c r="AP624" s="73"/>
      <c r="AQ624" s="73"/>
      <c r="AR624" s="73"/>
      <c r="AS624" s="73"/>
      <c r="AT624" s="74"/>
      <c r="AU624" s="47"/>
      <c r="AV624" s="48"/>
    </row>
    <row r="625" spans="1:48" ht="12.75" customHeight="1" x14ac:dyDescent="0.25">
      <c r="A625" s="72" t="s">
        <v>23</v>
      </c>
      <c r="B625" s="43" t="s">
        <v>159</v>
      </c>
      <c r="C625" s="44" t="s">
        <v>775</v>
      </c>
      <c r="D625" s="45">
        <f>MROUND(MID($C625,6,3)/Basis!$E$3,0.5)</f>
        <v>35.5</v>
      </c>
      <c r="E625" s="45">
        <f>MROUND(MID($C625,9,3)/Basis!$E$3,0.5)</f>
        <v>27.5</v>
      </c>
      <c r="F625" s="124" t="s">
        <v>2947</v>
      </c>
      <c r="G625" s="45">
        <f>ROUND((ROUNDDOWN($F625/5,0)*5+1.8)/Basis!$E$3,1)</f>
        <v>6.6</v>
      </c>
      <c r="H625" s="120">
        <f>ROUND($P625*Basis!$E$2*((TaH-TrH)/LN(1/µ)/Basis!$E$7)^$N625*$AA$4*Glycol,0)</f>
        <v>3804</v>
      </c>
      <c r="I625" s="83">
        <f>ROUND(H625/(MID($C625,9,3)/Basis!$E$3/Basis!$E$9)*Basis!$E$11,0)</f>
        <v>1656</v>
      </c>
      <c r="J625" s="123">
        <f>IF(Basis!$E$1=1,ROUND(H625/((TaH-TrH)*1.163)/3600,3),ROUND(H625/(500*(TaH-TrH)),2))</f>
        <v>0.38</v>
      </c>
      <c r="K625" s="84"/>
      <c r="L625" s="177">
        <f>CHOOSE(Basis!$E$1,((AJ625*(J625*3600/Basis!$E$5)^AK625*(((MID(C625,9,3)*10)-144)/1000)*AL625+AM625*(J625*3600/Basis!$E$5)^2)*0.0098)/Basis!$E$10,((AJ625*(J625/Basis!$E$5)^AK625*(((MID(C625,9,3)*10)-144)/1000)*AL625+AM625*(J625/Basis!$E$5)^2)*0.0098)/Basis!$E$10)</f>
        <v>3.7219607178618844E-2</v>
      </c>
      <c r="M625" s="85"/>
      <c r="N625" s="109">
        <v>1.48</v>
      </c>
      <c r="O625" s="68"/>
      <c r="P625" s="67">
        <v>1817</v>
      </c>
      <c r="Q625" s="68"/>
      <c r="R625" s="69"/>
      <c r="S625" s="69"/>
      <c r="T625" s="69"/>
      <c r="U625" s="69"/>
      <c r="V625" s="69"/>
      <c r="W625" s="68"/>
      <c r="X625" s="70"/>
      <c r="Y625" s="70"/>
      <c r="Z625" s="70"/>
      <c r="AA625" s="70"/>
      <c r="AB625" s="70"/>
      <c r="AC625" s="68"/>
      <c r="AD625" s="71"/>
      <c r="AE625" s="71"/>
      <c r="AF625" s="71"/>
      <c r="AG625" s="71"/>
      <c r="AH625" s="71"/>
      <c r="AI625" s="68"/>
      <c r="AJ625" s="214">
        <v>2.0829999999999999E-4</v>
      </c>
      <c r="AK625" s="214">
        <v>1.724</v>
      </c>
      <c r="AL625" s="214">
        <v>4</v>
      </c>
      <c r="AM625" s="214">
        <v>1.392796E-3</v>
      </c>
      <c r="AN625" s="68"/>
      <c r="AO625" s="67"/>
      <c r="AP625" s="67"/>
      <c r="AQ625" s="67"/>
      <c r="AR625" s="67"/>
      <c r="AS625" s="67"/>
      <c r="AT625" s="68"/>
      <c r="AU625" s="49"/>
      <c r="AV625" s="50"/>
    </row>
    <row r="626" spans="1:48" ht="12.75" customHeight="1" x14ac:dyDescent="0.25">
      <c r="A626" s="72" t="s">
        <v>23</v>
      </c>
      <c r="B626" s="43" t="s">
        <v>159</v>
      </c>
      <c r="C626" s="44" t="s">
        <v>776</v>
      </c>
      <c r="D626" s="45">
        <f>MROUND(MID($C626,6,3)/Basis!$E$3,0.5)</f>
        <v>35.5</v>
      </c>
      <c r="E626" s="45">
        <f>MROUND(MID($C626,9,3)/Basis!$E$3,0.5)</f>
        <v>27.5</v>
      </c>
      <c r="F626" s="124" t="s">
        <v>2945</v>
      </c>
      <c r="G626" s="45">
        <f>ROUND((ROUNDDOWN($F626/5,0)*5+1.8)/Basis!$E$3,1)</f>
        <v>8.6</v>
      </c>
      <c r="H626" s="120">
        <f>ROUND($P626*Basis!$E$2*((TaH-TrH)/LN(1/µ)/Basis!$E$7)^$N626*$AA$4*Glycol,0)</f>
        <v>4560</v>
      </c>
      <c r="I626" s="83">
        <f>ROUND(H626/(MID($C626,9,3)/Basis!$E$3/Basis!$E$9)*Basis!$E$11,0)</f>
        <v>1986</v>
      </c>
      <c r="J626" s="123">
        <f>IF(Basis!$E$1=1,ROUND(H626/((TaH-TrH)*1.163)/3600,3),ROUND(H626/(500*(TaH-TrH)),2))</f>
        <v>0.46</v>
      </c>
      <c r="K626" s="84"/>
      <c r="L626" s="177">
        <f>CHOOSE(Basis!$E$1,((AJ626*(J626*3600/Basis!$E$5)^AK626*(((MID(C626,9,3)*10)-144)/1000)*AL626+AM626*(J626*3600/Basis!$E$5)^2)*0.0098)/Basis!$E$10,((AJ626*(J626/Basis!$E$5)^AK626*(((MID(C626,9,3)*10)-144)/1000)*AL626+AM626*(J626/Basis!$E$5)^2)*0.0098)/Basis!$E$10)</f>
        <v>1.4831490587558801E-2</v>
      </c>
      <c r="M626" s="85"/>
      <c r="N626" s="109">
        <v>1.3260000000000001</v>
      </c>
      <c r="O626" s="68"/>
      <c r="P626" s="67">
        <v>2070</v>
      </c>
      <c r="Q626" s="68"/>
      <c r="R626" s="69"/>
      <c r="S626" s="69"/>
      <c r="T626" s="69"/>
      <c r="U626" s="69"/>
      <c r="V626" s="69"/>
      <c r="W626" s="68"/>
      <c r="X626" s="70"/>
      <c r="Y626" s="70"/>
      <c r="Z626" s="70"/>
      <c r="AA626" s="70"/>
      <c r="AB626" s="70"/>
      <c r="AC626" s="68"/>
      <c r="AD626" s="71"/>
      <c r="AE626" s="71"/>
      <c r="AF626" s="71"/>
      <c r="AG626" s="71"/>
      <c r="AH626" s="71"/>
      <c r="AI626" s="68"/>
      <c r="AJ626" s="214">
        <v>1.2760000000000001E-4</v>
      </c>
      <c r="AK626" s="214">
        <v>1.7219</v>
      </c>
      <c r="AL626" s="214">
        <v>2</v>
      </c>
      <c r="AM626" s="214">
        <v>3.76611E-4</v>
      </c>
      <c r="AN626" s="68"/>
      <c r="AO626" s="67"/>
      <c r="AP626" s="67"/>
      <c r="AQ626" s="67"/>
      <c r="AR626" s="67"/>
      <c r="AS626" s="67"/>
      <c r="AT626" s="68"/>
      <c r="AU626" s="49"/>
      <c r="AV626" s="50"/>
    </row>
    <row r="627" spans="1:48" ht="12.75" customHeight="1" x14ac:dyDescent="0.25">
      <c r="A627" s="72" t="s">
        <v>23</v>
      </c>
      <c r="B627" s="43" t="s">
        <v>159</v>
      </c>
      <c r="C627" s="44" t="s">
        <v>777</v>
      </c>
      <c r="D627" s="45">
        <f>MROUND(MID($C627,6,3)/Basis!$E$3,0.5)</f>
        <v>35.5</v>
      </c>
      <c r="E627" s="45">
        <f>MROUND(MID($C627,9,3)/Basis!$E$3,0.5)</f>
        <v>27.5</v>
      </c>
      <c r="F627" s="124" t="s">
        <v>2948</v>
      </c>
      <c r="G627" s="45">
        <f>ROUND((ROUNDDOWN($F627/5,0)*5+1.8)/Basis!$E$3,1)</f>
        <v>8.6</v>
      </c>
      <c r="H627" s="120">
        <f>ROUND($P627*Basis!$E$2*((TaH-TrH)/LN(1/µ)/Basis!$E$7)^$N627*$AA$4*Glycol,0)</f>
        <v>5456</v>
      </c>
      <c r="I627" s="83">
        <f>ROUND(H627/(MID($C627,9,3)/Basis!$E$3/Basis!$E$9)*Basis!$E$11,0)</f>
        <v>2376</v>
      </c>
      <c r="J627" s="123">
        <f>IF(Basis!$E$1=1,ROUND(H627/((TaH-TrH)*1.163)/3600,3),ROUND(H627/(500*(TaH-TrH)),2))</f>
        <v>0.55000000000000004</v>
      </c>
      <c r="K627" s="84"/>
      <c r="L627" s="177">
        <f>CHOOSE(Basis!$E$1,((AJ627*(J627*3600/Basis!$E$5)^AK627*(((MID(C627,9,3)*10)-144)/1000)*AL627+AM627*(J627*3600/Basis!$E$5)^2)*0.0098)/Basis!$E$10,((AJ627*(J627/Basis!$E$5)^AK627*(((MID(C627,9,3)*10)-144)/1000)*AL627+AM627*(J627/Basis!$E$5)^2)*0.0098)/Basis!$E$10)</f>
        <v>3.0017559546009744E-2</v>
      </c>
      <c r="M627" s="85"/>
      <c r="N627" s="110">
        <v>1.518</v>
      </c>
      <c r="O627" s="74"/>
      <c r="P627" s="73">
        <v>2639</v>
      </c>
      <c r="Q627" s="74"/>
      <c r="R627" s="75"/>
      <c r="S627" s="75"/>
      <c r="T627" s="75"/>
      <c r="U627" s="75"/>
      <c r="V627" s="75"/>
      <c r="W627" s="74"/>
      <c r="X627" s="76"/>
      <c r="Y627" s="76"/>
      <c r="Z627" s="76"/>
      <c r="AA627" s="76"/>
      <c r="AB627" s="76"/>
      <c r="AC627" s="74"/>
      <c r="AD627" s="77"/>
      <c r="AE627" s="77"/>
      <c r="AF627" s="77"/>
      <c r="AG627" s="77"/>
      <c r="AH627" s="77"/>
      <c r="AI627" s="68"/>
      <c r="AJ627" s="213">
        <v>1.2760000000000001E-4</v>
      </c>
      <c r="AK627" s="213">
        <v>1.7219</v>
      </c>
      <c r="AL627" s="213">
        <v>4</v>
      </c>
      <c r="AM627" s="213">
        <v>5.1420100000000005E-4</v>
      </c>
      <c r="AN627" s="74"/>
      <c r="AO627" s="73"/>
      <c r="AP627" s="73"/>
      <c r="AQ627" s="73"/>
      <c r="AR627" s="73"/>
      <c r="AS627" s="73"/>
      <c r="AT627" s="74"/>
      <c r="AU627" s="47"/>
      <c r="AV627" s="48"/>
    </row>
    <row r="628" spans="1:48" ht="12.75" customHeight="1" x14ac:dyDescent="0.25">
      <c r="A628" s="72" t="s">
        <v>23</v>
      </c>
      <c r="B628" s="43" t="s">
        <v>159</v>
      </c>
      <c r="C628" s="44" t="s">
        <v>778</v>
      </c>
      <c r="D628" s="45">
        <f>MROUND(MID($C628,6,3)/Basis!$E$3,0.5)</f>
        <v>35.5</v>
      </c>
      <c r="E628" s="45">
        <f>MROUND(MID($C628,9,3)/Basis!$E$3,0.5)</f>
        <v>31.5</v>
      </c>
      <c r="F628" s="124" t="s">
        <v>2943</v>
      </c>
      <c r="G628" s="45">
        <f>ROUND((ROUNDDOWN($F628/5,0)*5+1.8)/Basis!$E$3,1)</f>
        <v>4.5999999999999996</v>
      </c>
      <c r="H628" s="120">
        <f>ROUND($P628*Basis!$E$2*((TaH-TrH)/LN(1/µ)/Basis!$E$7)^$N628*$AA$4*Glycol,0)</f>
        <v>2395</v>
      </c>
      <c r="I628" s="83">
        <f>ROUND(H628/(MID($C628,9,3)/Basis!$E$3/Basis!$E$9)*Basis!$E$11,0)</f>
        <v>912</v>
      </c>
      <c r="J628" s="123">
        <f>IF(Basis!$E$1=1,ROUND(H628/((TaH-TrH)*1.163)/3600,3),ROUND(H628/(500*(TaH-TrH)),2))</f>
        <v>0.24</v>
      </c>
      <c r="K628" s="84"/>
      <c r="L628" s="177">
        <f>CHOOSE(Basis!$E$1,((AJ628*(J628*3600/Basis!$E$5)^AK628*(((MID(C628,9,3)*10)-144)/1000)*AL628+AM628*(J628*3600/Basis!$E$5)^2)*0.0098)/Basis!$E$10,((AJ628*(J628/Basis!$E$5)^AK628*(((MID(C628,9,3)*10)-144)/1000)*AL628+AM628*(J628/Basis!$E$5)^2)*0.0098)/Basis!$E$10)</f>
        <v>5.3196471560655973E-3</v>
      </c>
      <c r="M628" s="85"/>
      <c r="N628" s="110">
        <v>1.3480000000000001</v>
      </c>
      <c r="O628" s="74"/>
      <c r="P628" s="73">
        <v>1095</v>
      </c>
      <c r="Q628" s="74"/>
      <c r="R628" s="75"/>
      <c r="S628" s="75"/>
      <c r="T628" s="75"/>
      <c r="U628" s="75"/>
      <c r="V628" s="75"/>
      <c r="W628" s="74"/>
      <c r="X628" s="76"/>
      <c r="Y628" s="76"/>
      <c r="Z628" s="76"/>
      <c r="AA628" s="76"/>
      <c r="AB628" s="76"/>
      <c r="AC628" s="74"/>
      <c r="AD628" s="77"/>
      <c r="AE628" s="77"/>
      <c r="AF628" s="77"/>
      <c r="AG628" s="77"/>
      <c r="AH628" s="77"/>
      <c r="AI628" s="68"/>
      <c r="AJ628" s="213">
        <v>3.9689999999999994E-4</v>
      </c>
      <c r="AK628" s="213">
        <v>1.7345999999999999</v>
      </c>
      <c r="AL628" s="213">
        <v>2</v>
      </c>
      <c r="AM628" s="213">
        <v>3.6734700000000002E-4</v>
      </c>
      <c r="AN628" s="74"/>
      <c r="AO628" s="73"/>
      <c r="AP628" s="73"/>
      <c r="AQ628" s="73"/>
      <c r="AR628" s="73"/>
      <c r="AS628" s="73"/>
      <c r="AT628" s="74"/>
      <c r="AU628" s="47"/>
      <c r="AV628" s="48"/>
    </row>
    <row r="629" spans="1:48" ht="12.75" customHeight="1" x14ac:dyDescent="0.25">
      <c r="A629" s="72" t="s">
        <v>23</v>
      </c>
      <c r="B629" s="43" t="s">
        <v>159</v>
      </c>
      <c r="C629" s="44" t="s">
        <v>779</v>
      </c>
      <c r="D629" s="45">
        <f>MROUND(MID($C629,6,3)/Basis!$E$3,0.5)</f>
        <v>35.5</v>
      </c>
      <c r="E629" s="45">
        <f>MROUND(MID($C629,9,3)/Basis!$E$3,0.5)</f>
        <v>31.5</v>
      </c>
      <c r="F629" s="124" t="s">
        <v>2946</v>
      </c>
      <c r="G629" s="45">
        <f>ROUND((ROUNDDOWN($F629/5,0)*5+1.8)/Basis!$E$3,1)</f>
        <v>4.5999999999999996</v>
      </c>
      <c r="H629" s="120">
        <f>ROUND($P629*Basis!$E$2*((TaH-TrH)/LN(1/µ)/Basis!$E$7)^$N629*$AA$4*Glycol,0)</f>
        <v>2989</v>
      </c>
      <c r="I629" s="83">
        <f>ROUND(H629/(MID($C629,9,3)/Basis!$E$3/Basis!$E$9)*Basis!$E$11,0)</f>
        <v>1139</v>
      </c>
      <c r="J629" s="123">
        <f>IF(Basis!$E$1=1,ROUND(H629/((TaH-TrH)*1.163)/3600,3),ROUND(H629/(500*(TaH-TrH)),2))</f>
        <v>0.3</v>
      </c>
      <c r="K629" s="84"/>
      <c r="L629" s="177">
        <f>CHOOSE(Basis!$E$1,((AJ629*(J629*3600/Basis!$E$5)^AK629*(((MID(C629,9,3)*10)-144)/1000)*AL629+AM629*(J629*3600/Basis!$E$5)^2)*0.0098)/Basis!$E$10,((AJ629*(J629/Basis!$E$5)^AK629*(((MID(C629,9,3)*10)-144)/1000)*AL629+AM629*(J629/Basis!$E$5)^2)*0.0098)/Basis!$E$10)</f>
        <v>1.3874286774563243E-2</v>
      </c>
      <c r="M629" s="85"/>
      <c r="N629" s="109">
        <v>1.4339999999999999</v>
      </c>
      <c r="O629" s="68"/>
      <c r="P629" s="67">
        <v>1406</v>
      </c>
      <c r="Q629" s="68"/>
      <c r="R629" s="69"/>
      <c r="S629" s="69"/>
      <c r="T629" s="69"/>
      <c r="U629" s="69"/>
      <c r="V629" s="69"/>
      <c r="W629" s="68"/>
      <c r="X629" s="70"/>
      <c r="Y629" s="70"/>
      <c r="Z629" s="70"/>
      <c r="AA629" s="70"/>
      <c r="AB629" s="70"/>
      <c r="AC629" s="68"/>
      <c r="AD629" s="71"/>
      <c r="AE629" s="71"/>
      <c r="AF629" s="71"/>
      <c r="AG629" s="71"/>
      <c r="AH629" s="71"/>
      <c r="AI629" s="68"/>
      <c r="AJ629" s="214">
        <v>3.9689999999999994E-4</v>
      </c>
      <c r="AK629" s="214">
        <v>1.7345999999999999</v>
      </c>
      <c r="AL629" s="214">
        <v>4</v>
      </c>
      <c r="AM629" s="214">
        <v>5.7428799999999995E-4</v>
      </c>
      <c r="AN629" s="68"/>
      <c r="AO629" s="67"/>
      <c r="AP629" s="67"/>
      <c r="AQ629" s="67"/>
      <c r="AR629" s="67"/>
      <c r="AS629" s="67"/>
      <c r="AT629" s="68"/>
      <c r="AU629" s="49"/>
      <c r="AV629" s="50"/>
    </row>
    <row r="630" spans="1:48" ht="12.75" customHeight="1" x14ac:dyDescent="0.25">
      <c r="A630" s="72" t="s">
        <v>23</v>
      </c>
      <c r="B630" s="43" t="s">
        <v>159</v>
      </c>
      <c r="C630" s="44" t="s">
        <v>780</v>
      </c>
      <c r="D630" s="45">
        <f>MROUND(MID($C630,6,3)/Basis!$E$3,0.5)</f>
        <v>35.5</v>
      </c>
      <c r="E630" s="45">
        <f>MROUND(MID($C630,9,3)/Basis!$E$3,0.5)</f>
        <v>31.5</v>
      </c>
      <c r="F630" s="124" t="s">
        <v>2944</v>
      </c>
      <c r="G630" s="45">
        <f>ROUND((ROUNDDOWN($F630/5,0)*5+1.8)/Basis!$E$3,1)</f>
        <v>6.6</v>
      </c>
      <c r="H630" s="120">
        <f>ROUND($P630*Basis!$E$2*((TaH-TrH)/LN(1/µ)/Basis!$E$7)^$N630*$AA$4*Glycol,0)</f>
        <v>3736</v>
      </c>
      <c r="I630" s="83">
        <f>ROUND(H630/(MID($C630,9,3)/Basis!$E$3/Basis!$E$9)*Basis!$E$11,0)</f>
        <v>1423</v>
      </c>
      <c r="J630" s="123">
        <f>IF(Basis!$E$1=1,ROUND(H630/((TaH-TrH)*1.163)/3600,3),ROUND(H630/(500*(TaH-TrH)),2))</f>
        <v>0.37</v>
      </c>
      <c r="K630" s="84"/>
      <c r="L630" s="177">
        <f>CHOOSE(Basis!$E$1,((AJ630*(J630*3600/Basis!$E$5)^AK630*(((MID(C630,9,3)*10)-144)/1000)*AL630+AM630*(J630*3600/Basis!$E$5)^2)*0.0098)/Basis!$E$10,((AJ630*(J630/Basis!$E$5)^AK630*(((MID(C630,9,3)*10)-144)/1000)*AL630+AM630*(J630/Basis!$E$5)^2)*0.0098)/Basis!$E$10)</f>
        <v>1.2521503545399319E-2</v>
      </c>
      <c r="M630" s="85"/>
      <c r="N630" s="109">
        <v>1.3260000000000001</v>
      </c>
      <c r="O630" s="68"/>
      <c r="P630" s="67">
        <v>1696</v>
      </c>
      <c r="Q630" s="68"/>
      <c r="R630" s="69"/>
      <c r="S630" s="69"/>
      <c r="T630" s="69"/>
      <c r="U630" s="69"/>
      <c r="V630" s="69"/>
      <c r="W630" s="68"/>
      <c r="X630" s="70"/>
      <c r="Y630" s="70"/>
      <c r="Z630" s="70"/>
      <c r="AA630" s="70"/>
      <c r="AB630" s="70"/>
      <c r="AC630" s="68"/>
      <c r="AD630" s="71"/>
      <c r="AE630" s="71"/>
      <c r="AF630" s="71"/>
      <c r="AG630" s="71"/>
      <c r="AH630" s="71"/>
      <c r="AI630" s="68"/>
      <c r="AJ630" s="214">
        <v>2.0829999999999999E-4</v>
      </c>
      <c r="AK630" s="214">
        <v>1.724</v>
      </c>
      <c r="AL630" s="214">
        <v>2</v>
      </c>
      <c r="AM630" s="214">
        <v>4.6182900000000003E-4</v>
      </c>
      <c r="AN630" s="68"/>
      <c r="AO630" s="67"/>
      <c r="AP630" s="67"/>
      <c r="AQ630" s="67"/>
      <c r="AR630" s="67"/>
      <c r="AS630" s="67"/>
      <c r="AT630" s="68"/>
      <c r="AU630" s="49"/>
      <c r="AV630" s="50"/>
    </row>
    <row r="631" spans="1:48" ht="12.75" customHeight="1" x14ac:dyDescent="0.25">
      <c r="A631" s="72" t="s">
        <v>23</v>
      </c>
      <c r="B631" s="43" t="s">
        <v>159</v>
      </c>
      <c r="C631" s="44" t="s">
        <v>781</v>
      </c>
      <c r="D631" s="45">
        <f>MROUND(MID($C631,6,3)/Basis!$E$3,0.5)</f>
        <v>35.5</v>
      </c>
      <c r="E631" s="45">
        <f>MROUND(MID($C631,9,3)/Basis!$E$3,0.5)</f>
        <v>31.5</v>
      </c>
      <c r="F631" s="124" t="s">
        <v>2947</v>
      </c>
      <c r="G631" s="45">
        <f>ROUND((ROUNDDOWN($F631/5,0)*5+1.8)/Basis!$E$3,1)</f>
        <v>6.6</v>
      </c>
      <c r="H631" s="120">
        <f>ROUND($P631*Basis!$E$2*((TaH-TrH)/LN(1/µ)/Basis!$E$7)^$N631*$AA$4*Glycol,0)</f>
        <v>4348</v>
      </c>
      <c r="I631" s="83">
        <f>ROUND(H631/(MID($C631,9,3)/Basis!$E$3/Basis!$E$9)*Basis!$E$11,0)</f>
        <v>1657</v>
      </c>
      <c r="J631" s="123">
        <f>IF(Basis!$E$1=1,ROUND(H631/((TaH-TrH)*1.163)/3600,3),ROUND(H631/(500*(TaH-TrH)),2))</f>
        <v>0.43</v>
      </c>
      <c r="K631" s="84"/>
      <c r="L631" s="177">
        <f>CHOOSE(Basis!$E$1,((AJ631*(J631*3600/Basis!$E$5)^AK631*(((MID(C631,9,3)*10)-144)/1000)*AL631+AM631*(J631*3600/Basis!$E$5)^2)*0.0098)/Basis!$E$10,((AJ631*(J631/Basis!$E$5)^AK631*(((MID(C631,9,3)*10)-144)/1000)*AL631+AM631*(J631/Basis!$E$5)^2)*0.0098)/Basis!$E$10)</f>
        <v>4.8250803789048842E-2</v>
      </c>
      <c r="M631" s="85"/>
      <c r="N631" s="110">
        <v>1.48</v>
      </c>
      <c r="O631" s="74"/>
      <c r="P631" s="73">
        <v>2077</v>
      </c>
      <c r="Q631" s="74"/>
      <c r="R631" s="75"/>
      <c r="S631" s="75"/>
      <c r="T631" s="75"/>
      <c r="U631" s="75"/>
      <c r="V631" s="75"/>
      <c r="W631" s="74"/>
      <c r="X631" s="76"/>
      <c r="Y631" s="76"/>
      <c r="Z631" s="76"/>
      <c r="AA631" s="76"/>
      <c r="AB631" s="76"/>
      <c r="AC631" s="74"/>
      <c r="AD631" s="77"/>
      <c r="AE631" s="77"/>
      <c r="AF631" s="77"/>
      <c r="AG631" s="77"/>
      <c r="AH631" s="77"/>
      <c r="AI631" s="68"/>
      <c r="AJ631" s="213">
        <v>2.0829999999999999E-4</v>
      </c>
      <c r="AK631" s="213">
        <v>1.724</v>
      </c>
      <c r="AL631" s="213">
        <v>4</v>
      </c>
      <c r="AM631" s="213">
        <v>1.392796E-3</v>
      </c>
      <c r="AN631" s="74"/>
      <c r="AO631" s="73"/>
      <c r="AP631" s="73"/>
      <c r="AQ631" s="73"/>
      <c r="AR631" s="73"/>
      <c r="AS631" s="73"/>
      <c r="AT631" s="74"/>
      <c r="AU631" s="47"/>
      <c r="AV631" s="48"/>
    </row>
    <row r="632" spans="1:48" ht="12.75" customHeight="1" x14ac:dyDescent="0.25">
      <c r="A632" s="72" t="s">
        <v>23</v>
      </c>
      <c r="B632" s="43" t="s">
        <v>159</v>
      </c>
      <c r="C632" s="44" t="s">
        <v>782</v>
      </c>
      <c r="D632" s="45">
        <f>MROUND(MID($C632,6,3)/Basis!$E$3,0.5)</f>
        <v>35.5</v>
      </c>
      <c r="E632" s="45">
        <f>MROUND(MID($C632,9,3)/Basis!$E$3,0.5)</f>
        <v>31.5</v>
      </c>
      <c r="F632" s="124" t="s">
        <v>2945</v>
      </c>
      <c r="G632" s="45">
        <f>ROUND((ROUNDDOWN($F632/5,0)*5+1.8)/Basis!$E$3,1)</f>
        <v>8.6</v>
      </c>
      <c r="H632" s="120">
        <f>ROUND($P632*Basis!$E$2*((TaH-TrH)/LN(1/µ)/Basis!$E$7)^$N632*$AA$4*Glycol,0)</f>
        <v>5212</v>
      </c>
      <c r="I632" s="83">
        <f>ROUND(H632/(MID($C632,9,3)/Basis!$E$3/Basis!$E$9)*Basis!$E$11,0)</f>
        <v>1986</v>
      </c>
      <c r="J632" s="123">
        <f>IF(Basis!$E$1=1,ROUND(H632/((TaH-TrH)*1.163)/3600,3),ROUND(H632/(500*(TaH-TrH)),2))</f>
        <v>0.52</v>
      </c>
      <c r="K632" s="84"/>
      <c r="L632" s="177">
        <f>CHOOSE(Basis!$E$1,((AJ632*(J632*3600/Basis!$E$5)^AK632*(((MID(C632,9,3)*10)-144)/1000)*AL632+AM632*(J632*3600/Basis!$E$5)^2)*0.0098)/Basis!$E$10,((AJ632*(J632/Basis!$E$5)^AK632*(((MID(C632,9,3)*10)-144)/1000)*AL632+AM632*(J632/Basis!$E$5)^2)*0.0098)/Basis!$E$10)</f>
        <v>1.9202130998549598E-2</v>
      </c>
      <c r="M632" s="85"/>
      <c r="N632" s="110">
        <v>1.3260000000000001</v>
      </c>
      <c r="O632" s="74"/>
      <c r="P632" s="73">
        <v>2366</v>
      </c>
      <c r="Q632" s="74"/>
      <c r="R632" s="75"/>
      <c r="S632" s="75"/>
      <c r="T632" s="75"/>
      <c r="U632" s="75"/>
      <c r="V632" s="75"/>
      <c r="W632" s="74"/>
      <c r="X632" s="76"/>
      <c r="Y632" s="76"/>
      <c r="Z632" s="76"/>
      <c r="AA632" s="76"/>
      <c r="AB632" s="76"/>
      <c r="AC632" s="74"/>
      <c r="AD632" s="77"/>
      <c r="AE632" s="77"/>
      <c r="AF632" s="77"/>
      <c r="AG632" s="77"/>
      <c r="AH632" s="77"/>
      <c r="AI632" s="68"/>
      <c r="AJ632" s="213">
        <v>1.2760000000000001E-4</v>
      </c>
      <c r="AK632" s="213">
        <v>1.7219</v>
      </c>
      <c r="AL632" s="213">
        <v>2</v>
      </c>
      <c r="AM632" s="213">
        <v>3.76611E-4</v>
      </c>
      <c r="AN632" s="74"/>
      <c r="AO632" s="73"/>
      <c r="AP632" s="73"/>
      <c r="AQ632" s="73"/>
      <c r="AR632" s="73"/>
      <c r="AS632" s="73"/>
      <c r="AT632" s="74"/>
      <c r="AU632" s="47"/>
      <c r="AV632" s="48"/>
    </row>
    <row r="633" spans="1:48" ht="12.75" customHeight="1" x14ac:dyDescent="0.25">
      <c r="A633" s="72" t="s">
        <v>23</v>
      </c>
      <c r="B633" s="43" t="s">
        <v>159</v>
      </c>
      <c r="C633" s="44" t="s">
        <v>783</v>
      </c>
      <c r="D633" s="45">
        <f>MROUND(MID($C633,6,3)/Basis!$E$3,0.5)</f>
        <v>35.5</v>
      </c>
      <c r="E633" s="45">
        <f>MROUND(MID($C633,9,3)/Basis!$E$3,0.5)</f>
        <v>31.5</v>
      </c>
      <c r="F633" s="124" t="s">
        <v>2948</v>
      </c>
      <c r="G633" s="45">
        <f>ROUND((ROUNDDOWN($F633/5,0)*5+1.8)/Basis!$E$3,1)</f>
        <v>8.6</v>
      </c>
      <c r="H633" s="120">
        <f>ROUND($P633*Basis!$E$2*((TaH-TrH)/LN(1/µ)/Basis!$E$7)^$N633*$AA$4*Glycol,0)</f>
        <v>6236</v>
      </c>
      <c r="I633" s="83">
        <f>ROUND(H633/(MID($C633,9,3)/Basis!$E$3/Basis!$E$9)*Basis!$E$11,0)</f>
        <v>2376</v>
      </c>
      <c r="J633" s="123">
        <f>IF(Basis!$E$1=1,ROUND(H633/((TaH-TrH)*1.163)/3600,3),ROUND(H633/(500*(TaH-TrH)),2))</f>
        <v>0.62</v>
      </c>
      <c r="K633" s="84"/>
      <c r="L633" s="177">
        <f>CHOOSE(Basis!$E$1,((AJ633*(J633*3600/Basis!$E$5)^AK633*(((MID(C633,9,3)*10)-144)/1000)*AL633+AM633*(J633*3600/Basis!$E$5)^2)*0.0098)/Basis!$E$10,((AJ633*(J633/Basis!$E$5)^AK633*(((MID(C633,9,3)*10)-144)/1000)*AL633+AM633*(J633/Basis!$E$5)^2)*0.0098)/Basis!$E$10)</f>
        <v>3.8823139108161951E-2</v>
      </c>
      <c r="M633" s="85"/>
      <c r="N633" s="109">
        <v>1.518</v>
      </c>
      <c r="O633" s="68"/>
      <c r="P633" s="67">
        <v>3016</v>
      </c>
      <c r="Q633" s="68"/>
      <c r="R633" s="69"/>
      <c r="S633" s="69"/>
      <c r="T633" s="69"/>
      <c r="U633" s="69"/>
      <c r="V633" s="69"/>
      <c r="W633" s="68"/>
      <c r="X633" s="70"/>
      <c r="Y633" s="70"/>
      <c r="Z633" s="70"/>
      <c r="AA633" s="70"/>
      <c r="AB633" s="70"/>
      <c r="AC633" s="68"/>
      <c r="AD633" s="71"/>
      <c r="AE633" s="71"/>
      <c r="AF633" s="71"/>
      <c r="AG633" s="71"/>
      <c r="AH633" s="71"/>
      <c r="AI633" s="68"/>
      <c r="AJ633" s="214">
        <v>1.2760000000000001E-4</v>
      </c>
      <c r="AK633" s="214">
        <v>1.7219</v>
      </c>
      <c r="AL633" s="214">
        <v>4</v>
      </c>
      <c r="AM633" s="214">
        <v>5.1420100000000005E-4</v>
      </c>
      <c r="AN633" s="68"/>
      <c r="AO633" s="67"/>
      <c r="AP633" s="67"/>
      <c r="AQ633" s="67"/>
      <c r="AR633" s="67"/>
      <c r="AS633" s="67"/>
      <c r="AT633" s="68"/>
      <c r="AU633" s="49"/>
      <c r="AV633" s="50"/>
    </row>
    <row r="634" spans="1:48" ht="12.75" customHeight="1" x14ac:dyDescent="0.25">
      <c r="A634" s="72" t="s">
        <v>23</v>
      </c>
      <c r="B634" s="43" t="s">
        <v>159</v>
      </c>
      <c r="C634" s="44" t="s">
        <v>784</v>
      </c>
      <c r="D634" s="45">
        <f>MROUND(MID($C634,6,3)/Basis!$E$3,0.5)</f>
        <v>35.5</v>
      </c>
      <c r="E634" s="45">
        <f>MROUND(MID($C634,9,3)/Basis!$E$3,0.5)</f>
        <v>35.5</v>
      </c>
      <c r="F634" s="124" t="s">
        <v>2943</v>
      </c>
      <c r="G634" s="45">
        <f>ROUND((ROUNDDOWN($F634/5,0)*5+1.8)/Basis!$E$3,1)</f>
        <v>4.5999999999999996</v>
      </c>
      <c r="H634" s="120">
        <f>ROUND($P634*Basis!$E$2*((TaH-TrH)/LN(1/µ)/Basis!$E$7)^$N634*$AA$4*Glycol,0)</f>
        <v>2694</v>
      </c>
      <c r="I634" s="83">
        <f>ROUND(H634/(MID($C634,9,3)/Basis!$E$3/Basis!$E$9)*Basis!$E$11,0)</f>
        <v>912</v>
      </c>
      <c r="J634" s="123">
        <f>IF(Basis!$E$1=1,ROUND(H634/((TaH-TrH)*1.163)/3600,3),ROUND(H634/(500*(TaH-TrH)),2))</f>
        <v>0.27</v>
      </c>
      <c r="K634" s="84"/>
      <c r="L634" s="177">
        <f>CHOOSE(Basis!$E$1,((AJ634*(J634*3600/Basis!$E$5)^AK634*(((MID(C634,9,3)*10)-144)/1000)*AL634+AM634*(J634*3600/Basis!$E$5)^2)*0.0098)/Basis!$E$10,((AJ634*(J634/Basis!$E$5)^AK634*(((MID(C634,9,3)*10)-144)/1000)*AL634+AM634*(J634/Basis!$E$5)^2)*0.0098)/Basis!$E$10)</f>
        <v>6.991859437002537E-3</v>
      </c>
      <c r="M634" s="85"/>
      <c r="N634" s="109">
        <v>1.3480000000000001</v>
      </c>
      <c r="O634" s="68"/>
      <c r="P634" s="67">
        <v>1232</v>
      </c>
      <c r="Q634" s="68"/>
      <c r="R634" s="69"/>
      <c r="S634" s="69"/>
      <c r="T634" s="69"/>
      <c r="U634" s="69"/>
      <c r="V634" s="69"/>
      <c r="W634" s="68"/>
      <c r="X634" s="70"/>
      <c r="Y634" s="70"/>
      <c r="Z634" s="70"/>
      <c r="AA634" s="70"/>
      <c r="AB634" s="70"/>
      <c r="AC634" s="68"/>
      <c r="AD634" s="71"/>
      <c r="AE634" s="71"/>
      <c r="AF634" s="71"/>
      <c r="AG634" s="71"/>
      <c r="AH634" s="71"/>
      <c r="AI634" s="68"/>
      <c r="AJ634" s="214">
        <v>3.9689999999999994E-4</v>
      </c>
      <c r="AK634" s="214">
        <v>1.7345999999999999</v>
      </c>
      <c r="AL634" s="214">
        <v>2</v>
      </c>
      <c r="AM634" s="214">
        <v>3.6734700000000002E-4</v>
      </c>
      <c r="AN634" s="68"/>
      <c r="AO634" s="67"/>
      <c r="AP634" s="67"/>
      <c r="AQ634" s="67"/>
      <c r="AR634" s="67"/>
      <c r="AS634" s="67"/>
      <c r="AT634" s="68"/>
      <c r="AU634" s="49"/>
      <c r="AV634" s="50"/>
    </row>
    <row r="635" spans="1:48" ht="12.75" customHeight="1" x14ac:dyDescent="0.25">
      <c r="A635" s="72" t="s">
        <v>23</v>
      </c>
      <c r="B635" s="43" t="s">
        <v>159</v>
      </c>
      <c r="C635" s="44" t="s">
        <v>785</v>
      </c>
      <c r="D635" s="45">
        <f>MROUND(MID($C635,6,3)/Basis!$E$3,0.5)</f>
        <v>35.5</v>
      </c>
      <c r="E635" s="45">
        <f>MROUND(MID($C635,9,3)/Basis!$E$3,0.5)</f>
        <v>35.5</v>
      </c>
      <c r="F635" s="124" t="s">
        <v>2946</v>
      </c>
      <c r="G635" s="45">
        <f>ROUND((ROUNDDOWN($F635/5,0)*5+1.8)/Basis!$E$3,1)</f>
        <v>4.5999999999999996</v>
      </c>
      <c r="H635" s="120">
        <f>ROUND($P635*Basis!$E$2*((TaH-TrH)/LN(1/µ)/Basis!$E$7)^$N635*$AA$4*Glycol,0)</f>
        <v>3363</v>
      </c>
      <c r="I635" s="83">
        <f>ROUND(H635/(MID($C635,9,3)/Basis!$E$3/Basis!$E$9)*Basis!$E$11,0)</f>
        <v>1139</v>
      </c>
      <c r="J635" s="123">
        <f>IF(Basis!$E$1=1,ROUND(H635/((TaH-TrH)*1.163)/3600,3),ROUND(H635/(500*(TaH-TrH)),2))</f>
        <v>0.34</v>
      </c>
      <c r="K635" s="84"/>
      <c r="L635" s="177">
        <f>CHOOSE(Basis!$E$1,((AJ635*(J635*3600/Basis!$E$5)^AK635*(((MID(C635,9,3)*10)-144)/1000)*AL635+AM635*(J635*3600/Basis!$E$5)^2)*0.0098)/Basis!$E$10,((AJ635*(J635/Basis!$E$5)^AK635*(((MID(C635,9,3)*10)-144)/1000)*AL635+AM635*(J635/Basis!$E$5)^2)*0.0098)/Basis!$E$10)</f>
        <v>1.858099255299973E-2</v>
      </c>
      <c r="M635" s="85"/>
      <c r="N635" s="110">
        <v>1.4339999999999999</v>
      </c>
      <c r="O635" s="74"/>
      <c r="P635" s="73">
        <v>1582</v>
      </c>
      <c r="Q635" s="74"/>
      <c r="R635" s="75"/>
      <c r="S635" s="75"/>
      <c r="T635" s="75"/>
      <c r="U635" s="75"/>
      <c r="V635" s="75"/>
      <c r="W635" s="74"/>
      <c r="X635" s="76"/>
      <c r="Y635" s="76"/>
      <c r="Z635" s="76"/>
      <c r="AA635" s="76"/>
      <c r="AB635" s="76"/>
      <c r="AC635" s="74"/>
      <c r="AD635" s="77"/>
      <c r="AE635" s="77"/>
      <c r="AF635" s="77"/>
      <c r="AG635" s="77"/>
      <c r="AH635" s="77"/>
      <c r="AI635" s="68"/>
      <c r="AJ635" s="213">
        <v>3.9689999999999994E-4</v>
      </c>
      <c r="AK635" s="213">
        <v>1.7345999999999999</v>
      </c>
      <c r="AL635" s="213">
        <v>4</v>
      </c>
      <c r="AM635" s="213">
        <v>5.7428799999999995E-4</v>
      </c>
      <c r="AN635" s="74"/>
      <c r="AO635" s="73"/>
      <c r="AP635" s="73"/>
      <c r="AQ635" s="73"/>
      <c r="AR635" s="73"/>
      <c r="AS635" s="73"/>
      <c r="AT635" s="74"/>
      <c r="AU635" s="47"/>
      <c r="AV635" s="48"/>
    </row>
    <row r="636" spans="1:48" ht="12.75" customHeight="1" x14ac:dyDescent="0.25">
      <c r="A636" s="72" t="s">
        <v>23</v>
      </c>
      <c r="B636" s="43" t="s">
        <v>159</v>
      </c>
      <c r="C636" s="44" t="s">
        <v>786</v>
      </c>
      <c r="D636" s="45">
        <f>MROUND(MID($C636,6,3)/Basis!$E$3,0.5)</f>
        <v>35.5</v>
      </c>
      <c r="E636" s="45">
        <f>MROUND(MID($C636,9,3)/Basis!$E$3,0.5)</f>
        <v>35.5</v>
      </c>
      <c r="F636" s="124" t="s">
        <v>2944</v>
      </c>
      <c r="G636" s="45">
        <f>ROUND((ROUNDDOWN($F636/5,0)*5+1.8)/Basis!$E$3,1)</f>
        <v>6.6</v>
      </c>
      <c r="H636" s="120">
        <f>ROUND($P636*Basis!$E$2*((TaH-TrH)/LN(1/µ)/Basis!$E$7)^$N636*$AA$4*Glycol,0)</f>
        <v>4203</v>
      </c>
      <c r="I636" s="83">
        <f>ROUND(H636/(MID($C636,9,3)/Basis!$E$3/Basis!$E$9)*Basis!$E$11,0)</f>
        <v>1423</v>
      </c>
      <c r="J636" s="123">
        <f>IF(Basis!$E$1=1,ROUND(H636/((TaH-TrH)*1.163)/3600,3),ROUND(H636/(500*(TaH-TrH)),2))</f>
        <v>0.42</v>
      </c>
      <c r="K636" s="84"/>
      <c r="L636" s="177">
        <f>CHOOSE(Basis!$E$1,((AJ636*(J636*3600/Basis!$E$5)^AK636*(((MID(C636,9,3)*10)-144)/1000)*AL636+AM636*(J636*3600/Basis!$E$5)^2)*0.0098)/Basis!$E$10,((AJ636*(J636/Basis!$E$5)^AK636*(((MID(C636,9,3)*10)-144)/1000)*AL636+AM636*(J636/Basis!$E$5)^2)*0.0098)/Basis!$E$10)</f>
        <v>1.640437508650907E-2</v>
      </c>
      <c r="M636" s="85"/>
      <c r="N636" s="110">
        <v>1.3260000000000001</v>
      </c>
      <c r="O636" s="74"/>
      <c r="P636" s="73">
        <v>1908</v>
      </c>
      <c r="Q636" s="74"/>
      <c r="R636" s="75"/>
      <c r="S636" s="75"/>
      <c r="T636" s="75"/>
      <c r="U636" s="75"/>
      <c r="V636" s="75"/>
      <c r="W636" s="74"/>
      <c r="X636" s="76"/>
      <c r="Y636" s="76"/>
      <c r="Z636" s="76"/>
      <c r="AA636" s="76"/>
      <c r="AB636" s="76"/>
      <c r="AC636" s="74"/>
      <c r="AD636" s="77"/>
      <c r="AE636" s="77"/>
      <c r="AF636" s="77"/>
      <c r="AG636" s="77"/>
      <c r="AH636" s="77"/>
      <c r="AI636" s="68"/>
      <c r="AJ636" s="213">
        <v>2.0829999999999999E-4</v>
      </c>
      <c r="AK636" s="213">
        <v>1.724</v>
      </c>
      <c r="AL636" s="213">
        <v>2</v>
      </c>
      <c r="AM636" s="213">
        <v>4.6182900000000003E-4</v>
      </c>
      <c r="AN636" s="74"/>
      <c r="AO636" s="73"/>
      <c r="AP636" s="73"/>
      <c r="AQ636" s="73"/>
      <c r="AR636" s="73"/>
      <c r="AS636" s="73"/>
      <c r="AT636" s="74"/>
      <c r="AU636" s="47"/>
      <c r="AV636" s="48"/>
    </row>
    <row r="637" spans="1:48" ht="12.75" customHeight="1" x14ac:dyDescent="0.25">
      <c r="A637" s="72" t="s">
        <v>23</v>
      </c>
      <c r="B637" s="43" t="s">
        <v>159</v>
      </c>
      <c r="C637" s="44" t="s">
        <v>787</v>
      </c>
      <c r="D637" s="45">
        <f>MROUND(MID($C637,6,3)/Basis!$E$3,0.5)</f>
        <v>35.5</v>
      </c>
      <c r="E637" s="45">
        <f>MROUND(MID($C637,9,3)/Basis!$E$3,0.5)</f>
        <v>35.5</v>
      </c>
      <c r="F637" s="124" t="s">
        <v>2947</v>
      </c>
      <c r="G637" s="45">
        <f>ROUND((ROUNDDOWN($F637/5,0)*5+1.8)/Basis!$E$3,1)</f>
        <v>6.6</v>
      </c>
      <c r="H637" s="120">
        <f>ROUND($P637*Basis!$E$2*((TaH-TrH)/LN(1/µ)/Basis!$E$7)^$N637*$AA$4*Glycol,0)</f>
        <v>4891</v>
      </c>
      <c r="I637" s="83">
        <f>ROUND(H637/(MID($C637,9,3)/Basis!$E$3/Basis!$E$9)*Basis!$E$11,0)</f>
        <v>1656</v>
      </c>
      <c r="J637" s="123">
        <f>IF(Basis!$E$1=1,ROUND(H637/((TaH-TrH)*1.163)/3600,3),ROUND(H637/(500*(TaH-TrH)),2))</f>
        <v>0.49</v>
      </c>
      <c r="K637" s="84"/>
      <c r="L637" s="177">
        <f>CHOOSE(Basis!$E$1,((AJ637*(J637*3600/Basis!$E$5)^AK637*(((MID(C637,9,3)*10)-144)/1000)*AL637+AM637*(J637*3600/Basis!$E$5)^2)*0.0098)/Basis!$E$10,((AJ637*(J637/Basis!$E$5)^AK637*(((MID(C637,9,3)*10)-144)/1000)*AL637+AM637*(J637/Basis!$E$5)^2)*0.0098)/Basis!$E$10)</f>
        <v>6.3353353353110972E-2</v>
      </c>
      <c r="M637" s="85"/>
      <c r="N637" s="109">
        <v>1.48</v>
      </c>
      <c r="O637" s="68"/>
      <c r="P637" s="67">
        <v>2336</v>
      </c>
      <c r="Q637" s="68"/>
      <c r="R637" s="69"/>
      <c r="S637" s="69"/>
      <c r="T637" s="69"/>
      <c r="U637" s="69"/>
      <c r="V637" s="69"/>
      <c r="W637" s="68"/>
      <c r="X637" s="70"/>
      <c r="Y637" s="70"/>
      <c r="Z637" s="70"/>
      <c r="AA637" s="70"/>
      <c r="AB637" s="70"/>
      <c r="AC637" s="68"/>
      <c r="AD637" s="71"/>
      <c r="AE637" s="71"/>
      <c r="AF637" s="71"/>
      <c r="AG637" s="71"/>
      <c r="AH637" s="71"/>
      <c r="AI637" s="68"/>
      <c r="AJ637" s="214">
        <v>2.0829999999999999E-4</v>
      </c>
      <c r="AK637" s="214">
        <v>1.724</v>
      </c>
      <c r="AL637" s="214">
        <v>4</v>
      </c>
      <c r="AM637" s="214">
        <v>1.392796E-3</v>
      </c>
      <c r="AN637" s="68"/>
      <c r="AO637" s="67"/>
      <c r="AP637" s="67"/>
      <c r="AQ637" s="67"/>
      <c r="AR637" s="67"/>
      <c r="AS637" s="67"/>
      <c r="AT637" s="68"/>
      <c r="AU637" s="49"/>
      <c r="AV637" s="50"/>
    </row>
    <row r="638" spans="1:48" ht="12.75" customHeight="1" x14ac:dyDescent="0.25">
      <c r="A638" s="72" t="s">
        <v>23</v>
      </c>
      <c r="B638" s="43" t="s">
        <v>159</v>
      </c>
      <c r="C638" s="44" t="s">
        <v>788</v>
      </c>
      <c r="D638" s="45">
        <f>MROUND(MID($C638,6,3)/Basis!$E$3,0.5)</f>
        <v>35.5</v>
      </c>
      <c r="E638" s="45">
        <f>MROUND(MID($C638,9,3)/Basis!$E$3,0.5)</f>
        <v>35.5</v>
      </c>
      <c r="F638" s="124" t="s">
        <v>2945</v>
      </c>
      <c r="G638" s="45">
        <f>ROUND((ROUNDDOWN($F638/5,0)*5+1.8)/Basis!$E$3,1)</f>
        <v>8.6</v>
      </c>
      <c r="H638" s="120">
        <f>ROUND($P638*Basis!$E$2*((TaH-TrH)/LN(1/µ)/Basis!$E$7)^$N638*$AA$4*Glycol,0)</f>
        <v>5861</v>
      </c>
      <c r="I638" s="83">
        <f>ROUND(H638/(MID($C638,9,3)/Basis!$E$3/Basis!$E$9)*Basis!$E$11,0)</f>
        <v>1985</v>
      </c>
      <c r="J638" s="123">
        <f>IF(Basis!$E$1=1,ROUND(H638/((TaH-TrH)*1.163)/3600,3),ROUND(H638/(500*(TaH-TrH)),2))</f>
        <v>0.59</v>
      </c>
      <c r="K638" s="84"/>
      <c r="L638" s="177">
        <f>CHOOSE(Basis!$E$1,((AJ638*(J638*3600/Basis!$E$5)^AK638*(((MID(C638,9,3)*10)-144)/1000)*AL638+AM638*(J638*3600/Basis!$E$5)^2)*0.0098)/Basis!$E$10,((AJ638*(J638/Basis!$E$5)^AK638*(((MID(C638,9,3)*10)-144)/1000)*AL638+AM638*(J638/Basis!$E$5)^2)*0.0098)/Basis!$E$10)</f>
        <v>2.5013683375779184E-2</v>
      </c>
      <c r="M638" s="85"/>
      <c r="N638" s="109">
        <v>1.3260000000000001</v>
      </c>
      <c r="O638" s="68"/>
      <c r="P638" s="67">
        <v>2661</v>
      </c>
      <c r="Q638" s="68"/>
      <c r="R638" s="69"/>
      <c r="S638" s="69"/>
      <c r="T638" s="69"/>
      <c r="U638" s="69"/>
      <c r="V638" s="69"/>
      <c r="W638" s="68"/>
      <c r="X638" s="70"/>
      <c r="Y638" s="70"/>
      <c r="Z638" s="70"/>
      <c r="AA638" s="70"/>
      <c r="AB638" s="70"/>
      <c r="AC638" s="68"/>
      <c r="AD638" s="71"/>
      <c r="AE638" s="71"/>
      <c r="AF638" s="71"/>
      <c r="AG638" s="71"/>
      <c r="AH638" s="71"/>
      <c r="AI638" s="68"/>
      <c r="AJ638" s="214">
        <v>1.2760000000000001E-4</v>
      </c>
      <c r="AK638" s="214">
        <v>1.7219</v>
      </c>
      <c r="AL638" s="214">
        <v>2</v>
      </c>
      <c r="AM638" s="214">
        <v>3.76611E-4</v>
      </c>
      <c r="AN638" s="68"/>
      <c r="AO638" s="67"/>
      <c r="AP638" s="67"/>
      <c r="AQ638" s="67"/>
      <c r="AR638" s="67"/>
      <c r="AS638" s="67"/>
      <c r="AT638" s="68"/>
      <c r="AU638" s="49"/>
      <c r="AV638" s="50"/>
    </row>
    <row r="639" spans="1:48" ht="12.75" customHeight="1" x14ac:dyDescent="0.25">
      <c r="A639" s="72" t="s">
        <v>23</v>
      </c>
      <c r="B639" s="43" t="s">
        <v>159</v>
      </c>
      <c r="C639" s="44" t="s">
        <v>789</v>
      </c>
      <c r="D639" s="45">
        <f>MROUND(MID($C639,6,3)/Basis!$E$3,0.5)</f>
        <v>35.5</v>
      </c>
      <c r="E639" s="45">
        <f>MROUND(MID($C639,9,3)/Basis!$E$3,0.5)</f>
        <v>35.5</v>
      </c>
      <c r="F639" s="124" t="s">
        <v>2948</v>
      </c>
      <c r="G639" s="45">
        <f>ROUND((ROUNDDOWN($F639/5,0)*5+1.8)/Basis!$E$3,1)</f>
        <v>8.6</v>
      </c>
      <c r="H639" s="120">
        <f>ROUND($P639*Basis!$E$2*((TaH-TrH)/LN(1/µ)/Basis!$E$7)^$N639*$AA$4*Glycol,0)</f>
        <v>7015</v>
      </c>
      <c r="I639" s="83">
        <f>ROUND(H639/(MID($C639,9,3)/Basis!$E$3/Basis!$E$9)*Basis!$E$11,0)</f>
        <v>2376</v>
      </c>
      <c r="J639" s="123">
        <f>IF(Basis!$E$1=1,ROUND(H639/((TaH-TrH)*1.163)/3600,3),ROUND(H639/(500*(TaH-TrH)),2))</f>
        <v>0.7</v>
      </c>
      <c r="K639" s="84"/>
      <c r="L639" s="177">
        <f>CHOOSE(Basis!$E$1,((AJ639*(J639*3600/Basis!$E$5)^AK639*(((MID(C639,9,3)*10)-144)/1000)*AL639+AM639*(J639*3600/Basis!$E$5)^2)*0.0098)/Basis!$E$10,((AJ639*(J639/Basis!$E$5)^AK639*(((MID(C639,9,3)*10)-144)/1000)*AL639+AM639*(J639/Basis!$E$5)^2)*0.0098)/Basis!$E$10)</f>
        <v>5.0286661928413842E-2</v>
      </c>
      <c r="M639" s="85"/>
      <c r="N639" s="110">
        <v>1.518</v>
      </c>
      <c r="O639" s="74"/>
      <c r="P639" s="73">
        <v>3393</v>
      </c>
      <c r="Q639" s="74"/>
      <c r="R639" s="75"/>
      <c r="S639" s="75"/>
      <c r="T639" s="75"/>
      <c r="U639" s="75"/>
      <c r="V639" s="75"/>
      <c r="W639" s="74"/>
      <c r="X639" s="76"/>
      <c r="Y639" s="76"/>
      <c r="Z639" s="76"/>
      <c r="AA639" s="76"/>
      <c r="AB639" s="76"/>
      <c r="AC639" s="74"/>
      <c r="AD639" s="77"/>
      <c r="AE639" s="77"/>
      <c r="AF639" s="77"/>
      <c r="AG639" s="77"/>
      <c r="AH639" s="77"/>
      <c r="AI639" s="68"/>
      <c r="AJ639" s="213">
        <v>1.2760000000000001E-4</v>
      </c>
      <c r="AK639" s="213">
        <v>1.7219</v>
      </c>
      <c r="AL639" s="213">
        <v>4</v>
      </c>
      <c r="AM639" s="213">
        <v>5.1420100000000005E-4</v>
      </c>
      <c r="AN639" s="74"/>
      <c r="AO639" s="73"/>
      <c r="AP639" s="73"/>
      <c r="AQ639" s="73"/>
      <c r="AR639" s="73"/>
      <c r="AS639" s="73"/>
      <c r="AT639" s="74"/>
      <c r="AU639" s="47"/>
      <c r="AV639" s="48"/>
    </row>
    <row r="640" spans="1:48" ht="12.75" customHeight="1" x14ac:dyDescent="0.25">
      <c r="A640" s="72" t="s">
        <v>23</v>
      </c>
      <c r="B640" s="43" t="s">
        <v>159</v>
      </c>
      <c r="C640" s="44" t="s">
        <v>790</v>
      </c>
      <c r="D640" s="45">
        <f>MROUND(MID($C640,6,3)/Basis!$E$3,0.5)</f>
        <v>35.5</v>
      </c>
      <c r="E640" s="45">
        <f>MROUND(MID($C640,9,3)/Basis!$E$3,0.5)</f>
        <v>39.5</v>
      </c>
      <c r="F640" s="124" t="s">
        <v>2943</v>
      </c>
      <c r="G640" s="45">
        <f>ROUND((ROUNDDOWN($F640/5,0)*5+1.8)/Basis!$E$3,1)</f>
        <v>4.5999999999999996</v>
      </c>
      <c r="H640" s="120">
        <f>ROUND($P640*Basis!$E$2*((TaH-TrH)/LN(1/µ)/Basis!$E$7)^$N640*$AA$4*Glycol,0)</f>
        <v>2994</v>
      </c>
      <c r="I640" s="83">
        <f>ROUND(H640/(MID($C640,9,3)/Basis!$E$3/Basis!$E$9)*Basis!$E$11,0)</f>
        <v>913</v>
      </c>
      <c r="J640" s="123">
        <f>IF(Basis!$E$1=1,ROUND(H640/((TaH-TrH)*1.163)/3600,3),ROUND(H640/(500*(TaH-TrH)),2))</f>
        <v>0.3</v>
      </c>
      <c r="K640" s="84"/>
      <c r="L640" s="177">
        <f>CHOOSE(Basis!$E$1,((AJ640*(J640*3600/Basis!$E$5)^AK640*(((MID(C640,9,3)*10)-144)/1000)*AL640+AM640*(J640*3600/Basis!$E$5)^2)*0.0098)/Basis!$E$10,((AJ640*(J640/Basis!$E$5)^AK640*(((MID(C640,9,3)*10)-144)/1000)*AL640+AM640*(J640/Basis!$E$5)^2)*0.0098)/Basis!$E$10)</f>
        <v>8.9406889971013256E-3</v>
      </c>
      <c r="M640" s="85"/>
      <c r="N640" s="110">
        <v>1.3480000000000001</v>
      </c>
      <c r="O640" s="74"/>
      <c r="P640" s="73">
        <v>1369</v>
      </c>
      <c r="Q640" s="74"/>
      <c r="R640" s="75"/>
      <c r="S640" s="75"/>
      <c r="T640" s="75"/>
      <c r="U640" s="75"/>
      <c r="V640" s="75"/>
      <c r="W640" s="74"/>
      <c r="X640" s="76"/>
      <c r="Y640" s="76"/>
      <c r="Z640" s="76"/>
      <c r="AA640" s="76"/>
      <c r="AB640" s="76"/>
      <c r="AC640" s="74"/>
      <c r="AD640" s="77"/>
      <c r="AE640" s="77"/>
      <c r="AF640" s="77"/>
      <c r="AG640" s="77"/>
      <c r="AH640" s="77"/>
      <c r="AI640" s="68"/>
      <c r="AJ640" s="213">
        <v>3.9689999999999994E-4</v>
      </c>
      <c r="AK640" s="213">
        <v>1.7345999999999999</v>
      </c>
      <c r="AL640" s="213">
        <v>2</v>
      </c>
      <c r="AM640" s="213">
        <v>3.6734700000000002E-4</v>
      </c>
      <c r="AN640" s="74"/>
      <c r="AO640" s="73"/>
      <c r="AP640" s="73"/>
      <c r="AQ640" s="73"/>
      <c r="AR640" s="73"/>
      <c r="AS640" s="73"/>
      <c r="AT640" s="74"/>
      <c r="AU640" s="47"/>
      <c r="AV640" s="48"/>
    </row>
    <row r="641" spans="1:48" ht="12.75" customHeight="1" x14ac:dyDescent="0.25">
      <c r="A641" s="72" t="s">
        <v>23</v>
      </c>
      <c r="B641" s="43" t="s">
        <v>159</v>
      </c>
      <c r="C641" s="44" t="s">
        <v>791</v>
      </c>
      <c r="D641" s="45">
        <f>MROUND(MID($C641,6,3)/Basis!$E$3,0.5)</f>
        <v>35.5</v>
      </c>
      <c r="E641" s="45">
        <f>MROUND(MID($C641,9,3)/Basis!$E$3,0.5)</f>
        <v>39.5</v>
      </c>
      <c r="F641" s="124" t="s">
        <v>2946</v>
      </c>
      <c r="G641" s="45">
        <f>ROUND((ROUNDDOWN($F641/5,0)*5+1.8)/Basis!$E$3,1)</f>
        <v>4.5999999999999996</v>
      </c>
      <c r="H641" s="120">
        <f>ROUND($P641*Basis!$E$2*((TaH-TrH)/LN(1/µ)/Basis!$E$7)^$N641*$AA$4*Glycol,0)</f>
        <v>3737</v>
      </c>
      <c r="I641" s="83">
        <f>ROUND(H641/(MID($C641,9,3)/Basis!$E$3/Basis!$E$9)*Basis!$E$11,0)</f>
        <v>1139</v>
      </c>
      <c r="J641" s="123">
        <f>IF(Basis!$E$1=1,ROUND(H641/((TaH-TrH)*1.163)/3600,3),ROUND(H641/(500*(TaH-TrH)),2))</f>
        <v>0.37</v>
      </c>
      <c r="K641" s="84"/>
      <c r="L641" s="177">
        <f>CHOOSE(Basis!$E$1,((AJ641*(J641*3600/Basis!$E$5)^AK641*(((MID(C641,9,3)*10)-144)/1000)*AL641+AM641*(J641*3600/Basis!$E$5)^2)*0.0098)/Basis!$E$10,((AJ641*(J641/Basis!$E$5)^AK641*(((MID(C641,9,3)*10)-144)/1000)*AL641+AM641*(J641/Basis!$E$5)^2)*0.0098)/Basis!$E$10)</f>
        <v>2.294153590349993E-2</v>
      </c>
      <c r="M641" s="85"/>
      <c r="N641" s="109">
        <v>1.4339999999999999</v>
      </c>
      <c r="O641" s="68"/>
      <c r="P641" s="67">
        <v>1758</v>
      </c>
      <c r="Q641" s="68"/>
      <c r="R641" s="69"/>
      <c r="S641" s="69"/>
      <c r="T641" s="69"/>
      <c r="U641" s="69"/>
      <c r="V641" s="69"/>
      <c r="W641" s="68"/>
      <c r="X641" s="70"/>
      <c r="Y641" s="70"/>
      <c r="Z641" s="70"/>
      <c r="AA641" s="70"/>
      <c r="AB641" s="70"/>
      <c r="AC641" s="68"/>
      <c r="AD641" s="71"/>
      <c r="AE641" s="71"/>
      <c r="AF641" s="71"/>
      <c r="AG641" s="71"/>
      <c r="AH641" s="71"/>
      <c r="AI641" s="68"/>
      <c r="AJ641" s="214">
        <v>3.9689999999999994E-4</v>
      </c>
      <c r="AK641" s="214">
        <v>1.7345999999999999</v>
      </c>
      <c r="AL641" s="214">
        <v>4</v>
      </c>
      <c r="AM641" s="214">
        <v>5.7428799999999995E-4</v>
      </c>
      <c r="AN641" s="68"/>
      <c r="AO641" s="67"/>
      <c r="AP641" s="67"/>
      <c r="AQ641" s="67"/>
      <c r="AR641" s="67"/>
      <c r="AS641" s="67"/>
      <c r="AT641" s="68"/>
      <c r="AU641" s="49"/>
      <c r="AV641" s="50"/>
    </row>
    <row r="642" spans="1:48" ht="12.75" customHeight="1" x14ac:dyDescent="0.25">
      <c r="A642" s="72" t="s">
        <v>23</v>
      </c>
      <c r="B642" s="43" t="s">
        <v>159</v>
      </c>
      <c r="C642" s="44" t="s">
        <v>792</v>
      </c>
      <c r="D642" s="45">
        <f>MROUND(MID($C642,6,3)/Basis!$E$3,0.5)</f>
        <v>35.5</v>
      </c>
      <c r="E642" s="45">
        <f>MROUND(MID($C642,9,3)/Basis!$E$3,0.5)</f>
        <v>39.5</v>
      </c>
      <c r="F642" s="124" t="s">
        <v>2944</v>
      </c>
      <c r="G642" s="45">
        <f>ROUND((ROUNDDOWN($F642/5,0)*5+1.8)/Basis!$E$3,1)</f>
        <v>6.6</v>
      </c>
      <c r="H642" s="120">
        <f>ROUND($P642*Basis!$E$2*((TaH-TrH)/LN(1/µ)/Basis!$E$7)^$N642*$AA$4*Glycol,0)</f>
        <v>4670</v>
      </c>
      <c r="I642" s="83">
        <f>ROUND(H642/(MID($C642,9,3)/Basis!$E$3/Basis!$E$9)*Basis!$E$11,0)</f>
        <v>1423</v>
      </c>
      <c r="J642" s="123">
        <f>IF(Basis!$E$1=1,ROUND(H642/((TaH-TrH)*1.163)/3600,3),ROUND(H642/(500*(TaH-TrH)),2))</f>
        <v>0.47</v>
      </c>
      <c r="K642" s="84"/>
      <c r="L642" s="177">
        <f>CHOOSE(Basis!$E$1,((AJ642*(J642*3600/Basis!$E$5)^AK642*(((MID(C642,9,3)*10)-144)/1000)*AL642+AM642*(J642*3600/Basis!$E$5)^2)*0.0098)/Basis!$E$10,((AJ642*(J642/Basis!$E$5)^AK642*(((MID(C642,9,3)*10)-144)/1000)*AL642+AM642*(J642/Basis!$E$5)^2)*0.0098)/Basis!$E$10)</f>
        <v>2.0868406871441179E-2</v>
      </c>
      <c r="M642" s="85"/>
      <c r="N642" s="109">
        <v>1.3260000000000001</v>
      </c>
      <c r="O642" s="68"/>
      <c r="P642" s="67">
        <v>2120</v>
      </c>
      <c r="Q642" s="68"/>
      <c r="R642" s="69"/>
      <c r="S642" s="69"/>
      <c r="T642" s="69"/>
      <c r="U642" s="69"/>
      <c r="V642" s="69"/>
      <c r="W642" s="68"/>
      <c r="X642" s="70"/>
      <c r="Y642" s="70"/>
      <c r="Z642" s="70"/>
      <c r="AA642" s="70"/>
      <c r="AB642" s="70"/>
      <c r="AC642" s="68"/>
      <c r="AD642" s="71"/>
      <c r="AE642" s="71"/>
      <c r="AF642" s="71"/>
      <c r="AG642" s="71"/>
      <c r="AH642" s="71"/>
      <c r="AI642" s="68"/>
      <c r="AJ642" s="214">
        <v>2.0829999999999999E-4</v>
      </c>
      <c r="AK642" s="214">
        <v>1.724</v>
      </c>
      <c r="AL642" s="214">
        <v>2</v>
      </c>
      <c r="AM642" s="214">
        <v>4.6182900000000003E-4</v>
      </c>
      <c r="AN642" s="68"/>
      <c r="AO642" s="67"/>
      <c r="AP642" s="67"/>
      <c r="AQ642" s="67"/>
      <c r="AR642" s="67"/>
      <c r="AS642" s="67"/>
      <c r="AT642" s="68"/>
      <c r="AU642" s="49"/>
      <c r="AV642" s="50"/>
    </row>
    <row r="643" spans="1:48" ht="12.75" customHeight="1" x14ac:dyDescent="0.25">
      <c r="A643" s="72" t="s">
        <v>23</v>
      </c>
      <c r="B643" s="43" t="s">
        <v>159</v>
      </c>
      <c r="C643" s="44" t="s">
        <v>793</v>
      </c>
      <c r="D643" s="45">
        <f>MROUND(MID($C643,6,3)/Basis!$E$3,0.5)</f>
        <v>35.5</v>
      </c>
      <c r="E643" s="45">
        <f>MROUND(MID($C643,9,3)/Basis!$E$3,0.5)</f>
        <v>39.5</v>
      </c>
      <c r="F643" s="124" t="s">
        <v>2947</v>
      </c>
      <c r="G643" s="45">
        <f>ROUND((ROUNDDOWN($F643/5,0)*5+1.8)/Basis!$E$3,1)</f>
        <v>6.6</v>
      </c>
      <c r="H643" s="120">
        <f>ROUND($P643*Basis!$E$2*((TaH-TrH)/LN(1/µ)/Basis!$E$7)^$N643*$AA$4*Glycol,0)</f>
        <v>5435</v>
      </c>
      <c r="I643" s="83">
        <f>ROUND(H643/(MID($C643,9,3)/Basis!$E$3/Basis!$E$9)*Basis!$E$11,0)</f>
        <v>1657</v>
      </c>
      <c r="J643" s="123">
        <f>IF(Basis!$E$1=1,ROUND(H643/((TaH-TrH)*1.163)/3600,3),ROUND(H643/(500*(TaH-TrH)),2))</f>
        <v>0.54</v>
      </c>
      <c r="K643" s="84"/>
      <c r="L643" s="177">
        <f>CHOOSE(Basis!$E$1,((AJ643*(J643*3600/Basis!$E$5)^AK643*(((MID(C643,9,3)*10)-144)/1000)*AL643+AM643*(J643*3600/Basis!$E$5)^2)*0.0098)/Basis!$E$10,((AJ643*(J643/Basis!$E$5)^AK643*(((MID(C643,9,3)*10)-144)/1000)*AL643+AM643*(J643/Basis!$E$5)^2)*0.0098)/Basis!$E$10)</f>
        <v>7.7805667040376558E-2</v>
      </c>
      <c r="M643" s="85"/>
      <c r="N643" s="110">
        <v>1.48</v>
      </c>
      <c r="O643" s="74"/>
      <c r="P643" s="73">
        <v>2596</v>
      </c>
      <c r="Q643" s="74"/>
      <c r="R643" s="75"/>
      <c r="S643" s="75"/>
      <c r="T643" s="75"/>
      <c r="U643" s="75"/>
      <c r="V643" s="75"/>
      <c r="W643" s="74"/>
      <c r="X643" s="76"/>
      <c r="Y643" s="76"/>
      <c r="Z643" s="76"/>
      <c r="AA643" s="76"/>
      <c r="AB643" s="76"/>
      <c r="AC643" s="74"/>
      <c r="AD643" s="77"/>
      <c r="AE643" s="77"/>
      <c r="AF643" s="77"/>
      <c r="AG643" s="77"/>
      <c r="AH643" s="77"/>
      <c r="AI643" s="68"/>
      <c r="AJ643" s="213">
        <v>2.0829999999999999E-4</v>
      </c>
      <c r="AK643" s="213">
        <v>1.724</v>
      </c>
      <c r="AL643" s="213">
        <v>4</v>
      </c>
      <c r="AM643" s="213">
        <v>1.392796E-3</v>
      </c>
      <c r="AN643" s="74"/>
      <c r="AO643" s="73"/>
      <c r="AP643" s="73"/>
      <c r="AQ643" s="73"/>
      <c r="AR643" s="73"/>
      <c r="AS643" s="73"/>
      <c r="AT643" s="74"/>
      <c r="AU643" s="47"/>
      <c r="AV643" s="48"/>
    </row>
    <row r="644" spans="1:48" ht="12.75" customHeight="1" x14ac:dyDescent="0.25">
      <c r="A644" s="72" t="s">
        <v>23</v>
      </c>
      <c r="B644" s="43" t="s">
        <v>159</v>
      </c>
      <c r="C644" s="44" t="s">
        <v>794</v>
      </c>
      <c r="D644" s="45">
        <f>MROUND(MID($C644,6,3)/Basis!$E$3,0.5)</f>
        <v>35.5</v>
      </c>
      <c r="E644" s="45">
        <f>MROUND(MID($C644,9,3)/Basis!$E$3,0.5)</f>
        <v>39.5</v>
      </c>
      <c r="F644" s="124" t="s">
        <v>2945</v>
      </c>
      <c r="G644" s="45">
        <f>ROUND((ROUNDDOWN($F644/5,0)*5+1.8)/Basis!$E$3,1)</f>
        <v>8.6</v>
      </c>
      <c r="H644" s="120">
        <f>ROUND($P644*Basis!$E$2*((TaH-TrH)/LN(1/µ)/Basis!$E$7)^$N644*$AA$4*Glycol,0)</f>
        <v>6513</v>
      </c>
      <c r="I644" s="83">
        <f>ROUND(H644/(MID($C644,9,3)/Basis!$E$3/Basis!$E$9)*Basis!$E$11,0)</f>
        <v>1985</v>
      </c>
      <c r="J644" s="123">
        <f>IF(Basis!$E$1=1,ROUND(H644/((TaH-TrH)*1.163)/3600,3),ROUND(H644/(500*(TaH-TrH)),2))</f>
        <v>0.65</v>
      </c>
      <c r="K644" s="84"/>
      <c r="L644" s="177">
        <f>CHOOSE(Basis!$E$1,((AJ644*(J644*3600/Basis!$E$5)^AK644*(((MID(C644,9,3)*10)-144)/1000)*AL644+AM644*(J644*3600/Basis!$E$5)^2)*0.0098)/Basis!$E$10,((AJ644*(J644/Basis!$E$5)^AK644*(((MID(C644,9,3)*10)-144)/1000)*AL644+AM644*(J644/Basis!$E$5)^2)*0.0098)/Basis!$E$10)</f>
        <v>3.0719739862680933E-2</v>
      </c>
      <c r="M644" s="85"/>
      <c r="N644" s="110">
        <v>1.3260000000000001</v>
      </c>
      <c r="O644" s="74"/>
      <c r="P644" s="73">
        <v>2957</v>
      </c>
      <c r="Q644" s="74"/>
      <c r="R644" s="75"/>
      <c r="S644" s="75"/>
      <c r="T644" s="75"/>
      <c r="U644" s="75"/>
      <c r="V644" s="75"/>
      <c r="W644" s="74"/>
      <c r="X644" s="76"/>
      <c r="Y644" s="76"/>
      <c r="Z644" s="76"/>
      <c r="AA644" s="76"/>
      <c r="AB644" s="76"/>
      <c r="AC644" s="74"/>
      <c r="AD644" s="77"/>
      <c r="AE644" s="77"/>
      <c r="AF644" s="77"/>
      <c r="AG644" s="77"/>
      <c r="AH644" s="77"/>
      <c r="AI644" s="68"/>
      <c r="AJ644" s="213">
        <v>1.2760000000000001E-4</v>
      </c>
      <c r="AK644" s="213">
        <v>1.7219</v>
      </c>
      <c r="AL644" s="213">
        <v>2</v>
      </c>
      <c r="AM644" s="213">
        <v>3.76611E-4</v>
      </c>
      <c r="AN644" s="74"/>
      <c r="AO644" s="73"/>
      <c r="AP644" s="73"/>
      <c r="AQ644" s="73"/>
      <c r="AR644" s="73"/>
      <c r="AS644" s="73"/>
      <c r="AT644" s="74"/>
      <c r="AU644" s="47"/>
      <c r="AV644" s="48"/>
    </row>
    <row r="645" spans="1:48" ht="12.75" customHeight="1" x14ac:dyDescent="0.25">
      <c r="A645" s="72" t="s">
        <v>23</v>
      </c>
      <c r="B645" s="43" t="s">
        <v>159</v>
      </c>
      <c r="C645" s="44" t="s">
        <v>795</v>
      </c>
      <c r="D645" s="45">
        <f>MROUND(MID($C645,6,3)/Basis!$E$3,0.5)</f>
        <v>35.5</v>
      </c>
      <c r="E645" s="45">
        <f>MROUND(MID($C645,9,3)/Basis!$E$3,0.5)</f>
        <v>39.5</v>
      </c>
      <c r="F645" s="124" t="s">
        <v>2948</v>
      </c>
      <c r="G645" s="45">
        <f>ROUND((ROUNDDOWN($F645/5,0)*5+1.8)/Basis!$E$3,1)</f>
        <v>8.6</v>
      </c>
      <c r="H645" s="120">
        <f>ROUND($P645*Basis!$E$2*((TaH-TrH)/LN(1/µ)/Basis!$E$7)^$N645*$AA$4*Glycol,0)</f>
        <v>7794</v>
      </c>
      <c r="I645" s="83">
        <f>ROUND(H645/(MID($C645,9,3)/Basis!$E$3/Basis!$E$9)*Basis!$E$11,0)</f>
        <v>2376</v>
      </c>
      <c r="J645" s="123">
        <f>IF(Basis!$E$1=1,ROUND(H645/((TaH-TrH)*1.163)/3600,3),ROUND(H645/(500*(TaH-TrH)),2))</f>
        <v>0.78</v>
      </c>
      <c r="K645" s="84"/>
      <c r="L645" s="177">
        <f>CHOOSE(Basis!$E$1,((AJ645*(J645*3600/Basis!$E$5)^AK645*(((MID(C645,9,3)*10)-144)/1000)*AL645+AM645*(J645*3600/Basis!$E$5)^2)*0.0098)/Basis!$E$10,((AJ645*(J645/Basis!$E$5)^AK645*(((MID(C645,9,3)*10)-144)/1000)*AL645+AM645*(J645/Basis!$E$5)^2)*0.0098)/Basis!$E$10)</f>
        <v>6.3392149605039361E-2</v>
      </c>
      <c r="M645" s="85"/>
      <c r="N645" s="109">
        <v>1.518</v>
      </c>
      <c r="O645" s="68"/>
      <c r="P645" s="67">
        <v>3770</v>
      </c>
      <c r="Q645" s="68"/>
      <c r="R645" s="69"/>
      <c r="S645" s="69"/>
      <c r="T645" s="69"/>
      <c r="U645" s="69"/>
      <c r="V645" s="69"/>
      <c r="W645" s="68"/>
      <c r="X645" s="70"/>
      <c r="Y645" s="70"/>
      <c r="Z645" s="70"/>
      <c r="AA645" s="70"/>
      <c r="AB645" s="70"/>
      <c r="AC645" s="68"/>
      <c r="AD645" s="71"/>
      <c r="AE645" s="71"/>
      <c r="AF645" s="71"/>
      <c r="AG645" s="71"/>
      <c r="AH645" s="71"/>
      <c r="AI645" s="68"/>
      <c r="AJ645" s="214">
        <v>1.2760000000000001E-4</v>
      </c>
      <c r="AK645" s="214">
        <v>1.7219</v>
      </c>
      <c r="AL645" s="214">
        <v>4</v>
      </c>
      <c r="AM645" s="214">
        <v>5.1420100000000005E-4</v>
      </c>
      <c r="AN645" s="68"/>
      <c r="AO645" s="67"/>
      <c r="AP645" s="67"/>
      <c r="AQ645" s="67"/>
      <c r="AR645" s="67"/>
      <c r="AS645" s="67"/>
      <c r="AT645" s="68"/>
      <c r="AU645" s="49"/>
      <c r="AV645" s="50"/>
    </row>
    <row r="646" spans="1:48" ht="12.75" customHeight="1" x14ac:dyDescent="0.25">
      <c r="A646" s="72" t="s">
        <v>23</v>
      </c>
      <c r="B646" s="43" t="s">
        <v>159</v>
      </c>
      <c r="C646" s="44" t="s">
        <v>796</v>
      </c>
      <c r="D646" s="45">
        <f>MROUND(MID($C646,6,3)/Basis!$E$3,0.5)</f>
        <v>35.5</v>
      </c>
      <c r="E646" s="45">
        <f>MROUND(MID($C646,9,3)/Basis!$E$3,0.5)</f>
        <v>43.5</v>
      </c>
      <c r="F646" s="124" t="s">
        <v>2943</v>
      </c>
      <c r="G646" s="45">
        <f>ROUND((ROUNDDOWN($F646/5,0)*5+1.8)/Basis!$E$3,1)</f>
        <v>4.5999999999999996</v>
      </c>
      <c r="H646" s="120">
        <f>ROUND($P646*Basis!$E$2*((TaH-TrH)/LN(1/µ)/Basis!$E$7)^$N646*$AA$4*Glycol,0)</f>
        <v>3293</v>
      </c>
      <c r="I646" s="83">
        <f>ROUND(H646/(MID($C646,9,3)/Basis!$E$3/Basis!$E$9)*Basis!$E$11,0)</f>
        <v>912</v>
      </c>
      <c r="J646" s="123">
        <f>IF(Basis!$E$1=1,ROUND(H646/((TaH-TrH)*1.163)/3600,3),ROUND(H646/(500*(TaH-TrH)),2))</f>
        <v>0.33</v>
      </c>
      <c r="K646" s="84"/>
      <c r="L646" s="177">
        <f>CHOOSE(Basis!$E$1,((AJ646*(J646*3600/Basis!$E$5)^AK646*(((MID(C646,9,3)*10)-144)/1000)*AL646+AM646*(J646*3600/Basis!$E$5)^2)*0.0098)/Basis!$E$10,((AJ646*(J646/Basis!$E$5)^AK646*(((MID(C646,9,3)*10)-144)/1000)*AL646+AM646*(J646/Basis!$E$5)^2)*0.0098)/Basis!$E$10)</f>
        <v>1.1180229965988931E-2</v>
      </c>
      <c r="M646" s="85"/>
      <c r="N646" s="109">
        <v>1.3480000000000001</v>
      </c>
      <c r="O646" s="68"/>
      <c r="P646" s="67">
        <v>1506</v>
      </c>
      <c r="Q646" s="68"/>
      <c r="R646" s="69"/>
      <c r="S646" s="69"/>
      <c r="T646" s="69"/>
      <c r="U646" s="69"/>
      <c r="V646" s="69"/>
      <c r="W646" s="68"/>
      <c r="X646" s="70"/>
      <c r="Y646" s="70"/>
      <c r="Z646" s="70"/>
      <c r="AA646" s="70"/>
      <c r="AB646" s="70"/>
      <c r="AC646" s="68"/>
      <c r="AD646" s="71"/>
      <c r="AE646" s="71"/>
      <c r="AF646" s="71"/>
      <c r="AG646" s="71"/>
      <c r="AH646" s="71"/>
      <c r="AI646" s="68"/>
      <c r="AJ646" s="214">
        <v>3.9689999999999994E-4</v>
      </c>
      <c r="AK646" s="214">
        <v>1.7345999999999999</v>
      </c>
      <c r="AL646" s="214">
        <v>2</v>
      </c>
      <c r="AM646" s="214">
        <v>3.6734700000000002E-4</v>
      </c>
      <c r="AN646" s="68"/>
      <c r="AO646" s="67"/>
      <c r="AP646" s="67"/>
      <c r="AQ646" s="67"/>
      <c r="AR646" s="67"/>
      <c r="AS646" s="67"/>
      <c r="AT646" s="68"/>
      <c r="AU646" s="49"/>
      <c r="AV646" s="50"/>
    </row>
    <row r="647" spans="1:48" ht="12.75" customHeight="1" x14ac:dyDescent="0.25">
      <c r="A647" s="72" t="s">
        <v>23</v>
      </c>
      <c r="B647" s="43" t="s">
        <v>159</v>
      </c>
      <c r="C647" s="44" t="s">
        <v>797</v>
      </c>
      <c r="D647" s="45">
        <f>MROUND(MID($C647,6,3)/Basis!$E$3,0.5)</f>
        <v>35.5</v>
      </c>
      <c r="E647" s="45">
        <f>MROUND(MID($C647,9,3)/Basis!$E$3,0.5)</f>
        <v>43.5</v>
      </c>
      <c r="F647" s="124" t="s">
        <v>2946</v>
      </c>
      <c r="G647" s="45">
        <f>ROUND((ROUNDDOWN($F647/5,0)*5+1.8)/Basis!$E$3,1)</f>
        <v>4.5999999999999996</v>
      </c>
      <c r="H647" s="120">
        <f>ROUND($P647*Basis!$E$2*((TaH-TrH)/LN(1/µ)/Basis!$E$7)^$N647*$AA$4*Glycol,0)</f>
        <v>4111</v>
      </c>
      <c r="I647" s="83">
        <f>ROUND(H647/(MID($C647,9,3)/Basis!$E$3/Basis!$E$9)*Basis!$E$11,0)</f>
        <v>1139</v>
      </c>
      <c r="J647" s="123">
        <f>IF(Basis!$E$1=1,ROUND(H647/((TaH-TrH)*1.163)/3600,3),ROUND(H647/(500*(TaH-TrH)),2))</f>
        <v>0.41</v>
      </c>
      <c r="K647" s="84"/>
      <c r="L647" s="177">
        <f>CHOOSE(Basis!$E$1,((AJ647*(J647*3600/Basis!$E$5)^AK647*(((MID(C647,9,3)*10)-144)/1000)*AL647+AM647*(J647*3600/Basis!$E$5)^2)*0.0098)/Basis!$E$10,((AJ647*(J647/Basis!$E$5)^AK647*(((MID(C647,9,3)*10)-144)/1000)*AL647+AM647*(J647/Basis!$E$5)^2)*0.0098)/Basis!$E$10)</f>
        <v>2.9201853299195661E-2</v>
      </c>
      <c r="M647" s="85"/>
      <c r="N647" s="110">
        <v>1.4339999999999999</v>
      </c>
      <c r="O647" s="74"/>
      <c r="P647" s="73">
        <v>1934</v>
      </c>
      <c r="Q647" s="74"/>
      <c r="R647" s="75"/>
      <c r="S647" s="75"/>
      <c r="T647" s="75"/>
      <c r="U647" s="75"/>
      <c r="V647" s="75"/>
      <c r="W647" s="74"/>
      <c r="X647" s="76"/>
      <c r="Y647" s="76"/>
      <c r="Z647" s="76"/>
      <c r="AA647" s="76"/>
      <c r="AB647" s="76"/>
      <c r="AC647" s="74"/>
      <c r="AD647" s="77"/>
      <c r="AE647" s="77"/>
      <c r="AF647" s="77"/>
      <c r="AG647" s="77"/>
      <c r="AH647" s="77"/>
      <c r="AI647" s="68"/>
      <c r="AJ647" s="213">
        <v>3.9689999999999994E-4</v>
      </c>
      <c r="AK647" s="213">
        <v>1.7345999999999999</v>
      </c>
      <c r="AL647" s="213">
        <v>4</v>
      </c>
      <c r="AM647" s="213">
        <v>5.7428799999999995E-4</v>
      </c>
      <c r="AN647" s="74"/>
      <c r="AO647" s="73"/>
      <c r="AP647" s="73"/>
      <c r="AQ647" s="73"/>
      <c r="AR647" s="73"/>
      <c r="AS647" s="73"/>
      <c r="AT647" s="74"/>
      <c r="AU647" s="47"/>
      <c r="AV647" s="48"/>
    </row>
    <row r="648" spans="1:48" ht="12.75" customHeight="1" x14ac:dyDescent="0.25">
      <c r="A648" s="72" t="s">
        <v>23</v>
      </c>
      <c r="B648" s="43" t="s">
        <v>159</v>
      </c>
      <c r="C648" s="44" t="s">
        <v>798</v>
      </c>
      <c r="D648" s="45">
        <f>MROUND(MID($C648,6,3)/Basis!$E$3,0.5)</f>
        <v>35.5</v>
      </c>
      <c r="E648" s="45">
        <f>MROUND(MID($C648,9,3)/Basis!$E$3,0.5)</f>
        <v>43.5</v>
      </c>
      <c r="F648" s="124" t="s">
        <v>2944</v>
      </c>
      <c r="G648" s="45">
        <f>ROUND((ROUNDDOWN($F648/5,0)*5+1.8)/Basis!$E$3,1)</f>
        <v>6.6</v>
      </c>
      <c r="H648" s="120">
        <f>ROUND($P648*Basis!$E$2*((TaH-TrH)/LN(1/µ)/Basis!$E$7)^$N648*$AA$4*Glycol,0)</f>
        <v>5137</v>
      </c>
      <c r="I648" s="83">
        <f>ROUND(H648/(MID($C648,9,3)/Basis!$E$3/Basis!$E$9)*Basis!$E$11,0)</f>
        <v>1423</v>
      </c>
      <c r="J648" s="123">
        <f>IF(Basis!$E$1=1,ROUND(H648/((TaH-TrH)*1.163)/3600,3),ROUND(H648/(500*(TaH-TrH)),2))</f>
        <v>0.51</v>
      </c>
      <c r="K648" s="84"/>
      <c r="L648" s="177">
        <f>CHOOSE(Basis!$E$1,((AJ648*(J648*3600/Basis!$E$5)^AK648*(((MID(C648,9,3)*10)-144)/1000)*AL648+AM648*(J648*3600/Basis!$E$5)^2)*0.0098)/Basis!$E$10,((AJ648*(J648/Basis!$E$5)^AK648*(((MID(C648,9,3)*10)-144)/1000)*AL648+AM648*(J648/Basis!$E$5)^2)*0.0098)/Basis!$E$10)</f>
        <v>2.4967898735454578E-2</v>
      </c>
      <c r="M648" s="85"/>
      <c r="N648" s="110">
        <v>1.3260000000000001</v>
      </c>
      <c r="O648" s="74"/>
      <c r="P648" s="73">
        <v>2332</v>
      </c>
      <c r="Q648" s="74"/>
      <c r="R648" s="75"/>
      <c r="S648" s="75"/>
      <c r="T648" s="75"/>
      <c r="U648" s="75"/>
      <c r="V648" s="75"/>
      <c r="W648" s="74"/>
      <c r="X648" s="76"/>
      <c r="Y648" s="76"/>
      <c r="Z648" s="76"/>
      <c r="AA648" s="76"/>
      <c r="AB648" s="76"/>
      <c r="AC648" s="74"/>
      <c r="AD648" s="77"/>
      <c r="AE648" s="77"/>
      <c r="AF648" s="77"/>
      <c r="AG648" s="77"/>
      <c r="AH648" s="77"/>
      <c r="AI648" s="68"/>
      <c r="AJ648" s="213">
        <v>2.0829999999999999E-4</v>
      </c>
      <c r="AK648" s="213">
        <v>1.724</v>
      </c>
      <c r="AL648" s="213">
        <v>2</v>
      </c>
      <c r="AM648" s="213">
        <v>4.6182900000000003E-4</v>
      </c>
      <c r="AN648" s="74"/>
      <c r="AO648" s="73"/>
      <c r="AP648" s="73"/>
      <c r="AQ648" s="73"/>
      <c r="AR648" s="73"/>
      <c r="AS648" s="73"/>
      <c r="AT648" s="74"/>
      <c r="AU648" s="47"/>
      <c r="AV648" s="48"/>
    </row>
    <row r="649" spans="1:48" ht="12.75" customHeight="1" x14ac:dyDescent="0.25">
      <c r="A649" s="72" t="s">
        <v>23</v>
      </c>
      <c r="B649" s="43" t="s">
        <v>159</v>
      </c>
      <c r="C649" s="44" t="s">
        <v>799</v>
      </c>
      <c r="D649" s="45">
        <f>MROUND(MID($C649,6,3)/Basis!$E$3,0.5)</f>
        <v>35.5</v>
      </c>
      <c r="E649" s="45">
        <f>MROUND(MID($C649,9,3)/Basis!$E$3,0.5)</f>
        <v>43.5</v>
      </c>
      <c r="F649" s="124" t="s">
        <v>2947</v>
      </c>
      <c r="G649" s="45">
        <f>ROUND((ROUNDDOWN($F649/5,0)*5+1.8)/Basis!$E$3,1)</f>
        <v>6.6</v>
      </c>
      <c r="H649" s="120">
        <f>ROUND($P649*Basis!$E$2*((TaH-TrH)/LN(1/µ)/Basis!$E$7)^$N649*$AA$4*Glycol,0)</f>
        <v>5979</v>
      </c>
      <c r="I649" s="83">
        <f>ROUND(H649/(MID($C649,9,3)/Basis!$E$3/Basis!$E$9)*Basis!$E$11,0)</f>
        <v>1657</v>
      </c>
      <c r="J649" s="123">
        <f>IF(Basis!$E$1=1,ROUND(H649/((TaH-TrH)*1.163)/3600,3),ROUND(H649/(500*(TaH-TrH)),2))</f>
        <v>0.6</v>
      </c>
      <c r="K649" s="84"/>
      <c r="L649" s="177">
        <f>CHOOSE(Basis!$E$1,((AJ649*(J649*3600/Basis!$E$5)^AK649*(((MID(C649,9,3)*10)-144)/1000)*AL649+AM649*(J649*3600/Basis!$E$5)^2)*0.0098)/Basis!$E$10,((AJ649*(J649/Basis!$E$5)^AK649*(((MID(C649,9,3)*10)-144)/1000)*AL649+AM649*(J649/Basis!$E$5)^2)*0.0098)/Basis!$E$10)</f>
        <v>9.7030386249295192E-2</v>
      </c>
      <c r="M649" s="85"/>
      <c r="N649" s="109">
        <v>1.48</v>
      </c>
      <c r="O649" s="68"/>
      <c r="P649" s="67">
        <v>2856</v>
      </c>
      <c r="Q649" s="68"/>
      <c r="R649" s="69"/>
      <c r="S649" s="69"/>
      <c r="T649" s="69"/>
      <c r="U649" s="69"/>
      <c r="V649" s="69"/>
      <c r="W649" s="68"/>
      <c r="X649" s="70"/>
      <c r="Y649" s="70"/>
      <c r="Z649" s="70"/>
      <c r="AA649" s="70"/>
      <c r="AB649" s="70"/>
      <c r="AC649" s="68"/>
      <c r="AD649" s="71"/>
      <c r="AE649" s="71"/>
      <c r="AF649" s="71"/>
      <c r="AG649" s="71"/>
      <c r="AH649" s="71"/>
      <c r="AI649" s="68"/>
      <c r="AJ649" s="214">
        <v>2.0829999999999999E-4</v>
      </c>
      <c r="AK649" s="214">
        <v>1.724</v>
      </c>
      <c r="AL649" s="214">
        <v>4</v>
      </c>
      <c r="AM649" s="214">
        <v>1.392796E-3</v>
      </c>
      <c r="AN649" s="68"/>
      <c r="AO649" s="67"/>
      <c r="AP649" s="67"/>
      <c r="AQ649" s="67"/>
      <c r="AR649" s="67"/>
      <c r="AS649" s="67"/>
      <c r="AT649" s="68"/>
      <c r="AU649" s="49"/>
      <c r="AV649" s="50"/>
    </row>
    <row r="650" spans="1:48" ht="12.75" customHeight="1" x14ac:dyDescent="0.25">
      <c r="A650" s="72" t="s">
        <v>23</v>
      </c>
      <c r="B650" s="43" t="s">
        <v>159</v>
      </c>
      <c r="C650" s="44" t="s">
        <v>800</v>
      </c>
      <c r="D650" s="45">
        <f>MROUND(MID($C650,6,3)/Basis!$E$3,0.5)</f>
        <v>35.5</v>
      </c>
      <c r="E650" s="45">
        <f>MROUND(MID($C650,9,3)/Basis!$E$3,0.5)</f>
        <v>43.5</v>
      </c>
      <c r="F650" s="124" t="s">
        <v>2945</v>
      </c>
      <c r="G650" s="45">
        <f>ROUND((ROUNDDOWN($F650/5,0)*5+1.8)/Basis!$E$3,1)</f>
        <v>8.6</v>
      </c>
      <c r="H650" s="120">
        <f>ROUND($P650*Basis!$E$2*((TaH-TrH)/LN(1/µ)/Basis!$E$7)^$N650*$AA$4*Glycol,0)</f>
        <v>7165</v>
      </c>
      <c r="I650" s="83">
        <f>ROUND(H650/(MID($C650,9,3)/Basis!$E$3/Basis!$E$9)*Basis!$E$11,0)</f>
        <v>1985</v>
      </c>
      <c r="J650" s="123">
        <f>IF(Basis!$E$1=1,ROUND(H650/((TaH-TrH)*1.163)/3600,3),ROUND(H650/(500*(TaH-TrH)),2))</f>
        <v>0.72</v>
      </c>
      <c r="K650" s="84"/>
      <c r="L650" s="177">
        <f>CHOOSE(Basis!$E$1,((AJ650*(J650*3600/Basis!$E$5)^AK650*(((MID(C650,9,3)*10)-144)/1000)*AL650+AM650*(J650*3600/Basis!$E$5)^2)*0.0098)/Basis!$E$10,((AJ650*(J650/Basis!$E$5)^AK650*(((MID(C650,9,3)*10)-144)/1000)*AL650+AM650*(J650/Basis!$E$5)^2)*0.0098)/Basis!$E$10)</f>
        <v>3.809976424893418E-2</v>
      </c>
      <c r="M650" s="85"/>
      <c r="N650" s="109">
        <v>1.3260000000000001</v>
      </c>
      <c r="O650" s="68"/>
      <c r="P650" s="67">
        <v>3253</v>
      </c>
      <c r="Q650" s="68"/>
      <c r="R650" s="69"/>
      <c r="S650" s="69"/>
      <c r="T650" s="69"/>
      <c r="U650" s="69"/>
      <c r="V650" s="69"/>
      <c r="W650" s="68"/>
      <c r="X650" s="70"/>
      <c r="Y650" s="70"/>
      <c r="Z650" s="70"/>
      <c r="AA650" s="70"/>
      <c r="AB650" s="70"/>
      <c r="AC650" s="68"/>
      <c r="AD650" s="71"/>
      <c r="AE650" s="71"/>
      <c r="AF650" s="71"/>
      <c r="AG650" s="71"/>
      <c r="AH650" s="71"/>
      <c r="AI650" s="68"/>
      <c r="AJ650" s="214">
        <v>1.2760000000000001E-4</v>
      </c>
      <c r="AK650" s="214">
        <v>1.7219</v>
      </c>
      <c r="AL650" s="214">
        <v>2</v>
      </c>
      <c r="AM650" s="214">
        <v>3.76611E-4</v>
      </c>
      <c r="AN650" s="68"/>
      <c r="AO650" s="67"/>
      <c r="AP650" s="67"/>
      <c r="AQ650" s="67"/>
      <c r="AR650" s="67"/>
      <c r="AS650" s="67"/>
      <c r="AT650" s="68"/>
      <c r="AU650" s="49"/>
      <c r="AV650" s="50"/>
    </row>
    <row r="651" spans="1:48" ht="12.75" customHeight="1" x14ac:dyDescent="0.25">
      <c r="A651" s="72" t="s">
        <v>23</v>
      </c>
      <c r="B651" s="43" t="s">
        <v>159</v>
      </c>
      <c r="C651" s="44" t="s">
        <v>801</v>
      </c>
      <c r="D651" s="45">
        <f>MROUND(MID($C651,6,3)/Basis!$E$3,0.5)</f>
        <v>35.5</v>
      </c>
      <c r="E651" s="45">
        <f>MROUND(MID($C651,9,3)/Basis!$E$3,0.5)</f>
        <v>43.5</v>
      </c>
      <c r="F651" s="124" t="s">
        <v>2948</v>
      </c>
      <c r="G651" s="45">
        <f>ROUND((ROUNDDOWN($F651/5,0)*5+1.8)/Basis!$E$3,1)</f>
        <v>8.6</v>
      </c>
      <c r="H651" s="120">
        <f>ROUND($P651*Basis!$E$2*((TaH-TrH)/LN(1/µ)/Basis!$E$7)^$N651*$AA$4*Glycol,0)</f>
        <v>8574</v>
      </c>
      <c r="I651" s="83">
        <f>ROUND(H651/(MID($C651,9,3)/Basis!$E$3/Basis!$E$9)*Basis!$E$11,0)</f>
        <v>2376</v>
      </c>
      <c r="J651" s="123">
        <f>IF(Basis!$E$1=1,ROUND(H651/((TaH-TrH)*1.163)/3600,3),ROUND(H651/(500*(TaH-TrH)),2))</f>
        <v>0.86</v>
      </c>
      <c r="K651" s="84"/>
      <c r="L651" s="177">
        <f>CHOOSE(Basis!$E$1,((AJ651*(J651*3600/Basis!$E$5)^AK651*(((MID(C651,9,3)*10)-144)/1000)*AL651+AM651*(J651*3600/Basis!$E$5)^2)*0.0098)/Basis!$E$10,((AJ651*(J651/Basis!$E$5)^AK651*(((MID(C651,9,3)*10)-144)/1000)*AL651+AM651*(J651/Basis!$E$5)^2)*0.0098)/Basis!$E$10)</f>
        <v>7.8185048374375538E-2</v>
      </c>
      <c r="M651" s="85"/>
      <c r="N651" s="110">
        <v>1.518</v>
      </c>
      <c r="O651" s="74"/>
      <c r="P651" s="73">
        <v>4147</v>
      </c>
      <c r="Q651" s="74"/>
      <c r="R651" s="75"/>
      <c r="S651" s="75"/>
      <c r="T651" s="75"/>
      <c r="U651" s="75"/>
      <c r="V651" s="75"/>
      <c r="W651" s="74"/>
      <c r="X651" s="76"/>
      <c r="Y651" s="76"/>
      <c r="Z651" s="76"/>
      <c r="AA651" s="76"/>
      <c r="AB651" s="76"/>
      <c r="AC651" s="74"/>
      <c r="AD651" s="77"/>
      <c r="AE651" s="77"/>
      <c r="AF651" s="77"/>
      <c r="AG651" s="77"/>
      <c r="AH651" s="77"/>
      <c r="AI651" s="68"/>
      <c r="AJ651" s="213">
        <v>1.2760000000000001E-4</v>
      </c>
      <c r="AK651" s="213">
        <v>1.7219</v>
      </c>
      <c r="AL651" s="213">
        <v>4</v>
      </c>
      <c r="AM651" s="213">
        <v>5.1420100000000005E-4</v>
      </c>
      <c r="AN651" s="74"/>
      <c r="AO651" s="73"/>
      <c r="AP651" s="73"/>
      <c r="AQ651" s="73"/>
      <c r="AR651" s="73"/>
      <c r="AS651" s="73"/>
      <c r="AT651" s="74"/>
      <c r="AU651" s="47"/>
      <c r="AV651" s="48"/>
    </row>
    <row r="652" spans="1:48" ht="12.75" customHeight="1" x14ac:dyDescent="0.25">
      <c r="A652" s="72" t="s">
        <v>23</v>
      </c>
      <c r="B652" s="43" t="s">
        <v>159</v>
      </c>
      <c r="C652" s="44" t="s">
        <v>802</v>
      </c>
      <c r="D652" s="45">
        <f>MROUND(MID($C652,6,3)/Basis!$E$3,0.5)</f>
        <v>35.5</v>
      </c>
      <c r="E652" s="45">
        <f>MROUND(MID($C652,9,3)/Basis!$E$3,0.5)</f>
        <v>47</v>
      </c>
      <c r="F652" s="124" t="s">
        <v>2943</v>
      </c>
      <c r="G652" s="45">
        <f>ROUND((ROUNDDOWN($F652/5,0)*5+1.8)/Basis!$E$3,1)</f>
        <v>4.5999999999999996</v>
      </c>
      <c r="H652" s="120">
        <f>ROUND($P652*Basis!$E$2*((TaH-TrH)/LN(1/µ)/Basis!$E$7)^$N652*$AA$4*Glycol,0)</f>
        <v>3593</v>
      </c>
      <c r="I652" s="83">
        <f>ROUND(H652/(MID($C652,9,3)/Basis!$E$3/Basis!$E$9)*Basis!$E$11,0)</f>
        <v>913</v>
      </c>
      <c r="J652" s="123">
        <f>IF(Basis!$E$1=1,ROUND(H652/((TaH-TrH)*1.163)/3600,3),ROUND(H652/(500*(TaH-TrH)),2))</f>
        <v>0.36</v>
      </c>
      <c r="K652" s="84"/>
      <c r="L652" s="177">
        <f>CHOOSE(Basis!$E$1,((AJ652*(J652*3600/Basis!$E$5)^AK652*(((MID(C652,9,3)*10)-144)/1000)*AL652+AM652*(J652*3600/Basis!$E$5)^2)*0.0098)/Basis!$E$10,((AJ652*(J652/Basis!$E$5)^AK652*(((MID(C652,9,3)*10)-144)/1000)*AL652+AM652*(J652/Basis!$E$5)^2)*0.0098)/Basis!$E$10)</f>
        <v>1.3724186733245053E-2</v>
      </c>
      <c r="M652" s="85"/>
      <c r="N652" s="110">
        <v>1.3480000000000001</v>
      </c>
      <c r="O652" s="74"/>
      <c r="P652" s="73">
        <v>1643</v>
      </c>
      <c r="Q652" s="74"/>
      <c r="R652" s="75"/>
      <c r="S652" s="75"/>
      <c r="T652" s="75"/>
      <c r="U652" s="75"/>
      <c r="V652" s="75"/>
      <c r="W652" s="74"/>
      <c r="X652" s="76"/>
      <c r="Y652" s="76"/>
      <c r="Z652" s="76"/>
      <c r="AA652" s="76"/>
      <c r="AB652" s="76"/>
      <c r="AC652" s="74"/>
      <c r="AD652" s="77"/>
      <c r="AE652" s="77"/>
      <c r="AF652" s="77"/>
      <c r="AG652" s="77"/>
      <c r="AH652" s="77"/>
      <c r="AI652" s="68"/>
      <c r="AJ652" s="213">
        <v>3.9689999999999994E-4</v>
      </c>
      <c r="AK652" s="213">
        <v>1.7345999999999999</v>
      </c>
      <c r="AL652" s="213">
        <v>2</v>
      </c>
      <c r="AM652" s="213">
        <v>3.6734700000000002E-4</v>
      </c>
      <c r="AN652" s="74"/>
      <c r="AO652" s="73"/>
      <c r="AP652" s="73"/>
      <c r="AQ652" s="73"/>
      <c r="AR652" s="73"/>
      <c r="AS652" s="73"/>
      <c r="AT652" s="74"/>
      <c r="AU652" s="47"/>
      <c r="AV652" s="48"/>
    </row>
    <row r="653" spans="1:48" ht="12.75" customHeight="1" x14ac:dyDescent="0.25">
      <c r="A653" s="72" t="s">
        <v>23</v>
      </c>
      <c r="B653" s="43" t="s">
        <v>159</v>
      </c>
      <c r="C653" s="44" t="s">
        <v>803</v>
      </c>
      <c r="D653" s="45">
        <f>MROUND(MID($C653,6,3)/Basis!$E$3,0.5)</f>
        <v>35.5</v>
      </c>
      <c r="E653" s="45">
        <f>MROUND(MID($C653,9,3)/Basis!$E$3,0.5)</f>
        <v>47</v>
      </c>
      <c r="F653" s="124" t="s">
        <v>2946</v>
      </c>
      <c r="G653" s="45">
        <f>ROUND((ROUNDDOWN($F653/5,0)*5+1.8)/Basis!$E$3,1)</f>
        <v>4.5999999999999996</v>
      </c>
      <c r="H653" s="120">
        <f>ROUND($P653*Basis!$E$2*((TaH-TrH)/LN(1/µ)/Basis!$E$7)^$N653*$AA$4*Glycol,0)</f>
        <v>4485</v>
      </c>
      <c r="I653" s="83">
        <f>ROUND(H653/(MID($C653,9,3)/Basis!$E$3/Basis!$E$9)*Basis!$E$11,0)</f>
        <v>1139</v>
      </c>
      <c r="J653" s="123">
        <f>IF(Basis!$E$1=1,ROUND(H653/((TaH-TrH)*1.163)/3600,3),ROUND(H653/(500*(TaH-TrH)),2))</f>
        <v>0.45</v>
      </c>
      <c r="K653" s="84"/>
      <c r="L653" s="177">
        <f>CHOOSE(Basis!$E$1,((AJ653*(J653*3600/Basis!$E$5)^AK653*(((MID(C653,9,3)*10)-144)/1000)*AL653+AM653*(J653*3600/Basis!$E$5)^2)*0.0098)/Basis!$E$10,((AJ653*(J653/Basis!$E$5)^AK653*(((MID(C653,9,3)*10)-144)/1000)*AL653+AM653*(J653/Basis!$E$5)^2)*0.0098)/Basis!$E$10)</f>
        <v>3.6386096444901678E-2</v>
      </c>
      <c r="M653" s="85"/>
      <c r="N653" s="109">
        <v>1.4339999999999999</v>
      </c>
      <c r="O653" s="68"/>
      <c r="P653" s="67">
        <v>2110</v>
      </c>
      <c r="Q653" s="68"/>
      <c r="R653" s="69"/>
      <c r="S653" s="69"/>
      <c r="T653" s="69"/>
      <c r="U653" s="69"/>
      <c r="V653" s="69"/>
      <c r="W653" s="68"/>
      <c r="X653" s="70"/>
      <c r="Y653" s="70"/>
      <c r="Z653" s="70"/>
      <c r="AA653" s="70"/>
      <c r="AB653" s="70"/>
      <c r="AC653" s="68"/>
      <c r="AD653" s="71"/>
      <c r="AE653" s="71"/>
      <c r="AF653" s="71"/>
      <c r="AG653" s="71"/>
      <c r="AH653" s="71"/>
      <c r="AI653" s="68"/>
      <c r="AJ653" s="214">
        <v>3.9689999999999994E-4</v>
      </c>
      <c r="AK653" s="214">
        <v>1.7345999999999999</v>
      </c>
      <c r="AL653" s="214">
        <v>4</v>
      </c>
      <c r="AM653" s="214">
        <v>5.7428799999999995E-4</v>
      </c>
      <c r="AN653" s="68"/>
      <c r="AO653" s="67"/>
      <c r="AP653" s="67"/>
      <c r="AQ653" s="67"/>
      <c r="AR653" s="67"/>
      <c r="AS653" s="67"/>
      <c r="AT653" s="68"/>
      <c r="AU653" s="49"/>
      <c r="AV653" s="50"/>
    </row>
    <row r="654" spans="1:48" ht="12.75" customHeight="1" x14ac:dyDescent="0.25">
      <c r="A654" s="72" t="s">
        <v>23</v>
      </c>
      <c r="B654" s="43" t="s">
        <v>159</v>
      </c>
      <c r="C654" s="44" t="s">
        <v>804</v>
      </c>
      <c r="D654" s="45">
        <f>MROUND(MID($C654,6,3)/Basis!$E$3,0.5)</f>
        <v>35.5</v>
      </c>
      <c r="E654" s="45">
        <f>MROUND(MID($C654,9,3)/Basis!$E$3,0.5)</f>
        <v>47</v>
      </c>
      <c r="F654" s="124" t="s">
        <v>2944</v>
      </c>
      <c r="G654" s="45">
        <f>ROUND((ROUNDDOWN($F654/5,0)*5+1.8)/Basis!$E$3,1)</f>
        <v>6.6</v>
      </c>
      <c r="H654" s="120">
        <f>ROUND($P654*Basis!$E$2*((TaH-TrH)/LN(1/µ)/Basis!$E$7)^$N654*$AA$4*Glycol,0)</f>
        <v>5604</v>
      </c>
      <c r="I654" s="83">
        <f>ROUND(H654/(MID($C654,9,3)/Basis!$E$3/Basis!$E$9)*Basis!$E$11,0)</f>
        <v>1423</v>
      </c>
      <c r="J654" s="123">
        <f>IF(Basis!$E$1=1,ROUND(H654/((TaH-TrH)*1.163)/3600,3),ROUND(H654/(500*(TaH-TrH)),2))</f>
        <v>0.56000000000000005</v>
      </c>
      <c r="K654" s="84"/>
      <c r="L654" s="177">
        <f>CHOOSE(Basis!$E$1,((AJ654*(J654*3600/Basis!$E$5)^AK654*(((MID(C654,9,3)*10)-144)/1000)*AL654+AM654*(J654*3600/Basis!$E$5)^2)*0.0098)/Basis!$E$10,((AJ654*(J654/Basis!$E$5)^AK654*(((MID(C654,9,3)*10)-144)/1000)*AL654+AM654*(J654/Basis!$E$5)^2)*0.0098)/Basis!$E$10)</f>
        <v>3.0537436140340664E-2</v>
      </c>
      <c r="M654" s="85"/>
      <c r="N654" s="109">
        <v>1.3260000000000001</v>
      </c>
      <c r="O654" s="68"/>
      <c r="P654" s="67">
        <v>2544</v>
      </c>
      <c r="Q654" s="68"/>
      <c r="R654" s="69"/>
      <c r="S654" s="69"/>
      <c r="T654" s="69"/>
      <c r="U654" s="69"/>
      <c r="V654" s="69"/>
      <c r="W654" s="68"/>
      <c r="X654" s="70"/>
      <c r="Y654" s="70"/>
      <c r="Z654" s="70"/>
      <c r="AA654" s="70"/>
      <c r="AB654" s="70"/>
      <c r="AC654" s="68"/>
      <c r="AD654" s="71"/>
      <c r="AE654" s="71"/>
      <c r="AF654" s="71"/>
      <c r="AG654" s="71"/>
      <c r="AH654" s="71"/>
      <c r="AI654" s="68"/>
      <c r="AJ654" s="214">
        <v>2.0829999999999999E-4</v>
      </c>
      <c r="AK654" s="214">
        <v>1.724</v>
      </c>
      <c r="AL654" s="214">
        <v>2</v>
      </c>
      <c r="AM654" s="214">
        <v>4.6182900000000003E-4</v>
      </c>
      <c r="AN654" s="68"/>
      <c r="AO654" s="67"/>
      <c r="AP654" s="67"/>
      <c r="AQ654" s="67"/>
      <c r="AR654" s="67"/>
      <c r="AS654" s="67"/>
      <c r="AT654" s="68"/>
      <c r="AU654" s="49"/>
      <c r="AV654" s="50"/>
    </row>
    <row r="655" spans="1:48" ht="12.75" customHeight="1" x14ac:dyDescent="0.25">
      <c r="A655" s="72" t="s">
        <v>23</v>
      </c>
      <c r="B655" s="43" t="s">
        <v>159</v>
      </c>
      <c r="C655" s="44" t="s">
        <v>805</v>
      </c>
      <c r="D655" s="45">
        <f>MROUND(MID($C655,6,3)/Basis!$E$3,0.5)</f>
        <v>35.5</v>
      </c>
      <c r="E655" s="45">
        <f>MROUND(MID($C655,9,3)/Basis!$E$3,0.5)</f>
        <v>47</v>
      </c>
      <c r="F655" s="124" t="s">
        <v>2947</v>
      </c>
      <c r="G655" s="45">
        <f>ROUND((ROUNDDOWN($F655/5,0)*5+1.8)/Basis!$E$3,1)</f>
        <v>6.6</v>
      </c>
      <c r="H655" s="120">
        <f>ROUND($P655*Basis!$E$2*((TaH-TrH)/LN(1/µ)/Basis!$E$7)^$N655*$AA$4*Glycol,0)</f>
        <v>6521</v>
      </c>
      <c r="I655" s="83">
        <f>ROUND(H655/(MID($C655,9,3)/Basis!$E$3/Basis!$E$9)*Basis!$E$11,0)</f>
        <v>1656</v>
      </c>
      <c r="J655" s="123">
        <f>IF(Basis!$E$1=1,ROUND(H655/((TaH-TrH)*1.163)/3600,3),ROUND(H655/(500*(TaH-TrH)),2))</f>
        <v>0.65</v>
      </c>
      <c r="K655" s="84"/>
      <c r="L655" s="177">
        <f>CHOOSE(Basis!$E$1,((AJ655*(J655*3600/Basis!$E$5)^AK655*(((MID(C655,9,3)*10)-144)/1000)*AL655+AM655*(J655*3600/Basis!$E$5)^2)*0.0098)/Basis!$E$10,((AJ655*(J655/Basis!$E$5)^AK655*(((MID(C655,9,3)*10)-144)/1000)*AL655+AM655*(J655/Basis!$E$5)^2)*0.0098)/Basis!$E$10)</f>
        <v>0.11505245290597133</v>
      </c>
      <c r="M655" s="85"/>
      <c r="N655" s="110">
        <v>1.48</v>
      </c>
      <c r="O655" s="74"/>
      <c r="P655" s="73">
        <v>3115</v>
      </c>
      <c r="Q655" s="74"/>
      <c r="R655" s="75"/>
      <c r="S655" s="75"/>
      <c r="T655" s="75"/>
      <c r="U655" s="75"/>
      <c r="V655" s="75"/>
      <c r="W655" s="74"/>
      <c r="X655" s="76"/>
      <c r="Y655" s="76"/>
      <c r="Z655" s="76"/>
      <c r="AA655" s="76"/>
      <c r="AB655" s="76"/>
      <c r="AC655" s="74"/>
      <c r="AD655" s="77"/>
      <c r="AE655" s="77"/>
      <c r="AF655" s="77"/>
      <c r="AG655" s="77"/>
      <c r="AH655" s="77"/>
      <c r="AI655" s="68"/>
      <c r="AJ655" s="213">
        <v>2.0829999999999999E-4</v>
      </c>
      <c r="AK655" s="213">
        <v>1.724</v>
      </c>
      <c r="AL655" s="213">
        <v>4</v>
      </c>
      <c r="AM655" s="213">
        <v>1.392796E-3</v>
      </c>
      <c r="AN655" s="74"/>
      <c r="AO655" s="73"/>
      <c r="AP655" s="73"/>
      <c r="AQ655" s="73"/>
      <c r="AR655" s="73"/>
      <c r="AS655" s="73"/>
      <c r="AT655" s="74"/>
      <c r="AU655" s="47"/>
      <c r="AV655" s="48"/>
    </row>
    <row r="656" spans="1:48" ht="12.75" customHeight="1" x14ac:dyDescent="0.25">
      <c r="A656" s="72" t="s">
        <v>23</v>
      </c>
      <c r="B656" s="43" t="s">
        <v>159</v>
      </c>
      <c r="C656" s="44" t="s">
        <v>806</v>
      </c>
      <c r="D656" s="45">
        <f>MROUND(MID($C656,6,3)/Basis!$E$3,0.5)</f>
        <v>35.5</v>
      </c>
      <c r="E656" s="45">
        <f>MROUND(MID($C656,9,3)/Basis!$E$3,0.5)</f>
        <v>47</v>
      </c>
      <c r="F656" s="124" t="s">
        <v>2945</v>
      </c>
      <c r="G656" s="45">
        <f>ROUND((ROUNDDOWN($F656/5,0)*5+1.8)/Basis!$E$3,1)</f>
        <v>8.6</v>
      </c>
      <c r="H656" s="120">
        <f>ROUND($P656*Basis!$E$2*((TaH-TrH)/LN(1/µ)/Basis!$E$7)^$N656*$AA$4*Glycol,0)</f>
        <v>7815</v>
      </c>
      <c r="I656" s="83">
        <f>ROUND(H656/(MID($C656,9,3)/Basis!$E$3/Basis!$E$9)*Basis!$E$11,0)</f>
        <v>1985</v>
      </c>
      <c r="J656" s="123">
        <f>IF(Basis!$E$1=1,ROUND(H656/((TaH-TrH)*1.163)/3600,3),ROUND(H656/(500*(TaH-TrH)),2))</f>
        <v>0.78</v>
      </c>
      <c r="K656" s="84"/>
      <c r="L656" s="177">
        <f>CHOOSE(Basis!$E$1,((AJ656*(J656*3600/Basis!$E$5)^AK656*(((MID(C656,9,3)*10)-144)/1000)*AL656+AM656*(J656*3600/Basis!$E$5)^2)*0.0098)/Basis!$E$10,((AJ656*(J656/Basis!$E$5)^AK656*(((MID(C656,9,3)*10)-144)/1000)*AL656+AM656*(J656/Basis!$E$5)^2)*0.0098)/Basis!$E$10)</f>
        <v>4.5201394205827507E-2</v>
      </c>
      <c r="M656" s="85"/>
      <c r="N656" s="110">
        <v>1.3260000000000001</v>
      </c>
      <c r="O656" s="74"/>
      <c r="P656" s="73">
        <v>3548</v>
      </c>
      <c r="Q656" s="74"/>
      <c r="R656" s="75"/>
      <c r="S656" s="75"/>
      <c r="T656" s="75"/>
      <c r="U656" s="75"/>
      <c r="V656" s="75"/>
      <c r="W656" s="74"/>
      <c r="X656" s="76"/>
      <c r="Y656" s="76"/>
      <c r="Z656" s="76"/>
      <c r="AA656" s="76"/>
      <c r="AB656" s="76"/>
      <c r="AC656" s="74"/>
      <c r="AD656" s="77"/>
      <c r="AE656" s="77"/>
      <c r="AF656" s="77"/>
      <c r="AG656" s="77"/>
      <c r="AH656" s="77"/>
      <c r="AI656" s="68"/>
      <c r="AJ656" s="213">
        <v>1.2760000000000001E-4</v>
      </c>
      <c r="AK656" s="213">
        <v>1.7219</v>
      </c>
      <c r="AL656" s="213">
        <v>2</v>
      </c>
      <c r="AM656" s="213">
        <v>3.76611E-4</v>
      </c>
      <c r="AN656" s="74"/>
      <c r="AO656" s="73"/>
      <c r="AP656" s="73"/>
      <c r="AQ656" s="73"/>
      <c r="AR656" s="73"/>
      <c r="AS656" s="73"/>
      <c r="AT656" s="74"/>
      <c r="AU656" s="47"/>
      <c r="AV656" s="48"/>
    </row>
    <row r="657" spans="1:48" ht="12.75" customHeight="1" x14ac:dyDescent="0.25">
      <c r="A657" s="72" t="s">
        <v>23</v>
      </c>
      <c r="B657" s="43" t="s">
        <v>159</v>
      </c>
      <c r="C657" s="44" t="s">
        <v>807</v>
      </c>
      <c r="D657" s="45">
        <f>MROUND(MID($C657,6,3)/Basis!$E$3,0.5)</f>
        <v>35.5</v>
      </c>
      <c r="E657" s="45">
        <f>MROUND(MID($C657,9,3)/Basis!$E$3,0.5)</f>
        <v>47</v>
      </c>
      <c r="F657" s="124" t="s">
        <v>2948</v>
      </c>
      <c r="G657" s="45">
        <f>ROUND((ROUNDDOWN($F657/5,0)*5+1.8)/Basis!$E$3,1)</f>
        <v>8.6</v>
      </c>
      <c r="H657" s="120">
        <f>ROUND($P657*Basis!$E$2*((TaH-TrH)/LN(1/µ)/Basis!$E$7)^$N657*$AA$4*Glycol,0)</f>
        <v>9353</v>
      </c>
      <c r="I657" s="83">
        <f>ROUND(H657/(MID($C657,9,3)/Basis!$E$3/Basis!$E$9)*Basis!$E$11,0)</f>
        <v>2376</v>
      </c>
      <c r="J657" s="123">
        <f>IF(Basis!$E$1=1,ROUND(H657/((TaH-TrH)*1.163)/3600,3),ROUND(H657/(500*(TaH-TrH)),2))</f>
        <v>0.94</v>
      </c>
      <c r="K657" s="84"/>
      <c r="L657" s="177">
        <f>CHOOSE(Basis!$E$1,((AJ657*(J657*3600/Basis!$E$5)^AK657*(((MID(C657,9,3)*10)-144)/1000)*AL657+AM657*(J657*3600/Basis!$E$5)^2)*0.0098)/Basis!$E$10,((AJ657*(J657/Basis!$E$5)^AK657*(((MID(C657,9,3)*10)-144)/1000)*AL657+AM657*(J657/Basis!$E$5)^2)*0.0098)/Basis!$E$10)</f>
        <v>9.4709464650765948E-2</v>
      </c>
      <c r="M657" s="85"/>
      <c r="N657" s="109">
        <v>1.518</v>
      </c>
      <c r="O657" s="68"/>
      <c r="P657" s="67">
        <v>4524</v>
      </c>
      <c r="Q657" s="68"/>
      <c r="R657" s="69"/>
      <c r="S657" s="69"/>
      <c r="T657" s="69"/>
      <c r="U657" s="69"/>
      <c r="V657" s="69"/>
      <c r="W657" s="68"/>
      <c r="X657" s="70"/>
      <c r="Y657" s="70"/>
      <c r="Z657" s="70"/>
      <c r="AA657" s="70"/>
      <c r="AB657" s="70"/>
      <c r="AC657" s="68"/>
      <c r="AD657" s="71"/>
      <c r="AE657" s="71"/>
      <c r="AF657" s="71"/>
      <c r="AG657" s="71"/>
      <c r="AH657" s="71"/>
      <c r="AI657" s="68"/>
      <c r="AJ657" s="214">
        <v>1.2760000000000001E-4</v>
      </c>
      <c r="AK657" s="214">
        <v>1.7219</v>
      </c>
      <c r="AL657" s="214">
        <v>4</v>
      </c>
      <c r="AM657" s="214">
        <v>5.1420100000000005E-4</v>
      </c>
      <c r="AN657" s="68"/>
      <c r="AO657" s="67"/>
      <c r="AP657" s="67"/>
      <c r="AQ657" s="67"/>
      <c r="AR657" s="67"/>
      <c r="AS657" s="67"/>
      <c r="AT657" s="68"/>
      <c r="AU657" s="49"/>
      <c r="AV657" s="50"/>
    </row>
    <row r="658" spans="1:48" ht="12.75" customHeight="1" x14ac:dyDescent="0.25">
      <c r="A658" s="72" t="s">
        <v>23</v>
      </c>
      <c r="B658" s="43" t="s">
        <v>159</v>
      </c>
      <c r="C658" s="44" t="s">
        <v>808</v>
      </c>
      <c r="D658" s="45">
        <f>MROUND(MID($C658,6,3)/Basis!$E$3,0.5)</f>
        <v>35.5</v>
      </c>
      <c r="E658" s="45">
        <f>MROUND(MID($C658,9,3)/Basis!$E$3,0.5)</f>
        <v>55</v>
      </c>
      <c r="F658" s="124" t="s">
        <v>2943</v>
      </c>
      <c r="G658" s="45">
        <f>ROUND((ROUNDDOWN($F658/5,0)*5+1.8)/Basis!$E$3,1)</f>
        <v>4.5999999999999996</v>
      </c>
      <c r="H658" s="120">
        <f>ROUND($P658*Basis!$E$2*((TaH-TrH)/LN(1/µ)/Basis!$E$7)^$N658*$AA$4*Glycol,0)</f>
        <v>4192</v>
      </c>
      <c r="I658" s="83">
        <f>ROUND(H658/(MID($C658,9,3)/Basis!$E$3/Basis!$E$9)*Basis!$E$11,0)</f>
        <v>913</v>
      </c>
      <c r="J658" s="123">
        <f>IF(Basis!$E$1=1,ROUND(H658/((TaH-TrH)*1.163)/3600,3),ROUND(H658/(500*(TaH-TrH)),2))</f>
        <v>0.42</v>
      </c>
      <c r="K658" s="84"/>
      <c r="L658" s="177">
        <f>CHOOSE(Basis!$E$1,((AJ658*(J658*3600/Basis!$E$5)^AK658*(((MID(C658,9,3)*10)-144)/1000)*AL658+AM658*(J658*3600/Basis!$E$5)^2)*0.0098)/Basis!$E$10,((AJ658*(J658/Basis!$E$5)^AK658*(((MID(C658,9,3)*10)-144)/1000)*AL658+AM658*(J658/Basis!$E$5)^2)*0.0098)/Basis!$E$10)</f>
        <v>1.9778486844570061E-2</v>
      </c>
      <c r="M658" s="85"/>
      <c r="N658" s="109">
        <v>1.3480000000000001</v>
      </c>
      <c r="O658" s="68"/>
      <c r="P658" s="67">
        <v>1917</v>
      </c>
      <c r="Q658" s="68"/>
      <c r="R658" s="69"/>
      <c r="S658" s="69"/>
      <c r="T658" s="69"/>
      <c r="U658" s="69"/>
      <c r="V658" s="69"/>
      <c r="W658" s="68"/>
      <c r="X658" s="70"/>
      <c r="Y658" s="70"/>
      <c r="Z658" s="70"/>
      <c r="AA658" s="70"/>
      <c r="AB658" s="70"/>
      <c r="AC658" s="68"/>
      <c r="AD658" s="71"/>
      <c r="AE658" s="71"/>
      <c r="AF658" s="71"/>
      <c r="AG658" s="71"/>
      <c r="AH658" s="71"/>
      <c r="AI658" s="68"/>
      <c r="AJ658" s="214">
        <v>3.9689999999999994E-4</v>
      </c>
      <c r="AK658" s="214">
        <v>1.7345999999999999</v>
      </c>
      <c r="AL658" s="214">
        <v>2</v>
      </c>
      <c r="AM658" s="214">
        <v>3.6734700000000002E-4</v>
      </c>
      <c r="AN658" s="68"/>
      <c r="AO658" s="67"/>
      <c r="AP658" s="67"/>
      <c r="AQ658" s="67"/>
      <c r="AR658" s="67"/>
      <c r="AS658" s="67"/>
      <c r="AT658" s="68"/>
      <c r="AU658" s="49"/>
      <c r="AV658" s="50"/>
    </row>
    <row r="659" spans="1:48" ht="12.75" customHeight="1" x14ac:dyDescent="0.25">
      <c r="A659" s="72" t="s">
        <v>23</v>
      </c>
      <c r="B659" s="43" t="s">
        <v>159</v>
      </c>
      <c r="C659" s="44" t="s">
        <v>809</v>
      </c>
      <c r="D659" s="45">
        <f>MROUND(MID($C659,6,3)/Basis!$E$3,0.5)</f>
        <v>35.5</v>
      </c>
      <c r="E659" s="45">
        <f>MROUND(MID($C659,9,3)/Basis!$E$3,0.5)</f>
        <v>55</v>
      </c>
      <c r="F659" s="124" t="s">
        <v>2946</v>
      </c>
      <c r="G659" s="45">
        <f>ROUND((ROUNDDOWN($F659/5,0)*5+1.8)/Basis!$E$3,1)</f>
        <v>4.5999999999999996</v>
      </c>
      <c r="H659" s="120">
        <f>ROUND($P659*Basis!$E$2*((TaH-TrH)/LN(1/µ)/Basis!$E$7)^$N659*$AA$4*Glycol,0)</f>
        <v>5231</v>
      </c>
      <c r="I659" s="83">
        <f>ROUND(H659/(MID($C659,9,3)/Basis!$E$3/Basis!$E$9)*Basis!$E$11,0)</f>
        <v>1139</v>
      </c>
      <c r="J659" s="123">
        <f>IF(Basis!$E$1=1,ROUND(H659/((TaH-TrH)*1.163)/3600,3),ROUND(H659/(500*(TaH-TrH)),2))</f>
        <v>0.52</v>
      </c>
      <c r="K659" s="84"/>
      <c r="L659" s="177">
        <f>CHOOSE(Basis!$E$1,((AJ659*(J659*3600/Basis!$E$5)^AK659*(((MID(C659,9,3)*10)-144)/1000)*AL659+AM659*(J659*3600/Basis!$E$5)^2)*0.0098)/Basis!$E$10,((AJ659*(J659/Basis!$E$5)^AK659*(((MID(C659,9,3)*10)-144)/1000)*AL659+AM659*(J659/Basis!$E$5)^2)*0.0098)/Basis!$E$10)</f>
        <v>5.1825318718556598E-2</v>
      </c>
      <c r="M659" s="85"/>
      <c r="N659" s="110">
        <v>1.4339999999999999</v>
      </c>
      <c r="O659" s="74"/>
      <c r="P659" s="73">
        <v>2461</v>
      </c>
      <c r="Q659" s="74"/>
      <c r="R659" s="75"/>
      <c r="S659" s="75"/>
      <c r="T659" s="75"/>
      <c r="U659" s="75"/>
      <c r="V659" s="75"/>
      <c r="W659" s="74"/>
      <c r="X659" s="76"/>
      <c r="Y659" s="76"/>
      <c r="Z659" s="76"/>
      <c r="AA659" s="76"/>
      <c r="AB659" s="76"/>
      <c r="AC659" s="74"/>
      <c r="AD659" s="77"/>
      <c r="AE659" s="77"/>
      <c r="AF659" s="77"/>
      <c r="AG659" s="77"/>
      <c r="AH659" s="77"/>
      <c r="AI659" s="68"/>
      <c r="AJ659" s="213">
        <v>3.9689999999999994E-4</v>
      </c>
      <c r="AK659" s="213">
        <v>1.7345999999999999</v>
      </c>
      <c r="AL659" s="213">
        <v>4</v>
      </c>
      <c r="AM659" s="213">
        <v>5.7428799999999995E-4</v>
      </c>
      <c r="AN659" s="74"/>
      <c r="AO659" s="73"/>
      <c r="AP659" s="73"/>
      <c r="AQ659" s="73"/>
      <c r="AR659" s="73"/>
      <c r="AS659" s="73"/>
      <c r="AT659" s="74"/>
      <c r="AU659" s="47"/>
      <c r="AV659" s="48"/>
    </row>
    <row r="660" spans="1:48" ht="12.75" customHeight="1" x14ac:dyDescent="0.25">
      <c r="A660" s="72" t="s">
        <v>23</v>
      </c>
      <c r="B660" s="43" t="s">
        <v>159</v>
      </c>
      <c r="C660" s="44" t="s">
        <v>810</v>
      </c>
      <c r="D660" s="45">
        <f>MROUND(MID($C660,6,3)/Basis!$E$3,0.5)</f>
        <v>35.5</v>
      </c>
      <c r="E660" s="45">
        <f>MROUND(MID($C660,9,3)/Basis!$E$3,0.5)</f>
        <v>55</v>
      </c>
      <c r="F660" s="124" t="s">
        <v>2944</v>
      </c>
      <c r="G660" s="45">
        <f>ROUND((ROUNDDOWN($F660/5,0)*5+1.8)/Basis!$E$3,1)</f>
        <v>6.6</v>
      </c>
      <c r="H660" s="120">
        <f>ROUND($P660*Basis!$E$2*((TaH-TrH)/LN(1/µ)/Basis!$E$7)^$N660*$AA$4*Glycol,0)</f>
        <v>6538</v>
      </c>
      <c r="I660" s="83">
        <f>ROUND(H660/(MID($C660,9,3)/Basis!$E$3/Basis!$E$9)*Basis!$E$11,0)</f>
        <v>1423</v>
      </c>
      <c r="J660" s="123">
        <f>IF(Basis!$E$1=1,ROUND(H660/((TaH-TrH)*1.163)/3600,3),ROUND(H660/(500*(TaH-TrH)),2))</f>
        <v>0.65</v>
      </c>
      <c r="K660" s="84"/>
      <c r="L660" s="177">
        <f>CHOOSE(Basis!$E$1,((AJ660*(J660*3600/Basis!$E$5)^AK660*(((MID(C660,9,3)*10)-144)/1000)*AL660+AM660*(J660*3600/Basis!$E$5)^2)*0.0098)/Basis!$E$10,((AJ660*(J660/Basis!$E$5)^AK660*(((MID(C660,9,3)*10)-144)/1000)*AL660+AM660*(J660/Basis!$E$5)^2)*0.0098)/Basis!$E$10)</f>
        <v>4.2306089383159627E-2</v>
      </c>
      <c r="M660" s="85"/>
      <c r="N660" s="110">
        <v>1.3260000000000001</v>
      </c>
      <c r="O660" s="74"/>
      <c r="P660" s="73">
        <v>2968</v>
      </c>
      <c r="Q660" s="74"/>
      <c r="R660" s="75"/>
      <c r="S660" s="75"/>
      <c r="T660" s="75"/>
      <c r="U660" s="75"/>
      <c r="V660" s="75"/>
      <c r="W660" s="74"/>
      <c r="X660" s="76"/>
      <c r="Y660" s="76"/>
      <c r="Z660" s="76"/>
      <c r="AA660" s="76"/>
      <c r="AB660" s="76"/>
      <c r="AC660" s="74"/>
      <c r="AD660" s="77"/>
      <c r="AE660" s="77"/>
      <c r="AF660" s="77"/>
      <c r="AG660" s="77"/>
      <c r="AH660" s="77"/>
      <c r="AI660" s="68"/>
      <c r="AJ660" s="213">
        <v>2.0829999999999999E-4</v>
      </c>
      <c r="AK660" s="213">
        <v>1.724</v>
      </c>
      <c r="AL660" s="213">
        <v>2</v>
      </c>
      <c r="AM660" s="213">
        <v>4.6182900000000003E-4</v>
      </c>
      <c r="AN660" s="74"/>
      <c r="AO660" s="73"/>
      <c r="AP660" s="73"/>
      <c r="AQ660" s="73"/>
      <c r="AR660" s="73"/>
      <c r="AS660" s="73"/>
      <c r="AT660" s="74"/>
      <c r="AU660" s="47"/>
      <c r="AV660" s="48"/>
    </row>
    <row r="661" spans="1:48" ht="12.75" customHeight="1" x14ac:dyDescent="0.25">
      <c r="A661" s="72" t="s">
        <v>23</v>
      </c>
      <c r="B661" s="43" t="s">
        <v>159</v>
      </c>
      <c r="C661" s="44" t="s">
        <v>811</v>
      </c>
      <c r="D661" s="45">
        <f>MROUND(MID($C661,6,3)/Basis!$E$3,0.5)</f>
        <v>35.5</v>
      </c>
      <c r="E661" s="45">
        <f>MROUND(MID($C661,9,3)/Basis!$E$3,0.5)</f>
        <v>55</v>
      </c>
      <c r="F661" s="124" t="s">
        <v>2947</v>
      </c>
      <c r="G661" s="45">
        <f>ROUND((ROUNDDOWN($F661/5,0)*5+1.8)/Basis!$E$3,1)</f>
        <v>6.6</v>
      </c>
      <c r="H661" s="120">
        <f>ROUND($P661*Basis!$E$2*((TaH-TrH)/LN(1/µ)/Basis!$E$7)^$N661*$AA$4*Glycol,0)</f>
        <v>7608</v>
      </c>
      <c r="I661" s="83">
        <f>ROUND(H661/(MID($C661,9,3)/Basis!$E$3/Basis!$E$9)*Basis!$E$11,0)</f>
        <v>1656</v>
      </c>
      <c r="J661" s="123">
        <f>IF(Basis!$E$1=1,ROUND(H661/((TaH-TrH)*1.163)/3600,3),ROUND(H661/(500*(TaH-TrH)),2))</f>
        <v>0.76</v>
      </c>
      <c r="K661" s="84"/>
      <c r="L661" s="177">
        <f>CHOOSE(Basis!$E$1,((AJ661*(J661*3600/Basis!$E$5)^AK661*(((MID(C661,9,3)*10)-144)/1000)*AL661+AM661*(J661*3600/Basis!$E$5)^2)*0.0098)/Basis!$E$10,((AJ661*(J661/Basis!$E$5)^AK661*(((MID(C661,9,3)*10)-144)/1000)*AL661+AM661*(J661/Basis!$E$5)^2)*0.0098)/Basis!$E$10)</f>
        <v>0.16029371341930995</v>
      </c>
      <c r="M661" s="85"/>
      <c r="N661" s="109">
        <v>1.48</v>
      </c>
      <c r="O661" s="68"/>
      <c r="P661" s="67">
        <v>3634</v>
      </c>
      <c r="Q661" s="68"/>
      <c r="R661" s="69"/>
      <c r="S661" s="69"/>
      <c r="T661" s="69"/>
      <c r="U661" s="69"/>
      <c r="V661" s="69"/>
      <c r="W661" s="68"/>
      <c r="X661" s="70"/>
      <c r="Y661" s="70"/>
      <c r="Z661" s="70"/>
      <c r="AA661" s="70"/>
      <c r="AB661" s="70"/>
      <c r="AC661" s="68"/>
      <c r="AD661" s="71"/>
      <c r="AE661" s="71"/>
      <c r="AF661" s="71"/>
      <c r="AG661" s="71"/>
      <c r="AH661" s="71"/>
      <c r="AI661" s="68"/>
      <c r="AJ661" s="214">
        <v>2.0829999999999999E-4</v>
      </c>
      <c r="AK661" s="214">
        <v>1.724</v>
      </c>
      <c r="AL661" s="214">
        <v>4</v>
      </c>
      <c r="AM661" s="214">
        <v>1.392796E-3</v>
      </c>
      <c r="AN661" s="68"/>
      <c r="AO661" s="67"/>
      <c r="AP661" s="67"/>
      <c r="AQ661" s="67"/>
      <c r="AR661" s="67"/>
      <c r="AS661" s="67"/>
      <c r="AT661" s="68"/>
      <c r="AU661" s="49"/>
      <c r="AV661" s="50"/>
    </row>
    <row r="662" spans="1:48" ht="12.75" customHeight="1" x14ac:dyDescent="0.25">
      <c r="A662" s="72" t="s">
        <v>23</v>
      </c>
      <c r="B662" s="43" t="s">
        <v>159</v>
      </c>
      <c r="C662" s="44" t="s">
        <v>812</v>
      </c>
      <c r="D662" s="45">
        <f>MROUND(MID($C662,6,3)/Basis!$E$3,0.5)</f>
        <v>35.5</v>
      </c>
      <c r="E662" s="45">
        <f>MROUND(MID($C662,9,3)/Basis!$E$3,0.5)</f>
        <v>55</v>
      </c>
      <c r="F662" s="124" t="s">
        <v>2945</v>
      </c>
      <c r="G662" s="45">
        <f>ROUND((ROUNDDOWN($F662/5,0)*5+1.8)/Basis!$E$3,1)</f>
        <v>8.6</v>
      </c>
      <c r="H662" s="120">
        <f>ROUND($P662*Basis!$E$2*((TaH-TrH)/LN(1/µ)/Basis!$E$7)^$N662*$AA$4*Glycol,0)</f>
        <v>9119</v>
      </c>
      <c r="I662" s="83">
        <f>ROUND(H662/(MID($C662,9,3)/Basis!$E$3/Basis!$E$9)*Basis!$E$11,0)</f>
        <v>1985</v>
      </c>
      <c r="J662" s="123">
        <f>IF(Basis!$E$1=1,ROUND(H662/((TaH-TrH)*1.163)/3600,3),ROUND(H662/(500*(TaH-TrH)),2))</f>
        <v>0.91</v>
      </c>
      <c r="K662" s="84"/>
      <c r="L662" s="177">
        <f>CHOOSE(Basis!$E$1,((AJ662*(J662*3600/Basis!$E$5)^AK662*(((MID(C662,9,3)*10)-144)/1000)*AL662+AM662*(J662*3600/Basis!$E$5)^2)*0.0098)/Basis!$E$10,((AJ662*(J662/Basis!$E$5)^AK662*(((MID(C662,9,3)*10)-144)/1000)*AL662+AM662*(J662/Basis!$E$5)^2)*0.0098)/Basis!$E$10)</f>
        <v>6.2768409157783076E-2</v>
      </c>
      <c r="M662" s="85"/>
      <c r="N662" s="109">
        <v>1.3260000000000001</v>
      </c>
      <c r="O662" s="68"/>
      <c r="P662" s="67">
        <v>4140</v>
      </c>
      <c r="Q662" s="68"/>
      <c r="R662" s="69"/>
      <c r="S662" s="69"/>
      <c r="T662" s="69"/>
      <c r="U662" s="69"/>
      <c r="V662" s="69"/>
      <c r="W662" s="68"/>
      <c r="X662" s="70"/>
      <c r="Y662" s="70"/>
      <c r="Z662" s="70"/>
      <c r="AA662" s="70"/>
      <c r="AB662" s="70"/>
      <c r="AC662" s="68"/>
      <c r="AD662" s="71"/>
      <c r="AE662" s="71"/>
      <c r="AF662" s="71"/>
      <c r="AG662" s="71"/>
      <c r="AH662" s="71"/>
      <c r="AI662" s="68"/>
      <c r="AJ662" s="214">
        <v>1.2760000000000001E-4</v>
      </c>
      <c r="AK662" s="214">
        <v>1.7219</v>
      </c>
      <c r="AL662" s="214">
        <v>2</v>
      </c>
      <c r="AM662" s="214">
        <v>3.76611E-4</v>
      </c>
      <c r="AN662" s="68"/>
      <c r="AO662" s="67"/>
      <c r="AP662" s="67"/>
      <c r="AQ662" s="67"/>
      <c r="AR662" s="67"/>
      <c r="AS662" s="67"/>
      <c r="AT662" s="68"/>
      <c r="AU662" s="49"/>
      <c r="AV662" s="50"/>
    </row>
    <row r="663" spans="1:48" ht="12.75" customHeight="1" x14ac:dyDescent="0.25">
      <c r="A663" s="72" t="s">
        <v>23</v>
      </c>
      <c r="B663" s="43" t="s">
        <v>159</v>
      </c>
      <c r="C663" s="44" t="s">
        <v>813</v>
      </c>
      <c r="D663" s="45">
        <f>MROUND(MID($C663,6,3)/Basis!$E$3,0.5)</f>
        <v>35.5</v>
      </c>
      <c r="E663" s="45">
        <f>MROUND(MID($C663,9,3)/Basis!$E$3,0.5)</f>
        <v>55</v>
      </c>
      <c r="F663" s="124" t="s">
        <v>2948</v>
      </c>
      <c r="G663" s="45">
        <f>ROUND((ROUNDDOWN($F663/5,0)*5+1.8)/Basis!$E$3,1)</f>
        <v>8.6</v>
      </c>
      <c r="H663" s="120">
        <f>ROUND($P663*Basis!$E$2*((TaH-TrH)/LN(1/µ)/Basis!$E$7)^$N663*$AA$4*Glycol,0)</f>
        <v>10912</v>
      </c>
      <c r="I663" s="83">
        <f>ROUND(H663/(MID($C663,9,3)/Basis!$E$3/Basis!$E$9)*Basis!$E$11,0)</f>
        <v>2376</v>
      </c>
      <c r="J663" s="123">
        <f>IF(Basis!$E$1=1,ROUND(H663/((TaH-TrH)*1.163)/3600,3),ROUND(H663/(500*(TaH-TrH)),2))</f>
        <v>1.0900000000000001</v>
      </c>
      <c r="K663" s="84"/>
      <c r="L663" s="177">
        <f>CHOOSE(Basis!$E$1,((AJ663*(J663*3600/Basis!$E$5)^AK663*(((MID(C663,9,3)*10)-144)/1000)*AL663+AM663*(J663*3600/Basis!$E$5)^2)*0.0098)/Basis!$E$10,((AJ663*(J663/Basis!$E$5)^AK663*(((MID(C663,9,3)*10)-144)/1000)*AL663+AM663*(J663/Basis!$E$5)^2)*0.0098)/Basis!$E$10)</f>
        <v>0.13078446733564825</v>
      </c>
      <c r="M663" s="85"/>
      <c r="N663" s="110">
        <v>1.518</v>
      </c>
      <c r="O663" s="74"/>
      <c r="P663" s="73">
        <v>5278</v>
      </c>
      <c r="Q663" s="74"/>
      <c r="R663" s="75"/>
      <c r="S663" s="75"/>
      <c r="T663" s="75"/>
      <c r="U663" s="75"/>
      <c r="V663" s="75"/>
      <c r="W663" s="74"/>
      <c r="X663" s="76"/>
      <c r="Y663" s="76"/>
      <c r="Z663" s="76"/>
      <c r="AA663" s="76"/>
      <c r="AB663" s="76"/>
      <c r="AC663" s="74"/>
      <c r="AD663" s="77"/>
      <c r="AE663" s="77"/>
      <c r="AF663" s="77"/>
      <c r="AG663" s="77"/>
      <c r="AH663" s="77"/>
      <c r="AI663" s="68"/>
      <c r="AJ663" s="213">
        <v>1.2760000000000001E-4</v>
      </c>
      <c r="AK663" s="213">
        <v>1.7219</v>
      </c>
      <c r="AL663" s="213">
        <v>4</v>
      </c>
      <c r="AM663" s="213">
        <v>5.1420100000000005E-4</v>
      </c>
      <c r="AN663" s="74"/>
      <c r="AO663" s="73"/>
      <c r="AP663" s="73"/>
      <c r="AQ663" s="73"/>
      <c r="AR663" s="73"/>
      <c r="AS663" s="73"/>
      <c r="AT663" s="74"/>
      <c r="AU663" s="47"/>
      <c r="AV663" s="48"/>
    </row>
    <row r="664" spans="1:48" ht="12.75" customHeight="1" x14ac:dyDescent="0.25">
      <c r="A664" s="72" t="s">
        <v>23</v>
      </c>
      <c r="B664" s="43" t="s">
        <v>159</v>
      </c>
      <c r="C664" s="44" t="s">
        <v>814</v>
      </c>
      <c r="D664" s="45">
        <f>MROUND(MID($C664,6,3)/Basis!$E$3,0.5)</f>
        <v>35.5</v>
      </c>
      <c r="E664" s="45">
        <f>MROUND(MID($C664,9,3)/Basis!$E$3,0.5)</f>
        <v>63</v>
      </c>
      <c r="F664" s="124" t="s">
        <v>2943</v>
      </c>
      <c r="G664" s="45">
        <f>ROUND((ROUNDDOWN($F664/5,0)*5+1.8)/Basis!$E$3,1)</f>
        <v>4.5999999999999996</v>
      </c>
      <c r="H664" s="120">
        <f>ROUND($P664*Basis!$E$2*((TaH-TrH)/LN(1/µ)/Basis!$E$7)^$N664*$AA$4*Glycol,0)</f>
        <v>4789</v>
      </c>
      <c r="I664" s="83">
        <f>ROUND(H664/(MID($C664,9,3)/Basis!$E$3/Basis!$E$9)*Basis!$E$11,0)</f>
        <v>912</v>
      </c>
      <c r="J664" s="123">
        <f>IF(Basis!$E$1=1,ROUND(H664/((TaH-TrH)*1.163)/3600,3),ROUND(H664/(500*(TaH-TrH)),2))</f>
        <v>0.48</v>
      </c>
      <c r="K664" s="84"/>
      <c r="L664" s="177">
        <f>CHOOSE(Basis!$E$1,((AJ664*(J664*3600/Basis!$E$5)^AK664*(((MID(C664,9,3)*10)-144)/1000)*AL664+AM664*(J664*3600/Basis!$E$5)^2)*0.0098)/Basis!$E$10,((AJ664*(J664/Basis!$E$5)^AK664*(((MID(C664,9,3)*10)-144)/1000)*AL664+AM664*(J664/Basis!$E$5)^2)*0.0098)/Basis!$E$10)</f>
        <v>2.7206989821726511E-2</v>
      </c>
      <c r="M664" s="85"/>
      <c r="N664" s="110">
        <v>1.3480000000000001</v>
      </c>
      <c r="O664" s="74"/>
      <c r="P664" s="73">
        <v>2190</v>
      </c>
      <c r="Q664" s="74"/>
      <c r="R664" s="75"/>
      <c r="S664" s="75"/>
      <c r="T664" s="75"/>
      <c r="U664" s="75"/>
      <c r="V664" s="75"/>
      <c r="W664" s="74"/>
      <c r="X664" s="76"/>
      <c r="Y664" s="76"/>
      <c r="Z664" s="76"/>
      <c r="AA664" s="76"/>
      <c r="AB664" s="76"/>
      <c r="AC664" s="74"/>
      <c r="AD664" s="77"/>
      <c r="AE664" s="77"/>
      <c r="AF664" s="77"/>
      <c r="AG664" s="77"/>
      <c r="AH664" s="77"/>
      <c r="AI664" s="68"/>
      <c r="AJ664" s="213">
        <v>3.9689999999999994E-4</v>
      </c>
      <c r="AK664" s="213">
        <v>1.7345999999999999</v>
      </c>
      <c r="AL664" s="213">
        <v>2</v>
      </c>
      <c r="AM664" s="213">
        <v>3.6734700000000002E-4</v>
      </c>
      <c r="AN664" s="74"/>
      <c r="AO664" s="73"/>
      <c r="AP664" s="73"/>
      <c r="AQ664" s="73"/>
      <c r="AR664" s="73"/>
      <c r="AS664" s="73"/>
      <c r="AT664" s="74"/>
      <c r="AU664" s="47"/>
      <c r="AV664" s="48"/>
    </row>
    <row r="665" spans="1:48" ht="12.75" customHeight="1" x14ac:dyDescent="0.25">
      <c r="A665" s="72" t="s">
        <v>23</v>
      </c>
      <c r="B665" s="43" t="s">
        <v>159</v>
      </c>
      <c r="C665" s="44" t="s">
        <v>815</v>
      </c>
      <c r="D665" s="45">
        <f>MROUND(MID($C665,6,3)/Basis!$E$3,0.5)</f>
        <v>35.5</v>
      </c>
      <c r="E665" s="45">
        <f>MROUND(MID($C665,9,3)/Basis!$E$3,0.5)</f>
        <v>63</v>
      </c>
      <c r="F665" s="124" t="s">
        <v>2946</v>
      </c>
      <c r="G665" s="45">
        <f>ROUND((ROUNDDOWN($F665/5,0)*5+1.8)/Basis!$E$3,1)</f>
        <v>4.5999999999999996</v>
      </c>
      <c r="H665" s="120">
        <f>ROUND($P665*Basis!$E$2*((TaH-TrH)/LN(1/µ)/Basis!$E$7)^$N665*$AA$4*Glycol,0)</f>
        <v>5979</v>
      </c>
      <c r="I665" s="83">
        <f>ROUND(H665/(MID($C665,9,3)/Basis!$E$3/Basis!$E$9)*Basis!$E$11,0)</f>
        <v>1139</v>
      </c>
      <c r="J665" s="123">
        <f>IF(Basis!$E$1=1,ROUND(H665/((TaH-TrH)*1.163)/3600,3),ROUND(H665/(500*(TaH-TrH)),2))</f>
        <v>0.6</v>
      </c>
      <c r="K665" s="84"/>
      <c r="L665" s="177">
        <f>CHOOSE(Basis!$E$1,((AJ665*(J665*3600/Basis!$E$5)^AK665*(((MID(C665,9,3)*10)-144)/1000)*AL665+AM665*(J665*3600/Basis!$E$5)^2)*0.0098)/Basis!$E$10,((AJ665*(J665/Basis!$E$5)^AK665*(((MID(C665,9,3)*10)-144)/1000)*AL665+AM665*(J665/Basis!$E$5)^2)*0.0098)/Basis!$E$10)</f>
        <v>7.2958089934837739E-2</v>
      </c>
      <c r="M665" s="85"/>
      <c r="N665" s="109">
        <v>1.4339999999999999</v>
      </c>
      <c r="O665" s="68"/>
      <c r="P665" s="67">
        <v>2813</v>
      </c>
      <c r="Q665" s="68"/>
      <c r="R665" s="69"/>
      <c r="S665" s="69"/>
      <c r="T665" s="69"/>
      <c r="U665" s="69"/>
      <c r="V665" s="69"/>
      <c r="W665" s="68"/>
      <c r="X665" s="70"/>
      <c r="Y665" s="70"/>
      <c r="Z665" s="70"/>
      <c r="AA665" s="70"/>
      <c r="AB665" s="70"/>
      <c r="AC665" s="68"/>
      <c r="AD665" s="71"/>
      <c r="AE665" s="71"/>
      <c r="AF665" s="71"/>
      <c r="AG665" s="71"/>
      <c r="AH665" s="71"/>
      <c r="AI665" s="68"/>
      <c r="AJ665" s="214">
        <v>3.9689999999999994E-4</v>
      </c>
      <c r="AK665" s="214">
        <v>1.7345999999999999</v>
      </c>
      <c r="AL665" s="214">
        <v>4</v>
      </c>
      <c r="AM665" s="214">
        <v>5.7428799999999995E-4</v>
      </c>
      <c r="AN665" s="68"/>
      <c r="AO665" s="67"/>
      <c r="AP665" s="67"/>
      <c r="AQ665" s="67"/>
      <c r="AR665" s="67"/>
      <c r="AS665" s="67"/>
      <c r="AT665" s="68"/>
      <c r="AU665" s="49"/>
      <c r="AV665" s="50"/>
    </row>
    <row r="666" spans="1:48" ht="12.75" customHeight="1" x14ac:dyDescent="0.25">
      <c r="A666" s="72" t="s">
        <v>23</v>
      </c>
      <c r="B666" s="43" t="s">
        <v>159</v>
      </c>
      <c r="C666" s="44" t="s">
        <v>816</v>
      </c>
      <c r="D666" s="45">
        <f>MROUND(MID($C666,6,3)/Basis!$E$3,0.5)</f>
        <v>35.5</v>
      </c>
      <c r="E666" s="45">
        <f>MROUND(MID($C666,9,3)/Basis!$E$3,0.5)</f>
        <v>63</v>
      </c>
      <c r="F666" s="124" t="s">
        <v>2944</v>
      </c>
      <c r="G666" s="45">
        <f>ROUND((ROUNDDOWN($F666/5,0)*5+1.8)/Basis!$E$3,1)</f>
        <v>6.6</v>
      </c>
      <c r="H666" s="120">
        <f>ROUND($P666*Basis!$E$2*((TaH-TrH)/LN(1/µ)/Basis!$E$7)^$N666*$AA$4*Glycol,0)</f>
        <v>7472</v>
      </c>
      <c r="I666" s="83">
        <f>ROUND(H666/(MID($C666,9,3)/Basis!$E$3/Basis!$E$9)*Basis!$E$11,0)</f>
        <v>1423</v>
      </c>
      <c r="J666" s="123">
        <f>IF(Basis!$E$1=1,ROUND(H666/((TaH-TrH)*1.163)/3600,3),ROUND(H666/(500*(TaH-TrH)),2))</f>
        <v>0.75</v>
      </c>
      <c r="K666" s="84"/>
      <c r="L666" s="177">
        <f>CHOOSE(Basis!$E$1,((AJ666*(J666*3600/Basis!$E$5)^AK666*(((MID(C666,9,3)*10)-144)/1000)*AL666+AM666*(J666*3600/Basis!$E$5)^2)*0.0098)/Basis!$E$10,((AJ666*(J666/Basis!$E$5)^AK666*(((MID(C666,9,3)*10)-144)/1000)*AL666+AM666*(J666/Basis!$E$5)^2)*0.0098)/Basis!$E$10)</f>
        <v>5.7754852106636723E-2</v>
      </c>
      <c r="M666" s="85"/>
      <c r="N666" s="109">
        <v>1.3260000000000001</v>
      </c>
      <c r="O666" s="68"/>
      <c r="P666" s="67">
        <v>3392</v>
      </c>
      <c r="Q666" s="68"/>
      <c r="R666" s="69"/>
      <c r="S666" s="69"/>
      <c r="T666" s="69"/>
      <c r="U666" s="69"/>
      <c r="V666" s="69"/>
      <c r="W666" s="68"/>
      <c r="X666" s="70"/>
      <c r="Y666" s="70"/>
      <c r="Z666" s="70"/>
      <c r="AA666" s="70"/>
      <c r="AB666" s="70"/>
      <c r="AC666" s="68"/>
      <c r="AD666" s="71"/>
      <c r="AE666" s="71"/>
      <c r="AF666" s="71"/>
      <c r="AG666" s="71"/>
      <c r="AH666" s="71"/>
      <c r="AI666" s="68"/>
      <c r="AJ666" s="214">
        <v>2.0829999999999999E-4</v>
      </c>
      <c r="AK666" s="214">
        <v>1.724</v>
      </c>
      <c r="AL666" s="214">
        <v>2</v>
      </c>
      <c r="AM666" s="214">
        <v>4.6182900000000003E-4</v>
      </c>
      <c r="AN666" s="68"/>
      <c r="AO666" s="67"/>
      <c r="AP666" s="67"/>
      <c r="AQ666" s="67"/>
      <c r="AR666" s="67"/>
      <c r="AS666" s="67"/>
      <c r="AT666" s="68"/>
      <c r="AU666" s="49"/>
      <c r="AV666" s="50"/>
    </row>
    <row r="667" spans="1:48" ht="12.75" customHeight="1" x14ac:dyDescent="0.25">
      <c r="A667" s="72" t="s">
        <v>23</v>
      </c>
      <c r="B667" s="43" t="s">
        <v>159</v>
      </c>
      <c r="C667" s="44" t="s">
        <v>817</v>
      </c>
      <c r="D667" s="45">
        <f>MROUND(MID($C667,6,3)/Basis!$E$3,0.5)</f>
        <v>35.5</v>
      </c>
      <c r="E667" s="45">
        <f>MROUND(MID($C667,9,3)/Basis!$E$3,0.5)</f>
        <v>63</v>
      </c>
      <c r="F667" s="124" t="s">
        <v>2947</v>
      </c>
      <c r="G667" s="45">
        <f>ROUND((ROUNDDOWN($F667/5,0)*5+1.8)/Basis!$E$3,1)</f>
        <v>6.6</v>
      </c>
      <c r="H667" s="120">
        <f>ROUND($P667*Basis!$E$2*((TaH-TrH)/LN(1/µ)/Basis!$E$7)^$N667*$AA$4*Glycol,0)</f>
        <v>8697</v>
      </c>
      <c r="I667" s="83">
        <f>ROUND(H667/(MID($C667,9,3)/Basis!$E$3/Basis!$E$9)*Basis!$E$11,0)</f>
        <v>1657</v>
      </c>
      <c r="J667" s="123">
        <f>IF(Basis!$E$1=1,ROUND(H667/((TaH-TrH)*1.163)/3600,3),ROUND(H667/(500*(TaH-TrH)),2))</f>
        <v>0.87</v>
      </c>
      <c r="K667" s="84"/>
      <c r="L667" s="177">
        <f>CHOOSE(Basis!$E$1,((AJ667*(J667*3600/Basis!$E$5)^AK667*(((MID(C667,9,3)*10)-144)/1000)*AL667+AM667*(J667*3600/Basis!$E$5)^2)*0.0098)/Basis!$E$10,((AJ667*(J667/Basis!$E$5)^AK667*(((MID(C667,9,3)*10)-144)/1000)*AL667+AM667*(J667/Basis!$E$5)^2)*0.0098)/Basis!$E$10)</f>
        <v>0.21381749435222561</v>
      </c>
      <c r="M667" s="85"/>
      <c r="N667" s="110">
        <v>1.48</v>
      </c>
      <c r="O667" s="74"/>
      <c r="P667" s="73">
        <v>4154</v>
      </c>
      <c r="Q667" s="74"/>
      <c r="R667" s="75"/>
      <c r="S667" s="75"/>
      <c r="T667" s="75"/>
      <c r="U667" s="75"/>
      <c r="V667" s="75"/>
      <c r="W667" s="74"/>
      <c r="X667" s="76"/>
      <c r="Y667" s="76"/>
      <c r="Z667" s="76"/>
      <c r="AA667" s="76"/>
      <c r="AB667" s="76"/>
      <c r="AC667" s="74"/>
      <c r="AD667" s="77"/>
      <c r="AE667" s="77"/>
      <c r="AF667" s="77"/>
      <c r="AG667" s="77"/>
      <c r="AH667" s="77"/>
      <c r="AI667" s="68"/>
      <c r="AJ667" s="213">
        <v>2.0829999999999999E-4</v>
      </c>
      <c r="AK667" s="213">
        <v>1.724</v>
      </c>
      <c r="AL667" s="213">
        <v>4</v>
      </c>
      <c r="AM667" s="213">
        <v>1.392796E-3</v>
      </c>
      <c r="AN667" s="74"/>
      <c r="AO667" s="73"/>
      <c r="AP667" s="73"/>
      <c r="AQ667" s="73"/>
      <c r="AR667" s="73"/>
      <c r="AS667" s="73"/>
      <c r="AT667" s="74"/>
      <c r="AU667" s="47"/>
      <c r="AV667" s="48"/>
    </row>
    <row r="668" spans="1:48" ht="12.75" customHeight="1" x14ac:dyDescent="0.25">
      <c r="A668" s="72" t="s">
        <v>23</v>
      </c>
      <c r="B668" s="43" t="s">
        <v>159</v>
      </c>
      <c r="C668" s="44" t="s">
        <v>818</v>
      </c>
      <c r="D668" s="45">
        <f>MROUND(MID($C668,6,3)/Basis!$E$3,0.5)</f>
        <v>35.5</v>
      </c>
      <c r="E668" s="45">
        <f>MROUND(MID($C668,9,3)/Basis!$E$3,0.5)</f>
        <v>63</v>
      </c>
      <c r="F668" s="124" t="s">
        <v>2945</v>
      </c>
      <c r="G668" s="45">
        <f>ROUND((ROUNDDOWN($F668/5,0)*5+1.8)/Basis!$E$3,1)</f>
        <v>8.6</v>
      </c>
      <c r="H668" s="120">
        <f>ROUND($P668*Basis!$E$2*((TaH-TrH)/LN(1/µ)/Basis!$E$7)^$N668*$AA$4*Glycol,0)</f>
        <v>10421</v>
      </c>
      <c r="I668" s="83">
        <f>ROUND(H668/(MID($C668,9,3)/Basis!$E$3/Basis!$E$9)*Basis!$E$11,0)</f>
        <v>1985</v>
      </c>
      <c r="J668" s="123">
        <f>IF(Basis!$E$1=1,ROUND(H668/((TaH-TrH)*1.163)/3600,3),ROUND(H668/(500*(TaH-TrH)),2))</f>
        <v>1.04</v>
      </c>
      <c r="K668" s="84"/>
      <c r="L668" s="177">
        <f>CHOOSE(Basis!$E$1,((AJ668*(J668*3600/Basis!$E$5)^AK668*(((MID(C668,9,3)*10)-144)/1000)*AL668+AM668*(J668*3600/Basis!$E$5)^2)*0.0098)/Basis!$E$10,((AJ668*(J668/Basis!$E$5)^AK668*(((MID(C668,9,3)*10)-144)/1000)*AL668+AM668*(J668/Basis!$E$5)^2)*0.0098)/Basis!$E$10)</f>
        <v>8.3536301732843904E-2</v>
      </c>
      <c r="M668" s="85"/>
      <c r="N668" s="110">
        <v>1.3260000000000001</v>
      </c>
      <c r="O668" s="74"/>
      <c r="P668" s="73">
        <v>4731</v>
      </c>
      <c r="Q668" s="74"/>
      <c r="R668" s="75"/>
      <c r="S668" s="75"/>
      <c r="T668" s="75"/>
      <c r="U668" s="75"/>
      <c r="V668" s="75"/>
      <c r="W668" s="74"/>
      <c r="X668" s="76"/>
      <c r="Y668" s="76"/>
      <c r="Z668" s="76"/>
      <c r="AA668" s="76"/>
      <c r="AB668" s="76"/>
      <c r="AC668" s="74"/>
      <c r="AD668" s="77"/>
      <c r="AE668" s="77"/>
      <c r="AF668" s="77"/>
      <c r="AG668" s="77"/>
      <c r="AH668" s="77"/>
      <c r="AI668" s="68"/>
      <c r="AJ668" s="213">
        <v>1.2760000000000001E-4</v>
      </c>
      <c r="AK668" s="213">
        <v>1.7219</v>
      </c>
      <c r="AL668" s="213">
        <v>2</v>
      </c>
      <c r="AM668" s="213">
        <v>3.76611E-4</v>
      </c>
      <c r="AN668" s="74"/>
      <c r="AO668" s="73"/>
      <c r="AP668" s="73"/>
      <c r="AQ668" s="73"/>
      <c r="AR668" s="73"/>
      <c r="AS668" s="73"/>
      <c r="AT668" s="74"/>
      <c r="AU668" s="47"/>
      <c r="AV668" s="48"/>
    </row>
    <row r="669" spans="1:48" ht="12.75" customHeight="1" x14ac:dyDescent="0.25">
      <c r="A669" s="72" t="s">
        <v>23</v>
      </c>
      <c r="B669" s="43" t="s">
        <v>159</v>
      </c>
      <c r="C669" s="44" t="s">
        <v>819</v>
      </c>
      <c r="D669" s="45">
        <f>MROUND(MID($C669,6,3)/Basis!$E$3,0.5)</f>
        <v>35.5</v>
      </c>
      <c r="E669" s="45">
        <f>MROUND(MID($C669,9,3)/Basis!$E$3,0.5)</f>
        <v>63</v>
      </c>
      <c r="F669" s="124" t="s">
        <v>2948</v>
      </c>
      <c r="G669" s="45">
        <f>ROUND((ROUNDDOWN($F669/5,0)*5+1.8)/Basis!$E$3,1)</f>
        <v>8.6</v>
      </c>
      <c r="H669" s="120">
        <f>ROUND($P669*Basis!$E$2*((TaH-TrH)/LN(1/µ)/Basis!$E$7)^$N669*$AA$4*Glycol,0)</f>
        <v>12471</v>
      </c>
      <c r="I669" s="83">
        <f>ROUND(H669/(MID($C669,9,3)/Basis!$E$3/Basis!$E$9)*Basis!$E$11,0)</f>
        <v>2376</v>
      </c>
      <c r="J669" s="123">
        <f>IF(Basis!$E$1=1,ROUND(H669/((TaH-TrH)*1.163)/3600,3),ROUND(H669/(500*(TaH-TrH)),2))</f>
        <v>1.25</v>
      </c>
      <c r="K669" s="84"/>
      <c r="L669" s="177">
        <f>CHOOSE(Basis!$E$1,((AJ669*(J669*3600/Basis!$E$5)^AK669*(((MID(C669,9,3)*10)-144)/1000)*AL669+AM669*(J669*3600/Basis!$E$5)^2)*0.0098)/Basis!$E$10,((AJ669*(J669/Basis!$E$5)^AK669*(((MID(C669,9,3)*10)-144)/1000)*AL669+AM669*(J669/Basis!$E$5)^2)*0.0098)/Basis!$E$10)</f>
        <v>0.17622654771908849</v>
      </c>
      <c r="M669" s="85"/>
      <c r="N669" s="109">
        <v>1.518</v>
      </c>
      <c r="O669" s="68"/>
      <c r="P669" s="67">
        <v>6032</v>
      </c>
      <c r="Q669" s="68"/>
      <c r="R669" s="69"/>
      <c r="S669" s="69"/>
      <c r="T669" s="69"/>
      <c r="U669" s="69"/>
      <c r="V669" s="69"/>
      <c r="W669" s="68"/>
      <c r="X669" s="70"/>
      <c r="Y669" s="70"/>
      <c r="Z669" s="70"/>
      <c r="AA669" s="70"/>
      <c r="AB669" s="70"/>
      <c r="AC669" s="68"/>
      <c r="AD669" s="71"/>
      <c r="AE669" s="71"/>
      <c r="AF669" s="71"/>
      <c r="AG669" s="71"/>
      <c r="AH669" s="71"/>
      <c r="AI669" s="68"/>
      <c r="AJ669" s="214">
        <v>1.2760000000000001E-4</v>
      </c>
      <c r="AK669" s="214">
        <v>1.7219</v>
      </c>
      <c r="AL669" s="214">
        <v>4</v>
      </c>
      <c r="AM669" s="214">
        <v>5.1420100000000005E-4</v>
      </c>
      <c r="AN669" s="68"/>
      <c r="AO669" s="67"/>
      <c r="AP669" s="67"/>
      <c r="AQ669" s="67"/>
      <c r="AR669" s="67"/>
      <c r="AS669" s="67"/>
      <c r="AT669" s="68"/>
      <c r="AU669" s="49"/>
      <c r="AV669" s="50"/>
    </row>
    <row r="670" spans="1:48" ht="12.75" customHeight="1" x14ac:dyDescent="0.25">
      <c r="A670" s="72" t="s">
        <v>23</v>
      </c>
      <c r="B670" s="43" t="s">
        <v>159</v>
      </c>
      <c r="C670" s="44" t="s">
        <v>820</v>
      </c>
      <c r="D670" s="45">
        <f>MROUND(MID($C670,6,3)/Basis!$E$3,0.5)</f>
        <v>35.5</v>
      </c>
      <c r="E670" s="45">
        <f>MROUND(MID($C670,9,3)/Basis!$E$3,0.5)</f>
        <v>71</v>
      </c>
      <c r="F670" s="124" t="s">
        <v>2943</v>
      </c>
      <c r="G670" s="45">
        <f>ROUND((ROUNDDOWN($F670/5,0)*5+1.8)/Basis!$E$3,1)</f>
        <v>4.5999999999999996</v>
      </c>
      <c r="H670" s="120">
        <f>ROUND($P670*Basis!$E$2*((TaH-TrH)/LN(1/µ)/Basis!$E$7)^$N670*$AA$4*Glycol,0)</f>
        <v>5388</v>
      </c>
      <c r="I670" s="83">
        <f>ROUND(H670/(MID($C670,9,3)/Basis!$E$3/Basis!$E$9)*Basis!$E$11,0)</f>
        <v>912</v>
      </c>
      <c r="J670" s="123">
        <f>IF(Basis!$E$1=1,ROUND(H670/((TaH-TrH)*1.163)/3600,3),ROUND(H670/(500*(TaH-TrH)),2))</f>
        <v>0.54</v>
      </c>
      <c r="K670" s="84"/>
      <c r="L670" s="177">
        <f>CHOOSE(Basis!$E$1,((AJ670*(J670*3600/Basis!$E$5)^AK670*(((MID(C670,9,3)*10)-144)/1000)*AL670+AM670*(J670*3600/Basis!$E$5)^2)*0.0098)/Basis!$E$10,((AJ670*(J670/Basis!$E$5)^AK670*(((MID(C670,9,3)*10)-144)/1000)*AL670+AM670*(J670/Basis!$E$5)^2)*0.0098)/Basis!$E$10)</f>
        <v>3.6109073771917716E-2</v>
      </c>
      <c r="M670" s="85"/>
      <c r="N670" s="109">
        <v>1.3480000000000001</v>
      </c>
      <c r="O670" s="68"/>
      <c r="P670" s="67">
        <v>2464</v>
      </c>
      <c r="Q670" s="68"/>
      <c r="R670" s="69"/>
      <c r="S670" s="69"/>
      <c r="T670" s="69"/>
      <c r="U670" s="69"/>
      <c r="V670" s="69"/>
      <c r="W670" s="68"/>
      <c r="X670" s="70"/>
      <c r="Y670" s="70"/>
      <c r="Z670" s="70"/>
      <c r="AA670" s="70"/>
      <c r="AB670" s="70"/>
      <c r="AC670" s="68"/>
      <c r="AD670" s="71"/>
      <c r="AE670" s="71"/>
      <c r="AF670" s="71"/>
      <c r="AG670" s="71"/>
      <c r="AH670" s="71"/>
      <c r="AI670" s="68"/>
      <c r="AJ670" s="214">
        <v>3.9689999999999994E-4</v>
      </c>
      <c r="AK670" s="214">
        <v>1.7345999999999999</v>
      </c>
      <c r="AL670" s="214">
        <v>2</v>
      </c>
      <c r="AM670" s="214">
        <v>3.6734700000000002E-4</v>
      </c>
      <c r="AN670" s="68"/>
      <c r="AO670" s="67"/>
      <c r="AP670" s="67"/>
      <c r="AQ670" s="67"/>
      <c r="AR670" s="67"/>
      <c r="AS670" s="67"/>
      <c r="AT670" s="68"/>
      <c r="AU670" s="49"/>
      <c r="AV670" s="50"/>
    </row>
    <row r="671" spans="1:48" ht="12.75" customHeight="1" x14ac:dyDescent="0.25">
      <c r="A671" s="72" t="s">
        <v>23</v>
      </c>
      <c r="B671" s="43" t="s">
        <v>159</v>
      </c>
      <c r="C671" s="44" t="s">
        <v>821</v>
      </c>
      <c r="D671" s="45">
        <f>MROUND(MID($C671,6,3)/Basis!$E$3,0.5)</f>
        <v>35.5</v>
      </c>
      <c r="E671" s="45">
        <f>MROUND(MID($C671,9,3)/Basis!$E$3,0.5)</f>
        <v>71</v>
      </c>
      <c r="F671" s="124" t="s">
        <v>2946</v>
      </c>
      <c r="G671" s="45">
        <f>ROUND((ROUNDDOWN($F671/5,0)*5+1.8)/Basis!$E$3,1)</f>
        <v>4.5999999999999996</v>
      </c>
      <c r="H671" s="120">
        <f>ROUND($P671*Basis!$E$2*((TaH-TrH)/LN(1/µ)/Basis!$E$7)^$N671*$AA$4*Glycol,0)</f>
        <v>6725</v>
      </c>
      <c r="I671" s="83">
        <f>ROUND(H671/(MID($C671,9,3)/Basis!$E$3/Basis!$E$9)*Basis!$E$11,0)</f>
        <v>1139</v>
      </c>
      <c r="J671" s="123">
        <f>IF(Basis!$E$1=1,ROUND(H671/((TaH-TrH)*1.163)/3600,3),ROUND(H671/(500*(TaH-TrH)),2))</f>
        <v>0.67</v>
      </c>
      <c r="K671" s="84"/>
      <c r="L671" s="177">
        <f>CHOOSE(Basis!$E$1,((AJ671*(J671*3600/Basis!$E$5)^AK671*(((MID(C671,9,3)*10)-144)/1000)*AL671+AM671*(J671*3600/Basis!$E$5)^2)*0.0098)/Basis!$E$10,((AJ671*(J671/Basis!$E$5)^AK671*(((MID(C671,9,3)*10)-144)/1000)*AL671+AM671*(J671/Basis!$E$5)^2)*0.0098)/Basis!$E$10)</f>
        <v>9.5939319365252768E-2</v>
      </c>
      <c r="M671" s="85"/>
      <c r="N671" s="110">
        <v>1.4339999999999999</v>
      </c>
      <c r="O671" s="74"/>
      <c r="P671" s="73">
        <v>3164</v>
      </c>
      <c r="Q671" s="74"/>
      <c r="R671" s="75"/>
      <c r="S671" s="75"/>
      <c r="T671" s="75"/>
      <c r="U671" s="75"/>
      <c r="V671" s="75"/>
      <c r="W671" s="74"/>
      <c r="X671" s="76"/>
      <c r="Y671" s="76"/>
      <c r="Z671" s="76"/>
      <c r="AA671" s="76"/>
      <c r="AB671" s="76"/>
      <c r="AC671" s="74"/>
      <c r="AD671" s="77"/>
      <c r="AE671" s="77"/>
      <c r="AF671" s="77"/>
      <c r="AG671" s="77"/>
      <c r="AH671" s="77"/>
      <c r="AI671" s="68"/>
      <c r="AJ671" s="213">
        <v>3.9689999999999994E-4</v>
      </c>
      <c r="AK671" s="213">
        <v>1.7345999999999999</v>
      </c>
      <c r="AL671" s="213">
        <v>4</v>
      </c>
      <c r="AM671" s="213">
        <v>5.7428799999999995E-4</v>
      </c>
      <c r="AN671" s="74"/>
      <c r="AO671" s="73"/>
      <c r="AP671" s="73"/>
      <c r="AQ671" s="73"/>
      <c r="AR671" s="73"/>
      <c r="AS671" s="73"/>
      <c r="AT671" s="74"/>
      <c r="AU671" s="47"/>
      <c r="AV671" s="48"/>
    </row>
    <row r="672" spans="1:48" ht="12.75" customHeight="1" x14ac:dyDescent="0.25">
      <c r="A672" s="72" t="s">
        <v>23</v>
      </c>
      <c r="B672" s="43" t="s">
        <v>159</v>
      </c>
      <c r="C672" s="44" t="s">
        <v>822</v>
      </c>
      <c r="D672" s="45">
        <f>MROUND(MID($C672,6,3)/Basis!$E$3,0.5)</f>
        <v>35.5</v>
      </c>
      <c r="E672" s="45">
        <f>MROUND(MID($C672,9,3)/Basis!$E$3,0.5)</f>
        <v>71</v>
      </c>
      <c r="F672" s="124" t="s">
        <v>2944</v>
      </c>
      <c r="G672" s="45">
        <f>ROUND((ROUNDDOWN($F672/5,0)*5+1.8)/Basis!$E$3,1)</f>
        <v>6.6</v>
      </c>
      <c r="H672" s="120">
        <f>ROUND($P672*Basis!$E$2*((TaH-TrH)/LN(1/µ)/Basis!$E$7)^$N672*$AA$4*Glycol,0)</f>
        <v>8406</v>
      </c>
      <c r="I672" s="83">
        <f>ROUND(H672/(MID($C672,9,3)/Basis!$E$3/Basis!$E$9)*Basis!$E$11,0)</f>
        <v>1423</v>
      </c>
      <c r="J672" s="123">
        <f>IF(Basis!$E$1=1,ROUND(H672/((TaH-TrH)*1.163)/3600,3),ROUND(H672/(500*(TaH-TrH)),2))</f>
        <v>0.84</v>
      </c>
      <c r="K672" s="84"/>
      <c r="L672" s="177">
        <f>CHOOSE(Basis!$E$1,((AJ672*(J672*3600/Basis!$E$5)^AK672*(((MID(C672,9,3)*10)-144)/1000)*AL672+AM672*(J672*3600/Basis!$E$5)^2)*0.0098)/Basis!$E$10,((AJ672*(J672/Basis!$E$5)^AK672*(((MID(C672,9,3)*10)-144)/1000)*AL672+AM672*(J672/Basis!$E$5)^2)*0.0098)/Basis!$E$10)</f>
        <v>7.4236939969069188E-2</v>
      </c>
      <c r="M672" s="85"/>
      <c r="N672" s="110">
        <v>1.3260000000000001</v>
      </c>
      <c r="O672" s="74"/>
      <c r="P672" s="73">
        <v>3816</v>
      </c>
      <c r="Q672" s="74"/>
      <c r="R672" s="75"/>
      <c r="S672" s="75"/>
      <c r="T672" s="75"/>
      <c r="U672" s="75"/>
      <c r="V672" s="75"/>
      <c r="W672" s="74"/>
      <c r="X672" s="76"/>
      <c r="Y672" s="76"/>
      <c r="Z672" s="76"/>
      <c r="AA672" s="76"/>
      <c r="AB672" s="76"/>
      <c r="AC672" s="74"/>
      <c r="AD672" s="77"/>
      <c r="AE672" s="77"/>
      <c r="AF672" s="77"/>
      <c r="AG672" s="77"/>
      <c r="AH672" s="77"/>
      <c r="AI672" s="68"/>
      <c r="AJ672" s="213">
        <v>2.0829999999999999E-4</v>
      </c>
      <c r="AK672" s="213">
        <v>1.724</v>
      </c>
      <c r="AL672" s="213">
        <v>2</v>
      </c>
      <c r="AM672" s="213">
        <v>4.6182900000000003E-4</v>
      </c>
      <c r="AN672" s="74"/>
      <c r="AO672" s="73"/>
      <c r="AP672" s="73"/>
      <c r="AQ672" s="73"/>
      <c r="AR672" s="73"/>
      <c r="AS672" s="73"/>
      <c r="AT672" s="74"/>
      <c r="AU672" s="47"/>
      <c r="AV672" s="48"/>
    </row>
    <row r="673" spans="1:48" ht="12.75" customHeight="1" x14ac:dyDescent="0.25">
      <c r="A673" s="72" t="s">
        <v>23</v>
      </c>
      <c r="B673" s="43" t="s">
        <v>159</v>
      </c>
      <c r="C673" s="44" t="s">
        <v>823</v>
      </c>
      <c r="D673" s="45">
        <f>MROUND(MID($C673,6,3)/Basis!$E$3,0.5)</f>
        <v>35.5</v>
      </c>
      <c r="E673" s="45">
        <f>MROUND(MID($C673,9,3)/Basis!$E$3,0.5)</f>
        <v>71</v>
      </c>
      <c r="F673" s="124" t="s">
        <v>2947</v>
      </c>
      <c r="G673" s="45">
        <f>ROUND((ROUNDDOWN($F673/5,0)*5+1.8)/Basis!$E$3,1)</f>
        <v>6.6</v>
      </c>
      <c r="H673" s="120">
        <f>ROUND($P673*Basis!$E$2*((TaH-TrH)/LN(1/µ)/Basis!$E$7)^$N673*$AA$4*Glycol,0)</f>
        <v>9783</v>
      </c>
      <c r="I673" s="83">
        <f>ROUND(H673/(MID($C673,9,3)/Basis!$E$3/Basis!$E$9)*Basis!$E$11,0)</f>
        <v>1657</v>
      </c>
      <c r="J673" s="123">
        <f>IF(Basis!$E$1=1,ROUND(H673/((TaH-TrH)*1.163)/3600,3),ROUND(H673/(500*(TaH-TrH)),2))</f>
        <v>0.98</v>
      </c>
      <c r="K673" s="84"/>
      <c r="L673" s="177">
        <f>CHOOSE(Basis!$E$1,((AJ673*(J673*3600/Basis!$E$5)^AK673*(((MID(C673,9,3)*10)-144)/1000)*AL673+AM673*(J673*3600/Basis!$E$5)^2)*0.0098)/Basis!$E$10,((AJ673*(J673/Basis!$E$5)^AK673*(((MID(C673,9,3)*10)-144)/1000)*AL673+AM673*(J673/Basis!$E$5)^2)*0.0098)/Basis!$E$10)</f>
        <v>0.27590009099077439</v>
      </c>
      <c r="M673" s="85"/>
      <c r="N673" s="109">
        <v>1.48</v>
      </c>
      <c r="O673" s="68"/>
      <c r="P673" s="67">
        <v>4673</v>
      </c>
      <c r="Q673" s="68"/>
      <c r="R673" s="69"/>
      <c r="S673" s="69"/>
      <c r="T673" s="69"/>
      <c r="U673" s="69"/>
      <c r="V673" s="69"/>
      <c r="W673" s="68"/>
      <c r="X673" s="70"/>
      <c r="Y673" s="70"/>
      <c r="Z673" s="70"/>
      <c r="AA673" s="70"/>
      <c r="AB673" s="70"/>
      <c r="AC673" s="68"/>
      <c r="AD673" s="71"/>
      <c r="AE673" s="71"/>
      <c r="AF673" s="71"/>
      <c r="AG673" s="71"/>
      <c r="AH673" s="71"/>
      <c r="AI673" s="68"/>
      <c r="AJ673" s="214">
        <v>2.0829999999999999E-4</v>
      </c>
      <c r="AK673" s="214">
        <v>1.724</v>
      </c>
      <c r="AL673" s="214">
        <v>4</v>
      </c>
      <c r="AM673" s="214">
        <v>1.392796E-3</v>
      </c>
      <c r="AN673" s="68"/>
      <c r="AO673" s="67"/>
      <c r="AP673" s="67"/>
      <c r="AQ673" s="67"/>
      <c r="AR673" s="67"/>
      <c r="AS673" s="67"/>
      <c r="AT673" s="68"/>
      <c r="AU673" s="49"/>
      <c r="AV673" s="50"/>
    </row>
    <row r="674" spans="1:48" ht="12.75" customHeight="1" x14ac:dyDescent="0.25">
      <c r="A674" s="72" t="s">
        <v>23</v>
      </c>
      <c r="B674" s="43" t="s">
        <v>159</v>
      </c>
      <c r="C674" s="44" t="s">
        <v>824</v>
      </c>
      <c r="D674" s="45">
        <f>MROUND(MID($C674,6,3)/Basis!$E$3,0.5)</f>
        <v>35.5</v>
      </c>
      <c r="E674" s="45">
        <f>MROUND(MID($C674,9,3)/Basis!$E$3,0.5)</f>
        <v>71</v>
      </c>
      <c r="F674" s="124" t="s">
        <v>2945</v>
      </c>
      <c r="G674" s="45">
        <f>ROUND((ROUNDDOWN($F674/5,0)*5+1.8)/Basis!$E$3,1)</f>
        <v>8.6</v>
      </c>
      <c r="H674" s="120">
        <f>ROUND($P674*Basis!$E$2*((TaH-TrH)/LN(1/µ)/Basis!$E$7)^$N674*$AA$4*Glycol,0)</f>
        <v>11725</v>
      </c>
      <c r="I674" s="83">
        <f>ROUND(H674/(MID($C674,9,3)/Basis!$E$3/Basis!$E$9)*Basis!$E$11,0)</f>
        <v>1985</v>
      </c>
      <c r="J674" s="123">
        <f>IF(Basis!$E$1=1,ROUND(H674/((TaH-TrH)*1.163)/3600,3),ROUND(H674/(500*(TaH-TrH)),2))</f>
        <v>1.17</v>
      </c>
      <c r="K674" s="84"/>
      <c r="L674" s="177">
        <f>CHOOSE(Basis!$E$1,((AJ674*(J674*3600/Basis!$E$5)^AK674*(((MID(C674,9,3)*10)-144)/1000)*AL674+AM674*(J674*3600/Basis!$E$5)^2)*0.0098)/Basis!$E$10,((AJ674*(J674/Basis!$E$5)^AK674*(((MID(C674,9,3)*10)-144)/1000)*AL674+AM674*(J674/Basis!$E$5)^2)*0.0098)/Basis!$E$10)</f>
        <v>0.10761588359421316</v>
      </c>
      <c r="M674" s="85"/>
      <c r="N674" s="109">
        <v>1.3260000000000001</v>
      </c>
      <c r="O674" s="68"/>
      <c r="P674" s="67">
        <v>5323</v>
      </c>
      <c r="Q674" s="68"/>
      <c r="R674" s="69"/>
      <c r="S674" s="69"/>
      <c r="T674" s="69"/>
      <c r="U674" s="69"/>
      <c r="V674" s="69"/>
      <c r="W674" s="68"/>
      <c r="X674" s="70"/>
      <c r="Y674" s="70"/>
      <c r="Z674" s="70"/>
      <c r="AA674" s="70"/>
      <c r="AB674" s="70"/>
      <c r="AC674" s="68"/>
      <c r="AD674" s="71"/>
      <c r="AE674" s="71"/>
      <c r="AF674" s="71"/>
      <c r="AG674" s="71"/>
      <c r="AH674" s="71"/>
      <c r="AI674" s="68"/>
      <c r="AJ674" s="214">
        <v>1.2760000000000001E-4</v>
      </c>
      <c r="AK674" s="214">
        <v>1.7219</v>
      </c>
      <c r="AL674" s="214">
        <v>2</v>
      </c>
      <c r="AM674" s="214">
        <v>3.76611E-4</v>
      </c>
      <c r="AN674" s="68"/>
      <c r="AO674" s="67"/>
      <c r="AP674" s="67"/>
      <c r="AQ674" s="67"/>
      <c r="AR674" s="67"/>
      <c r="AS674" s="67"/>
      <c r="AT674" s="68"/>
      <c r="AU674" s="49"/>
      <c r="AV674" s="50"/>
    </row>
    <row r="675" spans="1:48" ht="12.75" customHeight="1" x14ac:dyDescent="0.25">
      <c r="A675" s="72" t="s">
        <v>23</v>
      </c>
      <c r="B675" s="43" t="s">
        <v>159</v>
      </c>
      <c r="C675" s="44" t="s">
        <v>825</v>
      </c>
      <c r="D675" s="45">
        <f>MROUND(MID($C675,6,3)/Basis!$E$3,0.5)</f>
        <v>35.5</v>
      </c>
      <c r="E675" s="45">
        <f>MROUND(MID($C675,9,3)/Basis!$E$3,0.5)</f>
        <v>71</v>
      </c>
      <c r="F675" s="124" t="s">
        <v>2948</v>
      </c>
      <c r="G675" s="45">
        <f>ROUND((ROUNDDOWN($F675/5,0)*5+1.8)/Basis!$E$3,1)</f>
        <v>8.6</v>
      </c>
      <c r="H675" s="120">
        <f>ROUND($P675*Basis!$E$2*((TaH-TrH)/LN(1/µ)/Basis!$E$7)^$N675*$AA$4*Glycol,0)</f>
        <v>14030</v>
      </c>
      <c r="I675" s="83">
        <f>ROUND(H675/(MID($C675,9,3)/Basis!$E$3/Basis!$E$9)*Basis!$E$11,0)</f>
        <v>2376</v>
      </c>
      <c r="J675" s="123">
        <f>IF(Basis!$E$1=1,ROUND(H675/((TaH-TrH)*1.163)/3600,3),ROUND(H675/(500*(TaH-TrH)),2))</f>
        <v>1.4</v>
      </c>
      <c r="K675" s="84"/>
      <c r="L675" s="177">
        <f>CHOOSE(Basis!$E$1,((AJ675*(J675*3600/Basis!$E$5)^AK675*(((MID(C675,9,3)*10)-144)/1000)*AL675+AM675*(J675*3600/Basis!$E$5)^2)*0.0098)/Basis!$E$10,((AJ675*(J675/Basis!$E$5)^AK675*(((MID(C675,9,3)*10)-144)/1000)*AL675+AM675*(J675/Basis!$E$5)^2)*0.0098)/Basis!$E$10)</f>
        <v>0.22627129978324645</v>
      </c>
      <c r="M675" s="85"/>
      <c r="N675" s="110">
        <v>1.518</v>
      </c>
      <c r="O675" s="74"/>
      <c r="P675" s="73">
        <v>6786</v>
      </c>
      <c r="Q675" s="74"/>
      <c r="R675" s="75"/>
      <c r="S675" s="75"/>
      <c r="T675" s="75"/>
      <c r="U675" s="75"/>
      <c r="V675" s="75"/>
      <c r="W675" s="74"/>
      <c r="X675" s="76"/>
      <c r="Y675" s="76"/>
      <c r="Z675" s="76"/>
      <c r="AA675" s="76"/>
      <c r="AB675" s="76"/>
      <c r="AC675" s="74"/>
      <c r="AD675" s="77"/>
      <c r="AE675" s="77"/>
      <c r="AF675" s="77"/>
      <c r="AG675" s="77"/>
      <c r="AH675" s="77"/>
      <c r="AI675" s="68"/>
      <c r="AJ675" s="213">
        <v>1.2760000000000001E-4</v>
      </c>
      <c r="AK675" s="213">
        <v>1.7219</v>
      </c>
      <c r="AL675" s="213">
        <v>4</v>
      </c>
      <c r="AM675" s="213">
        <v>5.1420100000000005E-4</v>
      </c>
      <c r="AN675" s="74"/>
      <c r="AO675" s="73"/>
      <c r="AP675" s="73"/>
      <c r="AQ675" s="73"/>
      <c r="AR675" s="73"/>
      <c r="AS675" s="73"/>
      <c r="AT675" s="74"/>
      <c r="AU675" s="47"/>
      <c r="AV675" s="48"/>
    </row>
    <row r="676" spans="1:48" ht="12.75" customHeight="1" x14ac:dyDescent="0.25">
      <c r="A676" s="72" t="s">
        <v>23</v>
      </c>
      <c r="B676" s="43" t="s">
        <v>159</v>
      </c>
      <c r="C676" s="44" t="s">
        <v>826</v>
      </c>
      <c r="D676" s="45">
        <f>MROUND(MID($C676,6,3)/Basis!$E$3,0.5)</f>
        <v>35.5</v>
      </c>
      <c r="E676" s="45">
        <f>MROUND(MID($C676,9,3)/Basis!$E$3,0.5)</f>
        <v>78.5</v>
      </c>
      <c r="F676" s="124" t="s">
        <v>2943</v>
      </c>
      <c r="G676" s="45">
        <f>ROUND((ROUNDDOWN($F676/5,0)*5+1.8)/Basis!$E$3,1)</f>
        <v>4.5999999999999996</v>
      </c>
      <c r="H676" s="120">
        <f>ROUND($P676*Basis!$E$2*((TaH-TrH)/LN(1/µ)/Basis!$E$7)^$N676*$AA$4*Glycol,0)</f>
        <v>5987</v>
      </c>
      <c r="I676" s="83">
        <f>ROUND(H676/(MID($C676,9,3)/Basis!$E$3/Basis!$E$9)*Basis!$E$11,0)</f>
        <v>912</v>
      </c>
      <c r="J676" s="123">
        <f>IF(Basis!$E$1=1,ROUND(H676/((TaH-TrH)*1.163)/3600,3),ROUND(H676/(500*(TaH-TrH)),2))</f>
        <v>0.6</v>
      </c>
      <c r="K676" s="84"/>
      <c r="L676" s="177">
        <f>CHOOSE(Basis!$E$1,((AJ676*(J676*3600/Basis!$E$5)^AK676*(((MID(C676,9,3)*10)-144)/1000)*AL676+AM676*(J676*3600/Basis!$E$5)^2)*0.0098)/Basis!$E$10,((AJ676*(J676/Basis!$E$5)^AK676*(((MID(C676,9,3)*10)-144)/1000)*AL676+AM676*(J676/Basis!$E$5)^2)*0.0098)/Basis!$E$10)</f>
        <v>4.6580747807873975E-2</v>
      </c>
      <c r="M676" s="85"/>
      <c r="N676" s="110">
        <v>1.3480000000000001</v>
      </c>
      <c r="O676" s="74"/>
      <c r="P676" s="73">
        <v>2738</v>
      </c>
      <c r="Q676" s="74"/>
      <c r="R676" s="75"/>
      <c r="S676" s="75"/>
      <c r="T676" s="75"/>
      <c r="U676" s="75"/>
      <c r="V676" s="75"/>
      <c r="W676" s="74"/>
      <c r="X676" s="76"/>
      <c r="Y676" s="76"/>
      <c r="Z676" s="76"/>
      <c r="AA676" s="76"/>
      <c r="AB676" s="76"/>
      <c r="AC676" s="74"/>
      <c r="AD676" s="77"/>
      <c r="AE676" s="77"/>
      <c r="AF676" s="77"/>
      <c r="AG676" s="77"/>
      <c r="AH676" s="77"/>
      <c r="AI676" s="68"/>
      <c r="AJ676" s="213">
        <v>3.9689999999999994E-4</v>
      </c>
      <c r="AK676" s="213">
        <v>1.7345999999999999</v>
      </c>
      <c r="AL676" s="213">
        <v>2</v>
      </c>
      <c r="AM676" s="213">
        <v>3.6734700000000002E-4</v>
      </c>
      <c r="AN676" s="74"/>
      <c r="AO676" s="73"/>
      <c r="AP676" s="73"/>
      <c r="AQ676" s="73"/>
      <c r="AR676" s="73"/>
      <c r="AS676" s="73"/>
      <c r="AT676" s="74"/>
      <c r="AU676" s="47"/>
      <c r="AV676" s="48"/>
    </row>
    <row r="677" spans="1:48" ht="12.75" customHeight="1" x14ac:dyDescent="0.25">
      <c r="A677" s="72" t="s">
        <v>23</v>
      </c>
      <c r="B677" s="43" t="s">
        <v>159</v>
      </c>
      <c r="C677" s="44" t="s">
        <v>827</v>
      </c>
      <c r="D677" s="45">
        <f>MROUND(MID($C677,6,3)/Basis!$E$3,0.5)</f>
        <v>35.5</v>
      </c>
      <c r="E677" s="45">
        <f>MROUND(MID($C677,9,3)/Basis!$E$3,0.5)</f>
        <v>78.5</v>
      </c>
      <c r="F677" s="124" t="s">
        <v>2946</v>
      </c>
      <c r="G677" s="45">
        <f>ROUND((ROUNDDOWN($F677/5,0)*5+1.8)/Basis!$E$3,1)</f>
        <v>4.5999999999999996</v>
      </c>
      <c r="H677" s="120">
        <f>ROUND($P677*Basis!$E$2*((TaH-TrH)/LN(1/µ)/Basis!$E$7)^$N677*$AA$4*Glycol,0)</f>
        <v>7474</v>
      </c>
      <c r="I677" s="83">
        <f>ROUND(H677/(MID($C677,9,3)/Basis!$E$3/Basis!$E$9)*Basis!$E$11,0)</f>
        <v>1139</v>
      </c>
      <c r="J677" s="123">
        <f>IF(Basis!$E$1=1,ROUND(H677/((TaH-TrH)*1.163)/3600,3),ROUND(H677/(500*(TaH-TrH)),2))</f>
        <v>0.75</v>
      </c>
      <c r="K677" s="84"/>
      <c r="L677" s="177">
        <f>CHOOSE(Basis!$E$1,((AJ677*(J677*3600/Basis!$E$5)^AK677*(((MID(C677,9,3)*10)-144)/1000)*AL677+AM677*(J677*3600/Basis!$E$5)^2)*0.0098)/Basis!$E$10,((AJ677*(J677/Basis!$E$5)^AK677*(((MID(C677,9,3)*10)-144)/1000)*AL677+AM677*(J677/Basis!$E$5)^2)*0.0098)/Basis!$E$10)</f>
        <v>0.1259838903087411</v>
      </c>
      <c r="M677" s="85"/>
      <c r="N677" s="109">
        <v>1.4339999999999999</v>
      </c>
      <c r="O677" s="68"/>
      <c r="P677" s="67">
        <v>3516</v>
      </c>
      <c r="Q677" s="68"/>
      <c r="R677" s="69"/>
      <c r="S677" s="69"/>
      <c r="T677" s="69"/>
      <c r="U677" s="69"/>
      <c r="V677" s="69"/>
      <c r="W677" s="68"/>
      <c r="X677" s="70"/>
      <c r="Y677" s="70"/>
      <c r="Z677" s="70"/>
      <c r="AA677" s="70"/>
      <c r="AB677" s="70"/>
      <c r="AC677" s="68"/>
      <c r="AD677" s="71"/>
      <c r="AE677" s="71"/>
      <c r="AF677" s="71"/>
      <c r="AG677" s="71"/>
      <c r="AH677" s="71"/>
      <c r="AI677" s="68"/>
      <c r="AJ677" s="214">
        <v>3.9689999999999994E-4</v>
      </c>
      <c r="AK677" s="214">
        <v>1.7345999999999999</v>
      </c>
      <c r="AL677" s="214">
        <v>4</v>
      </c>
      <c r="AM677" s="214">
        <v>5.7428799999999995E-4</v>
      </c>
      <c r="AN677" s="68"/>
      <c r="AO677" s="67"/>
      <c r="AP677" s="67"/>
      <c r="AQ677" s="67"/>
      <c r="AR677" s="67"/>
      <c r="AS677" s="67"/>
      <c r="AT677" s="68"/>
      <c r="AU677" s="49"/>
      <c r="AV677" s="50"/>
    </row>
    <row r="678" spans="1:48" ht="12.75" customHeight="1" x14ac:dyDescent="0.25">
      <c r="A678" s="72" t="s">
        <v>23</v>
      </c>
      <c r="B678" s="43" t="s">
        <v>159</v>
      </c>
      <c r="C678" s="44" t="s">
        <v>828</v>
      </c>
      <c r="D678" s="45">
        <f>MROUND(MID($C678,6,3)/Basis!$E$3,0.5)</f>
        <v>35.5</v>
      </c>
      <c r="E678" s="45">
        <f>MROUND(MID($C678,9,3)/Basis!$E$3,0.5)</f>
        <v>78.5</v>
      </c>
      <c r="F678" s="124" t="s">
        <v>2944</v>
      </c>
      <c r="G678" s="45">
        <f>ROUND((ROUNDDOWN($F678/5,0)*5+1.8)/Basis!$E$3,1)</f>
        <v>6.6</v>
      </c>
      <c r="H678" s="120">
        <f>ROUND($P678*Basis!$E$2*((TaH-TrH)/LN(1/µ)/Basis!$E$7)^$N678*$AA$4*Glycol,0)</f>
        <v>9340</v>
      </c>
      <c r="I678" s="83">
        <f>ROUND(H678/(MID($C678,9,3)/Basis!$E$3/Basis!$E$9)*Basis!$E$11,0)</f>
        <v>1423</v>
      </c>
      <c r="J678" s="123">
        <f>IF(Basis!$E$1=1,ROUND(H678/((TaH-TrH)*1.163)/3600,3),ROUND(H678/(500*(TaH-TrH)),2))</f>
        <v>0.93</v>
      </c>
      <c r="K678" s="84"/>
      <c r="L678" s="177">
        <f>CHOOSE(Basis!$E$1,((AJ678*(J678*3600/Basis!$E$5)^AK678*(((MID(C678,9,3)*10)-144)/1000)*AL678+AM678*(J678*3600/Basis!$E$5)^2)*0.0098)/Basis!$E$10,((AJ678*(J678/Basis!$E$5)^AK678*(((MID(C678,9,3)*10)-144)/1000)*AL678+AM678*(J678/Basis!$E$5)^2)*0.0098)/Basis!$E$10)</f>
        <v>9.3116776765041417E-2</v>
      </c>
      <c r="M678" s="85"/>
      <c r="N678" s="109">
        <v>1.3260000000000001</v>
      </c>
      <c r="O678" s="68"/>
      <c r="P678" s="67">
        <v>4240</v>
      </c>
      <c r="Q678" s="68"/>
      <c r="R678" s="69"/>
      <c r="S678" s="69"/>
      <c r="T678" s="69"/>
      <c r="U678" s="69"/>
      <c r="V678" s="69"/>
      <c r="W678" s="68"/>
      <c r="X678" s="70"/>
      <c r="Y678" s="70"/>
      <c r="Z678" s="70"/>
      <c r="AA678" s="70"/>
      <c r="AB678" s="70"/>
      <c r="AC678" s="68"/>
      <c r="AD678" s="71"/>
      <c r="AE678" s="71"/>
      <c r="AF678" s="71"/>
      <c r="AG678" s="71"/>
      <c r="AH678" s="71"/>
      <c r="AI678" s="68"/>
      <c r="AJ678" s="214">
        <v>2.0829999999999999E-4</v>
      </c>
      <c r="AK678" s="214">
        <v>1.724</v>
      </c>
      <c r="AL678" s="214">
        <v>2</v>
      </c>
      <c r="AM678" s="214">
        <v>4.6182900000000003E-4</v>
      </c>
      <c r="AN678" s="68"/>
      <c r="AO678" s="67"/>
      <c r="AP678" s="67"/>
      <c r="AQ678" s="67"/>
      <c r="AR678" s="67"/>
      <c r="AS678" s="67"/>
      <c r="AT678" s="68"/>
      <c r="AU678" s="49"/>
      <c r="AV678" s="50"/>
    </row>
    <row r="679" spans="1:48" ht="12.75" customHeight="1" x14ac:dyDescent="0.25">
      <c r="A679" s="72" t="s">
        <v>23</v>
      </c>
      <c r="B679" s="43" t="s">
        <v>159</v>
      </c>
      <c r="C679" s="44" t="s">
        <v>829</v>
      </c>
      <c r="D679" s="45">
        <f>MROUND(MID($C679,6,3)/Basis!$E$3,0.5)</f>
        <v>35.5</v>
      </c>
      <c r="E679" s="45">
        <f>MROUND(MID($C679,9,3)/Basis!$E$3,0.5)</f>
        <v>78.5</v>
      </c>
      <c r="F679" s="124" t="s">
        <v>2947</v>
      </c>
      <c r="G679" s="45">
        <f>ROUND((ROUNDDOWN($F679/5,0)*5+1.8)/Basis!$E$3,1)</f>
        <v>6.6</v>
      </c>
      <c r="H679" s="120">
        <f>ROUND($P679*Basis!$E$2*((TaH-TrH)/LN(1/µ)/Basis!$E$7)^$N679*$AA$4*Glycol,0)</f>
        <v>10870</v>
      </c>
      <c r="I679" s="83">
        <f>ROUND(H679/(MID($C679,9,3)/Basis!$E$3/Basis!$E$9)*Basis!$E$11,0)</f>
        <v>1657</v>
      </c>
      <c r="J679" s="123">
        <f>IF(Basis!$E$1=1,ROUND(H679/((TaH-TrH)*1.163)/3600,3),ROUND(H679/(500*(TaH-TrH)),2))</f>
        <v>1.0900000000000001</v>
      </c>
      <c r="K679" s="84"/>
      <c r="L679" s="177">
        <f>CHOOSE(Basis!$E$1,((AJ679*(J679*3600/Basis!$E$5)^AK679*(((MID(C679,9,3)*10)-144)/1000)*AL679+AM679*(J679*3600/Basis!$E$5)^2)*0.0098)/Basis!$E$10,((AJ679*(J679/Basis!$E$5)^AK679*(((MID(C679,9,3)*10)-144)/1000)*AL679+AM679*(J679/Basis!$E$5)^2)*0.0098)/Basis!$E$10)</f>
        <v>0.34680798743085905</v>
      </c>
      <c r="M679" s="85"/>
      <c r="N679" s="110">
        <v>1.48</v>
      </c>
      <c r="O679" s="74"/>
      <c r="P679" s="73">
        <v>5192</v>
      </c>
      <c r="Q679" s="74"/>
      <c r="R679" s="75"/>
      <c r="S679" s="75"/>
      <c r="T679" s="75"/>
      <c r="U679" s="75"/>
      <c r="V679" s="75"/>
      <c r="W679" s="74"/>
      <c r="X679" s="76"/>
      <c r="Y679" s="76"/>
      <c r="Z679" s="76"/>
      <c r="AA679" s="76"/>
      <c r="AB679" s="76"/>
      <c r="AC679" s="74"/>
      <c r="AD679" s="77"/>
      <c r="AE679" s="77"/>
      <c r="AF679" s="77"/>
      <c r="AG679" s="77"/>
      <c r="AH679" s="77"/>
      <c r="AI679" s="68"/>
      <c r="AJ679" s="213">
        <v>2.0829999999999999E-4</v>
      </c>
      <c r="AK679" s="213">
        <v>1.724</v>
      </c>
      <c r="AL679" s="213">
        <v>4</v>
      </c>
      <c r="AM679" s="213">
        <v>1.392796E-3</v>
      </c>
      <c r="AN679" s="74"/>
      <c r="AO679" s="73"/>
      <c r="AP679" s="73"/>
      <c r="AQ679" s="73"/>
      <c r="AR679" s="73"/>
      <c r="AS679" s="73"/>
      <c r="AT679" s="74"/>
      <c r="AU679" s="47"/>
      <c r="AV679" s="48"/>
    </row>
    <row r="680" spans="1:48" ht="12.75" customHeight="1" x14ac:dyDescent="0.25">
      <c r="A680" s="72" t="s">
        <v>23</v>
      </c>
      <c r="B680" s="43" t="s">
        <v>159</v>
      </c>
      <c r="C680" s="44" t="s">
        <v>830</v>
      </c>
      <c r="D680" s="45">
        <f>MROUND(MID($C680,6,3)/Basis!$E$3,0.5)</f>
        <v>35.5</v>
      </c>
      <c r="E680" s="45">
        <f>MROUND(MID($C680,9,3)/Basis!$E$3,0.5)</f>
        <v>78.5</v>
      </c>
      <c r="F680" s="124" t="s">
        <v>2945</v>
      </c>
      <c r="G680" s="45">
        <f>ROUND((ROUNDDOWN($F680/5,0)*5+1.8)/Basis!$E$3,1)</f>
        <v>8.6</v>
      </c>
      <c r="H680" s="120">
        <f>ROUND($P680*Basis!$E$2*((TaH-TrH)/LN(1/µ)/Basis!$E$7)^$N680*$AA$4*Glycol,0)</f>
        <v>13027</v>
      </c>
      <c r="I680" s="83">
        <f>ROUND(H680/(MID($C680,9,3)/Basis!$E$3/Basis!$E$9)*Basis!$E$11,0)</f>
        <v>1985</v>
      </c>
      <c r="J680" s="123">
        <f>IF(Basis!$E$1=1,ROUND(H680/((TaH-TrH)*1.163)/3600,3),ROUND(H680/(500*(TaH-TrH)),2))</f>
        <v>1.3</v>
      </c>
      <c r="K680" s="84"/>
      <c r="L680" s="177">
        <f>CHOOSE(Basis!$E$1,((AJ680*(J680*3600/Basis!$E$5)^AK680*(((MID(C680,9,3)*10)-144)/1000)*AL680+AM680*(J680*3600/Basis!$E$5)^2)*0.0098)/Basis!$E$10,((AJ680*(J680/Basis!$E$5)^AK680*(((MID(C680,9,3)*10)-144)/1000)*AL680+AM680*(J680/Basis!$E$5)^2)*0.0098)/Basis!$E$10)</f>
        <v>0.13511403254223261</v>
      </c>
      <c r="M680" s="85"/>
      <c r="N680" s="110">
        <v>1.3260000000000001</v>
      </c>
      <c r="O680" s="74"/>
      <c r="P680" s="73">
        <v>5914</v>
      </c>
      <c r="Q680" s="74"/>
      <c r="R680" s="75"/>
      <c r="S680" s="75"/>
      <c r="T680" s="75"/>
      <c r="U680" s="75"/>
      <c r="V680" s="75"/>
      <c r="W680" s="74"/>
      <c r="X680" s="76"/>
      <c r="Y680" s="76"/>
      <c r="Z680" s="76"/>
      <c r="AA680" s="76"/>
      <c r="AB680" s="76"/>
      <c r="AC680" s="74"/>
      <c r="AD680" s="77"/>
      <c r="AE680" s="77"/>
      <c r="AF680" s="77"/>
      <c r="AG680" s="77"/>
      <c r="AH680" s="77"/>
      <c r="AI680" s="68"/>
      <c r="AJ680" s="213">
        <v>1.2760000000000001E-4</v>
      </c>
      <c r="AK680" s="213">
        <v>1.7219</v>
      </c>
      <c r="AL680" s="213">
        <v>2</v>
      </c>
      <c r="AM680" s="213">
        <v>3.76611E-4</v>
      </c>
      <c r="AN680" s="74"/>
      <c r="AO680" s="73"/>
      <c r="AP680" s="73"/>
      <c r="AQ680" s="73"/>
      <c r="AR680" s="73"/>
      <c r="AS680" s="73"/>
      <c r="AT680" s="74"/>
      <c r="AU680" s="47"/>
      <c r="AV680" s="48"/>
    </row>
    <row r="681" spans="1:48" ht="12.75" customHeight="1" x14ac:dyDescent="0.25">
      <c r="A681" s="72" t="s">
        <v>23</v>
      </c>
      <c r="B681" s="43" t="s">
        <v>159</v>
      </c>
      <c r="C681" s="44" t="s">
        <v>831</v>
      </c>
      <c r="D681" s="45">
        <f>MROUND(MID($C681,6,3)/Basis!$E$3,0.5)</f>
        <v>35.5</v>
      </c>
      <c r="E681" s="45">
        <f>MROUND(MID($C681,9,3)/Basis!$E$3,0.5)</f>
        <v>78.5</v>
      </c>
      <c r="F681" s="124" t="s">
        <v>2948</v>
      </c>
      <c r="G681" s="45">
        <f>ROUND((ROUNDDOWN($F681/5,0)*5+1.8)/Basis!$E$3,1)</f>
        <v>8.6</v>
      </c>
      <c r="H681" s="120">
        <f>ROUND($P681*Basis!$E$2*((TaH-TrH)/LN(1/µ)/Basis!$E$7)^$N681*$AA$4*Glycol,0)</f>
        <v>15589</v>
      </c>
      <c r="I681" s="83">
        <f>ROUND(H681/(MID($C681,9,3)/Basis!$E$3/Basis!$E$9)*Basis!$E$11,0)</f>
        <v>2376</v>
      </c>
      <c r="J681" s="123">
        <f>IF(Basis!$E$1=1,ROUND(H681/((TaH-TrH)*1.163)/3600,3),ROUND(H681/(500*(TaH-TrH)),2))</f>
        <v>1.56</v>
      </c>
      <c r="K681" s="84"/>
      <c r="L681" s="177">
        <f>CHOOSE(Basis!$E$1,((AJ681*(J681*3600/Basis!$E$5)^AK681*(((MID(C681,9,3)*10)-144)/1000)*AL681+AM681*(J681*3600/Basis!$E$5)^2)*0.0098)/Basis!$E$10,((AJ681*(J681/Basis!$E$5)^AK681*(((MID(C681,9,3)*10)-144)/1000)*AL681+AM681*(J681/Basis!$E$5)^2)*0.0098)/Basis!$E$10)</f>
        <v>0.28706350349843851</v>
      </c>
      <c r="M681" s="85"/>
      <c r="N681" s="109">
        <v>1.518</v>
      </c>
      <c r="O681" s="68"/>
      <c r="P681" s="67">
        <v>7540</v>
      </c>
      <c r="Q681" s="68"/>
      <c r="R681" s="69"/>
      <c r="S681" s="69"/>
      <c r="T681" s="69"/>
      <c r="U681" s="69"/>
      <c r="V681" s="69"/>
      <c r="W681" s="68"/>
      <c r="X681" s="70"/>
      <c r="Y681" s="70"/>
      <c r="Z681" s="70"/>
      <c r="AA681" s="70"/>
      <c r="AB681" s="70"/>
      <c r="AC681" s="68"/>
      <c r="AD681" s="71"/>
      <c r="AE681" s="71"/>
      <c r="AF681" s="71"/>
      <c r="AG681" s="71"/>
      <c r="AH681" s="71"/>
      <c r="AI681" s="68"/>
      <c r="AJ681" s="214">
        <v>1.2760000000000001E-4</v>
      </c>
      <c r="AK681" s="214">
        <v>1.7219</v>
      </c>
      <c r="AL681" s="214">
        <v>4</v>
      </c>
      <c r="AM681" s="214">
        <v>5.1420100000000005E-4</v>
      </c>
      <c r="AN681" s="68"/>
      <c r="AO681" s="67"/>
      <c r="AP681" s="67"/>
      <c r="AQ681" s="67"/>
      <c r="AR681" s="67"/>
      <c r="AS681" s="67"/>
      <c r="AT681" s="68"/>
      <c r="AU681" s="49"/>
      <c r="AV681" s="50"/>
    </row>
    <row r="682" spans="1:48" ht="12.75" customHeight="1" x14ac:dyDescent="0.25">
      <c r="A682" s="72" t="s">
        <v>23</v>
      </c>
      <c r="B682" s="43" t="s">
        <v>159</v>
      </c>
      <c r="C682" s="44" t="s">
        <v>832</v>
      </c>
      <c r="D682" s="45">
        <f>MROUND(MID($C682,6,3)/Basis!$E$3,0.5)</f>
        <v>35.5</v>
      </c>
      <c r="E682" s="45">
        <f>MROUND(MID($C682,9,3)/Basis!$E$3,0.5)</f>
        <v>86.5</v>
      </c>
      <c r="F682" s="124" t="s">
        <v>2943</v>
      </c>
      <c r="G682" s="45">
        <f>ROUND((ROUNDDOWN($F682/5,0)*5+1.8)/Basis!$E$3,1)</f>
        <v>4.5999999999999996</v>
      </c>
      <c r="H682" s="120">
        <f>ROUND($P682*Basis!$E$2*((TaH-TrH)/LN(1/µ)/Basis!$E$7)^$N682*$AA$4*Glycol,0)</f>
        <v>6587</v>
      </c>
      <c r="I682" s="83">
        <f>ROUND(H682/(MID($C682,9,3)/Basis!$E$3/Basis!$E$9)*Basis!$E$11,0)</f>
        <v>913</v>
      </c>
      <c r="J682" s="123">
        <f>IF(Basis!$E$1=1,ROUND(H682/((TaH-TrH)*1.163)/3600,3),ROUND(H682/(500*(TaH-TrH)),2))</f>
        <v>0.66</v>
      </c>
      <c r="K682" s="84"/>
      <c r="L682" s="177">
        <f>CHOOSE(Basis!$E$1,((AJ682*(J682*3600/Basis!$E$5)^AK682*(((MID(C682,9,3)*10)-144)/1000)*AL682+AM682*(J682*3600/Basis!$E$5)^2)*0.0098)/Basis!$E$10,((AJ682*(J682/Basis!$E$5)^AK682*(((MID(C682,9,3)*10)-144)/1000)*AL682+AM682*(J682/Basis!$E$5)^2)*0.0098)/Basis!$E$10)</f>
        <v>5.8715136483732319E-2</v>
      </c>
      <c r="M682" s="85"/>
      <c r="N682" s="109">
        <v>1.3480000000000001</v>
      </c>
      <c r="O682" s="68"/>
      <c r="P682" s="67">
        <v>3012</v>
      </c>
      <c r="Q682" s="68"/>
      <c r="R682" s="69"/>
      <c r="S682" s="69"/>
      <c r="T682" s="69"/>
      <c r="U682" s="69"/>
      <c r="V682" s="69"/>
      <c r="W682" s="68"/>
      <c r="X682" s="70"/>
      <c r="Y682" s="70"/>
      <c r="Z682" s="70"/>
      <c r="AA682" s="70"/>
      <c r="AB682" s="70"/>
      <c r="AC682" s="68"/>
      <c r="AD682" s="71"/>
      <c r="AE682" s="71"/>
      <c r="AF682" s="71"/>
      <c r="AG682" s="71"/>
      <c r="AH682" s="71"/>
      <c r="AI682" s="68"/>
      <c r="AJ682" s="214">
        <v>3.9689999999999994E-4</v>
      </c>
      <c r="AK682" s="214">
        <v>1.7345999999999999</v>
      </c>
      <c r="AL682" s="214">
        <v>2</v>
      </c>
      <c r="AM682" s="214">
        <v>3.6734700000000002E-4</v>
      </c>
      <c r="AN682" s="68"/>
      <c r="AO682" s="67"/>
      <c r="AP682" s="67"/>
      <c r="AQ682" s="67"/>
      <c r="AR682" s="67"/>
      <c r="AS682" s="67"/>
      <c r="AT682" s="68"/>
      <c r="AU682" s="49"/>
      <c r="AV682" s="50"/>
    </row>
    <row r="683" spans="1:48" ht="12.75" customHeight="1" x14ac:dyDescent="0.25">
      <c r="A683" s="72" t="s">
        <v>23</v>
      </c>
      <c r="B683" s="43" t="s">
        <v>159</v>
      </c>
      <c r="C683" s="44" t="s">
        <v>833</v>
      </c>
      <c r="D683" s="45">
        <f>MROUND(MID($C683,6,3)/Basis!$E$3,0.5)</f>
        <v>35.5</v>
      </c>
      <c r="E683" s="45">
        <f>MROUND(MID($C683,9,3)/Basis!$E$3,0.5)</f>
        <v>86.5</v>
      </c>
      <c r="F683" s="124" t="s">
        <v>2946</v>
      </c>
      <c r="G683" s="45">
        <f>ROUND((ROUNDDOWN($F683/5,0)*5+1.8)/Basis!$E$3,1)</f>
        <v>4.5999999999999996</v>
      </c>
      <c r="H683" s="120">
        <f>ROUND($P683*Basis!$E$2*((TaH-TrH)/LN(1/µ)/Basis!$E$7)^$N683*$AA$4*Glycol,0)</f>
        <v>8222</v>
      </c>
      <c r="I683" s="83">
        <f>ROUND(H683/(MID($C683,9,3)/Basis!$E$3/Basis!$E$9)*Basis!$E$11,0)</f>
        <v>1139</v>
      </c>
      <c r="J683" s="123">
        <f>IF(Basis!$E$1=1,ROUND(H683/((TaH-TrH)*1.163)/3600,3),ROUND(H683/(500*(TaH-TrH)),2))</f>
        <v>0.82</v>
      </c>
      <c r="K683" s="84"/>
      <c r="L683" s="177">
        <f>CHOOSE(Basis!$E$1,((AJ683*(J683*3600/Basis!$E$5)^AK683*(((MID(C683,9,3)*10)-144)/1000)*AL683+AM683*(J683*3600/Basis!$E$5)^2)*0.0098)/Basis!$E$10,((AJ683*(J683/Basis!$E$5)^AK683*(((MID(C683,9,3)*10)-144)/1000)*AL683+AM683*(J683/Basis!$E$5)^2)*0.0098)/Basis!$E$10)</f>
        <v>0.15759229289230692</v>
      </c>
      <c r="M683" s="85"/>
      <c r="N683" s="110">
        <v>1.4339999999999999</v>
      </c>
      <c r="O683" s="74"/>
      <c r="P683" s="73">
        <v>3868</v>
      </c>
      <c r="Q683" s="74"/>
      <c r="R683" s="75"/>
      <c r="S683" s="75"/>
      <c r="T683" s="75"/>
      <c r="U683" s="75"/>
      <c r="V683" s="75"/>
      <c r="W683" s="74"/>
      <c r="X683" s="76"/>
      <c r="Y683" s="76"/>
      <c r="Z683" s="76"/>
      <c r="AA683" s="76"/>
      <c r="AB683" s="76"/>
      <c r="AC683" s="74"/>
      <c r="AD683" s="77"/>
      <c r="AE683" s="77"/>
      <c r="AF683" s="77"/>
      <c r="AG683" s="77"/>
      <c r="AH683" s="77"/>
      <c r="AI683" s="68"/>
      <c r="AJ683" s="213">
        <v>3.9689999999999994E-4</v>
      </c>
      <c r="AK683" s="213">
        <v>1.7345999999999999</v>
      </c>
      <c r="AL683" s="213">
        <v>4</v>
      </c>
      <c r="AM683" s="213">
        <v>5.7428799999999995E-4</v>
      </c>
      <c r="AN683" s="74"/>
      <c r="AO683" s="73"/>
      <c r="AP683" s="73"/>
      <c r="AQ683" s="73"/>
      <c r="AR683" s="73"/>
      <c r="AS683" s="73"/>
      <c r="AT683" s="74"/>
      <c r="AU683" s="47"/>
      <c r="AV683" s="48"/>
    </row>
    <row r="684" spans="1:48" ht="12.75" customHeight="1" x14ac:dyDescent="0.25">
      <c r="A684" s="72" t="s">
        <v>23</v>
      </c>
      <c r="B684" s="43" t="s">
        <v>159</v>
      </c>
      <c r="C684" s="44" t="s">
        <v>834</v>
      </c>
      <c r="D684" s="45">
        <f>MROUND(MID($C684,6,3)/Basis!$E$3,0.5)</f>
        <v>35.5</v>
      </c>
      <c r="E684" s="45">
        <f>MROUND(MID($C684,9,3)/Basis!$E$3,0.5)</f>
        <v>86.5</v>
      </c>
      <c r="F684" s="124" t="s">
        <v>2944</v>
      </c>
      <c r="G684" s="45">
        <f>ROUND((ROUNDDOWN($F684/5,0)*5+1.8)/Basis!$E$3,1)</f>
        <v>6.6</v>
      </c>
      <c r="H684" s="120">
        <f>ROUND($P684*Basis!$E$2*((TaH-TrH)/LN(1/µ)/Basis!$E$7)^$N684*$AA$4*Glycol,0)</f>
        <v>10274</v>
      </c>
      <c r="I684" s="83">
        <f>ROUND(H684/(MID($C684,9,3)/Basis!$E$3/Basis!$E$9)*Basis!$E$11,0)</f>
        <v>1423</v>
      </c>
      <c r="J684" s="123">
        <f>IF(Basis!$E$1=1,ROUND(H684/((TaH-TrH)*1.163)/3600,3),ROUND(H684/(500*(TaH-TrH)),2))</f>
        <v>1.03</v>
      </c>
      <c r="K684" s="84"/>
      <c r="L684" s="177">
        <f>CHOOSE(Basis!$E$1,((AJ684*(J684*3600/Basis!$E$5)^AK684*(((MID(C684,9,3)*10)-144)/1000)*AL684+AM684*(J684*3600/Basis!$E$5)^2)*0.0098)/Basis!$E$10,((AJ684*(J684/Basis!$E$5)^AK684*(((MID(C684,9,3)*10)-144)/1000)*AL684+AM684*(J684/Basis!$E$5)^2)*0.0098)/Basis!$E$10)</f>
        <v>0.11664903917876361</v>
      </c>
      <c r="M684" s="85"/>
      <c r="N684" s="110">
        <v>1.3260000000000001</v>
      </c>
      <c r="O684" s="74"/>
      <c r="P684" s="73">
        <v>4664</v>
      </c>
      <c r="Q684" s="74"/>
      <c r="R684" s="75"/>
      <c r="S684" s="75"/>
      <c r="T684" s="75"/>
      <c r="U684" s="75"/>
      <c r="V684" s="75"/>
      <c r="W684" s="74"/>
      <c r="X684" s="76"/>
      <c r="Y684" s="76"/>
      <c r="Z684" s="76"/>
      <c r="AA684" s="76"/>
      <c r="AB684" s="76"/>
      <c r="AC684" s="74"/>
      <c r="AD684" s="77"/>
      <c r="AE684" s="77"/>
      <c r="AF684" s="77"/>
      <c r="AG684" s="77"/>
      <c r="AH684" s="77"/>
      <c r="AI684" s="68"/>
      <c r="AJ684" s="213">
        <v>2.0829999999999999E-4</v>
      </c>
      <c r="AK684" s="213">
        <v>1.724</v>
      </c>
      <c r="AL684" s="213">
        <v>2</v>
      </c>
      <c r="AM684" s="213">
        <v>4.6182900000000003E-4</v>
      </c>
      <c r="AN684" s="74"/>
      <c r="AO684" s="73"/>
      <c r="AP684" s="73"/>
      <c r="AQ684" s="73"/>
      <c r="AR684" s="73"/>
      <c r="AS684" s="73"/>
      <c r="AT684" s="74"/>
      <c r="AU684" s="47"/>
      <c r="AV684" s="48"/>
    </row>
    <row r="685" spans="1:48" ht="12.75" customHeight="1" x14ac:dyDescent="0.25">
      <c r="A685" s="72" t="s">
        <v>23</v>
      </c>
      <c r="B685" s="43" t="s">
        <v>159</v>
      </c>
      <c r="C685" s="44" t="s">
        <v>835</v>
      </c>
      <c r="D685" s="45">
        <f>MROUND(MID($C685,6,3)/Basis!$E$3,0.5)</f>
        <v>35.5</v>
      </c>
      <c r="E685" s="45">
        <f>MROUND(MID($C685,9,3)/Basis!$E$3,0.5)</f>
        <v>86.5</v>
      </c>
      <c r="F685" s="124" t="s">
        <v>2947</v>
      </c>
      <c r="G685" s="45">
        <f>ROUND((ROUNDDOWN($F685/5,0)*5+1.8)/Basis!$E$3,1)</f>
        <v>6.6</v>
      </c>
      <c r="H685" s="120">
        <f>ROUND($P685*Basis!$E$2*((TaH-TrH)/LN(1/µ)/Basis!$E$7)^$N685*$AA$4*Glycol,0)</f>
        <v>11956</v>
      </c>
      <c r="I685" s="83">
        <f>ROUND(H685/(MID($C685,9,3)/Basis!$E$3/Basis!$E$9)*Basis!$E$11,0)</f>
        <v>1656</v>
      </c>
      <c r="J685" s="123">
        <f>IF(Basis!$E$1=1,ROUND(H685/((TaH-TrH)*1.163)/3600,3),ROUND(H685/(500*(TaH-TrH)),2))</f>
        <v>1.2</v>
      </c>
      <c r="K685" s="84"/>
      <c r="L685" s="177">
        <f>CHOOSE(Basis!$E$1,((AJ685*(J685*3600/Basis!$E$5)^AK685*(((MID(C685,9,3)*10)-144)/1000)*AL685+AM685*(J685*3600/Basis!$E$5)^2)*0.0098)/Basis!$E$10,((AJ685*(J685/Basis!$E$5)^AK685*(((MID(C685,9,3)*10)-144)/1000)*AL685+AM685*(J685/Basis!$E$5)^2)*0.0098)/Basis!$E$10)</f>
        <v>0.42679928858617971</v>
      </c>
      <c r="M685" s="85"/>
      <c r="N685" s="109">
        <v>1.48</v>
      </c>
      <c r="O685" s="68"/>
      <c r="P685" s="67">
        <v>5711</v>
      </c>
      <c r="Q685" s="68"/>
      <c r="R685" s="69"/>
      <c r="S685" s="69"/>
      <c r="T685" s="69"/>
      <c r="U685" s="69"/>
      <c r="V685" s="69"/>
      <c r="W685" s="68"/>
      <c r="X685" s="70"/>
      <c r="Y685" s="70"/>
      <c r="Z685" s="70"/>
      <c r="AA685" s="70"/>
      <c r="AB685" s="70"/>
      <c r="AC685" s="68"/>
      <c r="AD685" s="71"/>
      <c r="AE685" s="71"/>
      <c r="AF685" s="71"/>
      <c r="AG685" s="71"/>
      <c r="AH685" s="71"/>
      <c r="AI685" s="68"/>
      <c r="AJ685" s="214">
        <v>2.0829999999999999E-4</v>
      </c>
      <c r="AK685" s="214">
        <v>1.724</v>
      </c>
      <c r="AL685" s="214">
        <v>4</v>
      </c>
      <c r="AM685" s="214">
        <v>1.392796E-3</v>
      </c>
      <c r="AN685" s="68"/>
      <c r="AO685" s="67"/>
      <c r="AP685" s="67"/>
      <c r="AQ685" s="67"/>
      <c r="AR685" s="67"/>
      <c r="AS685" s="67"/>
      <c r="AT685" s="68"/>
      <c r="AU685" s="49"/>
      <c r="AV685" s="50"/>
    </row>
    <row r="686" spans="1:48" ht="12.75" customHeight="1" x14ac:dyDescent="0.25">
      <c r="A686" s="72" t="s">
        <v>23</v>
      </c>
      <c r="B686" s="43" t="s">
        <v>159</v>
      </c>
      <c r="C686" s="44" t="s">
        <v>836</v>
      </c>
      <c r="D686" s="45">
        <f>MROUND(MID($C686,6,3)/Basis!$E$3,0.5)</f>
        <v>35.5</v>
      </c>
      <c r="E686" s="45">
        <f>MROUND(MID($C686,9,3)/Basis!$E$3,0.5)</f>
        <v>86.5</v>
      </c>
      <c r="F686" s="124" t="s">
        <v>2945</v>
      </c>
      <c r="G686" s="45">
        <f>ROUND((ROUNDDOWN($F686/5,0)*5+1.8)/Basis!$E$3,1)</f>
        <v>8.6</v>
      </c>
      <c r="H686" s="120">
        <f>ROUND($P686*Basis!$E$2*((TaH-TrH)/LN(1/µ)/Basis!$E$7)^$N686*$AA$4*Glycol,0)</f>
        <v>14329</v>
      </c>
      <c r="I686" s="83">
        <f>ROUND(H686/(MID($C686,9,3)/Basis!$E$3/Basis!$E$9)*Basis!$E$11,0)</f>
        <v>1985</v>
      </c>
      <c r="J686" s="123">
        <f>IF(Basis!$E$1=1,ROUND(H686/((TaH-TrH)*1.163)/3600,3),ROUND(H686/(500*(TaH-TrH)),2))</f>
        <v>1.43</v>
      </c>
      <c r="K686" s="84"/>
      <c r="L686" s="177">
        <f>CHOOSE(Basis!$E$1,((AJ686*(J686*3600/Basis!$E$5)^AK686*(((MID(C686,9,3)*10)-144)/1000)*AL686+AM686*(J686*3600/Basis!$E$5)^2)*0.0098)/Basis!$E$10,((AJ686*(J686/Basis!$E$5)^AK686*(((MID(C686,9,3)*10)-144)/1000)*AL686+AM686*(J686/Basis!$E$5)^2)*0.0098)/Basis!$E$10)</f>
        <v>0.16613426351577867</v>
      </c>
      <c r="M686" s="85"/>
      <c r="N686" s="109">
        <v>1.3260000000000001</v>
      </c>
      <c r="O686" s="68"/>
      <c r="P686" s="67">
        <v>6505</v>
      </c>
      <c r="Q686" s="68"/>
      <c r="R686" s="69"/>
      <c r="S686" s="69"/>
      <c r="T686" s="69"/>
      <c r="U686" s="69"/>
      <c r="V686" s="69"/>
      <c r="W686" s="68"/>
      <c r="X686" s="70"/>
      <c r="Y686" s="70"/>
      <c r="Z686" s="70"/>
      <c r="AA686" s="70"/>
      <c r="AB686" s="70"/>
      <c r="AC686" s="68"/>
      <c r="AD686" s="71"/>
      <c r="AE686" s="71"/>
      <c r="AF686" s="71"/>
      <c r="AG686" s="71"/>
      <c r="AH686" s="71"/>
      <c r="AI686" s="68"/>
      <c r="AJ686" s="214">
        <v>1.2760000000000001E-4</v>
      </c>
      <c r="AK686" s="214">
        <v>1.7219</v>
      </c>
      <c r="AL686" s="214">
        <v>2</v>
      </c>
      <c r="AM686" s="214">
        <v>3.76611E-4</v>
      </c>
      <c r="AN686" s="68"/>
      <c r="AO686" s="67"/>
      <c r="AP686" s="67"/>
      <c r="AQ686" s="67"/>
      <c r="AR686" s="67"/>
      <c r="AS686" s="67"/>
      <c r="AT686" s="68"/>
      <c r="AU686" s="49"/>
      <c r="AV686" s="50"/>
    </row>
    <row r="687" spans="1:48" ht="12.75" customHeight="1" x14ac:dyDescent="0.25">
      <c r="A687" s="72" t="s">
        <v>23</v>
      </c>
      <c r="B687" s="43" t="s">
        <v>159</v>
      </c>
      <c r="C687" s="44" t="s">
        <v>837</v>
      </c>
      <c r="D687" s="45">
        <f>MROUND(MID($C687,6,3)/Basis!$E$3,0.5)</f>
        <v>35.5</v>
      </c>
      <c r="E687" s="45">
        <f>MROUND(MID($C687,9,3)/Basis!$E$3,0.5)</f>
        <v>86.5</v>
      </c>
      <c r="F687" s="124" t="s">
        <v>2948</v>
      </c>
      <c r="G687" s="45">
        <f>ROUND((ROUNDDOWN($F687/5,0)*5+1.8)/Basis!$E$3,1)</f>
        <v>8.6</v>
      </c>
      <c r="H687" s="120">
        <f>ROUND($P687*Basis!$E$2*((TaH-TrH)/LN(1/µ)/Basis!$E$7)^$N687*$AA$4*Glycol,0)</f>
        <v>17148</v>
      </c>
      <c r="I687" s="83">
        <f>ROUND(H687/(MID($C687,9,3)/Basis!$E$3/Basis!$E$9)*Basis!$E$11,0)</f>
        <v>2376</v>
      </c>
      <c r="J687" s="123">
        <f>IF(Basis!$E$1=1,ROUND(H687/((TaH-TrH)*1.163)/3600,3),ROUND(H687/(500*(TaH-TrH)),2))</f>
        <v>1.71</v>
      </c>
      <c r="K687" s="84"/>
      <c r="L687" s="177">
        <f>CHOOSE(Basis!$E$1,((AJ687*(J687*3600/Basis!$E$5)^AK687*(((MID(C687,9,3)*10)-144)/1000)*AL687+AM687*(J687*3600/Basis!$E$5)^2)*0.0098)/Basis!$E$10,((AJ687*(J687/Basis!$E$5)^AK687*(((MID(C687,9,3)*10)-144)/1000)*AL687+AM687*(J687/Basis!$E$5)^2)*0.0098)/Basis!$E$10)</f>
        <v>0.35221202007914931</v>
      </c>
      <c r="M687" s="85"/>
      <c r="N687" s="110">
        <v>1.518</v>
      </c>
      <c r="O687" s="74"/>
      <c r="P687" s="73">
        <v>8294</v>
      </c>
      <c r="Q687" s="74"/>
      <c r="R687" s="75"/>
      <c r="S687" s="75"/>
      <c r="T687" s="75"/>
      <c r="U687" s="75"/>
      <c r="V687" s="75"/>
      <c r="W687" s="74"/>
      <c r="X687" s="76"/>
      <c r="Y687" s="76"/>
      <c r="Z687" s="76"/>
      <c r="AA687" s="76"/>
      <c r="AB687" s="76"/>
      <c r="AC687" s="74"/>
      <c r="AD687" s="77"/>
      <c r="AE687" s="77"/>
      <c r="AF687" s="77"/>
      <c r="AG687" s="77"/>
      <c r="AH687" s="77"/>
      <c r="AI687" s="68"/>
      <c r="AJ687" s="213">
        <v>1.2760000000000001E-4</v>
      </c>
      <c r="AK687" s="213">
        <v>1.7219</v>
      </c>
      <c r="AL687" s="213">
        <v>4</v>
      </c>
      <c r="AM687" s="213">
        <v>5.1420100000000005E-4</v>
      </c>
      <c r="AN687" s="74"/>
      <c r="AO687" s="73"/>
      <c r="AP687" s="73"/>
      <c r="AQ687" s="73"/>
      <c r="AR687" s="73"/>
      <c r="AS687" s="73"/>
      <c r="AT687" s="74"/>
      <c r="AU687" s="47"/>
      <c r="AV687" s="48"/>
    </row>
    <row r="688" spans="1:48" ht="12.75" customHeight="1" x14ac:dyDescent="0.25">
      <c r="A688" s="72" t="s">
        <v>23</v>
      </c>
      <c r="B688" s="43" t="s">
        <v>159</v>
      </c>
      <c r="C688" s="44" t="s">
        <v>838</v>
      </c>
      <c r="D688" s="45">
        <f>MROUND(MID($C688,6,3)/Basis!$E$3,0.5)</f>
        <v>35.5</v>
      </c>
      <c r="E688" s="45">
        <f>MROUND(MID($C688,9,3)/Basis!$E$3,0.5)</f>
        <v>94.5</v>
      </c>
      <c r="F688" s="124" t="s">
        <v>2943</v>
      </c>
      <c r="G688" s="45">
        <f>ROUND((ROUNDDOWN($F688/5,0)*5+1.8)/Basis!$E$3,1)</f>
        <v>4.5999999999999996</v>
      </c>
      <c r="H688" s="120">
        <f>ROUND($P688*Basis!$E$2*((TaH-TrH)/LN(1/µ)/Basis!$E$7)^$N688*$AA$4*Glycol,0)</f>
        <v>7186</v>
      </c>
      <c r="I688" s="83">
        <f>ROUND(H688/(MID($C688,9,3)/Basis!$E$3/Basis!$E$9)*Basis!$E$11,0)</f>
        <v>913</v>
      </c>
      <c r="J688" s="123">
        <f>IF(Basis!$E$1=1,ROUND(H688/((TaH-TrH)*1.163)/3600,3),ROUND(H688/(500*(TaH-TrH)),2))</f>
        <v>0.72</v>
      </c>
      <c r="K688" s="84"/>
      <c r="L688" s="177">
        <f>CHOOSE(Basis!$E$1,((AJ688*(J688*3600/Basis!$E$5)^AK688*(((MID(C688,9,3)*10)-144)/1000)*AL688+AM688*(J688*3600/Basis!$E$5)^2)*0.0098)/Basis!$E$10,((AJ688*(J688/Basis!$E$5)^AK688*(((MID(C688,9,3)*10)-144)/1000)*AL688+AM688*(J688/Basis!$E$5)^2)*0.0098)/Basis!$E$10)</f>
        <v>7.2602851952025524E-2</v>
      </c>
      <c r="M688" s="85"/>
      <c r="N688" s="110">
        <v>1.3480000000000001</v>
      </c>
      <c r="O688" s="74"/>
      <c r="P688" s="73">
        <v>3286</v>
      </c>
      <c r="Q688" s="74"/>
      <c r="R688" s="75"/>
      <c r="S688" s="75"/>
      <c r="T688" s="75"/>
      <c r="U688" s="75"/>
      <c r="V688" s="75"/>
      <c r="W688" s="74"/>
      <c r="X688" s="76"/>
      <c r="Y688" s="76"/>
      <c r="Z688" s="76"/>
      <c r="AA688" s="76"/>
      <c r="AB688" s="76"/>
      <c r="AC688" s="74"/>
      <c r="AD688" s="77"/>
      <c r="AE688" s="77"/>
      <c r="AF688" s="77"/>
      <c r="AG688" s="77"/>
      <c r="AH688" s="77"/>
      <c r="AI688" s="68"/>
      <c r="AJ688" s="213">
        <v>3.9689999999999994E-4</v>
      </c>
      <c r="AK688" s="213">
        <v>1.7345999999999999</v>
      </c>
      <c r="AL688" s="213">
        <v>2</v>
      </c>
      <c r="AM688" s="213">
        <v>3.6734700000000002E-4</v>
      </c>
      <c r="AN688" s="74"/>
      <c r="AO688" s="73"/>
      <c r="AP688" s="73"/>
      <c r="AQ688" s="73"/>
      <c r="AR688" s="73"/>
      <c r="AS688" s="73"/>
      <c r="AT688" s="74"/>
      <c r="AU688" s="47"/>
      <c r="AV688" s="48"/>
    </row>
    <row r="689" spans="1:48" ht="12.75" customHeight="1" x14ac:dyDescent="0.25">
      <c r="A689" s="72" t="s">
        <v>23</v>
      </c>
      <c r="B689" s="43" t="s">
        <v>159</v>
      </c>
      <c r="C689" s="44" t="s">
        <v>839</v>
      </c>
      <c r="D689" s="45">
        <f>MROUND(MID($C689,6,3)/Basis!$E$3,0.5)</f>
        <v>35.5</v>
      </c>
      <c r="E689" s="45">
        <f>MROUND(MID($C689,9,3)/Basis!$E$3,0.5)</f>
        <v>94.5</v>
      </c>
      <c r="F689" s="124" t="s">
        <v>2946</v>
      </c>
      <c r="G689" s="45">
        <f>ROUND((ROUNDDOWN($F689/5,0)*5+1.8)/Basis!$E$3,1)</f>
        <v>4.5999999999999996</v>
      </c>
      <c r="H689" s="120">
        <f>ROUND($P689*Basis!$E$2*((TaH-TrH)/LN(1/µ)/Basis!$E$7)^$N689*$AA$4*Glycol,0)</f>
        <v>8968</v>
      </c>
      <c r="I689" s="83">
        <f>ROUND(H689/(MID($C689,9,3)/Basis!$E$3/Basis!$E$9)*Basis!$E$11,0)</f>
        <v>1139</v>
      </c>
      <c r="J689" s="123">
        <f>IF(Basis!$E$1=1,ROUND(H689/((TaH-TrH)*1.163)/3600,3),ROUND(H689/(500*(TaH-TrH)),2))</f>
        <v>0.9</v>
      </c>
      <c r="K689" s="84"/>
      <c r="L689" s="177">
        <f>CHOOSE(Basis!$E$1,((AJ689*(J689*3600/Basis!$E$5)^AK689*(((MID(C689,9,3)*10)-144)/1000)*AL689+AM689*(J689*3600/Basis!$E$5)^2)*0.0098)/Basis!$E$10,((AJ689*(J689/Basis!$E$5)^AK689*(((MID(C689,9,3)*10)-144)/1000)*AL689+AM689*(J689/Basis!$E$5)^2)*0.0098)/Basis!$E$10)</f>
        <v>0.19769424495721491</v>
      </c>
      <c r="M689" s="85"/>
      <c r="N689" s="109">
        <v>1.4339999999999999</v>
      </c>
      <c r="O689" s="68"/>
      <c r="P689" s="67">
        <v>4219</v>
      </c>
      <c r="Q689" s="68"/>
      <c r="R689" s="69"/>
      <c r="S689" s="69"/>
      <c r="T689" s="69"/>
      <c r="U689" s="69"/>
      <c r="V689" s="69"/>
      <c r="W689" s="68"/>
      <c r="X689" s="70"/>
      <c r="Y689" s="70"/>
      <c r="Z689" s="70"/>
      <c r="AA689" s="70"/>
      <c r="AB689" s="70"/>
      <c r="AC689" s="68"/>
      <c r="AD689" s="71"/>
      <c r="AE689" s="71"/>
      <c r="AF689" s="71"/>
      <c r="AG689" s="71"/>
      <c r="AH689" s="71"/>
      <c r="AI689" s="68"/>
      <c r="AJ689" s="214">
        <v>3.9689999999999994E-4</v>
      </c>
      <c r="AK689" s="214">
        <v>1.7345999999999999</v>
      </c>
      <c r="AL689" s="214">
        <v>4</v>
      </c>
      <c r="AM689" s="214">
        <v>5.7428799999999995E-4</v>
      </c>
      <c r="AN689" s="68"/>
      <c r="AO689" s="67"/>
      <c r="AP689" s="67"/>
      <c r="AQ689" s="67"/>
      <c r="AR689" s="67"/>
      <c r="AS689" s="67"/>
      <c r="AT689" s="68"/>
      <c r="AU689" s="49"/>
      <c r="AV689" s="50"/>
    </row>
    <row r="690" spans="1:48" ht="12.75" customHeight="1" x14ac:dyDescent="0.25">
      <c r="A690" s="72" t="s">
        <v>23</v>
      </c>
      <c r="B690" s="43" t="s">
        <v>159</v>
      </c>
      <c r="C690" s="44" t="s">
        <v>840</v>
      </c>
      <c r="D690" s="45">
        <f>MROUND(MID($C690,6,3)/Basis!$E$3,0.5)</f>
        <v>35.5</v>
      </c>
      <c r="E690" s="45">
        <f>MROUND(MID($C690,9,3)/Basis!$E$3,0.5)</f>
        <v>94.5</v>
      </c>
      <c r="F690" s="124" t="s">
        <v>2944</v>
      </c>
      <c r="G690" s="45">
        <f>ROUND((ROUNDDOWN($F690/5,0)*5+1.8)/Basis!$E$3,1)</f>
        <v>6.6</v>
      </c>
      <c r="H690" s="120">
        <f>ROUND($P690*Basis!$E$2*((TaH-TrH)/LN(1/µ)/Basis!$E$7)^$N690*$AA$4*Glycol,0)</f>
        <v>11208</v>
      </c>
      <c r="I690" s="83">
        <f>ROUND(H690/(MID($C690,9,3)/Basis!$E$3/Basis!$E$9)*Basis!$E$11,0)</f>
        <v>1423</v>
      </c>
      <c r="J690" s="123">
        <f>IF(Basis!$E$1=1,ROUND(H690/((TaH-TrH)*1.163)/3600,3),ROUND(H690/(500*(TaH-TrH)),2))</f>
        <v>1.1200000000000001</v>
      </c>
      <c r="K690" s="84"/>
      <c r="L690" s="177">
        <f>CHOOSE(Basis!$E$1,((AJ690*(J690*3600/Basis!$E$5)^AK690*(((MID(C690,9,3)*10)-144)/1000)*AL690+AM690*(J690*3600/Basis!$E$5)^2)*0.0098)/Basis!$E$10,((AJ690*(J690/Basis!$E$5)^AK690*(((MID(C690,9,3)*10)-144)/1000)*AL690+AM690*(J690/Basis!$E$5)^2)*0.0098)/Basis!$E$10)</f>
        <v>0.14082809027339224</v>
      </c>
      <c r="M690" s="85"/>
      <c r="N690" s="109">
        <v>1.3260000000000001</v>
      </c>
      <c r="O690" s="68"/>
      <c r="P690" s="67">
        <v>5088</v>
      </c>
      <c r="Q690" s="68"/>
      <c r="R690" s="69"/>
      <c r="S690" s="69"/>
      <c r="T690" s="69"/>
      <c r="U690" s="69"/>
      <c r="V690" s="69"/>
      <c r="W690" s="68"/>
      <c r="X690" s="70"/>
      <c r="Y690" s="70"/>
      <c r="Z690" s="70"/>
      <c r="AA690" s="70"/>
      <c r="AB690" s="70"/>
      <c r="AC690" s="68"/>
      <c r="AD690" s="71"/>
      <c r="AE690" s="71"/>
      <c r="AF690" s="71"/>
      <c r="AG690" s="71"/>
      <c r="AH690" s="71"/>
      <c r="AI690" s="68"/>
      <c r="AJ690" s="214">
        <v>2.0829999999999999E-4</v>
      </c>
      <c r="AK690" s="214">
        <v>1.724</v>
      </c>
      <c r="AL690" s="214">
        <v>2</v>
      </c>
      <c r="AM690" s="214">
        <v>4.6182900000000003E-4</v>
      </c>
      <c r="AN690" s="68"/>
      <c r="AO690" s="67"/>
      <c r="AP690" s="67"/>
      <c r="AQ690" s="67"/>
      <c r="AR690" s="67"/>
      <c r="AS690" s="67"/>
      <c r="AT690" s="68"/>
      <c r="AU690" s="49"/>
      <c r="AV690" s="50"/>
    </row>
    <row r="691" spans="1:48" ht="12.75" customHeight="1" x14ac:dyDescent="0.25">
      <c r="A691" s="72" t="s">
        <v>23</v>
      </c>
      <c r="B691" s="43" t="s">
        <v>159</v>
      </c>
      <c r="C691" s="44" t="s">
        <v>841</v>
      </c>
      <c r="D691" s="45">
        <f>MROUND(MID($C691,6,3)/Basis!$E$3,0.5)</f>
        <v>35.5</v>
      </c>
      <c r="E691" s="45">
        <f>MROUND(MID($C691,9,3)/Basis!$E$3,0.5)</f>
        <v>94.5</v>
      </c>
      <c r="F691" s="124" t="s">
        <v>2947</v>
      </c>
      <c r="G691" s="45">
        <f>ROUND((ROUNDDOWN($F691/5,0)*5+1.8)/Basis!$E$3,1)</f>
        <v>6.6</v>
      </c>
      <c r="H691" s="120">
        <f>ROUND($P691*Basis!$E$2*((TaH-TrH)/LN(1/µ)/Basis!$E$7)^$N691*$AA$4*Glycol,0)</f>
        <v>13043</v>
      </c>
      <c r="I691" s="83">
        <f>ROUND(H691/(MID($C691,9,3)/Basis!$E$3/Basis!$E$9)*Basis!$E$11,0)</f>
        <v>1656</v>
      </c>
      <c r="J691" s="123">
        <f>IF(Basis!$E$1=1,ROUND(H691/((TaH-TrH)*1.163)/3600,3),ROUND(H691/(500*(TaH-TrH)),2))</f>
        <v>1.3</v>
      </c>
      <c r="K691" s="84"/>
      <c r="L691" s="177">
        <f>CHOOSE(Basis!$E$1,((AJ691*(J691*3600/Basis!$E$5)^AK691*(((MID(C691,9,3)*10)-144)/1000)*AL691+AM691*(J691*3600/Basis!$E$5)^2)*0.0098)/Basis!$E$10,((AJ691*(J691/Basis!$E$5)^AK691*(((MID(C691,9,3)*10)-144)/1000)*AL691+AM691*(J691/Basis!$E$5)^2)*0.0098)/Basis!$E$10)</f>
        <v>0.50851067272106298</v>
      </c>
      <c r="M691" s="85"/>
      <c r="N691" s="110">
        <v>1.48</v>
      </c>
      <c r="O691" s="74"/>
      <c r="P691" s="73">
        <v>6230</v>
      </c>
      <c r="Q691" s="74"/>
      <c r="R691" s="75"/>
      <c r="S691" s="75"/>
      <c r="T691" s="75"/>
      <c r="U691" s="75"/>
      <c r="V691" s="75"/>
      <c r="W691" s="74"/>
      <c r="X691" s="76"/>
      <c r="Y691" s="76"/>
      <c r="Z691" s="76"/>
      <c r="AA691" s="76"/>
      <c r="AB691" s="76"/>
      <c r="AC691" s="74"/>
      <c r="AD691" s="77"/>
      <c r="AE691" s="77"/>
      <c r="AF691" s="77"/>
      <c r="AG691" s="77"/>
      <c r="AH691" s="77"/>
      <c r="AI691" s="68"/>
      <c r="AJ691" s="213">
        <v>2.0829999999999999E-4</v>
      </c>
      <c r="AK691" s="213">
        <v>1.724</v>
      </c>
      <c r="AL691" s="213">
        <v>4</v>
      </c>
      <c r="AM691" s="213">
        <v>1.392796E-3</v>
      </c>
      <c r="AN691" s="74"/>
      <c r="AO691" s="73"/>
      <c r="AP691" s="73"/>
      <c r="AQ691" s="73"/>
      <c r="AR691" s="73"/>
      <c r="AS691" s="73"/>
      <c r="AT691" s="74"/>
      <c r="AU691" s="47"/>
      <c r="AV691" s="48"/>
    </row>
    <row r="692" spans="1:48" ht="12.75" customHeight="1" x14ac:dyDescent="0.25">
      <c r="A692" s="72" t="s">
        <v>23</v>
      </c>
      <c r="B692" s="43" t="s">
        <v>159</v>
      </c>
      <c r="C692" s="44" t="s">
        <v>842</v>
      </c>
      <c r="D692" s="45">
        <f>MROUND(MID($C692,6,3)/Basis!$E$3,0.5)</f>
        <v>35.5</v>
      </c>
      <c r="E692" s="45">
        <f>MROUND(MID($C692,9,3)/Basis!$E$3,0.5)</f>
        <v>94.5</v>
      </c>
      <c r="F692" s="124" t="s">
        <v>2945</v>
      </c>
      <c r="G692" s="45">
        <f>ROUND((ROUNDDOWN($F692/5,0)*5+1.8)/Basis!$E$3,1)</f>
        <v>8.6</v>
      </c>
      <c r="H692" s="120">
        <f>ROUND($P692*Basis!$E$2*((TaH-TrH)/LN(1/µ)/Basis!$E$7)^$N692*$AA$4*Glycol,0)</f>
        <v>15633</v>
      </c>
      <c r="I692" s="83">
        <f>ROUND(H692/(MID($C692,9,3)/Basis!$E$3/Basis!$E$9)*Basis!$E$11,0)</f>
        <v>1985</v>
      </c>
      <c r="J692" s="123">
        <f>IF(Basis!$E$1=1,ROUND(H692/((TaH-TrH)*1.163)/3600,3),ROUND(H692/(500*(TaH-TrH)),2))</f>
        <v>1.56</v>
      </c>
      <c r="K692" s="84"/>
      <c r="L692" s="177">
        <f>CHOOSE(Basis!$E$1,((AJ692*(J692*3600/Basis!$E$5)^AK692*(((MID(C692,9,3)*10)-144)/1000)*AL692+AM692*(J692*3600/Basis!$E$5)^2)*0.0098)/Basis!$E$10,((AJ692*(J692/Basis!$E$5)^AK692*(((MID(C692,9,3)*10)-144)/1000)*AL692+AM692*(J692/Basis!$E$5)^2)*0.0098)/Basis!$E$10)</f>
        <v>0.20077716658203487</v>
      </c>
      <c r="M692" s="85"/>
      <c r="N692" s="110">
        <v>1.3260000000000001</v>
      </c>
      <c r="O692" s="74"/>
      <c r="P692" s="73">
        <v>7097</v>
      </c>
      <c r="Q692" s="74"/>
      <c r="R692" s="75"/>
      <c r="S692" s="75"/>
      <c r="T692" s="75"/>
      <c r="U692" s="75"/>
      <c r="V692" s="75"/>
      <c r="W692" s="74"/>
      <c r="X692" s="76"/>
      <c r="Y692" s="76"/>
      <c r="Z692" s="76"/>
      <c r="AA692" s="76"/>
      <c r="AB692" s="76"/>
      <c r="AC692" s="74"/>
      <c r="AD692" s="77"/>
      <c r="AE692" s="77"/>
      <c r="AF692" s="77"/>
      <c r="AG692" s="77"/>
      <c r="AH692" s="77"/>
      <c r="AI692" s="68"/>
      <c r="AJ692" s="213">
        <v>1.2760000000000001E-4</v>
      </c>
      <c r="AK692" s="213">
        <v>1.7219</v>
      </c>
      <c r="AL692" s="213">
        <v>2</v>
      </c>
      <c r="AM692" s="213">
        <v>3.76611E-4</v>
      </c>
      <c r="AN692" s="74"/>
      <c r="AO692" s="73"/>
      <c r="AP692" s="73"/>
      <c r="AQ692" s="73"/>
      <c r="AR692" s="73"/>
      <c r="AS692" s="73"/>
      <c r="AT692" s="74"/>
      <c r="AU692" s="47"/>
      <c r="AV692" s="48"/>
    </row>
    <row r="693" spans="1:48" ht="12.75" customHeight="1" x14ac:dyDescent="0.25">
      <c r="A693" s="72" t="s">
        <v>23</v>
      </c>
      <c r="B693" s="43" t="s">
        <v>159</v>
      </c>
      <c r="C693" s="44" t="s">
        <v>843</v>
      </c>
      <c r="D693" s="45">
        <f>MROUND(MID($C693,6,3)/Basis!$E$3,0.5)</f>
        <v>35.5</v>
      </c>
      <c r="E693" s="45">
        <f>MROUND(MID($C693,9,3)/Basis!$E$3,0.5)</f>
        <v>94.5</v>
      </c>
      <c r="F693" s="124" t="s">
        <v>2948</v>
      </c>
      <c r="G693" s="45">
        <f>ROUND((ROUNDDOWN($F693/5,0)*5+1.8)/Basis!$E$3,1)</f>
        <v>8.6</v>
      </c>
      <c r="H693" s="120">
        <f>ROUND($P693*Basis!$E$2*((TaH-TrH)/LN(1/µ)/Basis!$E$7)^$N693*$AA$4*Glycol,0)</f>
        <v>18707</v>
      </c>
      <c r="I693" s="83">
        <f>ROUND(H693/(MID($C693,9,3)/Basis!$E$3/Basis!$E$9)*Basis!$E$11,0)</f>
        <v>2376</v>
      </c>
      <c r="J693" s="123">
        <f>IF(Basis!$E$1=1,ROUND(H693/((TaH-TrH)*1.163)/3600,3),ROUND(H693/(500*(TaH-TrH)),2))</f>
        <v>1.87</v>
      </c>
      <c r="K693" s="84"/>
      <c r="L693" s="177">
        <f>CHOOSE(Basis!$E$1,((AJ693*(J693*3600/Basis!$E$5)^AK693*(((MID(C693,9,3)*10)-144)/1000)*AL693+AM693*(J693*3600/Basis!$E$5)^2)*0.0098)/Basis!$E$10,((AJ693*(J693/Basis!$E$5)^AK693*(((MID(C693,9,3)*10)-144)/1000)*AL693+AM693*(J693/Basis!$E$5)^2)*0.0098)/Basis!$E$10)</f>
        <v>0.42949851875961781</v>
      </c>
      <c r="M693" s="85"/>
      <c r="N693" s="109">
        <v>1.518</v>
      </c>
      <c r="O693" s="68"/>
      <c r="P693" s="67">
        <v>9048</v>
      </c>
      <c r="Q693" s="68"/>
      <c r="R693" s="69"/>
      <c r="S693" s="69"/>
      <c r="T693" s="69"/>
      <c r="U693" s="69"/>
      <c r="V693" s="69"/>
      <c r="W693" s="68"/>
      <c r="X693" s="70"/>
      <c r="Y693" s="70"/>
      <c r="Z693" s="70"/>
      <c r="AA693" s="70"/>
      <c r="AB693" s="70"/>
      <c r="AC693" s="68"/>
      <c r="AD693" s="71"/>
      <c r="AE693" s="71"/>
      <c r="AF693" s="71"/>
      <c r="AG693" s="71"/>
      <c r="AH693" s="71"/>
      <c r="AI693" s="68"/>
      <c r="AJ693" s="214">
        <v>1.2760000000000001E-4</v>
      </c>
      <c r="AK693" s="214">
        <v>1.7219</v>
      </c>
      <c r="AL693" s="214">
        <v>4</v>
      </c>
      <c r="AM693" s="214">
        <v>5.1420100000000005E-4</v>
      </c>
      <c r="AN693" s="68"/>
      <c r="AO693" s="67"/>
      <c r="AP693" s="67"/>
      <c r="AQ693" s="67"/>
      <c r="AR693" s="67"/>
      <c r="AS693" s="67"/>
      <c r="AT693" s="68"/>
      <c r="AU693" s="49"/>
      <c r="AV693" s="50"/>
    </row>
    <row r="694" spans="1:48" ht="12.75" customHeight="1" x14ac:dyDescent="0.25">
      <c r="A694" s="72" t="s">
        <v>23</v>
      </c>
      <c r="B694" s="43" t="s">
        <v>159</v>
      </c>
      <c r="C694" s="44" t="s">
        <v>844</v>
      </c>
      <c r="D694" s="45">
        <f>MROUND(MID($C694,6,3)/Basis!$E$3,0.5)</f>
        <v>35.5</v>
      </c>
      <c r="E694" s="45">
        <f>MROUND(MID($C694,9,3)/Basis!$E$3,0.5)</f>
        <v>102.5</v>
      </c>
      <c r="F694" s="124" t="s">
        <v>2943</v>
      </c>
      <c r="G694" s="45">
        <f>ROUND((ROUNDDOWN($F694/5,0)*5+1.8)/Basis!$E$3,1)</f>
        <v>4.5999999999999996</v>
      </c>
      <c r="H694" s="120">
        <f>ROUND($P694*Basis!$E$2*((TaH-TrH)/LN(1/µ)/Basis!$E$7)^$N694*$AA$4*Glycol,0)</f>
        <v>7783</v>
      </c>
      <c r="I694" s="83">
        <f>ROUND(H694/(MID($C694,9,3)/Basis!$E$3/Basis!$E$9)*Basis!$E$11,0)</f>
        <v>912</v>
      </c>
      <c r="J694" s="123">
        <f>IF(Basis!$E$1=1,ROUND(H694/((TaH-TrH)*1.163)/3600,3),ROUND(H694/(500*(TaH-TrH)),2))</f>
        <v>0.78</v>
      </c>
      <c r="K694" s="84"/>
      <c r="L694" s="177">
        <f>CHOOSE(Basis!$E$1,((AJ694*(J694*3600/Basis!$E$5)^AK694*(((MID(C694,9,3)*10)-144)/1000)*AL694+AM694*(J694*3600/Basis!$E$5)^2)*0.0098)/Basis!$E$10,((AJ694*(J694/Basis!$E$5)^AK694*(((MID(C694,9,3)*10)-144)/1000)*AL694+AM694*(J694/Basis!$E$5)^2)*0.0098)/Basis!$E$10)</f>
        <v>8.8332287945830673E-2</v>
      </c>
      <c r="M694" s="85"/>
      <c r="N694" s="109">
        <v>1.3480000000000001</v>
      </c>
      <c r="O694" s="68"/>
      <c r="P694" s="67">
        <v>3559</v>
      </c>
      <c r="Q694" s="68"/>
      <c r="R694" s="69"/>
      <c r="S694" s="69"/>
      <c r="T694" s="69"/>
      <c r="U694" s="69"/>
      <c r="V694" s="69"/>
      <c r="W694" s="68"/>
      <c r="X694" s="70"/>
      <c r="Y694" s="70"/>
      <c r="Z694" s="70"/>
      <c r="AA694" s="70"/>
      <c r="AB694" s="70"/>
      <c r="AC694" s="68"/>
      <c r="AD694" s="71"/>
      <c r="AE694" s="71"/>
      <c r="AF694" s="71"/>
      <c r="AG694" s="71"/>
      <c r="AH694" s="71"/>
      <c r="AI694" s="68"/>
      <c r="AJ694" s="214">
        <v>3.9689999999999994E-4</v>
      </c>
      <c r="AK694" s="214">
        <v>1.7345999999999999</v>
      </c>
      <c r="AL694" s="214">
        <v>2</v>
      </c>
      <c r="AM694" s="214">
        <v>3.6734700000000002E-4</v>
      </c>
      <c r="AN694" s="68"/>
      <c r="AO694" s="67"/>
      <c r="AP694" s="67"/>
      <c r="AQ694" s="67"/>
      <c r="AR694" s="67"/>
      <c r="AS694" s="67"/>
      <c r="AT694" s="68"/>
      <c r="AU694" s="49"/>
      <c r="AV694" s="50"/>
    </row>
    <row r="695" spans="1:48" ht="12.75" customHeight="1" x14ac:dyDescent="0.25">
      <c r="A695" s="72" t="s">
        <v>23</v>
      </c>
      <c r="B695" s="43" t="s">
        <v>159</v>
      </c>
      <c r="C695" s="44" t="s">
        <v>845</v>
      </c>
      <c r="D695" s="45">
        <f>MROUND(MID($C695,6,3)/Basis!$E$3,0.5)</f>
        <v>35.5</v>
      </c>
      <c r="E695" s="45">
        <f>MROUND(MID($C695,9,3)/Basis!$E$3,0.5)</f>
        <v>102.5</v>
      </c>
      <c r="F695" s="124" t="s">
        <v>2946</v>
      </c>
      <c r="G695" s="45">
        <f>ROUND((ROUNDDOWN($F695/5,0)*5+1.8)/Basis!$E$3,1)</f>
        <v>4.5999999999999996</v>
      </c>
      <c r="H695" s="120">
        <f>ROUND($P695*Basis!$E$2*((TaH-TrH)/LN(1/µ)/Basis!$E$7)^$N695*$AA$4*Glycol,0)</f>
        <v>9716</v>
      </c>
      <c r="I695" s="83">
        <f>ROUND(H695/(MID($C695,9,3)/Basis!$E$3/Basis!$E$9)*Basis!$E$11,0)</f>
        <v>1139</v>
      </c>
      <c r="J695" s="123">
        <f>IF(Basis!$E$1=1,ROUND(H695/((TaH-TrH)*1.163)/3600,3),ROUND(H695/(500*(TaH-TrH)),2))</f>
        <v>0.97</v>
      </c>
      <c r="K695" s="84"/>
      <c r="L695" s="177">
        <f>CHOOSE(Basis!$E$1,((AJ695*(J695*3600/Basis!$E$5)^AK695*(((MID(C695,9,3)*10)-144)/1000)*AL695+AM695*(J695*3600/Basis!$E$5)^2)*0.0098)/Basis!$E$10,((AJ695*(J695/Basis!$E$5)^AK695*(((MID(C695,9,3)*10)-144)/1000)*AL695+AM695*(J695/Basis!$E$5)^2)*0.0098)/Basis!$E$10)</f>
        <v>0.2389534260698111</v>
      </c>
      <c r="M695" s="85"/>
      <c r="N695" s="110">
        <v>1.4339999999999999</v>
      </c>
      <c r="O695" s="74"/>
      <c r="P695" s="73">
        <v>4571</v>
      </c>
      <c r="Q695" s="74"/>
      <c r="R695" s="75"/>
      <c r="S695" s="75"/>
      <c r="T695" s="75"/>
      <c r="U695" s="75"/>
      <c r="V695" s="75"/>
      <c r="W695" s="74"/>
      <c r="X695" s="76"/>
      <c r="Y695" s="76"/>
      <c r="Z695" s="76"/>
      <c r="AA695" s="76"/>
      <c r="AB695" s="76"/>
      <c r="AC695" s="74"/>
      <c r="AD695" s="77"/>
      <c r="AE695" s="77"/>
      <c r="AF695" s="77"/>
      <c r="AG695" s="77"/>
      <c r="AH695" s="77"/>
      <c r="AI695" s="68"/>
      <c r="AJ695" s="213">
        <v>3.9689999999999994E-4</v>
      </c>
      <c r="AK695" s="213">
        <v>1.7345999999999999</v>
      </c>
      <c r="AL695" s="213">
        <v>4</v>
      </c>
      <c r="AM695" s="213">
        <v>5.7428799999999995E-4</v>
      </c>
      <c r="AN695" s="74"/>
      <c r="AO695" s="73"/>
      <c r="AP695" s="73"/>
      <c r="AQ695" s="73"/>
      <c r="AR695" s="73"/>
      <c r="AS695" s="73"/>
      <c r="AT695" s="74"/>
      <c r="AU695" s="47"/>
      <c r="AV695" s="48"/>
    </row>
    <row r="696" spans="1:48" ht="12.75" customHeight="1" x14ac:dyDescent="0.25">
      <c r="A696" s="72" t="s">
        <v>23</v>
      </c>
      <c r="B696" s="43" t="s">
        <v>159</v>
      </c>
      <c r="C696" s="44" t="s">
        <v>846</v>
      </c>
      <c r="D696" s="45">
        <f>MROUND(MID($C696,6,3)/Basis!$E$3,0.5)</f>
        <v>35.5</v>
      </c>
      <c r="E696" s="45">
        <f>MROUND(MID($C696,9,3)/Basis!$E$3,0.5)</f>
        <v>102.5</v>
      </c>
      <c r="F696" s="124" t="s">
        <v>2944</v>
      </c>
      <c r="G696" s="45">
        <f>ROUND((ROUNDDOWN($F696/5,0)*5+1.8)/Basis!$E$3,1)</f>
        <v>6.6</v>
      </c>
      <c r="H696" s="120">
        <f>ROUND($P696*Basis!$E$2*((TaH-TrH)/LN(1/µ)/Basis!$E$7)^$N696*$AA$4*Glycol,0)</f>
        <v>12141</v>
      </c>
      <c r="I696" s="83">
        <f>ROUND(H696/(MID($C696,9,3)/Basis!$E$3/Basis!$E$9)*Basis!$E$11,0)</f>
        <v>1423</v>
      </c>
      <c r="J696" s="123">
        <f>IF(Basis!$E$1=1,ROUND(H696/((TaH-TrH)*1.163)/3600,3),ROUND(H696/(500*(TaH-TrH)),2))</f>
        <v>1.21</v>
      </c>
      <c r="K696" s="84"/>
      <c r="L696" s="177">
        <f>CHOOSE(Basis!$E$1,((AJ696*(J696*3600/Basis!$E$5)^AK696*(((MID(C696,9,3)*10)-144)/1000)*AL696+AM696*(J696*3600/Basis!$E$5)^2)*0.0098)/Basis!$E$10,((AJ696*(J696/Basis!$E$5)^AK696*(((MID(C696,9,3)*10)-144)/1000)*AL696+AM696*(J696/Basis!$E$5)^2)*0.0098)/Basis!$E$10)</f>
        <v>0.16767542363899826</v>
      </c>
      <c r="M696" s="85"/>
      <c r="N696" s="110">
        <v>1.3260000000000001</v>
      </c>
      <c r="O696" s="74"/>
      <c r="P696" s="73">
        <v>5512</v>
      </c>
      <c r="Q696" s="74"/>
      <c r="R696" s="75"/>
      <c r="S696" s="75"/>
      <c r="T696" s="75"/>
      <c r="U696" s="75"/>
      <c r="V696" s="75"/>
      <c r="W696" s="74"/>
      <c r="X696" s="76"/>
      <c r="Y696" s="76"/>
      <c r="Z696" s="76"/>
      <c r="AA696" s="76"/>
      <c r="AB696" s="76"/>
      <c r="AC696" s="74"/>
      <c r="AD696" s="77"/>
      <c r="AE696" s="77"/>
      <c r="AF696" s="77"/>
      <c r="AG696" s="77"/>
      <c r="AH696" s="77"/>
      <c r="AI696" s="68"/>
      <c r="AJ696" s="213">
        <v>2.0829999999999999E-4</v>
      </c>
      <c r="AK696" s="213">
        <v>1.724</v>
      </c>
      <c r="AL696" s="213">
        <v>2</v>
      </c>
      <c r="AM696" s="213">
        <v>4.6182900000000003E-4</v>
      </c>
      <c r="AN696" s="74"/>
      <c r="AO696" s="73"/>
      <c r="AP696" s="73"/>
      <c r="AQ696" s="73"/>
      <c r="AR696" s="73"/>
      <c r="AS696" s="73"/>
      <c r="AT696" s="74"/>
      <c r="AU696" s="47"/>
      <c r="AV696" s="48"/>
    </row>
    <row r="697" spans="1:48" ht="12.75" customHeight="1" x14ac:dyDescent="0.25">
      <c r="A697" s="72" t="s">
        <v>23</v>
      </c>
      <c r="B697" s="43" t="s">
        <v>159</v>
      </c>
      <c r="C697" s="44" t="s">
        <v>847</v>
      </c>
      <c r="D697" s="45">
        <f>MROUND(MID($C697,6,3)/Basis!$E$3,0.5)</f>
        <v>35.5</v>
      </c>
      <c r="E697" s="45">
        <f>MROUND(MID($C697,9,3)/Basis!$E$3,0.5)</f>
        <v>102.5</v>
      </c>
      <c r="F697" s="124" t="s">
        <v>2947</v>
      </c>
      <c r="G697" s="45">
        <f>ROUND((ROUNDDOWN($F697/5,0)*5+1.8)/Basis!$E$3,1)</f>
        <v>6.6</v>
      </c>
      <c r="H697" s="120">
        <f>ROUND($P697*Basis!$E$2*((TaH-TrH)/LN(1/µ)/Basis!$E$7)^$N697*$AA$4*Glycol,0)</f>
        <v>14132</v>
      </c>
      <c r="I697" s="83">
        <f>ROUND(H697/(MID($C697,9,3)/Basis!$E$3/Basis!$E$9)*Basis!$E$11,0)</f>
        <v>1657</v>
      </c>
      <c r="J697" s="123">
        <f>IF(Basis!$E$1=1,ROUND(H697/((TaH-TrH)*1.163)/3600,3),ROUND(H697/(500*(TaH-TrH)),2))</f>
        <v>1.41</v>
      </c>
      <c r="K697" s="84"/>
      <c r="L697" s="177">
        <f>CHOOSE(Basis!$E$1,((AJ697*(J697*3600/Basis!$E$5)^AK697*(((MID(C697,9,3)*10)-144)/1000)*AL697+AM697*(J697*3600/Basis!$E$5)^2)*0.0098)/Basis!$E$10,((AJ697*(J697/Basis!$E$5)^AK697*(((MID(C697,9,3)*10)-144)/1000)*AL697+AM697*(J697/Basis!$E$5)^2)*0.0098)/Basis!$E$10)</f>
        <v>0.60666916306133445</v>
      </c>
      <c r="M697" s="85"/>
      <c r="N697" s="109">
        <v>1.48</v>
      </c>
      <c r="O697" s="68"/>
      <c r="P697" s="67">
        <v>6750</v>
      </c>
      <c r="Q697" s="68"/>
      <c r="R697" s="69"/>
      <c r="S697" s="69"/>
      <c r="T697" s="69"/>
      <c r="U697" s="69"/>
      <c r="V697" s="69"/>
      <c r="W697" s="68"/>
      <c r="X697" s="70"/>
      <c r="Y697" s="70"/>
      <c r="Z697" s="70"/>
      <c r="AA697" s="70"/>
      <c r="AB697" s="70"/>
      <c r="AC697" s="68"/>
      <c r="AD697" s="71"/>
      <c r="AE697" s="71"/>
      <c r="AF697" s="71"/>
      <c r="AG697" s="71"/>
      <c r="AH697" s="71"/>
      <c r="AI697" s="68"/>
      <c r="AJ697" s="214">
        <v>2.0829999999999999E-4</v>
      </c>
      <c r="AK697" s="214">
        <v>1.724</v>
      </c>
      <c r="AL697" s="214">
        <v>4</v>
      </c>
      <c r="AM697" s="214">
        <v>1.392796E-3</v>
      </c>
      <c r="AN697" s="68"/>
      <c r="AO697" s="67"/>
      <c r="AP697" s="67"/>
      <c r="AQ697" s="67"/>
      <c r="AR697" s="67"/>
      <c r="AS697" s="67"/>
      <c r="AT697" s="68"/>
      <c r="AU697" s="49"/>
      <c r="AV697" s="50"/>
    </row>
    <row r="698" spans="1:48" ht="12.75" customHeight="1" x14ac:dyDescent="0.25">
      <c r="A698" s="72" t="s">
        <v>23</v>
      </c>
      <c r="B698" s="43" t="s">
        <v>159</v>
      </c>
      <c r="C698" s="44" t="s">
        <v>848</v>
      </c>
      <c r="D698" s="45">
        <f>MROUND(MID($C698,6,3)/Basis!$E$3,0.5)</f>
        <v>35.5</v>
      </c>
      <c r="E698" s="45">
        <f>MROUND(MID($C698,9,3)/Basis!$E$3,0.5)</f>
        <v>102.5</v>
      </c>
      <c r="F698" s="124" t="s">
        <v>2945</v>
      </c>
      <c r="G698" s="45">
        <f>ROUND((ROUNDDOWN($F698/5,0)*5+1.8)/Basis!$E$3,1)</f>
        <v>8.6</v>
      </c>
      <c r="H698" s="120">
        <f>ROUND($P698*Basis!$E$2*((TaH-TrH)/LN(1/µ)/Basis!$E$7)^$N698*$AA$4*Glycol,0)</f>
        <v>16935</v>
      </c>
      <c r="I698" s="83">
        <f>ROUND(H698/(MID($C698,9,3)/Basis!$E$3/Basis!$E$9)*Basis!$E$11,0)</f>
        <v>1985</v>
      </c>
      <c r="J698" s="123">
        <f>IF(Basis!$E$1=1,ROUND(H698/((TaH-TrH)*1.163)/3600,3),ROUND(H698/(500*(TaH-TrH)),2))</f>
        <v>1.69</v>
      </c>
      <c r="K698" s="84"/>
      <c r="L698" s="177">
        <f>CHOOSE(Basis!$E$1,((AJ698*(J698*3600/Basis!$E$5)^AK698*(((MID(C698,9,3)*10)-144)/1000)*AL698+AM698*(J698*3600/Basis!$E$5)^2)*0.0098)/Basis!$E$10,((AJ698*(J698/Basis!$E$5)^AK698*(((MID(C698,9,3)*10)-144)/1000)*AL698+AM698*(J698/Basis!$E$5)^2)*0.0098)/Basis!$E$10)</f>
        <v>0.23914075245254723</v>
      </c>
      <c r="M698" s="85"/>
      <c r="N698" s="109">
        <v>1.3260000000000001</v>
      </c>
      <c r="O698" s="68"/>
      <c r="P698" s="67">
        <v>7688</v>
      </c>
      <c r="Q698" s="68"/>
      <c r="R698" s="69"/>
      <c r="S698" s="69"/>
      <c r="T698" s="69"/>
      <c r="U698" s="69"/>
      <c r="V698" s="69"/>
      <c r="W698" s="68"/>
      <c r="X698" s="70"/>
      <c r="Y698" s="70"/>
      <c r="Z698" s="70"/>
      <c r="AA698" s="70"/>
      <c r="AB698" s="70"/>
      <c r="AC698" s="68"/>
      <c r="AD698" s="71"/>
      <c r="AE698" s="71"/>
      <c r="AF698" s="71"/>
      <c r="AG698" s="71"/>
      <c r="AH698" s="71"/>
      <c r="AI698" s="68"/>
      <c r="AJ698" s="214">
        <v>1.2760000000000001E-4</v>
      </c>
      <c r="AK698" s="214">
        <v>1.7219</v>
      </c>
      <c r="AL698" s="214">
        <v>2</v>
      </c>
      <c r="AM698" s="214">
        <v>3.76611E-4</v>
      </c>
      <c r="AN698" s="68"/>
      <c r="AO698" s="67"/>
      <c r="AP698" s="67"/>
      <c r="AQ698" s="67"/>
      <c r="AR698" s="67"/>
      <c r="AS698" s="67"/>
      <c r="AT698" s="68"/>
      <c r="AU698" s="49"/>
      <c r="AV698" s="50"/>
    </row>
    <row r="699" spans="1:48" ht="12.75" customHeight="1" x14ac:dyDescent="0.25">
      <c r="A699" s="72" t="s">
        <v>23</v>
      </c>
      <c r="B699" s="43" t="s">
        <v>159</v>
      </c>
      <c r="C699" s="44" t="s">
        <v>849</v>
      </c>
      <c r="D699" s="45">
        <f>MROUND(MID($C699,6,3)/Basis!$E$3,0.5)</f>
        <v>35.5</v>
      </c>
      <c r="E699" s="45">
        <f>MROUND(MID($C699,9,3)/Basis!$E$3,0.5)</f>
        <v>102.5</v>
      </c>
      <c r="F699" s="124" t="s">
        <v>2948</v>
      </c>
      <c r="G699" s="45">
        <f>ROUND((ROUNDDOWN($F699/5,0)*5+1.8)/Basis!$E$3,1)</f>
        <v>8.6</v>
      </c>
      <c r="H699" s="120">
        <f>ROUND($P699*Basis!$E$2*((TaH-TrH)/LN(1/µ)/Basis!$E$7)^$N699*$AA$4*Glycol,0)</f>
        <v>20265</v>
      </c>
      <c r="I699" s="83">
        <f>ROUND(H699/(MID($C699,9,3)/Basis!$E$3/Basis!$E$9)*Basis!$E$11,0)</f>
        <v>2376</v>
      </c>
      <c r="J699" s="123">
        <f>IF(Basis!$E$1=1,ROUND(H699/((TaH-TrH)*1.163)/3600,3),ROUND(H699/(500*(TaH-TrH)),2))</f>
        <v>2.0299999999999998</v>
      </c>
      <c r="K699" s="84"/>
      <c r="L699" s="177">
        <f>CHOOSE(Basis!$E$1,((AJ699*(J699*3600/Basis!$E$5)^AK699*(((MID(C699,9,3)*10)-144)/1000)*AL699+AM699*(J699*3600/Basis!$E$5)^2)*0.0098)/Basis!$E$10,((AJ699*(J699/Basis!$E$5)^AK699*(((MID(C699,9,3)*10)-144)/1000)*AL699+AM699*(J699/Basis!$E$5)^2)*0.0098)/Basis!$E$10)</f>
        <v>0.51567047177623415</v>
      </c>
      <c r="M699" s="85"/>
      <c r="N699" s="110">
        <v>1.518</v>
      </c>
      <c r="O699" s="74"/>
      <c r="P699" s="73">
        <v>9802</v>
      </c>
      <c r="Q699" s="74"/>
      <c r="R699" s="75"/>
      <c r="S699" s="75"/>
      <c r="T699" s="75"/>
      <c r="U699" s="75"/>
      <c r="V699" s="75"/>
      <c r="W699" s="74"/>
      <c r="X699" s="76"/>
      <c r="Y699" s="76"/>
      <c r="Z699" s="76"/>
      <c r="AA699" s="76"/>
      <c r="AB699" s="76"/>
      <c r="AC699" s="74"/>
      <c r="AD699" s="77"/>
      <c r="AE699" s="77"/>
      <c r="AF699" s="77"/>
      <c r="AG699" s="77"/>
      <c r="AH699" s="77"/>
      <c r="AI699" s="68"/>
      <c r="AJ699" s="213">
        <v>1.2760000000000001E-4</v>
      </c>
      <c r="AK699" s="213">
        <v>1.7219</v>
      </c>
      <c r="AL699" s="213">
        <v>4</v>
      </c>
      <c r="AM699" s="213">
        <v>5.1420100000000005E-4</v>
      </c>
      <c r="AN699" s="74"/>
      <c r="AO699" s="73"/>
      <c r="AP699" s="73"/>
      <c r="AQ699" s="73"/>
      <c r="AR699" s="73"/>
      <c r="AS699" s="73"/>
      <c r="AT699" s="74"/>
      <c r="AU699" s="47"/>
      <c r="AV699" s="48"/>
    </row>
    <row r="700" spans="1:48" ht="12.75" customHeight="1" x14ac:dyDescent="0.25">
      <c r="A700" s="72" t="s">
        <v>23</v>
      </c>
      <c r="B700" s="43" t="s">
        <v>159</v>
      </c>
      <c r="C700" s="44" t="s">
        <v>850</v>
      </c>
      <c r="D700" s="45">
        <f>MROUND(MID($C700,6,3)/Basis!$E$3,0.5)</f>
        <v>35.5</v>
      </c>
      <c r="E700" s="45">
        <f>MROUND(MID($C700,9,3)/Basis!$E$3,0.5)</f>
        <v>110</v>
      </c>
      <c r="F700" s="124" t="s">
        <v>2943</v>
      </c>
      <c r="G700" s="45">
        <f>ROUND((ROUNDDOWN($F700/5,0)*5+1.8)/Basis!$E$3,1)</f>
        <v>4.5999999999999996</v>
      </c>
      <c r="H700" s="120">
        <f>ROUND($P700*Basis!$E$2*((TaH-TrH)/LN(1/µ)/Basis!$E$7)^$N700*$AA$4*Glycol,0)</f>
        <v>8382</v>
      </c>
      <c r="I700" s="83">
        <f>ROUND(H700/(MID($C700,9,3)/Basis!$E$3/Basis!$E$9)*Basis!$E$11,0)</f>
        <v>912</v>
      </c>
      <c r="J700" s="123">
        <f>IF(Basis!$E$1=1,ROUND(H700/((TaH-TrH)*1.163)/3600,3),ROUND(H700/(500*(TaH-TrH)),2))</f>
        <v>0.84</v>
      </c>
      <c r="K700" s="84"/>
      <c r="L700" s="177">
        <f>CHOOSE(Basis!$E$1,((AJ700*(J700*3600/Basis!$E$5)^AK700*(((MID(C700,9,3)*10)-144)/1000)*AL700+AM700*(J700*3600/Basis!$E$5)^2)*0.0098)/Basis!$E$10,((AJ700*(J700/Basis!$E$5)^AK700*(((MID(C700,9,3)*10)-144)/1000)*AL700+AM700*(J700/Basis!$E$5)^2)*0.0098)/Basis!$E$10)</f>
        <v>0.10598985728736783</v>
      </c>
      <c r="M700" s="85"/>
      <c r="N700" s="110">
        <v>1.3480000000000001</v>
      </c>
      <c r="O700" s="74"/>
      <c r="P700" s="73">
        <v>3833</v>
      </c>
      <c r="Q700" s="74"/>
      <c r="R700" s="75"/>
      <c r="S700" s="75"/>
      <c r="T700" s="75"/>
      <c r="U700" s="75"/>
      <c r="V700" s="75"/>
      <c r="W700" s="74"/>
      <c r="X700" s="76"/>
      <c r="Y700" s="76"/>
      <c r="Z700" s="76"/>
      <c r="AA700" s="76"/>
      <c r="AB700" s="76"/>
      <c r="AC700" s="74"/>
      <c r="AD700" s="77"/>
      <c r="AE700" s="77"/>
      <c r="AF700" s="77"/>
      <c r="AG700" s="77"/>
      <c r="AH700" s="77"/>
      <c r="AI700" s="68"/>
      <c r="AJ700" s="213">
        <v>3.9689999999999994E-4</v>
      </c>
      <c r="AK700" s="213">
        <v>1.7345999999999999</v>
      </c>
      <c r="AL700" s="213">
        <v>2</v>
      </c>
      <c r="AM700" s="213">
        <v>3.6734700000000002E-4</v>
      </c>
      <c r="AN700" s="74"/>
      <c r="AO700" s="73"/>
      <c r="AP700" s="73"/>
      <c r="AQ700" s="73"/>
      <c r="AR700" s="73"/>
      <c r="AS700" s="73"/>
      <c r="AT700" s="74"/>
      <c r="AU700" s="47"/>
      <c r="AV700" s="48"/>
    </row>
    <row r="701" spans="1:48" ht="12.75" customHeight="1" x14ac:dyDescent="0.25">
      <c r="A701" s="72" t="s">
        <v>23</v>
      </c>
      <c r="B701" s="43" t="s">
        <v>159</v>
      </c>
      <c r="C701" s="44" t="s">
        <v>851</v>
      </c>
      <c r="D701" s="45">
        <f>MROUND(MID($C701,6,3)/Basis!$E$3,0.5)</f>
        <v>35.5</v>
      </c>
      <c r="E701" s="45">
        <f>MROUND(MID($C701,9,3)/Basis!$E$3,0.5)</f>
        <v>110</v>
      </c>
      <c r="F701" s="124" t="s">
        <v>2946</v>
      </c>
      <c r="G701" s="45">
        <f>ROUND((ROUNDDOWN($F701/5,0)*5+1.8)/Basis!$E$3,1)</f>
        <v>4.5999999999999996</v>
      </c>
      <c r="H701" s="120">
        <f>ROUND($P701*Basis!$E$2*((TaH-TrH)/LN(1/µ)/Basis!$E$7)^$N701*$AA$4*Glycol,0)</f>
        <v>10462</v>
      </c>
      <c r="I701" s="83">
        <f>ROUND(H701/(MID($C701,9,3)/Basis!$E$3/Basis!$E$9)*Basis!$E$11,0)</f>
        <v>1139</v>
      </c>
      <c r="J701" s="123">
        <f>IF(Basis!$E$1=1,ROUND(H701/((TaH-TrH)*1.163)/3600,3),ROUND(H701/(500*(TaH-TrH)),2))</f>
        <v>1.05</v>
      </c>
      <c r="K701" s="84"/>
      <c r="L701" s="177">
        <f>CHOOSE(Basis!$E$1,((AJ701*(J701*3600/Basis!$E$5)^AK701*(((MID(C701,9,3)*10)-144)/1000)*AL701+AM701*(J701*3600/Basis!$E$5)^2)*0.0098)/Basis!$E$10,((AJ701*(J701/Basis!$E$5)^AK701*(((MID(C701,9,3)*10)-144)/1000)*AL701+AM701*(J701/Basis!$E$5)^2)*0.0098)/Basis!$E$10)</f>
        <v>0.29019962617405237</v>
      </c>
      <c r="M701" s="85"/>
      <c r="N701" s="109">
        <v>1.4339999999999999</v>
      </c>
      <c r="O701" s="68"/>
      <c r="P701" s="67">
        <v>4922</v>
      </c>
      <c r="Q701" s="68"/>
      <c r="R701" s="69"/>
      <c r="S701" s="69"/>
      <c r="T701" s="69"/>
      <c r="U701" s="69"/>
      <c r="V701" s="69"/>
      <c r="W701" s="68"/>
      <c r="X701" s="70"/>
      <c r="Y701" s="70"/>
      <c r="Z701" s="70"/>
      <c r="AA701" s="70"/>
      <c r="AB701" s="70"/>
      <c r="AC701" s="68"/>
      <c r="AD701" s="71"/>
      <c r="AE701" s="71"/>
      <c r="AF701" s="71"/>
      <c r="AG701" s="71"/>
      <c r="AH701" s="71"/>
      <c r="AI701" s="68"/>
      <c r="AJ701" s="214">
        <v>3.9689999999999994E-4</v>
      </c>
      <c r="AK701" s="214">
        <v>1.7345999999999999</v>
      </c>
      <c r="AL701" s="214">
        <v>4</v>
      </c>
      <c r="AM701" s="214">
        <v>5.7428799999999995E-4</v>
      </c>
      <c r="AN701" s="68"/>
      <c r="AO701" s="67"/>
      <c r="AP701" s="67"/>
      <c r="AQ701" s="67"/>
      <c r="AR701" s="67"/>
      <c r="AS701" s="67"/>
      <c r="AT701" s="68"/>
      <c r="AU701" s="49"/>
      <c r="AV701" s="50"/>
    </row>
    <row r="702" spans="1:48" ht="12.75" customHeight="1" x14ac:dyDescent="0.25">
      <c r="A702" s="72" t="s">
        <v>23</v>
      </c>
      <c r="B702" s="43" t="s">
        <v>159</v>
      </c>
      <c r="C702" s="44" t="s">
        <v>852</v>
      </c>
      <c r="D702" s="45">
        <f>MROUND(MID($C702,6,3)/Basis!$E$3,0.5)</f>
        <v>35.5</v>
      </c>
      <c r="E702" s="45">
        <f>MROUND(MID($C702,9,3)/Basis!$E$3,0.5)</f>
        <v>110</v>
      </c>
      <c r="F702" s="124" t="s">
        <v>2944</v>
      </c>
      <c r="G702" s="45">
        <f>ROUND((ROUNDDOWN($F702/5,0)*5+1.8)/Basis!$E$3,1)</f>
        <v>6.6</v>
      </c>
      <c r="H702" s="120">
        <f>ROUND($P702*Basis!$E$2*((TaH-TrH)/LN(1/µ)/Basis!$E$7)^$N702*$AA$4*Glycol,0)</f>
        <v>13075</v>
      </c>
      <c r="I702" s="83">
        <f>ROUND(H702/(MID($C702,9,3)/Basis!$E$3/Basis!$E$9)*Basis!$E$11,0)</f>
        <v>1423</v>
      </c>
      <c r="J702" s="123">
        <f>IF(Basis!$E$1=1,ROUND(H702/((TaH-TrH)*1.163)/3600,3),ROUND(H702/(500*(TaH-TrH)),2))</f>
        <v>1.31</v>
      </c>
      <c r="K702" s="84"/>
      <c r="L702" s="177">
        <f>CHOOSE(Basis!$E$1,((AJ702*(J702*3600/Basis!$E$5)^AK702*(((MID(C702,9,3)*10)-144)/1000)*AL702+AM702*(J702*3600/Basis!$E$5)^2)*0.0098)/Basis!$E$10,((AJ702*(J702/Basis!$E$5)^AK702*(((MID(C702,9,3)*10)-144)/1000)*AL702+AM702*(J702/Basis!$E$5)^2)*0.0098)/Basis!$E$10)</f>
        <v>0.20018070080461428</v>
      </c>
      <c r="M702" s="85"/>
      <c r="N702" s="109">
        <v>1.3260000000000001</v>
      </c>
      <c r="O702" s="68"/>
      <c r="P702" s="67">
        <v>5936</v>
      </c>
      <c r="Q702" s="68"/>
      <c r="R702" s="69"/>
      <c r="S702" s="69"/>
      <c r="T702" s="69"/>
      <c r="U702" s="69"/>
      <c r="V702" s="69"/>
      <c r="W702" s="68"/>
      <c r="X702" s="70"/>
      <c r="Y702" s="70"/>
      <c r="Z702" s="70"/>
      <c r="AA702" s="70"/>
      <c r="AB702" s="70"/>
      <c r="AC702" s="68"/>
      <c r="AD702" s="71"/>
      <c r="AE702" s="71"/>
      <c r="AF702" s="71"/>
      <c r="AG702" s="71"/>
      <c r="AH702" s="71"/>
      <c r="AI702" s="68"/>
      <c r="AJ702" s="214">
        <v>2.0829999999999999E-4</v>
      </c>
      <c r="AK702" s="214">
        <v>1.724</v>
      </c>
      <c r="AL702" s="214">
        <v>2</v>
      </c>
      <c r="AM702" s="214">
        <v>4.6182900000000003E-4</v>
      </c>
      <c r="AN702" s="68"/>
      <c r="AO702" s="67"/>
      <c r="AP702" s="67"/>
      <c r="AQ702" s="67"/>
      <c r="AR702" s="67"/>
      <c r="AS702" s="67"/>
      <c r="AT702" s="68"/>
      <c r="AU702" s="49"/>
      <c r="AV702" s="50"/>
    </row>
    <row r="703" spans="1:48" ht="12.75" customHeight="1" x14ac:dyDescent="0.25">
      <c r="A703" s="72" t="s">
        <v>23</v>
      </c>
      <c r="B703" s="43" t="s">
        <v>159</v>
      </c>
      <c r="C703" s="44" t="s">
        <v>853</v>
      </c>
      <c r="D703" s="45">
        <f>MROUND(MID($C703,6,3)/Basis!$E$3,0.5)</f>
        <v>35.5</v>
      </c>
      <c r="E703" s="45">
        <f>MROUND(MID($C703,9,3)/Basis!$E$3,0.5)</f>
        <v>110</v>
      </c>
      <c r="F703" s="124" t="s">
        <v>2947</v>
      </c>
      <c r="G703" s="45">
        <f>ROUND((ROUNDDOWN($F703/5,0)*5+1.8)/Basis!$E$3,1)</f>
        <v>6.6</v>
      </c>
      <c r="H703" s="120">
        <f>ROUND($P703*Basis!$E$2*((TaH-TrH)/LN(1/µ)/Basis!$E$7)^$N703*$AA$4*Glycol,0)</f>
        <v>15218</v>
      </c>
      <c r="I703" s="83">
        <f>ROUND(H703/(MID($C703,9,3)/Basis!$E$3/Basis!$E$9)*Basis!$E$11,0)</f>
        <v>1657</v>
      </c>
      <c r="J703" s="123">
        <f>IF(Basis!$E$1=1,ROUND(H703/((TaH-TrH)*1.163)/3600,3),ROUND(H703/(500*(TaH-TrH)),2))</f>
        <v>1.52</v>
      </c>
      <c r="K703" s="84"/>
      <c r="L703" s="177">
        <f>CHOOSE(Basis!$E$1,((AJ703*(J703*3600/Basis!$E$5)^AK703*(((MID(C703,9,3)*10)-144)/1000)*AL703+AM703*(J703*3600/Basis!$E$5)^2)*0.0098)/Basis!$E$10,((AJ703*(J703/Basis!$E$5)^AK703*(((MID(C703,9,3)*10)-144)/1000)*AL703+AM703*(J703/Basis!$E$5)^2)*0.0098)/Basis!$E$10)</f>
        <v>0.71463134046964472</v>
      </c>
      <c r="M703" s="85"/>
      <c r="N703" s="110">
        <v>1.48</v>
      </c>
      <c r="O703" s="74"/>
      <c r="P703" s="73">
        <v>7269</v>
      </c>
      <c r="Q703" s="74"/>
      <c r="R703" s="75"/>
      <c r="S703" s="75"/>
      <c r="T703" s="75"/>
      <c r="U703" s="75"/>
      <c r="V703" s="75"/>
      <c r="W703" s="74"/>
      <c r="X703" s="76"/>
      <c r="Y703" s="76"/>
      <c r="Z703" s="76"/>
      <c r="AA703" s="76"/>
      <c r="AB703" s="76"/>
      <c r="AC703" s="74"/>
      <c r="AD703" s="77"/>
      <c r="AE703" s="77"/>
      <c r="AF703" s="77"/>
      <c r="AG703" s="77"/>
      <c r="AH703" s="77"/>
      <c r="AI703" s="68"/>
      <c r="AJ703" s="213">
        <v>2.0829999999999999E-4</v>
      </c>
      <c r="AK703" s="213">
        <v>1.724</v>
      </c>
      <c r="AL703" s="213">
        <v>4</v>
      </c>
      <c r="AM703" s="213">
        <v>1.392796E-3</v>
      </c>
      <c r="AN703" s="74"/>
      <c r="AO703" s="73"/>
      <c r="AP703" s="73"/>
      <c r="AQ703" s="73"/>
      <c r="AR703" s="73"/>
      <c r="AS703" s="73"/>
      <c r="AT703" s="74"/>
      <c r="AU703" s="47"/>
      <c r="AV703" s="48"/>
    </row>
    <row r="704" spans="1:48" ht="12.75" customHeight="1" x14ac:dyDescent="0.25">
      <c r="A704" s="72" t="s">
        <v>23</v>
      </c>
      <c r="B704" s="43" t="s">
        <v>159</v>
      </c>
      <c r="C704" s="44" t="s">
        <v>854</v>
      </c>
      <c r="D704" s="45">
        <f>MROUND(MID($C704,6,3)/Basis!$E$3,0.5)</f>
        <v>35.5</v>
      </c>
      <c r="E704" s="45">
        <f>MROUND(MID($C704,9,3)/Basis!$E$3,0.5)</f>
        <v>110</v>
      </c>
      <c r="F704" s="124" t="s">
        <v>2945</v>
      </c>
      <c r="G704" s="45">
        <f>ROUND((ROUNDDOWN($F704/5,0)*5+1.8)/Basis!$E$3,1)</f>
        <v>8.6</v>
      </c>
      <c r="H704" s="120">
        <f>ROUND($P704*Basis!$E$2*((TaH-TrH)/LN(1/µ)/Basis!$E$7)^$N704*$AA$4*Glycol,0)</f>
        <v>18239</v>
      </c>
      <c r="I704" s="83">
        <f>ROUND(H704/(MID($C704,9,3)/Basis!$E$3/Basis!$E$9)*Basis!$E$11,0)</f>
        <v>1985</v>
      </c>
      <c r="J704" s="123">
        <f>IF(Basis!$E$1=1,ROUND(H704/((TaH-TrH)*1.163)/3600,3),ROUND(H704/(500*(TaH-TrH)),2))</f>
        <v>1.82</v>
      </c>
      <c r="K704" s="84"/>
      <c r="L704" s="177">
        <f>CHOOSE(Basis!$E$1,((AJ704*(J704*3600/Basis!$E$5)^AK704*(((MID(C704,9,3)*10)-144)/1000)*AL704+AM704*(J704*3600/Basis!$E$5)^2)*0.0098)/Basis!$E$10,((AJ704*(J704/Basis!$E$5)^AK704*(((MID(C704,9,3)*10)-144)/1000)*AL704+AM704*(J704/Basis!$E$5)^2)*0.0098)/Basis!$E$10)</f>
        <v>0.28132073128408569</v>
      </c>
      <c r="M704" s="85"/>
      <c r="N704" s="110">
        <v>1.3260000000000001</v>
      </c>
      <c r="O704" s="74"/>
      <c r="P704" s="73">
        <v>8280</v>
      </c>
      <c r="Q704" s="74"/>
      <c r="R704" s="75"/>
      <c r="S704" s="75"/>
      <c r="T704" s="75"/>
      <c r="U704" s="75"/>
      <c r="V704" s="75"/>
      <c r="W704" s="74"/>
      <c r="X704" s="76"/>
      <c r="Y704" s="76"/>
      <c r="Z704" s="76"/>
      <c r="AA704" s="76"/>
      <c r="AB704" s="76"/>
      <c r="AC704" s="74"/>
      <c r="AD704" s="77"/>
      <c r="AE704" s="77"/>
      <c r="AF704" s="77"/>
      <c r="AG704" s="77"/>
      <c r="AH704" s="77"/>
      <c r="AI704" s="68"/>
      <c r="AJ704" s="213">
        <v>1.2760000000000001E-4</v>
      </c>
      <c r="AK704" s="213">
        <v>1.7219</v>
      </c>
      <c r="AL704" s="213">
        <v>2</v>
      </c>
      <c r="AM704" s="213">
        <v>3.76611E-4</v>
      </c>
      <c r="AN704" s="74"/>
      <c r="AO704" s="73"/>
      <c r="AP704" s="73"/>
      <c r="AQ704" s="73"/>
      <c r="AR704" s="73"/>
      <c r="AS704" s="73"/>
      <c r="AT704" s="74"/>
      <c r="AU704" s="47"/>
      <c r="AV704" s="48"/>
    </row>
    <row r="705" spans="1:48" ht="12.75" customHeight="1" x14ac:dyDescent="0.25">
      <c r="A705" s="72" t="s">
        <v>23</v>
      </c>
      <c r="B705" s="43" t="s">
        <v>159</v>
      </c>
      <c r="C705" s="44" t="s">
        <v>855</v>
      </c>
      <c r="D705" s="45">
        <f>MROUND(MID($C705,6,3)/Basis!$E$3,0.5)</f>
        <v>35.5</v>
      </c>
      <c r="E705" s="45">
        <f>MROUND(MID($C705,9,3)/Basis!$E$3,0.5)</f>
        <v>110</v>
      </c>
      <c r="F705" s="124" t="s">
        <v>2948</v>
      </c>
      <c r="G705" s="45">
        <f>ROUND((ROUNDDOWN($F705/5,0)*5+1.8)/Basis!$E$3,1)</f>
        <v>8.6</v>
      </c>
      <c r="H705" s="120">
        <f>ROUND($P705*Basis!$E$2*((TaH-TrH)/LN(1/µ)/Basis!$E$7)^$N705*$AA$4*Glycol,0)</f>
        <v>21824</v>
      </c>
      <c r="I705" s="83">
        <f>ROUND(H705/(MID($C705,9,3)/Basis!$E$3/Basis!$E$9)*Basis!$E$11,0)</f>
        <v>2376</v>
      </c>
      <c r="J705" s="123">
        <f>IF(Basis!$E$1=1,ROUND(H705/((TaH-TrH)*1.163)/3600,3),ROUND(H705/(500*(TaH-TrH)),2))</f>
        <v>2.1800000000000002</v>
      </c>
      <c r="K705" s="84"/>
      <c r="L705" s="177">
        <f>CHOOSE(Basis!$E$1,((AJ705*(J705*3600/Basis!$E$5)^AK705*(((MID(C705,9,3)*10)-144)/1000)*AL705+AM705*(J705*3600/Basis!$E$5)^2)*0.0098)/Basis!$E$10,((AJ705*(J705/Basis!$E$5)^AK705*(((MID(C705,9,3)*10)-144)/1000)*AL705+AM705*(J705/Basis!$E$5)^2)*0.0098)/Basis!$E$10)</f>
        <v>0.60568176744460211</v>
      </c>
      <c r="M705" s="85"/>
      <c r="N705" s="109">
        <v>1.518</v>
      </c>
      <c r="O705" s="68"/>
      <c r="P705" s="67">
        <v>10556</v>
      </c>
      <c r="Q705" s="68"/>
      <c r="R705" s="69"/>
      <c r="S705" s="69"/>
      <c r="T705" s="69"/>
      <c r="U705" s="69"/>
      <c r="V705" s="69"/>
      <c r="W705" s="68"/>
      <c r="X705" s="70"/>
      <c r="Y705" s="70"/>
      <c r="Z705" s="70"/>
      <c r="AA705" s="70"/>
      <c r="AB705" s="70"/>
      <c r="AC705" s="68"/>
      <c r="AD705" s="71"/>
      <c r="AE705" s="71"/>
      <c r="AF705" s="71"/>
      <c r="AG705" s="71"/>
      <c r="AH705" s="71"/>
      <c r="AI705" s="68"/>
      <c r="AJ705" s="214">
        <v>1.2760000000000001E-4</v>
      </c>
      <c r="AK705" s="214">
        <v>1.7219</v>
      </c>
      <c r="AL705" s="214">
        <v>4</v>
      </c>
      <c r="AM705" s="214">
        <v>5.1420100000000005E-4</v>
      </c>
      <c r="AN705" s="68"/>
      <c r="AO705" s="67"/>
      <c r="AP705" s="67"/>
      <c r="AQ705" s="67"/>
      <c r="AR705" s="67"/>
      <c r="AS705" s="67"/>
      <c r="AT705" s="68"/>
      <c r="AU705" s="49"/>
      <c r="AV705" s="50"/>
    </row>
    <row r="706" spans="1:48" ht="12.75" customHeight="1" x14ac:dyDescent="0.25">
      <c r="A706" s="72" t="s">
        <v>23</v>
      </c>
      <c r="B706" s="43" t="s">
        <v>159</v>
      </c>
      <c r="C706" s="44" t="s">
        <v>856</v>
      </c>
      <c r="D706" s="45">
        <f>MROUND(MID($C706,6,3)/Basis!$E$3,0.5)</f>
        <v>35.5</v>
      </c>
      <c r="E706" s="45">
        <f>MROUND(MID($C706,9,3)/Basis!$E$3,0.5)</f>
        <v>118</v>
      </c>
      <c r="F706" s="124" t="s">
        <v>2943</v>
      </c>
      <c r="G706" s="45">
        <f>ROUND((ROUNDDOWN($F706/5,0)*5+1.8)/Basis!$E$3,1)</f>
        <v>4.5999999999999996</v>
      </c>
      <c r="H706" s="120">
        <f>ROUND($P706*Basis!$E$2*((TaH-TrH)/LN(1/µ)/Basis!$E$7)^$N706*$AA$4*Glycol,0)</f>
        <v>8981</v>
      </c>
      <c r="I706" s="83">
        <f>ROUND(H706/(MID($C706,9,3)/Basis!$E$3/Basis!$E$9)*Basis!$E$11,0)</f>
        <v>912</v>
      </c>
      <c r="J706" s="123">
        <f>IF(Basis!$E$1=1,ROUND(H706/((TaH-TrH)*1.163)/3600,3),ROUND(H706/(500*(TaH-TrH)),2))</f>
        <v>0.9</v>
      </c>
      <c r="K706" s="84"/>
      <c r="L706" s="177">
        <f>CHOOSE(Basis!$E$1,((AJ706*(J706*3600/Basis!$E$5)^AK706*(((MID(C706,9,3)*10)-144)/1000)*AL706+AM706*(J706*3600/Basis!$E$5)^2)*0.0098)/Basis!$E$10,((AJ706*(J706/Basis!$E$5)^AK706*(((MID(C706,9,3)*10)-144)/1000)*AL706+AM706*(J706/Basis!$E$5)^2)*0.0098)/Basis!$E$10)</f>
        <v>0.12566018736034676</v>
      </c>
      <c r="M706" s="85"/>
      <c r="N706" s="109">
        <v>1.3480000000000001</v>
      </c>
      <c r="O706" s="68"/>
      <c r="P706" s="67">
        <v>4107</v>
      </c>
      <c r="Q706" s="68"/>
      <c r="R706" s="69"/>
      <c r="S706" s="69"/>
      <c r="T706" s="69"/>
      <c r="U706" s="69"/>
      <c r="V706" s="69"/>
      <c r="W706" s="68"/>
      <c r="X706" s="70"/>
      <c r="Y706" s="70"/>
      <c r="Z706" s="70"/>
      <c r="AA706" s="70"/>
      <c r="AB706" s="70"/>
      <c r="AC706" s="68"/>
      <c r="AD706" s="71"/>
      <c r="AE706" s="71"/>
      <c r="AF706" s="71"/>
      <c r="AG706" s="71"/>
      <c r="AH706" s="71"/>
      <c r="AI706" s="68"/>
      <c r="AJ706" s="214">
        <v>3.9689999999999994E-4</v>
      </c>
      <c r="AK706" s="214">
        <v>1.7345999999999999</v>
      </c>
      <c r="AL706" s="214">
        <v>2</v>
      </c>
      <c r="AM706" s="214">
        <v>3.6734700000000002E-4</v>
      </c>
      <c r="AN706" s="68"/>
      <c r="AO706" s="67"/>
      <c r="AP706" s="67"/>
      <c r="AQ706" s="67"/>
      <c r="AR706" s="67"/>
      <c r="AS706" s="67"/>
      <c r="AT706" s="68"/>
      <c r="AU706" s="49"/>
      <c r="AV706" s="50"/>
    </row>
    <row r="707" spans="1:48" ht="12.75" customHeight="1" x14ac:dyDescent="0.25">
      <c r="A707" s="72" t="s">
        <v>23</v>
      </c>
      <c r="B707" s="43" t="s">
        <v>159</v>
      </c>
      <c r="C707" s="44" t="s">
        <v>857</v>
      </c>
      <c r="D707" s="45">
        <f>MROUND(MID($C707,6,3)/Basis!$E$3,0.5)</f>
        <v>35.5</v>
      </c>
      <c r="E707" s="45">
        <f>MROUND(MID($C707,9,3)/Basis!$E$3,0.5)</f>
        <v>118</v>
      </c>
      <c r="F707" s="124" t="s">
        <v>2946</v>
      </c>
      <c r="G707" s="45">
        <f>ROUND((ROUNDDOWN($F707/5,0)*5+1.8)/Basis!$E$3,1)</f>
        <v>4.5999999999999996</v>
      </c>
      <c r="H707" s="120">
        <f>ROUND($P707*Basis!$E$2*((TaH-TrH)/LN(1/µ)/Basis!$E$7)^$N707*$AA$4*Glycol,0)</f>
        <v>11210</v>
      </c>
      <c r="I707" s="83">
        <f>ROUND(H707/(MID($C707,9,3)/Basis!$E$3/Basis!$E$9)*Basis!$E$11,0)</f>
        <v>1139</v>
      </c>
      <c r="J707" s="123">
        <f>IF(Basis!$E$1=1,ROUND(H707/((TaH-TrH)*1.163)/3600,3),ROUND(H707/(500*(TaH-TrH)),2))</f>
        <v>1.1200000000000001</v>
      </c>
      <c r="K707" s="84"/>
      <c r="L707" s="177">
        <f>CHOOSE(Basis!$E$1,((AJ707*(J707*3600/Basis!$E$5)^AK707*(((MID(C707,9,3)*10)-144)/1000)*AL707+AM707*(J707*3600/Basis!$E$5)^2)*0.0098)/Basis!$E$10,((AJ707*(J707/Basis!$E$5)^AK707*(((MID(C707,9,3)*10)-144)/1000)*AL707+AM707*(J707/Basis!$E$5)^2)*0.0098)/Basis!$E$10)</f>
        <v>0.34208545055860462</v>
      </c>
      <c r="M707" s="85"/>
      <c r="N707" s="110">
        <v>1.4339999999999999</v>
      </c>
      <c r="O707" s="74"/>
      <c r="P707" s="73">
        <v>5274</v>
      </c>
      <c r="Q707" s="74"/>
      <c r="R707" s="75"/>
      <c r="S707" s="75"/>
      <c r="T707" s="75"/>
      <c r="U707" s="75"/>
      <c r="V707" s="75"/>
      <c r="W707" s="74"/>
      <c r="X707" s="76"/>
      <c r="Y707" s="76"/>
      <c r="Z707" s="76"/>
      <c r="AA707" s="76"/>
      <c r="AB707" s="76"/>
      <c r="AC707" s="74"/>
      <c r="AD707" s="77"/>
      <c r="AE707" s="77"/>
      <c r="AF707" s="77"/>
      <c r="AG707" s="77"/>
      <c r="AH707" s="77"/>
      <c r="AI707" s="68"/>
      <c r="AJ707" s="213">
        <v>3.9689999999999994E-4</v>
      </c>
      <c r="AK707" s="213">
        <v>1.7345999999999999</v>
      </c>
      <c r="AL707" s="213">
        <v>4</v>
      </c>
      <c r="AM707" s="213">
        <v>5.7428799999999995E-4</v>
      </c>
      <c r="AN707" s="74"/>
      <c r="AO707" s="73"/>
      <c r="AP707" s="73"/>
      <c r="AQ707" s="73"/>
      <c r="AR707" s="73"/>
      <c r="AS707" s="73"/>
      <c r="AT707" s="74"/>
      <c r="AU707" s="47"/>
      <c r="AV707" s="48"/>
    </row>
    <row r="708" spans="1:48" ht="12.75" customHeight="1" x14ac:dyDescent="0.25">
      <c r="A708" s="72" t="s">
        <v>23</v>
      </c>
      <c r="B708" s="43" t="s">
        <v>159</v>
      </c>
      <c r="C708" s="44" t="s">
        <v>858</v>
      </c>
      <c r="D708" s="45">
        <f>MROUND(MID($C708,6,3)/Basis!$E$3,0.5)</f>
        <v>35.5</v>
      </c>
      <c r="E708" s="45">
        <f>MROUND(MID($C708,9,3)/Basis!$E$3,0.5)</f>
        <v>118</v>
      </c>
      <c r="F708" s="124" t="s">
        <v>2944</v>
      </c>
      <c r="G708" s="45">
        <f>ROUND((ROUNDDOWN($F708/5,0)*5+1.8)/Basis!$E$3,1)</f>
        <v>6.6</v>
      </c>
      <c r="H708" s="120">
        <f>ROUND($P708*Basis!$E$2*((TaH-TrH)/LN(1/µ)/Basis!$E$7)^$N708*$AA$4*Glycol,0)</f>
        <v>14009</v>
      </c>
      <c r="I708" s="83">
        <f>ROUND(H708/(MID($C708,9,3)/Basis!$E$3/Basis!$E$9)*Basis!$E$11,0)</f>
        <v>1423</v>
      </c>
      <c r="J708" s="123">
        <f>IF(Basis!$E$1=1,ROUND(H708/((TaH-TrH)*1.163)/3600,3),ROUND(H708/(500*(TaH-TrH)),2))</f>
        <v>1.4</v>
      </c>
      <c r="K708" s="84"/>
      <c r="L708" s="177">
        <f>CHOOSE(Basis!$E$1,((AJ708*(J708*3600/Basis!$E$5)^AK708*(((MID(C708,9,3)*10)-144)/1000)*AL708+AM708*(J708*3600/Basis!$E$5)^2)*0.0098)/Basis!$E$10,((AJ708*(J708/Basis!$E$5)^AK708*(((MID(C708,9,3)*10)-144)/1000)*AL708+AM708*(J708/Basis!$E$5)^2)*0.0098)/Basis!$E$10)</f>
        <v>0.23286656645864515</v>
      </c>
      <c r="M708" s="85"/>
      <c r="N708" s="110">
        <v>1.3260000000000001</v>
      </c>
      <c r="O708" s="74"/>
      <c r="P708" s="73">
        <v>6360</v>
      </c>
      <c r="Q708" s="74"/>
      <c r="R708" s="75"/>
      <c r="S708" s="75"/>
      <c r="T708" s="75"/>
      <c r="U708" s="75"/>
      <c r="V708" s="75"/>
      <c r="W708" s="74"/>
      <c r="X708" s="76"/>
      <c r="Y708" s="76"/>
      <c r="Z708" s="76"/>
      <c r="AA708" s="76"/>
      <c r="AB708" s="76"/>
      <c r="AC708" s="74"/>
      <c r="AD708" s="77"/>
      <c r="AE708" s="77"/>
      <c r="AF708" s="77"/>
      <c r="AG708" s="77"/>
      <c r="AH708" s="77"/>
      <c r="AI708" s="68"/>
      <c r="AJ708" s="213">
        <v>2.0829999999999999E-4</v>
      </c>
      <c r="AK708" s="213">
        <v>1.724</v>
      </c>
      <c r="AL708" s="213">
        <v>2</v>
      </c>
      <c r="AM708" s="213">
        <v>4.6182900000000003E-4</v>
      </c>
      <c r="AN708" s="74"/>
      <c r="AO708" s="73"/>
      <c r="AP708" s="73"/>
      <c r="AQ708" s="73"/>
      <c r="AR708" s="73"/>
      <c r="AS708" s="73"/>
      <c r="AT708" s="74"/>
      <c r="AU708" s="47"/>
      <c r="AV708" s="48"/>
    </row>
    <row r="709" spans="1:48" ht="12.75" customHeight="1" x14ac:dyDescent="0.25">
      <c r="A709" s="72" t="s">
        <v>23</v>
      </c>
      <c r="B709" s="43" t="s">
        <v>159</v>
      </c>
      <c r="C709" s="44" t="s">
        <v>859</v>
      </c>
      <c r="D709" s="45">
        <f>MROUND(MID($C709,6,3)/Basis!$E$3,0.5)</f>
        <v>35.5</v>
      </c>
      <c r="E709" s="45">
        <f>MROUND(MID($C709,9,3)/Basis!$E$3,0.5)</f>
        <v>118</v>
      </c>
      <c r="F709" s="124" t="s">
        <v>2947</v>
      </c>
      <c r="G709" s="45">
        <f>ROUND((ROUNDDOWN($F709/5,0)*5+1.8)/Basis!$E$3,1)</f>
        <v>6.6</v>
      </c>
      <c r="H709" s="120">
        <f>ROUND($P709*Basis!$E$2*((TaH-TrH)/LN(1/µ)/Basis!$E$7)^$N709*$AA$4*Glycol,0)</f>
        <v>16305</v>
      </c>
      <c r="I709" s="83">
        <f>ROUND(H709/(MID($C709,9,3)/Basis!$E$3/Basis!$E$9)*Basis!$E$11,0)</f>
        <v>1657</v>
      </c>
      <c r="J709" s="123">
        <f>IF(Basis!$E$1=1,ROUND(H709/((TaH-TrH)*1.163)/3600,3),ROUND(H709/(500*(TaH-TrH)),2))</f>
        <v>1.63</v>
      </c>
      <c r="K709" s="84"/>
      <c r="L709" s="177">
        <f>CHOOSE(Basis!$E$1,((AJ709*(J709*3600/Basis!$E$5)^AK709*(((MID(C709,9,3)*10)-144)/1000)*AL709+AM709*(J709*3600/Basis!$E$5)^2)*0.0098)/Basis!$E$10,((AJ709*(J709/Basis!$E$5)^AK709*(((MID(C709,9,3)*10)-144)/1000)*AL709+AM709*(J709/Basis!$E$5)^2)*0.0098)/Basis!$E$10)</f>
        <v>0.8326310212086746</v>
      </c>
      <c r="M709" s="85"/>
      <c r="N709" s="109">
        <v>1.48</v>
      </c>
      <c r="O709" s="68"/>
      <c r="P709" s="67">
        <v>7788</v>
      </c>
      <c r="Q709" s="68"/>
      <c r="R709" s="69"/>
      <c r="S709" s="69"/>
      <c r="T709" s="69"/>
      <c r="U709" s="69"/>
      <c r="V709" s="69"/>
      <c r="W709" s="68"/>
      <c r="X709" s="70"/>
      <c r="Y709" s="70"/>
      <c r="Z709" s="70"/>
      <c r="AA709" s="70"/>
      <c r="AB709" s="70"/>
      <c r="AC709" s="68"/>
      <c r="AD709" s="71"/>
      <c r="AE709" s="71"/>
      <c r="AF709" s="71"/>
      <c r="AG709" s="71"/>
      <c r="AH709" s="71"/>
      <c r="AI709" s="68"/>
      <c r="AJ709" s="214">
        <v>2.0829999999999999E-4</v>
      </c>
      <c r="AK709" s="214">
        <v>1.724</v>
      </c>
      <c r="AL709" s="214">
        <v>4</v>
      </c>
      <c r="AM709" s="214">
        <v>1.392796E-3</v>
      </c>
      <c r="AN709" s="68"/>
      <c r="AO709" s="67"/>
      <c r="AP709" s="67"/>
      <c r="AQ709" s="67"/>
      <c r="AR709" s="67"/>
      <c r="AS709" s="67"/>
      <c r="AT709" s="68"/>
      <c r="AU709" s="49"/>
      <c r="AV709" s="50"/>
    </row>
    <row r="710" spans="1:48" ht="12.75" customHeight="1" x14ac:dyDescent="0.25">
      <c r="A710" s="72" t="s">
        <v>23</v>
      </c>
      <c r="B710" s="43" t="s">
        <v>159</v>
      </c>
      <c r="C710" s="44" t="s">
        <v>860</v>
      </c>
      <c r="D710" s="45">
        <f>MROUND(MID($C710,6,3)/Basis!$E$3,0.5)</f>
        <v>35.5</v>
      </c>
      <c r="E710" s="45">
        <f>MROUND(MID($C710,9,3)/Basis!$E$3,0.5)</f>
        <v>118</v>
      </c>
      <c r="F710" s="124" t="s">
        <v>2945</v>
      </c>
      <c r="G710" s="45">
        <f>ROUND((ROUNDDOWN($F710/5,0)*5+1.8)/Basis!$E$3,1)</f>
        <v>8.6</v>
      </c>
      <c r="H710" s="120">
        <f>ROUND($P710*Basis!$E$2*((TaH-TrH)/LN(1/µ)/Basis!$E$7)^$N710*$AA$4*Glycol,0)</f>
        <v>19540</v>
      </c>
      <c r="I710" s="83">
        <f>ROUND(H710/(MID($C710,9,3)/Basis!$E$3/Basis!$E$9)*Basis!$E$11,0)</f>
        <v>1985</v>
      </c>
      <c r="J710" s="123">
        <f>IF(Basis!$E$1=1,ROUND(H710/((TaH-TrH)*1.163)/3600,3),ROUND(H710/(500*(TaH-TrH)),2))</f>
        <v>1.95</v>
      </c>
      <c r="K710" s="84"/>
      <c r="L710" s="177">
        <f>CHOOSE(Basis!$E$1,((AJ710*(J710*3600/Basis!$E$5)^AK710*(((MID(C710,9,3)*10)-144)/1000)*AL710+AM710*(J710*3600/Basis!$E$5)^2)*0.0098)/Basis!$E$10,((AJ710*(J710/Basis!$E$5)^AK710*(((MID(C710,9,3)*10)-144)/1000)*AL710+AM710*(J710/Basis!$E$5)^2)*0.0098)/Basis!$E$10)</f>
        <v>0.32741074187890401</v>
      </c>
      <c r="M710" s="85"/>
      <c r="N710" s="109">
        <v>1.3260000000000001</v>
      </c>
      <c r="O710" s="68"/>
      <c r="P710" s="67">
        <v>8871</v>
      </c>
      <c r="Q710" s="68"/>
      <c r="R710" s="69"/>
      <c r="S710" s="69"/>
      <c r="T710" s="69"/>
      <c r="U710" s="69"/>
      <c r="V710" s="69"/>
      <c r="W710" s="68"/>
      <c r="X710" s="70"/>
      <c r="Y710" s="70"/>
      <c r="Z710" s="70"/>
      <c r="AA710" s="70"/>
      <c r="AB710" s="70"/>
      <c r="AC710" s="68"/>
      <c r="AD710" s="71"/>
      <c r="AE710" s="71"/>
      <c r="AF710" s="71"/>
      <c r="AG710" s="71"/>
      <c r="AH710" s="71"/>
      <c r="AI710" s="68"/>
      <c r="AJ710" s="214">
        <v>1.2760000000000001E-4</v>
      </c>
      <c r="AK710" s="214">
        <v>1.7219</v>
      </c>
      <c r="AL710" s="214">
        <v>2</v>
      </c>
      <c r="AM710" s="214">
        <v>3.76611E-4</v>
      </c>
      <c r="AN710" s="68"/>
      <c r="AO710" s="67"/>
      <c r="AP710" s="67"/>
      <c r="AQ710" s="67"/>
      <c r="AR710" s="67"/>
      <c r="AS710" s="67"/>
      <c r="AT710" s="68"/>
      <c r="AU710" s="49"/>
      <c r="AV710" s="50"/>
    </row>
    <row r="711" spans="1:48" ht="12.75" customHeight="1" x14ac:dyDescent="0.25">
      <c r="A711" s="72" t="s">
        <v>23</v>
      </c>
      <c r="B711" s="43" t="s">
        <v>159</v>
      </c>
      <c r="C711" s="44" t="s">
        <v>861</v>
      </c>
      <c r="D711" s="45">
        <f>MROUND(MID($C711,6,3)/Basis!$E$3,0.5)</f>
        <v>35.5</v>
      </c>
      <c r="E711" s="45">
        <f>MROUND(MID($C711,9,3)/Basis!$E$3,0.5)</f>
        <v>118</v>
      </c>
      <c r="F711" s="124" t="s">
        <v>2948</v>
      </c>
      <c r="G711" s="45">
        <f>ROUND((ROUNDDOWN($F711/5,0)*5+1.8)/Basis!$E$3,1)</f>
        <v>8.6</v>
      </c>
      <c r="H711" s="120">
        <f>ROUND($P711*Basis!$E$2*((TaH-TrH)/LN(1/µ)/Basis!$E$7)^$N711*$AA$4*Glycol,0)</f>
        <v>23383</v>
      </c>
      <c r="I711" s="83">
        <f>ROUND(H711/(MID($C711,9,3)/Basis!$E$3/Basis!$E$9)*Basis!$E$11,0)</f>
        <v>2376</v>
      </c>
      <c r="J711" s="123">
        <f>IF(Basis!$E$1=1,ROUND(H711/((TaH-TrH)*1.163)/3600,3),ROUND(H711/(500*(TaH-TrH)),2))</f>
        <v>2.34</v>
      </c>
      <c r="K711" s="84"/>
      <c r="L711" s="177">
        <f>CHOOSE(Basis!$E$1,((AJ711*(J711*3600/Basis!$E$5)^AK711*(((MID(C711,9,3)*10)-144)/1000)*AL711+AM711*(J711*3600/Basis!$E$5)^2)*0.0098)/Basis!$E$10,((AJ711*(J711/Basis!$E$5)^AK711*(((MID(C711,9,3)*10)-144)/1000)*AL711+AM711*(J711/Basis!$E$5)^2)*0.0098)/Basis!$E$10)</f>
        <v>0.70996445823537435</v>
      </c>
      <c r="M711" s="85"/>
      <c r="N711" s="110">
        <v>1.518</v>
      </c>
      <c r="O711" s="74"/>
      <c r="P711" s="73">
        <v>11310</v>
      </c>
      <c r="Q711" s="74"/>
      <c r="R711" s="75"/>
      <c r="S711" s="75"/>
      <c r="T711" s="75"/>
      <c r="U711" s="75"/>
      <c r="V711" s="75"/>
      <c r="W711" s="74"/>
      <c r="X711" s="76"/>
      <c r="Y711" s="76"/>
      <c r="Z711" s="76"/>
      <c r="AA711" s="76"/>
      <c r="AB711" s="76"/>
      <c r="AC711" s="74"/>
      <c r="AD711" s="77"/>
      <c r="AE711" s="77"/>
      <c r="AF711" s="77"/>
      <c r="AG711" s="77"/>
      <c r="AH711" s="77"/>
      <c r="AI711" s="68"/>
      <c r="AJ711" s="213">
        <v>1.2760000000000001E-4</v>
      </c>
      <c r="AK711" s="213">
        <v>1.7219</v>
      </c>
      <c r="AL711" s="213">
        <v>4</v>
      </c>
      <c r="AM711" s="213">
        <v>5.1420100000000005E-4</v>
      </c>
      <c r="AN711" s="74"/>
      <c r="AO711" s="73"/>
      <c r="AP711" s="73"/>
      <c r="AQ711" s="73"/>
      <c r="AR711" s="73"/>
      <c r="AS711" s="73"/>
      <c r="AT711" s="74"/>
      <c r="AU711" s="47"/>
      <c r="AV711" s="48"/>
    </row>
    <row r="712" spans="1:48" ht="12.75" customHeight="1" x14ac:dyDescent="0.25">
      <c r="A712" s="72" t="s">
        <v>20</v>
      </c>
      <c r="B712" s="43" t="s">
        <v>862</v>
      </c>
      <c r="C712" s="44" t="s">
        <v>863</v>
      </c>
      <c r="D712" s="45">
        <f>MROUND(MID($C712,6,3)/Basis!$E$3,0.5)</f>
        <v>21.5</v>
      </c>
      <c r="E712" s="45">
        <f>MROUND(MID($C712,9,3)/Basis!$E$3,0.5)</f>
        <v>23.5</v>
      </c>
      <c r="F712" s="124" t="s">
        <v>2943</v>
      </c>
      <c r="G712" s="45">
        <f>ROUND((ROUNDDOWN($F712/5,0)*5+2.8)/Basis!$E$3,1)</f>
        <v>5</v>
      </c>
      <c r="H712" s="120">
        <f>ROUND($P712*Basis!$E$2*((TaH-TrH)/LN(1/µ)/Basis!$E$7)^$N712*$AA$4*Glycol,0)</f>
        <v>1415</v>
      </c>
      <c r="I712" s="83">
        <f>ROUND(H712/(MID($C712,9,3)/Basis!$E$3/Basis!$E$9)*Basis!$E$11,0)</f>
        <v>719</v>
      </c>
      <c r="J712" s="123">
        <f>IF(Basis!$E$1=1,ROUND(H712/((TaH-TrH)*1.163)/3600,3),ROUND(H712/(500*(TaH-TrH)),2))</f>
        <v>0.14000000000000001</v>
      </c>
      <c r="K712" s="84"/>
      <c r="L712" s="177">
        <f>CHOOSE(Basis!$E$1,((AJ712*(J712*3600/Basis!$E$5)^AK712*(((MID(C712,9,3)*10)-144)/1000)*AL712+AM712*(J712*3600/Basis!$E$5)^2)*0.0098)/Basis!$E$10,((AJ712*(J712/Basis!$E$5)^AK712*(((MID(C712,9,3)*10)-144)/1000)*AL712+AM712*(J712/Basis!$E$5)^2)*0.0098)/Basis!$E$10)</f>
        <v>1.6922160915461598E-3</v>
      </c>
      <c r="M712" s="85"/>
      <c r="N712" s="110">
        <v>1.407</v>
      </c>
      <c r="O712" s="74"/>
      <c r="P712" s="73">
        <v>660</v>
      </c>
      <c r="Q712" s="74"/>
      <c r="R712" s="75"/>
      <c r="S712" s="75"/>
      <c r="T712" s="75"/>
      <c r="U712" s="75"/>
      <c r="V712" s="75"/>
      <c r="W712" s="74"/>
      <c r="X712" s="76"/>
      <c r="Y712" s="76"/>
      <c r="Z712" s="76"/>
      <c r="AA712" s="76"/>
      <c r="AB712" s="76"/>
      <c r="AC712" s="74"/>
      <c r="AD712" s="77"/>
      <c r="AE712" s="77"/>
      <c r="AF712" s="77"/>
      <c r="AG712" s="77"/>
      <c r="AH712" s="77"/>
      <c r="AI712" s="68"/>
      <c r="AJ712" s="213">
        <v>3.9689999999999994E-4</v>
      </c>
      <c r="AK712" s="213">
        <v>1.7345999999999999</v>
      </c>
      <c r="AL712" s="213">
        <v>2</v>
      </c>
      <c r="AM712" s="213">
        <v>3.6734700000000002E-4</v>
      </c>
      <c r="AN712" s="74"/>
      <c r="AO712" s="73"/>
      <c r="AP712" s="73"/>
      <c r="AQ712" s="73"/>
      <c r="AR712" s="73"/>
      <c r="AS712" s="73"/>
      <c r="AT712" s="74"/>
      <c r="AU712" s="47"/>
      <c r="AV712" s="48"/>
    </row>
    <row r="713" spans="1:48" ht="12.75" customHeight="1" x14ac:dyDescent="0.25">
      <c r="A713" s="72" t="s">
        <v>20</v>
      </c>
      <c r="B713" s="43" t="s">
        <v>862</v>
      </c>
      <c r="C713" s="44" t="s">
        <v>864</v>
      </c>
      <c r="D713" s="45">
        <f>MROUND(MID($C713,6,3)/Basis!$E$3,0.5)</f>
        <v>21.5</v>
      </c>
      <c r="E713" s="45">
        <f>MROUND(MID($C713,9,3)/Basis!$E$3,0.5)</f>
        <v>23.5</v>
      </c>
      <c r="F713" s="124" t="s">
        <v>2946</v>
      </c>
      <c r="G713" s="45">
        <f>ROUND((ROUNDDOWN($F713/5,0)*5+2.8)/Basis!$E$3,1)</f>
        <v>5</v>
      </c>
      <c r="H713" s="120">
        <f>ROUND($P713*Basis!$E$2*((TaH-TrH)/LN(1/µ)/Basis!$E$7)^$N713*$AA$4*Glycol,0)</f>
        <v>1500</v>
      </c>
      <c r="I713" s="83">
        <f>ROUND(H713/(MID($C713,9,3)/Basis!$E$3/Basis!$E$9)*Basis!$E$11,0)</f>
        <v>762</v>
      </c>
      <c r="J713" s="123">
        <f>IF(Basis!$E$1=1,ROUND(H713/((TaH-TrH)*1.163)/3600,3),ROUND(H713/(500*(TaH-TrH)),2))</f>
        <v>0.15</v>
      </c>
      <c r="K713" s="84"/>
      <c r="L713" s="177">
        <f>CHOOSE(Basis!$E$1,((AJ713*(J713*3600/Basis!$E$5)^AK713*(((MID(C713,9,3)*10)-144)/1000)*AL713+AM713*(J713*3600/Basis!$E$5)^2)*0.0098)/Basis!$E$10,((AJ713*(J713/Basis!$E$5)^AK713*(((MID(C713,9,3)*10)-144)/1000)*AL713+AM713*(J713/Basis!$E$5)^2)*0.0098)/Basis!$E$10)</f>
        <v>3.256533521943451E-3</v>
      </c>
      <c r="M713" s="85"/>
      <c r="N713" s="109">
        <v>1.4870000000000001</v>
      </c>
      <c r="O713" s="68"/>
      <c r="P713" s="67">
        <v>718</v>
      </c>
      <c r="Q713" s="68"/>
      <c r="R713" s="69"/>
      <c r="S713" s="69"/>
      <c r="T713" s="69"/>
      <c r="U713" s="69"/>
      <c r="V713" s="69"/>
      <c r="W713" s="68"/>
      <c r="X713" s="70"/>
      <c r="Y713" s="70"/>
      <c r="Z713" s="70"/>
      <c r="AA713" s="70"/>
      <c r="AB713" s="70"/>
      <c r="AC713" s="68"/>
      <c r="AD713" s="71"/>
      <c r="AE713" s="71"/>
      <c r="AF713" s="71"/>
      <c r="AG713" s="71"/>
      <c r="AH713" s="71"/>
      <c r="AI713" s="68"/>
      <c r="AJ713" s="214">
        <v>3.9689999999999994E-4</v>
      </c>
      <c r="AK713" s="214">
        <v>1.7345999999999999</v>
      </c>
      <c r="AL713" s="214">
        <v>4</v>
      </c>
      <c r="AM713" s="214">
        <v>5.7428799999999995E-4</v>
      </c>
      <c r="AN713" s="68"/>
      <c r="AO713" s="67"/>
      <c r="AP713" s="67"/>
      <c r="AQ713" s="67"/>
      <c r="AR713" s="67"/>
      <c r="AS713" s="67"/>
      <c r="AT713" s="68"/>
      <c r="AU713" s="49"/>
      <c r="AV713" s="50"/>
    </row>
    <row r="714" spans="1:48" ht="12.75" customHeight="1" x14ac:dyDescent="0.25">
      <c r="A714" s="72" t="s">
        <v>20</v>
      </c>
      <c r="B714" s="43" t="s">
        <v>862</v>
      </c>
      <c r="C714" s="44" t="s">
        <v>865</v>
      </c>
      <c r="D714" s="45">
        <f>MROUND(MID($C714,6,3)/Basis!$E$3,0.5)</f>
        <v>21.5</v>
      </c>
      <c r="E714" s="45">
        <f>MROUND(MID($C714,9,3)/Basis!$E$3,0.5)</f>
        <v>23.5</v>
      </c>
      <c r="F714" s="124" t="s">
        <v>2944</v>
      </c>
      <c r="G714" s="45">
        <f>ROUND((ROUNDDOWN($F714/5,0)*5+2.8)/Basis!$E$3,1)</f>
        <v>7</v>
      </c>
      <c r="H714" s="120">
        <f>ROUND($P714*Basis!$E$2*((TaH-TrH)/LN(1/µ)/Basis!$E$7)^$N714*$AA$4*Glycol,0)</f>
        <v>2160</v>
      </c>
      <c r="I714" s="83">
        <f>ROUND(H714/(MID($C714,9,3)/Basis!$E$3/Basis!$E$9)*Basis!$E$11,0)</f>
        <v>1097</v>
      </c>
      <c r="J714" s="123">
        <f>IF(Basis!$E$1=1,ROUND(H714/((TaH-TrH)*1.163)/3600,3),ROUND(H714/(500*(TaH-TrH)),2))</f>
        <v>0.22</v>
      </c>
      <c r="K714" s="84"/>
      <c r="L714" s="177">
        <f>CHOOSE(Basis!$E$1,((AJ714*(J714*3600/Basis!$E$5)^AK714*(((MID(C714,9,3)*10)-144)/1000)*AL714+AM714*(J714*3600/Basis!$E$5)^2)*0.0098)/Basis!$E$10,((AJ714*(J714/Basis!$E$5)^AK714*(((MID(C714,9,3)*10)-144)/1000)*AL714+AM714*(J714/Basis!$E$5)^2)*0.0098)/Basis!$E$10)</f>
        <v>4.2971074501118008E-3</v>
      </c>
      <c r="M714" s="85"/>
      <c r="N714" s="109">
        <v>1.389</v>
      </c>
      <c r="O714" s="68"/>
      <c r="P714" s="67">
        <v>1001</v>
      </c>
      <c r="Q714" s="68"/>
      <c r="R714" s="69"/>
      <c r="S714" s="69"/>
      <c r="T714" s="69"/>
      <c r="U714" s="69"/>
      <c r="V714" s="69"/>
      <c r="W714" s="68"/>
      <c r="X714" s="70"/>
      <c r="Y714" s="70"/>
      <c r="Z714" s="70"/>
      <c r="AA714" s="70"/>
      <c r="AB714" s="70"/>
      <c r="AC714" s="68"/>
      <c r="AD714" s="71"/>
      <c r="AE714" s="71"/>
      <c r="AF714" s="71"/>
      <c r="AG714" s="71"/>
      <c r="AH714" s="71"/>
      <c r="AI714" s="68"/>
      <c r="AJ714" s="214">
        <v>2.0829999999999999E-4</v>
      </c>
      <c r="AK714" s="214">
        <v>1.724</v>
      </c>
      <c r="AL714" s="214">
        <v>2</v>
      </c>
      <c r="AM714" s="214">
        <v>4.6182900000000003E-4</v>
      </c>
      <c r="AN714" s="68"/>
      <c r="AO714" s="67"/>
      <c r="AP714" s="67"/>
      <c r="AQ714" s="67"/>
      <c r="AR714" s="67"/>
      <c r="AS714" s="67"/>
      <c r="AT714" s="68"/>
      <c r="AU714" s="49"/>
      <c r="AV714" s="50"/>
    </row>
    <row r="715" spans="1:48" ht="12.75" customHeight="1" x14ac:dyDescent="0.25">
      <c r="A715" s="72" t="s">
        <v>20</v>
      </c>
      <c r="B715" s="43" t="s">
        <v>862</v>
      </c>
      <c r="C715" s="44" t="s">
        <v>866</v>
      </c>
      <c r="D715" s="45">
        <f>MROUND(MID($C715,6,3)/Basis!$E$3,0.5)</f>
        <v>21.5</v>
      </c>
      <c r="E715" s="45">
        <f>MROUND(MID($C715,9,3)/Basis!$E$3,0.5)</f>
        <v>23.5</v>
      </c>
      <c r="F715" s="124" t="s">
        <v>2947</v>
      </c>
      <c r="G715" s="45">
        <f>ROUND((ROUNDDOWN($F715/5,0)*5+2.8)/Basis!$E$3,1)</f>
        <v>7</v>
      </c>
      <c r="H715" s="120">
        <f>ROUND($P715*Basis!$E$2*((TaH-TrH)/LN(1/µ)/Basis!$E$7)^$N715*$AA$4*Glycol,0)</f>
        <v>2225</v>
      </c>
      <c r="I715" s="83">
        <f>ROUND(H715/(MID($C715,9,3)/Basis!$E$3/Basis!$E$9)*Basis!$E$11,0)</f>
        <v>1130</v>
      </c>
      <c r="J715" s="123">
        <f>IF(Basis!$E$1=1,ROUND(H715/((TaH-TrH)*1.163)/3600,3),ROUND(H715/(500*(TaH-TrH)),2))</f>
        <v>0.22</v>
      </c>
      <c r="K715" s="84"/>
      <c r="L715" s="177">
        <f>CHOOSE(Basis!$E$1,((AJ715*(J715*3600/Basis!$E$5)^AK715*(((MID(C715,9,3)*10)-144)/1000)*AL715+AM715*(J715*3600/Basis!$E$5)^2)*0.0098)/Basis!$E$10,((AJ715*(J715/Basis!$E$5)^AK715*(((MID(C715,9,3)*10)-144)/1000)*AL715+AM715*(J715/Basis!$E$5)^2)*0.0098)/Basis!$E$10)</f>
        <v>1.2424084006467946E-2</v>
      </c>
      <c r="M715" s="85"/>
      <c r="N715" s="110">
        <v>1.48</v>
      </c>
      <c r="O715" s="74"/>
      <c r="P715" s="73">
        <v>1063</v>
      </c>
      <c r="Q715" s="74"/>
      <c r="R715" s="75"/>
      <c r="S715" s="75"/>
      <c r="T715" s="75"/>
      <c r="U715" s="75"/>
      <c r="V715" s="75"/>
      <c r="W715" s="74"/>
      <c r="X715" s="76"/>
      <c r="Y715" s="76"/>
      <c r="Z715" s="76"/>
      <c r="AA715" s="76"/>
      <c r="AB715" s="76"/>
      <c r="AC715" s="74"/>
      <c r="AD715" s="77"/>
      <c r="AE715" s="77"/>
      <c r="AF715" s="77"/>
      <c r="AG715" s="77"/>
      <c r="AH715" s="77"/>
      <c r="AI715" s="68"/>
      <c r="AJ715" s="213">
        <v>2.0829999999999999E-4</v>
      </c>
      <c r="AK715" s="213">
        <v>1.724</v>
      </c>
      <c r="AL715" s="213">
        <v>4</v>
      </c>
      <c r="AM715" s="213">
        <v>1.392796E-3</v>
      </c>
      <c r="AN715" s="74"/>
      <c r="AO715" s="73"/>
      <c r="AP715" s="73"/>
      <c r="AQ715" s="73"/>
      <c r="AR715" s="73"/>
      <c r="AS715" s="73"/>
      <c r="AT715" s="74"/>
      <c r="AU715" s="47"/>
      <c r="AV715" s="48"/>
    </row>
    <row r="716" spans="1:48" ht="12.75" customHeight="1" x14ac:dyDescent="0.25">
      <c r="A716" s="72" t="s">
        <v>20</v>
      </c>
      <c r="B716" s="43" t="s">
        <v>862</v>
      </c>
      <c r="C716" s="44" t="s">
        <v>867</v>
      </c>
      <c r="D716" s="45">
        <f>MROUND(MID($C716,6,3)/Basis!$E$3,0.5)</f>
        <v>21.5</v>
      </c>
      <c r="E716" s="45">
        <f>MROUND(MID($C716,9,3)/Basis!$E$3,0.5)</f>
        <v>31.5</v>
      </c>
      <c r="F716" s="124" t="s">
        <v>2943</v>
      </c>
      <c r="G716" s="45">
        <f>ROUND((ROUNDDOWN($F716/5,0)*5+2.8)/Basis!$E$3,1)</f>
        <v>5</v>
      </c>
      <c r="H716" s="120">
        <f>ROUND($P716*Basis!$E$2*((TaH-TrH)/LN(1/µ)/Basis!$E$7)^$N716*$AA$4*Glycol,0)</f>
        <v>1887</v>
      </c>
      <c r="I716" s="83">
        <f>ROUND(H716/(MID($C716,9,3)/Basis!$E$3/Basis!$E$9)*Basis!$E$11,0)</f>
        <v>719</v>
      </c>
      <c r="J716" s="123">
        <f>IF(Basis!$E$1=1,ROUND(H716/((TaH-TrH)*1.163)/3600,3),ROUND(H716/(500*(TaH-TrH)),2))</f>
        <v>0.19</v>
      </c>
      <c r="K716" s="84"/>
      <c r="L716" s="177">
        <f>CHOOSE(Basis!$E$1,((AJ716*(J716*3600/Basis!$E$5)^AK716*(((MID(C716,9,3)*10)-144)/1000)*AL716+AM716*(J716*3600/Basis!$E$5)^2)*0.0098)/Basis!$E$10,((AJ716*(J716/Basis!$E$5)^AK716*(((MID(C716,9,3)*10)-144)/1000)*AL716+AM716*(J716/Basis!$E$5)^2)*0.0098)/Basis!$E$10)</f>
        <v>3.404198837016622E-3</v>
      </c>
      <c r="M716" s="85"/>
      <c r="N716" s="110">
        <v>1.407</v>
      </c>
      <c r="O716" s="74"/>
      <c r="P716" s="73">
        <v>880</v>
      </c>
      <c r="Q716" s="74"/>
      <c r="R716" s="75"/>
      <c r="S716" s="75"/>
      <c r="T716" s="75"/>
      <c r="U716" s="75"/>
      <c r="V716" s="75"/>
      <c r="W716" s="74"/>
      <c r="X716" s="76"/>
      <c r="Y716" s="76"/>
      <c r="Z716" s="76"/>
      <c r="AA716" s="76"/>
      <c r="AB716" s="76"/>
      <c r="AC716" s="74"/>
      <c r="AD716" s="77"/>
      <c r="AE716" s="77"/>
      <c r="AF716" s="77"/>
      <c r="AG716" s="77"/>
      <c r="AH716" s="77"/>
      <c r="AI716" s="68"/>
      <c r="AJ716" s="213">
        <v>3.9689999999999994E-4</v>
      </c>
      <c r="AK716" s="213">
        <v>1.7345999999999999</v>
      </c>
      <c r="AL716" s="213">
        <v>2</v>
      </c>
      <c r="AM716" s="213">
        <v>3.6734700000000002E-4</v>
      </c>
      <c r="AN716" s="74"/>
      <c r="AO716" s="73"/>
      <c r="AP716" s="73"/>
      <c r="AQ716" s="73"/>
      <c r="AR716" s="73"/>
      <c r="AS716" s="73"/>
      <c r="AT716" s="74"/>
      <c r="AU716" s="47"/>
      <c r="AV716" s="48"/>
    </row>
    <row r="717" spans="1:48" ht="12.75" customHeight="1" x14ac:dyDescent="0.25">
      <c r="A717" s="72" t="s">
        <v>20</v>
      </c>
      <c r="B717" s="43" t="s">
        <v>862</v>
      </c>
      <c r="C717" s="44" t="s">
        <v>868</v>
      </c>
      <c r="D717" s="45">
        <f>MROUND(MID($C717,6,3)/Basis!$E$3,0.5)</f>
        <v>21.5</v>
      </c>
      <c r="E717" s="45">
        <f>MROUND(MID($C717,9,3)/Basis!$E$3,0.5)</f>
        <v>31.5</v>
      </c>
      <c r="F717" s="124" t="s">
        <v>2946</v>
      </c>
      <c r="G717" s="45">
        <f>ROUND((ROUNDDOWN($F717/5,0)*5+2.8)/Basis!$E$3,1)</f>
        <v>5</v>
      </c>
      <c r="H717" s="120">
        <f>ROUND($P717*Basis!$E$2*((TaH-TrH)/LN(1/µ)/Basis!$E$7)^$N717*$AA$4*Glycol,0)</f>
        <v>2001</v>
      </c>
      <c r="I717" s="83">
        <f>ROUND(H717/(MID($C717,9,3)/Basis!$E$3/Basis!$E$9)*Basis!$E$11,0)</f>
        <v>762</v>
      </c>
      <c r="J717" s="123">
        <f>IF(Basis!$E$1=1,ROUND(H717/((TaH-TrH)*1.163)/3600,3),ROUND(H717/(500*(TaH-TrH)),2))</f>
        <v>0.2</v>
      </c>
      <c r="K717" s="84"/>
      <c r="L717" s="177">
        <f>CHOOSE(Basis!$E$1,((AJ717*(J717*3600/Basis!$E$5)^AK717*(((MID(C717,9,3)*10)-144)/1000)*AL717+AM717*(J717*3600/Basis!$E$5)^2)*0.0098)/Basis!$E$10,((AJ717*(J717/Basis!$E$5)^AK717*(((MID(C717,9,3)*10)-144)/1000)*AL717+AM717*(J717/Basis!$E$5)^2)*0.0098)/Basis!$E$10)</f>
        <v>6.4267233338345881E-3</v>
      </c>
      <c r="M717" s="85"/>
      <c r="N717" s="109">
        <v>1.4870000000000001</v>
      </c>
      <c r="O717" s="68"/>
      <c r="P717" s="67">
        <v>958</v>
      </c>
      <c r="Q717" s="68"/>
      <c r="R717" s="69"/>
      <c r="S717" s="69"/>
      <c r="T717" s="69"/>
      <c r="U717" s="69"/>
      <c r="V717" s="69"/>
      <c r="W717" s="68"/>
      <c r="X717" s="70"/>
      <c r="Y717" s="70"/>
      <c r="Z717" s="70"/>
      <c r="AA717" s="70"/>
      <c r="AB717" s="70"/>
      <c r="AC717" s="68"/>
      <c r="AD717" s="71"/>
      <c r="AE717" s="71"/>
      <c r="AF717" s="71"/>
      <c r="AG717" s="71"/>
      <c r="AH717" s="71"/>
      <c r="AI717" s="68"/>
      <c r="AJ717" s="214">
        <v>3.9689999999999994E-4</v>
      </c>
      <c r="AK717" s="214">
        <v>1.7345999999999999</v>
      </c>
      <c r="AL717" s="214">
        <v>4</v>
      </c>
      <c r="AM717" s="214">
        <v>5.7428799999999995E-4</v>
      </c>
      <c r="AN717" s="68"/>
      <c r="AO717" s="67"/>
      <c r="AP717" s="67"/>
      <c r="AQ717" s="67"/>
      <c r="AR717" s="67"/>
      <c r="AS717" s="67"/>
      <c r="AT717" s="68"/>
      <c r="AU717" s="49"/>
      <c r="AV717" s="50"/>
    </row>
    <row r="718" spans="1:48" ht="12.75" customHeight="1" x14ac:dyDescent="0.25">
      <c r="A718" s="72" t="s">
        <v>20</v>
      </c>
      <c r="B718" s="43" t="s">
        <v>862</v>
      </c>
      <c r="C718" s="44" t="s">
        <v>869</v>
      </c>
      <c r="D718" s="45">
        <f>MROUND(MID($C718,6,3)/Basis!$E$3,0.5)</f>
        <v>21.5</v>
      </c>
      <c r="E718" s="45">
        <f>MROUND(MID($C718,9,3)/Basis!$E$3,0.5)</f>
        <v>31.5</v>
      </c>
      <c r="F718" s="124" t="s">
        <v>2944</v>
      </c>
      <c r="G718" s="45">
        <f>ROUND((ROUNDDOWN($F718/5,0)*5+2.8)/Basis!$E$3,1)</f>
        <v>7</v>
      </c>
      <c r="H718" s="120">
        <f>ROUND($P718*Basis!$E$2*((TaH-TrH)/LN(1/µ)/Basis!$E$7)^$N718*$AA$4*Glycol,0)</f>
        <v>2880</v>
      </c>
      <c r="I718" s="83">
        <f>ROUND(H718/(MID($C718,9,3)/Basis!$E$3/Basis!$E$9)*Basis!$E$11,0)</f>
        <v>1097</v>
      </c>
      <c r="J718" s="123">
        <f>IF(Basis!$E$1=1,ROUND(H718/((TaH-TrH)*1.163)/3600,3),ROUND(H718/(500*(TaH-TrH)),2))</f>
        <v>0.28999999999999998</v>
      </c>
      <c r="K718" s="84"/>
      <c r="L718" s="177">
        <f>CHOOSE(Basis!$E$1,((AJ718*(J718*3600/Basis!$E$5)^AK718*(((MID(C718,9,3)*10)-144)/1000)*AL718+AM718*(J718*3600/Basis!$E$5)^2)*0.0098)/Basis!$E$10,((AJ718*(J718/Basis!$E$5)^AK718*(((MID(C718,9,3)*10)-144)/1000)*AL718+AM718*(J718/Basis!$E$5)^2)*0.0098)/Basis!$E$10)</f>
        <v>7.7715354483733831E-3</v>
      </c>
      <c r="M718" s="85"/>
      <c r="N718" s="109">
        <v>1.389</v>
      </c>
      <c r="O718" s="68"/>
      <c r="P718" s="67">
        <v>1335</v>
      </c>
      <c r="Q718" s="68"/>
      <c r="R718" s="69"/>
      <c r="S718" s="69"/>
      <c r="T718" s="69"/>
      <c r="U718" s="69"/>
      <c r="V718" s="69"/>
      <c r="W718" s="68"/>
      <c r="X718" s="70"/>
      <c r="Y718" s="70"/>
      <c r="Z718" s="70"/>
      <c r="AA718" s="70"/>
      <c r="AB718" s="70"/>
      <c r="AC718" s="68"/>
      <c r="AD718" s="71"/>
      <c r="AE718" s="71"/>
      <c r="AF718" s="71"/>
      <c r="AG718" s="71"/>
      <c r="AH718" s="71"/>
      <c r="AI718" s="68"/>
      <c r="AJ718" s="214">
        <v>2.0829999999999999E-4</v>
      </c>
      <c r="AK718" s="214">
        <v>1.724</v>
      </c>
      <c r="AL718" s="214">
        <v>2</v>
      </c>
      <c r="AM718" s="214">
        <v>4.6182900000000003E-4</v>
      </c>
      <c r="AN718" s="68"/>
      <c r="AO718" s="67"/>
      <c r="AP718" s="67"/>
      <c r="AQ718" s="67"/>
      <c r="AR718" s="67"/>
      <c r="AS718" s="67"/>
      <c r="AT718" s="68"/>
      <c r="AU718" s="49"/>
      <c r="AV718" s="50"/>
    </row>
    <row r="719" spans="1:48" ht="12.75" customHeight="1" x14ac:dyDescent="0.25">
      <c r="A719" s="72" t="s">
        <v>20</v>
      </c>
      <c r="B719" s="43" t="s">
        <v>862</v>
      </c>
      <c r="C719" s="44" t="s">
        <v>870</v>
      </c>
      <c r="D719" s="45">
        <f>MROUND(MID($C719,6,3)/Basis!$E$3,0.5)</f>
        <v>21.5</v>
      </c>
      <c r="E719" s="45">
        <f>MROUND(MID($C719,9,3)/Basis!$E$3,0.5)</f>
        <v>31.5</v>
      </c>
      <c r="F719" s="124" t="s">
        <v>2947</v>
      </c>
      <c r="G719" s="45">
        <f>ROUND((ROUNDDOWN($F719/5,0)*5+2.8)/Basis!$E$3,1)</f>
        <v>7</v>
      </c>
      <c r="H719" s="120">
        <f>ROUND($P719*Basis!$E$2*((TaH-TrH)/LN(1/µ)/Basis!$E$7)^$N719*$AA$4*Glycol,0)</f>
        <v>2969</v>
      </c>
      <c r="I719" s="83">
        <f>ROUND(H719/(MID($C719,9,3)/Basis!$E$3/Basis!$E$9)*Basis!$E$11,0)</f>
        <v>1131</v>
      </c>
      <c r="J719" s="123">
        <f>IF(Basis!$E$1=1,ROUND(H719/((TaH-TrH)*1.163)/3600,3),ROUND(H719/(500*(TaH-TrH)),2))</f>
        <v>0.3</v>
      </c>
      <c r="K719" s="84"/>
      <c r="L719" s="177">
        <f>CHOOSE(Basis!$E$1,((AJ719*(J719*3600/Basis!$E$5)^AK719*(((MID(C719,9,3)*10)-144)/1000)*AL719+AM719*(J719*3600/Basis!$E$5)^2)*0.0098)/Basis!$E$10,((AJ719*(J719/Basis!$E$5)^AK719*(((MID(C719,9,3)*10)-144)/1000)*AL719+AM719*(J719/Basis!$E$5)^2)*0.0098)/Basis!$E$10)</f>
        <v>2.3730819114352208E-2</v>
      </c>
      <c r="M719" s="85"/>
      <c r="N719" s="110">
        <v>1.48</v>
      </c>
      <c r="O719" s="74"/>
      <c r="P719" s="73">
        <v>1418</v>
      </c>
      <c r="Q719" s="74"/>
      <c r="R719" s="75"/>
      <c r="S719" s="75"/>
      <c r="T719" s="75"/>
      <c r="U719" s="75"/>
      <c r="V719" s="75"/>
      <c r="W719" s="74"/>
      <c r="X719" s="76"/>
      <c r="Y719" s="76"/>
      <c r="Z719" s="76"/>
      <c r="AA719" s="76"/>
      <c r="AB719" s="76"/>
      <c r="AC719" s="74"/>
      <c r="AD719" s="77"/>
      <c r="AE719" s="77"/>
      <c r="AF719" s="77"/>
      <c r="AG719" s="77"/>
      <c r="AH719" s="77"/>
      <c r="AI719" s="68"/>
      <c r="AJ719" s="213">
        <v>2.0829999999999999E-4</v>
      </c>
      <c r="AK719" s="213">
        <v>1.724</v>
      </c>
      <c r="AL719" s="213">
        <v>4</v>
      </c>
      <c r="AM719" s="213">
        <v>1.392796E-3</v>
      </c>
      <c r="AN719" s="74"/>
      <c r="AO719" s="73"/>
      <c r="AP719" s="73"/>
      <c r="AQ719" s="73"/>
      <c r="AR719" s="73"/>
      <c r="AS719" s="73"/>
      <c r="AT719" s="74"/>
      <c r="AU719" s="47"/>
      <c r="AV719" s="48"/>
    </row>
    <row r="720" spans="1:48" ht="12.75" customHeight="1" x14ac:dyDescent="0.25">
      <c r="A720" s="72" t="s">
        <v>20</v>
      </c>
      <c r="B720" s="43" t="s">
        <v>862</v>
      </c>
      <c r="C720" s="44" t="s">
        <v>871</v>
      </c>
      <c r="D720" s="45">
        <f>MROUND(MID($C720,6,3)/Basis!$E$3,0.5)</f>
        <v>21.5</v>
      </c>
      <c r="E720" s="45">
        <f>MROUND(MID($C720,9,3)/Basis!$E$3,0.5)</f>
        <v>39.5</v>
      </c>
      <c r="F720" s="124" t="s">
        <v>2943</v>
      </c>
      <c r="G720" s="45">
        <f>ROUND((ROUNDDOWN($F720/5,0)*5+2.8)/Basis!$E$3,1)</f>
        <v>5</v>
      </c>
      <c r="H720" s="120">
        <f>ROUND($P720*Basis!$E$2*((TaH-TrH)/LN(1/µ)/Basis!$E$7)^$N720*$AA$4*Glycol,0)</f>
        <v>2359</v>
      </c>
      <c r="I720" s="83">
        <f>ROUND(H720/(MID($C720,9,3)/Basis!$E$3/Basis!$E$9)*Basis!$E$11,0)</f>
        <v>719</v>
      </c>
      <c r="J720" s="123">
        <f>IF(Basis!$E$1=1,ROUND(H720/((TaH-TrH)*1.163)/3600,3),ROUND(H720/(500*(TaH-TrH)),2))</f>
        <v>0.24</v>
      </c>
      <c r="K720" s="84"/>
      <c r="L720" s="177">
        <f>CHOOSE(Basis!$E$1,((AJ720*(J720*3600/Basis!$E$5)^AK720*(((MID(C720,9,3)*10)-144)/1000)*AL720+AM720*(J720*3600/Basis!$E$5)^2)*0.0098)/Basis!$E$10,((AJ720*(J720/Basis!$E$5)^AK720*(((MID(C720,9,3)*10)-144)/1000)*AL720+AM720*(J720/Basis!$E$5)^2)*0.0098)/Basis!$E$10)</f>
        <v>5.8534051210530451E-3</v>
      </c>
      <c r="M720" s="85"/>
      <c r="N720" s="110">
        <v>1.407</v>
      </c>
      <c r="O720" s="74"/>
      <c r="P720" s="73">
        <v>1100</v>
      </c>
      <c r="Q720" s="74"/>
      <c r="R720" s="75"/>
      <c r="S720" s="75"/>
      <c r="T720" s="75"/>
      <c r="U720" s="75"/>
      <c r="V720" s="75"/>
      <c r="W720" s="74"/>
      <c r="X720" s="76"/>
      <c r="Y720" s="76"/>
      <c r="Z720" s="76"/>
      <c r="AA720" s="76"/>
      <c r="AB720" s="76"/>
      <c r="AC720" s="74"/>
      <c r="AD720" s="77"/>
      <c r="AE720" s="77"/>
      <c r="AF720" s="77"/>
      <c r="AG720" s="77"/>
      <c r="AH720" s="77"/>
      <c r="AI720" s="68"/>
      <c r="AJ720" s="213">
        <v>3.9689999999999994E-4</v>
      </c>
      <c r="AK720" s="213">
        <v>1.7345999999999999</v>
      </c>
      <c r="AL720" s="213">
        <v>2</v>
      </c>
      <c r="AM720" s="213">
        <v>3.6734700000000002E-4</v>
      </c>
      <c r="AN720" s="74"/>
      <c r="AO720" s="73"/>
      <c r="AP720" s="73"/>
      <c r="AQ720" s="73"/>
      <c r="AR720" s="73"/>
      <c r="AS720" s="73"/>
      <c r="AT720" s="74"/>
      <c r="AU720" s="47"/>
      <c r="AV720" s="48"/>
    </row>
    <row r="721" spans="1:48" ht="12.75" customHeight="1" x14ac:dyDescent="0.25">
      <c r="A721" s="72" t="s">
        <v>20</v>
      </c>
      <c r="B721" s="43" t="s">
        <v>862</v>
      </c>
      <c r="C721" s="44" t="s">
        <v>872</v>
      </c>
      <c r="D721" s="45">
        <f>MROUND(MID($C721,6,3)/Basis!$E$3,0.5)</f>
        <v>21.5</v>
      </c>
      <c r="E721" s="45">
        <f>MROUND(MID($C721,9,3)/Basis!$E$3,0.5)</f>
        <v>39.5</v>
      </c>
      <c r="F721" s="124" t="s">
        <v>2946</v>
      </c>
      <c r="G721" s="45">
        <f>ROUND((ROUNDDOWN($F721/5,0)*5+2.8)/Basis!$E$3,1)</f>
        <v>5</v>
      </c>
      <c r="H721" s="120">
        <f>ROUND($P721*Basis!$E$2*((TaH-TrH)/LN(1/µ)/Basis!$E$7)^$N721*$AA$4*Glycol,0)</f>
        <v>2500</v>
      </c>
      <c r="I721" s="83">
        <f>ROUND(H721/(MID($C721,9,3)/Basis!$E$3/Basis!$E$9)*Basis!$E$11,0)</f>
        <v>762</v>
      </c>
      <c r="J721" s="123">
        <f>IF(Basis!$E$1=1,ROUND(H721/((TaH-TrH)*1.163)/3600,3),ROUND(H721/(500*(TaH-TrH)),2))</f>
        <v>0.25</v>
      </c>
      <c r="K721" s="84"/>
      <c r="L721" s="177">
        <f>CHOOSE(Basis!$E$1,((AJ721*(J721*3600/Basis!$E$5)^AK721*(((MID(C721,9,3)*10)-144)/1000)*AL721+AM721*(J721*3600/Basis!$E$5)^2)*0.0098)/Basis!$E$10,((AJ721*(J721/Basis!$E$5)^AK721*(((MID(C721,9,3)*10)-144)/1000)*AL721+AM721*(J721/Basis!$E$5)^2)*0.0098)/Basis!$E$10)</f>
        <v>1.0958299623574804E-2</v>
      </c>
      <c r="M721" s="85"/>
      <c r="N721" s="109">
        <v>1.4870000000000001</v>
      </c>
      <c r="O721" s="68"/>
      <c r="P721" s="67">
        <v>1197</v>
      </c>
      <c r="Q721" s="68"/>
      <c r="R721" s="69"/>
      <c r="S721" s="69"/>
      <c r="T721" s="69"/>
      <c r="U721" s="69"/>
      <c r="V721" s="69"/>
      <c r="W721" s="68"/>
      <c r="X721" s="70"/>
      <c r="Y721" s="70"/>
      <c r="Z721" s="70"/>
      <c r="AA721" s="70"/>
      <c r="AB721" s="70"/>
      <c r="AC721" s="68"/>
      <c r="AD721" s="71"/>
      <c r="AE721" s="71"/>
      <c r="AF721" s="71"/>
      <c r="AG721" s="71"/>
      <c r="AH721" s="71"/>
      <c r="AI721" s="68"/>
      <c r="AJ721" s="214">
        <v>3.9689999999999994E-4</v>
      </c>
      <c r="AK721" s="214">
        <v>1.7345999999999999</v>
      </c>
      <c r="AL721" s="214">
        <v>4</v>
      </c>
      <c r="AM721" s="214">
        <v>5.7428799999999995E-4</v>
      </c>
      <c r="AN721" s="68"/>
      <c r="AO721" s="67"/>
      <c r="AP721" s="67"/>
      <c r="AQ721" s="67"/>
      <c r="AR721" s="67"/>
      <c r="AS721" s="67"/>
      <c r="AT721" s="68"/>
      <c r="AU721" s="49"/>
      <c r="AV721" s="50"/>
    </row>
    <row r="722" spans="1:48" ht="12.75" customHeight="1" x14ac:dyDescent="0.25">
      <c r="A722" s="72" t="s">
        <v>20</v>
      </c>
      <c r="B722" s="43" t="s">
        <v>862</v>
      </c>
      <c r="C722" s="44" t="s">
        <v>873</v>
      </c>
      <c r="D722" s="45">
        <f>MROUND(MID($C722,6,3)/Basis!$E$3,0.5)</f>
        <v>21.5</v>
      </c>
      <c r="E722" s="45">
        <f>MROUND(MID($C722,9,3)/Basis!$E$3,0.5)</f>
        <v>39.5</v>
      </c>
      <c r="F722" s="124" t="s">
        <v>2944</v>
      </c>
      <c r="G722" s="45">
        <f>ROUND((ROUNDDOWN($F722/5,0)*5+2.8)/Basis!$E$3,1)</f>
        <v>7</v>
      </c>
      <c r="H722" s="120">
        <f>ROUND($P722*Basis!$E$2*((TaH-TrH)/LN(1/µ)/Basis!$E$7)^$N722*$AA$4*Glycol,0)</f>
        <v>3601</v>
      </c>
      <c r="I722" s="83">
        <f>ROUND(H722/(MID($C722,9,3)/Basis!$E$3/Basis!$E$9)*Basis!$E$11,0)</f>
        <v>1098</v>
      </c>
      <c r="J722" s="123">
        <f>IF(Basis!$E$1=1,ROUND(H722/((TaH-TrH)*1.163)/3600,3),ROUND(H722/(500*(TaH-TrH)),2))</f>
        <v>0.36</v>
      </c>
      <c r="K722" s="84"/>
      <c r="L722" s="177">
        <f>CHOOSE(Basis!$E$1,((AJ722*(J722*3600/Basis!$E$5)^AK722*(((MID(C722,9,3)*10)-144)/1000)*AL722+AM722*(J722*3600/Basis!$E$5)^2)*0.0098)/Basis!$E$10,((AJ722*(J722/Basis!$E$5)^AK722*(((MID(C722,9,3)*10)-144)/1000)*AL722+AM722*(J722/Basis!$E$5)^2)*0.0098)/Basis!$E$10)</f>
        <v>1.2407325739347408E-2</v>
      </c>
      <c r="M722" s="85"/>
      <c r="N722" s="109">
        <v>1.389</v>
      </c>
      <c r="O722" s="68"/>
      <c r="P722" s="67">
        <v>1669</v>
      </c>
      <c r="Q722" s="68"/>
      <c r="R722" s="69"/>
      <c r="S722" s="69"/>
      <c r="T722" s="69"/>
      <c r="U722" s="69"/>
      <c r="V722" s="69"/>
      <c r="W722" s="68"/>
      <c r="X722" s="70"/>
      <c r="Y722" s="70"/>
      <c r="Z722" s="70"/>
      <c r="AA722" s="70"/>
      <c r="AB722" s="70"/>
      <c r="AC722" s="68"/>
      <c r="AD722" s="71"/>
      <c r="AE722" s="71"/>
      <c r="AF722" s="71"/>
      <c r="AG722" s="71"/>
      <c r="AH722" s="71"/>
      <c r="AI722" s="68"/>
      <c r="AJ722" s="214">
        <v>2.0829999999999999E-4</v>
      </c>
      <c r="AK722" s="214">
        <v>1.724</v>
      </c>
      <c r="AL722" s="214">
        <v>2</v>
      </c>
      <c r="AM722" s="214">
        <v>4.6182900000000003E-4</v>
      </c>
      <c r="AN722" s="68"/>
      <c r="AO722" s="67"/>
      <c r="AP722" s="67"/>
      <c r="AQ722" s="67"/>
      <c r="AR722" s="67"/>
      <c r="AS722" s="67"/>
      <c r="AT722" s="68"/>
      <c r="AU722" s="49"/>
      <c r="AV722" s="50"/>
    </row>
    <row r="723" spans="1:48" ht="12.75" customHeight="1" x14ac:dyDescent="0.25">
      <c r="A723" s="72" t="s">
        <v>20</v>
      </c>
      <c r="B723" s="43" t="s">
        <v>862</v>
      </c>
      <c r="C723" s="44" t="s">
        <v>874</v>
      </c>
      <c r="D723" s="45">
        <f>MROUND(MID($C723,6,3)/Basis!$E$3,0.5)</f>
        <v>21.5</v>
      </c>
      <c r="E723" s="45">
        <f>MROUND(MID($C723,9,3)/Basis!$E$3,0.5)</f>
        <v>39.5</v>
      </c>
      <c r="F723" s="124" t="s">
        <v>2947</v>
      </c>
      <c r="G723" s="45">
        <f>ROUND((ROUNDDOWN($F723/5,0)*5+2.8)/Basis!$E$3,1)</f>
        <v>7</v>
      </c>
      <c r="H723" s="120">
        <f>ROUND($P723*Basis!$E$2*((TaH-TrH)/LN(1/µ)/Basis!$E$7)^$N723*$AA$4*Glycol,0)</f>
        <v>3710</v>
      </c>
      <c r="I723" s="83">
        <f>ROUND(H723/(MID($C723,9,3)/Basis!$E$3/Basis!$E$9)*Basis!$E$11,0)</f>
        <v>1131</v>
      </c>
      <c r="J723" s="123">
        <f>IF(Basis!$E$1=1,ROUND(H723/((TaH-TrH)*1.163)/3600,3),ROUND(H723/(500*(TaH-TrH)),2))</f>
        <v>0.37</v>
      </c>
      <c r="K723" s="84"/>
      <c r="L723" s="177">
        <f>CHOOSE(Basis!$E$1,((AJ723*(J723*3600/Basis!$E$5)^AK723*(((MID(C723,9,3)*10)-144)/1000)*AL723+AM723*(J723*3600/Basis!$E$5)^2)*0.0098)/Basis!$E$10,((AJ723*(J723/Basis!$E$5)^AK723*(((MID(C723,9,3)*10)-144)/1000)*AL723+AM723*(J723/Basis!$E$5)^2)*0.0098)/Basis!$E$10)</f>
        <v>3.7008426470077141E-2</v>
      </c>
      <c r="M723" s="85"/>
      <c r="N723" s="110">
        <v>1.48</v>
      </c>
      <c r="O723" s="74"/>
      <c r="P723" s="73">
        <v>1772</v>
      </c>
      <c r="Q723" s="74"/>
      <c r="R723" s="75"/>
      <c r="S723" s="75"/>
      <c r="T723" s="75"/>
      <c r="U723" s="75"/>
      <c r="V723" s="75"/>
      <c r="W723" s="74"/>
      <c r="X723" s="76"/>
      <c r="Y723" s="76"/>
      <c r="Z723" s="76"/>
      <c r="AA723" s="76"/>
      <c r="AB723" s="76"/>
      <c r="AC723" s="74"/>
      <c r="AD723" s="77"/>
      <c r="AE723" s="77"/>
      <c r="AF723" s="77"/>
      <c r="AG723" s="77"/>
      <c r="AH723" s="77"/>
      <c r="AI723" s="68"/>
      <c r="AJ723" s="213">
        <v>2.0829999999999999E-4</v>
      </c>
      <c r="AK723" s="213">
        <v>1.724</v>
      </c>
      <c r="AL723" s="213">
        <v>4</v>
      </c>
      <c r="AM723" s="213">
        <v>1.392796E-3</v>
      </c>
      <c r="AN723" s="74"/>
      <c r="AO723" s="73"/>
      <c r="AP723" s="73"/>
      <c r="AQ723" s="73"/>
      <c r="AR723" s="73"/>
      <c r="AS723" s="73"/>
      <c r="AT723" s="74"/>
      <c r="AU723" s="47"/>
      <c r="AV723" s="48"/>
    </row>
    <row r="724" spans="1:48" ht="12.75" customHeight="1" x14ac:dyDescent="0.25">
      <c r="A724" s="72" t="s">
        <v>20</v>
      </c>
      <c r="B724" s="43" t="s">
        <v>862</v>
      </c>
      <c r="C724" s="44" t="s">
        <v>875</v>
      </c>
      <c r="D724" s="45">
        <f>MROUND(MID($C724,6,3)/Basis!$E$3,0.5)</f>
        <v>21.5</v>
      </c>
      <c r="E724" s="45">
        <f>MROUND(MID($C724,9,3)/Basis!$E$3,0.5)</f>
        <v>47</v>
      </c>
      <c r="F724" s="124" t="s">
        <v>2943</v>
      </c>
      <c r="G724" s="45">
        <f>ROUND((ROUNDDOWN($F724/5,0)*5+2.8)/Basis!$E$3,1)</f>
        <v>5</v>
      </c>
      <c r="H724" s="120">
        <f>ROUND($P724*Basis!$E$2*((TaH-TrH)/LN(1/µ)/Basis!$E$7)^$N724*$AA$4*Glycol,0)</f>
        <v>2831</v>
      </c>
      <c r="I724" s="83">
        <f>ROUND(H724/(MID($C724,9,3)/Basis!$E$3/Basis!$E$9)*Basis!$E$11,0)</f>
        <v>719</v>
      </c>
      <c r="J724" s="123">
        <f>IF(Basis!$E$1=1,ROUND(H724/((TaH-TrH)*1.163)/3600,3),ROUND(H724/(500*(TaH-TrH)),2))</f>
        <v>0.28000000000000003</v>
      </c>
      <c r="K724" s="84"/>
      <c r="L724" s="177">
        <f>CHOOSE(Basis!$E$1,((AJ724*(J724*3600/Basis!$E$5)^AK724*(((MID(C724,9,3)*10)-144)/1000)*AL724+AM724*(J724*3600/Basis!$E$5)^2)*0.0098)/Basis!$E$10,((AJ724*(J724/Basis!$E$5)^AK724*(((MID(C724,9,3)*10)-144)/1000)*AL724+AM724*(J724/Basis!$E$5)^2)*0.0098)/Basis!$E$10)</f>
        <v>8.5398710994788306E-3</v>
      </c>
      <c r="M724" s="85"/>
      <c r="N724" s="110">
        <v>1.407</v>
      </c>
      <c r="O724" s="74"/>
      <c r="P724" s="73">
        <v>1320</v>
      </c>
      <c r="Q724" s="74"/>
      <c r="R724" s="75"/>
      <c r="S724" s="75"/>
      <c r="T724" s="75"/>
      <c r="U724" s="75"/>
      <c r="V724" s="75"/>
      <c r="W724" s="74"/>
      <c r="X724" s="76"/>
      <c r="Y724" s="76"/>
      <c r="Z724" s="76"/>
      <c r="AA724" s="76"/>
      <c r="AB724" s="76"/>
      <c r="AC724" s="74"/>
      <c r="AD724" s="77"/>
      <c r="AE724" s="77"/>
      <c r="AF724" s="77"/>
      <c r="AG724" s="77"/>
      <c r="AH724" s="77"/>
      <c r="AI724" s="68"/>
      <c r="AJ724" s="213">
        <v>3.9689999999999994E-4</v>
      </c>
      <c r="AK724" s="213">
        <v>1.7345999999999999</v>
      </c>
      <c r="AL724" s="213">
        <v>2</v>
      </c>
      <c r="AM724" s="213">
        <v>3.6734700000000002E-4</v>
      </c>
      <c r="AN724" s="74"/>
      <c r="AO724" s="73"/>
      <c r="AP724" s="73"/>
      <c r="AQ724" s="73"/>
      <c r="AR724" s="73"/>
      <c r="AS724" s="73"/>
      <c r="AT724" s="74"/>
      <c r="AU724" s="47"/>
      <c r="AV724" s="48"/>
    </row>
    <row r="725" spans="1:48" ht="12.75" customHeight="1" x14ac:dyDescent="0.25">
      <c r="A725" s="72" t="s">
        <v>20</v>
      </c>
      <c r="B725" s="43" t="s">
        <v>862</v>
      </c>
      <c r="C725" s="44" t="s">
        <v>876</v>
      </c>
      <c r="D725" s="45">
        <f>MROUND(MID($C725,6,3)/Basis!$E$3,0.5)</f>
        <v>21.5</v>
      </c>
      <c r="E725" s="45">
        <f>MROUND(MID($C725,9,3)/Basis!$E$3,0.5)</f>
        <v>47</v>
      </c>
      <c r="F725" s="124" t="s">
        <v>2946</v>
      </c>
      <c r="G725" s="45">
        <f>ROUND((ROUNDDOWN($F725/5,0)*5+2.8)/Basis!$E$3,1)</f>
        <v>5</v>
      </c>
      <c r="H725" s="120">
        <f>ROUND($P725*Basis!$E$2*((TaH-TrH)/LN(1/µ)/Basis!$E$7)^$N725*$AA$4*Glycol,0)</f>
        <v>2999</v>
      </c>
      <c r="I725" s="83">
        <f>ROUND(H725/(MID($C725,9,3)/Basis!$E$3/Basis!$E$9)*Basis!$E$11,0)</f>
        <v>762</v>
      </c>
      <c r="J725" s="123">
        <f>IF(Basis!$E$1=1,ROUND(H725/((TaH-TrH)*1.163)/3600,3),ROUND(H725/(500*(TaH-TrH)),2))</f>
        <v>0.3</v>
      </c>
      <c r="K725" s="84"/>
      <c r="L725" s="177">
        <f>CHOOSE(Basis!$E$1,((AJ725*(J725*3600/Basis!$E$5)^AK725*(((MID(C725,9,3)*10)-144)/1000)*AL725+AM725*(J725*3600/Basis!$E$5)^2)*0.0098)/Basis!$E$10,((AJ725*(J725/Basis!$E$5)^AK725*(((MID(C725,9,3)*10)-144)/1000)*AL725+AM725*(J725/Basis!$E$5)^2)*0.0098)/Basis!$E$10)</f>
        <v>1.7018445546815121E-2</v>
      </c>
      <c r="M725" s="85"/>
      <c r="N725" s="109">
        <v>1.4870000000000001</v>
      </c>
      <c r="O725" s="68"/>
      <c r="P725" s="67">
        <v>1436</v>
      </c>
      <c r="Q725" s="68"/>
      <c r="R725" s="69"/>
      <c r="S725" s="69"/>
      <c r="T725" s="69"/>
      <c r="U725" s="69"/>
      <c r="V725" s="69"/>
      <c r="W725" s="68"/>
      <c r="X725" s="70"/>
      <c r="Y725" s="70"/>
      <c r="Z725" s="70"/>
      <c r="AA725" s="70"/>
      <c r="AB725" s="70"/>
      <c r="AC725" s="68"/>
      <c r="AD725" s="71"/>
      <c r="AE725" s="71"/>
      <c r="AF725" s="71"/>
      <c r="AG725" s="71"/>
      <c r="AH725" s="71"/>
      <c r="AI725" s="68"/>
      <c r="AJ725" s="214">
        <v>3.9689999999999994E-4</v>
      </c>
      <c r="AK725" s="214">
        <v>1.7345999999999999</v>
      </c>
      <c r="AL725" s="214">
        <v>4</v>
      </c>
      <c r="AM725" s="214">
        <v>5.7428799999999995E-4</v>
      </c>
      <c r="AN725" s="68"/>
      <c r="AO725" s="67"/>
      <c r="AP725" s="67"/>
      <c r="AQ725" s="67"/>
      <c r="AR725" s="67"/>
      <c r="AS725" s="67"/>
      <c r="AT725" s="68"/>
      <c r="AU725" s="49"/>
      <c r="AV725" s="50"/>
    </row>
    <row r="726" spans="1:48" ht="12.75" customHeight="1" x14ac:dyDescent="0.25">
      <c r="A726" s="72" t="s">
        <v>20</v>
      </c>
      <c r="B726" s="43" t="s">
        <v>862</v>
      </c>
      <c r="C726" s="44" t="s">
        <v>877</v>
      </c>
      <c r="D726" s="45">
        <f>MROUND(MID($C726,6,3)/Basis!$E$3,0.5)</f>
        <v>21.5</v>
      </c>
      <c r="E726" s="45">
        <f>MROUND(MID($C726,9,3)/Basis!$E$3,0.5)</f>
        <v>47</v>
      </c>
      <c r="F726" s="124" t="s">
        <v>2944</v>
      </c>
      <c r="G726" s="45">
        <f>ROUND((ROUNDDOWN($F726/5,0)*5+2.8)/Basis!$E$3,1)</f>
        <v>7</v>
      </c>
      <c r="H726" s="120">
        <f>ROUND($P726*Basis!$E$2*((TaH-TrH)/LN(1/µ)/Basis!$E$7)^$N726*$AA$4*Glycol,0)</f>
        <v>4321</v>
      </c>
      <c r="I726" s="83">
        <f>ROUND(H726/(MID($C726,9,3)/Basis!$E$3/Basis!$E$9)*Basis!$E$11,0)</f>
        <v>1098</v>
      </c>
      <c r="J726" s="123">
        <f>IF(Basis!$E$1=1,ROUND(H726/((TaH-TrH)*1.163)/3600,3),ROUND(H726/(500*(TaH-TrH)),2))</f>
        <v>0.43</v>
      </c>
      <c r="K726" s="84"/>
      <c r="L726" s="177">
        <f>CHOOSE(Basis!$E$1,((AJ726*(J726*3600/Basis!$E$5)^AK726*(((MID(C726,9,3)*10)-144)/1000)*AL726+AM726*(J726*3600/Basis!$E$5)^2)*0.0098)/Basis!$E$10,((AJ726*(J726/Basis!$E$5)^AK726*(((MID(C726,9,3)*10)-144)/1000)*AL726+AM726*(J726/Basis!$E$5)^2)*0.0098)/Basis!$E$10)</f>
        <v>1.8277422266534265E-2</v>
      </c>
      <c r="M726" s="85"/>
      <c r="N726" s="109">
        <v>1.389</v>
      </c>
      <c r="O726" s="68"/>
      <c r="P726" s="67">
        <v>2003</v>
      </c>
      <c r="Q726" s="68"/>
      <c r="R726" s="69"/>
      <c r="S726" s="69"/>
      <c r="T726" s="69"/>
      <c r="U726" s="69"/>
      <c r="V726" s="69"/>
      <c r="W726" s="68"/>
      <c r="X726" s="70"/>
      <c r="Y726" s="70"/>
      <c r="Z726" s="70"/>
      <c r="AA726" s="70"/>
      <c r="AB726" s="70"/>
      <c r="AC726" s="68"/>
      <c r="AD726" s="71"/>
      <c r="AE726" s="71"/>
      <c r="AF726" s="71"/>
      <c r="AG726" s="71"/>
      <c r="AH726" s="71"/>
      <c r="AI726" s="68"/>
      <c r="AJ726" s="214">
        <v>2.0829999999999999E-4</v>
      </c>
      <c r="AK726" s="214">
        <v>1.724</v>
      </c>
      <c r="AL726" s="214">
        <v>2</v>
      </c>
      <c r="AM726" s="214">
        <v>4.6182900000000003E-4</v>
      </c>
      <c r="AN726" s="68"/>
      <c r="AO726" s="67"/>
      <c r="AP726" s="67"/>
      <c r="AQ726" s="67"/>
      <c r="AR726" s="67"/>
      <c r="AS726" s="67"/>
      <c r="AT726" s="68"/>
      <c r="AU726" s="49"/>
      <c r="AV726" s="50"/>
    </row>
    <row r="727" spans="1:48" ht="12.75" customHeight="1" x14ac:dyDescent="0.25">
      <c r="A727" s="72" t="s">
        <v>20</v>
      </c>
      <c r="B727" s="43" t="s">
        <v>862</v>
      </c>
      <c r="C727" s="44" t="s">
        <v>878</v>
      </c>
      <c r="D727" s="45">
        <f>MROUND(MID($C727,6,3)/Basis!$E$3,0.5)</f>
        <v>21.5</v>
      </c>
      <c r="E727" s="45">
        <f>MROUND(MID($C727,9,3)/Basis!$E$3,0.5)</f>
        <v>47</v>
      </c>
      <c r="F727" s="124" t="s">
        <v>2947</v>
      </c>
      <c r="G727" s="45">
        <f>ROUND((ROUNDDOWN($F727/5,0)*5+2.8)/Basis!$E$3,1)</f>
        <v>7</v>
      </c>
      <c r="H727" s="120">
        <f>ROUND($P727*Basis!$E$2*((TaH-TrH)/LN(1/µ)/Basis!$E$7)^$N727*$AA$4*Glycol,0)</f>
        <v>4451</v>
      </c>
      <c r="I727" s="83">
        <f>ROUND(H727/(MID($C727,9,3)/Basis!$E$3/Basis!$E$9)*Basis!$E$11,0)</f>
        <v>1131</v>
      </c>
      <c r="J727" s="123">
        <f>IF(Basis!$E$1=1,ROUND(H727/((TaH-TrH)*1.163)/3600,3),ROUND(H727/(500*(TaH-TrH)),2))</f>
        <v>0.45</v>
      </c>
      <c r="K727" s="84"/>
      <c r="L727" s="177">
        <f>CHOOSE(Basis!$E$1,((AJ727*(J727*3600/Basis!$E$5)^AK727*(((MID(C727,9,3)*10)-144)/1000)*AL727+AM727*(J727*3600/Basis!$E$5)^2)*0.0098)/Basis!$E$10,((AJ727*(J727/Basis!$E$5)^AK727*(((MID(C727,9,3)*10)-144)/1000)*AL727+AM727*(J727/Basis!$E$5)^2)*0.0098)/Basis!$E$10)</f>
        <v>5.5952288277537496E-2</v>
      </c>
      <c r="M727" s="85"/>
      <c r="N727" s="110">
        <v>1.48</v>
      </c>
      <c r="O727" s="74"/>
      <c r="P727" s="73">
        <v>2126</v>
      </c>
      <c r="Q727" s="74"/>
      <c r="R727" s="75"/>
      <c r="S727" s="75"/>
      <c r="T727" s="75"/>
      <c r="U727" s="75"/>
      <c r="V727" s="75"/>
      <c r="W727" s="74"/>
      <c r="X727" s="76"/>
      <c r="Y727" s="76"/>
      <c r="Z727" s="76"/>
      <c r="AA727" s="76"/>
      <c r="AB727" s="76"/>
      <c r="AC727" s="74"/>
      <c r="AD727" s="77"/>
      <c r="AE727" s="77"/>
      <c r="AF727" s="77"/>
      <c r="AG727" s="77"/>
      <c r="AH727" s="77"/>
      <c r="AI727" s="68"/>
      <c r="AJ727" s="213">
        <v>2.0829999999999999E-4</v>
      </c>
      <c r="AK727" s="213">
        <v>1.724</v>
      </c>
      <c r="AL727" s="213">
        <v>4</v>
      </c>
      <c r="AM727" s="213">
        <v>1.392796E-3</v>
      </c>
      <c r="AN727" s="74"/>
      <c r="AO727" s="73"/>
      <c r="AP727" s="73"/>
      <c r="AQ727" s="73"/>
      <c r="AR727" s="73"/>
      <c r="AS727" s="73"/>
      <c r="AT727" s="74"/>
      <c r="AU727" s="47"/>
      <c r="AV727" s="48"/>
    </row>
    <row r="728" spans="1:48" ht="12.75" customHeight="1" x14ac:dyDescent="0.25">
      <c r="A728" s="72" t="s">
        <v>20</v>
      </c>
      <c r="B728" s="43" t="s">
        <v>862</v>
      </c>
      <c r="C728" s="44" t="s">
        <v>879</v>
      </c>
      <c r="D728" s="45">
        <f>MROUND(MID($C728,6,3)/Basis!$E$3,0.5)</f>
        <v>21.5</v>
      </c>
      <c r="E728" s="45">
        <f>MROUND(MID($C728,9,3)/Basis!$E$3,0.5)</f>
        <v>55</v>
      </c>
      <c r="F728" s="124" t="s">
        <v>2943</v>
      </c>
      <c r="G728" s="45">
        <f>ROUND((ROUNDDOWN($F728/5,0)*5+2.8)/Basis!$E$3,1)</f>
        <v>5</v>
      </c>
      <c r="H728" s="120">
        <f>ROUND($P728*Basis!$E$2*((TaH-TrH)/LN(1/µ)/Basis!$E$7)^$N728*$AA$4*Glycol,0)</f>
        <v>3303</v>
      </c>
      <c r="I728" s="83">
        <f>ROUND(H728/(MID($C728,9,3)/Basis!$E$3/Basis!$E$9)*Basis!$E$11,0)</f>
        <v>719</v>
      </c>
      <c r="J728" s="123">
        <f>IF(Basis!$E$1=1,ROUND(H728/((TaH-TrH)*1.163)/3600,3),ROUND(H728/(500*(TaH-TrH)),2))</f>
        <v>0.33</v>
      </c>
      <c r="K728" s="84"/>
      <c r="L728" s="177">
        <f>CHOOSE(Basis!$E$1,((AJ728*(J728*3600/Basis!$E$5)^AK728*(((MID(C728,9,3)*10)-144)/1000)*AL728+AM728*(J728*3600/Basis!$E$5)^2)*0.0098)/Basis!$E$10,((AJ728*(J728/Basis!$E$5)^AK728*(((MID(C728,9,3)*10)-144)/1000)*AL728+AM728*(J728/Basis!$E$5)^2)*0.0098)/Basis!$E$10)</f>
        <v>1.2571256736469315E-2</v>
      </c>
      <c r="M728" s="85"/>
      <c r="N728" s="110">
        <v>1.407</v>
      </c>
      <c r="O728" s="74"/>
      <c r="P728" s="73">
        <v>1540</v>
      </c>
      <c r="Q728" s="74"/>
      <c r="R728" s="75"/>
      <c r="S728" s="75"/>
      <c r="T728" s="75"/>
      <c r="U728" s="75"/>
      <c r="V728" s="75"/>
      <c r="W728" s="74"/>
      <c r="X728" s="76"/>
      <c r="Y728" s="76"/>
      <c r="Z728" s="76"/>
      <c r="AA728" s="76"/>
      <c r="AB728" s="76"/>
      <c r="AC728" s="74"/>
      <c r="AD728" s="77"/>
      <c r="AE728" s="77"/>
      <c r="AF728" s="77"/>
      <c r="AG728" s="77"/>
      <c r="AH728" s="77"/>
      <c r="AI728" s="68"/>
      <c r="AJ728" s="213">
        <v>3.9689999999999994E-4</v>
      </c>
      <c r="AK728" s="213">
        <v>1.7345999999999999</v>
      </c>
      <c r="AL728" s="213">
        <v>2</v>
      </c>
      <c r="AM728" s="213">
        <v>3.6734700000000002E-4</v>
      </c>
      <c r="AN728" s="74"/>
      <c r="AO728" s="73"/>
      <c r="AP728" s="73"/>
      <c r="AQ728" s="73"/>
      <c r="AR728" s="73"/>
      <c r="AS728" s="73"/>
      <c r="AT728" s="74"/>
      <c r="AU728" s="47"/>
      <c r="AV728" s="48"/>
    </row>
    <row r="729" spans="1:48" ht="12.75" customHeight="1" x14ac:dyDescent="0.25">
      <c r="A729" s="72" t="s">
        <v>20</v>
      </c>
      <c r="B729" s="43" t="s">
        <v>862</v>
      </c>
      <c r="C729" s="44" t="s">
        <v>880</v>
      </c>
      <c r="D729" s="45">
        <f>MROUND(MID($C729,6,3)/Basis!$E$3,0.5)</f>
        <v>21.5</v>
      </c>
      <c r="E729" s="45">
        <f>MROUND(MID($C729,9,3)/Basis!$E$3,0.5)</f>
        <v>55</v>
      </c>
      <c r="F729" s="124" t="s">
        <v>2946</v>
      </c>
      <c r="G729" s="45">
        <f>ROUND((ROUNDDOWN($F729/5,0)*5+2.8)/Basis!$E$3,1)</f>
        <v>5</v>
      </c>
      <c r="H729" s="120">
        <f>ROUND($P729*Basis!$E$2*((TaH-TrH)/LN(1/µ)/Basis!$E$7)^$N729*$AA$4*Glycol,0)</f>
        <v>3501</v>
      </c>
      <c r="I729" s="83">
        <f>ROUND(H729/(MID($C729,9,3)/Basis!$E$3/Basis!$E$9)*Basis!$E$11,0)</f>
        <v>762</v>
      </c>
      <c r="J729" s="123">
        <f>IF(Basis!$E$1=1,ROUND(H729/((TaH-TrH)*1.163)/3600,3),ROUND(H729/(500*(TaH-TrH)),2))</f>
        <v>0.35</v>
      </c>
      <c r="K729" s="84"/>
      <c r="L729" s="177">
        <f>CHOOSE(Basis!$E$1,((AJ729*(J729*3600/Basis!$E$5)^AK729*(((MID(C729,9,3)*10)-144)/1000)*AL729+AM729*(J729*3600/Basis!$E$5)^2)*0.0098)/Basis!$E$10,((AJ729*(J729/Basis!$E$5)^AK729*(((MID(C729,9,3)*10)-144)/1000)*AL729+AM729*(J729/Basis!$E$5)^2)*0.0098)/Basis!$E$10)</f>
        <v>2.4765102878005141E-2</v>
      </c>
      <c r="M729" s="85"/>
      <c r="N729" s="109">
        <v>1.4870000000000001</v>
      </c>
      <c r="O729" s="68"/>
      <c r="P729" s="67">
        <v>1676</v>
      </c>
      <c r="Q729" s="68"/>
      <c r="R729" s="69"/>
      <c r="S729" s="69"/>
      <c r="T729" s="69"/>
      <c r="U729" s="69"/>
      <c r="V729" s="69"/>
      <c r="W729" s="68"/>
      <c r="X729" s="70"/>
      <c r="Y729" s="70"/>
      <c r="Z729" s="70"/>
      <c r="AA729" s="70"/>
      <c r="AB729" s="70"/>
      <c r="AC729" s="68"/>
      <c r="AD729" s="71"/>
      <c r="AE729" s="71"/>
      <c r="AF729" s="71"/>
      <c r="AG729" s="71"/>
      <c r="AH729" s="71"/>
      <c r="AI729" s="68"/>
      <c r="AJ729" s="214">
        <v>3.9689999999999994E-4</v>
      </c>
      <c r="AK729" s="214">
        <v>1.7345999999999999</v>
      </c>
      <c r="AL729" s="214">
        <v>4</v>
      </c>
      <c r="AM729" s="214">
        <v>5.7428799999999995E-4</v>
      </c>
      <c r="AN729" s="68"/>
      <c r="AO729" s="67"/>
      <c r="AP729" s="67"/>
      <c r="AQ729" s="67"/>
      <c r="AR729" s="67"/>
      <c r="AS729" s="67"/>
      <c r="AT729" s="68"/>
      <c r="AU729" s="49"/>
      <c r="AV729" s="50"/>
    </row>
    <row r="730" spans="1:48" ht="12.75" customHeight="1" x14ac:dyDescent="0.25">
      <c r="A730" s="72" t="s">
        <v>20</v>
      </c>
      <c r="B730" s="43" t="s">
        <v>862</v>
      </c>
      <c r="C730" s="44" t="s">
        <v>881</v>
      </c>
      <c r="D730" s="45">
        <f>MROUND(MID($C730,6,3)/Basis!$E$3,0.5)</f>
        <v>21.5</v>
      </c>
      <c r="E730" s="45">
        <f>MROUND(MID($C730,9,3)/Basis!$E$3,0.5)</f>
        <v>55</v>
      </c>
      <c r="F730" s="124" t="s">
        <v>2944</v>
      </c>
      <c r="G730" s="45">
        <f>ROUND((ROUNDDOWN($F730/5,0)*5+2.8)/Basis!$E$3,1)</f>
        <v>7</v>
      </c>
      <c r="H730" s="120">
        <f>ROUND($P730*Basis!$E$2*((TaH-TrH)/LN(1/µ)/Basis!$E$7)^$N730*$AA$4*Glycol,0)</f>
        <v>5042</v>
      </c>
      <c r="I730" s="83">
        <f>ROUND(H730/(MID($C730,9,3)/Basis!$E$3/Basis!$E$9)*Basis!$E$11,0)</f>
        <v>1098</v>
      </c>
      <c r="J730" s="123">
        <f>IF(Basis!$E$1=1,ROUND(H730/((TaH-TrH)*1.163)/3600,3),ROUND(H730/(500*(TaH-TrH)),2))</f>
        <v>0.5</v>
      </c>
      <c r="K730" s="84"/>
      <c r="L730" s="177">
        <f>CHOOSE(Basis!$E$1,((AJ730*(J730*3600/Basis!$E$5)^AK730*(((MID(C730,9,3)*10)-144)/1000)*AL730+AM730*(J730*3600/Basis!$E$5)^2)*0.0098)/Basis!$E$10,((AJ730*(J730/Basis!$E$5)^AK730*(((MID(C730,9,3)*10)-144)/1000)*AL730+AM730*(J730/Basis!$E$5)^2)*0.0098)/Basis!$E$10)</f>
        <v>2.5450663768949434E-2</v>
      </c>
      <c r="M730" s="85"/>
      <c r="N730" s="109">
        <v>1.389</v>
      </c>
      <c r="O730" s="68"/>
      <c r="P730" s="67">
        <v>2337</v>
      </c>
      <c r="Q730" s="68"/>
      <c r="R730" s="69"/>
      <c r="S730" s="69"/>
      <c r="T730" s="69"/>
      <c r="U730" s="69"/>
      <c r="V730" s="69"/>
      <c r="W730" s="68"/>
      <c r="X730" s="70"/>
      <c r="Y730" s="70"/>
      <c r="Z730" s="70"/>
      <c r="AA730" s="70"/>
      <c r="AB730" s="70"/>
      <c r="AC730" s="68"/>
      <c r="AD730" s="71"/>
      <c r="AE730" s="71"/>
      <c r="AF730" s="71"/>
      <c r="AG730" s="71"/>
      <c r="AH730" s="71"/>
      <c r="AI730" s="68"/>
      <c r="AJ730" s="214">
        <v>2.0829999999999999E-4</v>
      </c>
      <c r="AK730" s="214">
        <v>1.724</v>
      </c>
      <c r="AL730" s="214">
        <v>2</v>
      </c>
      <c r="AM730" s="214">
        <v>4.6182900000000003E-4</v>
      </c>
      <c r="AN730" s="68"/>
      <c r="AO730" s="67"/>
      <c r="AP730" s="67"/>
      <c r="AQ730" s="67"/>
      <c r="AR730" s="67"/>
      <c r="AS730" s="67"/>
      <c r="AT730" s="68"/>
      <c r="AU730" s="49"/>
      <c r="AV730" s="50"/>
    </row>
    <row r="731" spans="1:48" ht="12.75" customHeight="1" x14ac:dyDescent="0.25">
      <c r="A731" s="72" t="s">
        <v>20</v>
      </c>
      <c r="B731" s="43" t="s">
        <v>862</v>
      </c>
      <c r="C731" s="44" t="s">
        <v>882</v>
      </c>
      <c r="D731" s="45">
        <f>MROUND(MID($C731,6,3)/Basis!$E$3,0.5)</f>
        <v>21.5</v>
      </c>
      <c r="E731" s="45">
        <f>MROUND(MID($C731,9,3)/Basis!$E$3,0.5)</f>
        <v>55</v>
      </c>
      <c r="F731" s="124" t="s">
        <v>2947</v>
      </c>
      <c r="G731" s="45">
        <f>ROUND((ROUNDDOWN($F731/5,0)*5+2.8)/Basis!$E$3,1)</f>
        <v>7</v>
      </c>
      <c r="H731" s="120">
        <f>ROUND($P731*Basis!$E$2*((TaH-TrH)/LN(1/µ)/Basis!$E$7)^$N731*$AA$4*Glycol,0)</f>
        <v>5194</v>
      </c>
      <c r="I731" s="83">
        <f>ROUND(H731/(MID($C731,9,3)/Basis!$E$3/Basis!$E$9)*Basis!$E$11,0)</f>
        <v>1131</v>
      </c>
      <c r="J731" s="123">
        <f>IF(Basis!$E$1=1,ROUND(H731/((TaH-TrH)*1.163)/3600,3),ROUND(H731/(500*(TaH-TrH)),2))</f>
        <v>0.52</v>
      </c>
      <c r="K731" s="84"/>
      <c r="L731" s="177">
        <f>CHOOSE(Basis!$E$1,((AJ731*(J731*3600/Basis!$E$5)^AK731*(((MID(C731,9,3)*10)-144)/1000)*AL731+AM731*(J731*3600/Basis!$E$5)^2)*0.0098)/Basis!$E$10,((AJ731*(J731/Basis!$E$5)^AK731*(((MID(C731,9,3)*10)-144)/1000)*AL731+AM731*(J731/Basis!$E$5)^2)*0.0098)/Basis!$E$10)</f>
        <v>7.6312306592759005E-2</v>
      </c>
      <c r="M731" s="85"/>
      <c r="N731" s="110">
        <v>1.48</v>
      </c>
      <c r="O731" s="74"/>
      <c r="P731" s="73">
        <v>2481</v>
      </c>
      <c r="Q731" s="74"/>
      <c r="R731" s="75"/>
      <c r="S731" s="75"/>
      <c r="T731" s="75"/>
      <c r="U731" s="75"/>
      <c r="V731" s="75"/>
      <c r="W731" s="74"/>
      <c r="X731" s="76"/>
      <c r="Y731" s="76"/>
      <c r="Z731" s="76"/>
      <c r="AA731" s="76"/>
      <c r="AB731" s="76"/>
      <c r="AC731" s="74"/>
      <c r="AD731" s="77"/>
      <c r="AE731" s="77"/>
      <c r="AF731" s="77"/>
      <c r="AG731" s="77"/>
      <c r="AH731" s="77"/>
      <c r="AI731" s="68"/>
      <c r="AJ731" s="213">
        <v>2.0829999999999999E-4</v>
      </c>
      <c r="AK731" s="213">
        <v>1.724</v>
      </c>
      <c r="AL731" s="213">
        <v>4</v>
      </c>
      <c r="AM731" s="213">
        <v>1.392796E-3</v>
      </c>
      <c r="AN731" s="74"/>
      <c r="AO731" s="73"/>
      <c r="AP731" s="73"/>
      <c r="AQ731" s="73"/>
      <c r="AR731" s="73"/>
      <c r="AS731" s="73"/>
      <c r="AT731" s="74"/>
      <c r="AU731" s="47"/>
      <c r="AV731" s="48"/>
    </row>
    <row r="732" spans="1:48" ht="12.75" customHeight="1" x14ac:dyDescent="0.25">
      <c r="A732" s="72" t="s">
        <v>883</v>
      </c>
      <c r="B732" s="43" t="s">
        <v>884</v>
      </c>
      <c r="C732" s="44" t="s">
        <v>885</v>
      </c>
      <c r="D732" s="45">
        <f>MROUND(MID($C732,6,3)/Basis!$E$3,0.5)</f>
        <v>8.5</v>
      </c>
      <c r="E732" s="45">
        <f>MROUND(MID($C732,9,3)/Basis!$E$3,0.5)</f>
        <v>43.5</v>
      </c>
      <c r="F732" s="124">
        <v>15</v>
      </c>
      <c r="G732" s="45">
        <f>ROUND(21/Basis!$E$3,1)</f>
        <v>8.3000000000000007</v>
      </c>
      <c r="H732" s="120">
        <f>ROUND($P732*Basis!$E$2*((TaH-TrH)/LN(1/µ)/Basis!$E$7)^$N732*$AA$4*Glycol,0)</f>
        <v>4116</v>
      </c>
      <c r="I732" s="83">
        <f>ROUND(H732/(MID($C732,9,3)/Basis!$E$3/Basis!$E$9)*Basis!$E$11,0)</f>
        <v>1141</v>
      </c>
      <c r="J732" s="123">
        <f>IF(Basis!$E$1=1,ROUND(H732/((TaH-TrH)*1.163)/3600,3),ROUND(H732/(500*(TaH-TrH)),2))</f>
        <v>0.41</v>
      </c>
      <c r="K732" s="84"/>
      <c r="L732" s="177">
        <f>CHOOSE(Basis!$E$1,((AJ732*(J732*3600/Basis!$E$5)^AK732*(((MID(C732,9,3)*10)-144)/1000)*AL732+AM732*(J732*3600/Basis!$E$5)^2)*0.0098)/Basis!$E$10,((AJ732*(J732/Basis!$E$5)^AK732*(((MID(C732,9,3)*10)-144)/1000)*AL732+AM732*(J732/Basis!$E$5)^2)*0.0098)/Basis!$E$10)</f>
        <v>1.6325379935801403E-2</v>
      </c>
      <c r="M732" s="85"/>
      <c r="N732" s="110">
        <v>1</v>
      </c>
      <c r="O732" s="74"/>
      <c r="P732" s="73">
        <v>1678</v>
      </c>
      <c r="Q732" s="74"/>
      <c r="R732" s="75"/>
      <c r="S732" s="75"/>
      <c r="T732" s="75"/>
      <c r="U732" s="75"/>
      <c r="V732" s="75"/>
      <c r="W732" s="74"/>
      <c r="X732" s="76"/>
      <c r="Y732" s="76"/>
      <c r="Z732" s="76"/>
      <c r="AA732" s="76"/>
      <c r="AB732" s="76"/>
      <c r="AC732" s="74"/>
      <c r="AD732" s="77"/>
      <c r="AE732" s="77"/>
      <c r="AF732" s="77"/>
      <c r="AG732" s="77"/>
      <c r="AH732" s="77"/>
      <c r="AI732" s="68"/>
      <c r="AJ732" s="214">
        <v>2.0829999999999999E-4</v>
      </c>
      <c r="AK732" s="214">
        <v>1.724</v>
      </c>
      <c r="AL732" s="214">
        <v>2</v>
      </c>
      <c r="AM732" s="214">
        <v>4.6182900000000003E-4</v>
      </c>
      <c r="AN732" s="74"/>
      <c r="AO732" s="73"/>
      <c r="AP732" s="73"/>
      <c r="AQ732" s="73"/>
      <c r="AR732" s="73"/>
      <c r="AS732" s="73"/>
      <c r="AT732" s="74"/>
      <c r="AU732" s="47"/>
      <c r="AV732" s="48"/>
    </row>
    <row r="733" spans="1:48" ht="12.75" customHeight="1" x14ac:dyDescent="0.25">
      <c r="A733" s="72" t="s">
        <v>883</v>
      </c>
      <c r="B733" s="43" t="s">
        <v>884</v>
      </c>
      <c r="C733" s="44" t="s">
        <v>886</v>
      </c>
      <c r="D733" s="45">
        <f>MROUND(MID($C733,6,3)/Basis!$E$3,0.5)</f>
        <v>8.5</v>
      </c>
      <c r="E733" s="45">
        <f>MROUND(MID($C733,9,3)/Basis!$E$3,0.5)</f>
        <v>51</v>
      </c>
      <c r="F733" s="124">
        <v>15</v>
      </c>
      <c r="G733" s="45">
        <f>ROUND(21/Basis!$E$3,1)</f>
        <v>8.3000000000000007</v>
      </c>
      <c r="H733" s="120">
        <f>ROUND($P733*Basis!$E$2*((TaH-TrH)/LN(1/µ)/Basis!$E$7)^$N733*$AA$4*Glycol,0)</f>
        <v>5308</v>
      </c>
      <c r="I733" s="83">
        <f>ROUND(H733/(MID($C733,9,3)/Basis!$E$3/Basis!$E$9)*Basis!$E$11,0)</f>
        <v>1245</v>
      </c>
      <c r="J733" s="123">
        <f>IF(Basis!$E$1=1,ROUND(H733/((TaH-TrH)*1.163)/3600,3),ROUND(H733/(500*(TaH-TrH)),2))</f>
        <v>0.53</v>
      </c>
      <c r="K733" s="84"/>
      <c r="L733" s="177">
        <f>CHOOSE(Basis!$E$1,((AJ733*(J733*3600/Basis!$E$5)^AK733*(((MID(C733,9,3)*10)-144)/1000)*AL733+AM733*(J733*3600/Basis!$E$5)^2)*0.0098)/Basis!$E$10,((AJ733*(J733/Basis!$E$5)^AK733*(((MID(C733,9,3)*10)-144)/1000)*AL733+AM733*(J733/Basis!$E$5)^2)*0.0098)/Basis!$E$10)</f>
        <v>2.7963116253110647E-2</v>
      </c>
      <c r="M733" s="85"/>
      <c r="N733" s="109">
        <v>1</v>
      </c>
      <c r="O733" s="68"/>
      <c r="P733" s="67">
        <v>2164</v>
      </c>
      <c r="Q733" s="68"/>
      <c r="R733" s="69"/>
      <c r="S733" s="69"/>
      <c r="T733" s="69"/>
      <c r="U733" s="69"/>
      <c r="V733" s="69"/>
      <c r="W733" s="68"/>
      <c r="X733" s="70"/>
      <c r="Y733" s="70"/>
      <c r="Z733" s="70"/>
      <c r="AA733" s="70"/>
      <c r="AB733" s="70"/>
      <c r="AC733" s="68"/>
      <c r="AD733" s="71"/>
      <c r="AE733" s="71"/>
      <c r="AF733" s="71"/>
      <c r="AG733" s="71"/>
      <c r="AH733" s="71"/>
      <c r="AI733" s="68"/>
      <c r="AJ733" s="214">
        <v>2.0829999999999999E-4</v>
      </c>
      <c r="AK733" s="214">
        <v>1.724</v>
      </c>
      <c r="AL733" s="214">
        <v>2</v>
      </c>
      <c r="AM733" s="214">
        <v>4.6182900000000003E-4</v>
      </c>
      <c r="AN733" s="68"/>
      <c r="AO733" s="67"/>
      <c r="AP733" s="67"/>
      <c r="AQ733" s="67"/>
      <c r="AR733" s="67"/>
      <c r="AS733" s="67"/>
      <c r="AT733" s="68"/>
      <c r="AU733" s="49"/>
      <c r="AV733" s="50"/>
    </row>
    <row r="734" spans="1:48" ht="12.75" customHeight="1" x14ac:dyDescent="0.25">
      <c r="A734" s="72" t="s">
        <v>883</v>
      </c>
      <c r="B734" s="43" t="s">
        <v>884</v>
      </c>
      <c r="C734" s="44" t="s">
        <v>887</v>
      </c>
      <c r="D734" s="45">
        <f>MROUND(MID($C734,6,3)/Basis!$E$3,0.5)</f>
        <v>8.5</v>
      </c>
      <c r="E734" s="45">
        <f>MROUND(MID($C734,9,3)/Basis!$E$3,0.5)</f>
        <v>67</v>
      </c>
      <c r="F734" s="124">
        <v>15</v>
      </c>
      <c r="G734" s="45">
        <f>ROUND(21/Basis!$E$3,1)</f>
        <v>8.3000000000000007</v>
      </c>
      <c r="H734" s="120">
        <f>ROUND($P734*Basis!$E$2*((TaH-TrH)/LN(1/µ)/Basis!$E$7)^$N734*$AA$4*Glycol,0)</f>
        <v>7077</v>
      </c>
      <c r="I734" s="83">
        <f>ROUND(H734/(MID($C734,9,3)/Basis!$E$3/Basis!$E$9)*Basis!$E$11,0)</f>
        <v>1269</v>
      </c>
      <c r="J734" s="123">
        <f>IF(Basis!$E$1=1,ROUND(H734/((TaH-TrH)*1.163)/3600,3),ROUND(H734/(500*(TaH-TrH)),2))</f>
        <v>0.71</v>
      </c>
      <c r="K734" s="84"/>
      <c r="L734" s="177">
        <f>CHOOSE(Basis!$E$1,((AJ734*(J734*3600/Basis!$E$5)^AK734*(((MID(C734,9,3)*10)-144)/1000)*AL734+AM734*(J734*3600/Basis!$E$5)^2)*0.0098)/Basis!$E$10,((AJ734*(J734/Basis!$E$5)^AK734*(((MID(C734,9,3)*10)-144)/1000)*AL734+AM734*(J734/Basis!$E$5)^2)*0.0098)/Basis!$E$10)</f>
        <v>5.2819967939787778E-2</v>
      </c>
      <c r="M734" s="85"/>
      <c r="N734" s="110">
        <v>1</v>
      </c>
      <c r="O734" s="74"/>
      <c r="P734" s="73">
        <v>2885</v>
      </c>
      <c r="Q734" s="74"/>
      <c r="R734" s="75"/>
      <c r="S734" s="75"/>
      <c r="T734" s="75"/>
      <c r="U734" s="75"/>
      <c r="V734" s="75"/>
      <c r="W734" s="74"/>
      <c r="X734" s="76"/>
      <c r="Y734" s="76"/>
      <c r="Z734" s="76"/>
      <c r="AA734" s="76"/>
      <c r="AB734" s="76"/>
      <c r="AC734" s="74"/>
      <c r="AD734" s="77"/>
      <c r="AE734" s="77"/>
      <c r="AF734" s="77"/>
      <c r="AG734" s="77"/>
      <c r="AH734" s="77"/>
      <c r="AI734" s="68"/>
      <c r="AJ734" s="214">
        <v>2.0829999999999999E-4</v>
      </c>
      <c r="AK734" s="214">
        <v>1.724</v>
      </c>
      <c r="AL734" s="214">
        <v>2</v>
      </c>
      <c r="AM734" s="214">
        <v>4.6182900000000003E-4</v>
      </c>
      <c r="AN734" s="74"/>
      <c r="AO734" s="73"/>
      <c r="AP734" s="73"/>
      <c r="AQ734" s="73"/>
      <c r="AR734" s="73"/>
      <c r="AS734" s="73"/>
      <c r="AT734" s="74"/>
      <c r="AU734" s="47"/>
      <c r="AV734" s="48"/>
    </row>
    <row r="735" spans="1:48" ht="12.75" customHeight="1" x14ac:dyDescent="0.25">
      <c r="A735" s="72" t="s">
        <v>883</v>
      </c>
      <c r="B735" s="43" t="s">
        <v>884</v>
      </c>
      <c r="C735" s="44" t="s">
        <v>888</v>
      </c>
      <c r="D735" s="45">
        <f>MROUND(MID($C735,6,3)/Basis!$E$3,0.5)</f>
        <v>8.5</v>
      </c>
      <c r="E735" s="45">
        <f>MROUND(MID($C735,9,3)/Basis!$E$3,0.5)</f>
        <v>82.5</v>
      </c>
      <c r="F735" s="124">
        <v>15</v>
      </c>
      <c r="G735" s="45">
        <f>ROUND(21/Basis!$E$3,1)</f>
        <v>8.3000000000000007</v>
      </c>
      <c r="H735" s="120">
        <f>ROUND($P735*Basis!$E$2*((TaH-TrH)/LN(1/µ)/Basis!$E$7)^$N735*$AA$4*Glycol,0)</f>
        <v>8845</v>
      </c>
      <c r="I735" s="83">
        <f>ROUND(H735/(MID($C735,9,3)/Basis!$E$3/Basis!$E$9)*Basis!$E$11,0)</f>
        <v>1284</v>
      </c>
      <c r="J735" s="123">
        <f>IF(Basis!$E$1=1,ROUND(H735/((TaH-TrH)*1.163)/3600,3),ROUND(H735/(500*(TaH-TrH)),2))</f>
        <v>0.88</v>
      </c>
      <c r="K735" s="84"/>
      <c r="L735" s="177">
        <f>CHOOSE(Basis!$E$1,((AJ735*(J735*3600/Basis!$E$5)^AK735*(((MID(C735,9,3)*10)-144)/1000)*AL735+AM735*(J735*3600/Basis!$E$5)^2)*0.0098)/Basis!$E$10,((AJ735*(J735/Basis!$E$5)^AK735*(((MID(C735,9,3)*10)-144)/1000)*AL735+AM735*(J735/Basis!$E$5)^2)*0.0098)/Basis!$E$10)</f>
        <v>8.4988656464479173E-2</v>
      </c>
      <c r="M735" s="85"/>
      <c r="N735" s="109">
        <v>1</v>
      </c>
      <c r="O735" s="68"/>
      <c r="P735" s="67">
        <v>3606</v>
      </c>
      <c r="Q735" s="68"/>
      <c r="R735" s="69"/>
      <c r="S735" s="69"/>
      <c r="T735" s="69"/>
      <c r="U735" s="69"/>
      <c r="V735" s="69"/>
      <c r="W735" s="68"/>
      <c r="X735" s="70"/>
      <c r="Y735" s="70"/>
      <c r="Z735" s="70"/>
      <c r="AA735" s="70"/>
      <c r="AB735" s="70"/>
      <c r="AC735" s="68"/>
      <c r="AD735" s="71"/>
      <c r="AE735" s="71"/>
      <c r="AF735" s="71"/>
      <c r="AG735" s="71"/>
      <c r="AH735" s="71"/>
      <c r="AI735" s="68"/>
      <c r="AJ735" s="214">
        <v>2.0829999999999999E-4</v>
      </c>
      <c r="AK735" s="214">
        <v>1.724</v>
      </c>
      <c r="AL735" s="214">
        <v>2</v>
      </c>
      <c r="AM735" s="214">
        <v>4.6182900000000003E-4</v>
      </c>
      <c r="AN735" s="68"/>
      <c r="AO735" s="67"/>
      <c r="AP735" s="67"/>
      <c r="AQ735" s="67"/>
      <c r="AR735" s="67"/>
      <c r="AS735" s="67"/>
      <c r="AT735" s="68"/>
      <c r="AU735" s="49"/>
      <c r="AV735" s="50"/>
    </row>
    <row r="736" spans="1:48" ht="12.75" customHeight="1" x14ac:dyDescent="0.25">
      <c r="A736" s="72" t="s">
        <v>20</v>
      </c>
      <c r="B736" s="43" t="s">
        <v>889</v>
      </c>
      <c r="C736" s="44" t="s">
        <v>890</v>
      </c>
      <c r="D736" s="45">
        <f>MROUND(MID($C736,6,3)/Basis!$E$3,0.5)</f>
        <v>17.5</v>
      </c>
      <c r="E736" s="45">
        <f>MROUND(MID($C736,9,3)/Basis!$E$3,0.5)</f>
        <v>25</v>
      </c>
      <c r="F736" s="124" t="s">
        <v>2946</v>
      </c>
      <c r="G736" s="45">
        <f>ROUND((ROUNDDOWN($F736/5,0)*5+3)/Basis!$E$3,1)</f>
        <v>5.0999999999999996</v>
      </c>
      <c r="H736" s="120">
        <f>ROUND($P736*Basis!$E$2*((TaH-TrH)/LN(1/µ)/Basis!$E$7)^$N736*$AA$4*Glycol,0)</f>
        <v>829</v>
      </c>
      <c r="I736" s="83">
        <f>ROUND(H736/(MID($C736,9,3)/Basis!$E$3/Basis!$E$9)*Basis!$E$11,0)</f>
        <v>401</v>
      </c>
      <c r="J736" s="123">
        <f>IF(Basis!$E$1=1,ROUND(H736/((TaH-TrH)*1.163)/3600,3),ROUND(H736/(500*(TaH-TrH)),2))</f>
        <v>0.08</v>
      </c>
      <c r="K736" s="84"/>
      <c r="L736" s="177">
        <f>CHOOSE(Basis!$E$1,((AJ736*(J736*3600/Basis!$E$5)^AK736*(((MID(C736,9,3)*10)-144)/1000)*AL736+AM736*(J736*3600/Basis!$E$5)^2)*0.0098)/Basis!$E$10,((AJ736*(J736/Basis!$E$5)^AK736*(((MID(C736,9,3)*10)-144)/1000)*AL736+AM736*(J736/Basis!$E$5)^2)*0.0098)/Basis!$E$10)</f>
        <v>1.005740617775284E-3</v>
      </c>
      <c r="M736" s="85"/>
      <c r="N736" s="109">
        <v>1.44</v>
      </c>
      <c r="O736" s="68"/>
      <c r="P736" s="67">
        <v>391</v>
      </c>
      <c r="Q736" s="68"/>
      <c r="R736" s="69"/>
      <c r="S736" s="69"/>
      <c r="T736" s="69"/>
      <c r="U736" s="69"/>
      <c r="V736" s="69"/>
      <c r="W736" s="68"/>
      <c r="X736" s="70"/>
      <c r="Y736" s="70"/>
      <c r="Z736" s="70"/>
      <c r="AA736" s="70"/>
      <c r="AB736" s="70"/>
      <c r="AC736" s="68"/>
      <c r="AD736" s="71"/>
      <c r="AE736" s="71"/>
      <c r="AF736" s="71"/>
      <c r="AG736" s="71"/>
      <c r="AH736" s="71"/>
      <c r="AI736" s="68"/>
      <c r="AJ736" s="214">
        <v>3.9689999999999994E-4</v>
      </c>
      <c r="AK736" s="214">
        <v>1.7345999999999999</v>
      </c>
      <c r="AL736" s="214">
        <v>4</v>
      </c>
      <c r="AM736" s="214">
        <v>5.7428799999999995E-4</v>
      </c>
      <c r="AN736" s="68"/>
      <c r="AO736" s="67"/>
      <c r="AP736" s="67"/>
      <c r="AQ736" s="67"/>
      <c r="AR736" s="67"/>
      <c r="AS736" s="67"/>
      <c r="AT736" s="68"/>
      <c r="AU736" s="49"/>
      <c r="AV736" s="50"/>
    </row>
    <row r="737" spans="1:48" ht="12.75" customHeight="1" x14ac:dyDescent="0.25">
      <c r="A737" s="72" t="s">
        <v>20</v>
      </c>
      <c r="B737" s="43" t="s">
        <v>889</v>
      </c>
      <c r="C737" s="44" t="s">
        <v>891</v>
      </c>
      <c r="D737" s="45">
        <f>MROUND(MID($C737,6,3)/Basis!$E$3,0.5)</f>
        <v>17.5</v>
      </c>
      <c r="E737" s="45">
        <f>MROUND(MID($C737,9,3)/Basis!$E$3,0.5)</f>
        <v>25</v>
      </c>
      <c r="F737" s="124" t="s">
        <v>2946</v>
      </c>
      <c r="G737" s="45">
        <f>ROUND((ROUNDDOWN($F737/5,0)*5+3)/Basis!$E$3,1)</f>
        <v>5.0999999999999996</v>
      </c>
      <c r="H737" s="120">
        <f>ROUND($P737*Basis!$E$2*((TaH-TrH)/LN(1/µ)/Basis!$E$7)^$N737*$AA$4*Glycol,0)</f>
        <v>709</v>
      </c>
      <c r="I737" s="83">
        <f>ROUND(H737/(MID($C737,9,3)/Basis!$E$3/Basis!$E$9)*Basis!$E$11,0)</f>
        <v>343</v>
      </c>
      <c r="J737" s="123">
        <f>IF(Basis!$E$1=1,ROUND(H737/((TaH-TrH)*1.163)/3600,3),ROUND(H737/(500*(TaH-TrH)),2))</f>
        <v>7.0000000000000007E-2</v>
      </c>
      <c r="K737" s="84"/>
      <c r="L737" s="177">
        <f>CHOOSE(Basis!$E$1,((AJ737*(J737*3600/Basis!$E$5)^AK737*(((MID(C737,9,3)*10)-144)/1000)*AL737+AM737*(J737*3600/Basis!$E$5)^2)*0.0098)/Basis!$E$10,((AJ737*(J737/Basis!$E$5)^AK737*(((MID(C737,9,3)*10)-144)/1000)*AL737+AM737*(J737/Basis!$E$5)^2)*0.0098)/Basis!$E$10)</f>
        <v>7.8067592883586346E-4</v>
      </c>
      <c r="M737" s="85"/>
      <c r="N737" s="109">
        <v>1.44</v>
      </c>
      <c r="O737" s="68"/>
      <c r="P737" s="67">
        <v>334</v>
      </c>
      <c r="Q737" s="68"/>
      <c r="R737" s="69"/>
      <c r="S737" s="69"/>
      <c r="T737" s="69"/>
      <c r="U737" s="69"/>
      <c r="V737" s="69"/>
      <c r="W737" s="68"/>
      <c r="X737" s="70"/>
      <c r="Y737" s="70"/>
      <c r="Z737" s="70"/>
      <c r="AA737" s="70"/>
      <c r="AB737" s="70"/>
      <c r="AC737" s="68"/>
      <c r="AD737" s="71"/>
      <c r="AE737" s="71"/>
      <c r="AF737" s="71"/>
      <c r="AG737" s="71"/>
      <c r="AH737" s="71"/>
      <c r="AI737" s="68"/>
      <c r="AJ737" s="214">
        <v>3.9689999999999994E-4</v>
      </c>
      <c r="AK737" s="214">
        <v>1.7345999999999999</v>
      </c>
      <c r="AL737" s="214">
        <v>4</v>
      </c>
      <c r="AM737" s="214">
        <v>5.7428799999999995E-4</v>
      </c>
      <c r="AN737" s="68"/>
      <c r="AO737" s="67"/>
      <c r="AP737" s="67"/>
      <c r="AQ737" s="67"/>
      <c r="AR737" s="67"/>
      <c r="AS737" s="67"/>
      <c r="AT737" s="68"/>
      <c r="AU737" s="49"/>
      <c r="AV737" s="50"/>
    </row>
    <row r="738" spans="1:48" ht="12.75" customHeight="1" x14ac:dyDescent="0.25">
      <c r="A738" s="72" t="s">
        <v>20</v>
      </c>
      <c r="B738" s="43" t="s">
        <v>889</v>
      </c>
      <c r="C738" s="44" t="s">
        <v>892</v>
      </c>
      <c r="D738" s="45">
        <f>MROUND(MID($C738,6,3)/Basis!$E$3,0.5)</f>
        <v>17.5</v>
      </c>
      <c r="E738" s="45">
        <f>MROUND(MID($C738,9,3)/Basis!$E$3,0.5)</f>
        <v>25</v>
      </c>
      <c r="F738" s="124" t="s">
        <v>2946</v>
      </c>
      <c r="G738" s="45">
        <f>ROUND((ROUNDDOWN($F738/5,0)*5+3)/Basis!$E$3,1)</f>
        <v>5.0999999999999996</v>
      </c>
      <c r="H738" s="120">
        <f>ROUND($P738*Basis!$E$2*((TaH-TrH)/LN(1/µ)/Basis!$E$7)^$N738*$AA$4*Glycol,0)</f>
        <v>1014</v>
      </c>
      <c r="I738" s="83">
        <f>ROUND(H738/(MID($C738,9,3)/Basis!$E$3/Basis!$E$9)*Basis!$E$11,0)</f>
        <v>491</v>
      </c>
      <c r="J738" s="123">
        <f>IF(Basis!$E$1=1,ROUND(H738/((TaH-TrH)*1.163)/3600,3),ROUND(H738/(500*(TaH-TrH)),2))</f>
        <v>0.1</v>
      </c>
      <c r="K738" s="84"/>
      <c r="L738" s="177">
        <f>CHOOSE(Basis!$E$1,((AJ738*(J738*3600/Basis!$E$5)^AK738*(((MID(C738,9,3)*10)-144)/1000)*AL738+AM738*(J738*3600/Basis!$E$5)^2)*0.0098)/Basis!$E$10,((AJ738*(J738/Basis!$E$5)^AK738*(((MID(C738,9,3)*10)-144)/1000)*AL738+AM738*(J738/Basis!$E$5)^2)*0.0098)/Basis!$E$10)</f>
        <v>1.5368060166197699E-3</v>
      </c>
      <c r="M738" s="85"/>
      <c r="N738" s="109">
        <v>1.4390000000000001</v>
      </c>
      <c r="O738" s="68"/>
      <c r="P738" s="67">
        <v>478</v>
      </c>
      <c r="Q738" s="68"/>
      <c r="R738" s="69"/>
      <c r="S738" s="69"/>
      <c r="T738" s="69"/>
      <c r="U738" s="69"/>
      <c r="V738" s="69"/>
      <c r="W738" s="68"/>
      <c r="X738" s="70"/>
      <c r="Y738" s="70"/>
      <c r="Z738" s="70"/>
      <c r="AA738" s="70"/>
      <c r="AB738" s="70"/>
      <c r="AC738" s="68"/>
      <c r="AD738" s="71"/>
      <c r="AE738" s="71"/>
      <c r="AF738" s="71"/>
      <c r="AG738" s="71"/>
      <c r="AH738" s="71"/>
      <c r="AI738" s="68"/>
      <c r="AJ738" s="214">
        <v>3.9689999999999994E-4</v>
      </c>
      <c r="AK738" s="214">
        <v>1.7345999999999999</v>
      </c>
      <c r="AL738" s="214">
        <v>4</v>
      </c>
      <c r="AM738" s="214">
        <v>5.7428799999999995E-4</v>
      </c>
      <c r="AN738" s="68"/>
      <c r="AO738" s="67"/>
      <c r="AP738" s="67"/>
      <c r="AQ738" s="67"/>
      <c r="AR738" s="67"/>
      <c r="AS738" s="67"/>
      <c r="AT738" s="68"/>
      <c r="AU738" s="49"/>
      <c r="AV738" s="50"/>
    </row>
    <row r="739" spans="1:48" ht="12.75" customHeight="1" x14ac:dyDescent="0.25">
      <c r="A739" s="72" t="s">
        <v>20</v>
      </c>
      <c r="B739" s="43" t="s">
        <v>889</v>
      </c>
      <c r="C739" s="44" t="s">
        <v>893</v>
      </c>
      <c r="D739" s="45">
        <f>MROUND(MID($C739,6,3)/Basis!$E$3,0.5)</f>
        <v>17.5</v>
      </c>
      <c r="E739" s="45">
        <f>MROUND(MID($C739,9,3)/Basis!$E$3,0.5)</f>
        <v>25</v>
      </c>
      <c r="F739" s="124" t="s">
        <v>2947</v>
      </c>
      <c r="G739" s="45">
        <f>ROUND((ROUNDDOWN($F739/5,0)*5+3)/Basis!$E$3,1)</f>
        <v>7.1</v>
      </c>
      <c r="H739" s="120">
        <f>ROUND($P739*Basis!$E$2*((TaH-TrH)/LN(1/µ)/Basis!$E$7)^$N739*$AA$4*Glycol,0)</f>
        <v>1182</v>
      </c>
      <c r="I739" s="83">
        <f>ROUND(H739/(MID($C739,9,3)/Basis!$E$3/Basis!$E$9)*Basis!$E$11,0)</f>
        <v>572</v>
      </c>
      <c r="J739" s="123">
        <f>IF(Basis!$E$1=1,ROUND(H739/((TaH-TrH)*1.163)/3600,3),ROUND(H739/(500*(TaH-TrH)),2))</f>
        <v>0.12</v>
      </c>
      <c r="K739" s="84"/>
      <c r="L739" s="177">
        <f>CHOOSE(Basis!$E$1,((AJ739*(J739*3600/Basis!$E$5)^AK739*(((MID(C739,9,3)*10)-144)/1000)*AL739+AM739*(J739*3600/Basis!$E$5)^2)*0.0098)/Basis!$E$10,((AJ739*(J739/Basis!$E$5)^AK739*(((MID(C739,9,3)*10)-144)/1000)*AL739+AM739*(J739/Basis!$E$5)^2)*0.0098)/Basis!$E$10)</f>
        <v>3.7778992952489958E-3</v>
      </c>
      <c r="M739" s="85"/>
      <c r="N739" s="109">
        <v>1.4550000000000001</v>
      </c>
      <c r="O739" s="68"/>
      <c r="P739" s="67">
        <v>560</v>
      </c>
      <c r="Q739" s="68"/>
      <c r="R739" s="69"/>
      <c r="S739" s="69"/>
      <c r="T739" s="69"/>
      <c r="U739" s="69"/>
      <c r="V739" s="69"/>
      <c r="W739" s="68"/>
      <c r="X739" s="70"/>
      <c r="Y739" s="70"/>
      <c r="Z739" s="70"/>
      <c r="AA739" s="70"/>
      <c r="AB739" s="70"/>
      <c r="AC739" s="68"/>
      <c r="AD739" s="71"/>
      <c r="AE739" s="71"/>
      <c r="AF739" s="71"/>
      <c r="AG739" s="71"/>
      <c r="AH739" s="71"/>
      <c r="AI739" s="68"/>
      <c r="AJ739" s="214">
        <v>2.0829999999999999E-4</v>
      </c>
      <c r="AK739" s="214">
        <v>1.724</v>
      </c>
      <c r="AL739" s="214">
        <v>4</v>
      </c>
      <c r="AM739" s="214">
        <v>1.392796E-3</v>
      </c>
      <c r="AN739" s="68"/>
      <c r="AO739" s="67"/>
      <c r="AP739" s="67"/>
      <c r="AQ739" s="67"/>
      <c r="AR739" s="67"/>
      <c r="AS739" s="67"/>
      <c r="AT739" s="68"/>
      <c r="AU739" s="49"/>
      <c r="AV739" s="50"/>
    </row>
    <row r="740" spans="1:48" ht="12.75" customHeight="1" x14ac:dyDescent="0.25">
      <c r="A740" s="72" t="s">
        <v>20</v>
      </c>
      <c r="B740" s="43" t="s">
        <v>889</v>
      </c>
      <c r="C740" s="44" t="s">
        <v>894</v>
      </c>
      <c r="D740" s="45">
        <f>MROUND(MID($C740,6,3)/Basis!$E$3,0.5)</f>
        <v>17.5</v>
      </c>
      <c r="E740" s="45">
        <f>MROUND(MID($C740,9,3)/Basis!$E$3,0.5)</f>
        <v>25</v>
      </c>
      <c r="F740" s="124" t="s">
        <v>2947</v>
      </c>
      <c r="G740" s="45">
        <f>ROUND((ROUNDDOWN($F740/5,0)*5+3)/Basis!$E$3,1)</f>
        <v>7.1</v>
      </c>
      <c r="H740" s="120">
        <f>ROUND($P740*Basis!$E$2*((TaH-TrH)/LN(1/µ)/Basis!$E$7)^$N740*$AA$4*Glycol,0)</f>
        <v>1048</v>
      </c>
      <c r="I740" s="83">
        <f>ROUND(H740/(MID($C740,9,3)/Basis!$E$3/Basis!$E$9)*Basis!$E$11,0)</f>
        <v>507</v>
      </c>
      <c r="J740" s="123">
        <f>IF(Basis!$E$1=1,ROUND(H740/((TaH-TrH)*1.163)/3600,3),ROUND(H740/(500*(TaH-TrH)),2))</f>
        <v>0.1</v>
      </c>
      <c r="K740" s="84"/>
      <c r="L740" s="177">
        <f>CHOOSE(Basis!$E$1,((AJ740*(J740*3600/Basis!$E$5)^AK740*(((MID(C740,9,3)*10)-144)/1000)*AL740+AM740*(J740*3600/Basis!$E$5)^2)*0.0098)/Basis!$E$10,((AJ740*(J740/Basis!$E$5)^AK740*(((MID(C740,9,3)*10)-144)/1000)*AL740+AM740*(J740/Basis!$E$5)^2)*0.0098)/Basis!$E$10)</f>
        <v>2.637697942691719E-3</v>
      </c>
      <c r="M740" s="85"/>
      <c r="N740" s="109">
        <v>1.4570000000000001</v>
      </c>
      <c r="O740" s="68"/>
      <c r="P740" s="67">
        <v>497</v>
      </c>
      <c r="Q740" s="68"/>
      <c r="R740" s="69"/>
      <c r="S740" s="69"/>
      <c r="T740" s="69"/>
      <c r="U740" s="69"/>
      <c r="V740" s="69"/>
      <c r="W740" s="68"/>
      <c r="X740" s="70"/>
      <c r="Y740" s="70"/>
      <c r="Z740" s="70"/>
      <c r="AA740" s="70"/>
      <c r="AB740" s="70"/>
      <c r="AC740" s="68"/>
      <c r="AD740" s="71"/>
      <c r="AE740" s="71"/>
      <c r="AF740" s="71"/>
      <c r="AG740" s="71"/>
      <c r="AH740" s="71"/>
      <c r="AI740" s="68"/>
      <c r="AJ740" s="214">
        <v>2.0829999999999999E-4</v>
      </c>
      <c r="AK740" s="214">
        <v>1.724</v>
      </c>
      <c r="AL740" s="214">
        <v>4</v>
      </c>
      <c r="AM740" s="214">
        <v>1.392796E-3</v>
      </c>
      <c r="AN740" s="68"/>
      <c r="AO740" s="67"/>
      <c r="AP740" s="67"/>
      <c r="AQ740" s="67"/>
      <c r="AR740" s="67"/>
      <c r="AS740" s="67"/>
      <c r="AT740" s="68"/>
      <c r="AU740" s="49"/>
      <c r="AV740" s="50"/>
    </row>
    <row r="741" spans="1:48" ht="12.75" customHeight="1" x14ac:dyDescent="0.25">
      <c r="A741" s="72" t="s">
        <v>20</v>
      </c>
      <c r="B741" s="43" t="s">
        <v>889</v>
      </c>
      <c r="C741" s="44" t="s">
        <v>895</v>
      </c>
      <c r="D741" s="45">
        <f>MROUND(MID($C741,6,3)/Basis!$E$3,0.5)</f>
        <v>17.5</v>
      </c>
      <c r="E741" s="45">
        <f>MROUND(MID($C741,9,3)/Basis!$E$3,0.5)</f>
        <v>25</v>
      </c>
      <c r="F741" s="124" t="s">
        <v>2947</v>
      </c>
      <c r="G741" s="45">
        <f>ROUND((ROUNDDOWN($F741/5,0)*5+3)/Basis!$E$3,1)</f>
        <v>7.1</v>
      </c>
      <c r="H741" s="120">
        <f>ROUND($P741*Basis!$E$2*((TaH-TrH)/LN(1/µ)/Basis!$E$7)^$N741*$AA$4*Glycol,0)</f>
        <v>1512</v>
      </c>
      <c r="I741" s="83">
        <f>ROUND(H741/(MID($C741,9,3)/Basis!$E$3/Basis!$E$9)*Basis!$E$11,0)</f>
        <v>732</v>
      </c>
      <c r="J741" s="123">
        <f>IF(Basis!$E$1=1,ROUND(H741/((TaH-TrH)*1.163)/3600,3),ROUND(H741/(500*(TaH-TrH)),2))</f>
        <v>0.15</v>
      </c>
      <c r="K741" s="84"/>
      <c r="L741" s="177">
        <f>CHOOSE(Basis!$E$1,((AJ741*(J741*3600/Basis!$E$5)^AK741*(((MID(C741,9,3)*10)-144)/1000)*AL741+AM741*(J741*3600/Basis!$E$5)^2)*0.0098)/Basis!$E$10,((AJ741*(J741/Basis!$E$5)^AK741*(((MID(C741,9,3)*10)-144)/1000)*AL741+AM741*(J741/Basis!$E$5)^2)*0.0098)/Basis!$E$10)</f>
        <v>5.8661025760625377E-3</v>
      </c>
      <c r="M741" s="85"/>
      <c r="N741" s="109">
        <v>1.462</v>
      </c>
      <c r="O741" s="68"/>
      <c r="P741" s="67">
        <v>718</v>
      </c>
      <c r="Q741" s="68"/>
      <c r="R741" s="69"/>
      <c r="S741" s="69"/>
      <c r="T741" s="69"/>
      <c r="U741" s="69"/>
      <c r="V741" s="69"/>
      <c r="W741" s="68"/>
      <c r="X741" s="70"/>
      <c r="Y741" s="70"/>
      <c r="Z741" s="70"/>
      <c r="AA741" s="70"/>
      <c r="AB741" s="70"/>
      <c r="AC741" s="68"/>
      <c r="AD741" s="71"/>
      <c r="AE741" s="71"/>
      <c r="AF741" s="71"/>
      <c r="AG741" s="71"/>
      <c r="AH741" s="71"/>
      <c r="AI741" s="68"/>
      <c r="AJ741" s="214">
        <v>2.0829999999999999E-4</v>
      </c>
      <c r="AK741" s="214">
        <v>1.724</v>
      </c>
      <c r="AL741" s="214">
        <v>4</v>
      </c>
      <c r="AM741" s="214">
        <v>1.392796E-3</v>
      </c>
      <c r="AN741" s="68"/>
      <c r="AO741" s="67"/>
      <c r="AP741" s="67"/>
      <c r="AQ741" s="67"/>
      <c r="AR741" s="67"/>
      <c r="AS741" s="67"/>
      <c r="AT741" s="68"/>
      <c r="AU741" s="49"/>
      <c r="AV741" s="50"/>
    </row>
    <row r="742" spans="1:48" ht="12.75" customHeight="1" x14ac:dyDescent="0.25">
      <c r="A742" s="72" t="s">
        <v>20</v>
      </c>
      <c r="B742" s="43" t="s">
        <v>889</v>
      </c>
      <c r="C742" s="44" t="s">
        <v>896</v>
      </c>
      <c r="D742" s="45">
        <f>MROUND(MID($C742,6,3)/Basis!$E$3,0.5)</f>
        <v>17.5</v>
      </c>
      <c r="E742" s="45">
        <f>MROUND(MID($C742,9,3)/Basis!$E$3,0.5)</f>
        <v>25</v>
      </c>
      <c r="F742" s="124" t="s">
        <v>2948</v>
      </c>
      <c r="G742" s="45">
        <f>ROUND((ROUNDDOWN($F742/5,0)*5+3)/Basis!$E$3,1)</f>
        <v>9.1</v>
      </c>
      <c r="H742" s="120">
        <f>ROUND($P742*Basis!$E$2*((TaH-TrH)/LN(1/µ)/Basis!$E$7)^$N742*$AA$4*Glycol,0)</f>
        <v>1518</v>
      </c>
      <c r="I742" s="83">
        <f>ROUND(H742/(MID($C742,9,3)/Basis!$E$3/Basis!$E$9)*Basis!$E$11,0)</f>
        <v>734</v>
      </c>
      <c r="J742" s="123">
        <f>IF(Basis!$E$1=1,ROUND(H742/((TaH-TrH)*1.163)/3600,3),ROUND(H742/(500*(TaH-TrH)),2))</f>
        <v>0.15</v>
      </c>
      <c r="K742" s="84"/>
      <c r="L742" s="177">
        <f>CHOOSE(Basis!$E$1,((AJ742*(J742*3600/Basis!$E$5)^AK742*(((MID(C742,9,3)*10)-144)/1000)*AL742+AM742*(J742*3600/Basis!$E$5)^2)*0.0098)/Basis!$E$10,((AJ742*(J742/Basis!$E$5)^AK742*(((MID(C742,9,3)*10)-144)/1000)*AL742+AM742*(J742/Basis!$E$5)^2)*0.0098)/Basis!$E$10)</f>
        <v>2.3043085318618355E-3</v>
      </c>
      <c r="M742" s="85"/>
      <c r="N742" s="109">
        <v>1.4670000000000001</v>
      </c>
      <c r="O742" s="68"/>
      <c r="P742" s="67">
        <v>722</v>
      </c>
      <c r="Q742" s="68"/>
      <c r="R742" s="69"/>
      <c r="S742" s="69"/>
      <c r="T742" s="69"/>
      <c r="U742" s="69"/>
      <c r="V742" s="69"/>
      <c r="W742" s="68"/>
      <c r="X742" s="70"/>
      <c r="Y742" s="70"/>
      <c r="Z742" s="70"/>
      <c r="AA742" s="70"/>
      <c r="AB742" s="70"/>
      <c r="AC742" s="68"/>
      <c r="AD742" s="71"/>
      <c r="AE742" s="71"/>
      <c r="AF742" s="71"/>
      <c r="AG742" s="71"/>
      <c r="AH742" s="71"/>
      <c r="AI742" s="68"/>
      <c r="AJ742" s="214">
        <v>1.2760000000000001E-4</v>
      </c>
      <c r="AK742" s="214">
        <v>1.7219</v>
      </c>
      <c r="AL742" s="214">
        <v>4</v>
      </c>
      <c r="AM742" s="214">
        <v>5.1420100000000005E-4</v>
      </c>
      <c r="AN742" s="68"/>
      <c r="AO742" s="67"/>
      <c r="AP742" s="67"/>
      <c r="AQ742" s="67"/>
      <c r="AR742" s="67"/>
      <c r="AS742" s="67"/>
      <c r="AT742" s="68"/>
      <c r="AU742" s="49"/>
      <c r="AV742" s="50"/>
    </row>
    <row r="743" spans="1:48" ht="12.75" customHeight="1" x14ac:dyDescent="0.25">
      <c r="A743" s="72" t="s">
        <v>20</v>
      </c>
      <c r="B743" s="43" t="s">
        <v>889</v>
      </c>
      <c r="C743" s="44" t="s">
        <v>897</v>
      </c>
      <c r="D743" s="45">
        <f>MROUND(MID($C743,6,3)/Basis!$E$3,0.5)</f>
        <v>17.5</v>
      </c>
      <c r="E743" s="45">
        <f>MROUND(MID($C743,9,3)/Basis!$E$3,0.5)</f>
        <v>25</v>
      </c>
      <c r="F743" s="124" t="s">
        <v>2948</v>
      </c>
      <c r="G743" s="45">
        <f>ROUND((ROUNDDOWN($F743/5,0)*5+3)/Basis!$E$3,1)</f>
        <v>9.1</v>
      </c>
      <c r="H743" s="120">
        <f>ROUND($P743*Basis!$E$2*((TaH-TrH)/LN(1/µ)/Basis!$E$7)^$N743*$AA$4*Glycol,0)</f>
        <v>1301</v>
      </c>
      <c r="I743" s="83">
        <f>ROUND(H743/(MID($C743,9,3)/Basis!$E$3/Basis!$E$9)*Basis!$E$11,0)</f>
        <v>629</v>
      </c>
      <c r="J743" s="123">
        <f>IF(Basis!$E$1=1,ROUND(H743/((TaH-TrH)*1.163)/3600,3),ROUND(H743/(500*(TaH-TrH)),2))</f>
        <v>0.13</v>
      </c>
      <c r="K743" s="84"/>
      <c r="L743" s="177">
        <f>CHOOSE(Basis!$E$1,((AJ743*(J743*3600/Basis!$E$5)^AK743*(((MID(C743,9,3)*10)-144)/1000)*AL743+AM743*(J743*3600/Basis!$E$5)^2)*0.0098)/Basis!$E$10,((AJ743*(J743/Basis!$E$5)^AK743*(((MID(C743,9,3)*10)-144)/1000)*AL743+AM743*(J743/Basis!$E$5)^2)*0.0098)/Basis!$E$10)</f>
        <v>1.7415524444755622E-3</v>
      </c>
      <c r="M743" s="85"/>
      <c r="N743" s="109">
        <v>1.472</v>
      </c>
      <c r="O743" s="68"/>
      <c r="P743" s="67">
        <v>620</v>
      </c>
      <c r="Q743" s="68"/>
      <c r="R743" s="69"/>
      <c r="S743" s="69"/>
      <c r="T743" s="69"/>
      <c r="U743" s="69"/>
      <c r="V743" s="69"/>
      <c r="W743" s="68"/>
      <c r="X743" s="70"/>
      <c r="Y743" s="70"/>
      <c r="Z743" s="70"/>
      <c r="AA743" s="70"/>
      <c r="AB743" s="70"/>
      <c r="AC743" s="68"/>
      <c r="AD743" s="71"/>
      <c r="AE743" s="71"/>
      <c r="AF743" s="71"/>
      <c r="AG743" s="71"/>
      <c r="AH743" s="71"/>
      <c r="AI743" s="68"/>
      <c r="AJ743" s="214">
        <v>1.2760000000000001E-4</v>
      </c>
      <c r="AK743" s="214">
        <v>1.7219</v>
      </c>
      <c r="AL743" s="214">
        <v>4</v>
      </c>
      <c r="AM743" s="214">
        <v>5.1420100000000005E-4</v>
      </c>
      <c r="AN743" s="68"/>
      <c r="AO743" s="67"/>
      <c r="AP743" s="67"/>
      <c r="AQ743" s="67"/>
      <c r="AR743" s="67"/>
      <c r="AS743" s="67"/>
      <c r="AT743" s="68"/>
      <c r="AU743" s="49"/>
      <c r="AV743" s="50"/>
    </row>
    <row r="744" spans="1:48" ht="12.75" customHeight="1" x14ac:dyDescent="0.25">
      <c r="A744" s="72" t="s">
        <v>20</v>
      </c>
      <c r="B744" s="43" t="s">
        <v>889</v>
      </c>
      <c r="C744" s="44" t="s">
        <v>898</v>
      </c>
      <c r="D744" s="45">
        <f>MROUND(MID($C744,6,3)/Basis!$E$3,0.5)</f>
        <v>17.5</v>
      </c>
      <c r="E744" s="45">
        <f>MROUND(MID($C744,9,3)/Basis!$E$3,0.5)</f>
        <v>25</v>
      </c>
      <c r="F744" s="124" t="s">
        <v>2948</v>
      </c>
      <c r="G744" s="45">
        <f>ROUND((ROUNDDOWN($F744/5,0)*5+3)/Basis!$E$3,1)</f>
        <v>9.1</v>
      </c>
      <c r="H744" s="120">
        <f>ROUND($P744*Basis!$E$2*((TaH-TrH)/LN(1/µ)/Basis!$E$7)^$N744*$AA$4*Glycol,0)</f>
        <v>2018</v>
      </c>
      <c r="I744" s="83">
        <f>ROUND(H744/(MID($C744,9,3)/Basis!$E$3/Basis!$E$9)*Basis!$E$11,0)</f>
        <v>976</v>
      </c>
      <c r="J744" s="123">
        <f>IF(Basis!$E$1=1,ROUND(H744/((TaH-TrH)*1.163)/3600,3),ROUND(H744/(500*(TaH-TrH)),2))</f>
        <v>0.2</v>
      </c>
      <c r="K744" s="84"/>
      <c r="L744" s="177">
        <f>CHOOSE(Basis!$E$1,((AJ744*(J744*3600/Basis!$E$5)^AK744*(((MID(C744,9,3)*10)-144)/1000)*AL744+AM744*(J744*3600/Basis!$E$5)^2)*0.0098)/Basis!$E$10,((AJ744*(J744/Basis!$E$5)^AK744*(((MID(C744,9,3)*10)-144)/1000)*AL744+AM744*(J744/Basis!$E$5)^2)*0.0098)/Basis!$E$10)</f>
        <v>4.0483140557496964E-3</v>
      </c>
      <c r="M744" s="85"/>
      <c r="N744" s="109">
        <v>1.48</v>
      </c>
      <c r="O744" s="68"/>
      <c r="P744" s="67">
        <v>964</v>
      </c>
      <c r="Q744" s="68"/>
      <c r="R744" s="69"/>
      <c r="S744" s="69"/>
      <c r="T744" s="69"/>
      <c r="U744" s="69"/>
      <c r="V744" s="69"/>
      <c r="W744" s="68"/>
      <c r="X744" s="70"/>
      <c r="Y744" s="70"/>
      <c r="Z744" s="70"/>
      <c r="AA744" s="70"/>
      <c r="AB744" s="70"/>
      <c r="AC744" s="68"/>
      <c r="AD744" s="71"/>
      <c r="AE744" s="71"/>
      <c r="AF744" s="71"/>
      <c r="AG744" s="71"/>
      <c r="AH744" s="71"/>
      <c r="AI744" s="68"/>
      <c r="AJ744" s="214">
        <v>1.2760000000000001E-4</v>
      </c>
      <c r="AK744" s="214">
        <v>1.7219</v>
      </c>
      <c r="AL744" s="214">
        <v>4</v>
      </c>
      <c r="AM744" s="214">
        <v>5.1420100000000005E-4</v>
      </c>
      <c r="AN744" s="68"/>
      <c r="AO744" s="67"/>
      <c r="AP744" s="67"/>
      <c r="AQ744" s="67"/>
      <c r="AR744" s="67"/>
      <c r="AS744" s="67"/>
      <c r="AT744" s="68"/>
      <c r="AU744" s="49"/>
      <c r="AV744" s="50"/>
    </row>
    <row r="745" spans="1:48" ht="12.75" customHeight="1" x14ac:dyDescent="0.25">
      <c r="A745" s="72" t="s">
        <v>20</v>
      </c>
      <c r="B745" s="43" t="s">
        <v>889</v>
      </c>
      <c r="C745" s="44" t="s">
        <v>899</v>
      </c>
      <c r="D745" s="45">
        <f>MROUND(MID($C745,6,3)/Basis!$E$3,0.5)</f>
        <v>17.5</v>
      </c>
      <c r="E745" s="45">
        <f>MROUND(MID($C745,9,3)/Basis!$E$3,0.5)</f>
        <v>32.5</v>
      </c>
      <c r="F745" s="124" t="s">
        <v>2946</v>
      </c>
      <c r="G745" s="45">
        <f>ROUND((ROUNDDOWN($F745/5,0)*5+3)/Basis!$E$3,1)</f>
        <v>5.0999999999999996</v>
      </c>
      <c r="H745" s="120">
        <f>ROUND($P745*Basis!$E$2*((TaH-TrH)/LN(1/µ)/Basis!$E$7)^$N745*$AA$4*Glycol,0)</f>
        <v>1220</v>
      </c>
      <c r="I745" s="83">
        <f>ROUND(H745/(MID($C745,9,3)/Basis!$E$3/Basis!$E$9)*Basis!$E$11,0)</f>
        <v>448</v>
      </c>
      <c r="J745" s="123">
        <f>IF(Basis!$E$1=1,ROUND(H745/((TaH-TrH)*1.163)/3600,3),ROUND(H745/(500*(TaH-TrH)),2))</f>
        <v>0.12</v>
      </c>
      <c r="K745" s="84"/>
      <c r="L745" s="177">
        <f>CHOOSE(Basis!$E$1,((AJ745*(J745*3600/Basis!$E$5)^AK745*(((MID(C745,9,3)*10)-144)/1000)*AL745+AM745*(J745*3600/Basis!$E$5)^2)*0.0098)/Basis!$E$10,((AJ745*(J745/Basis!$E$5)^AK745*(((MID(C745,9,3)*10)-144)/1000)*AL745+AM745*(J745/Basis!$E$5)^2)*0.0098)/Basis!$E$10)</f>
        <v>2.4951351645914298E-3</v>
      </c>
      <c r="M745" s="85"/>
      <c r="N745" s="109">
        <v>1.44</v>
      </c>
      <c r="O745" s="68"/>
      <c r="P745" s="67">
        <v>575</v>
      </c>
      <c r="Q745" s="68"/>
      <c r="R745" s="69"/>
      <c r="S745" s="69"/>
      <c r="T745" s="69"/>
      <c r="U745" s="69"/>
      <c r="V745" s="69"/>
      <c r="W745" s="68"/>
      <c r="X745" s="70"/>
      <c r="Y745" s="70"/>
      <c r="Z745" s="70"/>
      <c r="AA745" s="70"/>
      <c r="AB745" s="70"/>
      <c r="AC745" s="68"/>
      <c r="AD745" s="71"/>
      <c r="AE745" s="71"/>
      <c r="AF745" s="71"/>
      <c r="AG745" s="71"/>
      <c r="AH745" s="71"/>
      <c r="AI745" s="68"/>
      <c r="AJ745" s="214">
        <v>3.9689999999999994E-4</v>
      </c>
      <c r="AK745" s="214">
        <v>1.7345999999999999</v>
      </c>
      <c r="AL745" s="214">
        <v>4</v>
      </c>
      <c r="AM745" s="214">
        <v>5.7428799999999995E-4</v>
      </c>
      <c r="AN745" s="68"/>
      <c r="AO745" s="67"/>
      <c r="AP745" s="67"/>
      <c r="AQ745" s="67"/>
      <c r="AR745" s="67"/>
      <c r="AS745" s="67"/>
      <c r="AT745" s="68"/>
      <c r="AU745" s="49"/>
      <c r="AV745" s="50"/>
    </row>
    <row r="746" spans="1:48" ht="12.75" customHeight="1" x14ac:dyDescent="0.25">
      <c r="A746" s="72" t="s">
        <v>20</v>
      </c>
      <c r="B746" s="43" t="s">
        <v>889</v>
      </c>
      <c r="C746" s="44" t="s">
        <v>900</v>
      </c>
      <c r="D746" s="45">
        <f>MROUND(MID($C746,6,3)/Basis!$E$3,0.5)</f>
        <v>17.5</v>
      </c>
      <c r="E746" s="45">
        <f>MROUND(MID($C746,9,3)/Basis!$E$3,0.5)</f>
        <v>32.5</v>
      </c>
      <c r="F746" s="124" t="s">
        <v>2946</v>
      </c>
      <c r="G746" s="45">
        <f>ROUND((ROUNDDOWN($F746/5,0)*5+3)/Basis!$E$3,1)</f>
        <v>5.0999999999999996</v>
      </c>
      <c r="H746" s="120">
        <f>ROUND($P746*Basis!$E$2*((TaH-TrH)/LN(1/µ)/Basis!$E$7)^$N746*$AA$4*Glycol,0)</f>
        <v>1042</v>
      </c>
      <c r="I746" s="83">
        <f>ROUND(H746/(MID($C746,9,3)/Basis!$E$3/Basis!$E$9)*Basis!$E$11,0)</f>
        <v>383</v>
      </c>
      <c r="J746" s="123">
        <f>IF(Basis!$E$1=1,ROUND(H746/((TaH-TrH)*1.163)/3600,3),ROUND(H746/(500*(TaH-TrH)),2))</f>
        <v>0.1</v>
      </c>
      <c r="K746" s="84"/>
      <c r="L746" s="177">
        <f>CHOOSE(Basis!$E$1,((AJ746*(J746*3600/Basis!$E$5)^AK746*(((MID(C746,9,3)*10)-144)/1000)*AL746+AM746*(J746*3600/Basis!$E$5)^2)*0.0098)/Basis!$E$10,((AJ746*(J746/Basis!$E$5)^AK746*(((MID(C746,9,3)*10)-144)/1000)*AL746+AM746*(J746/Basis!$E$5)^2)*0.0098)/Basis!$E$10)</f>
        <v>1.770614327616924E-3</v>
      </c>
      <c r="M746" s="85"/>
      <c r="N746" s="109">
        <v>1.44</v>
      </c>
      <c r="O746" s="68"/>
      <c r="P746" s="67">
        <v>491</v>
      </c>
      <c r="Q746" s="68"/>
      <c r="R746" s="69"/>
      <c r="S746" s="69"/>
      <c r="T746" s="69"/>
      <c r="U746" s="69"/>
      <c r="V746" s="69"/>
      <c r="W746" s="68"/>
      <c r="X746" s="70"/>
      <c r="Y746" s="70"/>
      <c r="Z746" s="70"/>
      <c r="AA746" s="70"/>
      <c r="AB746" s="70"/>
      <c r="AC746" s="68"/>
      <c r="AD746" s="71"/>
      <c r="AE746" s="71"/>
      <c r="AF746" s="71"/>
      <c r="AG746" s="71"/>
      <c r="AH746" s="71"/>
      <c r="AI746" s="68"/>
      <c r="AJ746" s="214">
        <v>3.9689999999999994E-4</v>
      </c>
      <c r="AK746" s="214">
        <v>1.7345999999999999</v>
      </c>
      <c r="AL746" s="214">
        <v>4</v>
      </c>
      <c r="AM746" s="214">
        <v>5.7428799999999995E-4</v>
      </c>
      <c r="AN746" s="68"/>
      <c r="AO746" s="67"/>
      <c r="AP746" s="67"/>
      <c r="AQ746" s="67"/>
      <c r="AR746" s="67"/>
      <c r="AS746" s="67"/>
      <c r="AT746" s="68"/>
      <c r="AU746" s="49"/>
      <c r="AV746" s="50"/>
    </row>
    <row r="747" spans="1:48" ht="12.75" customHeight="1" x14ac:dyDescent="0.25">
      <c r="A747" s="72" t="s">
        <v>20</v>
      </c>
      <c r="B747" s="43" t="s">
        <v>889</v>
      </c>
      <c r="C747" s="44" t="s">
        <v>901</v>
      </c>
      <c r="D747" s="45">
        <f>MROUND(MID($C747,6,3)/Basis!$E$3,0.5)</f>
        <v>17.5</v>
      </c>
      <c r="E747" s="45">
        <f>MROUND(MID($C747,9,3)/Basis!$E$3,0.5)</f>
        <v>32.5</v>
      </c>
      <c r="F747" s="124" t="s">
        <v>2946</v>
      </c>
      <c r="G747" s="45">
        <f>ROUND((ROUNDDOWN($F747/5,0)*5+3)/Basis!$E$3,1)</f>
        <v>5.0999999999999996</v>
      </c>
      <c r="H747" s="120">
        <f>ROUND($P747*Basis!$E$2*((TaH-TrH)/LN(1/µ)/Basis!$E$7)^$N747*$AA$4*Glycol,0)</f>
        <v>1494</v>
      </c>
      <c r="I747" s="83">
        <f>ROUND(H747/(MID($C747,9,3)/Basis!$E$3/Basis!$E$9)*Basis!$E$11,0)</f>
        <v>549</v>
      </c>
      <c r="J747" s="123">
        <f>IF(Basis!$E$1=1,ROUND(H747/((TaH-TrH)*1.163)/3600,3),ROUND(H747/(500*(TaH-TrH)),2))</f>
        <v>0.15</v>
      </c>
      <c r="K747" s="84"/>
      <c r="L747" s="177">
        <f>CHOOSE(Basis!$E$1,((AJ747*(J747*3600/Basis!$E$5)^AK747*(((MID(C747,9,3)*10)-144)/1000)*AL747+AM747*(J747*3600/Basis!$E$5)^2)*0.0098)/Basis!$E$10,((AJ747*(J747/Basis!$E$5)^AK747*(((MID(C747,9,3)*10)-144)/1000)*AL747+AM747*(J747/Basis!$E$5)^2)*0.0098)/Basis!$E$10)</f>
        <v>3.7997909621473079E-3</v>
      </c>
      <c r="M747" s="85"/>
      <c r="N747" s="109">
        <v>1.4390000000000001</v>
      </c>
      <c r="O747" s="68"/>
      <c r="P747" s="67">
        <v>704</v>
      </c>
      <c r="Q747" s="68"/>
      <c r="R747" s="69"/>
      <c r="S747" s="69"/>
      <c r="T747" s="69"/>
      <c r="U747" s="69"/>
      <c r="V747" s="69"/>
      <c r="W747" s="68"/>
      <c r="X747" s="70"/>
      <c r="Y747" s="70"/>
      <c r="Z747" s="70"/>
      <c r="AA747" s="70"/>
      <c r="AB747" s="70"/>
      <c r="AC747" s="68"/>
      <c r="AD747" s="71"/>
      <c r="AE747" s="71"/>
      <c r="AF747" s="71"/>
      <c r="AG747" s="71"/>
      <c r="AH747" s="71"/>
      <c r="AI747" s="68"/>
      <c r="AJ747" s="214">
        <v>3.9689999999999994E-4</v>
      </c>
      <c r="AK747" s="214">
        <v>1.7345999999999999</v>
      </c>
      <c r="AL747" s="214">
        <v>4</v>
      </c>
      <c r="AM747" s="214">
        <v>5.7428799999999995E-4</v>
      </c>
      <c r="AN747" s="68"/>
      <c r="AO747" s="67"/>
      <c r="AP747" s="67"/>
      <c r="AQ747" s="67"/>
      <c r="AR747" s="67"/>
      <c r="AS747" s="67"/>
      <c r="AT747" s="68"/>
      <c r="AU747" s="49"/>
      <c r="AV747" s="50"/>
    </row>
    <row r="748" spans="1:48" ht="12.75" customHeight="1" x14ac:dyDescent="0.25">
      <c r="A748" s="72" t="s">
        <v>20</v>
      </c>
      <c r="B748" s="43" t="s">
        <v>889</v>
      </c>
      <c r="C748" s="44" t="s">
        <v>902</v>
      </c>
      <c r="D748" s="45">
        <f>MROUND(MID($C748,6,3)/Basis!$E$3,0.5)</f>
        <v>17.5</v>
      </c>
      <c r="E748" s="45">
        <f>MROUND(MID($C748,9,3)/Basis!$E$3,0.5)</f>
        <v>32.5</v>
      </c>
      <c r="F748" s="124" t="s">
        <v>2947</v>
      </c>
      <c r="G748" s="45">
        <f>ROUND((ROUNDDOWN($F748/5,0)*5+3)/Basis!$E$3,1)</f>
        <v>7.1</v>
      </c>
      <c r="H748" s="120">
        <f>ROUND($P748*Basis!$E$2*((TaH-TrH)/LN(1/µ)/Basis!$E$7)^$N748*$AA$4*Glycol,0)</f>
        <v>1739</v>
      </c>
      <c r="I748" s="83">
        <f>ROUND(H748/(MID($C748,9,3)/Basis!$E$3/Basis!$E$9)*Basis!$E$11,0)</f>
        <v>639</v>
      </c>
      <c r="J748" s="123">
        <f>IF(Basis!$E$1=1,ROUND(H748/((TaH-TrH)*1.163)/3600,3),ROUND(H748/(500*(TaH-TrH)),2))</f>
        <v>0.17</v>
      </c>
      <c r="K748" s="84"/>
      <c r="L748" s="177">
        <f>CHOOSE(Basis!$E$1,((AJ748*(J748*3600/Basis!$E$5)^AK748*(((MID(C748,9,3)*10)-144)/1000)*AL748+AM748*(J748*3600/Basis!$E$5)^2)*0.0098)/Basis!$E$10,((AJ748*(J748/Basis!$E$5)^AK748*(((MID(C748,9,3)*10)-144)/1000)*AL748+AM748*(J748/Basis!$E$5)^2)*0.0098)/Basis!$E$10)</f>
        <v>7.8057093140927849E-3</v>
      </c>
      <c r="M748" s="85"/>
      <c r="N748" s="109">
        <v>1.4550000000000001</v>
      </c>
      <c r="O748" s="68"/>
      <c r="P748" s="67">
        <v>824</v>
      </c>
      <c r="Q748" s="68"/>
      <c r="R748" s="69"/>
      <c r="S748" s="69"/>
      <c r="T748" s="69"/>
      <c r="U748" s="69"/>
      <c r="V748" s="69"/>
      <c r="W748" s="68"/>
      <c r="X748" s="70"/>
      <c r="Y748" s="70"/>
      <c r="Z748" s="70"/>
      <c r="AA748" s="70"/>
      <c r="AB748" s="70"/>
      <c r="AC748" s="68"/>
      <c r="AD748" s="71"/>
      <c r="AE748" s="71"/>
      <c r="AF748" s="71"/>
      <c r="AG748" s="71"/>
      <c r="AH748" s="71"/>
      <c r="AI748" s="68"/>
      <c r="AJ748" s="214">
        <v>2.0829999999999999E-4</v>
      </c>
      <c r="AK748" s="214">
        <v>1.724</v>
      </c>
      <c r="AL748" s="214">
        <v>4</v>
      </c>
      <c r="AM748" s="214">
        <v>1.392796E-3</v>
      </c>
      <c r="AN748" s="68"/>
      <c r="AO748" s="67"/>
      <c r="AP748" s="67"/>
      <c r="AQ748" s="67"/>
      <c r="AR748" s="67"/>
      <c r="AS748" s="67"/>
      <c r="AT748" s="68"/>
      <c r="AU748" s="49"/>
      <c r="AV748" s="50"/>
    </row>
    <row r="749" spans="1:48" ht="12.75" customHeight="1" x14ac:dyDescent="0.25">
      <c r="A749" s="72" t="s">
        <v>20</v>
      </c>
      <c r="B749" s="43" t="s">
        <v>889</v>
      </c>
      <c r="C749" s="44" t="s">
        <v>903</v>
      </c>
      <c r="D749" s="45">
        <f>MROUND(MID($C749,6,3)/Basis!$E$3,0.5)</f>
        <v>17.5</v>
      </c>
      <c r="E749" s="45">
        <f>MROUND(MID($C749,9,3)/Basis!$E$3,0.5)</f>
        <v>32.5</v>
      </c>
      <c r="F749" s="124" t="s">
        <v>2947</v>
      </c>
      <c r="G749" s="45">
        <f>ROUND((ROUNDDOWN($F749/5,0)*5+3)/Basis!$E$3,1)</f>
        <v>7.1</v>
      </c>
      <c r="H749" s="120">
        <f>ROUND($P749*Basis!$E$2*((TaH-TrH)/LN(1/µ)/Basis!$E$7)^$N749*$AA$4*Glycol,0)</f>
        <v>1544</v>
      </c>
      <c r="I749" s="83">
        <f>ROUND(H749/(MID($C749,9,3)/Basis!$E$3/Basis!$E$9)*Basis!$E$11,0)</f>
        <v>567</v>
      </c>
      <c r="J749" s="123">
        <f>IF(Basis!$E$1=1,ROUND(H749/((TaH-TrH)*1.163)/3600,3),ROUND(H749/(500*(TaH-TrH)),2))</f>
        <v>0.15</v>
      </c>
      <c r="K749" s="84"/>
      <c r="L749" s="177">
        <f>CHOOSE(Basis!$E$1,((AJ749*(J749*3600/Basis!$E$5)^AK749*(((MID(C749,9,3)*10)-144)/1000)*AL749+AM749*(J749*3600/Basis!$E$5)^2)*0.0098)/Basis!$E$10,((AJ749*(J749/Basis!$E$5)^AK749*(((MID(C749,9,3)*10)-144)/1000)*AL749+AM749*(J749/Basis!$E$5)^2)*0.0098)/Basis!$E$10)</f>
        <v>6.1049239444080855E-3</v>
      </c>
      <c r="M749" s="85"/>
      <c r="N749" s="109">
        <v>1.4570000000000001</v>
      </c>
      <c r="O749" s="68"/>
      <c r="P749" s="67">
        <v>732</v>
      </c>
      <c r="Q749" s="68"/>
      <c r="R749" s="69"/>
      <c r="S749" s="69"/>
      <c r="T749" s="69"/>
      <c r="U749" s="69"/>
      <c r="V749" s="69"/>
      <c r="W749" s="68"/>
      <c r="X749" s="70"/>
      <c r="Y749" s="70"/>
      <c r="Z749" s="70"/>
      <c r="AA749" s="70"/>
      <c r="AB749" s="70"/>
      <c r="AC749" s="68"/>
      <c r="AD749" s="71"/>
      <c r="AE749" s="71"/>
      <c r="AF749" s="71"/>
      <c r="AG749" s="71"/>
      <c r="AH749" s="71"/>
      <c r="AI749" s="68"/>
      <c r="AJ749" s="214">
        <v>2.0829999999999999E-4</v>
      </c>
      <c r="AK749" s="214">
        <v>1.724</v>
      </c>
      <c r="AL749" s="214">
        <v>4</v>
      </c>
      <c r="AM749" s="214">
        <v>1.392796E-3</v>
      </c>
      <c r="AN749" s="68"/>
      <c r="AO749" s="67"/>
      <c r="AP749" s="67"/>
      <c r="AQ749" s="67"/>
      <c r="AR749" s="67"/>
      <c r="AS749" s="67"/>
      <c r="AT749" s="68"/>
      <c r="AU749" s="49"/>
      <c r="AV749" s="50"/>
    </row>
    <row r="750" spans="1:48" ht="12.75" customHeight="1" x14ac:dyDescent="0.25">
      <c r="A750" s="72" t="s">
        <v>20</v>
      </c>
      <c r="B750" s="43" t="s">
        <v>889</v>
      </c>
      <c r="C750" s="44" t="s">
        <v>904</v>
      </c>
      <c r="D750" s="45">
        <f>MROUND(MID($C750,6,3)/Basis!$E$3,0.5)</f>
        <v>17.5</v>
      </c>
      <c r="E750" s="45">
        <f>MROUND(MID($C750,9,3)/Basis!$E$3,0.5)</f>
        <v>32.5</v>
      </c>
      <c r="F750" s="124" t="s">
        <v>2947</v>
      </c>
      <c r="G750" s="45">
        <f>ROUND((ROUNDDOWN($F750/5,0)*5+3)/Basis!$E$3,1)</f>
        <v>7.1</v>
      </c>
      <c r="H750" s="120">
        <f>ROUND($P750*Basis!$E$2*((TaH-TrH)/LN(1/µ)/Basis!$E$7)^$N750*$AA$4*Glycol,0)</f>
        <v>2226</v>
      </c>
      <c r="I750" s="83">
        <f>ROUND(H750/(MID($C750,9,3)/Basis!$E$3/Basis!$E$9)*Basis!$E$11,0)</f>
        <v>817</v>
      </c>
      <c r="J750" s="123">
        <f>IF(Basis!$E$1=1,ROUND(H750/((TaH-TrH)*1.163)/3600,3),ROUND(H750/(500*(TaH-TrH)),2))</f>
        <v>0.22</v>
      </c>
      <c r="K750" s="84"/>
      <c r="L750" s="177">
        <f>CHOOSE(Basis!$E$1,((AJ750*(J750*3600/Basis!$E$5)^AK750*(((MID(C750,9,3)*10)-144)/1000)*AL750+AM750*(J750*3600/Basis!$E$5)^2)*0.0098)/Basis!$E$10,((AJ750*(J750/Basis!$E$5)^AK750*(((MID(C750,9,3)*10)-144)/1000)*AL750+AM750*(J750/Basis!$E$5)^2)*0.0098)/Basis!$E$10)</f>
        <v>1.2955612308098594E-2</v>
      </c>
      <c r="M750" s="85"/>
      <c r="N750" s="109">
        <v>1.462</v>
      </c>
      <c r="O750" s="68"/>
      <c r="P750" s="67">
        <v>1057</v>
      </c>
      <c r="Q750" s="68"/>
      <c r="R750" s="69"/>
      <c r="S750" s="69"/>
      <c r="T750" s="69"/>
      <c r="U750" s="69"/>
      <c r="V750" s="69"/>
      <c r="W750" s="68"/>
      <c r="X750" s="70"/>
      <c r="Y750" s="70"/>
      <c r="Z750" s="70"/>
      <c r="AA750" s="70"/>
      <c r="AB750" s="70"/>
      <c r="AC750" s="68"/>
      <c r="AD750" s="71"/>
      <c r="AE750" s="71"/>
      <c r="AF750" s="71"/>
      <c r="AG750" s="71"/>
      <c r="AH750" s="71"/>
      <c r="AI750" s="68"/>
      <c r="AJ750" s="214">
        <v>2.0829999999999999E-4</v>
      </c>
      <c r="AK750" s="214">
        <v>1.724</v>
      </c>
      <c r="AL750" s="214">
        <v>4</v>
      </c>
      <c r="AM750" s="214">
        <v>1.392796E-3</v>
      </c>
      <c r="AN750" s="68"/>
      <c r="AO750" s="67"/>
      <c r="AP750" s="67"/>
      <c r="AQ750" s="67"/>
      <c r="AR750" s="67"/>
      <c r="AS750" s="67"/>
      <c r="AT750" s="68"/>
      <c r="AU750" s="49"/>
      <c r="AV750" s="50"/>
    </row>
    <row r="751" spans="1:48" ht="12.75" customHeight="1" x14ac:dyDescent="0.25">
      <c r="A751" s="72" t="s">
        <v>20</v>
      </c>
      <c r="B751" s="43" t="s">
        <v>889</v>
      </c>
      <c r="C751" s="44" t="s">
        <v>905</v>
      </c>
      <c r="D751" s="45">
        <f>MROUND(MID($C751,6,3)/Basis!$E$3,0.5)</f>
        <v>17.5</v>
      </c>
      <c r="E751" s="45">
        <f>MROUND(MID($C751,9,3)/Basis!$E$3,0.5)</f>
        <v>32.5</v>
      </c>
      <c r="F751" s="124" t="s">
        <v>2948</v>
      </c>
      <c r="G751" s="45">
        <f>ROUND((ROUNDDOWN($F751/5,0)*5+3)/Basis!$E$3,1)</f>
        <v>9.1</v>
      </c>
      <c r="H751" s="120">
        <f>ROUND($P751*Basis!$E$2*((TaH-TrH)/LN(1/µ)/Basis!$E$7)^$N751*$AA$4*Glycol,0)</f>
        <v>2235</v>
      </c>
      <c r="I751" s="83">
        <f>ROUND(H751/(MID($C751,9,3)/Basis!$E$3/Basis!$E$9)*Basis!$E$11,0)</f>
        <v>821</v>
      </c>
      <c r="J751" s="123">
        <f>IF(Basis!$E$1=1,ROUND(H751/((TaH-TrH)*1.163)/3600,3),ROUND(H751/(500*(TaH-TrH)),2))</f>
        <v>0.22</v>
      </c>
      <c r="K751" s="84"/>
      <c r="L751" s="177">
        <f>CHOOSE(Basis!$E$1,((AJ751*(J751*3600/Basis!$E$5)^AK751*(((MID(C751,9,3)*10)-144)/1000)*AL751+AM751*(J751*3600/Basis!$E$5)^2)*0.0098)/Basis!$E$10,((AJ751*(J751/Basis!$E$5)^AK751*(((MID(C751,9,3)*10)-144)/1000)*AL751+AM751*(J751/Basis!$E$5)^2)*0.0098)/Basis!$E$10)</f>
        <v>5.1609476321902489E-3</v>
      </c>
      <c r="M751" s="85"/>
      <c r="N751" s="109">
        <v>1.4670000000000001</v>
      </c>
      <c r="O751" s="68"/>
      <c r="P751" s="67">
        <v>1063</v>
      </c>
      <c r="Q751" s="68"/>
      <c r="R751" s="69"/>
      <c r="S751" s="69"/>
      <c r="T751" s="69"/>
      <c r="U751" s="69"/>
      <c r="V751" s="69"/>
      <c r="W751" s="68"/>
      <c r="X751" s="70"/>
      <c r="Y751" s="70"/>
      <c r="Z751" s="70"/>
      <c r="AA751" s="70"/>
      <c r="AB751" s="70"/>
      <c r="AC751" s="68"/>
      <c r="AD751" s="71"/>
      <c r="AE751" s="71"/>
      <c r="AF751" s="71"/>
      <c r="AG751" s="71"/>
      <c r="AH751" s="71"/>
      <c r="AI751" s="68"/>
      <c r="AJ751" s="214">
        <v>1.2760000000000001E-4</v>
      </c>
      <c r="AK751" s="214">
        <v>1.7219</v>
      </c>
      <c r="AL751" s="214">
        <v>4</v>
      </c>
      <c r="AM751" s="214">
        <v>5.1420100000000005E-4</v>
      </c>
      <c r="AN751" s="68"/>
      <c r="AO751" s="67"/>
      <c r="AP751" s="67"/>
      <c r="AQ751" s="67"/>
      <c r="AR751" s="67"/>
      <c r="AS751" s="67"/>
      <c r="AT751" s="68"/>
      <c r="AU751" s="49"/>
      <c r="AV751" s="50"/>
    </row>
    <row r="752" spans="1:48" ht="12.75" customHeight="1" x14ac:dyDescent="0.25">
      <c r="A752" s="72" t="s">
        <v>20</v>
      </c>
      <c r="B752" s="43" t="s">
        <v>889</v>
      </c>
      <c r="C752" s="44" t="s">
        <v>906</v>
      </c>
      <c r="D752" s="45">
        <f>MROUND(MID($C752,6,3)/Basis!$E$3,0.5)</f>
        <v>17.5</v>
      </c>
      <c r="E752" s="45">
        <f>MROUND(MID($C752,9,3)/Basis!$E$3,0.5)</f>
        <v>32.5</v>
      </c>
      <c r="F752" s="124" t="s">
        <v>2948</v>
      </c>
      <c r="G752" s="45">
        <f>ROUND((ROUNDDOWN($F752/5,0)*5+3)/Basis!$E$3,1)</f>
        <v>9.1</v>
      </c>
      <c r="H752" s="120">
        <f>ROUND($P752*Basis!$E$2*((TaH-TrH)/LN(1/µ)/Basis!$E$7)^$N752*$AA$4*Glycol,0)</f>
        <v>1916</v>
      </c>
      <c r="I752" s="83">
        <f>ROUND(H752/(MID($C752,9,3)/Basis!$E$3/Basis!$E$9)*Basis!$E$11,0)</f>
        <v>704</v>
      </c>
      <c r="J752" s="123">
        <f>IF(Basis!$E$1=1,ROUND(H752/((TaH-TrH)*1.163)/3600,3),ROUND(H752/(500*(TaH-TrH)),2))</f>
        <v>0.19</v>
      </c>
      <c r="K752" s="84"/>
      <c r="L752" s="177">
        <f>CHOOSE(Basis!$E$1,((AJ752*(J752*3600/Basis!$E$5)^AK752*(((MID(C752,9,3)*10)-144)/1000)*AL752+AM752*(J752*3600/Basis!$E$5)^2)*0.0098)/Basis!$E$10,((AJ752*(J752/Basis!$E$5)^AK752*(((MID(C752,9,3)*10)-144)/1000)*AL752+AM752*(J752/Basis!$E$5)^2)*0.0098)/Basis!$E$10)</f>
        <v>3.8792800904062104E-3</v>
      </c>
      <c r="M752" s="85"/>
      <c r="N752" s="109">
        <v>1.472</v>
      </c>
      <c r="O752" s="68"/>
      <c r="P752" s="67">
        <v>913</v>
      </c>
      <c r="Q752" s="68"/>
      <c r="R752" s="69"/>
      <c r="S752" s="69"/>
      <c r="T752" s="69"/>
      <c r="U752" s="69"/>
      <c r="V752" s="69"/>
      <c r="W752" s="68"/>
      <c r="X752" s="70"/>
      <c r="Y752" s="70"/>
      <c r="Z752" s="70"/>
      <c r="AA752" s="70"/>
      <c r="AB752" s="70"/>
      <c r="AC752" s="68"/>
      <c r="AD752" s="71"/>
      <c r="AE752" s="71"/>
      <c r="AF752" s="71"/>
      <c r="AG752" s="71"/>
      <c r="AH752" s="71"/>
      <c r="AI752" s="68"/>
      <c r="AJ752" s="214">
        <v>1.2760000000000001E-4</v>
      </c>
      <c r="AK752" s="214">
        <v>1.7219</v>
      </c>
      <c r="AL752" s="214">
        <v>4</v>
      </c>
      <c r="AM752" s="214">
        <v>5.1420100000000005E-4</v>
      </c>
      <c r="AN752" s="68"/>
      <c r="AO752" s="67"/>
      <c r="AP752" s="67"/>
      <c r="AQ752" s="67"/>
      <c r="AR752" s="67"/>
      <c r="AS752" s="67"/>
      <c r="AT752" s="68"/>
      <c r="AU752" s="49"/>
      <c r="AV752" s="50"/>
    </row>
    <row r="753" spans="1:48" ht="12.75" customHeight="1" x14ac:dyDescent="0.25">
      <c r="A753" s="72" t="s">
        <v>20</v>
      </c>
      <c r="B753" s="43" t="s">
        <v>889</v>
      </c>
      <c r="C753" s="44" t="s">
        <v>907</v>
      </c>
      <c r="D753" s="45">
        <f>MROUND(MID($C753,6,3)/Basis!$E$3,0.5)</f>
        <v>17.5</v>
      </c>
      <c r="E753" s="45">
        <f>MROUND(MID($C753,9,3)/Basis!$E$3,0.5)</f>
        <v>32.5</v>
      </c>
      <c r="F753" s="124" t="s">
        <v>2948</v>
      </c>
      <c r="G753" s="45">
        <f>ROUND((ROUNDDOWN($F753/5,0)*5+3)/Basis!$E$3,1)</f>
        <v>9.1</v>
      </c>
      <c r="H753" s="120">
        <f>ROUND($P753*Basis!$E$2*((TaH-TrH)/LN(1/µ)/Basis!$E$7)^$N753*$AA$4*Glycol,0)</f>
        <v>2969</v>
      </c>
      <c r="I753" s="83">
        <f>ROUND(H753/(MID($C753,9,3)/Basis!$E$3/Basis!$E$9)*Basis!$E$11,0)</f>
        <v>1090</v>
      </c>
      <c r="J753" s="123">
        <f>IF(Basis!$E$1=1,ROUND(H753/((TaH-TrH)*1.163)/3600,3),ROUND(H753/(500*(TaH-TrH)),2))</f>
        <v>0.3</v>
      </c>
      <c r="K753" s="84"/>
      <c r="L753" s="177">
        <f>CHOOSE(Basis!$E$1,((AJ753*(J753*3600/Basis!$E$5)^AK753*(((MID(C753,9,3)*10)-144)/1000)*AL753+AM753*(J753*3600/Basis!$E$5)^2)*0.0098)/Basis!$E$10,((AJ753*(J753/Basis!$E$5)^AK753*(((MID(C753,9,3)*10)-144)/1000)*AL753+AM753*(J753/Basis!$E$5)^2)*0.0098)/Basis!$E$10)</f>
        <v>9.4487909232261903E-3</v>
      </c>
      <c r="M753" s="85"/>
      <c r="N753" s="109">
        <v>1.48</v>
      </c>
      <c r="O753" s="68"/>
      <c r="P753" s="67">
        <v>1418</v>
      </c>
      <c r="Q753" s="68"/>
      <c r="R753" s="69"/>
      <c r="S753" s="69"/>
      <c r="T753" s="69"/>
      <c r="U753" s="69"/>
      <c r="V753" s="69"/>
      <c r="W753" s="68"/>
      <c r="X753" s="70"/>
      <c r="Y753" s="70"/>
      <c r="Z753" s="70"/>
      <c r="AA753" s="70"/>
      <c r="AB753" s="70"/>
      <c r="AC753" s="68"/>
      <c r="AD753" s="71"/>
      <c r="AE753" s="71"/>
      <c r="AF753" s="71"/>
      <c r="AG753" s="71"/>
      <c r="AH753" s="71"/>
      <c r="AI753" s="68"/>
      <c r="AJ753" s="214">
        <v>1.2760000000000001E-4</v>
      </c>
      <c r="AK753" s="214">
        <v>1.7219</v>
      </c>
      <c r="AL753" s="214">
        <v>4</v>
      </c>
      <c r="AM753" s="214">
        <v>5.1420100000000005E-4</v>
      </c>
      <c r="AN753" s="68"/>
      <c r="AO753" s="67"/>
      <c r="AP753" s="67"/>
      <c r="AQ753" s="67"/>
      <c r="AR753" s="67"/>
      <c r="AS753" s="67"/>
      <c r="AT753" s="68"/>
      <c r="AU753" s="49"/>
      <c r="AV753" s="50"/>
    </row>
    <row r="754" spans="1:48" ht="12.75" customHeight="1" x14ac:dyDescent="0.25">
      <c r="A754" s="72" t="s">
        <v>20</v>
      </c>
      <c r="B754" s="43" t="s">
        <v>889</v>
      </c>
      <c r="C754" s="44" t="s">
        <v>908</v>
      </c>
      <c r="D754" s="45">
        <f>MROUND(MID($C754,6,3)/Basis!$E$3,0.5)</f>
        <v>17.5</v>
      </c>
      <c r="E754" s="45">
        <f>MROUND(MID($C754,9,3)/Basis!$E$3,0.5)</f>
        <v>40.5</v>
      </c>
      <c r="F754" s="124" t="s">
        <v>2946</v>
      </c>
      <c r="G754" s="45">
        <f>ROUND((ROUNDDOWN($F754/5,0)*5+3)/Basis!$E$3,1)</f>
        <v>5.0999999999999996</v>
      </c>
      <c r="H754" s="120">
        <f>ROUND($P754*Basis!$E$2*((TaH-TrH)/LN(1/µ)/Basis!$E$7)^$N754*$AA$4*Glycol,0)</f>
        <v>1610</v>
      </c>
      <c r="I754" s="83">
        <f>ROUND(H754/(MID($C754,9,3)/Basis!$E$3/Basis!$E$9)*Basis!$E$11,0)</f>
        <v>476</v>
      </c>
      <c r="J754" s="123">
        <f>IF(Basis!$E$1=1,ROUND(H754/((TaH-TrH)*1.163)/3600,3),ROUND(H754/(500*(TaH-TrH)),2))</f>
        <v>0.16</v>
      </c>
      <c r="K754" s="84"/>
      <c r="L754" s="177">
        <f>CHOOSE(Basis!$E$1,((AJ754*(J754*3600/Basis!$E$5)^AK754*(((MID(C754,9,3)*10)-144)/1000)*AL754+AM754*(J754*3600/Basis!$E$5)^2)*0.0098)/Basis!$E$10,((AJ754*(J754/Basis!$E$5)^AK754*(((MID(C754,9,3)*10)-144)/1000)*AL754+AM754*(J754/Basis!$E$5)^2)*0.0098)/Basis!$E$10)</f>
        <v>4.8203647870597756E-3</v>
      </c>
      <c r="M754" s="85"/>
      <c r="N754" s="109">
        <v>1.44</v>
      </c>
      <c r="O754" s="68"/>
      <c r="P754" s="67">
        <v>759</v>
      </c>
      <c r="Q754" s="68"/>
      <c r="R754" s="69"/>
      <c r="S754" s="69"/>
      <c r="T754" s="69"/>
      <c r="U754" s="69"/>
      <c r="V754" s="69"/>
      <c r="W754" s="68"/>
      <c r="X754" s="70"/>
      <c r="Y754" s="70"/>
      <c r="Z754" s="70"/>
      <c r="AA754" s="70"/>
      <c r="AB754" s="70"/>
      <c r="AC754" s="68"/>
      <c r="AD754" s="71"/>
      <c r="AE754" s="71"/>
      <c r="AF754" s="71"/>
      <c r="AG754" s="71"/>
      <c r="AH754" s="71"/>
      <c r="AI754" s="68"/>
      <c r="AJ754" s="214">
        <v>3.9689999999999994E-4</v>
      </c>
      <c r="AK754" s="214">
        <v>1.7345999999999999</v>
      </c>
      <c r="AL754" s="214">
        <v>4</v>
      </c>
      <c r="AM754" s="214">
        <v>5.7428799999999995E-4</v>
      </c>
      <c r="AN754" s="68"/>
      <c r="AO754" s="67"/>
      <c r="AP754" s="67"/>
      <c r="AQ754" s="67"/>
      <c r="AR754" s="67"/>
      <c r="AS754" s="67"/>
      <c r="AT754" s="68"/>
      <c r="AU754" s="49"/>
      <c r="AV754" s="50"/>
    </row>
    <row r="755" spans="1:48" ht="12.75" customHeight="1" x14ac:dyDescent="0.25">
      <c r="A755" s="72" t="s">
        <v>20</v>
      </c>
      <c r="B755" s="43" t="s">
        <v>889</v>
      </c>
      <c r="C755" s="44" t="s">
        <v>909</v>
      </c>
      <c r="D755" s="45">
        <f>MROUND(MID($C755,6,3)/Basis!$E$3,0.5)</f>
        <v>17.5</v>
      </c>
      <c r="E755" s="45">
        <f>MROUND(MID($C755,9,3)/Basis!$E$3,0.5)</f>
        <v>40.5</v>
      </c>
      <c r="F755" s="124" t="s">
        <v>2946</v>
      </c>
      <c r="G755" s="45">
        <f>ROUND((ROUNDDOWN($F755/5,0)*5+3)/Basis!$E$3,1)</f>
        <v>5.0999999999999996</v>
      </c>
      <c r="H755" s="120">
        <f>ROUND($P755*Basis!$E$2*((TaH-TrH)/LN(1/µ)/Basis!$E$7)^$N755*$AA$4*Glycol,0)</f>
        <v>1377</v>
      </c>
      <c r="I755" s="83">
        <f>ROUND(H755/(MID($C755,9,3)/Basis!$E$3/Basis!$E$9)*Basis!$E$11,0)</f>
        <v>407</v>
      </c>
      <c r="J755" s="123">
        <f>IF(Basis!$E$1=1,ROUND(H755/((TaH-TrH)*1.163)/3600,3),ROUND(H755/(500*(TaH-TrH)),2))</f>
        <v>0.14000000000000001</v>
      </c>
      <c r="K755" s="84"/>
      <c r="L755" s="177">
        <f>CHOOSE(Basis!$E$1,((AJ755*(J755*3600/Basis!$E$5)^AK755*(((MID(C755,9,3)*10)-144)/1000)*AL755+AM755*(J755*3600/Basis!$E$5)^2)*0.0098)/Basis!$E$10,((AJ755*(J755/Basis!$E$5)^AK755*(((MID(C755,9,3)*10)-144)/1000)*AL755+AM755*(J755/Basis!$E$5)^2)*0.0098)/Basis!$E$10)</f>
        <v>3.7552388612345192E-3</v>
      </c>
      <c r="M755" s="85"/>
      <c r="N755" s="109">
        <v>1.44</v>
      </c>
      <c r="O755" s="68"/>
      <c r="P755" s="67">
        <v>649</v>
      </c>
      <c r="Q755" s="68"/>
      <c r="R755" s="69"/>
      <c r="S755" s="69"/>
      <c r="T755" s="69"/>
      <c r="U755" s="69"/>
      <c r="V755" s="69"/>
      <c r="W755" s="68"/>
      <c r="X755" s="70"/>
      <c r="Y755" s="70"/>
      <c r="Z755" s="70"/>
      <c r="AA755" s="70"/>
      <c r="AB755" s="70"/>
      <c r="AC755" s="68"/>
      <c r="AD755" s="71"/>
      <c r="AE755" s="71"/>
      <c r="AF755" s="71"/>
      <c r="AG755" s="71"/>
      <c r="AH755" s="71"/>
      <c r="AI755" s="68"/>
      <c r="AJ755" s="214">
        <v>3.9689999999999994E-4</v>
      </c>
      <c r="AK755" s="214">
        <v>1.7345999999999999</v>
      </c>
      <c r="AL755" s="214">
        <v>4</v>
      </c>
      <c r="AM755" s="214">
        <v>5.7428799999999995E-4</v>
      </c>
      <c r="AN755" s="68"/>
      <c r="AO755" s="67"/>
      <c r="AP755" s="67"/>
      <c r="AQ755" s="67"/>
      <c r="AR755" s="67"/>
      <c r="AS755" s="67"/>
      <c r="AT755" s="68"/>
      <c r="AU755" s="49"/>
      <c r="AV755" s="50"/>
    </row>
    <row r="756" spans="1:48" ht="12.75" customHeight="1" x14ac:dyDescent="0.25">
      <c r="A756" s="72" t="s">
        <v>20</v>
      </c>
      <c r="B756" s="43" t="s">
        <v>889</v>
      </c>
      <c r="C756" s="44" t="s">
        <v>910</v>
      </c>
      <c r="D756" s="45">
        <f>MROUND(MID($C756,6,3)/Basis!$E$3,0.5)</f>
        <v>17.5</v>
      </c>
      <c r="E756" s="45">
        <f>MROUND(MID($C756,9,3)/Basis!$E$3,0.5)</f>
        <v>40.5</v>
      </c>
      <c r="F756" s="124" t="s">
        <v>2946</v>
      </c>
      <c r="G756" s="45">
        <f>ROUND((ROUNDDOWN($F756/5,0)*5+3)/Basis!$E$3,1)</f>
        <v>5.0999999999999996</v>
      </c>
      <c r="H756" s="120">
        <f>ROUND($P756*Basis!$E$2*((TaH-TrH)/LN(1/µ)/Basis!$E$7)^$N756*$AA$4*Glycol,0)</f>
        <v>1971</v>
      </c>
      <c r="I756" s="83">
        <f>ROUND(H756/(MID($C756,9,3)/Basis!$E$3/Basis!$E$9)*Basis!$E$11,0)</f>
        <v>583</v>
      </c>
      <c r="J756" s="123">
        <f>IF(Basis!$E$1=1,ROUND(H756/((TaH-TrH)*1.163)/3600,3),ROUND(H756/(500*(TaH-TrH)),2))</f>
        <v>0.2</v>
      </c>
      <c r="K756" s="84"/>
      <c r="L756" s="177">
        <f>CHOOSE(Basis!$E$1,((AJ756*(J756*3600/Basis!$E$5)^AK756*(((MID(C756,9,3)*10)-144)/1000)*AL756+AM756*(J756*3600/Basis!$E$5)^2)*0.0098)/Basis!$E$10,((AJ756*(J756/Basis!$E$5)^AK756*(((MID(C756,9,3)*10)-144)/1000)*AL756+AM756*(J756/Basis!$E$5)^2)*0.0098)/Basis!$E$10)</f>
        <v>7.3215201197446567E-3</v>
      </c>
      <c r="M756" s="85"/>
      <c r="N756" s="109">
        <v>1.4390000000000001</v>
      </c>
      <c r="O756" s="68"/>
      <c r="P756" s="67">
        <v>929</v>
      </c>
      <c r="Q756" s="68"/>
      <c r="R756" s="69"/>
      <c r="S756" s="69"/>
      <c r="T756" s="69"/>
      <c r="U756" s="69"/>
      <c r="V756" s="69"/>
      <c r="W756" s="68"/>
      <c r="X756" s="70"/>
      <c r="Y756" s="70"/>
      <c r="Z756" s="70"/>
      <c r="AA756" s="70"/>
      <c r="AB756" s="70"/>
      <c r="AC756" s="68"/>
      <c r="AD756" s="71"/>
      <c r="AE756" s="71"/>
      <c r="AF756" s="71"/>
      <c r="AG756" s="71"/>
      <c r="AH756" s="71"/>
      <c r="AI756" s="68"/>
      <c r="AJ756" s="214">
        <v>3.9689999999999994E-4</v>
      </c>
      <c r="AK756" s="214">
        <v>1.7345999999999999</v>
      </c>
      <c r="AL756" s="214">
        <v>4</v>
      </c>
      <c r="AM756" s="214">
        <v>5.7428799999999995E-4</v>
      </c>
      <c r="AN756" s="68"/>
      <c r="AO756" s="67"/>
      <c r="AP756" s="67"/>
      <c r="AQ756" s="67"/>
      <c r="AR756" s="67"/>
      <c r="AS756" s="67"/>
      <c r="AT756" s="68"/>
      <c r="AU756" s="49"/>
      <c r="AV756" s="50"/>
    </row>
    <row r="757" spans="1:48" ht="12.75" customHeight="1" x14ac:dyDescent="0.25">
      <c r="A757" s="72" t="s">
        <v>20</v>
      </c>
      <c r="B757" s="43" t="s">
        <v>889</v>
      </c>
      <c r="C757" s="44" t="s">
        <v>911</v>
      </c>
      <c r="D757" s="45">
        <f>MROUND(MID($C757,6,3)/Basis!$E$3,0.5)</f>
        <v>17.5</v>
      </c>
      <c r="E757" s="45">
        <f>MROUND(MID($C757,9,3)/Basis!$E$3,0.5)</f>
        <v>40.5</v>
      </c>
      <c r="F757" s="124" t="s">
        <v>2947</v>
      </c>
      <c r="G757" s="45">
        <f>ROUND((ROUNDDOWN($F757/5,0)*5+3)/Basis!$E$3,1)</f>
        <v>7.1</v>
      </c>
      <c r="H757" s="120">
        <f>ROUND($P757*Basis!$E$2*((TaH-TrH)/LN(1/µ)/Basis!$E$7)^$N757*$AA$4*Glycol,0)</f>
        <v>2297</v>
      </c>
      <c r="I757" s="83">
        <f>ROUND(H757/(MID($C757,9,3)/Basis!$E$3/Basis!$E$9)*Basis!$E$11,0)</f>
        <v>680</v>
      </c>
      <c r="J757" s="123">
        <f>IF(Basis!$E$1=1,ROUND(H757/((TaH-TrH)*1.163)/3600,3),ROUND(H757/(500*(TaH-TrH)),2))</f>
        <v>0.23</v>
      </c>
      <c r="K757" s="84"/>
      <c r="L757" s="177">
        <f>CHOOSE(Basis!$E$1,((AJ757*(J757*3600/Basis!$E$5)^AK757*(((MID(C757,9,3)*10)-144)/1000)*AL757+AM757*(J757*3600/Basis!$E$5)^2)*0.0098)/Basis!$E$10,((AJ757*(J757/Basis!$E$5)^AK757*(((MID(C757,9,3)*10)-144)/1000)*AL757+AM757*(J757/Basis!$E$5)^2)*0.0098)/Basis!$E$10)</f>
        <v>1.4638046090289136E-2</v>
      </c>
      <c r="M757" s="85"/>
      <c r="N757" s="109">
        <v>1.4550000000000001</v>
      </c>
      <c r="O757" s="68"/>
      <c r="P757" s="67">
        <v>1088</v>
      </c>
      <c r="Q757" s="68"/>
      <c r="R757" s="69"/>
      <c r="S757" s="69"/>
      <c r="T757" s="69"/>
      <c r="U757" s="69"/>
      <c r="V757" s="69"/>
      <c r="W757" s="68"/>
      <c r="X757" s="70"/>
      <c r="Y757" s="70"/>
      <c r="Z757" s="70"/>
      <c r="AA757" s="70"/>
      <c r="AB757" s="70"/>
      <c r="AC757" s="68"/>
      <c r="AD757" s="71"/>
      <c r="AE757" s="71"/>
      <c r="AF757" s="71"/>
      <c r="AG757" s="71"/>
      <c r="AH757" s="71"/>
      <c r="AI757" s="68"/>
      <c r="AJ757" s="214">
        <v>2.0829999999999999E-4</v>
      </c>
      <c r="AK757" s="214">
        <v>1.724</v>
      </c>
      <c r="AL757" s="214">
        <v>4</v>
      </c>
      <c r="AM757" s="214">
        <v>1.392796E-3</v>
      </c>
      <c r="AN757" s="68"/>
      <c r="AO757" s="67"/>
      <c r="AP757" s="67"/>
      <c r="AQ757" s="67"/>
      <c r="AR757" s="67"/>
      <c r="AS757" s="67"/>
      <c r="AT757" s="68"/>
      <c r="AU757" s="49"/>
      <c r="AV757" s="50"/>
    </row>
    <row r="758" spans="1:48" ht="12.75" customHeight="1" x14ac:dyDescent="0.25">
      <c r="A758" s="72" t="s">
        <v>20</v>
      </c>
      <c r="B758" s="43" t="s">
        <v>889</v>
      </c>
      <c r="C758" s="44" t="s">
        <v>912</v>
      </c>
      <c r="D758" s="45">
        <f>MROUND(MID($C758,6,3)/Basis!$E$3,0.5)</f>
        <v>17.5</v>
      </c>
      <c r="E758" s="45">
        <f>MROUND(MID($C758,9,3)/Basis!$E$3,0.5)</f>
        <v>40.5</v>
      </c>
      <c r="F758" s="124" t="s">
        <v>2947</v>
      </c>
      <c r="G758" s="45">
        <f>ROUND((ROUNDDOWN($F758/5,0)*5+3)/Basis!$E$3,1)</f>
        <v>7.1</v>
      </c>
      <c r="H758" s="120">
        <f>ROUND($P758*Basis!$E$2*((TaH-TrH)/LN(1/µ)/Basis!$E$7)^$N758*$AA$4*Glycol,0)</f>
        <v>2040</v>
      </c>
      <c r="I758" s="83">
        <f>ROUND(H758/(MID($C758,9,3)/Basis!$E$3/Basis!$E$9)*Basis!$E$11,0)</f>
        <v>604</v>
      </c>
      <c r="J758" s="123">
        <f>IF(Basis!$E$1=1,ROUND(H758/((TaH-TrH)*1.163)/3600,3),ROUND(H758/(500*(TaH-TrH)),2))</f>
        <v>0.2</v>
      </c>
      <c r="K758" s="84"/>
      <c r="L758" s="177">
        <f>CHOOSE(Basis!$E$1,((AJ758*(J758*3600/Basis!$E$5)^AK758*(((MID(C758,9,3)*10)-144)/1000)*AL758+AM758*(J758*3600/Basis!$E$5)^2)*0.0098)/Basis!$E$10,((AJ758*(J758/Basis!$E$5)^AK758*(((MID(C758,9,3)*10)-144)/1000)*AL758+AM758*(J758/Basis!$E$5)^2)*0.0098)/Basis!$E$10)</f>
        <v>1.1134204372982445E-2</v>
      </c>
      <c r="M758" s="85"/>
      <c r="N758" s="109">
        <v>1.4570000000000001</v>
      </c>
      <c r="O758" s="68"/>
      <c r="P758" s="67">
        <v>967</v>
      </c>
      <c r="Q758" s="68"/>
      <c r="R758" s="69"/>
      <c r="S758" s="69"/>
      <c r="T758" s="69"/>
      <c r="U758" s="69"/>
      <c r="V758" s="69"/>
      <c r="W758" s="68"/>
      <c r="X758" s="70"/>
      <c r="Y758" s="70"/>
      <c r="Z758" s="70"/>
      <c r="AA758" s="70"/>
      <c r="AB758" s="70"/>
      <c r="AC758" s="68"/>
      <c r="AD758" s="71"/>
      <c r="AE758" s="71"/>
      <c r="AF758" s="71"/>
      <c r="AG758" s="71"/>
      <c r="AH758" s="71"/>
      <c r="AI758" s="68"/>
      <c r="AJ758" s="214">
        <v>2.0829999999999999E-4</v>
      </c>
      <c r="AK758" s="214">
        <v>1.724</v>
      </c>
      <c r="AL758" s="214">
        <v>4</v>
      </c>
      <c r="AM758" s="214">
        <v>1.392796E-3</v>
      </c>
      <c r="AN758" s="68"/>
      <c r="AO758" s="67"/>
      <c r="AP758" s="67"/>
      <c r="AQ758" s="67"/>
      <c r="AR758" s="67"/>
      <c r="AS758" s="67"/>
      <c r="AT758" s="68"/>
      <c r="AU758" s="49"/>
      <c r="AV758" s="50"/>
    </row>
    <row r="759" spans="1:48" ht="12.75" customHeight="1" x14ac:dyDescent="0.25">
      <c r="A759" s="72" t="s">
        <v>20</v>
      </c>
      <c r="B759" s="43" t="s">
        <v>889</v>
      </c>
      <c r="C759" s="44" t="s">
        <v>913</v>
      </c>
      <c r="D759" s="45">
        <f>MROUND(MID($C759,6,3)/Basis!$E$3,0.5)</f>
        <v>17.5</v>
      </c>
      <c r="E759" s="45">
        <f>MROUND(MID($C759,9,3)/Basis!$E$3,0.5)</f>
        <v>40.5</v>
      </c>
      <c r="F759" s="124" t="s">
        <v>2947</v>
      </c>
      <c r="G759" s="45">
        <f>ROUND((ROUNDDOWN($F759/5,0)*5+3)/Basis!$E$3,1)</f>
        <v>7.1</v>
      </c>
      <c r="H759" s="120">
        <f>ROUND($P759*Basis!$E$2*((TaH-TrH)/LN(1/µ)/Basis!$E$7)^$N759*$AA$4*Glycol,0)</f>
        <v>2940</v>
      </c>
      <c r="I759" s="83">
        <f>ROUND(H759/(MID($C759,9,3)/Basis!$E$3/Basis!$E$9)*Basis!$E$11,0)</f>
        <v>870</v>
      </c>
      <c r="J759" s="123">
        <f>IF(Basis!$E$1=1,ROUND(H759/((TaH-TrH)*1.163)/3600,3),ROUND(H759/(500*(TaH-TrH)),2))</f>
        <v>0.28999999999999998</v>
      </c>
      <c r="K759" s="84"/>
      <c r="L759" s="177">
        <f>CHOOSE(Basis!$E$1,((AJ759*(J759*3600/Basis!$E$5)^AK759*(((MID(C759,9,3)*10)-144)/1000)*AL759+AM759*(J759*3600/Basis!$E$5)^2)*0.0098)/Basis!$E$10,((AJ759*(J759/Basis!$E$5)^AK759*(((MID(C759,9,3)*10)-144)/1000)*AL759+AM759*(J759/Basis!$E$5)^2)*0.0098)/Basis!$E$10)</f>
        <v>2.3053647481849081E-2</v>
      </c>
      <c r="M759" s="85"/>
      <c r="N759" s="109">
        <v>1.462</v>
      </c>
      <c r="O759" s="68"/>
      <c r="P759" s="67">
        <v>1396</v>
      </c>
      <c r="Q759" s="68"/>
      <c r="R759" s="69"/>
      <c r="S759" s="69"/>
      <c r="T759" s="69"/>
      <c r="U759" s="69"/>
      <c r="V759" s="69"/>
      <c r="W759" s="68"/>
      <c r="X759" s="70"/>
      <c r="Y759" s="70"/>
      <c r="Z759" s="70"/>
      <c r="AA759" s="70"/>
      <c r="AB759" s="70"/>
      <c r="AC759" s="68"/>
      <c r="AD759" s="71"/>
      <c r="AE759" s="71"/>
      <c r="AF759" s="71"/>
      <c r="AG759" s="71"/>
      <c r="AH759" s="71"/>
      <c r="AI759" s="68"/>
      <c r="AJ759" s="214">
        <v>2.0829999999999999E-4</v>
      </c>
      <c r="AK759" s="214">
        <v>1.724</v>
      </c>
      <c r="AL759" s="214">
        <v>4</v>
      </c>
      <c r="AM759" s="214">
        <v>1.392796E-3</v>
      </c>
      <c r="AN759" s="68"/>
      <c r="AO759" s="67"/>
      <c r="AP759" s="67"/>
      <c r="AQ759" s="67"/>
      <c r="AR759" s="67"/>
      <c r="AS759" s="67"/>
      <c r="AT759" s="68"/>
      <c r="AU759" s="49"/>
      <c r="AV759" s="50"/>
    </row>
    <row r="760" spans="1:48" ht="12.75" customHeight="1" x14ac:dyDescent="0.25">
      <c r="A760" s="72" t="s">
        <v>20</v>
      </c>
      <c r="B760" s="43" t="s">
        <v>889</v>
      </c>
      <c r="C760" s="44" t="s">
        <v>914</v>
      </c>
      <c r="D760" s="45">
        <f>MROUND(MID($C760,6,3)/Basis!$E$3,0.5)</f>
        <v>17.5</v>
      </c>
      <c r="E760" s="45">
        <f>MROUND(MID($C760,9,3)/Basis!$E$3,0.5)</f>
        <v>40.5</v>
      </c>
      <c r="F760" s="124" t="s">
        <v>2948</v>
      </c>
      <c r="G760" s="45">
        <f>ROUND((ROUNDDOWN($F760/5,0)*5+3)/Basis!$E$3,1)</f>
        <v>9.1</v>
      </c>
      <c r="H760" s="120">
        <f>ROUND($P760*Basis!$E$2*((TaH-TrH)/LN(1/µ)/Basis!$E$7)^$N760*$AA$4*Glycol,0)</f>
        <v>2952</v>
      </c>
      <c r="I760" s="83">
        <f>ROUND(H760/(MID($C760,9,3)/Basis!$E$3/Basis!$E$9)*Basis!$E$11,0)</f>
        <v>874</v>
      </c>
      <c r="J760" s="123">
        <f>IF(Basis!$E$1=1,ROUND(H760/((TaH-TrH)*1.163)/3600,3),ROUND(H760/(500*(TaH-TrH)),2))</f>
        <v>0.3</v>
      </c>
      <c r="K760" s="84"/>
      <c r="L760" s="177">
        <f>CHOOSE(Basis!$E$1,((AJ760*(J760*3600/Basis!$E$5)^AK760*(((MID(C760,9,3)*10)-144)/1000)*AL760+AM760*(J760*3600/Basis!$E$5)^2)*0.0098)/Basis!$E$10,((AJ760*(J760/Basis!$E$5)^AK760*(((MID(C760,9,3)*10)-144)/1000)*AL760+AM760*(J760/Basis!$E$5)^2)*0.0098)/Basis!$E$10)</f>
        <v>9.9278181704249065E-3</v>
      </c>
      <c r="M760" s="85"/>
      <c r="N760" s="109">
        <v>1.4670000000000001</v>
      </c>
      <c r="O760" s="68"/>
      <c r="P760" s="67">
        <v>1404</v>
      </c>
      <c r="Q760" s="68"/>
      <c r="R760" s="69"/>
      <c r="S760" s="69"/>
      <c r="T760" s="69"/>
      <c r="U760" s="69"/>
      <c r="V760" s="69"/>
      <c r="W760" s="68"/>
      <c r="X760" s="70"/>
      <c r="Y760" s="70"/>
      <c r="Z760" s="70"/>
      <c r="AA760" s="70"/>
      <c r="AB760" s="70"/>
      <c r="AC760" s="68"/>
      <c r="AD760" s="71"/>
      <c r="AE760" s="71"/>
      <c r="AF760" s="71"/>
      <c r="AG760" s="71"/>
      <c r="AH760" s="71"/>
      <c r="AI760" s="68"/>
      <c r="AJ760" s="214">
        <v>1.2760000000000001E-4</v>
      </c>
      <c r="AK760" s="214">
        <v>1.7219</v>
      </c>
      <c r="AL760" s="214">
        <v>4</v>
      </c>
      <c r="AM760" s="214">
        <v>5.1420100000000005E-4</v>
      </c>
      <c r="AN760" s="68"/>
      <c r="AO760" s="67"/>
      <c r="AP760" s="67"/>
      <c r="AQ760" s="67"/>
      <c r="AR760" s="67"/>
      <c r="AS760" s="67"/>
      <c r="AT760" s="68"/>
      <c r="AU760" s="49"/>
      <c r="AV760" s="50"/>
    </row>
    <row r="761" spans="1:48" ht="12.75" customHeight="1" x14ac:dyDescent="0.25">
      <c r="A761" s="72" t="s">
        <v>20</v>
      </c>
      <c r="B761" s="43" t="s">
        <v>889</v>
      </c>
      <c r="C761" s="44" t="s">
        <v>915</v>
      </c>
      <c r="D761" s="45">
        <f>MROUND(MID($C761,6,3)/Basis!$E$3,0.5)</f>
        <v>17.5</v>
      </c>
      <c r="E761" s="45">
        <f>MROUND(MID($C761,9,3)/Basis!$E$3,0.5)</f>
        <v>40.5</v>
      </c>
      <c r="F761" s="124" t="s">
        <v>2948</v>
      </c>
      <c r="G761" s="45">
        <f>ROUND((ROUNDDOWN($F761/5,0)*5+3)/Basis!$E$3,1)</f>
        <v>9.1</v>
      </c>
      <c r="H761" s="120">
        <f>ROUND($P761*Basis!$E$2*((TaH-TrH)/LN(1/µ)/Basis!$E$7)^$N761*$AA$4*Glycol,0)</f>
        <v>2532</v>
      </c>
      <c r="I761" s="83">
        <f>ROUND(H761/(MID($C761,9,3)/Basis!$E$3/Basis!$E$9)*Basis!$E$11,0)</f>
        <v>749</v>
      </c>
      <c r="J761" s="123">
        <f>IF(Basis!$E$1=1,ROUND(H761/((TaH-TrH)*1.163)/3600,3),ROUND(H761/(500*(TaH-TrH)),2))</f>
        <v>0.25</v>
      </c>
      <c r="K761" s="84"/>
      <c r="L761" s="177">
        <f>CHOOSE(Basis!$E$1,((AJ761*(J761*3600/Basis!$E$5)^AK761*(((MID(C761,9,3)*10)-144)/1000)*AL761+AM761*(J761*3600/Basis!$E$5)^2)*0.0098)/Basis!$E$10,((AJ761*(J761/Basis!$E$5)^AK761*(((MID(C761,9,3)*10)-144)/1000)*AL761+AM761*(J761/Basis!$E$5)^2)*0.0098)/Basis!$E$10)</f>
        <v>6.9709655219133172E-3</v>
      </c>
      <c r="M761" s="85"/>
      <c r="N761" s="109">
        <v>1.472</v>
      </c>
      <c r="O761" s="68"/>
      <c r="P761" s="67">
        <v>1206</v>
      </c>
      <c r="Q761" s="68"/>
      <c r="R761" s="69"/>
      <c r="S761" s="69"/>
      <c r="T761" s="69"/>
      <c r="U761" s="69"/>
      <c r="V761" s="69"/>
      <c r="W761" s="68"/>
      <c r="X761" s="70"/>
      <c r="Y761" s="70"/>
      <c r="Z761" s="70"/>
      <c r="AA761" s="70"/>
      <c r="AB761" s="70"/>
      <c r="AC761" s="68"/>
      <c r="AD761" s="71"/>
      <c r="AE761" s="71"/>
      <c r="AF761" s="71"/>
      <c r="AG761" s="71"/>
      <c r="AH761" s="71"/>
      <c r="AI761" s="68"/>
      <c r="AJ761" s="214">
        <v>1.2760000000000001E-4</v>
      </c>
      <c r="AK761" s="214">
        <v>1.7219</v>
      </c>
      <c r="AL761" s="214">
        <v>4</v>
      </c>
      <c r="AM761" s="214">
        <v>5.1420100000000005E-4</v>
      </c>
      <c r="AN761" s="68"/>
      <c r="AO761" s="67"/>
      <c r="AP761" s="67"/>
      <c r="AQ761" s="67"/>
      <c r="AR761" s="67"/>
      <c r="AS761" s="67"/>
      <c r="AT761" s="68"/>
      <c r="AU761" s="49"/>
      <c r="AV761" s="50"/>
    </row>
    <row r="762" spans="1:48" ht="12.75" customHeight="1" x14ac:dyDescent="0.25">
      <c r="A762" s="72" t="s">
        <v>20</v>
      </c>
      <c r="B762" s="43" t="s">
        <v>889</v>
      </c>
      <c r="C762" s="44" t="s">
        <v>916</v>
      </c>
      <c r="D762" s="45">
        <f>MROUND(MID($C762,6,3)/Basis!$E$3,0.5)</f>
        <v>17.5</v>
      </c>
      <c r="E762" s="45">
        <f>MROUND(MID($C762,9,3)/Basis!$E$3,0.5)</f>
        <v>40.5</v>
      </c>
      <c r="F762" s="124" t="s">
        <v>2948</v>
      </c>
      <c r="G762" s="45">
        <f>ROUND((ROUNDDOWN($F762/5,0)*5+3)/Basis!$E$3,1)</f>
        <v>9.1</v>
      </c>
      <c r="H762" s="120">
        <f>ROUND($P762*Basis!$E$2*((TaH-TrH)/LN(1/µ)/Basis!$E$7)^$N762*$AA$4*Glycol,0)</f>
        <v>3921</v>
      </c>
      <c r="I762" s="83">
        <f>ROUND(H762/(MID($C762,9,3)/Basis!$E$3/Basis!$E$9)*Basis!$E$11,0)</f>
        <v>1160</v>
      </c>
      <c r="J762" s="123">
        <f>IF(Basis!$E$1=1,ROUND(H762/((TaH-TrH)*1.163)/3600,3),ROUND(H762/(500*(TaH-TrH)),2))</f>
        <v>0.39</v>
      </c>
      <c r="K762" s="84"/>
      <c r="L762" s="177">
        <f>CHOOSE(Basis!$E$1,((AJ762*(J762*3600/Basis!$E$5)^AK762*(((MID(C762,9,3)*10)-144)/1000)*AL762+AM762*(J762*3600/Basis!$E$5)^2)*0.0098)/Basis!$E$10,((AJ762*(J762/Basis!$E$5)^AK762*(((MID(C762,9,3)*10)-144)/1000)*AL762+AM762*(J762/Basis!$E$5)^2)*0.0098)/Basis!$E$10)</f>
        <v>1.6525659502595002E-2</v>
      </c>
      <c r="M762" s="85"/>
      <c r="N762" s="109">
        <v>1.48</v>
      </c>
      <c r="O762" s="68"/>
      <c r="P762" s="67">
        <v>1873</v>
      </c>
      <c r="Q762" s="68"/>
      <c r="R762" s="69"/>
      <c r="S762" s="69"/>
      <c r="T762" s="69"/>
      <c r="U762" s="69"/>
      <c r="V762" s="69"/>
      <c r="W762" s="68"/>
      <c r="X762" s="70"/>
      <c r="Y762" s="70"/>
      <c r="Z762" s="70"/>
      <c r="AA762" s="70"/>
      <c r="AB762" s="70"/>
      <c r="AC762" s="68"/>
      <c r="AD762" s="71"/>
      <c r="AE762" s="71"/>
      <c r="AF762" s="71"/>
      <c r="AG762" s="71"/>
      <c r="AH762" s="71"/>
      <c r="AI762" s="68"/>
      <c r="AJ762" s="214">
        <v>1.2760000000000001E-4</v>
      </c>
      <c r="AK762" s="214">
        <v>1.7219</v>
      </c>
      <c r="AL762" s="214">
        <v>4</v>
      </c>
      <c r="AM762" s="214">
        <v>5.1420100000000005E-4</v>
      </c>
      <c r="AN762" s="68"/>
      <c r="AO762" s="67"/>
      <c r="AP762" s="67"/>
      <c r="AQ762" s="67"/>
      <c r="AR762" s="67"/>
      <c r="AS762" s="67"/>
      <c r="AT762" s="68"/>
      <c r="AU762" s="49"/>
      <c r="AV762" s="50"/>
    </row>
    <row r="763" spans="1:48" ht="12.75" customHeight="1" x14ac:dyDescent="0.25">
      <c r="A763" s="72" t="s">
        <v>20</v>
      </c>
      <c r="B763" s="43" t="s">
        <v>889</v>
      </c>
      <c r="C763" s="44" t="s">
        <v>917</v>
      </c>
      <c r="D763" s="45">
        <f>MROUND(MID($C763,6,3)/Basis!$E$3,0.5)</f>
        <v>17.5</v>
      </c>
      <c r="E763" s="45">
        <f>MROUND(MID($C763,9,3)/Basis!$E$3,0.5)</f>
        <v>48.5</v>
      </c>
      <c r="F763" s="124" t="s">
        <v>2946</v>
      </c>
      <c r="G763" s="45">
        <f>ROUND((ROUNDDOWN($F763/5,0)*5+3)/Basis!$E$3,1)</f>
        <v>5.0999999999999996</v>
      </c>
      <c r="H763" s="120">
        <f>ROUND($P763*Basis!$E$2*((TaH-TrH)/LN(1/µ)/Basis!$E$7)^$N763*$AA$4*Glycol,0)</f>
        <v>2000</v>
      </c>
      <c r="I763" s="83">
        <f>ROUND(H763/(MID($C763,9,3)/Basis!$E$3/Basis!$E$9)*Basis!$E$11,0)</f>
        <v>496</v>
      </c>
      <c r="J763" s="123">
        <f>IF(Basis!$E$1=1,ROUND(H763/((TaH-TrH)*1.163)/3600,3),ROUND(H763/(500*(TaH-TrH)),2))</f>
        <v>0.2</v>
      </c>
      <c r="K763" s="84"/>
      <c r="L763" s="177">
        <f>CHOOSE(Basis!$E$1,((AJ763*(J763*3600/Basis!$E$5)^AK763*(((MID(C763,9,3)*10)-144)/1000)*AL763+AM763*(J763*3600/Basis!$E$5)^2)*0.0098)/Basis!$E$10,((AJ763*(J763/Basis!$E$5)^AK763*(((MID(C763,9,3)*10)-144)/1000)*AL763+AM763*(J763/Basis!$E$5)^2)*0.0098)/Basis!$E$10)</f>
        <v>8.0996042814055862E-3</v>
      </c>
      <c r="M763" s="85"/>
      <c r="N763" s="109">
        <v>1.44</v>
      </c>
      <c r="O763" s="68"/>
      <c r="P763" s="67">
        <v>943</v>
      </c>
      <c r="Q763" s="68"/>
      <c r="R763" s="69"/>
      <c r="S763" s="69"/>
      <c r="T763" s="69"/>
      <c r="U763" s="69"/>
      <c r="V763" s="69"/>
      <c r="W763" s="68"/>
      <c r="X763" s="70"/>
      <c r="Y763" s="70"/>
      <c r="Z763" s="70"/>
      <c r="AA763" s="70"/>
      <c r="AB763" s="70"/>
      <c r="AC763" s="68"/>
      <c r="AD763" s="71"/>
      <c r="AE763" s="71"/>
      <c r="AF763" s="71"/>
      <c r="AG763" s="71"/>
      <c r="AH763" s="71"/>
      <c r="AI763" s="68"/>
      <c r="AJ763" s="214">
        <v>3.9689999999999994E-4</v>
      </c>
      <c r="AK763" s="214">
        <v>1.7345999999999999</v>
      </c>
      <c r="AL763" s="214">
        <v>4</v>
      </c>
      <c r="AM763" s="214">
        <v>5.7428799999999995E-4</v>
      </c>
      <c r="AN763" s="68"/>
      <c r="AO763" s="67"/>
      <c r="AP763" s="67"/>
      <c r="AQ763" s="67"/>
      <c r="AR763" s="67"/>
      <c r="AS763" s="67"/>
      <c r="AT763" s="68"/>
      <c r="AU763" s="49"/>
      <c r="AV763" s="50"/>
    </row>
    <row r="764" spans="1:48" ht="12.75" customHeight="1" x14ac:dyDescent="0.25">
      <c r="A764" s="72" t="s">
        <v>20</v>
      </c>
      <c r="B764" s="43" t="s">
        <v>889</v>
      </c>
      <c r="C764" s="44" t="s">
        <v>918</v>
      </c>
      <c r="D764" s="45">
        <f>MROUND(MID($C764,6,3)/Basis!$E$3,0.5)</f>
        <v>17.5</v>
      </c>
      <c r="E764" s="45">
        <f>MROUND(MID($C764,9,3)/Basis!$E$3,0.5)</f>
        <v>48.5</v>
      </c>
      <c r="F764" s="124" t="s">
        <v>2946</v>
      </c>
      <c r="G764" s="45">
        <f>ROUND((ROUNDDOWN($F764/5,0)*5+3)/Basis!$E$3,1)</f>
        <v>5.0999999999999996</v>
      </c>
      <c r="H764" s="120">
        <f>ROUND($P764*Basis!$E$2*((TaH-TrH)/LN(1/µ)/Basis!$E$7)^$N764*$AA$4*Glycol,0)</f>
        <v>1712</v>
      </c>
      <c r="I764" s="83">
        <f>ROUND(H764/(MID($C764,9,3)/Basis!$E$3/Basis!$E$9)*Basis!$E$11,0)</f>
        <v>424</v>
      </c>
      <c r="J764" s="123">
        <f>IF(Basis!$E$1=1,ROUND(H764/((TaH-TrH)*1.163)/3600,3),ROUND(H764/(500*(TaH-TrH)),2))</f>
        <v>0.17</v>
      </c>
      <c r="K764" s="84"/>
      <c r="L764" s="177">
        <f>CHOOSE(Basis!$E$1,((AJ764*(J764*3600/Basis!$E$5)^AK764*(((MID(C764,9,3)*10)-144)/1000)*AL764+AM764*(J764*3600/Basis!$E$5)^2)*0.0098)/Basis!$E$10,((AJ764*(J764/Basis!$E$5)^AK764*(((MID(C764,9,3)*10)-144)/1000)*AL764+AM764*(J764/Basis!$E$5)^2)*0.0098)/Basis!$E$10)</f>
        <v>5.98650950782228E-3</v>
      </c>
      <c r="M764" s="85"/>
      <c r="N764" s="109">
        <v>1.44</v>
      </c>
      <c r="O764" s="68"/>
      <c r="P764" s="67">
        <v>807</v>
      </c>
      <c r="Q764" s="68"/>
      <c r="R764" s="69"/>
      <c r="S764" s="69"/>
      <c r="T764" s="69"/>
      <c r="U764" s="69"/>
      <c r="V764" s="69"/>
      <c r="W764" s="68"/>
      <c r="X764" s="70"/>
      <c r="Y764" s="70"/>
      <c r="Z764" s="70"/>
      <c r="AA764" s="70"/>
      <c r="AB764" s="70"/>
      <c r="AC764" s="68"/>
      <c r="AD764" s="71"/>
      <c r="AE764" s="71"/>
      <c r="AF764" s="71"/>
      <c r="AG764" s="71"/>
      <c r="AH764" s="71"/>
      <c r="AI764" s="68"/>
      <c r="AJ764" s="214">
        <v>3.9689999999999994E-4</v>
      </c>
      <c r="AK764" s="214">
        <v>1.7345999999999999</v>
      </c>
      <c r="AL764" s="214">
        <v>4</v>
      </c>
      <c r="AM764" s="214">
        <v>5.7428799999999995E-4</v>
      </c>
      <c r="AN764" s="68"/>
      <c r="AO764" s="67"/>
      <c r="AP764" s="67"/>
      <c r="AQ764" s="67"/>
      <c r="AR764" s="67"/>
      <c r="AS764" s="67"/>
      <c r="AT764" s="68"/>
      <c r="AU764" s="49"/>
      <c r="AV764" s="50"/>
    </row>
    <row r="765" spans="1:48" ht="12.75" customHeight="1" x14ac:dyDescent="0.25">
      <c r="A765" s="72" t="s">
        <v>20</v>
      </c>
      <c r="B765" s="43" t="s">
        <v>889</v>
      </c>
      <c r="C765" s="44" t="s">
        <v>919</v>
      </c>
      <c r="D765" s="45">
        <f>MROUND(MID($C765,6,3)/Basis!$E$3,0.5)</f>
        <v>17.5</v>
      </c>
      <c r="E765" s="45">
        <f>MROUND(MID($C765,9,3)/Basis!$E$3,0.5)</f>
        <v>48.5</v>
      </c>
      <c r="F765" s="124" t="s">
        <v>2946</v>
      </c>
      <c r="G765" s="45">
        <f>ROUND((ROUNDDOWN($F765/5,0)*5+3)/Basis!$E$3,1)</f>
        <v>5.0999999999999996</v>
      </c>
      <c r="H765" s="120">
        <f>ROUND($P765*Basis!$E$2*((TaH-TrH)/LN(1/µ)/Basis!$E$7)^$N765*$AA$4*Glycol,0)</f>
        <v>2451</v>
      </c>
      <c r="I765" s="83">
        <f>ROUND(H765/(MID($C765,9,3)/Basis!$E$3/Basis!$E$9)*Basis!$E$11,0)</f>
        <v>607</v>
      </c>
      <c r="J765" s="123">
        <f>IF(Basis!$E$1=1,ROUND(H765/((TaH-TrH)*1.163)/3600,3),ROUND(H765/(500*(TaH-TrH)),2))</f>
        <v>0.25</v>
      </c>
      <c r="K765" s="84"/>
      <c r="L765" s="177">
        <f>CHOOSE(Basis!$E$1,((AJ765*(J765*3600/Basis!$E$5)^AK765*(((MID(C765,9,3)*10)-144)/1000)*AL765+AM765*(J765*3600/Basis!$E$5)^2)*0.0098)/Basis!$E$10,((AJ765*(J765/Basis!$E$5)^AK765*(((MID(C765,9,3)*10)-144)/1000)*AL765+AM765*(J765/Basis!$E$5)^2)*0.0098)/Basis!$E$10)</f>
        <v>1.2276023830214082E-2</v>
      </c>
      <c r="M765" s="85"/>
      <c r="N765" s="109">
        <v>1.4390000000000001</v>
      </c>
      <c r="O765" s="68"/>
      <c r="P765" s="67">
        <v>1155</v>
      </c>
      <c r="Q765" s="68"/>
      <c r="R765" s="69"/>
      <c r="S765" s="69"/>
      <c r="T765" s="69"/>
      <c r="U765" s="69"/>
      <c r="V765" s="69"/>
      <c r="W765" s="68"/>
      <c r="X765" s="70"/>
      <c r="Y765" s="70"/>
      <c r="Z765" s="70"/>
      <c r="AA765" s="70"/>
      <c r="AB765" s="70"/>
      <c r="AC765" s="68"/>
      <c r="AD765" s="71"/>
      <c r="AE765" s="71"/>
      <c r="AF765" s="71"/>
      <c r="AG765" s="71"/>
      <c r="AH765" s="71"/>
      <c r="AI765" s="68"/>
      <c r="AJ765" s="214">
        <v>3.9689999999999994E-4</v>
      </c>
      <c r="AK765" s="214">
        <v>1.7345999999999999</v>
      </c>
      <c r="AL765" s="214">
        <v>4</v>
      </c>
      <c r="AM765" s="214">
        <v>5.7428799999999995E-4</v>
      </c>
      <c r="AN765" s="68"/>
      <c r="AO765" s="67"/>
      <c r="AP765" s="67"/>
      <c r="AQ765" s="67"/>
      <c r="AR765" s="67"/>
      <c r="AS765" s="67"/>
      <c r="AT765" s="68"/>
      <c r="AU765" s="49"/>
      <c r="AV765" s="50"/>
    </row>
    <row r="766" spans="1:48" ht="12.75" customHeight="1" x14ac:dyDescent="0.25">
      <c r="A766" s="72" t="s">
        <v>20</v>
      </c>
      <c r="B766" s="43" t="s">
        <v>889</v>
      </c>
      <c r="C766" s="44" t="s">
        <v>920</v>
      </c>
      <c r="D766" s="45">
        <f>MROUND(MID($C766,6,3)/Basis!$E$3,0.5)</f>
        <v>17.5</v>
      </c>
      <c r="E766" s="45">
        <f>MROUND(MID($C766,9,3)/Basis!$E$3,0.5)</f>
        <v>48.5</v>
      </c>
      <c r="F766" s="124" t="s">
        <v>2947</v>
      </c>
      <c r="G766" s="45">
        <f>ROUND((ROUNDDOWN($F766/5,0)*5+3)/Basis!$E$3,1)</f>
        <v>7.1</v>
      </c>
      <c r="H766" s="120">
        <f>ROUND($P766*Basis!$E$2*((TaH-TrH)/LN(1/µ)/Basis!$E$7)^$N766*$AA$4*Glycol,0)</f>
        <v>2854</v>
      </c>
      <c r="I766" s="83">
        <f>ROUND(H766/(MID($C766,9,3)/Basis!$E$3/Basis!$E$9)*Basis!$E$11,0)</f>
        <v>707</v>
      </c>
      <c r="J766" s="123">
        <f>IF(Basis!$E$1=1,ROUND(H766/((TaH-TrH)*1.163)/3600,3),ROUND(H766/(500*(TaH-TrH)),2))</f>
        <v>0.28999999999999998</v>
      </c>
      <c r="K766" s="84"/>
      <c r="L766" s="177">
        <f>CHOOSE(Basis!$E$1,((AJ766*(J766*3600/Basis!$E$5)^AK766*(((MID(C766,9,3)*10)-144)/1000)*AL766+AM766*(J766*3600/Basis!$E$5)^2)*0.0098)/Basis!$E$10,((AJ766*(J766/Basis!$E$5)^AK766*(((MID(C766,9,3)*10)-144)/1000)*AL766+AM766*(J766/Basis!$E$5)^2)*0.0098)/Basis!$E$10)</f>
        <v>2.3797806929995013E-2</v>
      </c>
      <c r="M766" s="85"/>
      <c r="N766" s="109">
        <v>1.4550000000000001</v>
      </c>
      <c r="O766" s="68"/>
      <c r="P766" s="67">
        <v>1352</v>
      </c>
      <c r="Q766" s="68"/>
      <c r="R766" s="69"/>
      <c r="S766" s="69"/>
      <c r="T766" s="69"/>
      <c r="U766" s="69"/>
      <c r="V766" s="69"/>
      <c r="W766" s="68"/>
      <c r="X766" s="70"/>
      <c r="Y766" s="70"/>
      <c r="Z766" s="70"/>
      <c r="AA766" s="70"/>
      <c r="AB766" s="70"/>
      <c r="AC766" s="68"/>
      <c r="AD766" s="71"/>
      <c r="AE766" s="71"/>
      <c r="AF766" s="71"/>
      <c r="AG766" s="71"/>
      <c r="AH766" s="71"/>
      <c r="AI766" s="68"/>
      <c r="AJ766" s="214">
        <v>2.0829999999999999E-4</v>
      </c>
      <c r="AK766" s="214">
        <v>1.724</v>
      </c>
      <c r="AL766" s="214">
        <v>4</v>
      </c>
      <c r="AM766" s="214">
        <v>1.392796E-3</v>
      </c>
      <c r="AN766" s="68"/>
      <c r="AO766" s="67"/>
      <c r="AP766" s="67"/>
      <c r="AQ766" s="67"/>
      <c r="AR766" s="67"/>
      <c r="AS766" s="67"/>
      <c r="AT766" s="68"/>
      <c r="AU766" s="49"/>
      <c r="AV766" s="50"/>
    </row>
    <row r="767" spans="1:48" ht="12.75" customHeight="1" x14ac:dyDescent="0.25">
      <c r="A767" s="72" t="s">
        <v>20</v>
      </c>
      <c r="B767" s="43" t="s">
        <v>889</v>
      </c>
      <c r="C767" s="44" t="s">
        <v>921</v>
      </c>
      <c r="D767" s="45">
        <f>MROUND(MID($C767,6,3)/Basis!$E$3,0.5)</f>
        <v>17.5</v>
      </c>
      <c r="E767" s="45">
        <f>MROUND(MID($C767,9,3)/Basis!$E$3,0.5)</f>
        <v>48.5</v>
      </c>
      <c r="F767" s="124" t="s">
        <v>2947</v>
      </c>
      <c r="G767" s="45">
        <f>ROUND((ROUNDDOWN($F767/5,0)*5+3)/Basis!$E$3,1)</f>
        <v>7.1</v>
      </c>
      <c r="H767" s="120">
        <f>ROUND($P767*Basis!$E$2*((TaH-TrH)/LN(1/µ)/Basis!$E$7)^$N767*$AA$4*Glycol,0)</f>
        <v>2534</v>
      </c>
      <c r="I767" s="83">
        <f>ROUND(H767/(MID($C767,9,3)/Basis!$E$3/Basis!$E$9)*Basis!$E$11,0)</f>
        <v>628</v>
      </c>
      <c r="J767" s="123">
        <f>IF(Basis!$E$1=1,ROUND(H767/((TaH-TrH)*1.163)/3600,3),ROUND(H767/(500*(TaH-TrH)),2))</f>
        <v>0.25</v>
      </c>
      <c r="K767" s="84"/>
      <c r="L767" s="177">
        <f>CHOOSE(Basis!$E$1,((AJ767*(J767*3600/Basis!$E$5)^AK767*(((MID(C767,9,3)*10)-144)/1000)*AL767+AM767*(J767*3600/Basis!$E$5)^2)*0.0098)/Basis!$E$10,((AJ767*(J767/Basis!$E$5)^AK767*(((MID(C767,9,3)*10)-144)/1000)*AL767+AM767*(J767/Basis!$E$5)^2)*0.0098)/Basis!$E$10)</f>
        <v>1.7811214654710718E-2</v>
      </c>
      <c r="M767" s="85"/>
      <c r="N767" s="109">
        <v>1.4570000000000001</v>
      </c>
      <c r="O767" s="68"/>
      <c r="P767" s="67">
        <v>1201</v>
      </c>
      <c r="Q767" s="68"/>
      <c r="R767" s="69"/>
      <c r="S767" s="69"/>
      <c r="T767" s="69"/>
      <c r="U767" s="69"/>
      <c r="V767" s="69"/>
      <c r="W767" s="68"/>
      <c r="X767" s="70"/>
      <c r="Y767" s="70"/>
      <c r="Z767" s="70"/>
      <c r="AA767" s="70"/>
      <c r="AB767" s="70"/>
      <c r="AC767" s="68"/>
      <c r="AD767" s="71"/>
      <c r="AE767" s="71"/>
      <c r="AF767" s="71"/>
      <c r="AG767" s="71"/>
      <c r="AH767" s="71"/>
      <c r="AI767" s="68"/>
      <c r="AJ767" s="214">
        <v>2.0829999999999999E-4</v>
      </c>
      <c r="AK767" s="214">
        <v>1.724</v>
      </c>
      <c r="AL767" s="214">
        <v>4</v>
      </c>
      <c r="AM767" s="214">
        <v>1.392796E-3</v>
      </c>
      <c r="AN767" s="68"/>
      <c r="AO767" s="67"/>
      <c r="AP767" s="67"/>
      <c r="AQ767" s="67"/>
      <c r="AR767" s="67"/>
      <c r="AS767" s="67"/>
      <c r="AT767" s="68"/>
      <c r="AU767" s="49"/>
      <c r="AV767" s="50"/>
    </row>
    <row r="768" spans="1:48" ht="12.75" customHeight="1" x14ac:dyDescent="0.25">
      <c r="A768" s="72" t="s">
        <v>20</v>
      </c>
      <c r="B768" s="43" t="s">
        <v>889</v>
      </c>
      <c r="C768" s="44" t="s">
        <v>922</v>
      </c>
      <c r="D768" s="45">
        <f>MROUND(MID($C768,6,3)/Basis!$E$3,0.5)</f>
        <v>17.5</v>
      </c>
      <c r="E768" s="45">
        <f>MROUND(MID($C768,9,3)/Basis!$E$3,0.5)</f>
        <v>48.5</v>
      </c>
      <c r="F768" s="124" t="s">
        <v>2947</v>
      </c>
      <c r="G768" s="45">
        <f>ROUND((ROUNDDOWN($F768/5,0)*5+3)/Basis!$E$3,1)</f>
        <v>7.1</v>
      </c>
      <c r="H768" s="120">
        <f>ROUND($P768*Basis!$E$2*((TaH-TrH)/LN(1/µ)/Basis!$E$7)^$N768*$AA$4*Glycol,0)</f>
        <v>3654</v>
      </c>
      <c r="I768" s="83">
        <f>ROUND(H768/(MID($C768,9,3)/Basis!$E$3/Basis!$E$9)*Basis!$E$11,0)</f>
        <v>905</v>
      </c>
      <c r="J768" s="123">
        <f>IF(Basis!$E$1=1,ROUND(H768/((TaH-TrH)*1.163)/3600,3),ROUND(H768/(500*(TaH-TrH)),2))</f>
        <v>0.37</v>
      </c>
      <c r="K768" s="84"/>
      <c r="L768" s="177">
        <f>CHOOSE(Basis!$E$1,((AJ768*(J768*3600/Basis!$E$5)^AK768*(((MID(C768,9,3)*10)-144)/1000)*AL768+AM768*(J768*3600/Basis!$E$5)^2)*0.0098)/Basis!$E$10,((AJ768*(J768/Basis!$E$5)^AK768*(((MID(C768,9,3)*10)-144)/1000)*AL768+AM768*(J768/Basis!$E$5)^2)*0.0098)/Basis!$E$10)</f>
        <v>3.8310901674809848E-2</v>
      </c>
      <c r="M768" s="85"/>
      <c r="N768" s="109">
        <v>1.462</v>
      </c>
      <c r="O768" s="68"/>
      <c r="P768" s="67">
        <v>1735</v>
      </c>
      <c r="Q768" s="68"/>
      <c r="R768" s="69"/>
      <c r="S768" s="69"/>
      <c r="T768" s="69"/>
      <c r="U768" s="69"/>
      <c r="V768" s="69"/>
      <c r="W768" s="68"/>
      <c r="X768" s="70"/>
      <c r="Y768" s="70"/>
      <c r="Z768" s="70"/>
      <c r="AA768" s="70"/>
      <c r="AB768" s="70"/>
      <c r="AC768" s="68"/>
      <c r="AD768" s="71"/>
      <c r="AE768" s="71"/>
      <c r="AF768" s="71"/>
      <c r="AG768" s="71"/>
      <c r="AH768" s="71"/>
      <c r="AI768" s="68"/>
      <c r="AJ768" s="214">
        <v>2.0829999999999999E-4</v>
      </c>
      <c r="AK768" s="214">
        <v>1.724</v>
      </c>
      <c r="AL768" s="214">
        <v>4</v>
      </c>
      <c r="AM768" s="214">
        <v>1.392796E-3</v>
      </c>
      <c r="AN768" s="68"/>
      <c r="AO768" s="67"/>
      <c r="AP768" s="67"/>
      <c r="AQ768" s="67"/>
      <c r="AR768" s="67"/>
      <c r="AS768" s="67"/>
      <c r="AT768" s="68"/>
      <c r="AU768" s="49"/>
      <c r="AV768" s="50"/>
    </row>
    <row r="769" spans="1:48" ht="12.75" customHeight="1" x14ac:dyDescent="0.25">
      <c r="A769" s="72" t="s">
        <v>20</v>
      </c>
      <c r="B769" s="43" t="s">
        <v>889</v>
      </c>
      <c r="C769" s="44" t="s">
        <v>923</v>
      </c>
      <c r="D769" s="45">
        <f>MROUND(MID($C769,6,3)/Basis!$E$3,0.5)</f>
        <v>17.5</v>
      </c>
      <c r="E769" s="45">
        <f>MROUND(MID($C769,9,3)/Basis!$E$3,0.5)</f>
        <v>48.5</v>
      </c>
      <c r="F769" s="124" t="s">
        <v>2948</v>
      </c>
      <c r="G769" s="45">
        <f>ROUND((ROUNDDOWN($F769/5,0)*5+3)/Basis!$E$3,1)</f>
        <v>9.1</v>
      </c>
      <c r="H769" s="120">
        <f>ROUND($P769*Basis!$E$2*((TaH-TrH)/LN(1/µ)/Basis!$E$7)^$N769*$AA$4*Glycol,0)</f>
        <v>3667</v>
      </c>
      <c r="I769" s="83">
        <f>ROUND(H769/(MID($C769,9,3)/Basis!$E$3/Basis!$E$9)*Basis!$E$11,0)</f>
        <v>909</v>
      </c>
      <c r="J769" s="123">
        <f>IF(Basis!$E$1=1,ROUND(H769/((TaH-TrH)*1.163)/3600,3),ROUND(H769/(500*(TaH-TrH)),2))</f>
        <v>0.37</v>
      </c>
      <c r="K769" s="84"/>
      <c r="L769" s="177">
        <f>CHOOSE(Basis!$E$1,((AJ769*(J769*3600/Basis!$E$5)^AK769*(((MID(C769,9,3)*10)-144)/1000)*AL769+AM769*(J769*3600/Basis!$E$5)^2)*0.0098)/Basis!$E$10,((AJ769*(J769/Basis!$E$5)^AK769*(((MID(C769,9,3)*10)-144)/1000)*AL769+AM769*(J769/Basis!$E$5)^2)*0.0098)/Basis!$E$10)</f>
        <v>1.5605807361332592E-2</v>
      </c>
      <c r="M769" s="85"/>
      <c r="N769" s="109">
        <v>1.4670000000000001</v>
      </c>
      <c r="O769" s="68"/>
      <c r="P769" s="67">
        <v>1744</v>
      </c>
      <c r="Q769" s="68"/>
      <c r="R769" s="69"/>
      <c r="S769" s="69"/>
      <c r="T769" s="69"/>
      <c r="U769" s="69"/>
      <c r="V769" s="69"/>
      <c r="W769" s="68"/>
      <c r="X769" s="70"/>
      <c r="Y769" s="70"/>
      <c r="Z769" s="70"/>
      <c r="AA769" s="70"/>
      <c r="AB769" s="70"/>
      <c r="AC769" s="68"/>
      <c r="AD769" s="71"/>
      <c r="AE769" s="71"/>
      <c r="AF769" s="71"/>
      <c r="AG769" s="71"/>
      <c r="AH769" s="71"/>
      <c r="AI769" s="68"/>
      <c r="AJ769" s="214">
        <v>1.2760000000000001E-4</v>
      </c>
      <c r="AK769" s="214">
        <v>1.7219</v>
      </c>
      <c r="AL769" s="214">
        <v>4</v>
      </c>
      <c r="AM769" s="214">
        <v>5.1420100000000005E-4</v>
      </c>
      <c r="AN769" s="68"/>
      <c r="AO769" s="67"/>
      <c r="AP769" s="67"/>
      <c r="AQ769" s="67"/>
      <c r="AR769" s="67"/>
      <c r="AS769" s="67"/>
      <c r="AT769" s="68"/>
      <c r="AU769" s="49"/>
      <c r="AV769" s="50"/>
    </row>
    <row r="770" spans="1:48" ht="12.75" customHeight="1" x14ac:dyDescent="0.25">
      <c r="A770" s="72" t="s">
        <v>20</v>
      </c>
      <c r="B770" s="43" t="s">
        <v>889</v>
      </c>
      <c r="C770" s="44" t="s">
        <v>924</v>
      </c>
      <c r="D770" s="45">
        <f>MROUND(MID($C770,6,3)/Basis!$E$3,0.5)</f>
        <v>17.5</v>
      </c>
      <c r="E770" s="45">
        <f>MROUND(MID($C770,9,3)/Basis!$E$3,0.5)</f>
        <v>48.5</v>
      </c>
      <c r="F770" s="124" t="s">
        <v>2948</v>
      </c>
      <c r="G770" s="45">
        <f>ROUND((ROUNDDOWN($F770/5,0)*5+3)/Basis!$E$3,1)</f>
        <v>9.1</v>
      </c>
      <c r="H770" s="120">
        <f>ROUND($P770*Basis!$E$2*((TaH-TrH)/LN(1/µ)/Basis!$E$7)^$N770*$AA$4*Glycol,0)</f>
        <v>3144</v>
      </c>
      <c r="I770" s="83">
        <f>ROUND(H770/(MID($C770,9,3)/Basis!$E$3/Basis!$E$9)*Basis!$E$11,0)</f>
        <v>779</v>
      </c>
      <c r="J770" s="123">
        <f>IF(Basis!$E$1=1,ROUND(H770/((TaH-TrH)*1.163)/3600,3),ROUND(H770/(500*(TaH-TrH)),2))</f>
        <v>0.31</v>
      </c>
      <c r="K770" s="84"/>
      <c r="L770" s="177">
        <f>CHOOSE(Basis!$E$1,((AJ770*(J770*3600/Basis!$E$5)^AK770*(((MID(C770,9,3)*10)-144)/1000)*AL770+AM770*(J770*3600/Basis!$E$5)^2)*0.0098)/Basis!$E$10,((AJ770*(J770/Basis!$E$5)^AK770*(((MID(C770,9,3)*10)-144)/1000)*AL770+AM770*(J770/Basis!$E$5)^2)*0.0098)/Basis!$E$10)</f>
        <v>1.1086986560672623E-2</v>
      </c>
      <c r="M770" s="85"/>
      <c r="N770" s="109">
        <v>1.472</v>
      </c>
      <c r="O770" s="68"/>
      <c r="P770" s="67">
        <v>1498</v>
      </c>
      <c r="Q770" s="68"/>
      <c r="R770" s="69"/>
      <c r="S770" s="69"/>
      <c r="T770" s="69"/>
      <c r="U770" s="69"/>
      <c r="V770" s="69"/>
      <c r="W770" s="68"/>
      <c r="X770" s="70"/>
      <c r="Y770" s="70"/>
      <c r="Z770" s="70"/>
      <c r="AA770" s="70"/>
      <c r="AB770" s="70"/>
      <c r="AC770" s="68"/>
      <c r="AD770" s="71"/>
      <c r="AE770" s="71"/>
      <c r="AF770" s="71"/>
      <c r="AG770" s="71"/>
      <c r="AH770" s="71"/>
      <c r="AI770" s="68"/>
      <c r="AJ770" s="214">
        <v>1.2760000000000001E-4</v>
      </c>
      <c r="AK770" s="214">
        <v>1.7219</v>
      </c>
      <c r="AL770" s="214">
        <v>4</v>
      </c>
      <c r="AM770" s="214">
        <v>5.1420100000000005E-4</v>
      </c>
      <c r="AN770" s="68"/>
      <c r="AO770" s="67"/>
      <c r="AP770" s="67"/>
      <c r="AQ770" s="67"/>
      <c r="AR770" s="67"/>
      <c r="AS770" s="67"/>
      <c r="AT770" s="68"/>
      <c r="AU770" s="49"/>
      <c r="AV770" s="50"/>
    </row>
    <row r="771" spans="1:48" ht="12.75" customHeight="1" x14ac:dyDescent="0.25">
      <c r="A771" s="72" t="s">
        <v>20</v>
      </c>
      <c r="B771" s="43" t="s">
        <v>889</v>
      </c>
      <c r="C771" s="44" t="s">
        <v>925</v>
      </c>
      <c r="D771" s="45">
        <f>MROUND(MID($C771,6,3)/Basis!$E$3,0.5)</f>
        <v>17.5</v>
      </c>
      <c r="E771" s="45">
        <f>MROUND(MID($C771,9,3)/Basis!$E$3,0.5)</f>
        <v>48.5</v>
      </c>
      <c r="F771" s="124" t="s">
        <v>2948</v>
      </c>
      <c r="G771" s="45">
        <f>ROUND((ROUNDDOWN($F771/5,0)*5+3)/Basis!$E$3,1)</f>
        <v>9.1</v>
      </c>
      <c r="H771" s="120">
        <f>ROUND($P771*Basis!$E$2*((TaH-TrH)/LN(1/µ)/Basis!$E$7)^$N771*$AA$4*Glycol,0)</f>
        <v>4874</v>
      </c>
      <c r="I771" s="83">
        <f>ROUND(H771/(MID($C771,9,3)/Basis!$E$3/Basis!$E$9)*Basis!$E$11,0)</f>
        <v>1208</v>
      </c>
      <c r="J771" s="123">
        <f>IF(Basis!$E$1=1,ROUND(H771/((TaH-TrH)*1.163)/3600,3),ROUND(H771/(500*(TaH-TrH)),2))</f>
        <v>0.49</v>
      </c>
      <c r="K771" s="84"/>
      <c r="L771" s="177">
        <f>CHOOSE(Basis!$E$1,((AJ771*(J771*3600/Basis!$E$5)^AK771*(((MID(C771,9,3)*10)-144)/1000)*AL771+AM771*(J771*3600/Basis!$E$5)^2)*0.0098)/Basis!$E$10,((AJ771*(J771/Basis!$E$5)^AK771*(((MID(C771,9,3)*10)-144)/1000)*AL771+AM771*(J771/Basis!$E$5)^2)*0.0098)/Basis!$E$10)</f>
        <v>2.6878102003448204E-2</v>
      </c>
      <c r="M771" s="85"/>
      <c r="N771" s="109">
        <v>1.48</v>
      </c>
      <c r="O771" s="68"/>
      <c r="P771" s="67">
        <v>2328</v>
      </c>
      <c r="Q771" s="68"/>
      <c r="R771" s="69"/>
      <c r="S771" s="69"/>
      <c r="T771" s="69"/>
      <c r="U771" s="69"/>
      <c r="V771" s="69"/>
      <c r="W771" s="68"/>
      <c r="X771" s="70"/>
      <c r="Y771" s="70"/>
      <c r="Z771" s="70"/>
      <c r="AA771" s="70"/>
      <c r="AB771" s="70"/>
      <c r="AC771" s="68"/>
      <c r="AD771" s="71"/>
      <c r="AE771" s="71"/>
      <c r="AF771" s="71"/>
      <c r="AG771" s="71"/>
      <c r="AH771" s="71"/>
      <c r="AI771" s="68"/>
      <c r="AJ771" s="214">
        <v>1.2760000000000001E-4</v>
      </c>
      <c r="AK771" s="214">
        <v>1.7219</v>
      </c>
      <c r="AL771" s="214">
        <v>4</v>
      </c>
      <c r="AM771" s="214">
        <v>5.1420100000000005E-4</v>
      </c>
      <c r="AN771" s="68"/>
      <c r="AO771" s="67"/>
      <c r="AP771" s="67"/>
      <c r="AQ771" s="67"/>
      <c r="AR771" s="67"/>
      <c r="AS771" s="67"/>
      <c r="AT771" s="68"/>
      <c r="AU771" s="49"/>
      <c r="AV771" s="50"/>
    </row>
    <row r="772" spans="1:48" ht="12.75" customHeight="1" x14ac:dyDescent="0.25">
      <c r="A772" s="72" t="s">
        <v>20</v>
      </c>
      <c r="B772" s="43" t="s">
        <v>889</v>
      </c>
      <c r="C772" s="44" t="s">
        <v>926</v>
      </c>
      <c r="D772" s="45">
        <f>MROUND(MID($C772,6,3)/Basis!$E$3,0.5)</f>
        <v>17.5</v>
      </c>
      <c r="E772" s="45">
        <f>MROUND(MID($C772,9,3)/Basis!$E$3,0.5)</f>
        <v>56.5</v>
      </c>
      <c r="F772" s="124" t="s">
        <v>2946</v>
      </c>
      <c r="G772" s="45">
        <f>ROUND((ROUNDDOWN($F772/5,0)*5+3)/Basis!$E$3,1)</f>
        <v>5.0999999999999996</v>
      </c>
      <c r="H772" s="120">
        <f>ROUND($P772*Basis!$E$2*((TaH-TrH)/LN(1/µ)/Basis!$E$7)^$N772*$AA$4*Glycol,0)</f>
        <v>2391</v>
      </c>
      <c r="I772" s="83">
        <f>ROUND(H772/(MID($C772,9,3)/Basis!$E$3/Basis!$E$9)*Basis!$E$11,0)</f>
        <v>510</v>
      </c>
      <c r="J772" s="123">
        <f>IF(Basis!$E$1=1,ROUND(H772/((TaH-TrH)*1.163)/3600,3),ROUND(H772/(500*(TaH-TrH)),2))</f>
        <v>0.24</v>
      </c>
      <c r="K772" s="84"/>
      <c r="L772" s="177">
        <f>CHOOSE(Basis!$E$1,((AJ772*(J772*3600/Basis!$E$5)^AK772*(((MID(C772,9,3)*10)-144)/1000)*AL772+AM772*(J772*3600/Basis!$E$5)^2)*0.0098)/Basis!$E$10,((AJ772*(J772/Basis!$E$5)^AK772*(((MID(C772,9,3)*10)-144)/1000)*AL772+AM772*(J772/Basis!$E$5)^2)*0.0098)/Basis!$E$10)</f>
        <v>1.24435619181035E-2</v>
      </c>
      <c r="M772" s="85"/>
      <c r="N772" s="109">
        <v>1.44</v>
      </c>
      <c r="O772" s="68"/>
      <c r="P772" s="67">
        <v>1127</v>
      </c>
      <c r="Q772" s="68"/>
      <c r="R772" s="69"/>
      <c r="S772" s="69"/>
      <c r="T772" s="69"/>
      <c r="U772" s="69"/>
      <c r="V772" s="69"/>
      <c r="W772" s="68"/>
      <c r="X772" s="70"/>
      <c r="Y772" s="70"/>
      <c r="Z772" s="70"/>
      <c r="AA772" s="70"/>
      <c r="AB772" s="70"/>
      <c r="AC772" s="68"/>
      <c r="AD772" s="71"/>
      <c r="AE772" s="71"/>
      <c r="AF772" s="71"/>
      <c r="AG772" s="71"/>
      <c r="AH772" s="71"/>
      <c r="AI772" s="68"/>
      <c r="AJ772" s="214">
        <v>3.9689999999999994E-4</v>
      </c>
      <c r="AK772" s="214">
        <v>1.7345999999999999</v>
      </c>
      <c r="AL772" s="214">
        <v>4</v>
      </c>
      <c r="AM772" s="214">
        <v>5.7428799999999995E-4</v>
      </c>
      <c r="AN772" s="68"/>
      <c r="AO772" s="67"/>
      <c r="AP772" s="67"/>
      <c r="AQ772" s="67"/>
      <c r="AR772" s="67"/>
      <c r="AS772" s="67"/>
      <c r="AT772" s="68"/>
      <c r="AU772" s="49"/>
      <c r="AV772" s="50"/>
    </row>
    <row r="773" spans="1:48" ht="12.75" customHeight="1" x14ac:dyDescent="0.25">
      <c r="A773" s="72" t="s">
        <v>20</v>
      </c>
      <c r="B773" s="43" t="s">
        <v>889</v>
      </c>
      <c r="C773" s="44" t="s">
        <v>927</v>
      </c>
      <c r="D773" s="45">
        <f>MROUND(MID($C773,6,3)/Basis!$E$3,0.5)</f>
        <v>17.5</v>
      </c>
      <c r="E773" s="45">
        <f>MROUND(MID($C773,9,3)/Basis!$E$3,0.5)</f>
        <v>56.5</v>
      </c>
      <c r="F773" s="124" t="s">
        <v>2946</v>
      </c>
      <c r="G773" s="45">
        <f>ROUND((ROUNDDOWN($F773/5,0)*5+3)/Basis!$E$3,1)</f>
        <v>5.0999999999999996</v>
      </c>
      <c r="H773" s="120">
        <f>ROUND($P773*Basis!$E$2*((TaH-TrH)/LN(1/µ)/Basis!$E$7)^$N773*$AA$4*Glycol,0)</f>
        <v>2045</v>
      </c>
      <c r="I773" s="83">
        <f>ROUND(H773/(MID($C773,9,3)/Basis!$E$3/Basis!$E$9)*Basis!$E$11,0)</f>
        <v>436</v>
      </c>
      <c r="J773" s="123">
        <f>IF(Basis!$E$1=1,ROUND(H773/((TaH-TrH)*1.163)/3600,3),ROUND(H773/(500*(TaH-TrH)),2))</f>
        <v>0.2</v>
      </c>
      <c r="K773" s="84"/>
      <c r="L773" s="177">
        <f>CHOOSE(Basis!$E$1,((AJ773*(J773*3600/Basis!$E$5)^AK773*(((MID(C773,9,3)*10)-144)/1000)*AL773+AM773*(J773*3600/Basis!$E$5)^2)*0.0098)/Basis!$E$10,((AJ773*(J773/Basis!$E$5)^AK773*(((MID(C773,9,3)*10)-144)/1000)*AL773+AM773*(J773/Basis!$E$5)^2)*0.0098)/Basis!$E$10)</f>
        <v>8.8776884430665157E-3</v>
      </c>
      <c r="M773" s="85"/>
      <c r="N773" s="109">
        <v>1.44</v>
      </c>
      <c r="O773" s="68"/>
      <c r="P773" s="67">
        <v>964</v>
      </c>
      <c r="Q773" s="68"/>
      <c r="R773" s="69"/>
      <c r="S773" s="69"/>
      <c r="T773" s="69"/>
      <c r="U773" s="69"/>
      <c r="V773" s="69"/>
      <c r="W773" s="68"/>
      <c r="X773" s="70"/>
      <c r="Y773" s="70"/>
      <c r="Z773" s="70"/>
      <c r="AA773" s="70"/>
      <c r="AB773" s="70"/>
      <c r="AC773" s="68"/>
      <c r="AD773" s="71"/>
      <c r="AE773" s="71"/>
      <c r="AF773" s="71"/>
      <c r="AG773" s="71"/>
      <c r="AH773" s="71"/>
      <c r="AI773" s="68"/>
      <c r="AJ773" s="214">
        <v>3.9689999999999994E-4</v>
      </c>
      <c r="AK773" s="214">
        <v>1.7345999999999999</v>
      </c>
      <c r="AL773" s="214">
        <v>4</v>
      </c>
      <c r="AM773" s="214">
        <v>5.7428799999999995E-4</v>
      </c>
      <c r="AN773" s="68"/>
      <c r="AO773" s="67"/>
      <c r="AP773" s="67"/>
      <c r="AQ773" s="67"/>
      <c r="AR773" s="67"/>
      <c r="AS773" s="67"/>
      <c r="AT773" s="68"/>
      <c r="AU773" s="49"/>
      <c r="AV773" s="50"/>
    </row>
    <row r="774" spans="1:48" ht="12.75" customHeight="1" x14ac:dyDescent="0.25">
      <c r="A774" s="72" t="s">
        <v>20</v>
      </c>
      <c r="B774" s="43" t="s">
        <v>889</v>
      </c>
      <c r="C774" s="44" t="s">
        <v>928</v>
      </c>
      <c r="D774" s="45">
        <f>MROUND(MID($C774,6,3)/Basis!$E$3,0.5)</f>
        <v>17.5</v>
      </c>
      <c r="E774" s="45">
        <f>MROUND(MID($C774,9,3)/Basis!$E$3,0.5)</f>
        <v>56.5</v>
      </c>
      <c r="F774" s="124" t="s">
        <v>2946</v>
      </c>
      <c r="G774" s="45">
        <f>ROUND((ROUNDDOWN($F774/5,0)*5+3)/Basis!$E$3,1)</f>
        <v>5.0999999999999996</v>
      </c>
      <c r="H774" s="120">
        <f>ROUND($P774*Basis!$E$2*((TaH-TrH)/LN(1/µ)/Basis!$E$7)^$N774*$AA$4*Glycol,0)</f>
        <v>2931</v>
      </c>
      <c r="I774" s="83">
        <f>ROUND(H774/(MID($C774,9,3)/Basis!$E$3/Basis!$E$9)*Basis!$E$11,0)</f>
        <v>625</v>
      </c>
      <c r="J774" s="123">
        <f>IF(Basis!$E$1=1,ROUND(H774/((TaH-TrH)*1.163)/3600,3),ROUND(H774/(500*(TaH-TrH)),2))</f>
        <v>0.28999999999999998</v>
      </c>
      <c r="K774" s="84"/>
      <c r="L774" s="177">
        <f>CHOOSE(Basis!$E$1,((AJ774*(J774*3600/Basis!$E$5)^AK774*(((MID(C774,9,3)*10)-144)/1000)*AL774+AM774*(J774*3600/Basis!$E$5)^2)*0.0098)/Basis!$E$10,((AJ774*(J774/Basis!$E$5)^AK774*(((MID(C774,9,3)*10)-144)/1000)*AL774+AM774*(J774/Basis!$E$5)^2)*0.0098)/Basis!$E$10)</f>
        <v>1.7677537715396669E-2</v>
      </c>
      <c r="M774" s="85"/>
      <c r="N774" s="109">
        <v>1.4390000000000001</v>
      </c>
      <c r="O774" s="68"/>
      <c r="P774" s="67">
        <v>1381</v>
      </c>
      <c r="Q774" s="68"/>
      <c r="R774" s="69"/>
      <c r="S774" s="69"/>
      <c r="T774" s="69"/>
      <c r="U774" s="69"/>
      <c r="V774" s="69"/>
      <c r="W774" s="68"/>
      <c r="X774" s="70"/>
      <c r="Y774" s="70"/>
      <c r="Z774" s="70"/>
      <c r="AA774" s="70"/>
      <c r="AB774" s="70"/>
      <c r="AC774" s="68"/>
      <c r="AD774" s="71"/>
      <c r="AE774" s="71"/>
      <c r="AF774" s="71"/>
      <c r="AG774" s="71"/>
      <c r="AH774" s="71"/>
      <c r="AI774" s="68"/>
      <c r="AJ774" s="214">
        <v>3.9689999999999994E-4</v>
      </c>
      <c r="AK774" s="214">
        <v>1.7345999999999999</v>
      </c>
      <c r="AL774" s="214">
        <v>4</v>
      </c>
      <c r="AM774" s="214">
        <v>5.7428799999999995E-4</v>
      </c>
      <c r="AN774" s="68"/>
      <c r="AO774" s="67"/>
      <c r="AP774" s="67"/>
      <c r="AQ774" s="67"/>
      <c r="AR774" s="67"/>
      <c r="AS774" s="67"/>
      <c r="AT774" s="68"/>
      <c r="AU774" s="49"/>
      <c r="AV774" s="50"/>
    </row>
    <row r="775" spans="1:48" ht="12.75" customHeight="1" x14ac:dyDescent="0.25">
      <c r="A775" s="72" t="s">
        <v>20</v>
      </c>
      <c r="B775" s="43" t="s">
        <v>889</v>
      </c>
      <c r="C775" s="44" t="s">
        <v>929</v>
      </c>
      <c r="D775" s="45">
        <f>MROUND(MID($C775,6,3)/Basis!$E$3,0.5)</f>
        <v>17.5</v>
      </c>
      <c r="E775" s="45">
        <f>MROUND(MID($C775,9,3)/Basis!$E$3,0.5)</f>
        <v>56.5</v>
      </c>
      <c r="F775" s="124" t="s">
        <v>2947</v>
      </c>
      <c r="G775" s="45">
        <f>ROUND((ROUNDDOWN($F775/5,0)*5+3)/Basis!$E$3,1)</f>
        <v>7.1</v>
      </c>
      <c r="H775" s="120">
        <f>ROUND($P775*Basis!$E$2*((TaH-TrH)/LN(1/µ)/Basis!$E$7)^$N775*$AA$4*Glycol,0)</f>
        <v>3411</v>
      </c>
      <c r="I775" s="83">
        <f>ROUND(H775/(MID($C775,9,3)/Basis!$E$3/Basis!$E$9)*Basis!$E$11,0)</f>
        <v>727</v>
      </c>
      <c r="J775" s="123">
        <f>IF(Basis!$E$1=1,ROUND(H775/((TaH-TrH)*1.163)/3600,3),ROUND(H775/(500*(TaH-TrH)),2))</f>
        <v>0.34</v>
      </c>
      <c r="K775" s="84"/>
      <c r="L775" s="177">
        <f>CHOOSE(Basis!$E$1,((AJ775*(J775*3600/Basis!$E$5)^AK775*(((MID(C775,9,3)*10)-144)/1000)*AL775+AM775*(J775*3600/Basis!$E$5)^2)*0.0098)/Basis!$E$10,((AJ775*(J775/Basis!$E$5)^AK775*(((MID(C775,9,3)*10)-144)/1000)*AL775+AM775*(J775/Basis!$E$5)^2)*0.0098)/Basis!$E$10)</f>
        <v>3.3451757344730861E-2</v>
      </c>
      <c r="M775" s="85"/>
      <c r="N775" s="109">
        <v>1.4550000000000001</v>
      </c>
      <c r="O775" s="68"/>
      <c r="P775" s="67">
        <v>1616</v>
      </c>
      <c r="Q775" s="68"/>
      <c r="R775" s="69"/>
      <c r="S775" s="69"/>
      <c r="T775" s="69"/>
      <c r="U775" s="69"/>
      <c r="V775" s="69"/>
      <c r="W775" s="68"/>
      <c r="X775" s="70"/>
      <c r="Y775" s="70"/>
      <c r="Z775" s="70"/>
      <c r="AA775" s="70"/>
      <c r="AB775" s="70"/>
      <c r="AC775" s="68"/>
      <c r="AD775" s="71"/>
      <c r="AE775" s="71"/>
      <c r="AF775" s="71"/>
      <c r="AG775" s="71"/>
      <c r="AH775" s="71"/>
      <c r="AI775" s="68"/>
      <c r="AJ775" s="214">
        <v>2.0829999999999999E-4</v>
      </c>
      <c r="AK775" s="214">
        <v>1.724</v>
      </c>
      <c r="AL775" s="214">
        <v>4</v>
      </c>
      <c r="AM775" s="214">
        <v>1.392796E-3</v>
      </c>
      <c r="AN775" s="68"/>
      <c r="AO775" s="67"/>
      <c r="AP775" s="67"/>
      <c r="AQ775" s="67"/>
      <c r="AR775" s="67"/>
      <c r="AS775" s="67"/>
      <c r="AT775" s="68"/>
      <c r="AU775" s="49"/>
      <c r="AV775" s="50"/>
    </row>
    <row r="776" spans="1:48" ht="12.75" customHeight="1" x14ac:dyDescent="0.25">
      <c r="A776" s="72" t="s">
        <v>20</v>
      </c>
      <c r="B776" s="43" t="s">
        <v>889</v>
      </c>
      <c r="C776" s="44" t="s">
        <v>930</v>
      </c>
      <c r="D776" s="45">
        <f>MROUND(MID($C776,6,3)/Basis!$E$3,0.5)</f>
        <v>17.5</v>
      </c>
      <c r="E776" s="45">
        <f>MROUND(MID($C776,9,3)/Basis!$E$3,0.5)</f>
        <v>56.5</v>
      </c>
      <c r="F776" s="124" t="s">
        <v>2947</v>
      </c>
      <c r="G776" s="45">
        <f>ROUND((ROUNDDOWN($F776/5,0)*5+3)/Basis!$E$3,1)</f>
        <v>7.1</v>
      </c>
      <c r="H776" s="120">
        <f>ROUND($P776*Basis!$E$2*((TaH-TrH)/LN(1/µ)/Basis!$E$7)^$N776*$AA$4*Glycol,0)</f>
        <v>3029</v>
      </c>
      <c r="I776" s="83">
        <f>ROUND(H776/(MID($C776,9,3)/Basis!$E$3/Basis!$E$9)*Basis!$E$11,0)</f>
        <v>646</v>
      </c>
      <c r="J776" s="123">
        <f>IF(Basis!$E$1=1,ROUND(H776/((TaH-TrH)*1.163)/3600,3),ROUND(H776/(500*(TaH-TrH)),2))</f>
        <v>0.3</v>
      </c>
      <c r="K776" s="84"/>
      <c r="L776" s="177">
        <f>CHOOSE(Basis!$E$1,((AJ776*(J776*3600/Basis!$E$5)^AK776*(((MID(C776,9,3)*10)-144)/1000)*AL776+AM776*(J776*3600/Basis!$E$5)^2)*0.0098)/Basis!$E$10,((AJ776*(J776/Basis!$E$5)^AK776*(((MID(C776,9,3)*10)-144)/1000)*AL776+AM776*(J776/Basis!$E$5)^2)*0.0098)/Basis!$E$10)</f>
        <v>2.6216008263079474E-2</v>
      </c>
      <c r="M776" s="85"/>
      <c r="N776" s="109">
        <v>1.4570000000000001</v>
      </c>
      <c r="O776" s="68"/>
      <c r="P776" s="67">
        <v>1436</v>
      </c>
      <c r="Q776" s="68"/>
      <c r="R776" s="69"/>
      <c r="S776" s="69"/>
      <c r="T776" s="69"/>
      <c r="U776" s="69"/>
      <c r="V776" s="69"/>
      <c r="W776" s="68"/>
      <c r="X776" s="70"/>
      <c r="Y776" s="70"/>
      <c r="Z776" s="70"/>
      <c r="AA776" s="70"/>
      <c r="AB776" s="70"/>
      <c r="AC776" s="68"/>
      <c r="AD776" s="71"/>
      <c r="AE776" s="71"/>
      <c r="AF776" s="71"/>
      <c r="AG776" s="71"/>
      <c r="AH776" s="71"/>
      <c r="AI776" s="68"/>
      <c r="AJ776" s="214">
        <v>2.0829999999999999E-4</v>
      </c>
      <c r="AK776" s="214">
        <v>1.724</v>
      </c>
      <c r="AL776" s="214">
        <v>4</v>
      </c>
      <c r="AM776" s="214">
        <v>1.392796E-3</v>
      </c>
      <c r="AN776" s="68"/>
      <c r="AO776" s="67"/>
      <c r="AP776" s="67"/>
      <c r="AQ776" s="67"/>
      <c r="AR776" s="67"/>
      <c r="AS776" s="67"/>
      <c r="AT776" s="68"/>
      <c r="AU776" s="49"/>
      <c r="AV776" s="50"/>
    </row>
    <row r="777" spans="1:48" ht="12.75" customHeight="1" x14ac:dyDescent="0.25">
      <c r="A777" s="72" t="s">
        <v>20</v>
      </c>
      <c r="B777" s="43" t="s">
        <v>889</v>
      </c>
      <c r="C777" s="44" t="s">
        <v>931</v>
      </c>
      <c r="D777" s="45">
        <f>MROUND(MID($C777,6,3)/Basis!$E$3,0.5)</f>
        <v>17.5</v>
      </c>
      <c r="E777" s="45">
        <f>MROUND(MID($C777,9,3)/Basis!$E$3,0.5)</f>
        <v>56.5</v>
      </c>
      <c r="F777" s="124" t="s">
        <v>2947</v>
      </c>
      <c r="G777" s="45">
        <f>ROUND((ROUNDDOWN($F777/5,0)*5+3)/Basis!$E$3,1)</f>
        <v>7.1</v>
      </c>
      <c r="H777" s="120">
        <f>ROUND($P777*Basis!$E$2*((TaH-TrH)/LN(1/µ)/Basis!$E$7)^$N777*$AA$4*Glycol,0)</f>
        <v>4368</v>
      </c>
      <c r="I777" s="83">
        <f>ROUND(H777/(MID($C777,9,3)/Basis!$E$3/Basis!$E$9)*Basis!$E$11,0)</f>
        <v>931</v>
      </c>
      <c r="J777" s="123">
        <f>IF(Basis!$E$1=1,ROUND(H777/((TaH-TrH)*1.163)/3600,3),ROUND(H777/(500*(TaH-TrH)),2))</f>
        <v>0.44</v>
      </c>
      <c r="K777" s="84"/>
      <c r="L777" s="177">
        <f>CHOOSE(Basis!$E$1,((AJ777*(J777*3600/Basis!$E$5)^AK777*(((MID(C777,9,3)*10)-144)/1000)*AL777+AM777*(J777*3600/Basis!$E$5)^2)*0.0098)/Basis!$E$10,((AJ777*(J777/Basis!$E$5)^AK777*(((MID(C777,9,3)*10)-144)/1000)*AL777+AM777*(J777/Basis!$E$5)^2)*0.0098)/Basis!$E$10)</f>
        <v>5.5298909415391985E-2</v>
      </c>
      <c r="M777" s="85"/>
      <c r="N777" s="109">
        <v>1.462</v>
      </c>
      <c r="O777" s="68"/>
      <c r="P777" s="67">
        <v>2074</v>
      </c>
      <c r="Q777" s="68"/>
      <c r="R777" s="69"/>
      <c r="S777" s="69"/>
      <c r="T777" s="69"/>
      <c r="U777" s="69"/>
      <c r="V777" s="69"/>
      <c r="W777" s="68"/>
      <c r="X777" s="70"/>
      <c r="Y777" s="70"/>
      <c r="Z777" s="70"/>
      <c r="AA777" s="70"/>
      <c r="AB777" s="70"/>
      <c r="AC777" s="68"/>
      <c r="AD777" s="71"/>
      <c r="AE777" s="71"/>
      <c r="AF777" s="71"/>
      <c r="AG777" s="71"/>
      <c r="AH777" s="71"/>
      <c r="AI777" s="68"/>
      <c r="AJ777" s="214">
        <v>2.0829999999999999E-4</v>
      </c>
      <c r="AK777" s="214">
        <v>1.724</v>
      </c>
      <c r="AL777" s="214">
        <v>4</v>
      </c>
      <c r="AM777" s="214">
        <v>1.392796E-3</v>
      </c>
      <c r="AN777" s="68"/>
      <c r="AO777" s="67"/>
      <c r="AP777" s="67"/>
      <c r="AQ777" s="67"/>
      <c r="AR777" s="67"/>
      <c r="AS777" s="67"/>
      <c r="AT777" s="68"/>
      <c r="AU777" s="49"/>
      <c r="AV777" s="50"/>
    </row>
    <row r="778" spans="1:48" ht="12.75" customHeight="1" x14ac:dyDescent="0.25">
      <c r="A778" s="72" t="s">
        <v>20</v>
      </c>
      <c r="B778" s="43" t="s">
        <v>889</v>
      </c>
      <c r="C778" s="44" t="s">
        <v>932</v>
      </c>
      <c r="D778" s="45">
        <f>MROUND(MID($C778,6,3)/Basis!$E$3,0.5)</f>
        <v>17.5</v>
      </c>
      <c r="E778" s="45">
        <f>MROUND(MID($C778,9,3)/Basis!$E$3,0.5)</f>
        <v>56.5</v>
      </c>
      <c r="F778" s="124" t="s">
        <v>2948</v>
      </c>
      <c r="G778" s="45">
        <f>ROUND((ROUNDDOWN($F778/5,0)*5+3)/Basis!$E$3,1)</f>
        <v>9.1</v>
      </c>
      <c r="H778" s="120">
        <f>ROUND($P778*Basis!$E$2*((TaH-TrH)/LN(1/µ)/Basis!$E$7)^$N778*$AA$4*Glycol,0)</f>
        <v>4384</v>
      </c>
      <c r="I778" s="83">
        <f>ROUND(H778/(MID($C778,9,3)/Basis!$E$3/Basis!$E$9)*Basis!$E$11,0)</f>
        <v>934</v>
      </c>
      <c r="J778" s="123">
        <f>IF(Basis!$E$1=1,ROUND(H778/((TaH-TrH)*1.163)/3600,3),ROUND(H778/(500*(TaH-TrH)),2))</f>
        <v>0.44</v>
      </c>
      <c r="K778" s="84"/>
      <c r="L778" s="177">
        <f>CHOOSE(Basis!$E$1,((AJ778*(J778*3600/Basis!$E$5)^AK778*(((MID(C778,9,3)*10)-144)/1000)*AL778+AM778*(J778*3600/Basis!$E$5)^2)*0.0098)/Basis!$E$10,((AJ778*(J778/Basis!$E$5)^AK778*(((MID(C778,9,3)*10)-144)/1000)*AL778+AM778*(J778/Basis!$E$5)^2)*0.0098)/Basis!$E$10)</f>
        <v>2.2747296699204955E-2</v>
      </c>
      <c r="M778" s="85"/>
      <c r="N778" s="109">
        <v>1.4670000000000001</v>
      </c>
      <c r="O778" s="68"/>
      <c r="P778" s="67">
        <v>2085</v>
      </c>
      <c r="Q778" s="68"/>
      <c r="R778" s="69"/>
      <c r="S778" s="69"/>
      <c r="T778" s="69"/>
      <c r="U778" s="69"/>
      <c r="V778" s="69"/>
      <c r="W778" s="68"/>
      <c r="X778" s="70"/>
      <c r="Y778" s="70"/>
      <c r="Z778" s="70"/>
      <c r="AA778" s="70"/>
      <c r="AB778" s="70"/>
      <c r="AC778" s="68"/>
      <c r="AD778" s="71"/>
      <c r="AE778" s="71"/>
      <c r="AF778" s="71"/>
      <c r="AG778" s="71"/>
      <c r="AH778" s="71"/>
      <c r="AI778" s="68"/>
      <c r="AJ778" s="214">
        <v>1.2760000000000001E-4</v>
      </c>
      <c r="AK778" s="214">
        <v>1.7219</v>
      </c>
      <c r="AL778" s="214">
        <v>4</v>
      </c>
      <c r="AM778" s="214">
        <v>5.1420100000000005E-4</v>
      </c>
      <c r="AN778" s="68"/>
      <c r="AO778" s="67"/>
      <c r="AP778" s="67"/>
      <c r="AQ778" s="67"/>
      <c r="AR778" s="67"/>
      <c r="AS778" s="67"/>
      <c r="AT778" s="68"/>
      <c r="AU778" s="49"/>
      <c r="AV778" s="50"/>
    </row>
    <row r="779" spans="1:48" ht="12.75" customHeight="1" x14ac:dyDescent="0.25">
      <c r="A779" s="72" t="s">
        <v>20</v>
      </c>
      <c r="B779" s="43" t="s">
        <v>889</v>
      </c>
      <c r="C779" s="44" t="s">
        <v>933</v>
      </c>
      <c r="D779" s="45">
        <f>MROUND(MID($C779,6,3)/Basis!$E$3,0.5)</f>
        <v>17.5</v>
      </c>
      <c r="E779" s="45">
        <f>MROUND(MID($C779,9,3)/Basis!$E$3,0.5)</f>
        <v>56.5</v>
      </c>
      <c r="F779" s="124" t="s">
        <v>2948</v>
      </c>
      <c r="G779" s="45">
        <f>ROUND((ROUNDDOWN($F779/5,0)*5+3)/Basis!$E$3,1)</f>
        <v>9.1</v>
      </c>
      <c r="H779" s="120">
        <f>ROUND($P779*Basis!$E$2*((TaH-TrH)/LN(1/µ)/Basis!$E$7)^$N779*$AA$4*Glycol,0)</f>
        <v>3760</v>
      </c>
      <c r="I779" s="83">
        <f>ROUND(H779/(MID($C779,9,3)/Basis!$E$3/Basis!$E$9)*Basis!$E$11,0)</f>
        <v>801</v>
      </c>
      <c r="J779" s="123">
        <f>IF(Basis!$E$1=1,ROUND(H779/((TaH-TrH)*1.163)/3600,3),ROUND(H779/(500*(TaH-TrH)),2))</f>
        <v>0.38</v>
      </c>
      <c r="K779" s="84"/>
      <c r="L779" s="177">
        <f>CHOOSE(Basis!$E$1,((AJ779*(J779*3600/Basis!$E$5)^AK779*(((MID(C779,9,3)*10)-144)/1000)*AL779+AM779*(J779*3600/Basis!$E$5)^2)*0.0098)/Basis!$E$10,((AJ779*(J779/Basis!$E$5)^AK779*(((MID(C779,9,3)*10)-144)/1000)*AL779+AM779*(J779/Basis!$E$5)^2)*0.0098)/Basis!$E$10)</f>
        <v>1.7151345932613631E-2</v>
      </c>
      <c r="M779" s="85"/>
      <c r="N779" s="109">
        <v>1.472</v>
      </c>
      <c r="O779" s="68"/>
      <c r="P779" s="67">
        <v>1791</v>
      </c>
      <c r="Q779" s="68"/>
      <c r="R779" s="69"/>
      <c r="S779" s="69"/>
      <c r="T779" s="69"/>
      <c r="U779" s="69"/>
      <c r="V779" s="69"/>
      <c r="W779" s="68"/>
      <c r="X779" s="70"/>
      <c r="Y779" s="70"/>
      <c r="Z779" s="70"/>
      <c r="AA779" s="70"/>
      <c r="AB779" s="70"/>
      <c r="AC779" s="68"/>
      <c r="AD779" s="71"/>
      <c r="AE779" s="71"/>
      <c r="AF779" s="71"/>
      <c r="AG779" s="71"/>
      <c r="AH779" s="71"/>
      <c r="AI779" s="68"/>
      <c r="AJ779" s="214">
        <v>1.2760000000000001E-4</v>
      </c>
      <c r="AK779" s="214">
        <v>1.7219</v>
      </c>
      <c r="AL779" s="214">
        <v>4</v>
      </c>
      <c r="AM779" s="214">
        <v>5.1420100000000005E-4</v>
      </c>
      <c r="AN779" s="68"/>
      <c r="AO779" s="67"/>
      <c r="AP779" s="67"/>
      <c r="AQ779" s="67"/>
      <c r="AR779" s="67"/>
      <c r="AS779" s="67"/>
      <c r="AT779" s="68"/>
      <c r="AU779" s="49"/>
      <c r="AV779" s="50"/>
    </row>
    <row r="780" spans="1:48" ht="12.75" customHeight="1" x14ac:dyDescent="0.25">
      <c r="A780" s="72" t="s">
        <v>20</v>
      </c>
      <c r="B780" s="43" t="s">
        <v>889</v>
      </c>
      <c r="C780" s="44" t="s">
        <v>934</v>
      </c>
      <c r="D780" s="45">
        <f>MROUND(MID($C780,6,3)/Basis!$E$3,0.5)</f>
        <v>17.5</v>
      </c>
      <c r="E780" s="45">
        <f>MROUND(MID($C780,9,3)/Basis!$E$3,0.5)</f>
        <v>56.5</v>
      </c>
      <c r="F780" s="124" t="s">
        <v>2948</v>
      </c>
      <c r="G780" s="45">
        <f>ROUND((ROUNDDOWN($F780/5,0)*5+3)/Basis!$E$3,1)</f>
        <v>9.1</v>
      </c>
      <c r="H780" s="120">
        <f>ROUND($P780*Basis!$E$2*((TaH-TrH)/LN(1/µ)/Basis!$E$7)^$N780*$AA$4*Glycol,0)</f>
        <v>5824</v>
      </c>
      <c r="I780" s="83">
        <f>ROUND(H780/(MID($C780,9,3)/Basis!$E$3/Basis!$E$9)*Basis!$E$11,0)</f>
        <v>1241</v>
      </c>
      <c r="J780" s="123">
        <f>IF(Basis!$E$1=1,ROUND(H780/((TaH-TrH)*1.163)/3600,3),ROUND(H780/(500*(TaH-TrH)),2))</f>
        <v>0.57999999999999996</v>
      </c>
      <c r="K780" s="84"/>
      <c r="L780" s="177">
        <f>CHOOSE(Basis!$E$1,((AJ780*(J780*3600/Basis!$E$5)^AK780*(((MID(C780,9,3)*10)-144)/1000)*AL780+AM780*(J780*3600/Basis!$E$5)^2)*0.0098)/Basis!$E$10,((AJ780*(J780/Basis!$E$5)^AK780*(((MID(C780,9,3)*10)-144)/1000)*AL780+AM780*(J780/Basis!$E$5)^2)*0.0098)/Basis!$E$10)</f>
        <v>3.8760426835309975E-2</v>
      </c>
      <c r="M780" s="85"/>
      <c r="N780" s="109">
        <v>1.48</v>
      </c>
      <c r="O780" s="68"/>
      <c r="P780" s="67">
        <v>2782</v>
      </c>
      <c r="Q780" s="68"/>
      <c r="R780" s="69"/>
      <c r="S780" s="69"/>
      <c r="T780" s="69"/>
      <c r="U780" s="69"/>
      <c r="V780" s="69"/>
      <c r="W780" s="68"/>
      <c r="X780" s="70"/>
      <c r="Y780" s="70"/>
      <c r="Z780" s="70"/>
      <c r="AA780" s="70"/>
      <c r="AB780" s="70"/>
      <c r="AC780" s="68"/>
      <c r="AD780" s="71"/>
      <c r="AE780" s="71"/>
      <c r="AF780" s="71"/>
      <c r="AG780" s="71"/>
      <c r="AH780" s="71"/>
      <c r="AI780" s="68"/>
      <c r="AJ780" s="214">
        <v>1.2760000000000001E-4</v>
      </c>
      <c r="AK780" s="214">
        <v>1.7219</v>
      </c>
      <c r="AL780" s="214">
        <v>4</v>
      </c>
      <c r="AM780" s="214">
        <v>5.1420100000000005E-4</v>
      </c>
      <c r="AN780" s="68"/>
      <c r="AO780" s="67"/>
      <c r="AP780" s="67"/>
      <c r="AQ780" s="67"/>
      <c r="AR780" s="67"/>
      <c r="AS780" s="67"/>
      <c r="AT780" s="68"/>
      <c r="AU780" s="49"/>
      <c r="AV780" s="50"/>
    </row>
    <row r="781" spans="1:48" ht="12.75" customHeight="1" x14ac:dyDescent="0.25">
      <c r="A781" s="72" t="s">
        <v>20</v>
      </c>
      <c r="B781" s="43" t="s">
        <v>889</v>
      </c>
      <c r="C781" s="44" t="s">
        <v>935</v>
      </c>
      <c r="D781" s="45">
        <f>MROUND(MID($C781,6,3)/Basis!$E$3,0.5)</f>
        <v>17.5</v>
      </c>
      <c r="E781" s="45">
        <f>MROUND(MID($C781,9,3)/Basis!$E$3,0.5)</f>
        <v>64</v>
      </c>
      <c r="F781" s="124" t="s">
        <v>2946</v>
      </c>
      <c r="G781" s="45">
        <f>ROUND((ROUNDDOWN($F781/5,0)*5+3)/Basis!$E$3,1)</f>
        <v>5.0999999999999996</v>
      </c>
      <c r="H781" s="120">
        <f>ROUND($P781*Basis!$E$2*((TaH-TrH)/LN(1/µ)/Basis!$E$7)^$N781*$AA$4*Glycol,0)</f>
        <v>2783</v>
      </c>
      <c r="I781" s="83">
        <f>ROUND(H781/(MID($C781,9,3)/Basis!$E$3/Basis!$E$9)*Basis!$E$11,0)</f>
        <v>520</v>
      </c>
      <c r="J781" s="123">
        <f>IF(Basis!$E$1=1,ROUND(H781/((TaH-TrH)*1.163)/3600,3),ROUND(H781/(500*(TaH-TrH)),2))</f>
        <v>0.28000000000000003</v>
      </c>
      <c r="K781" s="84"/>
      <c r="L781" s="177">
        <f>CHOOSE(Basis!$E$1,((AJ781*(J781*3600/Basis!$E$5)^AK781*(((MID(C781,9,3)*10)-144)/1000)*AL781+AM781*(J781*3600/Basis!$E$5)^2)*0.0098)/Basis!$E$10,((AJ781*(J781/Basis!$E$5)^AK781*(((MID(C781,9,3)*10)-144)/1000)*AL781+AM781*(J781/Basis!$E$5)^2)*0.0098)/Basis!$E$10)</f>
        <v>1.7957315734230386E-2</v>
      </c>
      <c r="M781" s="85"/>
      <c r="N781" s="109">
        <v>1.44</v>
      </c>
      <c r="O781" s="68"/>
      <c r="P781" s="67">
        <v>1312</v>
      </c>
      <c r="Q781" s="68"/>
      <c r="R781" s="69"/>
      <c r="S781" s="69"/>
      <c r="T781" s="69"/>
      <c r="U781" s="69"/>
      <c r="V781" s="69"/>
      <c r="W781" s="68"/>
      <c r="X781" s="70"/>
      <c r="Y781" s="70"/>
      <c r="Z781" s="70"/>
      <c r="AA781" s="70"/>
      <c r="AB781" s="70"/>
      <c r="AC781" s="68"/>
      <c r="AD781" s="71"/>
      <c r="AE781" s="71"/>
      <c r="AF781" s="71"/>
      <c r="AG781" s="71"/>
      <c r="AH781" s="71"/>
      <c r="AI781" s="68"/>
      <c r="AJ781" s="214">
        <v>3.9689999999999994E-4</v>
      </c>
      <c r="AK781" s="214">
        <v>1.7345999999999999</v>
      </c>
      <c r="AL781" s="214">
        <v>4</v>
      </c>
      <c r="AM781" s="214">
        <v>5.7428799999999995E-4</v>
      </c>
      <c r="AN781" s="68"/>
      <c r="AO781" s="67"/>
      <c r="AP781" s="67"/>
      <c r="AQ781" s="67"/>
      <c r="AR781" s="67"/>
      <c r="AS781" s="67"/>
      <c r="AT781" s="68"/>
      <c r="AU781" s="49"/>
      <c r="AV781" s="50"/>
    </row>
    <row r="782" spans="1:48" ht="12.75" customHeight="1" x14ac:dyDescent="0.25">
      <c r="A782" s="72" t="s">
        <v>20</v>
      </c>
      <c r="B782" s="43" t="s">
        <v>889</v>
      </c>
      <c r="C782" s="44" t="s">
        <v>936</v>
      </c>
      <c r="D782" s="45">
        <f>MROUND(MID($C782,6,3)/Basis!$E$3,0.5)</f>
        <v>17.5</v>
      </c>
      <c r="E782" s="45">
        <f>MROUND(MID($C782,9,3)/Basis!$E$3,0.5)</f>
        <v>64</v>
      </c>
      <c r="F782" s="124" t="s">
        <v>2946</v>
      </c>
      <c r="G782" s="45">
        <f>ROUND((ROUNDDOWN($F782/5,0)*5+3)/Basis!$E$3,1)</f>
        <v>5.0999999999999996</v>
      </c>
      <c r="H782" s="120">
        <f>ROUND($P782*Basis!$E$2*((TaH-TrH)/LN(1/µ)/Basis!$E$7)^$N782*$AA$4*Glycol,0)</f>
        <v>2380</v>
      </c>
      <c r="I782" s="83">
        <f>ROUND(H782/(MID($C782,9,3)/Basis!$E$3/Basis!$E$9)*Basis!$E$11,0)</f>
        <v>445</v>
      </c>
      <c r="J782" s="123">
        <f>IF(Basis!$E$1=1,ROUND(H782/((TaH-TrH)*1.163)/3600,3),ROUND(H782/(500*(TaH-TrH)),2))</f>
        <v>0.24</v>
      </c>
      <c r="K782" s="84"/>
      <c r="L782" s="177">
        <f>CHOOSE(Basis!$E$1,((AJ782*(J782*3600/Basis!$E$5)^AK782*(((MID(C782,9,3)*10)-144)/1000)*AL782+AM782*(J782*3600/Basis!$E$5)^2)*0.0098)/Basis!$E$10,((AJ782*(J782/Basis!$E$5)^AK782*(((MID(C782,9,3)*10)-144)/1000)*AL782+AM782*(J782/Basis!$E$5)^2)*0.0098)/Basis!$E$10)</f>
        <v>1.3511077848078399E-2</v>
      </c>
      <c r="M782" s="85"/>
      <c r="N782" s="109">
        <v>1.44</v>
      </c>
      <c r="O782" s="68"/>
      <c r="P782" s="67">
        <v>1122</v>
      </c>
      <c r="Q782" s="68"/>
      <c r="R782" s="69"/>
      <c r="S782" s="69"/>
      <c r="T782" s="69"/>
      <c r="U782" s="69"/>
      <c r="V782" s="69"/>
      <c r="W782" s="68"/>
      <c r="X782" s="70"/>
      <c r="Y782" s="70"/>
      <c r="Z782" s="70"/>
      <c r="AA782" s="70"/>
      <c r="AB782" s="70"/>
      <c r="AC782" s="68"/>
      <c r="AD782" s="71"/>
      <c r="AE782" s="71"/>
      <c r="AF782" s="71"/>
      <c r="AG782" s="71"/>
      <c r="AH782" s="71"/>
      <c r="AI782" s="68"/>
      <c r="AJ782" s="214">
        <v>3.9689999999999994E-4</v>
      </c>
      <c r="AK782" s="214">
        <v>1.7345999999999999</v>
      </c>
      <c r="AL782" s="214">
        <v>4</v>
      </c>
      <c r="AM782" s="214">
        <v>5.7428799999999995E-4</v>
      </c>
      <c r="AN782" s="68"/>
      <c r="AO782" s="67"/>
      <c r="AP782" s="67"/>
      <c r="AQ782" s="67"/>
      <c r="AR782" s="67"/>
      <c r="AS782" s="67"/>
      <c r="AT782" s="68"/>
      <c r="AU782" s="49"/>
      <c r="AV782" s="50"/>
    </row>
    <row r="783" spans="1:48" ht="12.75" customHeight="1" x14ac:dyDescent="0.25">
      <c r="A783" s="72" t="s">
        <v>20</v>
      </c>
      <c r="B783" s="43" t="s">
        <v>889</v>
      </c>
      <c r="C783" s="44" t="s">
        <v>937</v>
      </c>
      <c r="D783" s="45">
        <f>MROUND(MID($C783,6,3)/Basis!$E$3,0.5)</f>
        <v>17.5</v>
      </c>
      <c r="E783" s="45">
        <f>MROUND(MID($C783,9,3)/Basis!$E$3,0.5)</f>
        <v>64</v>
      </c>
      <c r="F783" s="124" t="s">
        <v>2946</v>
      </c>
      <c r="G783" s="45">
        <f>ROUND((ROUNDDOWN($F783/5,0)*5+3)/Basis!$E$3,1)</f>
        <v>5.0999999999999996</v>
      </c>
      <c r="H783" s="120">
        <f>ROUND($P783*Basis!$E$2*((TaH-TrH)/LN(1/µ)/Basis!$E$7)^$N783*$AA$4*Glycol,0)</f>
        <v>3408</v>
      </c>
      <c r="I783" s="83">
        <f>ROUND(H783/(MID($C783,9,3)/Basis!$E$3/Basis!$E$9)*Basis!$E$11,0)</f>
        <v>637</v>
      </c>
      <c r="J783" s="123">
        <f>IF(Basis!$E$1=1,ROUND(H783/((TaH-TrH)*1.163)/3600,3),ROUND(H783/(500*(TaH-TrH)),2))</f>
        <v>0.34</v>
      </c>
      <c r="K783" s="84"/>
      <c r="L783" s="177">
        <f>CHOOSE(Basis!$E$1,((AJ783*(J783*3600/Basis!$E$5)^AK783*(((MID(C783,9,3)*10)-144)/1000)*AL783+AM783*(J783*3600/Basis!$E$5)^2)*0.0098)/Basis!$E$10,((AJ783*(J783/Basis!$E$5)^AK783*(((MID(C783,9,3)*10)-144)/1000)*AL783+AM783*(J783/Basis!$E$5)^2)*0.0098)/Basis!$E$10)</f>
        <v>2.5710444375098743E-2</v>
      </c>
      <c r="M783" s="85"/>
      <c r="N783" s="109">
        <v>1.4390000000000001</v>
      </c>
      <c r="O783" s="68"/>
      <c r="P783" s="67">
        <v>1606</v>
      </c>
      <c r="Q783" s="68"/>
      <c r="R783" s="69"/>
      <c r="S783" s="69"/>
      <c r="T783" s="69"/>
      <c r="U783" s="69"/>
      <c r="V783" s="69"/>
      <c r="W783" s="68"/>
      <c r="X783" s="70"/>
      <c r="Y783" s="70"/>
      <c r="Z783" s="70"/>
      <c r="AA783" s="70"/>
      <c r="AB783" s="70"/>
      <c r="AC783" s="68"/>
      <c r="AD783" s="71"/>
      <c r="AE783" s="71"/>
      <c r="AF783" s="71"/>
      <c r="AG783" s="71"/>
      <c r="AH783" s="71"/>
      <c r="AI783" s="68"/>
      <c r="AJ783" s="214">
        <v>3.9689999999999994E-4</v>
      </c>
      <c r="AK783" s="214">
        <v>1.7345999999999999</v>
      </c>
      <c r="AL783" s="214">
        <v>4</v>
      </c>
      <c r="AM783" s="214">
        <v>5.7428799999999995E-4</v>
      </c>
      <c r="AN783" s="68"/>
      <c r="AO783" s="67"/>
      <c r="AP783" s="67"/>
      <c r="AQ783" s="67"/>
      <c r="AR783" s="67"/>
      <c r="AS783" s="67"/>
      <c r="AT783" s="68"/>
      <c r="AU783" s="49"/>
      <c r="AV783" s="50"/>
    </row>
    <row r="784" spans="1:48" ht="12.75" customHeight="1" x14ac:dyDescent="0.25">
      <c r="A784" s="72" t="s">
        <v>20</v>
      </c>
      <c r="B784" s="43" t="s">
        <v>889</v>
      </c>
      <c r="C784" s="44" t="s">
        <v>938</v>
      </c>
      <c r="D784" s="45">
        <f>MROUND(MID($C784,6,3)/Basis!$E$3,0.5)</f>
        <v>17.5</v>
      </c>
      <c r="E784" s="45">
        <f>MROUND(MID($C784,9,3)/Basis!$E$3,0.5)</f>
        <v>64</v>
      </c>
      <c r="F784" s="124" t="s">
        <v>2947</v>
      </c>
      <c r="G784" s="45">
        <f>ROUND((ROUNDDOWN($F784/5,0)*5+3)/Basis!$E$3,1)</f>
        <v>7.1</v>
      </c>
      <c r="H784" s="120">
        <f>ROUND($P784*Basis!$E$2*((TaH-TrH)/LN(1/µ)/Basis!$E$7)^$N784*$AA$4*Glycol,0)</f>
        <v>3969</v>
      </c>
      <c r="I784" s="83">
        <f>ROUND(H784/(MID($C784,9,3)/Basis!$E$3/Basis!$E$9)*Basis!$E$11,0)</f>
        <v>742</v>
      </c>
      <c r="J784" s="123">
        <f>IF(Basis!$E$1=1,ROUND(H784/((TaH-TrH)*1.163)/3600,3),ROUND(H784/(500*(TaH-TrH)),2))</f>
        <v>0.4</v>
      </c>
      <c r="K784" s="84"/>
      <c r="L784" s="177">
        <f>CHOOSE(Basis!$E$1,((AJ784*(J784*3600/Basis!$E$5)^AK784*(((MID(C784,9,3)*10)-144)/1000)*AL784+AM784*(J784*3600/Basis!$E$5)^2)*0.0098)/Basis!$E$10,((AJ784*(J784/Basis!$E$5)^AK784*(((MID(C784,9,3)*10)-144)/1000)*AL784+AM784*(J784/Basis!$E$5)^2)*0.0098)/Basis!$E$10)</f>
        <v>4.7213368830477671E-2</v>
      </c>
      <c r="M784" s="85"/>
      <c r="N784" s="109">
        <v>1.4550000000000001</v>
      </c>
      <c r="O784" s="68"/>
      <c r="P784" s="67">
        <v>1880</v>
      </c>
      <c r="Q784" s="68"/>
      <c r="R784" s="69"/>
      <c r="S784" s="69"/>
      <c r="T784" s="69"/>
      <c r="U784" s="69"/>
      <c r="V784" s="69"/>
      <c r="W784" s="68"/>
      <c r="X784" s="70"/>
      <c r="Y784" s="70"/>
      <c r="Z784" s="70"/>
      <c r="AA784" s="70"/>
      <c r="AB784" s="70"/>
      <c r="AC784" s="68"/>
      <c r="AD784" s="71"/>
      <c r="AE784" s="71"/>
      <c r="AF784" s="71"/>
      <c r="AG784" s="71"/>
      <c r="AH784" s="71"/>
      <c r="AI784" s="68"/>
      <c r="AJ784" s="214">
        <v>2.0829999999999999E-4</v>
      </c>
      <c r="AK784" s="214">
        <v>1.724</v>
      </c>
      <c r="AL784" s="214">
        <v>4</v>
      </c>
      <c r="AM784" s="214">
        <v>1.392796E-3</v>
      </c>
      <c r="AN784" s="68"/>
      <c r="AO784" s="67"/>
      <c r="AP784" s="67"/>
      <c r="AQ784" s="67"/>
      <c r="AR784" s="67"/>
      <c r="AS784" s="67"/>
      <c r="AT784" s="68"/>
      <c r="AU784" s="49"/>
      <c r="AV784" s="50"/>
    </row>
    <row r="785" spans="1:48" ht="12.75" customHeight="1" x14ac:dyDescent="0.25">
      <c r="A785" s="72" t="s">
        <v>20</v>
      </c>
      <c r="B785" s="43" t="s">
        <v>889</v>
      </c>
      <c r="C785" s="44" t="s">
        <v>939</v>
      </c>
      <c r="D785" s="45">
        <f>MROUND(MID($C785,6,3)/Basis!$E$3,0.5)</f>
        <v>17.5</v>
      </c>
      <c r="E785" s="45">
        <f>MROUND(MID($C785,9,3)/Basis!$E$3,0.5)</f>
        <v>64</v>
      </c>
      <c r="F785" s="124" t="s">
        <v>2947</v>
      </c>
      <c r="G785" s="45">
        <f>ROUND((ROUNDDOWN($F785/5,0)*5+3)/Basis!$E$3,1)</f>
        <v>7.1</v>
      </c>
      <c r="H785" s="120">
        <f>ROUND($P785*Basis!$E$2*((TaH-TrH)/LN(1/µ)/Basis!$E$7)^$N785*$AA$4*Glycol,0)</f>
        <v>3523</v>
      </c>
      <c r="I785" s="83">
        <f>ROUND(H785/(MID($C785,9,3)/Basis!$E$3/Basis!$E$9)*Basis!$E$11,0)</f>
        <v>659</v>
      </c>
      <c r="J785" s="123">
        <f>IF(Basis!$E$1=1,ROUND(H785/((TaH-TrH)*1.163)/3600,3),ROUND(H785/(500*(TaH-TrH)),2))</f>
        <v>0.35</v>
      </c>
      <c r="K785" s="84"/>
      <c r="L785" s="177">
        <f>CHOOSE(Basis!$E$1,((AJ785*(J785*3600/Basis!$E$5)^AK785*(((MID(C785,9,3)*10)-144)/1000)*AL785+AM785*(J785*3600/Basis!$E$5)^2)*0.0098)/Basis!$E$10,((AJ785*(J785/Basis!$E$5)^AK785*(((MID(C785,9,3)*10)-144)/1000)*AL785+AM785*(J785/Basis!$E$5)^2)*0.0098)/Basis!$E$10)</f>
        <v>3.6424409367584287E-2</v>
      </c>
      <c r="M785" s="85"/>
      <c r="N785" s="109">
        <v>1.4570000000000001</v>
      </c>
      <c r="O785" s="68"/>
      <c r="P785" s="67">
        <v>1670</v>
      </c>
      <c r="Q785" s="68"/>
      <c r="R785" s="69"/>
      <c r="S785" s="69"/>
      <c r="T785" s="69"/>
      <c r="U785" s="69"/>
      <c r="V785" s="69"/>
      <c r="W785" s="68"/>
      <c r="X785" s="70"/>
      <c r="Y785" s="70"/>
      <c r="Z785" s="70"/>
      <c r="AA785" s="70"/>
      <c r="AB785" s="70"/>
      <c r="AC785" s="68"/>
      <c r="AD785" s="71"/>
      <c r="AE785" s="71"/>
      <c r="AF785" s="71"/>
      <c r="AG785" s="71"/>
      <c r="AH785" s="71"/>
      <c r="AI785" s="68"/>
      <c r="AJ785" s="214">
        <v>2.0829999999999999E-4</v>
      </c>
      <c r="AK785" s="214">
        <v>1.724</v>
      </c>
      <c r="AL785" s="214">
        <v>4</v>
      </c>
      <c r="AM785" s="214">
        <v>1.392796E-3</v>
      </c>
      <c r="AN785" s="68"/>
      <c r="AO785" s="67"/>
      <c r="AP785" s="67"/>
      <c r="AQ785" s="67"/>
      <c r="AR785" s="67"/>
      <c r="AS785" s="67"/>
      <c r="AT785" s="68"/>
      <c r="AU785" s="49"/>
      <c r="AV785" s="50"/>
    </row>
    <row r="786" spans="1:48" ht="12.75" customHeight="1" x14ac:dyDescent="0.25">
      <c r="A786" s="72" t="s">
        <v>20</v>
      </c>
      <c r="B786" s="43" t="s">
        <v>889</v>
      </c>
      <c r="C786" s="44" t="s">
        <v>940</v>
      </c>
      <c r="D786" s="45">
        <f>MROUND(MID($C786,6,3)/Basis!$E$3,0.5)</f>
        <v>17.5</v>
      </c>
      <c r="E786" s="45">
        <f>MROUND(MID($C786,9,3)/Basis!$E$3,0.5)</f>
        <v>64</v>
      </c>
      <c r="F786" s="124" t="s">
        <v>2947</v>
      </c>
      <c r="G786" s="45">
        <f>ROUND((ROUNDDOWN($F786/5,0)*5+3)/Basis!$E$3,1)</f>
        <v>7.1</v>
      </c>
      <c r="H786" s="120">
        <f>ROUND($P786*Basis!$E$2*((TaH-TrH)/LN(1/µ)/Basis!$E$7)^$N786*$AA$4*Glycol,0)</f>
        <v>5082</v>
      </c>
      <c r="I786" s="83">
        <f>ROUND(H786/(MID($C786,9,3)/Basis!$E$3/Basis!$E$9)*Basis!$E$11,0)</f>
        <v>950</v>
      </c>
      <c r="J786" s="123">
        <f>IF(Basis!$E$1=1,ROUND(H786/((TaH-TrH)*1.163)/3600,3),ROUND(H786/(500*(TaH-TrH)),2))</f>
        <v>0.51</v>
      </c>
      <c r="K786" s="84"/>
      <c r="L786" s="177">
        <f>CHOOSE(Basis!$E$1,((AJ786*(J786*3600/Basis!$E$5)^AK786*(((MID(C786,9,3)*10)-144)/1000)*AL786+AM786*(J786*3600/Basis!$E$5)^2)*0.0098)/Basis!$E$10,((AJ786*(J786/Basis!$E$5)^AK786*(((MID(C786,9,3)*10)-144)/1000)*AL786+AM786*(J786/Basis!$E$5)^2)*0.0098)/Basis!$E$10)</f>
        <v>7.5736404413728142E-2</v>
      </c>
      <c r="M786" s="85"/>
      <c r="N786" s="109">
        <v>1.462</v>
      </c>
      <c r="O786" s="68"/>
      <c r="P786" s="67">
        <v>2413</v>
      </c>
      <c r="Q786" s="68"/>
      <c r="R786" s="69"/>
      <c r="S786" s="69"/>
      <c r="T786" s="69"/>
      <c r="U786" s="69"/>
      <c r="V786" s="69"/>
      <c r="W786" s="68"/>
      <c r="X786" s="70"/>
      <c r="Y786" s="70"/>
      <c r="Z786" s="70"/>
      <c r="AA786" s="70"/>
      <c r="AB786" s="70"/>
      <c r="AC786" s="68"/>
      <c r="AD786" s="71"/>
      <c r="AE786" s="71"/>
      <c r="AF786" s="71"/>
      <c r="AG786" s="71"/>
      <c r="AH786" s="71"/>
      <c r="AI786" s="68"/>
      <c r="AJ786" s="214">
        <v>2.0829999999999999E-4</v>
      </c>
      <c r="AK786" s="214">
        <v>1.724</v>
      </c>
      <c r="AL786" s="214">
        <v>4</v>
      </c>
      <c r="AM786" s="214">
        <v>1.392796E-3</v>
      </c>
      <c r="AN786" s="68"/>
      <c r="AO786" s="67"/>
      <c r="AP786" s="67"/>
      <c r="AQ786" s="67"/>
      <c r="AR786" s="67"/>
      <c r="AS786" s="67"/>
      <c r="AT786" s="68"/>
      <c r="AU786" s="49"/>
      <c r="AV786" s="50"/>
    </row>
    <row r="787" spans="1:48" ht="12.75" customHeight="1" x14ac:dyDescent="0.25">
      <c r="A787" s="72" t="s">
        <v>20</v>
      </c>
      <c r="B787" s="43" t="s">
        <v>889</v>
      </c>
      <c r="C787" s="44" t="s">
        <v>941</v>
      </c>
      <c r="D787" s="45">
        <f>MROUND(MID($C787,6,3)/Basis!$E$3,0.5)</f>
        <v>17.5</v>
      </c>
      <c r="E787" s="45">
        <f>MROUND(MID($C787,9,3)/Basis!$E$3,0.5)</f>
        <v>64</v>
      </c>
      <c r="F787" s="124" t="s">
        <v>2948</v>
      </c>
      <c r="G787" s="45">
        <f>ROUND((ROUNDDOWN($F787/5,0)*5+3)/Basis!$E$3,1)</f>
        <v>9.1</v>
      </c>
      <c r="H787" s="120">
        <f>ROUND($P787*Basis!$E$2*((TaH-TrH)/LN(1/µ)/Basis!$E$7)^$N787*$AA$4*Glycol,0)</f>
        <v>5101</v>
      </c>
      <c r="I787" s="83">
        <f>ROUND(H787/(MID($C787,9,3)/Basis!$E$3/Basis!$E$9)*Basis!$E$11,0)</f>
        <v>954</v>
      </c>
      <c r="J787" s="123">
        <f>IF(Basis!$E$1=1,ROUND(H787/((TaH-TrH)*1.163)/3600,3),ROUND(H787/(500*(TaH-TrH)),2))</f>
        <v>0.51</v>
      </c>
      <c r="K787" s="84"/>
      <c r="L787" s="177">
        <f>CHOOSE(Basis!$E$1,((AJ787*(J787*3600/Basis!$E$5)^AK787*(((MID(C787,9,3)*10)-144)/1000)*AL787+AM787*(J787*3600/Basis!$E$5)^2)*0.0098)/Basis!$E$10,((AJ787*(J787/Basis!$E$5)^AK787*(((MID(C787,9,3)*10)-144)/1000)*AL787+AM787*(J787/Basis!$E$5)^2)*0.0098)/Basis!$E$10)</f>
        <v>3.143336164590764E-2</v>
      </c>
      <c r="M787" s="85"/>
      <c r="N787" s="109">
        <v>1.4670000000000001</v>
      </c>
      <c r="O787" s="68"/>
      <c r="P787" s="67">
        <v>2426</v>
      </c>
      <c r="Q787" s="68"/>
      <c r="R787" s="69"/>
      <c r="S787" s="69"/>
      <c r="T787" s="69"/>
      <c r="U787" s="69"/>
      <c r="V787" s="69"/>
      <c r="W787" s="68"/>
      <c r="X787" s="70"/>
      <c r="Y787" s="70"/>
      <c r="Z787" s="70"/>
      <c r="AA787" s="70"/>
      <c r="AB787" s="70"/>
      <c r="AC787" s="68"/>
      <c r="AD787" s="71"/>
      <c r="AE787" s="71"/>
      <c r="AF787" s="71"/>
      <c r="AG787" s="71"/>
      <c r="AH787" s="71"/>
      <c r="AI787" s="68"/>
      <c r="AJ787" s="214">
        <v>1.2760000000000001E-4</v>
      </c>
      <c r="AK787" s="214">
        <v>1.7219</v>
      </c>
      <c r="AL787" s="214">
        <v>4</v>
      </c>
      <c r="AM787" s="214">
        <v>5.1420100000000005E-4</v>
      </c>
      <c r="AN787" s="68"/>
      <c r="AO787" s="67"/>
      <c r="AP787" s="67"/>
      <c r="AQ787" s="67"/>
      <c r="AR787" s="67"/>
      <c r="AS787" s="67"/>
      <c r="AT787" s="68"/>
      <c r="AU787" s="49"/>
      <c r="AV787" s="50"/>
    </row>
    <row r="788" spans="1:48" ht="12.75" customHeight="1" x14ac:dyDescent="0.25">
      <c r="A788" s="72" t="s">
        <v>20</v>
      </c>
      <c r="B788" s="43" t="s">
        <v>889</v>
      </c>
      <c r="C788" s="44" t="s">
        <v>942</v>
      </c>
      <c r="D788" s="45">
        <f>MROUND(MID($C788,6,3)/Basis!$E$3,0.5)</f>
        <v>17.5</v>
      </c>
      <c r="E788" s="45">
        <f>MROUND(MID($C788,9,3)/Basis!$E$3,0.5)</f>
        <v>64</v>
      </c>
      <c r="F788" s="124" t="s">
        <v>2948</v>
      </c>
      <c r="G788" s="45">
        <f>ROUND((ROUNDDOWN($F788/5,0)*5+3)/Basis!$E$3,1)</f>
        <v>9.1</v>
      </c>
      <c r="H788" s="120">
        <f>ROUND($P788*Basis!$E$2*((TaH-TrH)/LN(1/µ)/Basis!$E$7)^$N788*$AA$4*Glycol,0)</f>
        <v>4375</v>
      </c>
      <c r="I788" s="83">
        <f>ROUND(H788/(MID($C788,9,3)/Basis!$E$3/Basis!$E$9)*Basis!$E$11,0)</f>
        <v>818</v>
      </c>
      <c r="J788" s="123">
        <f>IF(Basis!$E$1=1,ROUND(H788/((TaH-TrH)*1.163)/3600,3),ROUND(H788/(500*(TaH-TrH)),2))</f>
        <v>0.44</v>
      </c>
      <c r="K788" s="84"/>
      <c r="L788" s="177">
        <f>CHOOSE(Basis!$E$1,((AJ788*(J788*3600/Basis!$E$5)^AK788*(((MID(C788,9,3)*10)-144)/1000)*AL788+AM788*(J788*3600/Basis!$E$5)^2)*0.0098)/Basis!$E$10,((AJ788*(J788/Basis!$E$5)^AK788*(((MID(C788,9,3)*10)-144)/1000)*AL788+AM788*(J788/Basis!$E$5)^2)*0.0098)/Basis!$E$10)</f>
        <v>2.3673627899549986E-2</v>
      </c>
      <c r="M788" s="85"/>
      <c r="N788" s="109">
        <v>1.472</v>
      </c>
      <c r="O788" s="68"/>
      <c r="P788" s="67">
        <v>2084</v>
      </c>
      <c r="Q788" s="68"/>
      <c r="R788" s="69"/>
      <c r="S788" s="69"/>
      <c r="T788" s="69"/>
      <c r="U788" s="69"/>
      <c r="V788" s="69"/>
      <c r="W788" s="68"/>
      <c r="X788" s="70"/>
      <c r="Y788" s="70"/>
      <c r="Z788" s="70"/>
      <c r="AA788" s="70"/>
      <c r="AB788" s="70"/>
      <c r="AC788" s="68"/>
      <c r="AD788" s="71"/>
      <c r="AE788" s="71"/>
      <c r="AF788" s="71"/>
      <c r="AG788" s="71"/>
      <c r="AH788" s="71"/>
      <c r="AI788" s="68"/>
      <c r="AJ788" s="214">
        <v>1.2760000000000001E-4</v>
      </c>
      <c r="AK788" s="214">
        <v>1.7219</v>
      </c>
      <c r="AL788" s="214">
        <v>4</v>
      </c>
      <c r="AM788" s="214">
        <v>5.1420100000000005E-4</v>
      </c>
      <c r="AN788" s="68"/>
      <c r="AO788" s="67"/>
      <c r="AP788" s="67"/>
      <c r="AQ788" s="67"/>
      <c r="AR788" s="67"/>
      <c r="AS788" s="67"/>
      <c r="AT788" s="68"/>
      <c r="AU788" s="49"/>
      <c r="AV788" s="50"/>
    </row>
    <row r="789" spans="1:48" ht="12.75" customHeight="1" x14ac:dyDescent="0.25">
      <c r="A789" s="72" t="s">
        <v>20</v>
      </c>
      <c r="B789" s="43" t="s">
        <v>889</v>
      </c>
      <c r="C789" s="44" t="s">
        <v>943</v>
      </c>
      <c r="D789" s="45">
        <f>MROUND(MID($C789,6,3)/Basis!$E$3,0.5)</f>
        <v>17.5</v>
      </c>
      <c r="E789" s="45">
        <f>MROUND(MID($C789,9,3)/Basis!$E$3,0.5)</f>
        <v>64</v>
      </c>
      <c r="F789" s="124" t="s">
        <v>2948</v>
      </c>
      <c r="G789" s="45">
        <f>ROUND((ROUNDDOWN($F789/5,0)*5+3)/Basis!$E$3,1)</f>
        <v>9.1</v>
      </c>
      <c r="H789" s="120">
        <f>ROUND($P789*Basis!$E$2*((TaH-TrH)/LN(1/µ)/Basis!$E$7)^$N789*$AA$4*Glycol,0)</f>
        <v>6777</v>
      </c>
      <c r="I789" s="83">
        <f>ROUND(H789/(MID($C789,9,3)/Basis!$E$3/Basis!$E$9)*Basis!$E$11,0)</f>
        <v>1267</v>
      </c>
      <c r="J789" s="123">
        <f>IF(Basis!$E$1=1,ROUND(H789/((TaH-TrH)*1.163)/3600,3),ROUND(H789/(500*(TaH-TrH)),2))</f>
        <v>0.68</v>
      </c>
      <c r="K789" s="84"/>
      <c r="L789" s="177">
        <f>CHOOSE(Basis!$E$1,((AJ789*(J789*3600/Basis!$E$5)^AK789*(((MID(C789,9,3)*10)-144)/1000)*AL789+AM789*(J789*3600/Basis!$E$5)^2)*0.0098)/Basis!$E$10,((AJ789*(J789/Basis!$E$5)^AK789*(((MID(C789,9,3)*10)-144)/1000)*AL789+AM789*(J789/Basis!$E$5)^2)*0.0098)/Basis!$E$10)</f>
        <v>5.4668440827389107E-2</v>
      </c>
      <c r="M789" s="85"/>
      <c r="N789" s="109">
        <v>1.48</v>
      </c>
      <c r="O789" s="68"/>
      <c r="P789" s="67">
        <v>3237</v>
      </c>
      <c r="Q789" s="68"/>
      <c r="R789" s="69"/>
      <c r="S789" s="69"/>
      <c r="T789" s="69"/>
      <c r="U789" s="69"/>
      <c r="V789" s="69"/>
      <c r="W789" s="68"/>
      <c r="X789" s="70"/>
      <c r="Y789" s="70"/>
      <c r="Z789" s="70"/>
      <c r="AA789" s="70"/>
      <c r="AB789" s="70"/>
      <c r="AC789" s="68"/>
      <c r="AD789" s="71"/>
      <c r="AE789" s="71"/>
      <c r="AF789" s="71"/>
      <c r="AG789" s="71"/>
      <c r="AH789" s="71"/>
      <c r="AI789" s="68"/>
      <c r="AJ789" s="214">
        <v>1.2760000000000001E-4</v>
      </c>
      <c r="AK789" s="214">
        <v>1.7219</v>
      </c>
      <c r="AL789" s="214">
        <v>4</v>
      </c>
      <c r="AM789" s="214">
        <v>5.1420100000000005E-4</v>
      </c>
      <c r="AN789" s="68"/>
      <c r="AO789" s="67"/>
      <c r="AP789" s="67"/>
      <c r="AQ789" s="67"/>
      <c r="AR789" s="67"/>
      <c r="AS789" s="67"/>
      <c r="AT789" s="68"/>
      <c r="AU789" s="49"/>
      <c r="AV789" s="50"/>
    </row>
    <row r="790" spans="1:48" ht="12.75" customHeight="1" x14ac:dyDescent="0.25">
      <c r="A790" s="72" t="s">
        <v>20</v>
      </c>
      <c r="B790" s="43" t="s">
        <v>889</v>
      </c>
      <c r="C790" s="44" t="s">
        <v>944</v>
      </c>
      <c r="D790" s="45">
        <f>MROUND(MID($C790,6,3)/Basis!$E$3,0.5)</f>
        <v>17.5</v>
      </c>
      <c r="E790" s="45">
        <f>MROUND(MID($C790,9,3)/Basis!$E$3,0.5)</f>
        <v>72</v>
      </c>
      <c r="F790" s="124" t="s">
        <v>2946</v>
      </c>
      <c r="G790" s="45">
        <f>ROUND((ROUNDDOWN($F790/5,0)*5+3)/Basis!$E$3,1)</f>
        <v>5.0999999999999996</v>
      </c>
      <c r="H790" s="120">
        <f>ROUND($P790*Basis!$E$2*((TaH-TrH)/LN(1/µ)/Basis!$E$7)^$N790*$AA$4*Glycol,0)</f>
        <v>3174</v>
      </c>
      <c r="I790" s="83">
        <f>ROUND(H790/(MID($C790,9,3)/Basis!$E$3/Basis!$E$9)*Basis!$E$11,0)</f>
        <v>529</v>
      </c>
      <c r="J790" s="123">
        <f>IF(Basis!$E$1=1,ROUND(H790/((TaH-TrH)*1.163)/3600,3),ROUND(H790/(500*(TaH-TrH)),2))</f>
        <v>0.32</v>
      </c>
      <c r="K790" s="84"/>
      <c r="L790" s="177">
        <f>CHOOSE(Basis!$E$1,((AJ790*(J790*3600/Basis!$E$5)^AK790*(((MID(C790,9,3)*10)-144)/1000)*AL790+AM790*(J790*3600/Basis!$E$5)^2)*0.0098)/Basis!$E$10,((AJ790*(J790/Basis!$E$5)^AK790*(((MID(C790,9,3)*10)-144)/1000)*AL790+AM790*(J790/Basis!$E$5)^2)*0.0098)/Basis!$E$10)</f>
        <v>2.4741467772690158E-2</v>
      </c>
      <c r="M790" s="85"/>
      <c r="N790" s="109">
        <v>1.44</v>
      </c>
      <c r="O790" s="68"/>
      <c r="P790" s="67">
        <v>1496</v>
      </c>
      <c r="Q790" s="68"/>
      <c r="R790" s="69"/>
      <c r="S790" s="69"/>
      <c r="T790" s="69"/>
      <c r="U790" s="69"/>
      <c r="V790" s="69"/>
      <c r="W790" s="68"/>
      <c r="X790" s="70"/>
      <c r="Y790" s="70"/>
      <c r="Z790" s="70"/>
      <c r="AA790" s="70"/>
      <c r="AB790" s="70"/>
      <c r="AC790" s="68"/>
      <c r="AD790" s="71"/>
      <c r="AE790" s="71"/>
      <c r="AF790" s="71"/>
      <c r="AG790" s="71"/>
      <c r="AH790" s="71"/>
      <c r="AI790" s="68"/>
      <c r="AJ790" s="214">
        <v>3.9689999999999994E-4</v>
      </c>
      <c r="AK790" s="214">
        <v>1.7345999999999999</v>
      </c>
      <c r="AL790" s="214">
        <v>4</v>
      </c>
      <c r="AM790" s="214">
        <v>5.7428799999999995E-4</v>
      </c>
      <c r="AN790" s="68"/>
      <c r="AO790" s="67"/>
      <c r="AP790" s="67"/>
      <c r="AQ790" s="67"/>
      <c r="AR790" s="67"/>
      <c r="AS790" s="67"/>
      <c r="AT790" s="68"/>
      <c r="AU790" s="49"/>
      <c r="AV790" s="50"/>
    </row>
    <row r="791" spans="1:48" ht="12.75" customHeight="1" x14ac:dyDescent="0.25">
      <c r="A791" s="72" t="s">
        <v>20</v>
      </c>
      <c r="B791" s="43" t="s">
        <v>889</v>
      </c>
      <c r="C791" s="44" t="s">
        <v>945</v>
      </c>
      <c r="D791" s="45">
        <f>MROUND(MID($C791,6,3)/Basis!$E$3,0.5)</f>
        <v>17.5</v>
      </c>
      <c r="E791" s="45">
        <f>MROUND(MID($C791,9,3)/Basis!$E$3,0.5)</f>
        <v>72</v>
      </c>
      <c r="F791" s="124" t="s">
        <v>2946</v>
      </c>
      <c r="G791" s="45">
        <f>ROUND((ROUNDDOWN($F791/5,0)*5+3)/Basis!$E$3,1)</f>
        <v>5.0999999999999996</v>
      </c>
      <c r="H791" s="120">
        <f>ROUND($P791*Basis!$E$2*((TaH-TrH)/LN(1/µ)/Basis!$E$7)^$N791*$AA$4*Glycol,0)</f>
        <v>2713</v>
      </c>
      <c r="I791" s="83">
        <f>ROUND(H791/(MID($C791,9,3)/Basis!$E$3/Basis!$E$9)*Basis!$E$11,0)</f>
        <v>452</v>
      </c>
      <c r="J791" s="123">
        <f>IF(Basis!$E$1=1,ROUND(H791/((TaH-TrH)*1.163)/3600,3),ROUND(H791/(500*(TaH-TrH)),2))</f>
        <v>0.27</v>
      </c>
      <c r="K791" s="84"/>
      <c r="L791" s="177">
        <f>CHOOSE(Basis!$E$1,((AJ791*(J791*3600/Basis!$E$5)^AK791*(((MID(C791,9,3)*10)-144)/1000)*AL791+AM791*(J791*3600/Basis!$E$5)^2)*0.0098)/Basis!$E$10,((AJ791*(J791/Basis!$E$5)^AK791*(((MID(C791,9,3)*10)-144)/1000)*AL791+AM791*(J791/Basis!$E$5)^2)*0.0098)/Basis!$E$10)</f>
        <v>1.8100506628152498E-2</v>
      </c>
      <c r="M791" s="85"/>
      <c r="N791" s="109">
        <v>1.44</v>
      </c>
      <c r="O791" s="68"/>
      <c r="P791" s="67">
        <v>1279</v>
      </c>
      <c r="Q791" s="68"/>
      <c r="R791" s="69"/>
      <c r="S791" s="69"/>
      <c r="T791" s="69"/>
      <c r="U791" s="69"/>
      <c r="V791" s="69"/>
      <c r="W791" s="68"/>
      <c r="X791" s="70"/>
      <c r="Y791" s="70"/>
      <c r="Z791" s="70"/>
      <c r="AA791" s="70"/>
      <c r="AB791" s="70"/>
      <c r="AC791" s="68"/>
      <c r="AD791" s="71"/>
      <c r="AE791" s="71"/>
      <c r="AF791" s="71"/>
      <c r="AG791" s="71"/>
      <c r="AH791" s="71"/>
      <c r="AI791" s="68"/>
      <c r="AJ791" s="214">
        <v>3.9689999999999994E-4</v>
      </c>
      <c r="AK791" s="214">
        <v>1.7345999999999999</v>
      </c>
      <c r="AL791" s="214">
        <v>4</v>
      </c>
      <c r="AM791" s="214">
        <v>5.7428799999999995E-4</v>
      </c>
      <c r="AN791" s="68"/>
      <c r="AO791" s="67"/>
      <c r="AP791" s="67"/>
      <c r="AQ791" s="67"/>
      <c r="AR791" s="67"/>
      <c r="AS791" s="67"/>
      <c r="AT791" s="68"/>
      <c r="AU791" s="49"/>
      <c r="AV791" s="50"/>
    </row>
    <row r="792" spans="1:48" ht="12.75" customHeight="1" x14ac:dyDescent="0.25">
      <c r="A792" s="72" t="s">
        <v>20</v>
      </c>
      <c r="B792" s="43" t="s">
        <v>889</v>
      </c>
      <c r="C792" s="44" t="s">
        <v>946</v>
      </c>
      <c r="D792" s="45">
        <f>MROUND(MID($C792,6,3)/Basis!$E$3,0.5)</f>
        <v>17.5</v>
      </c>
      <c r="E792" s="45">
        <f>MROUND(MID($C792,9,3)/Basis!$E$3,0.5)</f>
        <v>72</v>
      </c>
      <c r="F792" s="124" t="s">
        <v>2946</v>
      </c>
      <c r="G792" s="45">
        <f>ROUND((ROUNDDOWN($F792/5,0)*5+3)/Basis!$E$3,1)</f>
        <v>5.0999999999999996</v>
      </c>
      <c r="H792" s="120">
        <f>ROUND($P792*Basis!$E$2*((TaH-TrH)/LN(1/µ)/Basis!$E$7)^$N792*$AA$4*Glycol,0)</f>
        <v>3888</v>
      </c>
      <c r="I792" s="83">
        <f>ROUND(H792/(MID($C792,9,3)/Basis!$E$3/Basis!$E$9)*Basis!$E$11,0)</f>
        <v>648</v>
      </c>
      <c r="J792" s="123">
        <f>IF(Basis!$E$1=1,ROUND(H792/((TaH-TrH)*1.163)/3600,3),ROUND(H792/(500*(TaH-TrH)),2))</f>
        <v>0.39</v>
      </c>
      <c r="K792" s="84"/>
      <c r="L792" s="177">
        <f>CHOOSE(Basis!$E$1,((AJ792*(J792*3600/Basis!$E$5)^AK792*(((MID(C792,9,3)*10)-144)/1000)*AL792+AM792*(J792*3600/Basis!$E$5)^2)*0.0098)/Basis!$E$10,((AJ792*(J792/Basis!$E$5)^AK792*(((MID(C792,9,3)*10)-144)/1000)*AL792+AM792*(J792/Basis!$E$5)^2)*0.0098)/Basis!$E$10)</f>
        <v>3.5623663022890543E-2</v>
      </c>
      <c r="M792" s="85"/>
      <c r="N792" s="109">
        <v>1.4390000000000001</v>
      </c>
      <c r="O792" s="68"/>
      <c r="P792" s="67">
        <v>1832</v>
      </c>
      <c r="Q792" s="68"/>
      <c r="R792" s="69"/>
      <c r="S792" s="69"/>
      <c r="T792" s="69"/>
      <c r="U792" s="69"/>
      <c r="V792" s="69"/>
      <c r="W792" s="68"/>
      <c r="X792" s="70"/>
      <c r="Y792" s="70"/>
      <c r="Z792" s="70"/>
      <c r="AA792" s="70"/>
      <c r="AB792" s="70"/>
      <c r="AC792" s="68"/>
      <c r="AD792" s="71"/>
      <c r="AE792" s="71"/>
      <c r="AF792" s="71"/>
      <c r="AG792" s="71"/>
      <c r="AH792" s="71"/>
      <c r="AI792" s="68"/>
      <c r="AJ792" s="214">
        <v>3.9689999999999994E-4</v>
      </c>
      <c r="AK792" s="214">
        <v>1.7345999999999999</v>
      </c>
      <c r="AL792" s="214">
        <v>4</v>
      </c>
      <c r="AM792" s="214">
        <v>5.7428799999999995E-4</v>
      </c>
      <c r="AN792" s="68"/>
      <c r="AO792" s="67"/>
      <c r="AP792" s="67"/>
      <c r="AQ792" s="67"/>
      <c r="AR792" s="67"/>
      <c r="AS792" s="67"/>
      <c r="AT792" s="68"/>
      <c r="AU792" s="49"/>
      <c r="AV792" s="50"/>
    </row>
    <row r="793" spans="1:48" ht="12.75" customHeight="1" x14ac:dyDescent="0.25">
      <c r="A793" s="72" t="s">
        <v>20</v>
      </c>
      <c r="B793" s="43" t="s">
        <v>889</v>
      </c>
      <c r="C793" s="44" t="s">
        <v>947</v>
      </c>
      <c r="D793" s="45">
        <f>MROUND(MID($C793,6,3)/Basis!$E$3,0.5)</f>
        <v>17.5</v>
      </c>
      <c r="E793" s="45">
        <f>MROUND(MID($C793,9,3)/Basis!$E$3,0.5)</f>
        <v>72</v>
      </c>
      <c r="F793" s="124" t="s">
        <v>2947</v>
      </c>
      <c r="G793" s="45">
        <f>ROUND((ROUNDDOWN($F793/5,0)*5+3)/Basis!$E$3,1)</f>
        <v>7.1</v>
      </c>
      <c r="H793" s="120">
        <f>ROUND($P793*Basis!$E$2*((TaH-TrH)/LN(1/µ)/Basis!$E$7)^$N793*$AA$4*Glycol,0)</f>
        <v>4526</v>
      </c>
      <c r="I793" s="83">
        <f>ROUND(H793/(MID($C793,9,3)/Basis!$E$3/Basis!$E$9)*Basis!$E$11,0)</f>
        <v>754</v>
      </c>
      <c r="J793" s="123">
        <f>IF(Basis!$E$1=1,ROUND(H793/((TaH-TrH)*1.163)/3600,3),ROUND(H793/(500*(TaH-TrH)),2))</f>
        <v>0.45</v>
      </c>
      <c r="K793" s="84"/>
      <c r="L793" s="177">
        <f>CHOOSE(Basis!$E$1,((AJ793*(J793*3600/Basis!$E$5)^AK793*(((MID(C793,9,3)*10)-144)/1000)*AL793+AM793*(J793*3600/Basis!$E$5)^2)*0.0098)/Basis!$E$10,((AJ793*(J793/Basis!$E$5)^AK793*(((MID(C793,9,3)*10)-144)/1000)*AL793+AM793*(J793/Basis!$E$5)^2)*0.0098)/Basis!$E$10)</f>
        <v>6.0951951822779724E-2</v>
      </c>
      <c r="M793" s="85"/>
      <c r="N793" s="109">
        <v>1.4550000000000001</v>
      </c>
      <c r="O793" s="68"/>
      <c r="P793" s="67">
        <v>2144</v>
      </c>
      <c r="Q793" s="68"/>
      <c r="R793" s="69"/>
      <c r="S793" s="69"/>
      <c r="T793" s="69"/>
      <c r="U793" s="69"/>
      <c r="V793" s="69"/>
      <c r="W793" s="68"/>
      <c r="X793" s="70"/>
      <c r="Y793" s="70"/>
      <c r="Z793" s="70"/>
      <c r="AA793" s="70"/>
      <c r="AB793" s="70"/>
      <c r="AC793" s="68"/>
      <c r="AD793" s="71"/>
      <c r="AE793" s="71"/>
      <c r="AF793" s="71"/>
      <c r="AG793" s="71"/>
      <c r="AH793" s="71"/>
      <c r="AI793" s="68"/>
      <c r="AJ793" s="214">
        <v>2.0829999999999999E-4</v>
      </c>
      <c r="AK793" s="214">
        <v>1.724</v>
      </c>
      <c r="AL793" s="214">
        <v>4</v>
      </c>
      <c r="AM793" s="214">
        <v>1.392796E-3</v>
      </c>
      <c r="AN793" s="68"/>
      <c r="AO793" s="67"/>
      <c r="AP793" s="67"/>
      <c r="AQ793" s="67"/>
      <c r="AR793" s="67"/>
      <c r="AS793" s="67"/>
      <c r="AT793" s="68"/>
      <c r="AU793" s="49"/>
      <c r="AV793" s="50"/>
    </row>
    <row r="794" spans="1:48" ht="12.75" customHeight="1" x14ac:dyDescent="0.25">
      <c r="A794" s="72" t="s">
        <v>20</v>
      </c>
      <c r="B794" s="43" t="s">
        <v>889</v>
      </c>
      <c r="C794" s="44" t="s">
        <v>948</v>
      </c>
      <c r="D794" s="45">
        <f>MROUND(MID($C794,6,3)/Basis!$E$3,0.5)</f>
        <v>17.5</v>
      </c>
      <c r="E794" s="45">
        <f>MROUND(MID($C794,9,3)/Basis!$E$3,0.5)</f>
        <v>72</v>
      </c>
      <c r="F794" s="124" t="s">
        <v>2947</v>
      </c>
      <c r="G794" s="45">
        <f>ROUND((ROUNDDOWN($F794/5,0)*5+3)/Basis!$E$3,1)</f>
        <v>7.1</v>
      </c>
      <c r="H794" s="120">
        <f>ROUND($P794*Basis!$E$2*((TaH-TrH)/LN(1/µ)/Basis!$E$7)^$N794*$AA$4*Glycol,0)</f>
        <v>4019</v>
      </c>
      <c r="I794" s="83">
        <f>ROUND(H794/(MID($C794,9,3)/Basis!$E$3/Basis!$E$9)*Basis!$E$11,0)</f>
        <v>669</v>
      </c>
      <c r="J794" s="123">
        <f>IF(Basis!$E$1=1,ROUND(H794/((TaH-TrH)*1.163)/3600,3),ROUND(H794/(500*(TaH-TrH)),2))</f>
        <v>0.4</v>
      </c>
      <c r="K794" s="84"/>
      <c r="L794" s="177">
        <f>CHOOSE(Basis!$E$1,((AJ794*(J794*3600/Basis!$E$5)^AK794*(((MID(C794,9,3)*10)-144)/1000)*AL794+AM794*(J794*3600/Basis!$E$5)^2)*0.0098)/Basis!$E$10,((AJ794*(J794/Basis!$E$5)^AK794*(((MID(C794,9,3)*10)-144)/1000)*AL794+AM794*(J794/Basis!$E$5)^2)*0.0098)/Basis!$E$10)</f>
        <v>4.8508886309338084E-2</v>
      </c>
      <c r="M794" s="85"/>
      <c r="N794" s="109">
        <v>1.4570000000000001</v>
      </c>
      <c r="O794" s="68"/>
      <c r="P794" s="67">
        <v>1905</v>
      </c>
      <c r="Q794" s="68"/>
      <c r="R794" s="69"/>
      <c r="S794" s="69"/>
      <c r="T794" s="69"/>
      <c r="U794" s="69"/>
      <c r="V794" s="69"/>
      <c r="W794" s="68"/>
      <c r="X794" s="70"/>
      <c r="Y794" s="70"/>
      <c r="Z794" s="70"/>
      <c r="AA794" s="70"/>
      <c r="AB794" s="70"/>
      <c r="AC794" s="68"/>
      <c r="AD794" s="71"/>
      <c r="AE794" s="71"/>
      <c r="AF794" s="71"/>
      <c r="AG794" s="71"/>
      <c r="AH794" s="71"/>
      <c r="AI794" s="68"/>
      <c r="AJ794" s="214">
        <v>2.0829999999999999E-4</v>
      </c>
      <c r="AK794" s="214">
        <v>1.724</v>
      </c>
      <c r="AL794" s="214">
        <v>4</v>
      </c>
      <c r="AM794" s="214">
        <v>1.392796E-3</v>
      </c>
      <c r="AN794" s="68"/>
      <c r="AO794" s="67"/>
      <c r="AP794" s="67"/>
      <c r="AQ794" s="67"/>
      <c r="AR794" s="67"/>
      <c r="AS794" s="67"/>
      <c r="AT794" s="68"/>
      <c r="AU794" s="49"/>
      <c r="AV794" s="50"/>
    </row>
    <row r="795" spans="1:48" ht="12.75" customHeight="1" x14ac:dyDescent="0.25">
      <c r="A795" s="72" t="s">
        <v>20</v>
      </c>
      <c r="B795" s="43" t="s">
        <v>889</v>
      </c>
      <c r="C795" s="44" t="s">
        <v>949</v>
      </c>
      <c r="D795" s="45">
        <f>MROUND(MID($C795,6,3)/Basis!$E$3,0.5)</f>
        <v>17.5</v>
      </c>
      <c r="E795" s="45">
        <f>MROUND(MID($C795,9,3)/Basis!$E$3,0.5)</f>
        <v>72</v>
      </c>
      <c r="F795" s="124" t="s">
        <v>2947</v>
      </c>
      <c r="G795" s="45">
        <f>ROUND((ROUNDDOWN($F795/5,0)*5+3)/Basis!$E$3,1)</f>
        <v>7.1</v>
      </c>
      <c r="H795" s="120">
        <f>ROUND($P795*Basis!$E$2*((TaH-TrH)/LN(1/µ)/Basis!$E$7)^$N795*$AA$4*Glycol,0)</f>
        <v>5796</v>
      </c>
      <c r="I795" s="83">
        <f>ROUND(H795/(MID($C795,9,3)/Basis!$E$3/Basis!$E$9)*Basis!$E$11,0)</f>
        <v>965</v>
      </c>
      <c r="J795" s="123">
        <f>IF(Basis!$E$1=1,ROUND(H795/((TaH-TrH)*1.163)/3600,3),ROUND(H795/(500*(TaH-TrH)),2))</f>
        <v>0.57999999999999996</v>
      </c>
      <c r="K795" s="84"/>
      <c r="L795" s="177">
        <f>CHOOSE(Basis!$E$1,((AJ795*(J795*3600/Basis!$E$5)^AK795*(((MID(C795,9,3)*10)-144)/1000)*AL795+AM795*(J795*3600/Basis!$E$5)^2)*0.0098)/Basis!$E$10,((AJ795*(J795/Basis!$E$5)^AK795*(((MID(C795,9,3)*10)-144)/1000)*AL795+AM795*(J795/Basis!$E$5)^2)*0.0098)/Basis!$E$10)</f>
        <v>9.9751879490122486E-2</v>
      </c>
      <c r="M795" s="85"/>
      <c r="N795" s="109">
        <v>1.462</v>
      </c>
      <c r="O795" s="68"/>
      <c r="P795" s="67">
        <v>2752</v>
      </c>
      <c r="Q795" s="68"/>
      <c r="R795" s="69"/>
      <c r="S795" s="69"/>
      <c r="T795" s="69"/>
      <c r="U795" s="69"/>
      <c r="V795" s="69"/>
      <c r="W795" s="68"/>
      <c r="X795" s="70"/>
      <c r="Y795" s="70"/>
      <c r="Z795" s="70"/>
      <c r="AA795" s="70"/>
      <c r="AB795" s="70"/>
      <c r="AC795" s="68"/>
      <c r="AD795" s="71"/>
      <c r="AE795" s="71"/>
      <c r="AF795" s="71"/>
      <c r="AG795" s="71"/>
      <c r="AH795" s="71"/>
      <c r="AI795" s="68"/>
      <c r="AJ795" s="214">
        <v>2.0829999999999999E-4</v>
      </c>
      <c r="AK795" s="214">
        <v>1.724</v>
      </c>
      <c r="AL795" s="214">
        <v>4</v>
      </c>
      <c r="AM795" s="214">
        <v>1.392796E-3</v>
      </c>
      <c r="AN795" s="68"/>
      <c r="AO795" s="67"/>
      <c r="AP795" s="67"/>
      <c r="AQ795" s="67"/>
      <c r="AR795" s="67"/>
      <c r="AS795" s="67"/>
      <c r="AT795" s="68"/>
      <c r="AU795" s="49"/>
      <c r="AV795" s="50"/>
    </row>
    <row r="796" spans="1:48" ht="12.75" customHeight="1" x14ac:dyDescent="0.25">
      <c r="A796" s="72" t="s">
        <v>20</v>
      </c>
      <c r="B796" s="43" t="s">
        <v>889</v>
      </c>
      <c r="C796" s="44" t="s">
        <v>950</v>
      </c>
      <c r="D796" s="45">
        <f>MROUND(MID($C796,6,3)/Basis!$E$3,0.5)</f>
        <v>17.5</v>
      </c>
      <c r="E796" s="45">
        <f>MROUND(MID($C796,9,3)/Basis!$E$3,0.5)</f>
        <v>72</v>
      </c>
      <c r="F796" s="124" t="s">
        <v>2948</v>
      </c>
      <c r="G796" s="45">
        <f>ROUND((ROUNDDOWN($F796/5,0)*5+3)/Basis!$E$3,1)</f>
        <v>9.1</v>
      </c>
      <c r="H796" s="120">
        <f>ROUND($P796*Basis!$E$2*((TaH-TrH)/LN(1/µ)/Basis!$E$7)^$N796*$AA$4*Glycol,0)</f>
        <v>5816</v>
      </c>
      <c r="I796" s="83">
        <f>ROUND(H796/(MID($C796,9,3)/Basis!$E$3/Basis!$E$9)*Basis!$E$11,0)</f>
        <v>969</v>
      </c>
      <c r="J796" s="123">
        <f>IF(Basis!$E$1=1,ROUND(H796/((TaH-TrH)*1.163)/3600,3),ROUND(H796/(500*(TaH-TrH)),2))</f>
        <v>0.57999999999999996</v>
      </c>
      <c r="K796" s="84"/>
      <c r="L796" s="177">
        <f>CHOOSE(Basis!$E$1,((AJ796*(J796*3600/Basis!$E$5)^AK796*(((MID(C796,9,3)*10)-144)/1000)*AL796+AM796*(J796*3600/Basis!$E$5)^2)*0.0098)/Basis!$E$10,((AJ796*(J796/Basis!$E$5)^AK796*(((MID(C796,9,3)*10)-144)/1000)*AL796+AM796*(J796/Basis!$E$5)^2)*0.0098)/Basis!$E$10)</f>
        <v>4.1741562815401013E-2</v>
      </c>
      <c r="M796" s="85"/>
      <c r="N796" s="109">
        <v>1.4670000000000001</v>
      </c>
      <c r="O796" s="68"/>
      <c r="P796" s="67">
        <v>2766</v>
      </c>
      <c r="Q796" s="68"/>
      <c r="R796" s="69"/>
      <c r="S796" s="69"/>
      <c r="T796" s="69"/>
      <c r="U796" s="69"/>
      <c r="V796" s="69"/>
      <c r="W796" s="68"/>
      <c r="X796" s="70"/>
      <c r="Y796" s="70"/>
      <c r="Z796" s="70"/>
      <c r="AA796" s="70"/>
      <c r="AB796" s="70"/>
      <c r="AC796" s="68"/>
      <c r="AD796" s="71"/>
      <c r="AE796" s="71"/>
      <c r="AF796" s="71"/>
      <c r="AG796" s="71"/>
      <c r="AH796" s="71"/>
      <c r="AI796" s="68"/>
      <c r="AJ796" s="214">
        <v>1.2760000000000001E-4</v>
      </c>
      <c r="AK796" s="214">
        <v>1.7219</v>
      </c>
      <c r="AL796" s="214">
        <v>4</v>
      </c>
      <c r="AM796" s="214">
        <v>5.1420100000000005E-4</v>
      </c>
      <c r="AN796" s="68"/>
      <c r="AO796" s="67"/>
      <c r="AP796" s="67"/>
      <c r="AQ796" s="67"/>
      <c r="AR796" s="67"/>
      <c r="AS796" s="67"/>
      <c r="AT796" s="68"/>
      <c r="AU796" s="49"/>
      <c r="AV796" s="50"/>
    </row>
    <row r="797" spans="1:48" ht="12.75" customHeight="1" x14ac:dyDescent="0.25">
      <c r="A797" s="72" t="s">
        <v>20</v>
      </c>
      <c r="B797" s="43" t="s">
        <v>889</v>
      </c>
      <c r="C797" s="44" t="s">
        <v>951</v>
      </c>
      <c r="D797" s="45">
        <f>MROUND(MID($C797,6,3)/Basis!$E$3,0.5)</f>
        <v>17.5</v>
      </c>
      <c r="E797" s="45">
        <f>MROUND(MID($C797,9,3)/Basis!$E$3,0.5)</f>
        <v>72</v>
      </c>
      <c r="F797" s="124" t="s">
        <v>2948</v>
      </c>
      <c r="G797" s="45">
        <f>ROUND((ROUNDDOWN($F797/5,0)*5+3)/Basis!$E$3,1)</f>
        <v>9.1</v>
      </c>
      <c r="H797" s="120">
        <f>ROUND($P797*Basis!$E$2*((TaH-TrH)/LN(1/µ)/Basis!$E$7)^$N797*$AA$4*Glycol,0)</f>
        <v>4987</v>
      </c>
      <c r="I797" s="83">
        <f>ROUND(H797/(MID($C797,9,3)/Basis!$E$3/Basis!$E$9)*Basis!$E$11,0)</f>
        <v>831</v>
      </c>
      <c r="J797" s="123">
        <f>IF(Basis!$E$1=1,ROUND(H797/((TaH-TrH)*1.163)/3600,3),ROUND(H797/(500*(TaH-TrH)),2))</f>
        <v>0.5</v>
      </c>
      <c r="K797" s="84"/>
      <c r="L797" s="177">
        <f>CHOOSE(Basis!$E$1,((AJ797*(J797*3600/Basis!$E$5)^AK797*(((MID(C797,9,3)*10)-144)/1000)*AL797+AM797*(J797*3600/Basis!$E$5)^2)*0.0098)/Basis!$E$10,((AJ797*(J797/Basis!$E$5)^AK797*(((MID(C797,9,3)*10)-144)/1000)*AL797+AM797*(J797/Basis!$E$5)^2)*0.0098)/Basis!$E$10)</f>
        <v>3.1414286175983762E-2</v>
      </c>
      <c r="M797" s="85"/>
      <c r="N797" s="109">
        <v>1.472</v>
      </c>
      <c r="O797" s="68"/>
      <c r="P797" s="67">
        <v>2376</v>
      </c>
      <c r="Q797" s="68"/>
      <c r="R797" s="69"/>
      <c r="S797" s="69"/>
      <c r="T797" s="69"/>
      <c r="U797" s="69"/>
      <c r="V797" s="69"/>
      <c r="W797" s="68"/>
      <c r="X797" s="70"/>
      <c r="Y797" s="70"/>
      <c r="Z797" s="70"/>
      <c r="AA797" s="70"/>
      <c r="AB797" s="70"/>
      <c r="AC797" s="68"/>
      <c r="AD797" s="71"/>
      <c r="AE797" s="71"/>
      <c r="AF797" s="71"/>
      <c r="AG797" s="71"/>
      <c r="AH797" s="71"/>
      <c r="AI797" s="68"/>
      <c r="AJ797" s="214">
        <v>1.2760000000000001E-4</v>
      </c>
      <c r="AK797" s="214">
        <v>1.7219</v>
      </c>
      <c r="AL797" s="214">
        <v>4</v>
      </c>
      <c r="AM797" s="214">
        <v>5.1420100000000005E-4</v>
      </c>
      <c r="AN797" s="68"/>
      <c r="AO797" s="67"/>
      <c r="AP797" s="67"/>
      <c r="AQ797" s="67"/>
      <c r="AR797" s="67"/>
      <c r="AS797" s="67"/>
      <c r="AT797" s="68"/>
      <c r="AU797" s="49"/>
      <c r="AV797" s="50"/>
    </row>
    <row r="798" spans="1:48" ht="12.75" customHeight="1" x14ac:dyDescent="0.25">
      <c r="A798" s="72" t="s">
        <v>20</v>
      </c>
      <c r="B798" s="43" t="s">
        <v>889</v>
      </c>
      <c r="C798" s="44" t="s">
        <v>952</v>
      </c>
      <c r="D798" s="45">
        <f>MROUND(MID($C798,6,3)/Basis!$E$3,0.5)</f>
        <v>17.5</v>
      </c>
      <c r="E798" s="45">
        <f>MROUND(MID($C798,9,3)/Basis!$E$3,0.5)</f>
        <v>72</v>
      </c>
      <c r="F798" s="124" t="s">
        <v>2948</v>
      </c>
      <c r="G798" s="45">
        <f>ROUND((ROUNDDOWN($F798/5,0)*5+3)/Basis!$E$3,1)</f>
        <v>9.1</v>
      </c>
      <c r="H798" s="120">
        <f>ROUND($P798*Basis!$E$2*((TaH-TrH)/LN(1/µ)/Basis!$E$7)^$N798*$AA$4*Glycol,0)</f>
        <v>7729</v>
      </c>
      <c r="I798" s="83">
        <f>ROUND(H798/(MID($C798,9,3)/Basis!$E$3/Basis!$E$9)*Basis!$E$11,0)</f>
        <v>1287</v>
      </c>
      <c r="J798" s="123">
        <f>IF(Basis!$E$1=1,ROUND(H798/((TaH-TrH)*1.163)/3600,3),ROUND(H798/(500*(TaH-TrH)),2))</f>
        <v>0.77</v>
      </c>
      <c r="K798" s="84"/>
      <c r="L798" s="177">
        <f>CHOOSE(Basis!$E$1,((AJ798*(J798*3600/Basis!$E$5)^AK798*(((MID(C798,9,3)*10)-144)/1000)*AL798+AM798*(J798*3600/Basis!$E$5)^2)*0.0098)/Basis!$E$10,((AJ798*(J798/Basis!$E$5)^AK798*(((MID(C798,9,3)*10)-144)/1000)*AL798+AM798*(J798/Basis!$E$5)^2)*0.0098)/Basis!$E$10)</f>
        <v>7.1890665367905018E-2</v>
      </c>
      <c r="M798" s="85"/>
      <c r="N798" s="109">
        <v>1.48</v>
      </c>
      <c r="O798" s="68"/>
      <c r="P798" s="67">
        <v>3692</v>
      </c>
      <c r="Q798" s="68"/>
      <c r="R798" s="69"/>
      <c r="S798" s="69"/>
      <c r="T798" s="69"/>
      <c r="U798" s="69"/>
      <c r="V798" s="69"/>
      <c r="W798" s="68"/>
      <c r="X798" s="70"/>
      <c r="Y798" s="70"/>
      <c r="Z798" s="70"/>
      <c r="AA798" s="70"/>
      <c r="AB798" s="70"/>
      <c r="AC798" s="68"/>
      <c r="AD798" s="71"/>
      <c r="AE798" s="71"/>
      <c r="AF798" s="71"/>
      <c r="AG798" s="71"/>
      <c r="AH798" s="71"/>
      <c r="AI798" s="68"/>
      <c r="AJ798" s="214">
        <v>1.2760000000000001E-4</v>
      </c>
      <c r="AK798" s="214">
        <v>1.7219</v>
      </c>
      <c r="AL798" s="214">
        <v>4</v>
      </c>
      <c r="AM798" s="214">
        <v>5.1420100000000005E-4</v>
      </c>
      <c r="AN798" s="68"/>
      <c r="AO798" s="67"/>
      <c r="AP798" s="67"/>
      <c r="AQ798" s="67"/>
      <c r="AR798" s="67"/>
      <c r="AS798" s="67"/>
      <c r="AT798" s="68"/>
      <c r="AU798" s="49"/>
      <c r="AV798" s="50"/>
    </row>
    <row r="799" spans="1:48" ht="12.75" customHeight="1" x14ac:dyDescent="0.25">
      <c r="A799" s="72" t="s">
        <v>20</v>
      </c>
      <c r="B799" s="43" t="s">
        <v>889</v>
      </c>
      <c r="C799" s="44" t="s">
        <v>953</v>
      </c>
      <c r="D799" s="45">
        <f>MROUND(MID($C799,6,3)/Basis!$E$3,0.5)</f>
        <v>17.5</v>
      </c>
      <c r="E799" s="45">
        <f>MROUND(MID($C799,9,3)/Basis!$E$3,0.5)</f>
        <v>80</v>
      </c>
      <c r="F799" s="124" t="s">
        <v>2946</v>
      </c>
      <c r="G799" s="45">
        <f>ROUND((ROUNDDOWN($F799/5,0)*5+3)/Basis!$E$3,1)</f>
        <v>5.0999999999999996</v>
      </c>
      <c r="H799" s="120">
        <f>ROUND($P799*Basis!$E$2*((TaH-TrH)/LN(1/µ)/Basis!$E$7)^$N799*$AA$4*Glycol,0)</f>
        <v>3564</v>
      </c>
      <c r="I799" s="83">
        <f>ROUND(H799/(MID($C799,9,3)/Basis!$E$3/Basis!$E$9)*Basis!$E$11,0)</f>
        <v>535</v>
      </c>
      <c r="J799" s="123">
        <f>IF(Basis!$E$1=1,ROUND(H799/((TaH-TrH)*1.163)/3600,3),ROUND(H799/(500*(TaH-TrH)),2))</f>
        <v>0.36</v>
      </c>
      <c r="K799" s="84"/>
      <c r="L799" s="177">
        <f>CHOOSE(Basis!$E$1,((AJ799*(J799*3600/Basis!$E$5)^AK799*(((MID(C799,9,3)*10)-144)/1000)*AL799+AM799*(J799*3600/Basis!$E$5)^2)*0.0098)/Basis!$E$10,((AJ799*(J799/Basis!$E$5)^AK799*(((MID(C799,9,3)*10)-144)/1000)*AL799+AM799*(J799/Basis!$E$5)^2)*0.0098)/Basis!$E$10)</f>
        <v>3.2892931735653066E-2</v>
      </c>
      <c r="M799" s="85"/>
      <c r="N799" s="109">
        <v>1.44</v>
      </c>
      <c r="O799" s="68"/>
      <c r="P799" s="67">
        <v>1680</v>
      </c>
      <c r="Q799" s="68"/>
      <c r="R799" s="69"/>
      <c r="S799" s="69"/>
      <c r="T799" s="69"/>
      <c r="U799" s="69"/>
      <c r="V799" s="69"/>
      <c r="W799" s="68"/>
      <c r="X799" s="70"/>
      <c r="Y799" s="70"/>
      <c r="Z799" s="70"/>
      <c r="AA799" s="70"/>
      <c r="AB799" s="70"/>
      <c r="AC799" s="68"/>
      <c r="AD799" s="71"/>
      <c r="AE799" s="71"/>
      <c r="AF799" s="71"/>
      <c r="AG799" s="71"/>
      <c r="AH799" s="71"/>
      <c r="AI799" s="68"/>
      <c r="AJ799" s="214">
        <v>3.9689999999999994E-4</v>
      </c>
      <c r="AK799" s="214">
        <v>1.7345999999999999</v>
      </c>
      <c r="AL799" s="214">
        <v>4</v>
      </c>
      <c r="AM799" s="214">
        <v>5.7428799999999995E-4</v>
      </c>
      <c r="AN799" s="68"/>
      <c r="AO799" s="67"/>
      <c r="AP799" s="67"/>
      <c r="AQ799" s="67"/>
      <c r="AR799" s="67"/>
      <c r="AS799" s="67"/>
      <c r="AT799" s="68"/>
      <c r="AU799" s="49"/>
      <c r="AV799" s="50"/>
    </row>
    <row r="800" spans="1:48" ht="12.75" customHeight="1" x14ac:dyDescent="0.25">
      <c r="A800" s="72" t="s">
        <v>20</v>
      </c>
      <c r="B800" s="43" t="s">
        <v>889</v>
      </c>
      <c r="C800" s="44" t="s">
        <v>954</v>
      </c>
      <c r="D800" s="45">
        <f>MROUND(MID($C800,6,3)/Basis!$E$3,0.5)</f>
        <v>17.5</v>
      </c>
      <c r="E800" s="45">
        <f>MROUND(MID($C800,9,3)/Basis!$E$3,0.5)</f>
        <v>80</v>
      </c>
      <c r="F800" s="124" t="s">
        <v>2946</v>
      </c>
      <c r="G800" s="45">
        <f>ROUND((ROUNDDOWN($F800/5,0)*5+3)/Basis!$E$3,1)</f>
        <v>5.0999999999999996</v>
      </c>
      <c r="H800" s="120">
        <f>ROUND($P800*Basis!$E$2*((TaH-TrH)/LN(1/µ)/Basis!$E$7)^$N800*$AA$4*Glycol,0)</f>
        <v>3048</v>
      </c>
      <c r="I800" s="83">
        <f>ROUND(H800/(MID($C800,9,3)/Basis!$E$3/Basis!$E$9)*Basis!$E$11,0)</f>
        <v>458</v>
      </c>
      <c r="J800" s="123">
        <f>IF(Basis!$E$1=1,ROUND(H800/((TaH-TrH)*1.163)/3600,3),ROUND(H800/(500*(TaH-TrH)),2))</f>
        <v>0.3</v>
      </c>
      <c r="K800" s="84"/>
      <c r="L800" s="177">
        <f>CHOOSE(Basis!$E$1,((AJ800*(J800*3600/Basis!$E$5)^AK800*(((MID(C800,9,3)*10)-144)/1000)*AL800+AM800*(J800*3600/Basis!$E$5)^2)*0.0098)/Basis!$E$10,((AJ800*(J800/Basis!$E$5)^AK800*(((MID(C800,9,3)*10)-144)/1000)*AL800+AM800*(J800/Basis!$E$5)^2)*0.0098)/Basis!$E$10)</f>
        <v>2.3542574999237762E-2</v>
      </c>
      <c r="M800" s="85"/>
      <c r="N800" s="109">
        <v>1.44</v>
      </c>
      <c r="O800" s="68"/>
      <c r="P800" s="67">
        <v>1437</v>
      </c>
      <c r="Q800" s="68"/>
      <c r="R800" s="69"/>
      <c r="S800" s="69"/>
      <c r="T800" s="69"/>
      <c r="U800" s="69"/>
      <c r="V800" s="69"/>
      <c r="W800" s="68"/>
      <c r="X800" s="70"/>
      <c r="Y800" s="70"/>
      <c r="Z800" s="70"/>
      <c r="AA800" s="70"/>
      <c r="AB800" s="70"/>
      <c r="AC800" s="68"/>
      <c r="AD800" s="71"/>
      <c r="AE800" s="71"/>
      <c r="AF800" s="71"/>
      <c r="AG800" s="71"/>
      <c r="AH800" s="71"/>
      <c r="AI800" s="68"/>
      <c r="AJ800" s="214">
        <v>3.9689999999999994E-4</v>
      </c>
      <c r="AK800" s="214">
        <v>1.7345999999999999</v>
      </c>
      <c r="AL800" s="214">
        <v>4</v>
      </c>
      <c r="AM800" s="214">
        <v>5.7428799999999995E-4</v>
      </c>
      <c r="AN800" s="68"/>
      <c r="AO800" s="67"/>
      <c r="AP800" s="67"/>
      <c r="AQ800" s="67"/>
      <c r="AR800" s="67"/>
      <c r="AS800" s="67"/>
      <c r="AT800" s="68"/>
      <c r="AU800" s="49"/>
      <c r="AV800" s="50"/>
    </row>
    <row r="801" spans="1:48" ht="12.75" customHeight="1" x14ac:dyDescent="0.25">
      <c r="A801" s="72" t="s">
        <v>20</v>
      </c>
      <c r="B801" s="43" t="s">
        <v>889</v>
      </c>
      <c r="C801" s="44" t="s">
        <v>955</v>
      </c>
      <c r="D801" s="45">
        <f>MROUND(MID($C801,6,3)/Basis!$E$3,0.5)</f>
        <v>17.5</v>
      </c>
      <c r="E801" s="45">
        <f>MROUND(MID($C801,9,3)/Basis!$E$3,0.5)</f>
        <v>80</v>
      </c>
      <c r="F801" s="124" t="s">
        <v>2946</v>
      </c>
      <c r="G801" s="45">
        <f>ROUND((ROUNDDOWN($F801/5,0)*5+3)/Basis!$E$3,1)</f>
        <v>5.0999999999999996</v>
      </c>
      <c r="H801" s="120">
        <f>ROUND($P801*Basis!$E$2*((TaH-TrH)/LN(1/µ)/Basis!$E$7)^$N801*$AA$4*Glycol,0)</f>
        <v>4365</v>
      </c>
      <c r="I801" s="83">
        <f>ROUND(H801/(MID($C801,9,3)/Basis!$E$3/Basis!$E$9)*Basis!$E$11,0)</f>
        <v>655</v>
      </c>
      <c r="J801" s="123">
        <f>IF(Basis!$E$1=1,ROUND(H801/((TaH-TrH)*1.163)/3600,3),ROUND(H801/(500*(TaH-TrH)),2))</f>
        <v>0.44</v>
      </c>
      <c r="K801" s="84"/>
      <c r="L801" s="177">
        <f>CHOOSE(Basis!$E$1,((AJ801*(J801*3600/Basis!$E$5)^AK801*(((MID(C801,9,3)*10)-144)/1000)*AL801+AM801*(J801*3600/Basis!$E$5)^2)*0.0098)/Basis!$E$10,((AJ801*(J801/Basis!$E$5)^AK801*(((MID(C801,9,3)*10)-144)/1000)*AL801+AM801*(J801/Basis!$E$5)^2)*0.0098)/Basis!$E$10)</f>
        <v>4.756053818979359E-2</v>
      </c>
      <c r="M801" s="85"/>
      <c r="N801" s="109">
        <v>1.4390000000000001</v>
      </c>
      <c r="O801" s="68"/>
      <c r="P801" s="67">
        <v>2057</v>
      </c>
      <c r="Q801" s="68"/>
      <c r="R801" s="69"/>
      <c r="S801" s="69"/>
      <c r="T801" s="69"/>
      <c r="U801" s="69"/>
      <c r="V801" s="69"/>
      <c r="W801" s="68"/>
      <c r="X801" s="70"/>
      <c r="Y801" s="70"/>
      <c r="Z801" s="70"/>
      <c r="AA801" s="70"/>
      <c r="AB801" s="70"/>
      <c r="AC801" s="68"/>
      <c r="AD801" s="71"/>
      <c r="AE801" s="71"/>
      <c r="AF801" s="71"/>
      <c r="AG801" s="71"/>
      <c r="AH801" s="71"/>
      <c r="AI801" s="68"/>
      <c r="AJ801" s="214">
        <v>3.9689999999999994E-4</v>
      </c>
      <c r="AK801" s="214">
        <v>1.7345999999999999</v>
      </c>
      <c r="AL801" s="214">
        <v>4</v>
      </c>
      <c r="AM801" s="214">
        <v>5.7428799999999995E-4</v>
      </c>
      <c r="AN801" s="68"/>
      <c r="AO801" s="67"/>
      <c r="AP801" s="67"/>
      <c r="AQ801" s="67"/>
      <c r="AR801" s="67"/>
      <c r="AS801" s="67"/>
      <c r="AT801" s="68"/>
      <c r="AU801" s="49"/>
      <c r="AV801" s="50"/>
    </row>
    <row r="802" spans="1:48" ht="12.75" customHeight="1" x14ac:dyDescent="0.25">
      <c r="A802" s="72" t="s">
        <v>20</v>
      </c>
      <c r="B802" s="43" t="s">
        <v>889</v>
      </c>
      <c r="C802" s="44" t="s">
        <v>956</v>
      </c>
      <c r="D802" s="45">
        <f>MROUND(MID($C802,6,3)/Basis!$E$3,0.5)</f>
        <v>17.5</v>
      </c>
      <c r="E802" s="45">
        <f>MROUND(MID($C802,9,3)/Basis!$E$3,0.5)</f>
        <v>80</v>
      </c>
      <c r="F802" s="124" t="s">
        <v>2947</v>
      </c>
      <c r="G802" s="45">
        <f>ROUND((ROUNDDOWN($F802/5,0)*5+3)/Basis!$E$3,1)</f>
        <v>7.1</v>
      </c>
      <c r="H802" s="120">
        <f>ROUND($P802*Basis!$E$2*((TaH-TrH)/LN(1/µ)/Basis!$E$7)^$N802*$AA$4*Glycol,0)</f>
        <v>5083</v>
      </c>
      <c r="I802" s="83">
        <f>ROUND(H802/(MID($C802,9,3)/Basis!$E$3/Basis!$E$9)*Basis!$E$11,0)</f>
        <v>763</v>
      </c>
      <c r="J802" s="123">
        <f>IF(Basis!$E$1=1,ROUND(H802/((TaH-TrH)*1.163)/3600,3),ROUND(H802/(500*(TaH-TrH)),2))</f>
        <v>0.51</v>
      </c>
      <c r="K802" s="84"/>
      <c r="L802" s="177">
        <f>CHOOSE(Basis!$E$1,((AJ802*(J802*3600/Basis!$E$5)^AK802*(((MID(C802,9,3)*10)-144)/1000)*AL802+AM802*(J802*3600/Basis!$E$5)^2)*0.0098)/Basis!$E$10,((AJ802*(J802/Basis!$E$5)^AK802*(((MID(C802,9,3)*10)-144)/1000)*AL802+AM802*(J802/Basis!$E$5)^2)*0.0098)/Basis!$E$10)</f>
        <v>7.9675285148147076E-2</v>
      </c>
      <c r="M802" s="85"/>
      <c r="N802" s="109">
        <v>1.4550000000000001</v>
      </c>
      <c r="O802" s="68"/>
      <c r="P802" s="67">
        <v>2408</v>
      </c>
      <c r="Q802" s="68"/>
      <c r="R802" s="69"/>
      <c r="S802" s="69"/>
      <c r="T802" s="69"/>
      <c r="U802" s="69"/>
      <c r="V802" s="69"/>
      <c r="W802" s="68"/>
      <c r="X802" s="70"/>
      <c r="Y802" s="70"/>
      <c r="Z802" s="70"/>
      <c r="AA802" s="70"/>
      <c r="AB802" s="70"/>
      <c r="AC802" s="68"/>
      <c r="AD802" s="71"/>
      <c r="AE802" s="71"/>
      <c r="AF802" s="71"/>
      <c r="AG802" s="71"/>
      <c r="AH802" s="71"/>
      <c r="AI802" s="68"/>
      <c r="AJ802" s="214">
        <v>2.0829999999999999E-4</v>
      </c>
      <c r="AK802" s="214">
        <v>1.724</v>
      </c>
      <c r="AL802" s="214">
        <v>4</v>
      </c>
      <c r="AM802" s="214">
        <v>1.392796E-3</v>
      </c>
      <c r="AN802" s="68"/>
      <c r="AO802" s="67"/>
      <c r="AP802" s="67"/>
      <c r="AQ802" s="67"/>
      <c r="AR802" s="67"/>
      <c r="AS802" s="67"/>
      <c r="AT802" s="68"/>
      <c r="AU802" s="49"/>
      <c r="AV802" s="50"/>
    </row>
    <row r="803" spans="1:48" ht="12.75" customHeight="1" x14ac:dyDescent="0.25">
      <c r="A803" s="72" t="s">
        <v>20</v>
      </c>
      <c r="B803" s="43" t="s">
        <v>889</v>
      </c>
      <c r="C803" s="44" t="s">
        <v>957</v>
      </c>
      <c r="D803" s="45">
        <f>MROUND(MID($C803,6,3)/Basis!$E$3,0.5)</f>
        <v>17.5</v>
      </c>
      <c r="E803" s="45">
        <f>MROUND(MID($C803,9,3)/Basis!$E$3,0.5)</f>
        <v>80</v>
      </c>
      <c r="F803" s="124" t="s">
        <v>2947</v>
      </c>
      <c r="G803" s="45">
        <f>ROUND((ROUNDDOWN($F803/5,0)*5+3)/Basis!$E$3,1)</f>
        <v>7.1</v>
      </c>
      <c r="H803" s="120">
        <f>ROUND($P803*Basis!$E$2*((TaH-TrH)/LN(1/µ)/Basis!$E$7)^$N803*$AA$4*Glycol,0)</f>
        <v>4514</v>
      </c>
      <c r="I803" s="83">
        <f>ROUND(H803/(MID($C803,9,3)/Basis!$E$3/Basis!$E$9)*Basis!$E$11,0)</f>
        <v>678</v>
      </c>
      <c r="J803" s="123">
        <f>IF(Basis!$E$1=1,ROUND(H803/((TaH-TrH)*1.163)/3600,3),ROUND(H803/(500*(TaH-TrH)),2))</f>
        <v>0.45</v>
      </c>
      <c r="K803" s="84"/>
      <c r="L803" s="177">
        <f>CHOOSE(Basis!$E$1,((AJ803*(J803*3600/Basis!$E$5)^AK803*(((MID(C803,9,3)*10)-144)/1000)*AL803+AM803*(J803*3600/Basis!$E$5)^2)*0.0098)/Basis!$E$10,((AJ803*(J803/Basis!$E$5)^AK803*(((MID(C803,9,3)*10)-144)/1000)*AL803+AM803*(J803/Basis!$E$5)^2)*0.0098)/Basis!$E$10)</f>
        <v>6.2539146599047107E-2</v>
      </c>
      <c r="M803" s="85"/>
      <c r="N803" s="109">
        <v>1.4570000000000001</v>
      </c>
      <c r="O803" s="68"/>
      <c r="P803" s="67">
        <v>2140</v>
      </c>
      <c r="Q803" s="68"/>
      <c r="R803" s="69"/>
      <c r="S803" s="69"/>
      <c r="T803" s="69"/>
      <c r="U803" s="69"/>
      <c r="V803" s="69"/>
      <c r="W803" s="68"/>
      <c r="X803" s="70"/>
      <c r="Y803" s="70"/>
      <c r="Z803" s="70"/>
      <c r="AA803" s="70"/>
      <c r="AB803" s="70"/>
      <c r="AC803" s="68"/>
      <c r="AD803" s="71"/>
      <c r="AE803" s="71"/>
      <c r="AF803" s="71"/>
      <c r="AG803" s="71"/>
      <c r="AH803" s="71"/>
      <c r="AI803" s="68"/>
      <c r="AJ803" s="214">
        <v>2.0829999999999999E-4</v>
      </c>
      <c r="AK803" s="214">
        <v>1.724</v>
      </c>
      <c r="AL803" s="214">
        <v>4</v>
      </c>
      <c r="AM803" s="214">
        <v>1.392796E-3</v>
      </c>
      <c r="AN803" s="68"/>
      <c r="AO803" s="67"/>
      <c r="AP803" s="67"/>
      <c r="AQ803" s="67"/>
      <c r="AR803" s="67"/>
      <c r="AS803" s="67"/>
      <c r="AT803" s="68"/>
      <c r="AU803" s="49"/>
      <c r="AV803" s="50"/>
    </row>
    <row r="804" spans="1:48" ht="12.75" customHeight="1" x14ac:dyDescent="0.25">
      <c r="A804" s="72" t="s">
        <v>20</v>
      </c>
      <c r="B804" s="43" t="s">
        <v>889</v>
      </c>
      <c r="C804" s="44" t="s">
        <v>958</v>
      </c>
      <c r="D804" s="45">
        <f>MROUND(MID($C804,6,3)/Basis!$E$3,0.5)</f>
        <v>17.5</v>
      </c>
      <c r="E804" s="45">
        <f>MROUND(MID($C804,9,3)/Basis!$E$3,0.5)</f>
        <v>80</v>
      </c>
      <c r="F804" s="124" t="s">
        <v>2947</v>
      </c>
      <c r="G804" s="45">
        <f>ROUND((ROUNDDOWN($F804/5,0)*5+3)/Basis!$E$3,1)</f>
        <v>7.1</v>
      </c>
      <c r="H804" s="120">
        <f>ROUND($P804*Basis!$E$2*((TaH-TrH)/LN(1/µ)/Basis!$E$7)^$N804*$AA$4*Glycol,0)</f>
        <v>6510</v>
      </c>
      <c r="I804" s="83">
        <f>ROUND(H804/(MID($C804,9,3)/Basis!$E$3/Basis!$E$9)*Basis!$E$11,0)</f>
        <v>977</v>
      </c>
      <c r="J804" s="123">
        <f>IF(Basis!$E$1=1,ROUND(H804/((TaH-TrH)*1.163)/3600,3),ROUND(H804/(500*(TaH-TrH)),2))</f>
        <v>0.65</v>
      </c>
      <c r="K804" s="84"/>
      <c r="L804" s="177">
        <f>CHOOSE(Basis!$E$1,((AJ804*(J804*3600/Basis!$E$5)^AK804*(((MID(C804,9,3)*10)-144)/1000)*AL804+AM804*(J804*3600/Basis!$E$5)^2)*0.0098)/Basis!$E$10,((AJ804*(J804/Basis!$E$5)^AK804*(((MID(C804,9,3)*10)-144)/1000)*AL804+AM804*(J804/Basis!$E$5)^2)*0.0098)/Basis!$E$10)</f>
        <v>0.12746904960991073</v>
      </c>
      <c r="M804" s="85"/>
      <c r="N804" s="109">
        <v>1.462</v>
      </c>
      <c r="O804" s="68"/>
      <c r="P804" s="67">
        <v>3091</v>
      </c>
      <c r="Q804" s="68"/>
      <c r="R804" s="69"/>
      <c r="S804" s="69"/>
      <c r="T804" s="69"/>
      <c r="U804" s="69"/>
      <c r="V804" s="69"/>
      <c r="W804" s="68"/>
      <c r="X804" s="70"/>
      <c r="Y804" s="70"/>
      <c r="Z804" s="70"/>
      <c r="AA804" s="70"/>
      <c r="AB804" s="70"/>
      <c r="AC804" s="68"/>
      <c r="AD804" s="71"/>
      <c r="AE804" s="71"/>
      <c r="AF804" s="71"/>
      <c r="AG804" s="71"/>
      <c r="AH804" s="71"/>
      <c r="AI804" s="68"/>
      <c r="AJ804" s="214">
        <v>2.0829999999999999E-4</v>
      </c>
      <c r="AK804" s="214">
        <v>1.724</v>
      </c>
      <c r="AL804" s="214">
        <v>4</v>
      </c>
      <c r="AM804" s="214">
        <v>1.392796E-3</v>
      </c>
      <c r="AN804" s="68"/>
      <c r="AO804" s="67"/>
      <c r="AP804" s="67"/>
      <c r="AQ804" s="67"/>
      <c r="AR804" s="67"/>
      <c r="AS804" s="67"/>
      <c r="AT804" s="68"/>
      <c r="AU804" s="49"/>
      <c r="AV804" s="50"/>
    </row>
    <row r="805" spans="1:48" ht="12.75" customHeight="1" x14ac:dyDescent="0.25">
      <c r="A805" s="72" t="s">
        <v>20</v>
      </c>
      <c r="B805" s="43" t="s">
        <v>889</v>
      </c>
      <c r="C805" s="44" t="s">
        <v>959</v>
      </c>
      <c r="D805" s="45">
        <f>MROUND(MID($C805,6,3)/Basis!$E$3,0.5)</f>
        <v>17.5</v>
      </c>
      <c r="E805" s="45">
        <f>MROUND(MID($C805,9,3)/Basis!$E$3,0.5)</f>
        <v>80</v>
      </c>
      <c r="F805" s="124" t="s">
        <v>2948</v>
      </c>
      <c r="G805" s="45">
        <f>ROUND((ROUNDDOWN($F805/5,0)*5+3)/Basis!$E$3,1)</f>
        <v>9.1</v>
      </c>
      <c r="H805" s="120">
        <f>ROUND($P805*Basis!$E$2*((TaH-TrH)/LN(1/µ)/Basis!$E$7)^$N805*$AA$4*Glycol,0)</f>
        <v>6533</v>
      </c>
      <c r="I805" s="83">
        <f>ROUND(H805/(MID($C805,9,3)/Basis!$E$3/Basis!$E$9)*Basis!$E$11,0)</f>
        <v>981</v>
      </c>
      <c r="J805" s="123">
        <f>IF(Basis!$E$1=1,ROUND(H805/((TaH-TrH)*1.163)/3600,3),ROUND(H805/(500*(TaH-TrH)),2))</f>
        <v>0.65</v>
      </c>
      <c r="K805" s="84"/>
      <c r="L805" s="177">
        <f>CHOOSE(Basis!$E$1,((AJ805*(J805*3600/Basis!$E$5)^AK805*(((MID(C805,9,3)*10)-144)/1000)*AL805+AM805*(J805*3600/Basis!$E$5)^2)*0.0098)/Basis!$E$10,((AJ805*(J805/Basis!$E$5)^AK805*(((MID(C805,9,3)*10)-144)/1000)*AL805+AM805*(J805/Basis!$E$5)^2)*0.0098)/Basis!$E$10)</f>
        <v>5.3746555282078071E-2</v>
      </c>
      <c r="M805" s="85"/>
      <c r="N805" s="109">
        <v>1.4670000000000001</v>
      </c>
      <c r="O805" s="68"/>
      <c r="P805" s="67">
        <v>3107</v>
      </c>
      <c r="Q805" s="68"/>
      <c r="R805" s="69"/>
      <c r="S805" s="69"/>
      <c r="T805" s="69"/>
      <c r="U805" s="69"/>
      <c r="V805" s="69"/>
      <c r="W805" s="68"/>
      <c r="X805" s="70"/>
      <c r="Y805" s="70"/>
      <c r="Z805" s="70"/>
      <c r="AA805" s="70"/>
      <c r="AB805" s="70"/>
      <c r="AC805" s="68"/>
      <c r="AD805" s="71"/>
      <c r="AE805" s="71"/>
      <c r="AF805" s="71"/>
      <c r="AG805" s="71"/>
      <c r="AH805" s="71"/>
      <c r="AI805" s="68"/>
      <c r="AJ805" s="214">
        <v>1.2760000000000001E-4</v>
      </c>
      <c r="AK805" s="214">
        <v>1.7219</v>
      </c>
      <c r="AL805" s="214">
        <v>4</v>
      </c>
      <c r="AM805" s="214">
        <v>5.1420100000000005E-4</v>
      </c>
      <c r="AN805" s="68"/>
      <c r="AO805" s="67"/>
      <c r="AP805" s="67"/>
      <c r="AQ805" s="67"/>
      <c r="AR805" s="67"/>
      <c r="AS805" s="67"/>
      <c r="AT805" s="68"/>
      <c r="AU805" s="49"/>
      <c r="AV805" s="50"/>
    </row>
    <row r="806" spans="1:48" ht="12.75" customHeight="1" x14ac:dyDescent="0.25">
      <c r="A806" s="72" t="s">
        <v>20</v>
      </c>
      <c r="B806" s="43" t="s">
        <v>889</v>
      </c>
      <c r="C806" s="44" t="s">
        <v>960</v>
      </c>
      <c r="D806" s="45">
        <f>MROUND(MID($C806,6,3)/Basis!$E$3,0.5)</f>
        <v>17.5</v>
      </c>
      <c r="E806" s="45">
        <f>MROUND(MID($C806,9,3)/Basis!$E$3,0.5)</f>
        <v>80</v>
      </c>
      <c r="F806" s="124" t="s">
        <v>2948</v>
      </c>
      <c r="G806" s="45">
        <f>ROUND((ROUNDDOWN($F806/5,0)*5+3)/Basis!$E$3,1)</f>
        <v>9.1</v>
      </c>
      <c r="H806" s="120">
        <f>ROUND($P806*Basis!$E$2*((TaH-TrH)/LN(1/µ)/Basis!$E$7)^$N806*$AA$4*Glycol,0)</f>
        <v>5603</v>
      </c>
      <c r="I806" s="83">
        <f>ROUND(H806/(MID($C806,9,3)/Basis!$E$3/Basis!$E$9)*Basis!$E$11,0)</f>
        <v>841</v>
      </c>
      <c r="J806" s="123">
        <f>IF(Basis!$E$1=1,ROUND(H806/((TaH-TrH)*1.163)/3600,3),ROUND(H806/(500*(TaH-TrH)),2))</f>
        <v>0.56000000000000005</v>
      </c>
      <c r="K806" s="84"/>
      <c r="L806" s="177">
        <f>CHOOSE(Basis!$E$1,((AJ806*(J806*3600/Basis!$E$5)^AK806*(((MID(C806,9,3)*10)-144)/1000)*AL806+AM806*(J806*3600/Basis!$E$5)^2)*0.0098)/Basis!$E$10,((AJ806*(J806/Basis!$E$5)^AK806*(((MID(C806,9,3)*10)-144)/1000)*AL806+AM806*(J806/Basis!$E$5)^2)*0.0098)/Basis!$E$10)</f>
        <v>4.0430510746581709E-2</v>
      </c>
      <c r="M806" s="85"/>
      <c r="N806" s="109">
        <v>1.472</v>
      </c>
      <c r="O806" s="68"/>
      <c r="P806" s="67">
        <v>2669</v>
      </c>
      <c r="Q806" s="68"/>
      <c r="R806" s="69"/>
      <c r="S806" s="69"/>
      <c r="T806" s="69"/>
      <c r="U806" s="69"/>
      <c r="V806" s="69"/>
      <c r="W806" s="68"/>
      <c r="X806" s="70"/>
      <c r="Y806" s="70"/>
      <c r="Z806" s="70"/>
      <c r="AA806" s="70"/>
      <c r="AB806" s="70"/>
      <c r="AC806" s="68"/>
      <c r="AD806" s="71"/>
      <c r="AE806" s="71"/>
      <c r="AF806" s="71"/>
      <c r="AG806" s="71"/>
      <c r="AH806" s="71"/>
      <c r="AI806" s="68"/>
      <c r="AJ806" s="214">
        <v>1.2760000000000001E-4</v>
      </c>
      <c r="AK806" s="214">
        <v>1.7219</v>
      </c>
      <c r="AL806" s="214">
        <v>4</v>
      </c>
      <c r="AM806" s="214">
        <v>5.1420100000000005E-4</v>
      </c>
      <c r="AN806" s="68"/>
      <c r="AO806" s="67"/>
      <c r="AP806" s="67"/>
      <c r="AQ806" s="67"/>
      <c r="AR806" s="67"/>
      <c r="AS806" s="67"/>
      <c r="AT806" s="68"/>
      <c r="AU806" s="49"/>
      <c r="AV806" s="50"/>
    </row>
    <row r="807" spans="1:48" ht="12.75" customHeight="1" x14ac:dyDescent="0.25">
      <c r="A807" s="72" t="s">
        <v>20</v>
      </c>
      <c r="B807" s="43" t="s">
        <v>889</v>
      </c>
      <c r="C807" s="44" t="s">
        <v>961</v>
      </c>
      <c r="D807" s="45">
        <f>MROUND(MID($C807,6,3)/Basis!$E$3,0.5)</f>
        <v>17.5</v>
      </c>
      <c r="E807" s="45">
        <f>MROUND(MID($C807,9,3)/Basis!$E$3,0.5)</f>
        <v>80</v>
      </c>
      <c r="F807" s="124" t="s">
        <v>2948</v>
      </c>
      <c r="G807" s="45">
        <f>ROUND((ROUNDDOWN($F807/5,0)*5+3)/Basis!$E$3,1)</f>
        <v>9.1</v>
      </c>
      <c r="H807" s="120">
        <f>ROUND($P807*Basis!$E$2*((TaH-TrH)/LN(1/µ)/Basis!$E$7)^$N807*$AA$4*Glycol,0)</f>
        <v>8680</v>
      </c>
      <c r="I807" s="83">
        <f>ROUND(H807/(MID($C807,9,3)/Basis!$E$3/Basis!$E$9)*Basis!$E$11,0)</f>
        <v>1303</v>
      </c>
      <c r="J807" s="123">
        <f>IF(Basis!$E$1=1,ROUND(H807/((TaH-TrH)*1.163)/3600,3),ROUND(H807/(500*(TaH-TrH)),2))</f>
        <v>0.87</v>
      </c>
      <c r="K807" s="84"/>
      <c r="L807" s="177">
        <f>CHOOSE(Basis!$E$1,((AJ807*(J807*3600/Basis!$E$5)^AK807*(((MID(C807,9,3)*10)-144)/1000)*AL807+AM807*(J807*3600/Basis!$E$5)^2)*0.0098)/Basis!$E$10,((AJ807*(J807/Basis!$E$5)^AK807*(((MID(C807,9,3)*10)-144)/1000)*AL807+AM807*(J807/Basis!$E$5)^2)*0.0098)/Basis!$E$10)</f>
        <v>9.3899847994563843E-2</v>
      </c>
      <c r="M807" s="85"/>
      <c r="N807" s="109">
        <v>1.48</v>
      </c>
      <c r="O807" s="68"/>
      <c r="P807" s="67">
        <v>4146</v>
      </c>
      <c r="Q807" s="68"/>
      <c r="R807" s="69"/>
      <c r="S807" s="69"/>
      <c r="T807" s="69"/>
      <c r="U807" s="69"/>
      <c r="V807" s="69"/>
      <c r="W807" s="68"/>
      <c r="X807" s="70"/>
      <c r="Y807" s="70"/>
      <c r="Z807" s="70"/>
      <c r="AA807" s="70"/>
      <c r="AB807" s="70"/>
      <c r="AC807" s="68"/>
      <c r="AD807" s="71"/>
      <c r="AE807" s="71"/>
      <c r="AF807" s="71"/>
      <c r="AG807" s="71"/>
      <c r="AH807" s="71"/>
      <c r="AI807" s="68"/>
      <c r="AJ807" s="214">
        <v>1.2760000000000001E-4</v>
      </c>
      <c r="AK807" s="214">
        <v>1.7219</v>
      </c>
      <c r="AL807" s="214">
        <v>4</v>
      </c>
      <c r="AM807" s="214">
        <v>5.1420100000000005E-4</v>
      </c>
      <c r="AN807" s="68"/>
      <c r="AO807" s="67"/>
      <c r="AP807" s="67"/>
      <c r="AQ807" s="67"/>
      <c r="AR807" s="67"/>
      <c r="AS807" s="67"/>
      <c r="AT807" s="68"/>
      <c r="AU807" s="49"/>
      <c r="AV807" s="50"/>
    </row>
    <row r="808" spans="1:48" ht="12.75" customHeight="1" x14ac:dyDescent="0.25">
      <c r="A808" s="72" t="s">
        <v>20</v>
      </c>
      <c r="B808" s="43" t="s">
        <v>889</v>
      </c>
      <c r="C808" s="44" t="s">
        <v>962</v>
      </c>
      <c r="D808" s="45">
        <f>MROUND(MID($C808,6,3)/Basis!$E$3,0.5)</f>
        <v>23</v>
      </c>
      <c r="E808" s="45">
        <f>MROUND(MID($C808,9,3)/Basis!$E$3,0.5)</f>
        <v>25</v>
      </c>
      <c r="F808" s="124" t="s">
        <v>2946</v>
      </c>
      <c r="G808" s="45">
        <f>ROUND((ROUNDDOWN($F808/5,0)*5+3)/Basis!$E$3,1)</f>
        <v>5.0999999999999996</v>
      </c>
      <c r="H808" s="120">
        <f>ROUND($P808*Basis!$E$2*((TaH-TrH)/LN(1/µ)/Basis!$E$7)^$N808*$AA$4*Glycol,0)</f>
        <v>802</v>
      </c>
      <c r="I808" s="83">
        <f>ROUND(H808/(MID($C808,9,3)/Basis!$E$3/Basis!$E$9)*Basis!$E$11,0)</f>
        <v>388</v>
      </c>
      <c r="J808" s="123">
        <f>IF(Basis!$E$1=1,ROUND(H808/((TaH-TrH)*1.163)/3600,3),ROUND(H808/(500*(TaH-TrH)),2))</f>
        <v>0.08</v>
      </c>
      <c r="K808" s="84"/>
      <c r="L808" s="177">
        <f>CHOOSE(Basis!$E$1,((AJ808*(J808*3600/Basis!$E$5)^AK808*(((MID(C808,9,3)*10)-144)/1000)*AL808+AM808*(J808*3600/Basis!$E$5)^2)*0.0098)/Basis!$E$10,((AJ808*(J808/Basis!$E$5)^AK808*(((MID(C808,9,3)*10)-144)/1000)*AL808+AM808*(J808/Basis!$E$5)^2)*0.0098)/Basis!$E$10)</f>
        <v>1.005740617775284E-3</v>
      </c>
      <c r="M808" s="85"/>
      <c r="N808" s="109">
        <v>1.44</v>
      </c>
      <c r="O808" s="68"/>
      <c r="P808" s="67">
        <v>378</v>
      </c>
      <c r="Q808" s="68"/>
      <c r="R808" s="69"/>
      <c r="S808" s="69"/>
      <c r="T808" s="69"/>
      <c r="U808" s="69"/>
      <c r="V808" s="69"/>
      <c r="W808" s="68"/>
      <c r="X808" s="70"/>
      <c r="Y808" s="70"/>
      <c r="Z808" s="70"/>
      <c r="AA808" s="70"/>
      <c r="AB808" s="70"/>
      <c r="AC808" s="68"/>
      <c r="AD808" s="71"/>
      <c r="AE808" s="71"/>
      <c r="AF808" s="71"/>
      <c r="AG808" s="71"/>
      <c r="AH808" s="71"/>
      <c r="AI808" s="68"/>
      <c r="AJ808" s="214">
        <v>3.9689999999999994E-4</v>
      </c>
      <c r="AK808" s="214">
        <v>1.7345999999999999</v>
      </c>
      <c r="AL808" s="214">
        <v>4</v>
      </c>
      <c r="AM808" s="214">
        <v>5.7428799999999995E-4</v>
      </c>
      <c r="AN808" s="68"/>
      <c r="AO808" s="67"/>
      <c r="AP808" s="67"/>
      <c r="AQ808" s="67"/>
      <c r="AR808" s="67"/>
      <c r="AS808" s="67"/>
      <c r="AT808" s="68"/>
      <c r="AU808" s="49"/>
      <c r="AV808" s="50"/>
    </row>
    <row r="809" spans="1:48" ht="12.75" customHeight="1" x14ac:dyDescent="0.25">
      <c r="A809" s="72" t="s">
        <v>20</v>
      </c>
      <c r="B809" s="43" t="s">
        <v>889</v>
      </c>
      <c r="C809" s="44" t="s">
        <v>963</v>
      </c>
      <c r="D809" s="45">
        <f>MROUND(MID($C809,6,3)/Basis!$E$3,0.5)</f>
        <v>23</v>
      </c>
      <c r="E809" s="45">
        <f>MROUND(MID($C809,9,3)/Basis!$E$3,0.5)</f>
        <v>25</v>
      </c>
      <c r="F809" s="124" t="s">
        <v>2946</v>
      </c>
      <c r="G809" s="45">
        <f>ROUND((ROUNDDOWN($F809/5,0)*5+3)/Basis!$E$3,1)</f>
        <v>5.0999999999999996</v>
      </c>
      <c r="H809" s="120">
        <f>ROUND($P809*Basis!$E$2*((TaH-TrH)/LN(1/µ)/Basis!$E$7)^$N809*$AA$4*Glycol,0)</f>
        <v>1057</v>
      </c>
      <c r="I809" s="83">
        <f>ROUND(H809/(MID($C809,9,3)/Basis!$E$3/Basis!$E$9)*Basis!$E$11,0)</f>
        <v>511</v>
      </c>
      <c r="J809" s="123">
        <f>IF(Basis!$E$1=1,ROUND(H809/((TaH-TrH)*1.163)/3600,3),ROUND(H809/(500*(TaH-TrH)),2))</f>
        <v>0.11</v>
      </c>
      <c r="K809" s="84"/>
      <c r="L809" s="177">
        <f>CHOOSE(Basis!$E$1,((AJ809*(J809*3600/Basis!$E$5)^AK809*(((MID(C809,9,3)*10)-144)/1000)*AL809+AM809*(J809*3600/Basis!$E$5)^2)*0.0098)/Basis!$E$10,((AJ809*(J809/Basis!$E$5)^AK809*(((MID(C809,9,3)*10)-144)/1000)*AL809+AM809*(J809/Basis!$E$5)^2)*0.0098)/Basis!$E$10)</f>
        <v>1.8423636879499701E-3</v>
      </c>
      <c r="M809" s="85"/>
      <c r="N809" s="109">
        <v>1.4390000000000001</v>
      </c>
      <c r="O809" s="68"/>
      <c r="P809" s="67">
        <v>498</v>
      </c>
      <c r="Q809" s="68"/>
      <c r="R809" s="69"/>
      <c r="S809" s="69"/>
      <c r="T809" s="69"/>
      <c r="U809" s="69"/>
      <c r="V809" s="69"/>
      <c r="W809" s="68"/>
      <c r="X809" s="70"/>
      <c r="Y809" s="70"/>
      <c r="Z809" s="70"/>
      <c r="AA809" s="70"/>
      <c r="AB809" s="70"/>
      <c r="AC809" s="68"/>
      <c r="AD809" s="71"/>
      <c r="AE809" s="71"/>
      <c r="AF809" s="71"/>
      <c r="AG809" s="71"/>
      <c r="AH809" s="71"/>
      <c r="AI809" s="68"/>
      <c r="AJ809" s="214">
        <v>3.9689999999999994E-4</v>
      </c>
      <c r="AK809" s="214">
        <v>1.7345999999999999</v>
      </c>
      <c r="AL809" s="214">
        <v>4</v>
      </c>
      <c r="AM809" s="214">
        <v>5.7428799999999995E-4</v>
      </c>
      <c r="AN809" s="68"/>
      <c r="AO809" s="67"/>
      <c r="AP809" s="67"/>
      <c r="AQ809" s="67"/>
      <c r="AR809" s="67"/>
      <c r="AS809" s="67"/>
      <c r="AT809" s="68"/>
      <c r="AU809" s="49"/>
      <c r="AV809" s="50"/>
    </row>
    <row r="810" spans="1:48" ht="12.75" customHeight="1" x14ac:dyDescent="0.25">
      <c r="A810" s="72" t="s">
        <v>20</v>
      </c>
      <c r="B810" s="43" t="s">
        <v>889</v>
      </c>
      <c r="C810" s="44" t="s">
        <v>964</v>
      </c>
      <c r="D810" s="45">
        <f>MROUND(MID($C810,6,3)/Basis!$E$3,0.5)</f>
        <v>23</v>
      </c>
      <c r="E810" s="45">
        <f>MROUND(MID($C810,9,3)/Basis!$E$3,0.5)</f>
        <v>25</v>
      </c>
      <c r="F810" s="124" t="s">
        <v>2946</v>
      </c>
      <c r="G810" s="45">
        <f>ROUND((ROUNDDOWN($F810/5,0)*5+3)/Basis!$E$3,1)</f>
        <v>5.0999999999999996</v>
      </c>
      <c r="H810" s="120">
        <f>ROUND($P810*Basis!$E$2*((TaH-TrH)/LN(1/µ)/Basis!$E$7)^$N810*$AA$4*Glycol,0)</f>
        <v>972</v>
      </c>
      <c r="I810" s="83">
        <f>ROUND(H810/(MID($C810,9,3)/Basis!$E$3/Basis!$E$9)*Basis!$E$11,0)</f>
        <v>470</v>
      </c>
      <c r="J810" s="123">
        <f>IF(Basis!$E$1=1,ROUND(H810/((TaH-TrH)*1.163)/3600,3),ROUND(H810/(500*(TaH-TrH)),2))</f>
        <v>0.1</v>
      </c>
      <c r="K810" s="84"/>
      <c r="L810" s="177">
        <f>CHOOSE(Basis!$E$1,((AJ810*(J810*3600/Basis!$E$5)^AK810*(((MID(C810,9,3)*10)-144)/1000)*AL810+AM810*(J810*3600/Basis!$E$5)^2)*0.0098)/Basis!$E$10,((AJ810*(J810/Basis!$E$5)^AK810*(((MID(C810,9,3)*10)-144)/1000)*AL810+AM810*(J810/Basis!$E$5)^2)*0.0098)/Basis!$E$10)</f>
        <v>1.5368060166197699E-3</v>
      </c>
      <c r="M810" s="85"/>
      <c r="N810" s="109">
        <v>1.4379999999999999</v>
      </c>
      <c r="O810" s="68"/>
      <c r="P810" s="67">
        <v>458</v>
      </c>
      <c r="Q810" s="68"/>
      <c r="R810" s="69"/>
      <c r="S810" s="69"/>
      <c r="T810" s="69"/>
      <c r="U810" s="69"/>
      <c r="V810" s="69"/>
      <c r="W810" s="68"/>
      <c r="X810" s="70"/>
      <c r="Y810" s="70"/>
      <c r="Z810" s="70"/>
      <c r="AA810" s="70"/>
      <c r="AB810" s="70"/>
      <c r="AC810" s="68"/>
      <c r="AD810" s="71"/>
      <c r="AE810" s="71"/>
      <c r="AF810" s="71"/>
      <c r="AG810" s="71"/>
      <c r="AH810" s="71"/>
      <c r="AI810" s="68"/>
      <c r="AJ810" s="214">
        <v>3.9689999999999994E-4</v>
      </c>
      <c r="AK810" s="214">
        <v>1.7345999999999999</v>
      </c>
      <c r="AL810" s="214">
        <v>4</v>
      </c>
      <c r="AM810" s="214">
        <v>5.7428799999999995E-4</v>
      </c>
      <c r="AN810" s="68"/>
      <c r="AO810" s="67"/>
      <c r="AP810" s="67"/>
      <c r="AQ810" s="67"/>
      <c r="AR810" s="67"/>
      <c r="AS810" s="67"/>
      <c r="AT810" s="68"/>
      <c r="AU810" s="49"/>
      <c r="AV810" s="50"/>
    </row>
    <row r="811" spans="1:48" ht="12.75" customHeight="1" x14ac:dyDescent="0.25">
      <c r="A811" s="72" t="s">
        <v>20</v>
      </c>
      <c r="B811" s="43" t="s">
        <v>889</v>
      </c>
      <c r="C811" s="44" t="s">
        <v>965</v>
      </c>
      <c r="D811" s="45">
        <f>MROUND(MID($C811,6,3)/Basis!$E$3,0.5)</f>
        <v>23</v>
      </c>
      <c r="E811" s="45">
        <f>MROUND(MID($C811,9,3)/Basis!$E$3,0.5)</f>
        <v>25</v>
      </c>
      <c r="F811" s="124" t="s">
        <v>2946</v>
      </c>
      <c r="G811" s="45">
        <f>ROUND((ROUNDDOWN($F811/5,0)*5+3)/Basis!$E$3,1)</f>
        <v>5.0999999999999996</v>
      </c>
      <c r="H811" s="120">
        <f>ROUND($P811*Basis!$E$2*((TaH-TrH)/LN(1/µ)/Basis!$E$7)^$N811*$AA$4*Glycol,0)</f>
        <v>1217</v>
      </c>
      <c r="I811" s="83">
        <f>ROUND(H811/(MID($C811,9,3)/Basis!$E$3/Basis!$E$9)*Basis!$E$11,0)</f>
        <v>589</v>
      </c>
      <c r="J811" s="123">
        <f>IF(Basis!$E$1=1,ROUND(H811/((TaH-TrH)*1.163)/3600,3),ROUND(H811/(500*(TaH-TrH)),2))</f>
        <v>0.12</v>
      </c>
      <c r="K811" s="84"/>
      <c r="L811" s="177">
        <f>CHOOSE(Basis!$E$1,((AJ811*(J811*3600/Basis!$E$5)^AK811*(((MID(C811,9,3)*10)-144)/1000)*AL811+AM811*(J811*3600/Basis!$E$5)^2)*0.0098)/Basis!$E$10,((AJ811*(J811/Basis!$E$5)^AK811*(((MID(C811,9,3)*10)-144)/1000)*AL811+AM811*(J811/Basis!$E$5)^2)*0.0098)/Basis!$E$10)</f>
        <v>2.1743548315009916E-3</v>
      </c>
      <c r="M811" s="85"/>
      <c r="N811" s="109">
        <v>1.4370000000000001</v>
      </c>
      <c r="O811" s="68"/>
      <c r="P811" s="67">
        <v>573</v>
      </c>
      <c r="Q811" s="68"/>
      <c r="R811" s="69"/>
      <c r="S811" s="69"/>
      <c r="T811" s="69"/>
      <c r="U811" s="69"/>
      <c r="V811" s="69"/>
      <c r="W811" s="68"/>
      <c r="X811" s="70"/>
      <c r="Y811" s="70"/>
      <c r="Z811" s="70"/>
      <c r="AA811" s="70"/>
      <c r="AB811" s="70"/>
      <c r="AC811" s="68"/>
      <c r="AD811" s="71"/>
      <c r="AE811" s="71"/>
      <c r="AF811" s="71"/>
      <c r="AG811" s="71"/>
      <c r="AH811" s="71"/>
      <c r="AI811" s="68"/>
      <c r="AJ811" s="214">
        <v>3.9689999999999994E-4</v>
      </c>
      <c r="AK811" s="214">
        <v>1.7345999999999999</v>
      </c>
      <c r="AL811" s="214">
        <v>4</v>
      </c>
      <c r="AM811" s="214">
        <v>5.7428799999999995E-4</v>
      </c>
      <c r="AN811" s="68"/>
      <c r="AO811" s="67"/>
      <c r="AP811" s="67"/>
      <c r="AQ811" s="67"/>
      <c r="AR811" s="67"/>
      <c r="AS811" s="67"/>
      <c r="AT811" s="68"/>
      <c r="AU811" s="49"/>
      <c r="AV811" s="50"/>
    </row>
    <row r="812" spans="1:48" ht="12.75" customHeight="1" x14ac:dyDescent="0.25">
      <c r="A812" s="72" t="s">
        <v>20</v>
      </c>
      <c r="B812" s="43" t="s">
        <v>889</v>
      </c>
      <c r="C812" s="44" t="s">
        <v>966</v>
      </c>
      <c r="D812" s="45">
        <f>MROUND(MID($C812,6,3)/Basis!$E$3,0.5)</f>
        <v>23</v>
      </c>
      <c r="E812" s="45">
        <f>MROUND(MID($C812,9,3)/Basis!$E$3,0.5)</f>
        <v>25</v>
      </c>
      <c r="F812" s="124" t="s">
        <v>2947</v>
      </c>
      <c r="G812" s="45">
        <f>ROUND((ROUNDDOWN($F812/5,0)*5+3)/Basis!$E$3,1)</f>
        <v>7.1</v>
      </c>
      <c r="H812" s="120">
        <f>ROUND($P812*Basis!$E$2*((TaH-TrH)/LN(1/µ)/Basis!$E$7)^$N812*$AA$4*Glycol,0)</f>
        <v>1099</v>
      </c>
      <c r="I812" s="83">
        <f>ROUND(H812/(MID($C812,9,3)/Basis!$E$3/Basis!$E$9)*Basis!$E$11,0)</f>
        <v>532</v>
      </c>
      <c r="J812" s="123">
        <f>IF(Basis!$E$1=1,ROUND(H812/((TaH-TrH)*1.163)/3600,3),ROUND(H812/(500*(TaH-TrH)),2))</f>
        <v>0.11</v>
      </c>
      <c r="K812" s="84"/>
      <c r="L812" s="177">
        <f>CHOOSE(Basis!$E$1,((AJ812*(J812*3600/Basis!$E$5)^AK812*(((MID(C812,9,3)*10)-144)/1000)*AL812+AM812*(J812*3600/Basis!$E$5)^2)*0.0098)/Basis!$E$10,((AJ812*(J812/Basis!$E$5)^AK812*(((MID(C812,9,3)*10)-144)/1000)*AL812+AM812*(J812/Basis!$E$5)^2)*0.0098)/Basis!$E$10)</f>
        <v>3.1825523408063965E-3</v>
      </c>
      <c r="M812" s="85"/>
      <c r="N812" s="109">
        <v>1.4570000000000001</v>
      </c>
      <c r="O812" s="68"/>
      <c r="P812" s="67">
        <v>521</v>
      </c>
      <c r="Q812" s="68"/>
      <c r="R812" s="69"/>
      <c r="S812" s="69"/>
      <c r="T812" s="69"/>
      <c r="U812" s="69"/>
      <c r="V812" s="69"/>
      <c r="W812" s="68"/>
      <c r="X812" s="70"/>
      <c r="Y812" s="70"/>
      <c r="Z812" s="70"/>
      <c r="AA812" s="70"/>
      <c r="AB812" s="70"/>
      <c r="AC812" s="68"/>
      <c r="AD812" s="71"/>
      <c r="AE812" s="71"/>
      <c r="AF812" s="71"/>
      <c r="AG812" s="71"/>
      <c r="AH812" s="71"/>
      <c r="AI812" s="68"/>
      <c r="AJ812" s="214">
        <v>2.0829999999999999E-4</v>
      </c>
      <c r="AK812" s="214">
        <v>1.724</v>
      </c>
      <c r="AL812" s="214">
        <v>4</v>
      </c>
      <c r="AM812" s="214">
        <v>1.392796E-3</v>
      </c>
      <c r="AN812" s="68"/>
      <c r="AO812" s="67"/>
      <c r="AP812" s="67"/>
      <c r="AQ812" s="67"/>
      <c r="AR812" s="67"/>
      <c r="AS812" s="67"/>
      <c r="AT812" s="68"/>
      <c r="AU812" s="49"/>
      <c r="AV812" s="50"/>
    </row>
    <row r="813" spans="1:48" ht="12.75" customHeight="1" x14ac:dyDescent="0.25">
      <c r="A813" s="72" t="s">
        <v>20</v>
      </c>
      <c r="B813" s="43" t="s">
        <v>889</v>
      </c>
      <c r="C813" s="44" t="s">
        <v>967</v>
      </c>
      <c r="D813" s="45">
        <f>MROUND(MID($C813,6,3)/Basis!$E$3,0.5)</f>
        <v>23</v>
      </c>
      <c r="E813" s="45">
        <f>MROUND(MID($C813,9,3)/Basis!$E$3,0.5)</f>
        <v>25</v>
      </c>
      <c r="F813" s="124" t="s">
        <v>2947</v>
      </c>
      <c r="G813" s="45">
        <f>ROUND((ROUNDDOWN($F813/5,0)*5+3)/Basis!$E$3,1)</f>
        <v>7.1</v>
      </c>
      <c r="H813" s="120">
        <f>ROUND($P813*Basis!$E$2*((TaH-TrH)/LN(1/µ)/Basis!$E$7)^$N813*$AA$4*Glycol,0)</f>
        <v>1542</v>
      </c>
      <c r="I813" s="83">
        <f>ROUND(H813/(MID($C813,9,3)/Basis!$E$3/Basis!$E$9)*Basis!$E$11,0)</f>
        <v>746</v>
      </c>
      <c r="J813" s="123">
        <f>IF(Basis!$E$1=1,ROUND(H813/((TaH-TrH)*1.163)/3600,3),ROUND(H813/(500*(TaH-TrH)),2))</f>
        <v>0.15</v>
      </c>
      <c r="K813" s="84"/>
      <c r="L813" s="177">
        <f>CHOOSE(Basis!$E$1,((AJ813*(J813*3600/Basis!$E$5)^AK813*(((MID(C813,9,3)*10)-144)/1000)*AL813+AM813*(J813*3600/Basis!$E$5)^2)*0.0098)/Basis!$E$10,((AJ813*(J813/Basis!$E$5)^AK813*(((MID(C813,9,3)*10)-144)/1000)*AL813+AM813*(J813/Basis!$E$5)^2)*0.0098)/Basis!$E$10)</f>
        <v>5.8661025760625377E-3</v>
      </c>
      <c r="M813" s="85"/>
      <c r="N813" s="109">
        <v>1.462</v>
      </c>
      <c r="O813" s="68"/>
      <c r="P813" s="67">
        <v>732</v>
      </c>
      <c r="Q813" s="68"/>
      <c r="R813" s="69"/>
      <c r="S813" s="69"/>
      <c r="T813" s="69"/>
      <c r="U813" s="69"/>
      <c r="V813" s="69"/>
      <c r="W813" s="68"/>
      <c r="X813" s="70"/>
      <c r="Y813" s="70"/>
      <c r="Z813" s="70"/>
      <c r="AA813" s="70"/>
      <c r="AB813" s="70"/>
      <c r="AC813" s="68"/>
      <c r="AD813" s="71"/>
      <c r="AE813" s="71"/>
      <c r="AF813" s="71"/>
      <c r="AG813" s="71"/>
      <c r="AH813" s="71"/>
      <c r="AI813" s="68"/>
      <c r="AJ813" s="214">
        <v>2.0829999999999999E-4</v>
      </c>
      <c r="AK813" s="214">
        <v>1.724</v>
      </c>
      <c r="AL813" s="214">
        <v>4</v>
      </c>
      <c r="AM813" s="214">
        <v>1.392796E-3</v>
      </c>
      <c r="AN813" s="68"/>
      <c r="AO813" s="67"/>
      <c r="AP813" s="67"/>
      <c r="AQ813" s="67"/>
      <c r="AR813" s="67"/>
      <c r="AS813" s="67"/>
      <c r="AT813" s="68"/>
      <c r="AU813" s="49"/>
      <c r="AV813" s="50"/>
    </row>
    <row r="814" spans="1:48" ht="12.75" customHeight="1" x14ac:dyDescent="0.25">
      <c r="A814" s="72" t="s">
        <v>20</v>
      </c>
      <c r="B814" s="43" t="s">
        <v>889</v>
      </c>
      <c r="C814" s="44" t="s">
        <v>968</v>
      </c>
      <c r="D814" s="45">
        <f>MROUND(MID($C814,6,3)/Basis!$E$3,0.5)</f>
        <v>23</v>
      </c>
      <c r="E814" s="45">
        <f>MROUND(MID($C814,9,3)/Basis!$E$3,0.5)</f>
        <v>25</v>
      </c>
      <c r="F814" s="124" t="s">
        <v>2947</v>
      </c>
      <c r="G814" s="45">
        <f>ROUND((ROUNDDOWN($F814/5,0)*5+3)/Basis!$E$3,1)</f>
        <v>7.1</v>
      </c>
      <c r="H814" s="120">
        <f>ROUND($P814*Basis!$E$2*((TaH-TrH)/LN(1/µ)/Basis!$E$7)^$N814*$AA$4*Glycol,0)</f>
        <v>1397</v>
      </c>
      <c r="I814" s="83">
        <f>ROUND(H814/(MID($C814,9,3)/Basis!$E$3/Basis!$E$9)*Basis!$E$11,0)</f>
        <v>676</v>
      </c>
      <c r="J814" s="123">
        <f>IF(Basis!$E$1=1,ROUND(H814/((TaH-TrH)*1.163)/3600,3),ROUND(H814/(500*(TaH-TrH)),2))</f>
        <v>0.14000000000000001</v>
      </c>
      <c r="K814" s="84"/>
      <c r="L814" s="177">
        <f>CHOOSE(Basis!$E$1,((AJ814*(J814*3600/Basis!$E$5)^AK814*(((MID(C814,9,3)*10)-144)/1000)*AL814+AM814*(J814*3600/Basis!$E$5)^2)*0.0098)/Basis!$E$10,((AJ814*(J814/Basis!$E$5)^AK814*(((MID(C814,9,3)*10)-144)/1000)*AL814+AM814*(J814/Basis!$E$5)^2)*0.0098)/Basis!$E$10)</f>
        <v>5.1197458244620344E-3</v>
      </c>
      <c r="M814" s="85"/>
      <c r="N814" s="109">
        <v>1.464</v>
      </c>
      <c r="O814" s="68"/>
      <c r="P814" s="67">
        <v>664</v>
      </c>
      <c r="Q814" s="68"/>
      <c r="R814" s="69"/>
      <c r="S814" s="69"/>
      <c r="T814" s="69"/>
      <c r="U814" s="69"/>
      <c r="V814" s="69"/>
      <c r="W814" s="68"/>
      <c r="X814" s="70"/>
      <c r="Y814" s="70"/>
      <c r="Z814" s="70"/>
      <c r="AA814" s="70"/>
      <c r="AB814" s="70"/>
      <c r="AC814" s="68"/>
      <c r="AD814" s="71"/>
      <c r="AE814" s="71"/>
      <c r="AF814" s="71"/>
      <c r="AG814" s="71"/>
      <c r="AH814" s="71"/>
      <c r="AI814" s="68"/>
      <c r="AJ814" s="214">
        <v>2.0829999999999999E-4</v>
      </c>
      <c r="AK814" s="214">
        <v>1.724</v>
      </c>
      <c r="AL814" s="214">
        <v>4</v>
      </c>
      <c r="AM814" s="214">
        <v>1.392796E-3</v>
      </c>
      <c r="AN814" s="68"/>
      <c r="AO814" s="67"/>
      <c r="AP814" s="67"/>
      <c r="AQ814" s="67"/>
      <c r="AR814" s="67"/>
      <c r="AS814" s="67"/>
      <c r="AT814" s="68"/>
      <c r="AU814" s="49"/>
      <c r="AV814" s="50"/>
    </row>
    <row r="815" spans="1:48" ht="12.75" customHeight="1" x14ac:dyDescent="0.25">
      <c r="A815" s="72" t="s">
        <v>20</v>
      </c>
      <c r="B815" s="43" t="s">
        <v>889</v>
      </c>
      <c r="C815" s="44" t="s">
        <v>969</v>
      </c>
      <c r="D815" s="45">
        <f>MROUND(MID($C815,6,3)/Basis!$E$3,0.5)</f>
        <v>23</v>
      </c>
      <c r="E815" s="45">
        <f>MROUND(MID($C815,9,3)/Basis!$E$3,0.5)</f>
        <v>25</v>
      </c>
      <c r="F815" s="124" t="s">
        <v>2947</v>
      </c>
      <c r="G815" s="45">
        <f>ROUND((ROUNDDOWN($F815/5,0)*5+3)/Basis!$E$3,1)</f>
        <v>7.1</v>
      </c>
      <c r="H815" s="120">
        <f>ROUND($P815*Basis!$E$2*((TaH-TrH)/LN(1/µ)/Basis!$E$7)^$N815*$AA$4*Glycol,0)</f>
        <v>1843</v>
      </c>
      <c r="I815" s="83">
        <f>ROUND(H815/(MID($C815,9,3)/Basis!$E$3/Basis!$E$9)*Basis!$E$11,0)</f>
        <v>892</v>
      </c>
      <c r="J815" s="123">
        <f>IF(Basis!$E$1=1,ROUND(H815/((TaH-TrH)*1.163)/3600,3),ROUND(H815/(500*(TaH-TrH)),2))</f>
        <v>0.18</v>
      </c>
      <c r="K815" s="84"/>
      <c r="L815" s="177">
        <f>CHOOSE(Basis!$E$1,((AJ815*(J815*3600/Basis!$E$5)^AK815*(((MID(C815,9,3)*10)-144)/1000)*AL815+AM815*(J815*3600/Basis!$E$5)^2)*0.0098)/Basis!$E$10,((AJ815*(J815/Basis!$E$5)^AK815*(((MID(C815,9,3)*10)-144)/1000)*AL815+AM815*(J815/Basis!$E$5)^2)*0.0098)/Basis!$E$10)</f>
        <v>8.4061760013034864E-3</v>
      </c>
      <c r="M815" s="85"/>
      <c r="N815" s="109">
        <v>1.468</v>
      </c>
      <c r="O815" s="68"/>
      <c r="P815" s="67">
        <v>877</v>
      </c>
      <c r="Q815" s="68"/>
      <c r="R815" s="69"/>
      <c r="S815" s="69"/>
      <c r="T815" s="69"/>
      <c r="U815" s="69"/>
      <c r="V815" s="69"/>
      <c r="W815" s="68"/>
      <c r="X815" s="70"/>
      <c r="Y815" s="70"/>
      <c r="Z815" s="70"/>
      <c r="AA815" s="70"/>
      <c r="AB815" s="70"/>
      <c r="AC815" s="68"/>
      <c r="AD815" s="71"/>
      <c r="AE815" s="71"/>
      <c r="AF815" s="71"/>
      <c r="AG815" s="71"/>
      <c r="AH815" s="71"/>
      <c r="AI815" s="68"/>
      <c r="AJ815" s="214">
        <v>2.0829999999999999E-4</v>
      </c>
      <c r="AK815" s="214">
        <v>1.724</v>
      </c>
      <c r="AL815" s="214">
        <v>4</v>
      </c>
      <c r="AM815" s="214">
        <v>1.392796E-3</v>
      </c>
      <c r="AN815" s="68"/>
      <c r="AO815" s="67"/>
      <c r="AP815" s="67"/>
      <c r="AQ815" s="67"/>
      <c r="AR815" s="67"/>
      <c r="AS815" s="67"/>
      <c r="AT815" s="68"/>
      <c r="AU815" s="49"/>
      <c r="AV815" s="50"/>
    </row>
    <row r="816" spans="1:48" ht="12.75" customHeight="1" x14ac:dyDescent="0.25">
      <c r="A816" s="72" t="s">
        <v>20</v>
      </c>
      <c r="B816" s="43" t="s">
        <v>889</v>
      </c>
      <c r="C816" s="44" t="s">
        <v>970</v>
      </c>
      <c r="D816" s="45">
        <f>MROUND(MID($C816,6,3)/Basis!$E$3,0.5)</f>
        <v>23</v>
      </c>
      <c r="E816" s="45">
        <f>MROUND(MID($C816,9,3)/Basis!$E$3,0.5)</f>
        <v>25</v>
      </c>
      <c r="F816" s="124" t="s">
        <v>2948</v>
      </c>
      <c r="G816" s="45">
        <f>ROUND((ROUNDDOWN($F816/5,0)*5+3)/Basis!$E$3,1)</f>
        <v>9.1</v>
      </c>
      <c r="H816" s="120">
        <f>ROUND($P816*Basis!$E$2*((TaH-TrH)/LN(1/µ)/Basis!$E$7)^$N816*$AA$4*Glycol,0)</f>
        <v>1385</v>
      </c>
      <c r="I816" s="83">
        <f>ROUND(H816/(MID($C816,9,3)/Basis!$E$3/Basis!$E$9)*Basis!$E$11,0)</f>
        <v>670</v>
      </c>
      <c r="J816" s="123">
        <f>IF(Basis!$E$1=1,ROUND(H816/((TaH-TrH)*1.163)/3600,3),ROUND(H816/(500*(TaH-TrH)),2))</f>
        <v>0.14000000000000001</v>
      </c>
      <c r="K816" s="84"/>
      <c r="L816" s="177">
        <f>CHOOSE(Basis!$E$1,((AJ816*(J816*3600/Basis!$E$5)^AK816*(((MID(C816,9,3)*10)-144)/1000)*AL816+AM816*(J816*3600/Basis!$E$5)^2)*0.0098)/Basis!$E$10,((AJ816*(J816/Basis!$E$5)^AK816*(((MID(C816,9,3)*10)-144)/1000)*AL816+AM816*(J816/Basis!$E$5)^2)*0.0098)/Basis!$E$10)</f>
        <v>2.0132636693558819E-3</v>
      </c>
      <c r="M816" s="85"/>
      <c r="N816" s="109">
        <v>1.472</v>
      </c>
      <c r="O816" s="68"/>
      <c r="P816" s="67">
        <v>660</v>
      </c>
      <c r="Q816" s="68"/>
      <c r="R816" s="69"/>
      <c r="S816" s="69"/>
      <c r="T816" s="69"/>
      <c r="U816" s="69"/>
      <c r="V816" s="69"/>
      <c r="W816" s="68"/>
      <c r="X816" s="70"/>
      <c r="Y816" s="70"/>
      <c r="Z816" s="70"/>
      <c r="AA816" s="70"/>
      <c r="AB816" s="70"/>
      <c r="AC816" s="68"/>
      <c r="AD816" s="71"/>
      <c r="AE816" s="71"/>
      <c r="AF816" s="71"/>
      <c r="AG816" s="71"/>
      <c r="AH816" s="71"/>
      <c r="AI816" s="68"/>
      <c r="AJ816" s="214">
        <v>1.2760000000000001E-4</v>
      </c>
      <c r="AK816" s="214">
        <v>1.7219</v>
      </c>
      <c r="AL816" s="214">
        <v>4</v>
      </c>
      <c r="AM816" s="214">
        <v>5.1420100000000005E-4</v>
      </c>
      <c r="AN816" s="68"/>
      <c r="AO816" s="67"/>
      <c r="AP816" s="67"/>
      <c r="AQ816" s="67"/>
      <c r="AR816" s="67"/>
      <c r="AS816" s="67"/>
      <c r="AT816" s="68"/>
      <c r="AU816" s="49"/>
      <c r="AV816" s="50"/>
    </row>
    <row r="817" spans="1:48" ht="12.75" customHeight="1" x14ac:dyDescent="0.25">
      <c r="A817" s="72" t="s">
        <v>20</v>
      </c>
      <c r="B817" s="43" t="s">
        <v>889</v>
      </c>
      <c r="C817" s="44" t="s">
        <v>971</v>
      </c>
      <c r="D817" s="45">
        <f>MROUND(MID($C817,6,3)/Basis!$E$3,0.5)</f>
        <v>23</v>
      </c>
      <c r="E817" s="45">
        <f>MROUND(MID($C817,9,3)/Basis!$E$3,0.5)</f>
        <v>25</v>
      </c>
      <c r="F817" s="124" t="s">
        <v>2948</v>
      </c>
      <c r="G817" s="45">
        <f>ROUND((ROUNDDOWN($F817/5,0)*5+3)/Basis!$E$3,1)</f>
        <v>9.1</v>
      </c>
      <c r="H817" s="120">
        <f>ROUND($P817*Basis!$E$2*((TaH-TrH)/LN(1/µ)/Basis!$E$7)^$N817*$AA$4*Glycol,0)</f>
        <v>1985</v>
      </c>
      <c r="I817" s="83">
        <f>ROUND(H817/(MID($C817,9,3)/Basis!$E$3/Basis!$E$9)*Basis!$E$11,0)</f>
        <v>960</v>
      </c>
      <c r="J817" s="123">
        <f>IF(Basis!$E$1=1,ROUND(H817/((TaH-TrH)*1.163)/3600,3),ROUND(H817/(500*(TaH-TrH)),2))</f>
        <v>0.2</v>
      </c>
      <c r="K817" s="84"/>
      <c r="L817" s="177">
        <f>CHOOSE(Basis!$E$1,((AJ817*(J817*3600/Basis!$E$5)^AK817*(((MID(C817,9,3)*10)-144)/1000)*AL817+AM817*(J817*3600/Basis!$E$5)^2)*0.0098)/Basis!$E$10,((AJ817*(J817/Basis!$E$5)^AK817*(((MID(C817,9,3)*10)-144)/1000)*AL817+AM817*(J817/Basis!$E$5)^2)*0.0098)/Basis!$E$10)</f>
        <v>4.0483140557496964E-3</v>
      </c>
      <c r="M817" s="85"/>
      <c r="N817" s="109">
        <v>1.48</v>
      </c>
      <c r="O817" s="68"/>
      <c r="P817" s="67">
        <v>948</v>
      </c>
      <c r="Q817" s="68"/>
      <c r="R817" s="69"/>
      <c r="S817" s="69"/>
      <c r="T817" s="69"/>
      <c r="U817" s="69"/>
      <c r="V817" s="69"/>
      <c r="W817" s="68"/>
      <c r="X817" s="70"/>
      <c r="Y817" s="70"/>
      <c r="Z817" s="70"/>
      <c r="AA817" s="70"/>
      <c r="AB817" s="70"/>
      <c r="AC817" s="68"/>
      <c r="AD817" s="71"/>
      <c r="AE817" s="71"/>
      <c r="AF817" s="71"/>
      <c r="AG817" s="71"/>
      <c r="AH817" s="71"/>
      <c r="AI817" s="68"/>
      <c r="AJ817" s="214">
        <v>1.2760000000000001E-4</v>
      </c>
      <c r="AK817" s="214">
        <v>1.7219</v>
      </c>
      <c r="AL817" s="214">
        <v>4</v>
      </c>
      <c r="AM817" s="214">
        <v>5.1420100000000005E-4</v>
      </c>
      <c r="AN817" s="68"/>
      <c r="AO817" s="67"/>
      <c r="AP817" s="67"/>
      <c r="AQ817" s="67"/>
      <c r="AR817" s="67"/>
      <c r="AS817" s="67"/>
      <c r="AT817" s="68"/>
      <c r="AU817" s="49"/>
      <c r="AV817" s="50"/>
    </row>
    <row r="818" spans="1:48" ht="12.75" customHeight="1" x14ac:dyDescent="0.25">
      <c r="A818" s="72" t="s">
        <v>20</v>
      </c>
      <c r="B818" s="43" t="s">
        <v>889</v>
      </c>
      <c r="C818" s="44" t="s">
        <v>972</v>
      </c>
      <c r="D818" s="45">
        <f>MROUND(MID($C818,6,3)/Basis!$E$3,0.5)</f>
        <v>23</v>
      </c>
      <c r="E818" s="45">
        <f>MROUND(MID($C818,9,3)/Basis!$E$3,0.5)</f>
        <v>25</v>
      </c>
      <c r="F818" s="124" t="s">
        <v>2948</v>
      </c>
      <c r="G818" s="45">
        <f>ROUND((ROUNDDOWN($F818/5,0)*5+3)/Basis!$E$3,1)</f>
        <v>9.1</v>
      </c>
      <c r="H818" s="120">
        <f>ROUND($P818*Basis!$E$2*((TaH-TrH)/LN(1/µ)/Basis!$E$7)^$N818*$AA$4*Glycol,0)</f>
        <v>1815</v>
      </c>
      <c r="I818" s="83">
        <f>ROUND(H818/(MID($C818,9,3)/Basis!$E$3/Basis!$E$9)*Basis!$E$11,0)</f>
        <v>878</v>
      </c>
      <c r="J818" s="123">
        <f>IF(Basis!$E$1=1,ROUND(H818/((TaH-TrH)*1.163)/3600,3),ROUND(H818/(500*(TaH-TrH)),2))</f>
        <v>0.18</v>
      </c>
      <c r="K818" s="84"/>
      <c r="L818" s="177">
        <f>CHOOSE(Basis!$E$1,((AJ818*(J818*3600/Basis!$E$5)^AK818*(((MID(C818,9,3)*10)-144)/1000)*AL818+AM818*(J818*3600/Basis!$E$5)^2)*0.0098)/Basis!$E$10,((AJ818*(J818/Basis!$E$5)^AK818*(((MID(C818,9,3)*10)-144)/1000)*AL818+AM818*(J818/Basis!$E$5)^2)*0.0098)/Basis!$E$10)</f>
        <v>3.2930819041482955E-3</v>
      </c>
      <c r="M818" s="85"/>
      <c r="N818" s="109">
        <v>1.484</v>
      </c>
      <c r="O818" s="68"/>
      <c r="P818" s="67">
        <v>868</v>
      </c>
      <c r="Q818" s="68"/>
      <c r="R818" s="69"/>
      <c r="S818" s="69"/>
      <c r="T818" s="69"/>
      <c r="U818" s="69"/>
      <c r="V818" s="69"/>
      <c r="W818" s="68"/>
      <c r="X818" s="70"/>
      <c r="Y818" s="70"/>
      <c r="Z818" s="70"/>
      <c r="AA818" s="70"/>
      <c r="AB818" s="70"/>
      <c r="AC818" s="68"/>
      <c r="AD818" s="71"/>
      <c r="AE818" s="71"/>
      <c r="AF818" s="71"/>
      <c r="AG818" s="71"/>
      <c r="AH818" s="71"/>
      <c r="AI818" s="68"/>
      <c r="AJ818" s="214">
        <v>1.2760000000000001E-4</v>
      </c>
      <c r="AK818" s="214">
        <v>1.7219</v>
      </c>
      <c r="AL818" s="214">
        <v>4</v>
      </c>
      <c r="AM818" s="214">
        <v>5.1420100000000005E-4</v>
      </c>
      <c r="AN818" s="68"/>
      <c r="AO818" s="67"/>
      <c r="AP818" s="67"/>
      <c r="AQ818" s="67"/>
      <c r="AR818" s="67"/>
      <c r="AS818" s="67"/>
      <c r="AT818" s="68"/>
      <c r="AU818" s="49"/>
      <c r="AV818" s="50"/>
    </row>
    <row r="819" spans="1:48" ht="12.75" customHeight="1" x14ac:dyDescent="0.25">
      <c r="A819" s="72" t="s">
        <v>20</v>
      </c>
      <c r="B819" s="43" t="s">
        <v>889</v>
      </c>
      <c r="C819" s="44" t="s">
        <v>973</v>
      </c>
      <c r="D819" s="45">
        <f>MROUND(MID($C819,6,3)/Basis!$E$3,0.5)</f>
        <v>23</v>
      </c>
      <c r="E819" s="45">
        <f>MROUND(MID($C819,9,3)/Basis!$E$3,0.5)</f>
        <v>25</v>
      </c>
      <c r="F819" s="124" t="s">
        <v>2948</v>
      </c>
      <c r="G819" s="45">
        <f>ROUND((ROUNDDOWN($F819/5,0)*5+3)/Basis!$E$3,1)</f>
        <v>9.1</v>
      </c>
      <c r="H819" s="120">
        <f>ROUND($P819*Basis!$E$2*((TaH-TrH)/LN(1/µ)/Basis!$E$7)^$N819*$AA$4*Glycol,0)</f>
        <v>2431</v>
      </c>
      <c r="I819" s="83">
        <f>ROUND(H819/(MID($C819,9,3)/Basis!$E$3/Basis!$E$9)*Basis!$E$11,0)</f>
        <v>1176</v>
      </c>
      <c r="J819" s="123">
        <f>IF(Basis!$E$1=1,ROUND(H819/((TaH-TrH)*1.163)/3600,3),ROUND(H819/(500*(TaH-TrH)),2))</f>
        <v>0.24</v>
      </c>
      <c r="K819" s="84"/>
      <c r="L819" s="177">
        <f>CHOOSE(Basis!$E$1,((AJ819*(J819*3600/Basis!$E$5)^AK819*(((MID(C819,9,3)*10)-144)/1000)*AL819+AM819*(J819*3600/Basis!$E$5)^2)*0.0098)/Basis!$E$10,((AJ819*(J819/Basis!$E$5)^AK819*(((MID(C819,9,3)*10)-144)/1000)*AL819+AM819*(J819/Basis!$E$5)^2)*0.0098)/Basis!$E$10)</f>
        <v>5.7883441877267187E-3</v>
      </c>
      <c r="M819" s="85"/>
      <c r="N819" s="109">
        <v>1.492</v>
      </c>
      <c r="O819" s="68"/>
      <c r="P819" s="67">
        <v>1166</v>
      </c>
      <c r="Q819" s="68"/>
      <c r="R819" s="69"/>
      <c r="S819" s="69"/>
      <c r="T819" s="69"/>
      <c r="U819" s="69"/>
      <c r="V819" s="69"/>
      <c r="W819" s="68"/>
      <c r="X819" s="70"/>
      <c r="Y819" s="70"/>
      <c r="Z819" s="70"/>
      <c r="AA819" s="70"/>
      <c r="AB819" s="70"/>
      <c r="AC819" s="68"/>
      <c r="AD819" s="71"/>
      <c r="AE819" s="71"/>
      <c r="AF819" s="71"/>
      <c r="AG819" s="71"/>
      <c r="AH819" s="71"/>
      <c r="AI819" s="68"/>
      <c r="AJ819" s="214">
        <v>1.2760000000000001E-4</v>
      </c>
      <c r="AK819" s="214">
        <v>1.7219</v>
      </c>
      <c r="AL819" s="214">
        <v>4</v>
      </c>
      <c r="AM819" s="214">
        <v>5.1420100000000005E-4</v>
      </c>
      <c r="AN819" s="68"/>
      <c r="AO819" s="67"/>
      <c r="AP819" s="67"/>
      <c r="AQ819" s="67"/>
      <c r="AR819" s="67"/>
      <c r="AS819" s="67"/>
      <c r="AT819" s="68"/>
      <c r="AU819" s="49"/>
      <c r="AV819" s="50"/>
    </row>
    <row r="820" spans="1:48" ht="12.75" customHeight="1" x14ac:dyDescent="0.25">
      <c r="A820" s="72" t="s">
        <v>20</v>
      </c>
      <c r="B820" s="43" t="s">
        <v>889</v>
      </c>
      <c r="C820" s="44" t="s">
        <v>974</v>
      </c>
      <c r="D820" s="45">
        <f>MROUND(MID($C820,6,3)/Basis!$E$3,0.5)</f>
        <v>23</v>
      </c>
      <c r="E820" s="45">
        <f>MROUND(MID($C820,9,3)/Basis!$E$3,0.5)</f>
        <v>32.5</v>
      </c>
      <c r="F820" s="124" t="s">
        <v>2946</v>
      </c>
      <c r="G820" s="45">
        <f>ROUND((ROUNDDOWN($F820/5,0)*5+3)/Basis!$E$3,1)</f>
        <v>5.0999999999999996</v>
      </c>
      <c r="H820" s="120">
        <f>ROUND($P820*Basis!$E$2*((TaH-TrH)/LN(1/µ)/Basis!$E$7)^$N820*$AA$4*Glycol,0)</f>
        <v>1182</v>
      </c>
      <c r="I820" s="83">
        <f>ROUND(H820/(MID($C820,9,3)/Basis!$E$3/Basis!$E$9)*Basis!$E$11,0)</f>
        <v>434</v>
      </c>
      <c r="J820" s="123">
        <f>IF(Basis!$E$1=1,ROUND(H820/((TaH-TrH)*1.163)/3600,3),ROUND(H820/(500*(TaH-TrH)),2))</f>
        <v>0.12</v>
      </c>
      <c r="K820" s="84"/>
      <c r="L820" s="177">
        <f>CHOOSE(Basis!$E$1,((AJ820*(J820*3600/Basis!$E$5)^AK820*(((MID(C820,9,3)*10)-144)/1000)*AL820+AM820*(J820*3600/Basis!$E$5)^2)*0.0098)/Basis!$E$10,((AJ820*(J820/Basis!$E$5)^AK820*(((MID(C820,9,3)*10)-144)/1000)*AL820+AM820*(J820/Basis!$E$5)^2)*0.0098)/Basis!$E$10)</f>
        <v>2.4951351645914298E-3</v>
      </c>
      <c r="M820" s="85"/>
      <c r="N820" s="109">
        <v>1.44</v>
      </c>
      <c r="O820" s="68"/>
      <c r="P820" s="67">
        <v>557</v>
      </c>
      <c r="Q820" s="68"/>
      <c r="R820" s="69"/>
      <c r="S820" s="69"/>
      <c r="T820" s="69"/>
      <c r="U820" s="69"/>
      <c r="V820" s="69"/>
      <c r="W820" s="68"/>
      <c r="X820" s="70"/>
      <c r="Y820" s="70"/>
      <c r="Z820" s="70"/>
      <c r="AA820" s="70"/>
      <c r="AB820" s="70"/>
      <c r="AC820" s="68"/>
      <c r="AD820" s="71"/>
      <c r="AE820" s="71"/>
      <c r="AF820" s="71"/>
      <c r="AG820" s="71"/>
      <c r="AH820" s="71"/>
      <c r="AI820" s="68"/>
      <c r="AJ820" s="214">
        <v>3.9689999999999994E-4</v>
      </c>
      <c r="AK820" s="214">
        <v>1.7345999999999999</v>
      </c>
      <c r="AL820" s="214">
        <v>4</v>
      </c>
      <c r="AM820" s="214">
        <v>5.7428799999999995E-4</v>
      </c>
      <c r="AN820" s="68"/>
      <c r="AO820" s="67"/>
      <c r="AP820" s="67"/>
      <c r="AQ820" s="67"/>
      <c r="AR820" s="67"/>
      <c r="AS820" s="67"/>
      <c r="AT820" s="68"/>
      <c r="AU820" s="49"/>
      <c r="AV820" s="50"/>
    </row>
    <row r="821" spans="1:48" ht="12.75" customHeight="1" x14ac:dyDescent="0.25">
      <c r="A821" s="72" t="s">
        <v>20</v>
      </c>
      <c r="B821" s="43" t="s">
        <v>889</v>
      </c>
      <c r="C821" s="44" t="s">
        <v>975</v>
      </c>
      <c r="D821" s="45">
        <f>MROUND(MID($C821,6,3)/Basis!$E$3,0.5)</f>
        <v>23</v>
      </c>
      <c r="E821" s="45">
        <f>MROUND(MID($C821,9,3)/Basis!$E$3,0.5)</f>
        <v>32.5</v>
      </c>
      <c r="F821" s="124" t="s">
        <v>2946</v>
      </c>
      <c r="G821" s="45">
        <f>ROUND((ROUNDDOWN($F821/5,0)*5+3)/Basis!$E$3,1)</f>
        <v>5.0999999999999996</v>
      </c>
      <c r="H821" s="120">
        <f>ROUND($P821*Basis!$E$2*((TaH-TrH)/LN(1/µ)/Basis!$E$7)^$N821*$AA$4*Glycol,0)</f>
        <v>1553</v>
      </c>
      <c r="I821" s="83">
        <f>ROUND(H821/(MID($C821,9,3)/Basis!$E$3/Basis!$E$9)*Basis!$E$11,0)</f>
        <v>570</v>
      </c>
      <c r="J821" s="123">
        <f>IF(Basis!$E$1=1,ROUND(H821/((TaH-TrH)*1.163)/3600,3),ROUND(H821/(500*(TaH-TrH)),2))</f>
        <v>0.16</v>
      </c>
      <c r="K821" s="84"/>
      <c r="L821" s="177">
        <f>CHOOSE(Basis!$E$1,((AJ821*(J821*3600/Basis!$E$5)^AK821*(((MID(C821,9,3)*10)-144)/1000)*AL821+AM821*(J821*3600/Basis!$E$5)^2)*0.0098)/Basis!$E$10,((AJ821*(J821/Basis!$E$5)^AK821*(((MID(C821,9,3)*10)-144)/1000)*AL821+AM821*(J821/Basis!$E$5)^2)*0.0098)/Basis!$E$10)</f>
        <v>4.2920090025080236E-3</v>
      </c>
      <c r="M821" s="85"/>
      <c r="N821" s="109">
        <v>1.4390000000000001</v>
      </c>
      <c r="O821" s="68"/>
      <c r="P821" s="67">
        <v>732</v>
      </c>
      <c r="Q821" s="68"/>
      <c r="R821" s="69"/>
      <c r="S821" s="69"/>
      <c r="T821" s="69"/>
      <c r="U821" s="69"/>
      <c r="V821" s="69"/>
      <c r="W821" s="68"/>
      <c r="X821" s="70"/>
      <c r="Y821" s="70"/>
      <c r="Z821" s="70"/>
      <c r="AA821" s="70"/>
      <c r="AB821" s="70"/>
      <c r="AC821" s="68"/>
      <c r="AD821" s="71"/>
      <c r="AE821" s="71"/>
      <c r="AF821" s="71"/>
      <c r="AG821" s="71"/>
      <c r="AH821" s="71"/>
      <c r="AI821" s="68"/>
      <c r="AJ821" s="214">
        <v>3.9689999999999994E-4</v>
      </c>
      <c r="AK821" s="214">
        <v>1.7345999999999999</v>
      </c>
      <c r="AL821" s="214">
        <v>4</v>
      </c>
      <c r="AM821" s="214">
        <v>5.7428799999999995E-4</v>
      </c>
      <c r="AN821" s="68"/>
      <c r="AO821" s="67"/>
      <c r="AP821" s="67"/>
      <c r="AQ821" s="67"/>
      <c r="AR821" s="67"/>
      <c r="AS821" s="67"/>
      <c r="AT821" s="68"/>
      <c r="AU821" s="49"/>
      <c r="AV821" s="50"/>
    </row>
    <row r="822" spans="1:48" ht="12.75" customHeight="1" x14ac:dyDescent="0.25">
      <c r="A822" s="72" t="s">
        <v>20</v>
      </c>
      <c r="B822" s="43" t="s">
        <v>889</v>
      </c>
      <c r="C822" s="44" t="s">
        <v>976</v>
      </c>
      <c r="D822" s="45">
        <f>MROUND(MID($C822,6,3)/Basis!$E$3,0.5)</f>
        <v>23</v>
      </c>
      <c r="E822" s="45">
        <f>MROUND(MID($C822,9,3)/Basis!$E$3,0.5)</f>
        <v>32.5</v>
      </c>
      <c r="F822" s="124" t="s">
        <v>2946</v>
      </c>
      <c r="G822" s="45">
        <f>ROUND((ROUNDDOWN($F822/5,0)*5+3)/Basis!$E$3,1)</f>
        <v>5.0999999999999996</v>
      </c>
      <c r="H822" s="120">
        <f>ROUND($P822*Basis!$E$2*((TaH-TrH)/LN(1/µ)/Basis!$E$7)^$N822*$AA$4*Glycol,0)</f>
        <v>1431</v>
      </c>
      <c r="I822" s="83">
        <f>ROUND(H822/(MID($C822,9,3)/Basis!$E$3/Basis!$E$9)*Basis!$E$11,0)</f>
        <v>526</v>
      </c>
      <c r="J822" s="123">
        <f>IF(Basis!$E$1=1,ROUND(H822/((TaH-TrH)*1.163)/3600,3),ROUND(H822/(500*(TaH-TrH)),2))</f>
        <v>0.14000000000000001</v>
      </c>
      <c r="K822" s="84"/>
      <c r="L822" s="177">
        <f>CHOOSE(Basis!$E$1,((AJ822*(J822*3600/Basis!$E$5)^AK822*(((MID(C822,9,3)*10)-144)/1000)*AL822+AM822*(J822*3600/Basis!$E$5)^2)*0.0098)/Basis!$E$10,((AJ822*(J822/Basis!$E$5)^AK822*(((MID(C822,9,3)*10)-144)/1000)*AL822+AM822*(J822/Basis!$E$5)^2)*0.0098)/Basis!$E$10)</f>
        <v>3.336123445370633E-3</v>
      </c>
      <c r="M822" s="85"/>
      <c r="N822" s="109">
        <v>1.4379999999999999</v>
      </c>
      <c r="O822" s="68"/>
      <c r="P822" s="67">
        <v>674</v>
      </c>
      <c r="Q822" s="68"/>
      <c r="R822" s="69"/>
      <c r="S822" s="69"/>
      <c r="T822" s="69"/>
      <c r="U822" s="69"/>
      <c r="V822" s="69"/>
      <c r="W822" s="68"/>
      <c r="X822" s="70"/>
      <c r="Y822" s="70"/>
      <c r="Z822" s="70"/>
      <c r="AA822" s="70"/>
      <c r="AB822" s="70"/>
      <c r="AC822" s="68"/>
      <c r="AD822" s="71"/>
      <c r="AE822" s="71"/>
      <c r="AF822" s="71"/>
      <c r="AG822" s="71"/>
      <c r="AH822" s="71"/>
      <c r="AI822" s="68"/>
      <c r="AJ822" s="214">
        <v>3.9689999999999994E-4</v>
      </c>
      <c r="AK822" s="214">
        <v>1.7345999999999999</v>
      </c>
      <c r="AL822" s="214">
        <v>4</v>
      </c>
      <c r="AM822" s="214">
        <v>5.7428799999999995E-4</v>
      </c>
      <c r="AN822" s="68"/>
      <c r="AO822" s="67"/>
      <c r="AP822" s="67"/>
      <c r="AQ822" s="67"/>
      <c r="AR822" s="67"/>
      <c r="AS822" s="67"/>
      <c r="AT822" s="68"/>
      <c r="AU822" s="49"/>
      <c r="AV822" s="50"/>
    </row>
    <row r="823" spans="1:48" ht="12.75" customHeight="1" x14ac:dyDescent="0.25">
      <c r="A823" s="72" t="s">
        <v>20</v>
      </c>
      <c r="B823" s="43" t="s">
        <v>889</v>
      </c>
      <c r="C823" s="44" t="s">
        <v>977</v>
      </c>
      <c r="D823" s="45">
        <f>MROUND(MID($C823,6,3)/Basis!$E$3,0.5)</f>
        <v>23</v>
      </c>
      <c r="E823" s="45">
        <f>MROUND(MID($C823,9,3)/Basis!$E$3,0.5)</f>
        <v>32.5</v>
      </c>
      <c r="F823" s="124" t="s">
        <v>2946</v>
      </c>
      <c r="G823" s="45">
        <f>ROUND((ROUNDDOWN($F823/5,0)*5+3)/Basis!$E$3,1)</f>
        <v>5.0999999999999996</v>
      </c>
      <c r="H823" s="120">
        <f>ROUND($P823*Basis!$E$2*((TaH-TrH)/LN(1/µ)/Basis!$E$7)^$N823*$AA$4*Glycol,0)</f>
        <v>1792</v>
      </c>
      <c r="I823" s="83">
        <f>ROUND(H823/(MID($C823,9,3)/Basis!$E$3/Basis!$E$9)*Basis!$E$11,0)</f>
        <v>658</v>
      </c>
      <c r="J823" s="123">
        <f>IF(Basis!$E$1=1,ROUND(H823/((TaH-TrH)*1.163)/3600,3),ROUND(H823/(500*(TaH-TrH)),2))</f>
        <v>0.18</v>
      </c>
      <c r="K823" s="84"/>
      <c r="L823" s="177">
        <f>CHOOSE(Basis!$E$1,((AJ823*(J823*3600/Basis!$E$5)^AK823*(((MID(C823,9,3)*10)-144)/1000)*AL823+AM823*(J823*3600/Basis!$E$5)^2)*0.0098)/Basis!$E$10,((AJ823*(J823/Basis!$E$5)^AK823*(((MID(C823,9,3)*10)-144)/1000)*AL823+AM823*(J823/Basis!$E$5)^2)*0.0098)/Basis!$E$10)</f>
        <v>5.3614845676970549E-3</v>
      </c>
      <c r="M823" s="85"/>
      <c r="N823" s="109">
        <v>1.4370000000000001</v>
      </c>
      <c r="O823" s="68"/>
      <c r="P823" s="67">
        <v>844</v>
      </c>
      <c r="Q823" s="68"/>
      <c r="R823" s="69"/>
      <c r="S823" s="69"/>
      <c r="T823" s="69"/>
      <c r="U823" s="69"/>
      <c r="V823" s="69"/>
      <c r="W823" s="68"/>
      <c r="X823" s="70"/>
      <c r="Y823" s="70"/>
      <c r="Z823" s="70"/>
      <c r="AA823" s="70"/>
      <c r="AB823" s="70"/>
      <c r="AC823" s="68"/>
      <c r="AD823" s="71"/>
      <c r="AE823" s="71"/>
      <c r="AF823" s="71"/>
      <c r="AG823" s="71"/>
      <c r="AH823" s="71"/>
      <c r="AI823" s="68"/>
      <c r="AJ823" s="214">
        <v>3.9689999999999994E-4</v>
      </c>
      <c r="AK823" s="214">
        <v>1.7345999999999999</v>
      </c>
      <c r="AL823" s="214">
        <v>4</v>
      </c>
      <c r="AM823" s="214">
        <v>5.7428799999999995E-4</v>
      </c>
      <c r="AN823" s="68"/>
      <c r="AO823" s="67"/>
      <c r="AP823" s="67"/>
      <c r="AQ823" s="67"/>
      <c r="AR823" s="67"/>
      <c r="AS823" s="67"/>
      <c r="AT823" s="68"/>
      <c r="AU823" s="49"/>
      <c r="AV823" s="50"/>
    </row>
    <row r="824" spans="1:48" ht="12.75" customHeight="1" x14ac:dyDescent="0.25">
      <c r="A824" s="72" t="s">
        <v>20</v>
      </c>
      <c r="B824" s="43" t="s">
        <v>889</v>
      </c>
      <c r="C824" s="44" t="s">
        <v>978</v>
      </c>
      <c r="D824" s="45">
        <f>MROUND(MID($C824,6,3)/Basis!$E$3,0.5)</f>
        <v>23</v>
      </c>
      <c r="E824" s="45">
        <f>MROUND(MID($C824,9,3)/Basis!$E$3,0.5)</f>
        <v>32.5</v>
      </c>
      <c r="F824" s="124" t="s">
        <v>2947</v>
      </c>
      <c r="G824" s="45">
        <f>ROUND((ROUNDDOWN($F824/5,0)*5+3)/Basis!$E$3,1)</f>
        <v>7.1</v>
      </c>
      <c r="H824" s="120">
        <f>ROUND($P824*Basis!$E$2*((TaH-TrH)/LN(1/µ)/Basis!$E$7)^$N824*$AA$4*Glycol,0)</f>
        <v>1618</v>
      </c>
      <c r="I824" s="83">
        <f>ROUND(H824/(MID($C824,9,3)/Basis!$E$3/Basis!$E$9)*Basis!$E$11,0)</f>
        <v>594</v>
      </c>
      <c r="J824" s="123">
        <f>IF(Basis!$E$1=1,ROUND(H824/((TaH-TrH)*1.163)/3600,3),ROUND(H824/(500*(TaH-TrH)),2))</f>
        <v>0.16</v>
      </c>
      <c r="K824" s="84"/>
      <c r="L824" s="177">
        <f>CHOOSE(Basis!$E$1,((AJ824*(J824*3600/Basis!$E$5)^AK824*(((MID(C824,9,3)*10)-144)/1000)*AL824+AM824*(J824*3600/Basis!$E$5)^2)*0.0098)/Basis!$E$10,((AJ824*(J824/Basis!$E$5)^AK824*(((MID(C824,9,3)*10)-144)/1000)*AL824+AM824*(J824/Basis!$E$5)^2)*0.0098)/Basis!$E$10)</f>
        <v>6.9295920743358526E-3</v>
      </c>
      <c r="M824" s="85"/>
      <c r="N824" s="109">
        <v>1.4570000000000001</v>
      </c>
      <c r="O824" s="68"/>
      <c r="P824" s="67">
        <v>767</v>
      </c>
      <c r="Q824" s="68"/>
      <c r="R824" s="69"/>
      <c r="S824" s="69"/>
      <c r="T824" s="69"/>
      <c r="U824" s="69"/>
      <c r="V824" s="69"/>
      <c r="W824" s="68"/>
      <c r="X824" s="70"/>
      <c r="Y824" s="70"/>
      <c r="Z824" s="70"/>
      <c r="AA824" s="70"/>
      <c r="AB824" s="70"/>
      <c r="AC824" s="68"/>
      <c r="AD824" s="71"/>
      <c r="AE824" s="71"/>
      <c r="AF824" s="71"/>
      <c r="AG824" s="71"/>
      <c r="AH824" s="71"/>
      <c r="AI824" s="68"/>
      <c r="AJ824" s="214">
        <v>2.0829999999999999E-4</v>
      </c>
      <c r="AK824" s="214">
        <v>1.724</v>
      </c>
      <c r="AL824" s="214">
        <v>4</v>
      </c>
      <c r="AM824" s="214">
        <v>1.392796E-3</v>
      </c>
      <c r="AN824" s="68"/>
      <c r="AO824" s="67"/>
      <c r="AP824" s="67"/>
      <c r="AQ824" s="67"/>
      <c r="AR824" s="67"/>
      <c r="AS824" s="67"/>
      <c r="AT824" s="68"/>
      <c r="AU824" s="49"/>
      <c r="AV824" s="50"/>
    </row>
    <row r="825" spans="1:48" ht="12.75" customHeight="1" x14ac:dyDescent="0.25">
      <c r="A825" s="72" t="s">
        <v>20</v>
      </c>
      <c r="B825" s="43" t="s">
        <v>889</v>
      </c>
      <c r="C825" s="44" t="s">
        <v>979</v>
      </c>
      <c r="D825" s="45">
        <f>MROUND(MID($C825,6,3)/Basis!$E$3,0.5)</f>
        <v>23</v>
      </c>
      <c r="E825" s="45">
        <f>MROUND(MID($C825,9,3)/Basis!$E$3,0.5)</f>
        <v>32.5</v>
      </c>
      <c r="F825" s="124" t="s">
        <v>2947</v>
      </c>
      <c r="G825" s="45">
        <f>ROUND((ROUNDDOWN($F825/5,0)*5+3)/Basis!$E$3,1)</f>
        <v>7.1</v>
      </c>
      <c r="H825" s="120">
        <f>ROUND($P825*Basis!$E$2*((TaH-TrH)/LN(1/µ)/Basis!$E$7)^$N825*$AA$4*Glycol,0)</f>
        <v>2270</v>
      </c>
      <c r="I825" s="83">
        <f>ROUND(H825/(MID($C825,9,3)/Basis!$E$3/Basis!$E$9)*Basis!$E$11,0)</f>
        <v>834</v>
      </c>
      <c r="J825" s="123">
        <f>IF(Basis!$E$1=1,ROUND(H825/((TaH-TrH)*1.163)/3600,3),ROUND(H825/(500*(TaH-TrH)),2))</f>
        <v>0.23</v>
      </c>
      <c r="K825" s="84"/>
      <c r="L825" s="177">
        <f>CHOOSE(Basis!$E$1,((AJ825*(J825*3600/Basis!$E$5)^AK825*(((MID(C825,9,3)*10)-144)/1000)*AL825+AM825*(J825*3600/Basis!$E$5)^2)*0.0098)/Basis!$E$10,((AJ825*(J825/Basis!$E$5)^AK825*(((MID(C825,9,3)*10)-144)/1000)*AL825+AM825*(J825/Basis!$E$5)^2)*0.0098)/Basis!$E$10)</f>
        <v>1.4139034490645172E-2</v>
      </c>
      <c r="M825" s="85"/>
      <c r="N825" s="109">
        <v>1.462</v>
      </c>
      <c r="O825" s="68"/>
      <c r="P825" s="67">
        <v>1078</v>
      </c>
      <c r="Q825" s="68"/>
      <c r="R825" s="69"/>
      <c r="S825" s="69"/>
      <c r="T825" s="69"/>
      <c r="U825" s="69"/>
      <c r="V825" s="69"/>
      <c r="W825" s="68"/>
      <c r="X825" s="70"/>
      <c r="Y825" s="70"/>
      <c r="Z825" s="70"/>
      <c r="AA825" s="70"/>
      <c r="AB825" s="70"/>
      <c r="AC825" s="68"/>
      <c r="AD825" s="71"/>
      <c r="AE825" s="71"/>
      <c r="AF825" s="71"/>
      <c r="AG825" s="71"/>
      <c r="AH825" s="71"/>
      <c r="AI825" s="68"/>
      <c r="AJ825" s="214">
        <v>2.0829999999999999E-4</v>
      </c>
      <c r="AK825" s="214">
        <v>1.724</v>
      </c>
      <c r="AL825" s="214">
        <v>4</v>
      </c>
      <c r="AM825" s="214">
        <v>1.392796E-3</v>
      </c>
      <c r="AN825" s="68"/>
      <c r="AO825" s="67"/>
      <c r="AP825" s="67"/>
      <c r="AQ825" s="67"/>
      <c r="AR825" s="67"/>
      <c r="AS825" s="67"/>
      <c r="AT825" s="68"/>
      <c r="AU825" s="49"/>
      <c r="AV825" s="50"/>
    </row>
    <row r="826" spans="1:48" ht="12.75" customHeight="1" x14ac:dyDescent="0.25">
      <c r="A826" s="72" t="s">
        <v>20</v>
      </c>
      <c r="B826" s="43" t="s">
        <v>889</v>
      </c>
      <c r="C826" s="44" t="s">
        <v>980</v>
      </c>
      <c r="D826" s="45">
        <f>MROUND(MID($C826,6,3)/Basis!$E$3,0.5)</f>
        <v>23</v>
      </c>
      <c r="E826" s="45">
        <f>MROUND(MID($C826,9,3)/Basis!$E$3,0.5)</f>
        <v>32.5</v>
      </c>
      <c r="F826" s="124" t="s">
        <v>2947</v>
      </c>
      <c r="G826" s="45">
        <f>ROUND((ROUNDDOWN($F826/5,0)*5+3)/Basis!$E$3,1)</f>
        <v>7.1</v>
      </c>
      <c r="H826" s="120">
        <f>ROUND($P826*Basis!$E$2*((TaH-TrH)/LN(1/µ)/Basis!$E$7)^$N826*$AA$4*Glycol,0)</f>
        <v>2058</v>
      </c>
      <c r="I826" s="83">
        <f>ROUND(H826/(MID($C826,9,3)/Basis!$E$3/Basis!$E$9)*Basis!$E$11,0)</f>
        <v>756</v>
      </c>
      <c r="J826" s="123">
        <f>IF(Basis!$E$1=1,ROUND(H826/((TaH-TrH)*1.163)/3600,3),ROUND(H826/(500*(TaH-TrH)),2))</f>
        <v>0.21</v>
      </c>
      <c r="K826" s="84"/>
      <c r="L826" s="177">
        <f>CHOOSE(Basis!$E$1,((AJ826*(J826*3600/Basis!$E$5)^AK826*(((MID(C826,9,3)*10)-144)/1000)*AL826+AM826*(J826*3600/Basis!$E$5)^2)*0.0098)/Basis!$E$10,((AJ826*(J826/Basis!$E$5)^AK826*(((MID(C826,9,3)*10)-144)/1000)*AL826+AM826*(J826/Basis!$E$5)^2)*0.0098)/Basis!$E$10)</f>
        <v>1.1823263363778206E-2</v>
      </c>
      <c r="M826" s="85"/>
      <c r="N826" s="109">
        <v>1.464</v>
      </c>
      <c r="O826" s="68"/>
      <c r="P826" s="67">
        <v>978</v>
      </c>
      <c r="Q826" s="68"/>
      <c r="R826" s="69"/>
      <c r="S826" s="69"/>
      <c r="T826" s="69"/>
      <c r="U826" s="69"/>
      <c r="V826" s="69"/>
      <c r="W826" s="68"/>
      <c r="X826" s="70"/>
      <c r="Y826" s="70"/>
      <c r="Z826" s="70"/>
      <c r="AA826" s="70"/>
      <c r="AB826" s="70"/>
      <c r="AC826" s="68"/>
      <c r="AD826" s="71"/>
      <c r="AE826" s="71"/>
      <c r="AF826" s="71"/>
      <c r="AG826" s="71"/>
      <c r="AH826" s="71"/>
      <c r="AI826" s="68"/>
      <c r="AJ826" s="214">
        <v>2.0829999999999999E-4</v>
      </c>
      <c r="AK826" s="214">
        <v>1.724</v>
      </c>
      <c r="AL826" s="214">
        <v>4</v>
      </c>
      <c r="AM826" s="214">
        <v>1.392796E-3</v>
      </c>
      <c r="AN826" s="68"/>
      <c r="AO826" s="67"/>
      <c r="AP826" s="67"/>
      <c r="AQ826" s="67"/>
      <c r="AR826" s="67"/>
      <c r="AS826" s="67"/>
      <c r="AT826" s="68"/>
      <c r="AU826" s="49"/>
      <c r="AV826" s="50"/>
    </row>
    <row r="827" spans="1:48" ht="12.75" customHeight="1" x14ac:dyDescent="0.25">
      <c r="A827" s="72" t="s">
        <v>20</v>
      </c>
      <c r="B827" s="43" t="s">
        <v>889</v>
      </c>
      <c r="C827" s="44" t="s">
        <v>981</v>
      </c>
      <c r="D827" s="45">
        <f>MROUND(MID($C827,6,3)/Basis!$E$3,0.5)</f>
        <v>23</v>
      </c>
      <c r="E827" s="45">
        <f>MROUND(MID($C827,9,3)/Basis!$E$3,0.5)</f>
        <v>32.5</v>
      </c>
      <c r="F827" s="124" t="s">
        <v>2947</v>
      </c>
      <c r="G827" s="45">
        <f>ROUND((ROUNDDOWN($F827/5,0)*5+3)/Basis!$E$3,1)</f>
        <v>7.1</v>
      </c>
      <c r="H827" s="120">
        <f>ROUND($P827*Basis!$E$2*((TaH-TrH)/LN(1/µ)/Basis!$E$7)^$N827*$AA$4*Glycol,0)</f>
        <v>2711</v>
      </c>
      <c r="I827" s="83">
        <f>ROUND(H827/(MID($C827,9,3)/Basis!$E$3/Basis!$E$9)*Basis!$E$11,0)</f>
        <v>996</v>
      </c>
      <c r="J827" s="123">
        <f>IF(Basis!$E$1=1,ROUND(H827/((TaH-TrH)*1.163)/3600,3),ROUND(H827/(500*(TaH-TrH)),2))</f>
        <v>0.27</v>
      </c>
      <c r="K827" s="84"/>
      <c r="L827" s="177">
        <f>CHOOSE(Basis!$E$1,((AJ827*(J827*3600/Basis!$E$5)^AK827*(((MID(C827,9,3)*10)-144)/1000)*AL827+AM827*(J827*3600/Basis!$E$5)^2)*0.0098)/Basis!$E$10,((AJ827*(J827/Basis!$E$5)^AK827*(((MID(C827,9,3)*10)-144)/1000)*AL827+AM827*(J827/Basis!$E$5)^2)*0.0098)/Basis!$E$10)</f>
        <v>1.9382497029522907E-2</v>
      </c>
      <c r="M827" s="85"/>
      <c r="N827" s="109">
        <v>1.468</v>
      </c>
      <c r="O827" s="68"/>
      <c r="P827" s="67">
        <v>1290</v>
      </c>
      <c r="Q827" s="68"/>
      <c r="R827" s="69"/>
      <c r="S827" s="69"/>
      <c r="T827" s="69"/>
      <c r="U827" s="69"/>
      <c r="V827" s="69"/>
      <c r="W827" s="68"/>
      <c r="X827" s="70"/>
      <c r="Y827" s="70"/>
      <c r="Z827" s="70"/>
      <c r="AA827" s="70"/>
      <c r="AB827" s="70"/>
      <c r="AC827" s="68"/>
      <c r="AD827" s="71"/>
      <c r="AE827" s="71"/>
      <c r="AF827" s="71"/>
      <c r="AG827" s="71"/>
      <c r="AH827" s="71"/>
      <c r="AI827" s="68"/>
      <c r="AJ827" s="214">
        <v>2.0829999999999999E-4</v>
      </c>
      <c r="AK827" s="214">
        <v>1.724</v>
      </c>
      <c r="AL827" s="214">
        <v>4</v>
      </c>
      <c r="AM827" s="214">
        <v>1.392796E-3</v>
      </c>
      <c r="AN827" s="68"/>
      <c r="AO827" s="67"/>
      <c r="AP827" s="67"/>
      <c r="AQ827" s="67"/>
      <c r="AR827" s="67"/>
      <c r="AS827" s="67"/>
      <c r="AT827" s="68"/>
      <c r="AU827" s="49"/>
      <c r="AV827" s="50"/>
    </row>
    <row r="828" spans="1:48" ht="12.75" customHeight="1" x14ac:dyDescent="0.25">
      <c r="A828" s="72" t="s">
        <v>20</v>
      </c>
      <c r="B828" s="43" t="s">
        <v>889</v>
      </c>
      <c r="C828" s="44" t="s">
        <v>982</v>
      </c>
      <c r="D828" s="45">
        <f>MROUND(MID($C828,6,3)/Basis!$E$3,0.5)</f>
        <v>23</v>
      </c>
      <c r="E828" s="45">
        <f>MROUND(MID($C828,9,3)/Basis!$E$3,0.5)</f>
        <v>32.5</v>
      </c>
      <c r="F828" s="124" t="s">
        <v>2948</v>
      </c>
      <c r="G828" s="45">
        <f>ROUND((ROUNDDOWN($F828/5,0)*5+3)/Basis!$E$3,1)</f>
        <v>9.1</v>
      </c>
      <c r="H828" s="120">
        <f>ROUND($P828*Basis!$E$2*((TaH-TrH)/LN(1/µ)/Basis!$E$7)^$N828*$AA$4*Glycol,0)</f>
        <v>2038</v>
      </c>
      <c r="I828" s="83">
        <f>ROUND(H828/(MID($C828,9,3)/Basis!$E$3/Basis!$E$9)*Basis!$E$11,0)</f>
        <v>748</v>
      </c>
      <c r="J828" s="123">
        <f>IF(Basis!$E$1=1,ROUND(H828/((TaH-TrH)*1.163)/3600,3),ROUND(H828/(500*(TaH-TrH)),2))</f>
        <v>0.2</v>
      </c>
      <c r="K828" s="84"/>
      <c r="L828" s="177">
        <f>CHOOSE(Basis!$E$1,((AJ828*(J828*3600/Basis!$E$5)^AK828*(((MID(C828,9,3)*10)-144)/1000)*AL828+AM828*(J828*3600/Basis!$E$5)^2)*0.0098)/Basis!$E$10,((AJ828*(J828/Basis!$E$5)^AK828*(((MID(C828,9,3)*10)-144)/1000)*AL828+AM828*(J828/Basis!$E$5)^2)*0.0098)/Basis!$E$10)</f>
        <v>4.2866275738296647E-3</v>
      </c>
      <c r="M828" s="85"/>
      <c r="N828" s="109">
        <v>1.472</v>
      </c>
      <c r="O828" s="68"/>
      <c r="P828" s="67">
        <v>971</v>
      </c>
      <c r="Q828" s="68"/>
      <c r="R828" s="69"/>
      <c r="S828" s="69"/>
      <c r="T828" s="69"/>
      <c r="U828" s="69"/>
      <c r="V828" s="69"/>
      <c r="W828" s="68"/>
      <c r="X828" s="70"/>
      <c r="Y828" s="70"/>
      <c r="Z828" s="70"/>
      <c r="AA828" s="70"/>
      <c r="AB828" s="70"/>
      <c r="AC828" s="68"/>
      <c r="AD828" s="71"/>
      <c r="AE828" s="71"/>
      <c r="AF828" s="71"/>
      <c r="AG828" s="71"/>
      <c r="AH828" s="71"/>
      <c r="AI828" s="68"/>
      <c r="AJ828" s="214">
        <v>1.2760000000000001E-4</v>
      </c>
      <c r="AK828" s="214">
        <v>1.7219</v>
      </c>
      <c r="AL828" s="214">
        <v>4</v>
      </c>
      <c r="AM828" s="214">
        <v>5.1420100000000005E-4</v>
      </c>
      <c r="AN828" s="68"/>
      <c r="AO828" s="67"/>
      <c r="AP828" s="67"/>
      <c r="AQ828" s="67"/>
      <c r="AR828" s="67"/>
      <c r="AS828" s="67"/>
      <c r="AT828" s="68"/>
      <c r="AU828" s="49"/>
      <c r="AV828" s="50"/>
    </row>
    <row r="829" spans="1:48" ht="12.75" customHeight="1" x14ac:dyDescent="0.25">
      <c r="A829" s="72" t="s">
        <v>20</v>
      </c>
      <c r="B829" s="43" t="s">
        <v>889</v>
      </c>
      <c r="C829" s="44" t="s">
        <v>983</v>
      </c>
      <c r="D829" s="45">
        <f>MROUND(MID($C829,6,3)/Basis!$E$3,0.5)</f>
        <v>23</v>
      </c>
      <c r="E829" s="45">
        <f>MROUND(MID($C829,9,3)/Basis!$E$3,0.5)</f>
        <v>32.5</v>
      </c>
      <c r="F829" s="124" t="s">
        <v>2948</v>
      </c>
      <c r="G829" s="45">
        <f>ROUND((ROUNDDOWN($F829/5,0)*5+3)/Basis!$E$3,1)</f>
        <v>9.1</v>
      </c>
      <c r="H829" s="120">
        <f>ROUND($P829*Basis!$E$2*((TaH-TrH)/LN(1/µ)/Basis!$E$7)^$N829*$AA$4*Glycol,0)</f>
        <v>2921</v>
      </c>
      <c r="I829" s="83">
        <f>ROUND(H829/(MID($C829,9,3)/Basis!$E$3/Basis!$E$9)*Basis!$E$11,0)</f>
        <v>1073</v>
      </c>
      <c r="J829" s="123">
        <f>IF(Basis!$E$1=1,ROUND(H829/((TaH-TrH)*1.163)/3600,3),ROUND(H829/(500*(TaH-TrH)),2))</f>
        <v>0.28999999999999998</v>
      </c>
      <c r="K829" s="84"/>
      <c r="L829" s="177">
        <f>CHOOSE(Basis!$E$1,((AJ829*(J829*3600/Basis!$E$5)^AK829*(((MID(C829,9,3)*10)-144)/1000)*AL829+AM829*(J829*3600/Basis!$E$5)^2)*0.0098)/Basis!$E$10,((AJ829*(J829/Basis!$E$5)^AK829*(((MID(C829,9,3)*10)-144)/1000)*AL829+AM829*(J829/Basis!$E$5)^2)*0.0098)/Basis!$E$10)</f>
        <v>8.8439139639002046E-3</v>
      </c>
      <c r="M829" s="85"/>
      <c r="N829" s="109">
        <v>1.48</v>
      </c>
      <c r="O829" s="68"/>
      <c r="P829" s="67">
        <v>1395</v>
      </c>
      <c r="Q829" s="68"/>
      <c r="R829" s="69"/>
      <c r="S829" s="69"/>
      <c r="T829" s="69"/>
      <c r="U829" s="69"/>
      <c r="V829" s="69"/>
      <c r="W829" s="68"/>
      <c r="X829" s="70"/>
      <c r="Y829" s="70"/>
      <c r="Z829" s="70"/>
      <c r="AA829" s="70"/>
      <c r="AB829" s="70"/>
      <c r="AC829" s="68"/>
      <c r="AD829" s="71"/>
      <c r="AE829" s="71"/>
      <c r="AF829" s="71"/>
      <c r="AG829" s="71"/>
      <c r="AH829" s="71"/>
      <c r="AI829" s="68"/>
      <c r="AJ829" s="214">
        <v>1.2760000000000001E-4</v>
      </c>
      <c r="AK829" s="214">
        <v>1.7219</v>
      </c>
      <c r="AL829" s="214">
        <v>4</v>
      </c>
      <c r="AM829" s="214">
        <v>5.1420100000000005E-4</v>
      </c>
      <c r="AN829" s="68"/>
      <c r="AO829" s="67"/>
      <c r="AP829" s="67"/>
      <c r="AQ829" s="67"/>
      <c r="AR829" s="67"/>
      <c r="AS829" s="67"/>
      <c r="AT829" s="68"/>
      <c r="AU829" s="49"/>
      <c r="AV829" s="50"/>
    </row>
    <row r="830" spans="1:48" ht="12.75" customHeight="1" x14ac:dyDescent="0.25">
      <c r="A830" s="72" t="s">
        <v>20</v>
      </c>
      <c r="B830" s="43" t="s">
        <v>889</v>
      </c>
      <c r="C830" s="44" t="s">
        <v>984</v>
      </c>
      <c r="D830" s="45">
        <f>MROUND(MID($C830,6,3)/Basis!$E$3,0.5)</f>
        <v>23</v>
      </c>
      <c r="E830" s="45">
        <f>MROUND(MID($C830,9,3)/Basis!$E$3,0.5)</f>
        <v>32.5</v>
      </c>
      <c r="F830" s="124" t="s">
        <v>2948</v>
      </c>
      <c r="G830" s="45">
        <f>ROUND((ROUNDDOWN($F830/5,0)*5+3)/Basis!$E$3,1)</f>
        <v>9.1</v>
      </c>
      <c r="H830" s="120">
        <f>ROUND($P830*Basis!$E$2*((TaH-TrH)/LN(1/µ)/Basis!$E$7)^$N830*$AA$4*Glycol,0)</f>
        <v>2670</v>
      </c>
      <c r="I830" s="83">
        <f>ROUND(H830/(MID($C830,9,3)/Basis!$E$3/Basis!$E$9)*Basis!$E$11,0)</f>
        <v>981</v>
      </c>
      <c r="J830" s="123">
        <f>IF(Basis!$E$1=1,ROUND(H830/((TaH-TrH)*1.163)/3600,3),ROUND(H830/(500*(TaH-TrH)),2))</f>
        <v>0.27</v>
      </c>
      <c r="K830" s="84"/>
      <c r="L830" s="177">
        <f>CHOOSE(Basis!$E$1,((AJ830*(J830*3600/Basis!$E$5)^AK830*(((MID(C830,9,3)*10)-144)/1000)*AL830+AM830*(J830*3600/Basis!$E$5)^2)*0.0098)/Basis!$E$10,((AJ830*(J830/Basis!$E$5)^AK830*(((MID(C830,9,3)*10)-144)/1000)*AL830+AM830*(J830/Basis!$E$5)^2)*0.0098)/Basis!$E$10)</f>
        <v>7.6930934083295245E-3</v>
      </c>
      <c r="M830" s="85"/>
      <c r="N830" s="109">
        <v>1.484</v>
      </c>
      <c r="O830" s="68"/>
      <c r="P830" s="67">
        <v>1277</v>
      </c>
      <c r="Q830" s="68"/>
      <c r="R830" s="69"/>
      <c r="S830" s="69"/>
      <c r="T830" s="69"/>
      <c r="U830" s="69"/>
      <c r="V830" s="69"/>
      <c r="W830" s="68"/>
      <c r="X830" s="70"/>
      <c r="Y830" s="70"/>
      <c r="Z830" s="70"/>
      <c r="AA830" s="70"/>
      <c r="AB830" s="70"/>
      <c r="AC830" s="68"/>
      <c r="AD830" s="71"/>
      <c r="AE830" s="71"/>
      <c r="AF830" s="71"/>
      <c r="AG830" s="71"/>
      <c r="AH830" s="71"/>
      <c r="AI830" s="68"/>
      <c r="AJ830" s="214">
        <v>1.2760000000000001E-4</v>
      </c>
      <c r="AK830" s="214">
        <v>1.7219</v>
      </c>
      <c r="AL830" s="214">
        <v>4</v>
      </c>
      <c r="AM830" s="214">
        <v>5.1420100000000005E-4</v>
      </c>
      <c r="AN830" s="68"/>
      <c r="AO830" s="67"/>
      <c r="AP830" s="67"/>
      <c r="AQ830" s="67"/>
      <c r="AR830" s="67"/>
      <c r="AS830" s="67"/>
      <c r="AT830" s="68"/>
      <c r="AU830" s="49"/>
      <c r="AV830" s="50"/>
    </row>
    <row r="831" spans="1:48" ht="12.75" customHeight="1" x14ac:dyDescent="0.25">
      <c r="A831" s="72" t="s">
        <v>20</v>
      </c>
      <c r="B831" s="43" t="s">
        <v>889</v>
      </c>
      <c r="C831" s="44" t="s">
        <v>985</v>
      </c>
      <c r="D831" s="45">
        <f>MROUND(MID($C831,6,3)/Basis!$E$3,0.5)</f>
        <v>23</v>
      </c>
      <c r="E831" s="45">
        <f>MROUND(MID($C831,9,3)/Basis!$E$3,0.5)</f>
        <v>32.5</v>
      </c>
      <c r="F831" s="124" t="s">
        <v>2948</v>
      </c>
      <c r="G831" s="45">
        <f>ROUND((ROUNDDOWN($F831/5,0)*5+3)/Basis!$E$3,1)</f>
        <v>9.1</v>
      </c>
      <c r="H831" s="120">
        <f>ROUND($P831*Basis!$E$2*((TaH-TrH)/LN(1/µ)/Basis!$E$7)^$N831*$AA$4*Glycol,0)</f>
        <v>3578</v>
      </c>
      <c r="I831" s="83">
        <f>ROUND(H831/(MID($C831,9,3)/Basis!$E$3/Basis!$E$9)*Basis!$E$11,0)</f>
        <v>1314</v>
      </c>
      <c r="J831" s="123">
        <f>IF(Basis!$E$1=1,ROUND(H831/((TaH-TrH)*1.163)/3600,3),ROUND(H831/(500*(TaH-TrH)),2))</f>
        <v>0.36</v>
      </c>
      <c r="K831" s="84"/>
      <c r="L831" s="177">
        <f>CHOOSE(Basis!$E$1,((AJ831*(J831*3600/Basis!$E$5)^AK831*(((MID(C831,9,3)*10)-144)/1000)*AL831+AM831*(J831*3600/Basis!$E$5)^2)*0.0098)/Basis!$E$10,((AJ831*(J831/Basis!$E$5)^AK831*(((MID(C831,9,3)*10)-144)/1000)*AL831+AM831*(J831/Basis!$E$5)^2)*0.0098)/Basis!$E$10)</f>
        <v>1.3489284157712091E-2</v>
      </c>
      <c r="M831" s="85"/>
      <c r="N831" s="109">
        <v>1.492</v>
      </c>
      <c r="O831" s="68"/>
      <c r="P831" s="67">
        <v>1716</v>
      </c>
      <c r="Q831" s="68"/>
      <c r="R831" s="69"/>
      <c r="S831" s="69"/>
      <c r="T831" s="69"/>
      <c r="U831" s="69"/>
      <c r="V831" s="69"/>
      <c r="W831" s="68"/>
      <c r="X831" s="70"/>
      <c r="Y831" s="70"/>
      <c r="Z831" s="70"/>
      <c r="AA831" s="70"/>
      <c r="AB831" s="70"/>
      <c r="AC831" s="68"/>
      <c r="AD831" s="71"/>
      <c r="AE831" s="71"/>
      <c r="AF831" s="71"/>
      <c r="AG831" s="71"/>
      <c r="AH831" s="71"/>
      <c r="AI831" s="68"/>
      <c r="AJ831" s="214">
        <v>1.2760000000000001E-4</v>
      </c>
      <c r="AK831" s="214">
        <v>1.7219</v>
      </c>
      <c r="AL831" s="214">
        <v>4</v>
      </c>
      <c r="AM831" s="214">
        <v>5.1420100000000005E-4</v>
      </c>
      <c r="AN831" s="68"/>
      <c r="AO831" s="67"/>
      <c r="AP831" s="67"/>
      <c r="AQ831" s="67"/>
      <c r="AR831" s="67"/>
      <c r="AS831" s="67"/>
      <c r="AT831" s="68"/>
      <c r="AU831" s="49"/>
      <c r="AV831" s="50"/>
    </row>
    <row r="832" spans="1:48" ht="12.75" customHeight="1" x14ac:dyDescent="0.25">
      <c r="A832" s="72" t="s">
        <v>20</v>
      </c>
      <c r="B832" s="43" t="s">
        <v>889</v>
      </c>
      <c r="C832" s="44" t="s">
        <v>986</v>
      </c>
      <c r="D832" s="45">
        <f>MROUND(MID($C832,6,3)/Basis!$E$3,0.5)</f>
        <v>23</v>
      </c>
      <c r="E832" s="45">
        <f>MROUND(MID($C832,9,3)/Basis!$E$3,0.5)</f>
        <v>40.5</v>
      </c>
      <c r="F832" s="124" t="s">
        <v>2946</v>
      </c>
      <c r="G832" s="45">
        <f>ROUND((ROUNDDOWN($F832/5,0)*5+3)/Basis!$E$3,1)</f>
        <v>5.0999999999999996</v>
      </c>
      <c r="H832" s="120">
        <f>ROUND($P832*Basis!$E$2*((TaH-TrH)/LN(1/µ)/Basis!$E$7)^$N832*$AA$4*Glycol,0)</f>
        <v>1559</v>
      </c>
      <c r="I832" s="83">
        <f>ROUND(H832/(MID($C832,9,3)/Basis!$E$3/Basis!$E$9)*Basis!$E$11,0)</f>
        <v>461</v>
      </c>
      <c r="J832" s="123">
        <f>IF(Basis!$E$1=1,ROUND(H832/((TaH-TrH)*1.163)/3600,3),ROUND(H832/(500*(TaH-TrH)),2))</f>
        <v>0.16</v>
      </c>
      <c r="K832" s="84"/>
      <c r="L832" s="177">
        <f>CHOOSE(Basis!$E$1,((AJ832*(J832*3600/Basis!$E$5)^AK832*(((MID(C832,9,3)*10)-144)/1000)*AL832+AM832*(J832*3600/Basis!$E$5)^2)*0.0098)/Basis!$E$10,((AJ832*(J832/Basis!$E$5)^AK832*(((MID(C832,9,3)*10)-144)/1000)*AL832+AM832*(J832/Basis!$E$5)^2)*0.0098)/Basis!$E$10)</f>
        <v>4.8203647870597756E-3</v>
      </c>
      <c r="M832" s="85"/>
      <c r="N832" s="109">
        <v>1.44</v>
      </c>
      <c r="O832" s="68"/>
      <c r="P832" s="67">
        <v>735</v>
      </c>
      <c r="Q832" s="68"/>
      <c r="R832" s="69"/>
      <c r="S832" s="69"/>
      <c r="T832" s="69"/>
      <c r="U832" s="69"/>
      <c r="V832" s="69"/>
      <c r="W832" s="68"/>
      <c r="X832" s="70"/>
      <c r="Y832" s="70"/>
      <c r="Z832" s="70"/>
      <c r="AA832" s="70"/>
      <c r="AB832" s="70"/>
      <c r="AC832" s="68"/>
      <c r="AD832" s="71"/>
      <c r="AE832" s="71"/>
      <c r="AF832" s="71"/>
      <c r="AG832" s="71"/>
      <c r="AH832" s="71"/>
      <c r="AI832" s="68"/>
      <c r="AJ832" s="214">
        <v>3.9689999999999994E-4</v>
      </c>
      <c r="AK832" s="214">
        <v>1.7345999999999999</v>
      </c>
      <c r="AL832" s="214">
        <v>4</v>
      </c>
      <c r="AM832" s="214">
        <v>5.7428799999999995E-4</v>
      </c>
      <c r="AN832" s="68"/>
      <c r="AO832" s="67"/>
      <c r="AP832" s="67"/>
      <c r="AQ832" s="67"/>
      <c r="AR832" s="67"/>
      <c r="AS832" s="67"/>
      <c r="AT832" s="68"/>
      <c r="AU832" s="49"/>
      <c r="AV832" s="50"/>
    </row>
    <row r="833" spans="1:48" ht="12.75" customHeight="1" x14ac:dyDescent="0.25">
      <c r="A833" s="72" t="s">
        <v>20</v>
      </c>
      <c r="B833" s="43" t="s">
        <v>889</v>
      </c>
      <c r="C833" s="44" t="s">
        <v>987</v>
      </c>
      <c r="D833" s="45">
        <f>MROUND(MID($C833,6,3)/Basis!$E$3,0.5)</f>
        <v>23</v>
      </c>
      <c r="E833" s="45">
        <f>MROUND(MID($C833,9,3)/Basis!$E$3,0.5)</f>
        <v>40.5</v>
      </c>
      <c r="F833" s="124" t="s">
        <v>2946</v>
      </c>
      <c r="G833" s="45">
        <f>ROUND((ROUNDDOWN($F833/5,0)*5+3)/Basis!$E$3,1)</f>
        <v>5.0999999999999996</v>
      </c>
      <c r="H833" s="120">
        <f>ROUND($P833*Basis!$E$2*((TaH-TrH)/LN(1/µ)/Basis!$E$7)^$N833*$AA$4*Glycol,0)</f>
        <v>2052</v>
      </c>
      <c r="I833" s="83">
        <f>ROUND(H833/(MID($C833,9,3)/Basis!$E$3/Basis!$E$9)*Basis!$E$11,0)</f>
        <v>607</v>
      </c>
      <c r="J833" s="123">
        <f>IF(Basis!$E$1=1,ROUND(H833/((TaH-TrH)*1.163)/3600,3),ROUND(H833/(500*(TaH-TrH)),2))</f>
        <v>0.21</v>
      </c>
      <c r="K833" s="84"/>
      <c r="L833" s="177">
        <f>CHOOSE(Basis!$E$1,((AJ833*(J833*3600/Basis!$E$5)^AK833*(((MID(C833,9,3)*10)-144)/1000)*AL833+AM833*(J833*3600/Basis!$E$5)^2)*0.0098)/Basis!$E$10,((AJ833*(J833/Basis!$E$5)^AK833*(((MID(C833,9,3)*10)-144)/1000)*AL833+AM833*(J833/Basis!$E$5)^2)*0.0098)/Basis!$E$10)</f>
        <v>8.0230844376590719E-3</v>
      </c>
      <c r="M833" s="85"/>
      <c r="N833" s="109">
        <v>1.4390000000000001</v>
      </c>
      <c r="O833" s="68"/>
      <c r="P833" s="67">
        <v>967</v>
      </c>
      <c r="Q833" s="68"/>
      <c r="R833" s="69"/>
      <c r="S833" s="69"/>
      <c r="T833" s="69"/>
      <c r="U833" s="69"/>
      <c r="V833" s="69"/>
      <c r="W833" s="68"/>
      <c r="X833" s="70"/>
      <c r="Y833" s="70"/>
      <c r="Z833" s="70"/>
      <c r="AA833" s="70"/>
      <c r="AB833" s="70"/>
      <c r="AC833" s="68"/>
      <c r="AD833" s="71"/>
      <c r="AE833" s="71"/>
      <c r="AF833" s="71"/>
      <c r="AG833" s="71"/>
      <c r="AH833" s="71"/>
      <c r="AI833" s="68"/>
      <c r="AJ833" s="214">
        <v>3.9689999999999994E-4</v>
      </c>
      <c r="AK833" s="214">
        <v>1.7345999999999999</v>
      </c>
      <c r="AL833" s="214">
        <v>4</v>
      </c>
      <c r="AM833" s="214">
        <v>5.7428799999999995E-4</v>
      </c>
      <c r="AN833" s="68"/>
      <c r="AO833" s="67"/>
      <c r="AP833" s="67"/>
      <c r="AQ833" s="67"/>
      <c r="AR833" s="67"/>
      <c r="AS833" s="67"/>
      <c r="AT833" s="68"/>
      <c r="AU833" s="49"/>
      <c r="AV833" s="50"/>
    </row>
    <row r="834" spans="1:48" ht="12.75" customHeight="1" x14ac:dyDescent="0.25">
      <c r="A834" s="72" t="s">
        <v>20</v>
      </c>
      <c r="B834" s="43" t="s">
        <v>889</v>
      </c>
      <c r="C834" s="44" t="s">
        <v>988</v>
      </c>
      <c r="D834" s="45">
        <f>MROUND(MID($C834,6,3)/Basis!$E$3,0.5)</f>
        <v>23</v>
      </c>
      <c r="E834" s="45">
        <f>MROUND(MID($C834,9,3)/Basis!$E$3,0.5)</f>
        <v>40.5</v>
      </c>
      <c r="F834" s="124" t="s">
        <v>2946</v>
      </c>
      <c r="G834" s="45">
        <f>ROUND((ROUNDDOWN($F834/5,0)*5+3)/Basis!$E$3,1)</f>
        <v>5.0999999999999996</v>
      </c>
      <c r="H834" s="120">
        <f>ROUND($P834*Basis!$E$2*((TaH-TrH)/LN(1/µ)/Basis!$E$7)^$N834*$AA$4*Glycol,0)</f>
        <v>1889</v>
      </c>
      <c r="I834" s="83">
        <f>ROUND(H834/(MID($C834,9,3)/Basis!$E$3/Basis!$E$9)*Basis!$E$11,0)</f>
        <v>559</v>
      </c>
      <c r="J834" s="123">
        <f>IF(Basis!$E$1=1,ROUND(H834/((TaH-TrH)*1.163)/3600,3),ROUND(H834/(500*(TaH-TrH)),2))</f>
        <v>0.19</v>
      </c>
      <c r="K834" s="84"/>
      <c r="L834" s="177">
        <f>CHOOSE(Basis!$E$1,((AJ834*(J834*3600/Basis!$E$5)^AK834*(((MID(C834,9,3)*10)-144)/1000)*AL834+AM834*(J834*3600/Basis!$E$5)^2)*0.0098)/Basis!$E$10,((AJ834*(J834/Basis!$E$5)^AK834*(((MID(C834,9,3)*10)-144)/1000)*AL834+AM834*(J834/Basis!$E$5)^2)*0.0098)/Basis!$E$10)</f>
        <v>6.6503100680397921E-3</v>
      </c>
      <c r="M834" s="85"/>
      <c r="N834" s="109">
        <v>1.4379999999999999</v>
      </c>
      <c r="O834" s="68"/>
      <c r="P834" s="67">
        <v>890</v>
      </c>
      <c r="Q834" s="68"/>
      <c r="R834" s="69"/>
      <c r="S834" s="69"/>
      <c r="T834" s="69"/>
      <c r="U834" s="69"/>
      <c r="V834" s="69"/>
      <c r="W834" s="68"/>
      <c r="X834" s="70"/>
      <c r="Y834" s="70"/>
      <c r="Z834" s="70"/>
      <c r="AA834" s="70"/>
      <c r="AB834" s="70"/>
      <c r="AC834" s="68"/>
      <c r="AD834" s="71"/>
      <c r="AE834" s="71"/>
      <c r="AF834" s="71"/>
      <c r="AG834" s="71"/>
      <c r="AH834" s="71"/>
      <c r="AI834" s="68"/>
      <c r="AJ834" s="214">
        <v>3.9689999999999994E-4</v>
      </c>
      <c r="AK834" s="214">
        <v>1.7345999999999999</v>
      </c>
      <c r="AL834" s="214">
        <v>4</v>
      </c>
      <c r="AM834" s="214">
        <v>5.7428799999999995E-4</v>
      </c>
      <c r="AN834" s="68"/>
      <c r="AO834" s="67"/>
      <c r="AP834" s="67"/>
      <c r="AQ834" s="67"/>
      <c r="AR834" s="67"/>
      <c r="AS834" s="67"/>
      <c r="AT834" s="68"/>
      <c r="AU834" s="49"/>
      <c r="AV834" s="50"/>
    </row>
    <row r="835" spans="1:48" ht="12.75" customHeight="1" x14ac:dyDescent="0.25">
      <c r="A835" s="72" t="s">
        <v>20</v>
      </c>
      <c r="B835" s="43" t="s">
        <v>889</v>
      </c>
      <c r="C835" s="44" t="s">
        <v>989</v>
      </c>
      <c r="D835" s="45">
        <f>MROUND(MID($C835,6,3)/Basis!$E$3,0.5)</f>
        <v>23</v>
      </c>
      <c r="E835" s="45">
        <f>MROUND(MID($C835,9,3)/Basis!$E$3,0.5)</f>
        <v>40.5</v>
      </c>
      <c r="F835" s="124" t="s">
        <v>2946</v>
      </c>
      <c r="G835" s="45">
        <f>ROUND((ROUNDDOWN($F835/5,0)*5+3)/Basis!$E$3,1)</f>
        <v>5.0999999999999996</v>
      </c>
      <c r="H835" s="120">
        <f>ROUND($P835*Basis!$E$2*((TaH-TrH)/LN(1/µ)/Basis!$E$7)^$N835*$AA$4*Glycol,0)</f>
        <v>2366</v>
      </c>
      <c r="I835" s="83">
        <f>ROUND(H835/(MID($C835,9,3)/Basis!$E$3/Basis!$E$9)*Basis!$E$11,0)</f>
        <v>700</v>
      </c>
      <c r="J835" s="123">
        <f>IF(Basis!$E$1=1,ROUND(H835/((TaH-TrH)*1.163)/3600,3),ROUND(H835/(500*(TaH-TrH)),2))</f>
        <v>0.24</v>
      </c>
      <c r="K835" s="84"/>
      <c r="L835" s="177">
        <f>CHOOSE(Basis!$E$1,((AJ835*(J835*3600/Basis!$E$5)^AK835*(((MID(C835,9,3)*10)-144)/1000)*AL835+AM835*(J835*3600/Basis!$E$5)^2)*0.0098)/Basis!$E$10,((AJ835*(J835/Basis!$E$5)^AK835*(((MID(C835,9,3)*10)-144)/1000)*AL835+AM835*(J835/Basis!$E$5)^2)*0.0098)/Basis!$E$10)</f>
        <v>1.0308530058153706E-2</v>
      </c>
      <c r="M835" s="85"/>
      <c r="N835" s="109">
        <v>1.4370000000000001</v>
      </c>
      <c r="O835" s="68"/>
      <c r="P835" s="67">
        <v>1114</v>
      </c>
      <c r="Q835" s="68"/>
      <c r="R835" s="69"/>
      <c r="S835" s="69"/>
      <c r="T835" s="69"/>
      <c r="U835" s="69"/>
      <c r="V835" s="69"/>
      <c r="W835" s="68"/>
      <c r="X835" s="70"/>
      <c r="Y835" s="70"/>
      <c r="Z835" s="70"/>
      <c r="AA835" s="70"/>
      <c r="AB835" s="70"/>
      <c r="AC835" s="68"/>
      <c r="AD835" s="71"/>
      <c r="AE835" s="71"/>
      <c r="AF835" s="71"/>
      <c r="AG835" s="71"/>
      <c r="AH835" s="71"/>
      <c r="AI835" s="68"/>
      <c r="AJ835" s="214">
        <v>3.9689999999999994E-4</v>
      </c>
      <c r="AK835" s="214">
        <v>1.7345999999999999</v>
      </c>
      <c r="AL835" s="214">
        <v>4</v>
      </c>
      <c r="AM835" s="214">
        <v>5.7428799999999995E-4</v>
      </c>
      <c r="AN835" s="68"/>
      <c r="AO835" s="67"/>
      <c r="AP835" s="67"/>
      <c r="AQ835" s="67"/>
      <c r="AR835" s="67"/>
      <c r="AS835" s="67"/>
      <c r="AT835" s="68"/>
      <c r="AU835" s="49"/>
      <c r="AV835" s="50"/>
    </row>
    <row r="836" spans="1:48" ht="12.75" customHeight="1" x14ac:dyDescent="0.25">
      <c r="A836" s="72" t="s">
        <v>20</v>
      </c>
      <c r="B836" s="43" t="s">
        <v>889</v>
      </c>
      <c r="C836" s="44" t="s">
        <v>990</v>
      </c>
      <c r="D836" s="45">
        <f>MROUND(MID($C836,6,3)/Basis!$E$3,0.5)</f>
        <v>23</v>
      </c>
      <c r="E836" s="45">
        <f>MROUND(MID($C836,9,3)/Basis!$E$3,0.5)</f>
        <v>40.5</v>
      </c>
      <c r="F836" s="124" t="s">
        <v>2947</v>
      </c>
      <c r="G836" s="45">
        <f>ROUND((ROUNDDOWN($F836/5,0)*5+3)/Basis!$E$3,1)</f>
        <v>7.1</v>
      </c>
      <c r="H836" s="120">
        <f>ROUND($P836*Basis!$E$2*((TaH-TrH)/LN(1/µ)/Basis!$E$7)^$N836*$AA$4*Glycol,0)</f>
        <v>2137</v>
      </c>
      <c r="I836" s="83">
        <f>ROUND(H836/(MID($C836,9,3)/Basis!$E$3/Basis!$E$9)*Basis!$E$11,0)</f>
        <v>632</v>
      </c>
      <c r="J836" s="123">
        <f>IF(Basis!$E$1=1,ROUND(H836/((TaH-TrH)*1.163)/3600,3),ROUND(H836/(500*(TaH-TrH)),2))</f>
        <v>0.21</v>
      </c>
      <c r="K836" s="84"/>
      <c r="L836" s="177">
        <f>CHOOSE(Basis!$E$1,((AJ836*(J836*3600/Basis!$E$5)^AK836*(((MID(C836,9,3)*10)-144)/1000)*AL836+AM836*(J836*3600/Basis!$E$5)^2)*0.0098)/Basis!$E$10,((AJ836*(J836/Basis!$E$5)^AK836*(((MID(C836,9,3)*10)-144)/1000)*AL836+AM836*(J836/Basis!$E$5)^2)*0.0098)/Basis!$E$10)</f>
        <v>1.2249840835455116E-2</v>
      </c>
      <c r="M836" s="85"/>
      <c r="N836" s="109">
        <v>1.4570000000000001</v>
      </c>
      <c r="O836" s="68"/>
      <c r="P836" s="67">
        <v>1013</v>
      </c>
      <c r="Q836" s="68"/>
      <c r="R836" s="69"/>
      <c r="S836" s="69"/>
      <c r="T836" s="69"/>
      <c r="U836" s="69"/>
      <c r="V836" s="69"/>
      <c r="W836" s="68"/>
      <c r="X836" s="70"/>
      <c r="Y836" s="70"/>
      <c r="Z836" s="70"/>
      <c r="AA836" s="70"/>
      <c r="AB836" s="70"/>
      <c r="AC836" s="68"/>
      <c r="AD836" s="71"/>
      <c r="AE836" s="71"/>
      <c r="AF836" s="71"/>
      <c r="AG836" s="71"/>
      <c r="AH836" s="71"/>
      <c r="AI836" s="68"/>
      <c r="AJ836" s="214">
        <v>2.0829999999999999E-4</v>
      </c>
      <c r="AK836" s="214">
        <v>1.724</v>
      </c>
      <c r="AL836" s="214">
        <v>4</v>
      </c>
      <c r="AM836" s="214">
        <v>1.392796E-3</v>
      </c>
      <c r="AN836" s="68"/>
      <c r="AO836" s="67"/>
      <c r="AP836" s="67"/>
      <c r="AQ836" s="67"/>
      <c r="AR836" s="67"/>
      <c r="AS836" s="67"/>
      <c r="AT836" s="68"/>
      <c r="AU836" s="49"/>
      <c r="AV836" s="50"/>
    </row>
    <row r="837" spans="1:48" ht="12.75" customHeight="1" x14ac:dyDescent="0.25">
      <c r="A837" s="72" t="s">
        <v>20</v>
      </c>
      <c r="B837" s="43" t="s">
        <v>889</v>
      </c>
      <c r="C837" s="44" t="s">
        <v>991</v>
      </c>
      <c r="D837" s="45">
        <f>MROUND(MID($C837,6,3)/Basis!$E$3,0.5)</f>
        <v>23</v>
      </c>
      <c r="E837" s="45">
        <f>MROUND(MID($C837,9,3)/Basis!$E$3,0.5)</f>
        <v>40.5</v>
      </c>
      <c r="F837" s="124" t="s">
        <v>2947</v>
      </c>
      <c r="G837" s="45">
        <f>ROUND((ROUNDDOWN($F837/5,0)*5+3)/Basis!$E$3,1)</f>
        <v>7.1</v>
      </c>
      <c r="H837" s="120">
        <f>ROUND($P837*Basis!$E$2*((TaH-TrH)/LN(1/µ)/Basis!$E$7)^$N837*$AA$4*Glycol,0)</f>
        <v>2997</v>
      </c>
      <c r="I837" s="83">
        <f>ROUND(H837/(MID($C837,9,3)/Basis!$E$3/Basis!$E$9)*Basis!$E$11,0)</f>
        <v>887</v>
      </c>
      <c r="J837" s="123">
        <f>IF(Basis!$E$1=1,ROUND(H837/((TaH-TrH)*1.163)/3600,3),ROUND(H837/(500*(TaH-TrH)),2))</f>
        <v>0.3</v>
      </c>
      <c r="K837" s="84"/>
      <c r="L837" s="177">
        <f>CHOOSE(Basis!$E$1,((AJ837*(J837*3600/Basis!$E$5)^AK837*(((MID(C837,9,3)*10)-144)/1000)*AL837+AM837*(J837*3600/Basis!$E$5)^2)*0.0098)/Basis!$E$10,((AJ837*(J837/Basis!$E$5)^AK837*(((MID(C837,9,3)*10)-144)/1000)*AL837+AM837*(J837/Basis!$E$5)^2)*0.0098)/Basis!$E$10)</f>
        <v>2.4638110390871687E-2</v>
      </c>
      <c r="M837" s="85"/>
      <c r="N837" s="109">
        <v>1.462</v>
      </c>
      <c r="O837" s="68"/>
      <c r="P837" s="67">
        <v>1423</v>
      </c>
      <c r="Q837" s="68"/>
      <c r="R837" s="69"/>
      <c r="S837" s="69"/>
      <c r="T837" s="69"/>
      <c r="U837" s="69"/>
      <c r="V837" s="69"/>
      <c r="W837" s="68"/>
      <c r="X837" s="70"/>
      <c r="Y837" s="70"/>
      <c r="Z837" s="70"/>
      <c r="AA837" s="70"/>
      <c r="AB837" s="70"/>
      <c r="AC837" s="68"/>
      <c r="AD837" s="71"/>
      <c r="AE837" s="71"/>
      <c r="AF837" s="71"/>
      <c r="AG837" s="71"/>
      <c r="AH837" s="71"/>
      <c r="AI837" s="68"/>
      <c r="AJ837" s="214">
        <v>2.0829999999999999E-4</v>
      </c>
      <c r="AK837" s="214">
        <v>1.724</v>
      </c>
      <c r="AL837" s="214">
        <v>4</v>
      </c>
      <c r="AM837" s="214">
        <v>1.392796E-3</v>
      </c>
      <c r="AN837" s="68"/>
      <c r="AO837" s="67"/>
      <c r="AP837" s="67"/>
      <c r="AQ837" s="67"/>
      <c r="AR837" s="67"/>
      <c r="AS837" s="67"/>
      <c r="AT837" s="68"/>
      <c r="AU837" s="49"/>
      <c r="AV837" s="50"/>
    </row>
    <row r="838" spans="1:48" ht="12.75" customHeight="1" x14ac:dyDescent="0.25">
      <c r="A838" s="72" t="s">
        <v>20</v>
      </c>
      <c r="B838" s="43" t="s">
        <v>889</v>
      </c>
      <c r="C838" s="44" t="s">
        <v>992</v>
      </c>
      <c r="D838" s="45">
        <f>MROUND(MID($C838,6,3)/Basis!$E$3,0.5)</f>
        <v>23</v>
      </c>
      <c r="E838" s="45">
        <f>MROUND(MID($C838,9,3)/Basis!$E$3,0.5)</f>
        <v>40.5</v>
      </c>
      <c r="F838" s="124" t="s">
        <v>2947</v>
      </c>
      <c r="G838" s="45">
        <f>ROUND((ROUNDDOWN($F838/5,0)*5+3)/Basis!$E$3,1)</f>
        <v>7.1</v>
      </c>
      <c r="H838" s="120">
        <f>ROUND($P838*Basis!$E$2*((TaH-TrH)/LN(1/µ)/Basis!$E$7)^$N838*$AA$4*Glycol,0)</f>
        <v>2717</v>
      </c>
      <c r="I838" s="83">
        <f>ROUND(H838/(MID($C838,9,3)/Basis!$E$3/Basis!$E$9)*Basis!$E$11,0)</f>
        <v>804</v>
      </c>
      <c r="J838" s="123">
        <f>IF(Basis!$E$1=1,ROUND(H838/((TaH-TrH)*1.163)/3600,3),ROUND(H838/(500*(TaH-TrH)),2))</f>
        <v>0.27</v>
      </c>
      <c r="K838" s="84"/>
      <c r="L838" s="177">
        <f>CHOOSE(Basis!$E$1,((AJ838*(J838*3600/Basis!$E$5)^AK838*(((MID(C838,9,3)*10)-144)/1000)*AL838+AM838*(J838*3600/Basis!$E$5)^2)*0.0098)/Basis!$E$10,((AJ838*(J838/Basis!$E$5)^AK838*(((MID(C838,9,3)*10)-144)/1000)*AL838+AM838*(J838/Basis!$E$5)^2)*0.0098)/Basis!$E$10)</f>
        <v>2.0040401717668226E-2</v>
      </c>
      <c r="M838" s="85"/>
      <c r="N838" s="109">
        <v>1.464</v>
      </c>
      <c r="O838" s="68"/>
      <c r="P838" s="67">
        <v>1291</v>
      </c>
      <c r="Q838" s="68"/>
      <c r="R838" s="69"/>
      <c r="S838" s="69"/>
      <c r="T838" s="69"/>
      <c r="U838" s="69"/>
      <c r="V838" s="69"/>
      <c r="W838" s="68"/>
      <c r="X838" s="70"/>
      <c r="Y838" s="70"/>
      <c r="Z838" s="70"/>
      <c r="AA838" s="70"/>
      <c r="AB838" s="70"/>
      <c r="AC838" s="68"/>
      <c r="AD838" s="71"/>
      <c r="AE838" s="71"/>
      <c r="AF838" s="71"/>
      <c r="AG838" s="71"/>
      <c r="AH838" s="71"/>
      <c r="AI838" s="68"/>
      <c r="AJ838" s="214">
        <v>2.0829999999999999E-4</v>
      </c>
      <c r="AK838" s="214">
        <v>1.724</v>
      </c>
      <c r="AL838" s="214">
        <v>4</v>
      </c>
      <c r="AM838" s="214">
        <v>1.392796E-3</v>
      </c>
      <c r="AN838" s="68"/>
      <c r="AO838" s="67"/>
      <c r="AP838" s="67"/>
      <c r="AQ838" s="67"/>
      <c r="AR838" s="67"/>
      <c r="AS838" s="67"/>
      <c r="AT838" s="68"/>
      <c r="AU838" s="49"/>
      <c r="AV838" s="50"/>
    </row>
    <row r="839" spans="1:48" ht="12.75" customHeight="1" x14ac:dyDescent="0.25">
      <c r="A839" s="72" t="s">
        <v>20</v>
      </c>
      <c r="B839" s="43" t="s">
        <v>889</v>
      </c>
      <c r="C839" s="44" t="s">
        <v>993</v>
      </c>
      <c r="D839" s="45">
        <f>MROUND(MID($C839,6,3)/Basis!$E$3,0.5)</f>
        <v>23</v>
      </c>
      <c r="E839" s="45">
        <f>MROUND(MID($C839,9,3)/Basis!$E$3,0.5)</f>
        <v>40.5</v>
      </c>
      <c r="F839" s="124" t="s">
        <v>2947</v>
      </c>
      <c r="G839" s="45">
        <f>ROUND((ROUNDDOWN($F839/5,0)*5+3)/Basis!$E$3,1)</f>
        <v>7.1</v>
      </c>
      <c r="H839" s="120">
        <f>ROUND($P839*Basis!$E$2*((TaH-TrH)/LN(1/µ)/Basis!$E$7)^$N839*$AA$4*Glycol,0)</f>
        <v>3582</v>
      </c>
      <c r="I839" s="83">
        <f>ROUND(H839/(MID($C839,9,3)/Basis!$E$3/Basis!$E$9)*Basis!$E$11,0)</f>
        <v>1060</v>
      </c>
      <c r="J839" s="123">
        <f>IF(Basis!$E$1=1,ROUND(H839/((TaH-TrH)*1.163)/3600,3),ROUND(H839/(500*(TaH-TrH)),2))</f>
        <v>0.36</v>
      </c>
      <c r="K839" s="84"/>
      <c r="L839" s="177">
        <f>CHOOSE(Basis!$E$1,((AJ839*(J839*3600/Basis!$E$5)^AK839*(((MID(C839,9,3)*10)-144)/1000)*AL839+AM839*(J839*3600/Basis!$E$5)^2)*0.0098)/Basis!$E$10,((AJ839*(J839/Basis!$E$5)^AK839*(((MID(C839,9,3)*10)-144)/1000)*AL839+AM839*(J839/Basis!$E$5)^2)*0.0098)/Basis!$E$10)</f>
        <v>3.5231888022204103E-2</v>
      </c>
      <c r="M839" s="85"/>
      <c r="N839" s="109">
        <v>1.468</v>
      </c>
      <c r="O839" s="68"/>
      <c r="P839" s="67">
        <v>1704</v>
      </c>
      <c r="Q839" s="68"/>
      <c r="R839" s="69"/>
      <c r="S839" s="69"/>
      <c r="T839" s="69"/>
      <c r="U839" s="69"/>
      <c r="V839" s="69"/>
      <c r="W839" s="68"/>
      <c r="X839" s="70"/>
      <c r="Y839" s="70"/>
      <c r="Z839" s="70"/>
      <c r="AA839" s="70"/>
      <c r="AB839" s="70"/>
      <c r="AC839" s="68"/>
      <c r="AD839" s="71"/>
      <c r="AE839" s="71"/>
      <c r="AF839" s="71"/>
      <c r="AG839" s="71"/>
      <c r="AH839" s="71"/>
      <c r="AI839" s="68"/>
      <c r="AJ839" s="214">
        <v>2.0829999999999999E-4</v>
      </c>
      <c r="AK839" s="214">
        <v>1.724</v>
      </c>
      <c r="AL839" s="214">
        <v>4</v>
      </c>
      <c r="AM839" s="214">
        <v>1.392796E-3</v>
      </c>
      <c r="AN839" s="68"/>
      <c r="AO839" s="67"/>
      <c r="AP839" s="67"/>
      <c r="AQ839" s="67"/>
      <c r="AR839" s="67"/>
      <c r="AS839" s="67"/>
      <c r="AT839" s="68"/>
      <c r="AU839" s="49"/>
      <c r="AV839" s="50"/>
    </row>
    <row r="840" spans="1:48" ht="12.75" customHeight="1" x14ac:dyDescent="0.25">
      <c r="A840" s="72" t="s">
        <v>20</v>
      </c>
      <c r="B840" s="43" t="s">
        <v>889</v>
      </c>
      <c r="C840" s="44" t="s">
        <v>994</v>
      </c>
      <c r="D840" s="45">
        <f>MROUND(MID($C840,6,3)/Basis!$E$3,0.5)</f>
        <v>23</v>
      </c>
      <c r="E840" s="45">
        <f>MROUND(MID($C840,9,3)/Basis!$E$3,0.5)</f>
        <v>40.5</v>
      </c>
      <c r="F840" s="124" t="s">
        <v>2948</v>
      </c>
      <c r="G840" s="45">
        <f>ROUND((ROUNDDOWN($F840/5,0)*5+3)/Basis!$E$3,1)</f>
        <v>9.1</v>
      </c>
      <c r="H840" s="120">
        <f>ROUND($P840*Basis!$E$2*((TaH-TrH)/LN(1/µ)/Basis!$E$7)^$N840*$AA$4*Glycol,0)</f>
        <v>2691</v>
      </c>
      <c r="I840" s="83">
        <f>ROUND(H840/(MID($C840,9,3)/Basis!$E$3/Basis!$E$9)*Basis!$E$11,0)</f>
        <v>796</v>
      </c>
      <c r="J840" s="123">
        <f>IF(Basis!$E$1=1,ROUND(H840/((TaH-TrH)*1.163)/3600,3),ROUND(H840/(500*(TaH-TrH)),2))</f>
        <v>0.27</v>
      </c>
      <c r="K840" s="84"/>
      <c r="L840" s="177">
        <f>CHOOSE(Basis!$E$1,((AJ840*(J840*3600/Basis!$E$5)^AK840*(((MID(C840,9,3)*10)-144)/1000)*AL840+AM840*(J840*3600/Basis!$E$5)^2)*0.0098)/Basis!$E$10,((AJ840*(J840/Basis!$E$5)^AK840*(((MID(C840,9,3)*10)-144)/1000)*AL840+AM840*(J840/Basis!$E$5)^2)*0.0098)/Basis!$E$10)</f>
        <v>8.0926427265244228E-3</v>
      </c>
      <c r="M840" s="85"/>
      <c r="N840" s="109">
        <v>1.472</v>
      </c>
      <c r="O840" s="68"/>
      <c r="P840" s="67">
        <v>1282</v>
      </c>
      <c r="Q840" s="68"/>
      <c r="R840" s="69"/>
      <c r="S840" s="69"/>
      <c r="T840" s="69"/>
      <c r="U840" s="69"/>
      <c r="V840" s="69"/>
      <c r="W840" s="68"/>
      <c r="X840" s="70"/>
      <c r="Y840" s="70"/>
      <c r="Z840" s="70"/>
      <c r="AA840" s="70"/>
      <c r="AB840" s="70"/>
      <c r="AC840" s="68"/>
      <c r="AD840" s="71"/>
      <c r="AE840" s="71"/>
      <c r="AF840" s="71"/>
      <c r="AG840" s="71"/>
      <c r="AH840" s="71"/>
      <c r="AI840" s="68"/>
      <c r="AJ840" s="214">
        <v>1.2760000000000001E-4</v>
      </c>
      <c r="AK840" s="214">
        <v>1.7219</v>
      </c>
      <c r="AL840" s="214">
        <v>4</v>
      </c>
      <c r="AM840" s="214">
        <v>5.1420100000000005E-4</v>
      </c>
      <c r="AN840" s="68"/>
      <c r="AO840" s="67"/>
      <c r="AP840" s="67"/>
      <c r="AQ840" s="67"/>
      <c r="AR840" s="67"/>
      <c r="AS840" s="67"/>
      <c r="AT840" s="68"/>
      <c r="AU840" s="49"/>
      <c r="AV840" s="50"/>
    </row>
    <row r="841" spans="1:48" ht="12.75" customHeight="1" x14ac:dyDescent="0.25">
      <c r="A841" s="72" t="s">
        <v>20</v>
      </c>
      <c r="B841" s="43" t="s">
        <v>889</v>
      </c>
      <c r="C841" s="44" t="s">
        <v>995</v>
      </c>
      <c r="D841" s="45">
        <f>MROUND(MID($C841,6,3)/Basis!$E$3,0.5)</f>
        <v>23</v>
      </c>
      <c r="E841" s="45">
        <f>MROUND(MID($C841,9,3)/Basis!$E$3,0.5)</f>
        <v>40.5</v>
      </c>
      <c r="F841" s="124" t="s">
        <v>2948</v>
      </c>
      <c r="G841" s="45">
        <f>ROUND((ROUNDDOWN($F841/5,0)*5+3)/Basis!$E$3,1)</f>
        <v>9.1</v>
      </c>
      <c r="H841" s="120">
        <f>ROUND($P841*Basis!$E$2*((TaH-TrH)/LN(1/µ)/Basis!$E$7)^$N841*$AA$4*Glycol,0)</f>
        <v>3856</v>
      </c>
      <c r="I841" s="83">
        <f>ROUND(H841/(MID($C841,9,3)/Basis!$E$3/Basis!$E$9)*Basis!$E$11,0)</f>
        <v>1141</v>
      </c>
      <c r="J841" s="123">
        <f>IF(Basis!$E$1=1,ROUND(H841/((TaH-TrH)*1.163)/3600,3),ROUND(H841/(500*(TaH-TrH)),2))</f>
        <v>0.39</v>
      </c>
      <c r="K841" s="84"/>
      <c r="L841" s="177">
        <f>CHOOSE(Basis!$E$1,((AJ841*(J841*3600/Basis!$E$5)^AK841*(((MID(C841,9,3)*10)-144)/1000)*AL841+AM841*(J841*3600/Basis!$E$5)^2)*0.0098)/Basis!$E$10,((AJ841*(J841/Basis!$E$5)^AK841*(((MID(C841,9,3)*10)-144)/1000)*AL841+AM841*(J841/Basis!$E$5)^2)*0.0098)/Basis!$E$10)</f>
        <v>1.6525659502595002E-2</v>
      </c>
      <c r="M841" s="85"/>
      <c r="N841" s="109">
        <v>1.48</v>
      </c>
      <c r="O841" s="68"/>
      <c r="P841" s="67">
        <v>1842</v>
      </c>
      <c r="Q841" s="68"/>
      <c r="R841" s="69"/>
      <c r="S841" s="69"/>
      <c r="T841" s="69"/>
      <c r="U841" s="69"/>
      <c r="V841" s="69"/>
      <c r="W841" s="68"/>
      <c r="X841" s="70"/>
      <c r="Y841" s="70"/>
      <c r="Z841" s="70"/>
      <c r="AA841" s="70"/>
      <c r="AB841" s="70"/>
      <c r="AC841" s="68"/>
      <c r="AD841" s="71"/>
      <c r="AE841" s="71"/>
      <c r="AF841" s="71"/>
      <c r="AG841" s="71"/>
      <c r="AH841" s="71"/>
      <c r="AI841" s="68"/>
      <c r="AJ841" s="214">
        <v>1.2760000000000001E-4</v>
      </c>
      <c r="AK841" s="214">
        <v>1.7219</v>
      </c>
      <c r="AL841" s="214">
        <v>4</v>
      </c>
      <c r="AM841" s="214">
        <v>5.1420100000000005E-4</v>
      </c>
      <c r="AN841" s="68"/>
      <c r="AO841" s="67"/>
      <c r="AP841" s="67"/>
      <c r="AQ841" s="67"/>
      <c r="AR841" s="67"/>
      <c r="AS841" s="67"/>
      <c r="AT841" s="68"/>
      <c r="AU841" s="49"/>
      <c r="AV841" s="50"/>
    </row>
    <row r="842" spans="1:48" ht="12.75" customHeight="1" x14ac:dyDescent="0.25">
      <c r="A842" s="72" t="s">
        <v>20</v>
      </c>
      <c r="B842" s="43" t="s">
        <v>889</v>
      </c>
      <c r="C842" s="44" t="s">
        <v>996</v>
      </c>
      <c r="D842" s="45">
        <f>MROUND(MID($C842,6,3)/Basis!$E$3,0.5)</f>
        <v>23</v>
      </c>
      <c r="E842" s="45">
        <f>MROUND(MID($C842,9,3)/Basis!$E$3,0.5)</f>
        <v>40.5</v>
      </c>
      <c r="F842" s="124" t="s">
        <v>2948</v>
      </c>
      <c r="G842" s="45">
        <f>ROUND((ROUNDDOWN($F842/5,0)*5+3)/Basis!$E$3,1)</f>
        <v>9.1</v>
      </c>
      <c r="H842" s="120">
        <f>ROUND($P842*Basis!$E$2*((TaH-TrH)/LN(1/µ)/Basis!$E$7)^$N842*$AA$4*Glycol,0)</f>
        <v>3525</v>
      </c>
      <c r="I842" s="83">
        <f>ROUND(H842/(MID($C842,9,3)/Basis!$E$3/Basis!$E$9)*Basis!$E$11,0)</f>
        <v>1043</v>
      </c>
      <c r="J842" s="123">
        <f>IF(Basis!$E$1=1,ROUND(H842/((TaH-TrH)*1.163)/3600,3),ROUND(H842/(500*(TaH-TrH)),2))</f>
        <v>0.35</v>
      </c>
      <c r="K842" s="84"/>
      <c r="L842" s="177">
        <f>CHOOSE(Basis!$E$1,((AJ842*(J842*3600/Basis!$E$5)^AK842*(((MID(C842,9,3)*10)-144)/1000)*AL842+AM842*(J842*3600/Basis!$E$5)^2)*0.0098)/Basis!$E$10,((AJ842*(J842/Basis!$E$5)^AK842*(((MID(C842,9,3)*10)-144)/1000)*AL842+AM842*(J842/Basis!$E$5)^2)*0.0098)/Basis!$E$10)</f>
        <v>1.3391656465240763E-2</v>
      </c>
      <c r="M842" s="85"/>
      <c r="N842" s="109">
        <v>1.484</v>
      </c>
      <c r="O842" s="68"/>
      <c r="P842" s="67">
        <v>1686</v>
      </c>
      <c r="Q842" s="68"/>
      <c r="R842" s="69"/>
      <c r="S842" s="69"/>
      <c r="T842" s="69"/>
      <c r="U842" s="69"/>
      <c r="V842" s="69"/>
      <c r="W842" s="68"/>
      <c r="X842" s="70"/>
      <c r="Y842" s="70"/>
      <c r="Z842" s="70"/>
      <c r="AA842" s="70"/>
      <c r="AB842" s="70"/>
      <c r="AC842" s="68"/>
      <c r="AD842" s="71"/>
      <c r="AE842" s="71"/>
      <c r="AF842" s="71"/>
      <c r="AG842" s="71"/>
      <c r="AH842" s="71"/>
      <c r="AI842" s="68"/>
      <c r="AJ842" s="214">
        <v>1.2760000000000001E-4</v>
      </c>
      <c r="AK842" s="214">
        <v>1.7219</v>
      </c>
      <c r="AL842" s="214">
        <v>4</v>
      </c>
      <c r="AM842" s="214">
        <v>5.1420100000000005E-4</v>
      </c>
      <c r="AN842" s="68"/>
      <c r="AO842" s="67"/>
      <c r="AP842" s="67"/>
      <c r="AQ842" s="67"/>
      <c r="AR842" s="67"/>
      <c r="AS842" s="67"/>
      <c r="AT842" s="68"/>
      <c r="AU842" s="49"/>
      <c r="AV842" s="50"/>
    </row>
    <row r="843" spans="1:48" ht="12.75" customHeight="1" x14ac:dyDescent="0.25">
      <c r="A843" s="72" t="s">
        <v>20</v>
      </c>
      <c r="B843" s="43" t="s">
        <v>889</v>
      </c>
      <c r="C843" s="44" t="s">
        <v>997</v>
      </c>
      <c r="D843" s="45">
        <f>MROUND(MID($C843,6,3)/Basis!$E$3,0.5)</f>
        <v>23</v>
      </c>
      <c r="E843" s="45">
        <f>MROUND(MID($C843,9,3)/Basis!$E$3,0.5)</f>
        <v>40.5</v>
      </c>
      <c r="F843" s="124" t="s">
        <v>2948</v>
      </c>
      <c r="G843" s="45">
        <f>ROUND((ROUNDDOWN($F843/5,0)*5+3)/Basis!$E$3,1)</f>
        <v>9.1</v>
      </c>
      <c r="H843" s="120">
        <f>ROUND($P843*Basis!$E$2*((TaH-TrH)/LN(1/µ)/Basis!$E$7)^$N843*$AA$4*Glycol,0)</f>
        <v>4727</v>
      </c>
      <c r="I843" s="83">
        <f>ROUND(H843/(MID($C843,9,3)/Basis!$E$3/Basis!$E$9)*Basis!$E$11,0)</f>
        <v>1399</v>
      </c>
      <c r="J843" s="123">
        <f>IF(Basis!$E$1=1,ROUND(H843/((TaH-TrH)*1.163)/3600,3),ROUND(H843/(500*(TaH-TrH)),2))</f>
        <v>0.47</v>
      </c>
      <c r="K843" s="84"/>
      <c r="L843" s="177">
        <f>CHOOSE(Basis!$E$1,((AJ843*(J843*3600/Basis!$E$5)^AK843*(((MID(C843,9,3)*10)-144)/1000)*AL843+AM843*(J843*3600/Basis!$E$5)^2)*0.0098)/Basis!$E$10,((AJ843*(J843/Basis!$E$5)^AK843*(((MID(C843,9,3)*10)-144)/1000)*AL843+AM843*(J843/Basis!$E$5)^2)*0.0098)/Basis!$E$10)</f>
        <v>2.3755932437755825E-2</v>
      </c>
      <c r="M843" s="85"/>
      <c r="N843" s="109">
        <v>1.492</v>
      </c>
      <c r="O843" s="68"/>
      <c r="P843" s="67">
        <v>2267</v>
      </c>
      <c r="Q843" s="68"/>
      <c r="R843" s="69"/>
      <c r="S843" s="69"/>
      <c r="T843" s="69"/>
      <c r="U843" s="69"/>
      <c r="V843" s="69"/>
      <c r="W843" s="68"/>
      <c r="X843" s="70"/>
      <c r="Y843" s="70"/>
      <c r="Z843" s="70"/>
      <c r="AA843" s="70"/>
      <c r="AB843" s="70"/>
      <c r="AC843" s="68"/>
      <c r="AD843" s="71"/>
      <c r="AE843" s="71"/>
      <c r="AF843" s="71"/>
      <c r="AG843" s="71"/>
      <c r="AH843" s="71"/>
      <c r="AI843" s="68"/>
      <c r="AJ843" s="214">
        <v>1.2760000000000001E-4</v>
      </c>
      <c r="AK843" s="214">
        <v>1.7219</v>
      </c>
      <c r="AL843" s="214">
        <v>4</v>
      </c>
      <c r="AM843" s="214">
        <v>5.1420100000000005E-4</v>
      </c>
      <c r="AN843" s="68"/>
      <c r="AO843" s="67"/>
      <c r="AP843" s="67"/>
      <c r="AQ843" s="67"/>
      <c r="AR843" s="67"/>
      <c r="AS843" s="67"/>
      <c r="AT843" s="68"/>
      <c r="AU843" s="49"/>
      <c r="AV843" s="50"/>
    </row>
    <row r="844" spans="1:48" ht="12.75" customHeight="1" x14ac:dyDescent="0.25">
      <c r="A844" s="72" t="s">
        <v>20</v>
      </c>
      <c r="B844" s="43" t="s">
        <v>889</v>
      </c>
      <c r="C844" s="44" t="s">
        <v>998</v>
      </c>
      <c r="D844" s="45">
        <f>MROUND(MID($C844,6,3)/Basis!$E$3,0.5)</f>
        <v>23</v>
      </c>
      <c r="E844" s="45">
        <f>MROUND(MID($C844,9,3)/Basis!$E$3,0.5)</f>
        <v>48.5</v>
      </c>
      <c r="F844" s="124" t="s">
        <v>2946</v>
      </c>
      <c r="G844" s="45">
        <f>ROUND((ROUNDDOWN($F844/5,0)*5+3)/Basis!$E$3,1)</f>
        <v>5.0999999999999996</v>
      </c>
      <c r="H844" s="120">
        <f>ROUND($P844*Basis!$E$2*((TaH-TrH)/LN(1/µ)/Basis!$E$7)^$N844*$AA$4*Glycol,0)</f>
        <v>1937</v>
      </c>
      <c r="I844" s="83">
        <f>ROUND(H844/(MID($C844,9,3)/Basis!$E$3/Basis!$E$9)*Basis!$E$11,0)</f>
        <v>480</v>
      </c>
      <c r="J844" s="123">
        <f>IF(Basis!$E$1=1,ROUND(H844/((TaH-TrH)*1.163)/3600,3),ROUND(H844/(500*(TaH-TrH)),2))</f>
        <v>0.19</v>
      </c>
      <c r="K844" s="84"/>
      <c r="L844" s="177">
        <f>CHOOSE(Basis!$E$1,((AJ844*(J844*3600/Basis!$E$5)^AK844*(((MID(C844,9,3)*10)-144)/1000)*AL844+AM844*(J844*3600/Basis!$E$5)^2)*0.0098)/Basis!$E$10,((AJ844*(J844/Basis!$E$5)^AK844*(((MID(C844,9,3)*10)-144)/1000)*AL844+AM844*(J844/Basis!$E$5)^2)*0.0098)/Basis!$E$10)</f>
        <v>7.3621558907492179E-3</v>
      </c>
      <c r="M844" s="85"/>
      <c r="N844" s="109">
        <v>1.44</v>
      </c>
      <c r="O844" s="68"/>
      <c r="P844" s="67">
        <v>913</v>
      </c>
      <c r="Q844" s="68"/>
      <c r="R844" s="69"/>
      <c r="S844" s="69"/>
      <c r="T844" s="69"/>
      <c r="U844" s="69"/>
      <c r="V844" s="69"/>
      <c r="W844" s="68"/>
      <c r="X844" s="70"/>
      <c r="Y844" s="70"/>
      <c r="Z844" s="70"/>
      <c r="AA844" s="70"/>
      <c r="AB844" s="70"/>
      <c r="AC844" s="68"/>
      <c r="AD844" s="71"/>
      <c r="AE844" s="71"/>
      <c r="AF844" s="71"/>
      <c r="AG844" s="71"/>
      <c r="AH844" s="71"/>
      <c r="AI844" s="68"/>
      <c r="AJ844" s="214">
        <v>3.9689999999999994E-4</v>
      </c>
      <c r="AK844" s="214">
        <v>1.7345999999999999</v>
      </c>
      <c r="AL844" s="214">
        <v>4</v>
      </c>
      <c r="AM844" s="214">
        <v>5.7428799999999995E-4</v>
      </c>
      <c r="AN844" s="68"/>
      <c r="AO844" s="67"/>
      <c r="AP844" s="67"/>
      <c r="AQ844" s="67"/>
      <c r="AR844" s="67"/>
      <c r="AS844" s="67"/>
      <c r="AT844" s="68"/>
      <c r="AU844" s="49"/>
      <c r="AV844" s="50"/>
    </row>
    <row r="845" spans="1:48" ht="12.75" customHeight="1" x14ac:dyDescent="0.25">
      <c r="A845" s="72" t="s">
        <v>20</v>
      </c>
      <c r="B845" s="43" t="s">
        <v>889</v>
      </c>
      <c r="C845" s="44" t="s">
        <v>999</v>
      </c>
      <c r="D845" s="45">
        <f>MROUND(MID($C845,6,3)/Basis!$E$3,0.5)</f>
        <v>23</v>
      </c>
      <c r="E845" s="45">
        <f>MROUND(MID($C845,9,3)/Basis!$E$3,0.5)</f>
        <v>48.5</v>
      </c>
      <c r="F845" s="124" t="s">
        <v>2946</v>
      </c>
      <c r="G845" s="45">
        <f>ROUND((ROUNDDOWN($F845/5,0)*5+3)/Basis!$E$3,1)</f>
        <v>5.0999999999999996</v>
      </c>
      <c r="H845" s="120">
        <f>ROUND($P845*Basis!$E$2*((TaH-TrH)/LN(1/µ)/Basis!$E$7)^$N845*$AA$4*Glycol,0)</f>
        <v>2551</v>
      </c>
      <c r="I845" s="83">
        <f>ROUND(H845/(MID($C845,9,3)/Basis!$E$3/Basis!$E$9)*Basis!$E$11,0)</f>
        <v>632</v>
      </c>
      <c r="J845" s="123">
        <f>IF(Basis!$E$1=1,ROUND(H845/((TaH-TrH)*1.163)/3600,3),ROUND(H845/(500*(TaH-TrH)),2))</f>
        <v>0.26</v>
      </c>
      <c r="K845" s="84"/>
      <c r="L845" s="177">
        <f>CHOOSE(Basis!$E$1,((AJ845*(J845*3600/Basis!$E$5)^AK845*(((MID(C845,9,3)*10)-144)/1000)*AL845+AM845*(J845*3600/Basis!$E$5)^2)*0.0098)/Basis!$E$10,((AJ845*(J845/Basis!$E$5)^AK845*(((MID(C845,9,3)*10)-144)/1000)*AL845+AM845*(J845/Basis!$E$5)^2)*0.0098)/Basis!$E$10)</f>
        <v>1.3208060460696083E-2</v>
      </c>
      <c r="M845" s="85"/>
      <c r="N845" s="109">
        <v>1.4390000000000001</v>
      </c>
      <c r="O845" s="68"/>
      <c r="P845" s="67">
        <v>1202</v>
      </c>
      <c r="Q845" s="68"/>
      <c r="R845" s="69"/>
      <c r="S845" s="69"/>
      <c r="T845" s="69"/>
      <c r="U845" s="69"/>
      <c r="V845" s="69"/>
      <c r="W845" s="68"/>
      <c r="X845" s="70"/>
      <c r="Y845" s="70"/>
      <c r="Z845" s="70"/>
      <c r="AA845" s="70"/>
      <c r="AB845" s="70"/>
      <c r="AC845" s="68"/>
      <c r="AD845" s="71"/>
      <c r="AE845" s="71"/>
      <c r="AF845" s="71"/>
      <c r="AG845" s="71"/>
      <c r="AH845" s="71"/>
      <c r="AI845" s="68"/>
      <c r="AJ845" s="214">
        <v>3.9689999999999994E-4</v>
      </c>
      <c r="AK845" s="214">
        <v>1.7345999999999999</v>
      </c>
      <c r="AL845" s="214">
        <v>4</v>
      </c>
      <c r="AM845" s="214">
        <v>5.7428799999999995E-4</v>
      </c>
      <c r="AN845" s="68"/>
      <c r="AO845" s="67"/>
      <c r="AP845" s="67"/>
      <c r="AQ845" s="67"/>
      <c r="AR845" s="67"/>
      <c r="AS845" s="67"/>
      <c r="AT845" s="68"/>
      <c r="AU845" s="49"/>
      <c r="AV845" s="50"/>
    </row>
    <row r="846" spans="1:48" ht="12.75" customHeight="1" x14ac:dyDescent="0.25">
      <c r="A846" s="72" t="s">
        <v>20</v>
      </c>
      <c r="B846" s="43" t="s">
        <v>889</v>
      </c>
      <c r="C846" s="44" t="s">
        <v>1000</v>
      </c>
      <c r="D846" s="45">
        <f>MROUND(MID($C846,6,3)/Basis!$E$3,0.5)</f>
        <v>23</v>
      </c>
      <c r="E846" s="45">
        <f>MROUND(MID($C846,9,3)/Basis!$E$3,0.5)</f>
        <v>48.5</v>
      </c>
      <c r="F846" s="124" t="s">
        <v>2946</v>
      </c>
      <c r="G846" s="45">
        <f>ROUND((ROUNDDOWN($F846/5,0)*5+3)/Basis!$E$3,1)</f>
        <v>5.0999999999999996</v>
      </c>
      <c r="H846" s="120">
        <f>ROUND($P846*Basis!$E$2*((TaH-TrH)/LN(1/µ)/Basis!$E$7)^$N846*$AA$4*Glycol,0)</f>
        <v>2346</v>
      </c>
      <c r="I846" s="83">
        <f>ROUND(H846/(MID($C846,9,3)/Basis!$E$3/Basis!$E$9)*Basis!$E$11,0)</f>
        <v>581</v>
      </c>
      <c r="J846" s="123">
        <f>IF(Basis!$E$1=1,ROUND(H846/((TaH-TrH)*1.163)/3600,3),ROUND(H846/(500*(TaH-TrH)),2))</f>
        <v>0.23</v>
      </c>
      <c r="K846" s="84"/>
      <c r="L846" s="177">
        <f>CHOOSE(Basis!$E$1,((AJ846*(J846*3600/Basis!$E$5)^AK846*(((MID(C846,9,3)*10)-144)/1000)*AL846+AM846*(J846*3600/Basis!$E$5)^2)*0.0098)/Basis!$E$10,((AJ846*(J846/Basis!$E$5)^AK846*(((MID(C846,9,3)*10)-144)/1000)*AL846+AM846*(J846/Basis!$E$5)^2)*0.0098)/Basis!$E$10)</f>
        <v>1.0508265169976697E-2</v>
      </c>
      <c r="M846" s="85"/>
      <c r="N846" s="109">
        <v>1.4379999999999999</v>
      </c>
      <c r="O846" s="68"/>
      <c r="P846" s="67">
        <v>1105</v>
      </c>
      <c r="Q846" s="68"/>
      <c r="R846" s="69"/>
      <c r="S846" s="69"/>
      <c r="T846" s="69"/>
      <c r="U846" s="69"/>
      <c r="V846" s="69"/>
      <c r="W846" s="68"/>
      <c r="X846" s="70"/>
      <c r="Y846" s="70"/>
      <c r="Z846" s="70"/>
      <c r="AA846" s="70"/>
      <c r="AB846" s="70"/>
      <c r="AC846" s="68"/>
      <c r="AD846" s="71"/>
      <c r="AE846" s="71"/>
      <c r="AF846" s="71"/>
      <c r="AG846" s="71"/>
      <c r="AH846" s="71"/>
      <c r="AI846" s="68"/>
      <c r="AJ846" s="214">
        <v>3.9689999999999994E-4</v>
      </c>
      <c r="AK846" s="214">
        <v>1.7345999999999999</v>
      </c>
      <c r="AL846" s="214">
        <v>4</v>
      </c>
      <c r="AM846" s="214">
        <v>5.7428799999999995E-4</v>
      </c>
      <c r="AN846" s="68"/>
      <c r="AO846" s="67"/>
      <c r="AP846" s="67"/>
      <c r="AQ846" s="67"/>
      <c r="AR846" s="67"/>
      <c r="AS846" s="67"/>
      <c r="AT846" s="68"/>
      <c r="AU846" s="49"/>
      <c r="AV846" s="50"/>
    </row>
    <row r="847" spans="1:48" ht="12.75" customHeight="1" x14ac:dyDescent="0.25">
      <c r="A847" s="72" t="s">
        <v>20</v>
      </c>
      <c r="B847" s="43" t="s">
        <v>889</v>
      </c>
      <c r="C847" s="44" t="s">
        <v>1001</v>
      </c>
      <c r="D847" s="45">
        <f>MROUND(MID($C847,6,3)/Basis!$E$3,0.5)</f>
        <v>23</v>
      </c>
      <c r="E847" s="45">
        <f>MROUND(MID($C847,9,3)/Basis!$E$3,0.5)</f>
        <v>48.5</v>
      </c>
      <c r="F847" s="124" t="s">
        <v>2946</v>
      </c>
      <c r="G847" s="45">
        <f>ROUND((ROUNDDOWN($F847/5,0)*5+3)/Basis!$E$3,1)</f>
        <v>5.0999999999999996</v>
      </c>
      <c r="H847" s="120">
        <f>ROUND($P847*Basis!$E$2*((TaH-TrH)/LN(1/µ)/Basis!$E$7)^$N847*$AA$4*Glycol,0)</f>
        <v>2939</v>
      </c>
      <c r="I847" s="83">
        <f>ROUND(H847/(MID($C847,9,3)/Basis!$E$3/Basis!$E$9)*Basis!$E$11,0)</f>
        <v>728</v>
      </c>
      <c r="J847" s="123">
        <f>IF(Basis!$E$1=1,ROUND(H847/((TaH-TrH)*1.163)/3600,3),ROUND(H847/(500*(TaH-TrH)),2))</f>
        <v>0.28999999999999998</v>
      </c>
      <c r="K847" s="84"/>
      <c r="L847" s="177">
        <f>CHOOSE(Basis!$E$1,((AJ847*(J847*3600/Basis!$E$5)^AK847*(((MID(C847,9,3)*10)-144)/1000)*AL847+AM847*(J847*3600/Basis!$E$5)^2)*0.0098)/Basis!$E$10,((AJ847*(J847/Basis!$E$5)^AK847*(((MID(C847,9,3)*10)-144)/1000)*AL847+AM847*(J847/Basis!$E$5)^2)*0.0098)/Basis!$E$10)</f>
        <v>1.6195239752464237E-2</v>
      </c>
      <c r="M847" s="85"/>
      <c r="N847" s="109">
        <v>1.4370000000000001</v>
      </c>
      <c r="O847" s="68"/>
      <c r="P847" s="67">
        <v>1384</v>
      </c>
      <c r="Q847" s="68"/>
      <c r="R847" s="69"/>
      <c r="S847" s="69"/>
      <c r="T847" s="69"/>
      <c r="U847" s="69"/>
      <c r="V847" s="69"/>
      <c r="W847" s="68"/>
      <c r="X847" s="70"/>
      <c r="Y847" s="70"/>
      <c r="Z847" s="70"/>
      <c r="AA847" s="70"/>
      <c r="AB847" s="70"/>
      <c r="AC847" s="68"/>
      <c r="AD847" s="71"/>
      <c r="AE847" s="71"/>
      <c r="AF847" s="71"/>
      <c r="AG847" s="71"/>
      <c r="AH847" s="71"/>
      <c r="AI847" s="68"/>
      <c r="AJ847" s="214">
        <v>3.9689999999999994E-4</v>
      </c>
      <c r="AK847" s="214">
        <v>1.7345999999999999</v>
      </c>
      <c r="AL847" s="214">
        <v>4</v>
      </c>
      <c r="AM847" s="214">
        <v>5.7428799999999995E-4</v>
      </c>
      <c r="AN847" s="68"/>
      <c r="AO847" s="67"/>
      <c r="AP847" s="67"/>
      <c r="AQ847" s="67"/>
      <c r="AR847" s="67"/>
      <c r="AS847" s="67"/>
      <c r="AT847" s="68"/>
      <c r="AU847" s="49"/>
      <c r="AV847" s="50"/>
    </row>
    <row r="848" spans="1:48" ht="12.75" customHeight="1" x14ac:dyDescent="0.25">
      <c r="A848" s="72" t="s">
        <v>20</v>
      </c>
      <c r="B848" s="43" t="s">
        <v>889</v>
      </c>
      <c r="C848" s="44" t="s">
        <v>1002</v>
      </c>
      <c r="D848" s="45">
        <f>MROUND(MID($C848,6,3)/Basis!$E$3,0.5)</f>
        <v>23</v>
      </c>
      <c r="E848" s="45">
        <f>MROUND(MID($C848,9,3)/Basis!$E$3,0.5)</f>
        <v>48.5</v>
      </c>
      <c r="F848" s="124" t="s">
        <v>2947</v>
      </c>
      <c r="G848" s="45">
        <f>ROUND((ROUNDDOWN($F848/5,0)*5+3)/Basis!$E$3,1)</f>
        <v>7.1</v>
      </c>
      <c r="H848" s="120">
        <f>ROUND($P848*Basis!$E$2*((TaH-TrH)/LN(1/µ)/Basis!$E$7)^$N848*$AA$4*Glycol,0)</f>
        <v>2656</v>
      </c>
      <c r="I848" s="83">
        <f>ROUND(H848/(MID($C848,9,3)/Basis!$E$3/Basis!$E$9)*Basis!$E$11,0)</f>
        <v>658</v>
      </c>
      <c r="J848" s="123">
        <f>IF(Basis!$E$1=1,ROUND(H848/((TaH-TrH)*1.163)/3600,3),ROUND(H848/(500*(TaH-TrH)),2))</f>
        <v>0.27</v>
      </c>
      <c r="K848" s="84"/>
      <c r="L848" s="177">
        <f>CHOOSE(Basis!$E$1,((AJ848*(J848*3600/Basis!$E$5)^AK848*(((MID(C848,9,3)*10)-144)/1000)*AL848+AM848*(J848*3600/Basis!$E$5)^2)*0.0098)/Basis!$E$10,((AJ848*(J848/Basis!$E$5)^AK848*(((MID(C848,9,3)*10)-144)/1000)*AL848+AM848*(J848/Basis!$E$5)^2)*0.0098)/Basis!$E$10)</f>
        <v>2.0698306405813542E-2</v>
      </c>
      <c r="M848" s="85"/>
      <c r="N848" s="109">
        <v>1.4570000000000001</v>
      </c>
      <c r="O848" s="68"/>
      <c r="P848" s="67">
        <v>1259</v>
      </c>
      <c r="Q848" s="68"/>
      <c r="R848" s="69"/>
      <c r="S848" s="69"/>
      <c r="T848" s="69"/>
      <c r="U848" s="69"/>
      <c r="V848" s="69"/>
      <c r="W848" s="68"/>
      <c r="X848" s="70"/>
      <c r="Y848" s="70"/>
      <c r="Z848" s="70"/>
      <c r="AA848" s="70"/>
      <c r="AB848" s="70"/>
      <c r="AC848" s="68"/>
      <c r="AD848" s="71"/>
      <c r="AE848" s="71"/>
      <c r="AF848" s="71"/>
      <c r="AG848" s="71"/>
      <c r="AH848" s="71"/>
      <c r="AI848" s="68"/>
      <c r="AJ848" s="214">
        <v>2.0829999999999999E-4</v>
      </c>
      <c r="AK848" s="214">
        <v>1.724</v>
      </c>
      <c r="AL848" s="214">
        <v>4</v>
      </c>
      <c r="AM848" s="214">
        <v>1.392796E-3</v>
      </c>
      <c r="AN848" s="68"/>
      <c r="AO848" s="67"/>
      <c r="AP848" s="67"/>
      <c r="AQ848" s="67"/>
      <c r="AR848" s="67"/>
      <c r="AS848" s="67"/>
      <c r="AT848" s="68"/>
      <c r="AU848" s="49"/>
      <c r="AV848" s="50"/>
    </row>
    <row r="849" spans="1:48" ht="12.75" customHeight="1" x14ac:dyDescent="0.25">
      <c r="A849" s="72" t="s">
        <v>20</v>
      </c>
      <c r="B849" s="43" t="s">
        <v>889</v>
      </c>
      <c r="C849" s="44" t="s">
        <v>1003</v>
      </c>
      <c r="D849" s="45">
        <f>MROUND(MID($C849,6,3)/Basis!$E$3,0.5)</f>
        <v>23</v>
      </c>
      <c r="E849" s="45">
        <f>MROUND(MID($C849,9,3)/Basis!$E$3,0.5)</f>
        <v>48.5</v>
      </c>
      <c r="F849" s="124" t="s">
        <v>2947</v>
      </c>
      <c r="G849" s="45">
        <f>ROUND((ROUNDDOWN($F849/5,0)*5+3)/Basis!$E$3,1)</f>
        <v>7.1</v>
      </c>
      <c r="H849" s="120">
        <f>ROUND($P849*Basis!$E$2*((TaH-TrH)/LN(1/µ)/Basis!$E$7)^$N849*$AA$4*Glycol,0)</f>
        <v>3723</v>
      </c>
      <c r="I849" s="83">
        <f>ROUND(H849/(MID($C849,9,3)/Basis!$E$3/Basis!$E$9)*Basis!$E$11,0)</f>
        <v>923</v>
      </c>
      <c r="J849" s="123">
        <f>IF(Basis!$E$1=1,ROUND(H849/((TaH-TrH)*1.163)/3600,3),ROUND(H849/(500*(TaH-TrH)),2))</f>
        <v>0.37</v>
      </c>
      <c r="K849" s="84"/>
      <c r="L849" s="177">
        <f>CHOOSE(Basis!$E$1,((AJ849*(J849*3600/Basis!$E$5)^AK849*(((MID(C849,9,3)*10)-144)/1000)*AL849+AM849*(J849*3600/Basis!$E$5)^2)*0.0098)/Basis!$E$10,((AJ849*(J849/Basis!$E$5)^AK849*(((MID(C849,9,3)*10)-144)/1000)*AL849+AM849*(J849/Basis!$E$5)^2)*0.0098)/Basis!$E$10)</f>
        <v>3.8310901674809848E-2</v>
      </c>
      <c r="M849" s="85"/>
      <c r="N849" s="109">
        <v>1.462</v>
      </c>
      <c r="O849" s="68"/>
      <c r="P849" s="67">
        <v>1768</v>
      </c>
      <c r="Q849" s="68"/>
      <c r="R849" s="69"/>
      <c r="S849" s="69"/>
      <c r="T849" s="69"/>
      <c r="U849" s="69"/>
      <c r="V849" s="69"/>
      <c r="W849" s="68"/>
      <c r="X849" s="70"/>
      <c r="Y849" s="70"/>
      <c r="Z849" s="70"/>
      <c r="AA849" s="70"/>
      <c r="AB849" s="70"/>
      <c r="AC849" s="68"/>
      <c r="AD849" s="71"/>
      <c r="AE849" s="71"/>
      <c r="AF849" s="71"/>
      <c r="AG849" s="71"/>
      <c r="AH849" s="71"/>
      <c r="AI849" s="68"/>
      <c r="AJ849" s="214">
        <v>2.0829999999999999E-4</v>
      </c>
      <c r="AK849" s="214">
        <v>1.724</v>
      </c>
      <c r="AL849" s="214">
        <v>4</v>
      </c>
      <c r="AM849" s="214">
        <v>1.392796E-3</v>
      </c>
      <c r="AN849" s="68"/>
      <c r="AO849" s="67"/>
      <c r="AP849" s="67"/>
      <c r="AQ849" s="67"/>
      <c r="AR849" s="67"/>
      <c r="AS849" s="67"/>
      <c r="AT849" s="68"/>
      <c r="AU849" s="49"/>
      <c r="AV849" s="50"/>
    </row>
    <row r="850" spans="1:48" ht="12.75" customHeight="1" x14ac:dyDescent="0.25">
      <c r="A850" s="72" t="s">
        <v>20</v>
      </c>
      <c r="B850" s="43" t="s">
        <v>889</v>
      </c>
      <c r="C850" s="44" t="s">
        <v>1004</v>
      </c>
      <c r="D850" s="45">
        <f>MROUND(MID($C850,6,3)/Basis!$E$3,0.5)</f>
        <v>23</v>
      </c>
      <c r="E850" s="45">
        <f>MROUND(MID($C850,9,3)/Basis!$E$3,0.5)</f>
        <v>48.5</v>
      </c>
      <c r="F850" s="124" t="s">
        <v>2947</v>
      </c>
      <c r="G850" s="45">
        <f>ROUND((ROUNDDOWN($F850/5,0)*5+3)/Basis!$E$3,1)</f>
        <v>7.1</v>
      </c>
      <c r="H850" s="120">
        <f>ROUND($P850*Basis!$E$2*((TaH-TrH)/LN(1/µ)/Basis!$E$7)^$N850*$AA$4*Glycol,0)</f>
        <v>3378</v>
      </c>
      <c r="I850" s="83">
        <f>ROUND(H850/(MID($C850,9,3)/Basis!$E$3/Basis!$E$9)*Basis!$E$11,0)</f>
        <v>837</v>
      </c>
      <c r="J850" s="123">
        <f>IF(Basis!$E$1=1,ROUND(H850/((TaH-TrH)*1.163)/3600,3),ROUND(H850/(500*(TaH-TrH)),2))</f>
        <v>0.34</v>
      </c>
      <c r="K850" s="84"/>
      <c r="L850" s="177">
        <f>CHOOSE(Basis!$E$1,((AJ850*(J850*3600/Basis!$E$5)^AK850*(((MID(C850,9,3)*10)-144)/1000)*AL850+AM850*(J850*3600/Basis!$E$5)^2)*0.0098)/Basis!$E$10,((AJ850*(J850/Basis!$E$5)^AK850*(((MID(C850,9,3)*10)-144)/1000)*AL850+AM850*(J850/Basis!$E$5)^2)*0.0098)/Basis!$E$10)</f>
        <v>3.2472805104172185E-2</v>
      </c>
      <c r="M850" s="85"/>
      <c r="N850" s="109">
        <v>1.464</v>
      </c>
      <c r="O850" s="68"/>
      <c r="P850" s="67">
        <v>1605</v>
      </c>
      <c r="Q850" s="68"/>
      <c r="R850" s="69"/>
      <c r="S850" s="69"/>
      <c r="T850" s="69"/>
      <c r="U850" s="69"/>
      <c r="V850" s="69"/>
      <c r="W850" s="68"/>
      <c r="X850" s="70"/>
      <c r="Y850" s="70"/>
      <c r="Z850" s="70"/>
      <c r="AA850" s="70"/>
      <c r="AB850" s="70"/>
      <c r="AC850" s="68"/>
      <c r="AD850" s="71"/>
      <c r="AE850" s="71"/>
      <c r="AF850" s="71"/>
      <c r="AG850" s="71"/>
      <c r="AH850" s="71"/>
      <c r="AI850" s="68"/>
      <c r="AJ850" s="214">
        <v>2.0829999999999999E-4</v>
      </c>
      <c r="AK850" s="214">
        <v>1.724</v>
      </c>
      <c r="AL850" s="214">
        <v>4</v>
      </c>
      <c r="AM850" s="214">
        <v>1.392796E-3</v>
      </c>
      <c r="AN850" s="68"/>
      <c r="AO850" s="67"/>
      <c r="AP850" s="67"/>
      <c r="AQ850" s="67"/>
      <c r="AR850" s="67"/>
      <c r="AS850" s="67"/>
      <c r="AT850" s="68"/>
      <c r="AU850" s="49"/>
      <c r="AV850" s="50"/>
    </row>
    <row r="851" spans="1:48" ht="12.75" customHeight="1" x14ac:dyDescent="0.25">
      <c r="A851" s="72" t="s">
        <v>20</v>
      </c>
      <c r="B851" s="43" t="s">
        <v>889</v>
      </c>
      <c r="C851" s="44" t="s">
        <v>1005</v>
      </c>
      <c r="D851" s="45">
        <f>MROUND(MID($C851,6,3)/Basis!$E$3,0.5)</f>
        <v>23</v>
      </c>
      <c r="E851" s="45">
        <f>MROUND(MID($C851,9,3)/Basis!$E$3,0.5)</f>
        <v>48.5</v>
      </c>
      <c r="F851" s="124" t="s">
        <v>2947</v>
      </c>
      <c r="G851" s="45">
        <f>ROUND((ROUNDDOWN($F851/5,0)*5+3)/Basis!$E$3,1)</f>
        <v>7.1</v>
      </c>
      <c r="H851" s="120">
        <f>ROUND($P851*Basis!$E$2*((TaH-TrH)/LN(1/µ)/Basis!$E$7)^$N851*$AA$4*Glycol,0)</f>
        <v>4450</v>
      </c>
      <c r="I851" s="83">
        <f>ROUND(H851/(MID($C851,9,3)/Basis!$E$3/Basis!$E$9)*Basis!$E$11,0)</f>
        <v>1103</v>
      </c>
      <c r="J851" s="123">
        <f>IF(Basis!$E$1=1,ROUND(H851/((TaH-TrH)*1.163)/3600,3),ROUND(H851/(500*(TaH-TrH)),2))</f>
        <v>0.45</v>
      </c>
      <c r="K851" s="84"/>
      <c r="L851" s="177">
        <f>CHOOSE(Basis!$E$1,((AJ851*(J851*3600/Basis!$E$5)^AK851*(((MID(C851,9,3)*10)-144)/1000)*AL851+AM851*(J851*3600/Basis!$E$5)^2)*0.0098)/Basis!$E$10,((AJ851*(J851/Basis!$E$5)^AK851*(((MID(C851,9,3)*10)-144)/1000)*AL851+AM851*(J851/Basis!$E$5)^2)*0.0098)/Basis!$E$10)</f>
        <v>5.6190367493977607E-2</v>
      </c>
      <c r="M851" s="85"/>
      <c r="N851" s="109">
        <v>1.468</v>
      </c>
      <c r="O851" s="68"/>
      <c r="P851" s="67">
        <v>2117</v>
      </c>
      <c r="Q851" s="68"/>
      <c r="R851" s="69"/>
      <c r="S851" s="69"/>
      <c r="T851" s="69"/>
      <c r="U851" s="69"/>
      <c r="V851" s="69"/>
      <c r="W851" s="68"/>
      <c r="X851" s="70"/>
      <c r="Y851" s="70"/>
      <c r="Z851" s="70"/>
      <c r="AA851" s="70"/>
      <c r="AB851" s="70"/>
      <c r="AC851" s="68"/>
      <c r="AD851" s="71"/>
      <c r="AE851" s="71"/>
      <c r="AF851" s="71"/>
      <c r="AG851" s="71"/>
      <c r="AH851" s="71"/>
      <c r="AI851" s="68"/>
      <c r="AJ851" s="214">
        <v>2.0829999999999999E-4</v>
      </c>
      <c r="AK851" s="214">
        <v>1.724</v>
      </c>
      <c r="AL851" s="214">
        <v>4</v>
      </c>
      <c r="AM851" s="214">
        <v>1.392796E-3</v>
      </c>
      <c r="AN851" s="68"/>
      <c r="AO851" s="67"/>
      <c r="AP851" s="67"/>
      <c r="AQ851" s="67"/>
      <c r="AR851" s="67"/>
      <c r="AS851" s="67"/>
      <c r="AT851" s="68"/>
      <c r="AU851" s="49"/>
      <c r="AV851" s="50"/>
    </row>
    <row r="852" spans="1:48" ht="12.75" customHeight="1" x14ac:dyDescent="0.25">
      <c r="A852" s="72" t="s">
        <v>20</v>
      </c>
      <c r="B852" s="43" t="s">
        <v>889</v>
      </c>
      <c r="C852" s="44" t="s">
        <v>1006</v>
      </c>
      <c r="D852" s="45">
        <f>MROUND(MID($C852,6,3)/Basis!$E$3,0.5)</f>
        <v>23</v>
      </c>
      <c r="E852" s="45">
        <f>MROUND(MID($C852,9,3)/Basis!$E$3,0.5)</f>
        <v>48.5</v>
      </c>
      <c r="F852" s="124" t="s">
        <v>2948</v>
      </c>
      <c r="G852" s="45">
        <f>ROUND((ROUNDDOWN($F852/5,0)*5+3)/Basis!$E$3,1)</f>
        <v>9.1</v>
      </c>
      <c r="H852" s="120">
        <f>ROUND($P852*Basis!$E$2*((TaH-TrH)/LN(1/µ)/Basis!$E$7)^$N852*$AA$4*Glycol,0)</f>
        <v>3344</v>
      </c>
      <c r="I852" s="83">
        <f>ROUND(H852/(MID($C852,9,3)/Basis!$E$3/Basis!$E$9)*Basis!$E$11,0)</f>
        <v>829</v>
      </c>
      <c r="J852" s="123">
        <f>IF(Basis!$E$1=1,ROUND(H852/((TaH-TrH)*1.163)/3600,3),ROUND(H852/(500*(TaH-TrH)),2))</f>
        <v>0.33</v>
      </c>
      <c r="K852" s="84"/>
      <c r="L852" s="177">
        <f>CHOOSE(Basis!$E$1,((AJ852*(J852*3600/Basis!$E$5)^AK852*(((MID(C852,9,3)*10)-144)/1000)*AL852+AM852*(J852*3600/Basis!$E$5)^2)*0.0098)/Basis!$E$10,((AJ852*(J852/Basis!$E$5)^AK852*(((MID(C852,9,3)*10)-144)/1000)*AL852+AM852*(J852/Basis!$E$5)^2)*0.0098)/Basis!$E$10)</f>
        <v>1.2509955867223156E-2</v>
      </c>
      <c r="M852" s="85"/>
      <c r="N852" s="109">
        <v>1.472</v>
      </c>
      <c r="O852" s="68"/>
      <c r="P852" s="67">
        <v>1593</v>
      </c>
      <c r="Q852" s="68"/>
      <c r="R852" s="69"/>
      <c r="S852" s="69"/>
      <c r="T852" s="69"/>
      <c r="U852" s="69"/>
      <c r="V852" s="69"/>
      <c r="W852" s="68"/>
      <c r="X852" s="70"/>
      <c r="Y852" s="70"/>
      <c r="Z852" s="70"/>
      <c r="AA852" s="70"/>
      <c r="AB852" s="70"/>
      <c r="AC852" s="68"/>
      <c r="AD852" s="71"/>
      <c r="AE852" s="71"/>
      <c r="AF852" s="71"/>
      <c r="AG852" s="71"/>
      <c r="AH852" s="71"/>
      <c r="AI852" s="68"/>
      <c r="AJ852" s="214">
        <v>1.2760000000000001E-4</v>
      </c>
      <c r="AK852" s="214">
        <v>1.7219</v>
      </c>
      <c r="AL852" s="214">
        <v>4</v>
      </c>
      <c r="AM852" s="214">
        <v>5.1420100000000005E-4</v>
      </c>
      <c r="AN852" s="68"/>
      <c r="AO852" s="67"/>
      <c r="AP852" s="67"/>
      <c r="AQ852" s="67"/>
      <c r="AR852" s="67"/>
      <c r="AS852" s="67"/>
      <c r="AT852" s="68"/>
      <c r="AU852" s="49"/>
      <c r="AV852" s="50"/>
    </row>
    <row r="853" spans="1:48" ht="12.75" customHeight="1" x14ac:dyDescent="0.25">
      <c r="A853" s="72" t="s">
        <v>20</v>
      </c>
      <c r="B853" s="43" t="s">
        <v>889</v>
      </c>
      <c r="C853" s="44" t="s">
        <v>1007</v>
      </c>
      <c r="D853" s="45">
        <f>MROUND(MID($C853,6,3)/Basis!$E$3,0.5)</f>
        <v>23</v>
      </c>
      <c r="E853" s="45">
        <f>MROUND(MID($C853,9,3)/Basis!$E$3,0.5)</f>
        <v>48.5</v>
      </c>
      <c r="F853" s="124" t="s">
        <v>2948</v>
      </c>
      <c r="G853" s="45">
        <f>ROUND((ROUNDDOWN($F853/5,0)*5+3)/Basis!$E$3,1)</f>
        <v>9.1</v>
      </c>
      <c r="H853" s="120">
        <f>ROUND($P853*Basis!$E$2*((TaH-TrH)/LN(1/µ)/Basis!$E$7)^$N853*$AA$4*Glycol,0)</f>
        <v>4792</v>
      </c>
      <c r="I853" s="83">
        <f>ROUND(H853/(MID($C853,9,3)/Basis!$E$3/Basis!$E$9)*Basis!$E$11,0)</f>
        <v>1187</v>
      </c>
      <c r="J853" s="123">
        <f>IF(Basis!$E$1=1,ROUND(H853/((TaH-TrH)*1.163)/3600,3),ROUND(H853/(500*(TaH-TrH)),2))</f>
        <v>0.48</v>
      </c>
      <c r="K853" s="84"/>
      <c r="L853" s="177">
        <f>CHOOSE(Basis!$E$1,((AJ853*(J853*3600/Basis!$E$5)^AK853*(((MID(C853,9,3)*10)-144)/1000)*AL853+AM853*(J853*3600/Basis!$E$5)^2)*0.0098)/Basis!$E$10,((AJ853*(J853/Basis!$E$5)^AK853*(((MID(C853,9,3)*10)-144)/1000)*AL853+AM853*(J853/Basis!$E$5)^2)*0.0098)/Basis!$E$10)</f>
        <v>2.5825640224100242E-2</v>
      </c>
      <c r="M853" s="85"/>
      <c r="N853" s="109">
        <v>1.48</v>
      </c>
      <c r="O853" s="68"/>
      <c r="P853" s="67">
        <v>2289</v>
      </c>
      <c r="Q853" s="68"/>
      <c r="R853" s="69"/>
      <c r="S853" s="69"/>
      <c r="T853" s="69"/>
      <c r="U853" s="69"/>
      <c r="V853" s="69"/>
      <c r="W853" s="68"/>
      <c r="X853" s="70"/>
      <c r="Y853" s="70"/>
      <c r="Z853" s="70"/>
      <c r="AA853" s="70"/>
      <c r="AB853" s="70"/>
      <c r="AC853" s="68"/>
      <c r="AD853" s="71"/>
      <c r="AE853" s="71"/>
      <c r="AF853" s="71"/>
      <c r="AG853" s="71"/>
      <c r="AH853" s="71"/>
      <c r="AI853" s="68"/>
      <c r="AJ853" s="214">
        <v>1.2760000000000001E-4</v>
      </c>
      <c r="AK853" s="214">
        <v>1.7219</v>
      </c>
      <c r="AL853" s="214">
        <v>4</v>
      </c>
      <c r="AM853" s="214">
        <v>5.1420100000000005E-4</v>
      </c>
      <c r="AN853" s="68"/>
      <c r="AO853" s="67"/>
      <c r="AP853" s="67"/>
      <c r="AQ853" s="67"/>
      <c r="AR853" s="67"/>
      <c r="AS853" s="67"/>
      <c r="AT853" s="68"/>
      <c r="AU853" s="49"/>
      <c r="AV853" s="50"/>
    </row>
    <row r="854" spans="1:48" ht="12.75" customHeight="1" x14ac:dyDescent="0.25">
      <c r="A854" s="72" t="s">
        <v>20</v>
      </c>
      <c r="B854" s="43" t="s">
        <v>889</v>
      </c>
      <c r="C854" s="44" t="s">
        <v>1008</v>
      </c>
      <c r="D854" s="45">
        <f>MROUND(MID($C854,6,3)/Basis!$E$3,0.5)</f>
        <v>23</v>
      </c>
      <c r="E854" s="45">
        <f>MROUND(MID($C854,9,3)/Basis!$E$3,0.5)</f>
        <v>48.5</v>
      </c>
      <c r="F854" s="124" t="s">
        <v>2948</v>
      </c>
      <c r="G854" s="45">
        <f>ROUND((ROUNDDOWN($F854/5,0)*5+3)/Basis!$E$3,1)</f>
        <v>9.1</v>
      </c>
      <c r="H854" s="120">
        <f>ROUND($P854*Basis!$E$2*((TaH-TrH)/LN(1/µ)/Basis!$E$7)^$N854*$AA$4*Glycol,0)</f>
        <v>4382</v>
      </c>
      <c r="I854" s="83">
        <f>ROUND(H854/(MID($C854,9,3)/Basis!$E$3/Basis!$E$9)*Basis!$E$11,0)</f>
        <v>1086</v>
      </c>
      <c r="J854" s="123">
        <f>IF(Basis!$E$1=1,ROUND(H854/((TaH-TrH)*1.163)/3600,3),ROUND(H854/(500*(TaH-TrH)),2))</f>
        <v>0.44</v>
      </c>
      <c r="K854" s="84"/>
      <c r="L854" s="177">
        <f>CHOOSE(Basis!$E$1,((AJ854*(J854*3600/Basis!$E$5)^AK854*(((MID(C854,9,3)*10)-144)/1000)*AL854+AM854*(J854*3600/Basis!$E$5)^2)*0.0098)/Basis!$E$10,((AJ854*(J854/Basis!$E$5)^AK854*(((MID(C854,9,3)*10)-144)/1000)*AL854+AM854*(J854/Basis!$E$5)^2)*0.0098)/Basis!$E$10)</f>
        <v>2.1820965498859923E-2</v>
      </c>
      <c r="M854" s="85"/>
      <c r="N854" s="109">
        <v>1.484</v>
      </c>
      <c r="O854" s="68"/>
      <c r="P854" s="67">
        <v>2096</v>
      </c>
      <c r="Q854" s="68"/>
      <c r="R854" s="69"/>
      <c r="S854" s="69"/>
      <c r="T854" s="69"/>
      <c r="U854" s="69"/>
      <c r="V854" s="69"/>
      <c r="W854" s="68"/>
      <c r="X854" s="70"/>
      <c r="Y854" s="70"/>
      <c r="Z854" s="70"/>
      <c r="AA854" s="70"/>
      <c r="AB854" s="70"/>
      <c r="AC854" s="68"/>
      <c r="AD854" s="71"/>
      <c r="AE854" s="71"/>
      <c r="AF854" s="71"/>
      <c r="AG854" s="71"/>
      <c r="AH854" s="71"/>
      <c r="AI854" s="68"/>
      <c r="AJ854" s="214">
        <v>1.2760000000000001E-4</v>
      </c>
      <c r="AK854" s="214">
        <v>1.7219</v>
      </c>
      <c r="AL854" s="214">
        <v>4</v>
      </c>
      <c r="AM854" s="214">
        <v>5.1420100000000005E-4</v>
      </c>
      <c r="AN854" s="68"/>
      <c r="AO854" s="67"/>
      <c r="AP854" s="67"/>
      <c r="AQ854" s="67"/>
      <c r="AR854" s="67"/>
      <c r="AS854" s="67"/>
      <c r="AT854" s="68"/>
      <c r="AU854" s="49"/>
      <c r="AV854" s="50"/>
    </row>
    <row r="855" spans="1:48" ht="12.75" customHeight="1" x14ac:dyDescent="0.25">
      <c r="A855" s="72" t="s">
        <v>20</v>
      </c>
      <c r="B855" s="43" t="s">
        <v>889</v>
      </c>
      <c r="C855" s="44" t="s">
        <v>1009</v>
      </c>
      <c r="D855" s="45">
        <f>MROUND(MID($C855,6,3)/Basis!$E$3,0.5)</f>
        <v>23</v>
      </c>
      <c r="E855" s="45">
        <f>MROUND(MID($C855,9,3)/Basis!$E$3,0.5)</f>
        <v>48.5</v>
      </c>
      <c r="F855" s="124" t="s">
        <v>2948</v>
      </c>
      <c r="G855" s="45">
        <f>ROUND((ROUNDDOWN($F855/5,0)*5+3)/Basis!$E$3,1)</f>
        <v>9.1</v>
      </c>
      <c r="H855" s="120">
        <f>ROUND($P855*Basis!$E$2*((TaH-TrH)/LN(1/µ)/Basis!$E$7)^$N855*$AA$4*Glycol,0)</f>
        <v>5874</v>
      </c>
      <c r="I855" s="83">
        <f>ROUND(H855/(MID($C855,9,3)/Basis!$E$3/Basis!$E$9)*Basis!$E$11,0)</f>
        <v>1456</v>
      </c>
      <c r="J855" s="123">
        <f>IF(Basis!$E$1=1,ROUND(H855/((TaH-TrH)*1.163)/3600,3),ROUND(H855/(500*(TaH-TrH)),2))</f>
        <v>0.59</v>
      </c>
      <c r="K855" s="84"/>
      <c r="L855" s="177">
        <f>CHOOSE(Basis!$E$1,((AJ855*(J855*3600/Basis!$E$5)^AK855*(((MID(C855,9,3)*10)-144)/1000)*AL855+AM855*(J855*3600/Basis!$E$5)^2)*0.0098)/Basis!$E$10,((AJ855*(J855/Basis!$E$5)^AK855*(((MID(C855,9,3)*10)-144)/1000)*AL855+AM855*(J855/Basis!$E$5)^2)*0.0098)/Basis!$E$10)</f>
        <v>3.8526384122203362E-2</v>
      </c>
      <c r="M855" s="85"/>
      <c r="N855" s="109">
        <v>1.492</v>
      </c>
      <c r="O855" s="68"/>
      <c r="P855" s="67">
        <v>2817</v>
      </c>
      <c r="Q855" s="68"/>
      <c r="R855" s="69"/>
      <c r="S855" s="69"/>
      <c r="T855" s="69"/>
      <c r="U855" s="69"/>
      <c r="V855" s="69"/>
      <c r="W855" s="68"/>
      <c r="X855" s="70"/>
      <c r="Y855" s="70"/>
      <c r="Z855" s="70"/>
      <c r="AA855" s="70"/>
      <c r="AB855" s="70"/>
      <c r="AC855" s="68"/>
      <c r="AD855" s="71"/>
      <c r="AE855" s="71"/>
      <c r="AF855" s="71"/>
      <c r="AG855" s="71"/>
      <c r="AH855" s="71"/>
      <c r="AI855" s="68"/>
      <c r="AJ855" s="214">
        <v>1.2760000000000001E-4</v>
      </c>
      <c r="AK855" s="214">
        <v>1.7219</v>
      </c>
      <c r="AL855" s="214">
        <v>4</v>
      </c>
      <c r="AM855" s="214">
        <v>5.1420100000000005E-4</v>
      </c>
      <c r="AN855" s="68"/>
      <c r="AO855" s="67"/>
      <c r="AP855" s="67"/>
      <c r="AQ855" s="67"/>
      <c r="AR855" s="67"/>
      <c r="AS855" s="67"/>
      <c r="AT855" s="68"/>
      <c r="AU855" s="49"/>
      <c r="AV855" s="50"/>
    </row>
    <row r="856" spans="1:48" ht="12.75" customHeight="1" x14ac:dyDescent="0.25">
      <c r="A856" s="72" t="s">
        <v>20</v>
      </c>
      <c r="B856" s="43" t="s">
        <v>889</v>
      </c>
      <c r="C856" s="44" t="s">
        <v>1010</v>
      </c>
      <c r="D856" s="45">
        <f>MROUND(MID($C856,6,3)/Basis!$E$3,0.5)</f>
        <v>23</v>
      </c>
      <c r="E856" s="45">
        <f>MROUND(MID($C856,9,3)/Basis!$E$3,0.5)</f>
        <v>56.5</v>
      </c>
      <c r="F856" s="124" t="s">
        <v>2946</v>
      </c>
      <c r="G856" s="45">
        <f>ROUND((ROUNDDOWN($F856/5,0)*5+3)/Basis!$E$3,1)</f>
        <v>5.0999999999999996</v>
      </c>
      <c r="H856" s="120">
        <f>ROUND($P856*Basis!$E$2*((TaH-TrH)/LN(1/µ)/Basis!$E$7)^$N856*$AA$4*Glycol,0)</f>
        <v>2317</v>
      </c>
      <c r="I856" s="83">
        <f>ROUND(H856/(MID($C856,9,3)/Basis!$E$3/Basis!$E$9)*Basis!$E$11,0)</f>
        <v>494</v>
      </c>
      <c r="J856" s="123">
        <f>IF(Basis!$E$1=1,ROUND(H856/((TaH-TrH)*1.163)/3600,3),ROUND(H856/(500*(TaH-TrH)),2))</f>
        <v>0.23</v>
      </c>
      <c r="K856" s="84"/>
      <c r="L856" s="177">
        <f>CHOOSE(Basis!$E$1,((AJ856*(J856*3600/Basis!$E$5)^AK856*(((MID(C856,9,3)*10)-144)/1000)*AL856+AM856*(J856*3600/Basis!$E$5)^2)*0.0098)/Basis!$E$10,((AJ856*(J856/Basis!$E$5)^AK856*(((MID(C856,9,3)*10)-144)/1000)*AL856+AM856*(J856/Basis!$E$5)^2)*0.0098)/Basis!$E$10)</f>
        <v>1.1499811585710255E-2</v>
      </c>
      <c r="M856" s="85"/>
      <c r="N856" s="109">
        <v>1.44</v>
      </c>
      <c r="O856" s="68"/>
      <c r="P856" s="67">
        <v>1092</v>
      </c>
      <c r="Q856" s="68"/>
      <c r="R856" s="69"/>
      <c r="S856" s="69"/>
      <c r="T856" s="69"/>
      <c r="U856" s="69"/>
      <c r="V856" s="69"/>
      <c r="W856" s="68"/>
      <c r="X856" s="70"/>
      <c r="Y856" s="70"/>
      <c r="Z856" s="70"/>
      <c r="AA856" s="70"/>
      <c r="AB856" s="70"/>
      <c r="AC856" s="68"/>
      <c r="AD856" s="71"/>
      <c r="AE856" s="71"/>
      <c r="AF856" s="71"/>
      <c r="AG856" s="71"/>
      <c r="AH856" s="71"/>
      <c r="AI856" s="68"/>
      <c r="AJ856" s="214">
        <v>3.9689999999999994E-4</v>
      </c>
      <c r="AK856" s="214">
        <v>1.7345999999999999</v>
      </c>
      <c r="AL856" s="214">
        <v>4</v>
      </c>
      <c r="AM856" s="214">
        <v>5.7428799999999995E-4</v>
      </c>
      <c r="AN856" s="68"/>
      <c r="AO856" s="67"/>
      <c r="AP856" s="67"/>
      <c r="AQ856" s="67"/>
      <c r="AR856" s="67"/>
      <c r="AS856" s="67"/>
      <c r="AT856" s="68"/>
      <c r="AU856" s="49"/>
      <c r="AV856" s="50"/>
    </row>
    <row r="857" spans="1:48" ht="12.75" customHeight="1" x14ac:dyDescent="0.25">
      <c r="A857" s="72" t="s">
        <v>20</v>
      </c>
      <c r="B857" s="43" t="s">
        <v>889</v>
      </c>
      <c r="C857" s="44" t="s">
        <v>1011</v>
      </c>
      <c r="D857" s="45">
        <f>MROUND(MID($C857,6,3)/Basis!$E$3,0.5)</f>
        <v>23</v>
      </c>
      <c r="E857" s="45">
        <f>MROUND(MID($C857,9,3)/Basis!$E$3,0.5)</f>
        <v>56.5</v>
      </c>
      <c r="F857" s="124" t="s">
        <v>2946</v>
      </c>
      <c r="G857" s="45">
        <f>ROUND((ROUNDDOWN($F857/5,0)*5+3)/Basis!$E$3,1)</f>
        <v>5.0999999999999996</v>
      </c>
      <c r="H857" s="120">
        <f>ROUND($P857*Basis!$E$2*((TaH-TrH)/LN(1/µ)/Basis!$E$7)^$N857*$AA$4*Glycol,0)</f>
        <v>3049</v>
      </c>
      <c r="I857" s="83">
        <f>ROUND(H857/(MID($C857,9,3)/Basis!$E$3/Basis!$E$9)*Basis!$E$11,0)</f>
        <v>650</v>
      </c>
      <c r="J857" s="123">
        <f>IF(Basis!$E$1=1,ROUND(H857/((TaH-TrH)*1.163)/3600,3),ROUND(H857/(500*(TaH-TrH)),2))</f>
        <v>0.3</v>
      </c>
      <c r="K857" s="84"/>
      <c r="L857" s="177">
        <f>CHOOSE(Basis!$E$1,((AJ857*(J857*3600/Basis!$E$5)^AK857*(((MID(C857,9,3)*10)-144)/1000)*AL857+AM857*(J857*3600/Basis!$E$5)^2)*0.0098)/Basis!$E$10,((AJ857*(J857/Basis!$E$5)^AK857*(((MID(C857,9,3)*10)-144)/1000)*AL857+AM857*(J857/Basis!$E$5)^2)*0.0098)/Basis!$E$10)</f>
        <v>1.882633684085995E-2</v>
      </c>
      <c r="M857" s="85"/>
      <c r="N857" s="109">
        <v>1.4390000000000001</v>
      </c>
      <c r="O857" s="68"/>
      <c r="P857" s="67">
        <v>1437</v>
      </c>
      <c r="Q857" s="68"/>
      <c r="R857" s="69"/>
      <c r="S857" s="69"/>
      <c r="T857" s="69"/>
      <c r="U857" s="69"/>
      <c r="V857" s="69"/>
      <c r="W857" s="68"/>
      <c r="X857" s="70"/>
      <c r="Y857" s="70"/>
      <c r="Z857" s="70"/>
      <c r="AA857" s="70"/>
      <c r="AB857" s="70"/>
      <c r="AC857" s="68"/>
      <c r="AD857" s="71"/>
      <c r="AE857" s="71"/>
      <c r="AF857" s="71"/>
      <c r="AG857" s="71"/>
      <c r="AH857" s="71"/>
      <c r="AI857" s="68"/>
      <c r="AJ857" s="214">
        <v>3.9689999999999994E-4</v>
      </c>
      <c r="AK857" s="214">
        <v>1.7345999999999999</v>
      </c>
      <c r="AL857" s="214">
        <v>4</v>
      </c>
      <c r="AM857" s="214">
        <v>5.7428799999999995E-4</v>
      </c>
      <c r="AN857" s="68"/>
      <c r="AO857" s="67"/>
      <c r="AP857" s="67"/>
      <c r="AQ857" s="67"/>
      <c r="AR857" s="67"/>
      <c r="AS857" s="67"/>
      <c r="AT857" s="68"/>
      <c r="AU857" s="49"/>
      <c r="AV857" s="50"/>
    </row>
    <row r="858" spans="1:48" ht="12.75" customHeight="1" x14ac:dyDescent="0.25">
      <c r="A858" s="72" t="s">
        <v>20</v>
      </c>
      <c r="B858" s="43" t="s">
        <v>889</v>
      </c>
      <c r="C858" s="44" t="s">
        <v>1012</v>
      </c>
      <c r="D858" s="45">
        <f>MROUND(MID($C858,6,3)/Basis!$E$3,0.5)</f>
        <v>23</v>
      </c>
      <c r="E858" s="45">
        <f>MROUND(MID($C858,9,3)/Basis!$E$3,0.5)</f>
        <v>56.5</v>
      </c>
      <c r="F858" s="124" t="s">
        <v>2946</v>
      </c>
      <c r="G858" s="45">
        <f>ROUND((ROUNDDOWN($F858/5,0)*5+3)/Basis!$E$3,1)</f>
        <v>5.0999999999999996</v>
      </c>
      <c r="H858" s="120">
        <f>ROUND($P858*Basis!$E$2*((TaH-TrH)/LN(1/µ)/Basis!$E$7)^$N858*$AA$4*Glycol,0)</f>
        <v>2804</v>
      </c>
      <c r="I858" s="83">
        <f>ROUND(H858/(MID($C858,9,3)/Basis!$E$3/Basis!$E$9)*Basis!$E$11,0)</f>
        <v>598</v>
      </c>
      <c r="J858" s="123">
        <f>IF(Basis!$E$1=1,ROUND(H858/((TaH-TrH)*1.163)/3600,3),ROUND(H858/(500*(TaH-TrH)),2))</f>
        <v>0.28000000000000003</v>
      </c>
      <c r="K858" s="84"/>
      <c r="L858" s="177">
        <f>CHOOSE(Basis!$E$1,((AJ858*(J858*3600/Basis!$E$5)^AK858*(((MID(C858,9,3)*10)-144)/1000)*AL858+AM858*(J858*3600/Basis!$E$5)^2)*0.0098)/Basis!$E$10,((AJ858*(J858/Basis!$E$5)^AK858*(((MID(C858,9,3)*10)-144)/1000)*AL858+AM858*(J858/Basis!$E$5)^2)*0.0098)/Basis!$E$10)</f>
        <v>1.6562553223005573E-2</v>
      </c>
      <c r="M858" s="85"/>
      <c r="N858" s="109">
        <v>1.4379999999999999</v>
      </c>
      <c r="O858" s="68"/>
      <c r="P858" s="67">
        <v>1321</v>
      </c>
      <c r="Q858" s="68"/>
      <c r="R858" s="69"/>
      <c r="S858" s="69"/>
      <c r="T858" s="69"/>
      <c r="U858" s="69"/>
      <c r="V858" s="69"/>
      <c r="W858" s="68"/>
      <c r="X858" s="70"/>
      <c r="Y858" s="70"/>
      <c r="Z858" s="70"/>
      <c r="AA858" s="70"/>
      <c r="AB858" s="70"/>
      <c r="AC858" s="68"/>
      <c r="AD858" s="71"/>
      <c r="AE858" s="71"/>
      <c r="AF858" s="71"/>
      <c r="AG858" s="71"/>
      <c r="AH858" s="71"/>
      <c r="AI858" s="68"/>
      <c r="AJ858" s="214">
        <v>3.9689999999999994E-4</v>
      </c>
      <c r="AK858" s="214">
        <v>1.7345999999999999</v>
      </c>
      <c r="AL858" s="214">
        <v>4</v>
      </c>
      <c r="AM858" s="214">
        <v>5.7428799999999995E-4</v>
      </c>
      <c r="AN858" s="68"/>
      <c r="AO858" s="67"/>
      <c r="AP858" s="67"/>
      <c r="AQ858" s="67"/>
      <c r="AR858" s="67"/>
      <c r="AS858" s="67"/>
      <c r="AT858" s="68"/>
      <c r="AU858" s="49"/>
      <c r="AV858" s="50"/>
    </row>
    <row r="859" spans="1:48" ht="12.75" customHeight="1" x14ac:dyDescent="0.25">
      <c r="A859" s="72" t="s">
        <v>20</v>
      </c>
      <c r="B859" s="43" t="s">
        <v>889</v>
      </c>
      <c r="C859" s="44" t="s">
        <v>1013</v>
      </c>
      <c r="D859" s="45">
        <f>MROUND(MID($C859,6,3)/Basis!$E$3,0.5)</f>
        <v>23</v>
      </c>
      <c r="E859" s="45">
        <f>MROUND(MID($C859,9,3)/Basis!$E$3,0.5)</f>
        <v>56.5</v>
      </c>
      <c r="F859" s="124" t="s">
        <v>2946</v>
      </c>
      <c r="G859" s="45">
        <f>ROUND((ROUNDDOWN($F859/5,0)*5+3)/Basis!$E$3,1)</f>
        <v>5.0999999999999996</v>
      </c>
      <c r="H859" s="120">
        <f>ROUND($P859*Basis!$E$2*((TaH-TrH)/LN(1/µ)/Basis!$E$7)^$N859*$AA$4*Glycol,0)</f>
        <v>3514</v>
      </c>
      <c r="I859" s="83">
        <f>ROUND(H859/(MID($C859,9,3)/Basis!$E$3/Basis!$E$9)*Basis!$E$11,0)</f>
        <v>749</v>
      </c>
      <c r="J859" s="123">
        <f>IF(Basis!$E$1=1,ROUND(H859/((TaH-TrH)*1.163)/3600,3),ROUND(H859/(500*(TaH-TrH)),2))</f>
        <v>0.35</v>
      </c>
      <c r="K859" s="84"/>
      <c r="L859" s="177">
        <f>CHOOSE(Basis!$E$1,((AJ859*(J859*3600/Basis!$E$5)^AK859*(((MID(C859,9,3)*10)-144)/1000)*AL859+AM859*(J859*3600/Basis!$E$5)^2)*0.0098)/Basis!$E$10,((AJ859*(J859/Basis!$E$5)^AK859*(((MID(C859,9,3)*10)-144)/1000)*AL859+AM859*(J859/Basis!$E$5)^2)*0.0098)/Basis!$E$10)</f>
        <v>2.5073202831954685E-2</v>
      </c>
      <c r="M859" s="85"/>
      <c r="N859" s="109">
        <v>1.4370000000000001</v>
      </c>
      <c r="O859" s="68"/>
      <c r="P859" s="67">
        <v>1655</v>
      </c>
      <c r="Q859" s="68"/>
      <c r="R859" s="69"/>
      <c r="S859" s="69"/>
      <c r="T859" s="69"/>
      <c r="U859" s="69"/>
      <c r="V859" s="69"/>
      <c r="W859" s="68"/>
      <c r="X859" s="70"/>
      <c r="Y859" s="70"/>
      <c r="Z859" s="70"/>
      <c r="AA859" s="70"/>
      <c r="AB859" s="70"/>
      <c r="AC859" s="68"/>
      <c r="AD859" s="71"/>
      <c r="AE859" s="71"/>
      <c r="AF859" s="71"/>
      <c r="AG859" s="71"/>
      <c r="AH859" s="71"/>
      <c r="AI859" s="68"/>
      <c r="AJ859" s="214">
        <v>3.9689999999999994E-4</v>
      </c>
      <c r="AK859" s="214">
        <v>1.7345999999999999</v>
      </c>
      <c r="AL859" s="214">
        <v>4</v>
      </c>
      <c r="AM859" s="214">
        <v>5.7428799999999995E-4</v>
      </c>
      <c r="AN859" s="68"/>
      <c r="AO859" s="67"/>
      <c r="AP859" s="67"/>
      <c r="AQ859" s="67"/>
      <c r="AR859" s="67"/>
      <c r="AS859" s="67"/>
      <c r="AT859" s="68"/>
      <c r="AU859" s="49"/>
      <c r="AV859" s="50"/>
    </row>
    <row r="860" spans="1:48" ht="12.75" customHeight="1" x14ac:dyDescent="0.25">
      <c r="A860" s="72" t="s">
        <v>20</v>
      </c>
      <c r="B860" s="43" t="s">
        <v>889</v>
      </c>
      <c r="C860" s="44" t="s">
        <v>1014</v>
      </c>
      <c r="D860" s="45">
        <f>MROUND(MID($C860,6,3)/Basis!$E$3,0.5)</f>
        <v>23</v>
      </c>
      <c r="E860" s="45">
        <f>MROUND(MID($C860,9,3)/Basis!$E$3,0.5)</f>
        <v>56.5</v>
      </c>
      <c r="F860" s="124" t="s">
        <v>2947</v>
      </c>
      <c r="G860" s="45">
        <f>ROUND((ROUNDDOWN($F860/5,0)*5+3)/Basis!$E$3,1)</f>
        <v>7.1</v>
      </c>
      <c r="H860" s="120">
        <f>ROUND($P860*Basis!$E$2*((TaH-TrH)/LN(1/µ)/Basis!$E$7)^$N860*$AA$4*Glycol,0)</f>
        <v>3173</v>
      </c>
      <c r="I860" s="83">
        <f>ROUND(H860/(MID($C860,9,3)/Basis!$E$3/Basis!$E$9)*Basis!$E$11,0)</f>
        <v>676</v>
      </c>
      <c r="J860" s="123">
        <f>IF(Basis!$E$1=1,ROUND(H860/((TaH-TrH)*1.163)/3600,3),ROUND(H860/(500*(TaH-TrH)),2))</f>
        <v>0.32</v>
      </c>
      <c r="K860" s="84"/>
      <c r="L860" s="177">
        <f>CHOOSE(Basis!$E$1,((AJ860*(J860*3600/Basis!$E$5)^AK860*(((MID(C860,9,3)*10)-144)/1000)*AL860+AM860*(J860*3600/Basis!$E$5)^2)*0.0098)/Basis!$E$10,((AJ860*(J860/Basis!$E$5)^AK860*(((MID(C860,9,3)*10)-144)/1000)*AL860+AM860*(J860/Basis!$E$5)^2)*0.0098)/Basis!$E$10)</f>
        <v>2.9726089511976618E-2</v>
      </c>
      <c r="M860" s="85"/>
      <c r="N860" s="109">
        <v>1.4570000000000001</v>
      </c>
      <c r="O860" s="68"/>
      <c r="P860" s="67">
        <v>1504</v>
      </c>
      <c r="Q860" s="68"/>
      <c r="R860" s="69"/>
      <c r="S860" s="69"/>
      <c r="T860" s="69"/>
      <c r="U860" s="69"/>
      <c r="V860" s="69"/>
      <c r="W860" s="68"/>
      <c r="X860" s="70"/>
      <c r="Y860" s="70"/>
      <c r="Z860" s="70"/>
      <c r="AA860" s="70"/>
      <c r="AB860" s="70"/>
      <c r="AC860" s="68"/>
      <c r="AD860" s="71"/>
      <c r="AE860" s="71"/>
      <c r="AF860" s="71"/>
      <c r="AG860" s="71"/>
      <c r="AH860" s="71"/>
      <c r="AI860" s="68"/>
      <c r="AJ860" s="214">
        <v>2.0829999999999999E-4</v>
      </c>
      <c r="AK860" s="214">
        <v>1.724</v>
      </c>
      <c r="AL860" s="214">
        <v>4</v>
      </c>
      <c r="AM860" s="214">
        <v>1.392796E-3</v>
      </c>
      <c r="AN860" s="68"/>
      <c r="AO860" s="67"/>
      <c r="AP860" s="67"/>
      <c r="AQ860" s="67"/>
      <c r="AR860" s="67"/>
      <c r="AS860" s="67"/>
      <c r="AT860" s="68"/>
      <c r="AU860" s="49"/>
      <c r="AV860" s="50"/>
    </row>
    <row r="861" spans="1:48" ht="12.75" customHeight="1" x14ac:dyDescent="0.25">
      <c r="A861" s="72" t="s">
        <v>20</v>
      </c>
      <c r="B861" s="43" t="s">
        <v>889</v>
      </c>
      <c r="C861" s="44" t="s">
        <v>1015</v>
      </c>
      <c r="D861" s="45">
        <f>MROUND(MID($C861,6,3)/Basis!$E$3,0.5)</f>
        <v>23</v>
      </c>
      <c r="E861" s="45">
        <f>MROUND(MID($C861,9,3)/Basis!$E$3,0.5)</f>
        <v>56.5</v>
      </c>
      <c r="F861" s="124" t="s">
        <v>2947</v>
      </c>
      <c r="G861" s="45">
        <f>ROUND((ROUNDDOWN($F861/5,0)*5+3)/Basis!$E$3,1)</f>
        <v>7.1</v>
      </c>
      <c r="H861" s="120">
        <f>ROUND($P861*Basis!$E$2*((TaH-TrH)/LN(1/µ)/Basis!$E$7)^$N861*$AA$4*Glycol,0)</f>
        <v>4452</v>
      </c>
      <c r="I861" s="83">
        <f>ROUND(H861/(MID($C861,9,3)/Basis!$E$3/Basis!$E$9)*Basis!$E$11,0)</f>
        <v>949</v>
      </c>
      <c r="J861" s="123">
        <f>IF(Basis!$E$1=1,ROUND(H861/((TaH-TrH)*1.163)/3600,3),ROUND(H861/(500*(TaH-TrH)),2))</f>
        <v>0.45</v>
      </c>
      <c r="K861" s="84"/>
      <c r="L861" s="177">
        <f>CHOOSE(Basis!$E$1,((AJ861*(J861*3600/Basis!$E$5)^AK861*(((MID(C861,9,3)*10)-144)/1000)*AL861+AM861*(J861*3600/Basis!$E$5)^2)*0.0098)/Basis!$E$10,((AJ861*(J861/Basis!$E$5)^AK861*(((MID(C861,9,3)*10)-144)/1000)*AL861+AM861*(J861/Basis!$E$5)^2)*0.0098)/Basis!$E$10)</f>
        <v>5.7777562270244984E-2</v>
      </c>
      <c r="M861" s="85"/>
      <c r="N861" s="109">
        <v>1.462</v>
      </c>
      <c r="O861" s="68"/>
      <c r="P861" s="67">
        <v>2114</v>
      </c>
      <c r="Q861" s="68"/>
      <c r="R861" s="69"/>
      <c r="S861" s="69"/>
      <c r="T861" s="69"/>
      <c r="U861" s="69"/>
      <c r="V861" s="69"/>
      <c r="W861" s="68"/>
      <c r="X861" s="70"/>
      <c r="Y861" s="70"/>
      <c r="Z861" s="70"/>
      <c r="AA861" s="70"/>
      <c r="AB861" s="70"/>
      <c r="AC861" s="68"/>
      <c r="AD861" s="71"/>
      <c r="AE861" s="71"/>
      <c r="AF861" s="71"/>
      <c r="AG861" s="71"/>
      <c r="AH861" s="71"/>
      <c r="AI861" s="68"/>
      <c r="AJ861" s="214">
        <v>2.0829999999999999E-4</v>
      </c>
      <c r="AK861" s="214">
        <v>1.724</v>
      </c>
      <c r="AL861" s="214">
        <v>4</v>
      </c>
      <c r="AM861" s="214">
        <v>1.392796E-3</v>
      </c>
      <c r="AN861" s="68"/>
      <c r="AO861" s="67"/>
      <c r="AP861" s="67"/>
      <c r="AQ861" s="67"/>
      <c r="AR861" s="67"/>
      <c r="AS861" s="67"/>
      <c r="AT861" s="68"/>
      <c r="AU861" s="49"/>
      <c r="AV861" s="50"/>
    </row>
    <row r="862" spans="1:48" ht="12.75" customHeight="1" x14ac:dyDescent="0.25">
      <c r="A862" s="72" t="s">
        <v>20</v>
      </c>
      <c r="B862" s="43" t="s">
        <v>889</v>
      </c>
      <c r="C862" s="44" t="s">
        <v>1016</v>
      </c>
      <c r="D862" s="45">
        <f>MROUND(MID($C862,6,3)/Basis!$E$3,0.5)</f>
        <v>23</v>
      </c>
      <c r="E862" s="45">
        <f>MROUND(MID($C862,9,3)/Basis!$E$3,0.5)</f>
        <v>56.5</v>
      </c>
      <c r="F862" s="124" t="s">
        <v>2947</v>
      </c>
      <c r="G862" s="45">
        <f>ROUND((ROUNDDOWN($F862/5,0)*5+3)/Basis!$E$3,1)</f>
        <v>7.1</v>
      </c>
      <c r="H862" s="120">
        <f>ROUND($P862*Basis!$E$2*((TaH-TrH)/LN(1/µ)/Basis!$E$7)^$N862*$AA$4*Glycol,0)</f>
        <v>4037</v>
      </c>
      <c r="I862" s="83">
        <f>ROUND(H862/(MID($C862,9,3)/Basis!$E$3/Basis!$E$9)*Basis!$E$11,0)</f>
        <v>860</v>
      </c>
      <c r="J862" s="123">
        <f>IF(Basis!$E$1=1,ROUND(H862/((TaH-TrH)*1.163)/3600,3),ROUND(H862/(500*(TaH-TrH)),2))</f>
        <v>0.4</v>
      </c>
      <c r="K862" s="84"/>
      <c r="L862" s="177">
        <f>CHOOSE(Basis!$E$1,((AJ862*(J862*3600/Basis!$E$5)^AK862*(((MID(C862,9,3)*10)-144)/1000)*AL862+AM862*(J862*3600/Basis!$E$5)^2)*0.0098)/Basis!$E$10,((AJ862*(J862/Basis!$E$5)^AK862*(((MID(C862,9,3)*10)-144)/1000)*AL862+AM862*(J862/Basis!$E$5)^2)*0.0098)/Basis!$E$10)</f>
        <v>4.5917851351617259E-2</v>
      </c>
      <c r="M862" s="85"/>
      <c r="N862" s="109">
        <v>1.464</v>
      </c>
      <c r="O862" s="68"/>
      <c r="P862" s="67">
        <v>1918</v>
      </c>
      <c r="Q862" s="68"/>
      <c r="R862" s="69"/>
      <c r="S862" s="69"/>
      <c r="T862" s="69"/>
      <c r="U862" s="69"/>
      <c r="V862" s="69"/>
      <c r="W862" s="68"/>
      <c r="X862" s="70"/>
      <c r="Y862" s="70"/>
      <c r="Z862" s="70"/>
      <c r="AA862" s="70"/>
      <c r="AB862" s="70"/>
      <c r="AC862" s="68"/>
      <c r="AD862" s="71"/>
      <c r="AE862" s="71"/>
      <c r="AF862" s="71"/>
      <c r="AG862" s="71"/>
      <c r="AH862" s="71"/>
      <c r="AI862" s="68"/>
      <c r="AJ862" s="214">
        <v>2.0829999999999999E-4</v>
      </c>
      <c r="AK862" s="214">
        <v>1.724</v>
      </c>
      <c r="AL862" s="214">
        <v>4</v>
      </c>
      <c r="AM862" s="214">
        <v>1.392796E-3</v>
      </c>
      <c r="AN862" s="68"/>
      <c r="AO862" s="67"/>
      <c r="AP862" s="67"/>
      <c r="AQ862" s="67"/>
      <c r="AR862" s="67"/>
      <c r="AS862" s="67"/>
      <c r="AT862" s="68"/>
      <c r="AU862" s="49"/>
      <c r="AV862" s="50"/>
    </row>
    <row r="863" spans="1:48" ht="12.75" customHeight="1" x14ac:dyDescent="0.25">
      <c r="A863" s="72" t="s">
        <v>20</v>
      </c>
      <c r="B863" s="43" t="s">
        <v>889</v>
      </c>
      <c r="C863" s="44" t="s">
        <v>1017</v>
      </c>
      <c r="D863" s="45">
        <f>MROUND(MID($C863,6,3)/Basis!$E$3,0.5)</f>
        <v>23</v>
      </c>
      <c r="E863" s="45">
        <f>MROUND(MID($C863,9,3)/Basis!$E$3,0.5)</f>
        <v>56.5</v>
      </c>
      <c r="F863" s="124" t="s">
        <v>2947</v>
      </c>
      <c r="G863" s="45">
        <f>ROUND((ROUNDDOWN($F863/5,0)*5+3)/Basis!$E$3,1)</f>
        <v>7.1</v>
      </c>
      <c r="H863" s="120">
        <f>ROUND($P863*Basis!$E$2*((TaH-TrH)/LN(1/µ)/Basis!$E$7)^$N863*$AA$4*Glycol,0)</f>
        <v>5320</v>
      </c>
      <c r="I863" s="83">
        <f>ROUND(H863/(MID($C863,9,3)/Basis!$E$3/Basis!$E$9)*Basis!$E$11,0)</f>
        <v>1134</v>
      </c>
      <c r="J863" s="123">
        <f>IF(Basis!$E$1=1,ROUND(H863/((TaH-TrH)*1.163)/3600,3),ROUND(H863/(500*(TaH-TrH)),2))</f>
        <v>0.53</v>
      </c>
      <c r="K863" s="84"/>
      <c r="L863" s="177">
        <f>CHOOSE(Basis!$E$1,((AJ863*(J863*3600/Basis!$E$5)^AK863*(((MID(C863,9,3)*10)-144)/1000)*AL863+AM863*(J863*3600/Basis!$E$5)^2)*0.0098)/Basis!$E$10,((AJ863*(J863/Basis!$E$5)^AK863*(((MID(C863,9,3)*10)-144)/1000)*AL863+AM863*(J863/Basis!$E$5)^2)*0.0098)/Basis!$E$10)</f>
        <v>7.9521624379324529E-2</v>
      </c>
      <c r="M863" s="85"/>
      <c r="N863" s="109">
        <v>1.468</v>
      </c>
      <c r="O863" s="68"/>
      <c r="P863" s="67">
        <v>2531</v>
      </c>
      <c r="Q863" s="68"/>
      <c r="R863" s="69"/>
      <c r="S863" s="69"/>
      <c r="T863" s="69"/>
      <c r="U863" s="69"/>
      <c r="V863" s="69"/>
      <c r="W863" s="68"/>
      <c r="X863" s="70"/>
      <c r="Y863" s="70"/>
      <c r="Z863" s="70"/>
      <c r="AA863" s="70"/>
      <c r="AB863" s="70"/>
      <c r="AC863" s="68"/>
      <c r="AD863" s="71"/>
      <c r="AE863" s="71"/>
      <c r="AF863" s="71"/>
      <c r="AG863" s="71"/>
      <c r="AH863" s="71"/>
      <c r="AI863" s="68"/>
      <c r="AJ863" s="214">
        <v>2.0829999999999999E-4</v>
      </c>
      <c r="AK863" s="214">
        <v>1.724</v>
      </c>
      <c r="AL863" s="214">
        <v>4</v>
      </c>
      <c r="AM863" s="214">
        <v>1.392796E-3</v>
      </c>
      <c r="AN863" s="68"/>
      <c r="AO863" s="67"/>
      <c r="AP863" s="67"/>
      <c r="AQ863" s="67"/>
      <c r="AR863" s="67"/>
      <c r="AS863" s="67"/>
      <c r="AT863" s="68"/>
      <c r="AU863" s="49"/>
      <c r="AV863" s="50"/>
    </row>
    <row r="864" spans="1:48" ht="12.75" customHeight="1" x14ac:dyDescent="0.25">
      <c r="A864" s="72" t="s">
        <v>20</v>
      </c>
      <c r="B864" s="43" t="s">
        <v>889</v>
      </c>
      <c r="C864" s="44" t="s">
        <v>1018</v>
      </c>
      <c r="D864" s="45">
        <f>MROUND(MID($C864,6,3)/Basis!$E$3,0.5)</f>
        <v>23</v>
      </c>
      <c r="E864" s="45">
        <f>MROUND(MID($C864,9,3)/Basis!$E$3,0.5)</f>
        <v>56.5</v>
      </c>
      <c r="F864" s="124" t="s">
        <v>2948</v>
      </c>
      <c r="G864" s="45">
        <f>ROUND((ROUNDDOWN($F864/5,0)*5+3)/Basis!$E$3,1)</f>
        <v>9.1</v>
      </c>
      <c r="H864" s="120">
        <f>ROUND($P864*Basis!$E$2*((TaH-TrH)/LN(1/µ)/Basis!$E$7)^$N864*$AA$4*Glycol,0)</f>
        <v>3997</v>
      </c>
      <c r="I864" s="83">
        <f>ROUND(H864/(MID($C864,9,3)/Basis!$E$3/Basis!$E$9)*Basis!$E$11,0)</f>
        <v>852</v>
      </c>
      <c r="J864" s="123">
        <f>IF(Basis!$E$1=1,ROUND(H864/((TaH-TrH)*1.163)/3600,3),ROUND(H864/(500*(TaH-TrH)),2))</f>
        <v>0.4</v>
      </c>
      <c r="K864" s="84"/>
      <c r="L864" s="177">
        <f>CHOOSE(Basis!$E$1,((AJ864*(J864*3600/Basis!$E$5)^AK864*(((MID(C864,9,3)*10)-144)/1000)*AL864+AM864*(J864*3600/Basis!$E$5)^2)*0.0098)/Basis!$E$10,((AJ864*(J864/Basis!$E$5)^AK864*(((MID(C864,9,3)*10)-144)/1000)*AL864+AM864*(J864/Basis!$E$5)^2)*0.0098)/Basis!$E$10)</f>
        <v>1.8931639790386399E-2</v>
      </c>
      <c r="M864" s="85"/>
      <c r="N864" s="109">
        <v>1.472</v>
      </c>
      <c r="O864" s="68"/>
      <c r="P864" s="67">
        <v>1904</v>
      </c>
      <c r="Q864" s="68"/>
      <c r="R864" s="69"/>
      <c r="S864" s="69"/>
      <c r="T864" s="69"/>
      <c r="U864" s="69"/>
      <c r="V864" s="69"/>
      <c r="W864" s="68"/>
      <c r="X864" s="70"/>
      <c r="Y864" s="70"/>
      <c r="Z864" s="70"/>
      <c r="AA864" s="70"/>
      <c r="AB864" s="70"/>
      <c r="AC864" s="68"/>
      <c r="AD864" s="71"/>
      <c r="AE864" s="71"/>
      <c r="AF864" s="71"/>
      <c r="AG864" s="71"/>
      <c r="AH864" s="71"/>
      <c r="AI864" s="68"/>
      <c r="AJ864" s="214">
        <v>1.2760000000000001E-4</v>
      </c>
      <c r="AK864" s="214">
        <v>1.7219</v>
      </c>
      <c r="AL864" s="214">
        <v>4</v>
      </c>
      <c r="AM864" s="214">
        <v>5.1420100000000005E-4</v>
      </c>
      <c r="AN864" s="68"/>
      <c r="AO864" s="67"/>
      <c r="AP864" s="67"/>
      <c r="AQ864" s="67"/>
      <c r="AR864" s="67"/>
      <c r="AS864" s="67"/>
      <c r="AT864" s="68"/>
      <c r="AU864" s="49"/>
      <c r="AV864" s="50"/>
    </row>
    <row r="865" spans="1:48" ht="12.75" customHeight="1" x14ac:dyDescent="0.25">
      <c r="A865" s="72" t="s">
        <v>20</v>
      </c>
      <c r="B865" s="43" t="s">
        <v>889</v>
      </c>
      <c r="C865" s="44" t="s">
        <v>1019</v>
      </c>
      <c r="D865" s="45">
        <f>MROUND(MID($C865,6,3)/Basis!$E$3,0.5)</f>
        <v>23</v>
      </c>
      <c r="E865" s="45">
        <f>MROUND(MID($C865,9,3)/Basis!$E$3,0.5)</f>
        <v>56.5</v>
      </c>
      <c r="F865" s="124" t="s">
        <v>2948</v>
      </c>
      <c r="G865" s="45">
        <f>ROUND((ROUNDDOWN($F865/5,0)*5+3)/Basis!$E$3,1)</f>
        <v>9.1</v>
      </c>
      <c r="H865" s="120">
        <f>ROUND($P865*Basis!$E$2*((TaH-TrH)/LN(1/µ)/Basis!$E$7)^$N865*$AA$4*Glycol,0)</f>
        <v>5728</v>
      </c>
      <c r="I865" s="83">
        <f>ROUND(H865/(MID($C865,9,3)/Basis!$E$3/Basis!$E$9)*Basis!$E$11,0)</f>
        <v>1221</v>
      </c>
      <c r="J865" s="123">
        <f>IF(Basis!$E$1=1,ROUND(H865/((TaH-TrH)*1.163)/3600,3),ROUND(H865/(500*(TaH-TrH)),2))</f>
        <v>0.56999999999999995</v>
      </c>
      <c r="K865" s="84"/>
      <c r="L865" s="177">
        <f>CHOOSE(Basis!$E$1,((AJ865*(J865*3600/Basis!$E$5)^AK865*(((MID(C865,9,3)*10)-144)/1000)*AL865+AM865*(J865*3600/Basis!$E$5)^2)*0.0098)/Basis!$E$10,((AJ865*(J865/Basis!$E$5)^AK865*(((MID(C865,9,3)*10)-144)/1000)*AL865+AM865*(J865/Basis!$E$5)^2)*0.0098)/Basis!$E$10)</f>
        <v>3.7480262353670926E-2</v>
      </c>
      <c r="M865" s="85"/>
      <c r="N865" s="109">
        <v>1.48</v>
      </c>
      <c r="O865" s="68"/>
      <c r="P865" s="67">
        <v>2736</v>
      </c>
      <c r="Q865" s="68"/>
      <c r="R865" s="69"/>
      <c r="S865" s="69"/>
      <c r="T865" s="69"/>
      <c r="U865" s="69"/>
      <c r="V865" s="69"/>
      <c r="W865" s="68"/>
      <c r="X865" s="70"/>
      <c r="Y865" s="70"/>
      <c r="Z865" s="70"/>
      <c r="AA865" s="70"/>
      <c r="AB865" s="70"/>
      <c r="AC865" s="68"/>
      <c r="AD865" s="71"/>
      <c r="AE865" s="71"/>
      <c r="AF865" s="71"/>
      <c r="AG865" s="71"/>
      <c r="AH865" s="71"/>
      <c r="AI865" s="68"/>
      <c r="AJ865" s="214">
        <v>1.2760000000000001E-4</v>
      </c>
      <c r="AK865" s="214">
        <v>1.7219</v>
      </c>
      <c r="AL865" s="214">
        <v>4</v>
      </c>
      <c r="AM865" s="214">
        <v>5.1420100000000005E-4</v>
      </c>
      <c r="AN865" s="68"/>
      <c r="AO865" s="67"/>
      <c r="AP865" s="67"/>
      <c r="AQ865" s="67"/>
      <c r="AR865" s="67"/>
      <c r="AS865" s="67"/>
      <c r="AT865" s="68"/>
      <c r="AU865" s="49"/>
      <c r="AV865" s="50"/>
    </row>
    <row r="866" spans="1:48" ht="12.75" customHeight="1" x14ac:dyDescent="0.25">
      <c r="A866" s="72" t="s">
        <v>20</v>
      </c>
      <c r="B866" s="43" t="s">
        <v>889</v>
      </c>
      <c r="C866" s="44" t="s">
        <v>1020</v>
      </c>
      <c r="D866" s="45">
        <f>MROUND(MID($C866,6,3)/Basis!$E$3,0.5)</f>
        <v>23</v>
      </c>
      <c r="E866" s="45">
        <f>MROUND(MID($C866,9,3)/Basis!$E$3,0.5)</f>
        <v>56.5</v>
      </c>
      <c r="F866" s="124" t="s">
        <v>2948</v>
      </c>
      <c r="G866" s="45">
        <f>ROUND((ROUNDDOWN($F866/5,0)*5+3)/Basis!$E$3,1)</f>
        <v>9.1</v>
      </c>
      <c r="H866" s="120">
        <f>ROUND($P866*Basis!$E$2*((TaH-TrH)/LN(1/µ)/Basis!$E$7)^$N866*$AA$4*Glycol,0)</f>
        <v>5237</v>
      </c>
      <c r="I866" s="83">
        <f>ROUND(H866/(MID($C866,9,3)/Basis!$E$3/Basis!$E$9)*Basis!$E$11,0)</f>
        <v>1116</v>
      </c>
      <c r="J866" s="123">
        <f>IF(Basis!$E$1=1,ROUND(H866/((TaH-TrH)*1.163)/3600,3),ROUND(H866/(500*(TaH-TrH)),2))</f>
        <v>0.52</v>
      </c>
      <c r="K866" s="84"/>
      <c r="L866" s="177">
        <f>CHOOSE(Basis!$E$1,((AJ866*(J866*3600/Basis!$E$5)^AK866*(((MID(C866,9,3)*10)-144)/1000)*AL866+AM866*(J866*3600/Basis!$E$5)^2)*0.0098)/Basis!$E$10,((AJ866*(J866/Basis!$E$5)^AK866*(((MID(C866,9,3)*10)-144)/1000)*AL866+AM866*(J866/Basis!$E$5)^2)*0.0098)/Basis!$E$10)</f>
        <v>3.1393369370499316E-2</v>
      </c>
      <c r="M866" s="85"/>
      <c r="N866" s="109">
        <v>1.484</v>
      </c>
      <c r="O866" s="68"/>
      <c r="P866" s="67">
        <v>2505</v>
      </c>
      <c r="Q866" s="68"/>
      <c r="R866" s="69"/>
      <c r="S866" s="69"/>
      <c r="T866" s="69"/>
      <c r="U866" s="69"/>
      <c r="V866" s="69"/>
      <c r="W866" s="68"/>
      <c r="X866" s="70"/>
      <c r="Y866" s="70"/>
      <c r="Z866" s="70"/>
      <c r="AA866" s="70"/>
      <c r="AB866" s="70"/>
      <c r="AC866" s="68"/>
      <c r="AD866" s="71"/>
      <c r="AE866" s="71"/>
      <c r="AF866" s="71"/>
      <c r="AG866" s="71"/>
      <c r="AH866" s="71"/>
      <c r="AI866" s="68"/>
      <c r="AJ866" s="214">
        <v>1.2760000000000001E-4</v>
      </c>
      <c r="AK866" s="214">
        <v>1.7219</v>
      </c>
      <c r="AL866" s="214">
        <v>4</v>
      </c>
      <c r="AM866" s="214">
        <v>5.1420100000000005E-4</v>
      </c>
      <c r="AN866" s="68"/>
      <c r="AO866" s="67"/>
      <c r="AP866" s="67"/>
      <c r="AQ866" s="67"/>
      <c r="AR866" s="67"/>
      <c r="AS866" s="67"/>
      <c r="AT866" s="68"/>
      <c r="AU866" s="49"/>
      <c r="AV866" s="50"/>
    </row>
    <row r="867" spans="1:48" ht="12.75" customHeight="1" x14ac:dyDescent="0.25">
      <c r="A867" s="72" t="s">
        <v>20</v>
      </c>
      <c r="B867" s="43" t="s">
        <v>889</v>
      </c>
      <c r="C867" s="44" t="s">
        <v>1021</v>
      </c>
      <c r="D867" s="45">
        <f>MROUND(MID($C867,6,3)/Basis!$E$3,0.5)</f>
        <v>23</v>
      </c>
      <c r="E867" s="45">
        <f>MROUND(MID($C867,9,3)/Basis!$E$3,0.5)</f>
        <v>56.5</v>
      </c>
      <c r="F867" s="124" t="s">
        <v>2948</v>
      </c>
      <c r="G867" s="45">
        <f>ROUND((ROUNDDOWN($F867/5,0)*5+3)/Basis!$E$3,1)</f>
        <v>9.1</v>
      </c>
      <c r="H867" s="120">
        <f>ROUND($P867*Basis!$E$2*((TaH-TrH)/LN(1/µ)/Basis!$E$7)^$N867*$AA$4*Glycol,0)</f>
        <v>7021</v>
      </c>
      <c r="I867" s="83">
        <f>ROUND(H867/(MID($C867,9,3)/Basis!$E$3/Basis!$E$9)*Basis!$E$11,0)</f>
        <v>1497</v>
      </c>
      <c r="J867" s="123">
        <f>IF(Basis!$E$1=1,ROUND(H867/((TaH-TrH)*1.163)/3600,3),ROUND(H867/(500*(TaH-TrH)),2))</f>
        <v>0.7</v>
      </c>
      <c r="K867" s="84"/>
      <c r="L867" s="177">
        <f>CHOOSE(Basis!$E$1,((AJ867*(J867*3600/Basis!$E$5)^AK867*(((MID(C867,9,3)*10)-144)/1000)*AL867+AM867*(J867*3600/Basis!$E$5)^2)*0.0098)/Basis!$E$10,((AJ867*(J867/Basis!$E$5)^AK867*(((MID(C867,9,3)*10)-144)/1000)*AL867+AM867*(J867/Basis!$E$5)^2)*0.0098)/Basis!$E$10)</f>
        <v>5.5747072734380176E-2</v>
      </c>
      <c r="M867" s="85"/>
      <c r="N867" s="109">
        <v>1.492</v>
      </c>
      <c r="O867" s="68"/>
      <c r="P867" s="67">
        <v>3367</v>
      </c>
      <c r="Q867" s="68"/>
      <c r="R867" s="69"/>
      <c r="S867" s="69"/>
      <c r="T867" s="69"/>
      <c r="U867" s="69"/>
      <c r="V867" s="69"/>
      <c r="W867" s="68"/>
      <c r="X867" s="70"/>
      <c r="Y867" s="70"/>
      <c r="Z867" s="70"/>
      <c r="AA867" s="70"/>
      <c r="AB867" s="70"/>
      <c r="AC867" s="68"/>
      <c r="AD867" s="71"/>
      <c r="AE867" s="71"/>
      <c r="AF867" s="71"/>
      <c r="AG867" s="71"/>
      <c r="AH867" s="71"/>
      <c r="AI867" s="68"/>
      <c r="AJ867" s="214">
        <v>1.2760000000000001E-4</v>
      </c>
      <c r="AK867" s="214">
        <v>1.7219</v>
      </c>
      <c r="AL867" s="214">
        <v>4</v>
      </c>
      <c r="AM867" s="214">
        <v>5.1420100000000005E-4</v>
      </c>
      <c r="AN867" s="68"/>
      <c r="AO867" s="67"/>
      <c r="AP867" s="67"/>
      <c r="AQ867" s="67"/>
      <c r="AR867" s="67"/>
      <c r="AS867" s="67"/>
      <c r="AT867" s="68"/>
      <c r="AU867" s="49"/>
      <c r="AV867" s="50"/>
    </row>
    <row r="868" spans="1:48" ht="12.75" customHeight="1" x14ac:dyDescent="0.25">
      <c r="A868" s="72" t="s">
        <v>20</v>
      </c>
      <c r="B868" s="43" t="s">
        <v>889</v>
      </c>
      <c r="C868" s="44" t="s">
        <v>1022</v>
      </c>
      <c r="D868" s="45">
        <f>MROUND(MID($C868,6,3)/Basis!$E$3,0.5)</f>
        <v>23</v>
      </c>
      <c r="E868" s="45">
        <f>MROUND(MID($C868,9,3)/Basis!$E$3,0.5)</f>
        <v>64</v>
      </c>
      <c r="F868" s="124" t="s">
        <v>2946</v>
      </c>
      <c r="G868" s="45">
        <f>ROUND((ROUNDDOWN($F868/5,0)*5+3)/Basis!$E$3,1)</f>
        <v>5.0999999999999996</v>
      </c>
      <c r="H868" s="120">
        <f>ROUND($P868*Basis!$E$2*((TaH-TrH)/LN(1/µ)/Basis!$E$7)^$N868*$AA$4*Glycol,0)</f>
        <v>2694</v>
      </c>
      <c r="I868" s="83">
        <f>ROUND(H868/(MID($C868,9,3)/Basis!$E$3/Basis!$E$9)*Basis!$E$11,0)</f>
        <v>504</v>
      </c>
      <c r="J868" s="123">
        <f>IF(Basis!$E$1=1,ROUND(H868/((TaH-TrH)*1.163)/3600,3),ROUND(H868/(500*(TaH-TrH)),2))</f>
        <v>0.27</v>
      </c>
      <c r="K868" s="84"/>
      <c r="L868" s="177">
        <f>CHOOSE(Basis!$E$1,((AJ868*(J868*3600/Basis!$E$5)^AK868*(((MID(C868,9,3)*10)-144)/1000)*AL868+AM868*(J868*3600/Basis!$E$5)^2)*0.0098)/Basis!$E$10,((AJ868*(J868/Basis!$E$5)^AK868*(((MID(C868,9,3)*10)-144)/1000)*AL868+AM868*(J868/Basis!$E$5)^2)*0.0098)/Basis!$E$10)</f>
        <v>1.6791012576691564E-2</v>
      </c>
      <c r="M868" s="85"/>
      <c r="N868" s="109">
        <v>1.44</v>
      </c>
      <c r="O868" s="68"/>
      <c r="P868" s="67">
        <v>1270</v>
      </c>
      <c r="Q868" s="68"/>
      <c r="R868" s="69"/>
      <c r="S868" s="69"/>
      <c r="T868" s="69"/>
      <c r="U868" s="69"/>
      <c r="V868" s="69"/>
      <c r="W868" s="68"/>
      <c r="X868" s="70"/>
      <c r="Y868" s="70"/>
      <c r="Z868" s="70"/>
      <c r="AA868" s="70"/>
      <c r="AB868" s="70"/>
      <c r="AC868" s="68"/>
      <c r="AD868" s="71"/>
      <c r="AE868" s="71"/>
      <c r="AF868" s="71"/>
      <c r="AG868" s="71"/>
      <c r="AH868" s="71"/>
      <c r="AI868" s="68"/>
      <c r="AJ868" s="214">
        <v>3.9689999999999994E-4</v>
      </c>
      <c r="AK868" s="214">
        <v>1.7345999999999999</v>
      </c>
      <c r="AL868" s="214">
        <v>4</v>
      </c>
      <c r="AM868" s="214">
        <v>5.7428799999999995E-4</v>
      </c>
      <c r="AN868" s="68"/>
      <c r="AO868" s="67"/>
      <c r="AP868" s="67"/>
      <c r="AQ868" s="67"/>
      <c r="AR868" s="67"/>
      <c r="AS868" s="67"/>
      <c r="AT868" s="68"/>
      <c r="AU868" s="49"/>
      <c r="AV868" s="50"/>
    </row>
    <row r="869" spans="1:48" ht="12.75" customHeight="1" x14ac:dyDescent="0.25">
      <c r="A869" s="72" t="s">
        <v>20</v>
      </c>
      <c r="B869" s="43" t="s">
        <v>889</v>
      </c>
      <c r="C869" s="44" t="s">
        <v>1023</v>
      </c>
      <c r="D869" s="45">
        <f>MROUND(MID($C869,6,3)/Basis!$E$3,0.5)</f>
        <v>23</v>
      </c>
      <c r="E869" s="45">
        <f>MROUND(MID($C869,9,3)/Basis!$E$3,0.5)</f>
        <v>64</v>
      </c>
      <c r="F869" s="124" t="s">
        <v>2946</v>
      </c>
      <c r="G869" s="45">
        <f>ROUND((ROUNDDOWN($F869/5,0)*5+3)/Basis!$E$3,1)</f>
        <v>5.0999999999999996</v>
      </c>
      <c r="H869" s="120">
        <f>ROUND($P869*Basis!$E$2*((TaH-TrH)/LN(1/µ)/Basis!$E$7)^$N869*$AA$4*Glycol,0)</f>
        <v>3546</v>
      </c>
      <c r="I869" s="83">
        <f>ROUND(H869/(MID($C869,9,3)/Basis!$E$3/Basis!$E$9)*Basis!$E$11,0)</f>
        <v>663</v>
      </c>
      <c r="J869" s="123">
        <f>IF(Basis!$E$1=1,ROUND(H869/((TaH-TrH)*1.163)/3600,3),ROUND(H869/(500*(TaH-TrH)),2))</f>
        <v>0.35</v>
      </c>
      <c r="K869" s="84"/>
      <c r="L869" s="177">
        <f>CHOOSE(Basis!$E$1,((AJ869*(J869*3600/Basis!$E$5)^AK869*(((MID(C869,9,3)*10)-144)/1000)*AL869+AM869*(J869*3600/Basis!$E$5)^2)*0.0098)/Basis!$E$10,((AJ869*(J869/Basis!$E$5)^AK869*(((MID(C869,9,3)*10)-144)/1000)*AL869+AM869*(J869/Basis!$E$5)^2)*0.0098)/Basis!$E$10)</f>
        <v>2.7127202524951616E-2</v>
      </c>
      <c r="M869" s="85"/>
      <c r="N869" s="109">
        <v>1.4390000000000001</v>
      </c>
      <c r="O869" s="68"/>
      <c r="P869" s="67">
        <v>1671</v>
      </c>
      <c r="Q869" s="68"/>
      <c r="R869" s="69"/>
      <c r="S869" s="69"/>
      <c r="T869" s="69"/>
      <c r="U869" s="69"/>
      <c r="V869" s="69"/>
      <c r="W869" s="68"/>
      <c r="X869" s="70"/>
      <c r="Y869" s="70"/>
      <c r="Z869" s="70"/>
      <c r="AA869" s="70"/>
      <c r="AB869" s="70"/>
      <c r="AC869" s="68"/>
      <c r="AD869" s="71"/>
      <c r="AE869" s="71"/>
      <c r="AF869" s="71"/>
      <c r="AG869" s="71"/>
      <c r="AH869" s="71"/>
      <c r="AI869" s="68"/>
      <c r="AJ869" s="214">
        <v>3.9689999999999994E-4</v>
      </c>
      <c r="AK869" s="214">
        <v>1.7345999999999999</v>
      </c>
      <c r="AL869" s="214">
        <v>4</v>
      </c>
      <c r="AM869" s="214">
        <v>5.7428799999999995E-4</v>
      </c>
      <c r="AN869" s="68"/>
      <c r="AO869" s="67"/>
      <c r="AP869" s="67"/>
      <c r="AQ869" s="67"/>
      <c r="AR869" s="67"/>
      <c r="AS869" s="67"/>
      <c r="AT869" s="68"/>
      <c r="AU869" s="49"/>
      <c r="AV869" s="50"/>
    </row>
    <row r="870" spans="1:48" ht="12.75" customHeight="1" x14ac:dyDescent="0.25">
      <c r="A870" s="72" t="s">
        <v>20</v>
      </c>
      <c r="B870" s="43" t="s">
        <v>889</v>
      </c>
      <c r="C870" s="44" t="s">
        <v>1024</v>
      </c>
      <c r="D870" s="45">
        <f>MROUND(MID($C870,6,3)/Basis!$E$3,0.5)</f>
        <v>23</v>
      </c>
      <c r="E870" s="45">
        <f>MROUND(MID($C870,9,3)/Basis!$E$3,0.5)</f>
        <v>64</v>
      </c>
      <c r="F870" s="124" t="s">
        <v>2946</v>
      </c>
      <c r="G870" s="45">
        <f>ROUND((ROUNDDOWN($F870/5,0)*5+3)/Basis!$E$3,1)</f>
        <v>5.0999999999999996</v>
      </c>
      <c r="H870" s="120">
        <f>ROUND($P870*Basis!$E$2*((TaH-TrH)/LN(1/µ)/Basis!$E$7)^$N870*$AA$4*Glycol,0)</f>
        <v>3263</v>
      </c>
      <c r="I870" s="83">
        <f>ROUND(H870/(MID($C870,9,3)/Basis!$E$3/Basis!$E$9)*Basis!$E$11,0)</f>
        <v>610</v>
      </c>
      <c r="J870" s="123">
        <f>IF(Basis!$E$1=1,ROUND(H870/((TaH-TrH)*1.163)/3600,3),ROUND(H870/(500*(TaH-TrH)),2))</f>
        <v>0.33</v>
      </c>
      <c r="K870" s="84"/>
      <c r="L870" s="177">
        <f>CHOOSE(Basis!$E$1,((AJ870*(J870*3600/Basis!$E$5)^AK870*(((MID(C870,9,3)*10)-144)/1000)*AL870+AM870*(J870*3600/Basis!$E$5)^2)*0.0098)/Basis!$E$10,((AJ870*(J870/Basis!$E$5)^AK870*(((MID(C870,9,3)*10)-144)/1000)*AL870+AM870*(J870/Basis!$E$5)^2)*0.0098)/Basis!$E$10)</f>
        <v>2.4329056869123917E-2</v>
      </c>
      <c r="M870" s="85"/>
      <c r="N870" s="109">
        <v>1.4379999999999999</v>
      </c>
      <c r="O870" s="68"/>
      <c r="P870" s="67">
        <v>1537</v>
      </c>
      <c r="Q870" s="68"/>
      <c r="R870" s="69"/>
      <c r="S870" s="69"/>
      <c r="T870" s="69"/>
      <c r="U870" s="69"/>
      <c r="V870" s="69"/>
      <c r="W870" s="68"/>
      <c r="X870" s="70"/>
      <c r="Y870" s="70"/>
      <c r="Z870" s="70"/>
      <c r="AA870" s="70"/>
      <c r="AB870" s="70"/>
      <c r="AC870" s="68"/>
      <c r="AD870" s="71"/>
      <c r="AE870" s="71"/>
      <c r="AF870" s="71"/>
      <c r="AG870" s="71"/>
      <c r="AH870" s="71"/>
      <c r="AI870" s="68"/>
      <c r="AJ870" s="214">
        <v>3.9689999999999994E-4</v>
      </c>
      <c r="AK870" s="214">
        <v>1.7345999999999999</v>
      </c>
      <c r="AL870" s="214">
        <v>4</v>
      </c>
      <c r="AM870" s="214">
        <v>5.7428799999999995E-4</v>
      </c>
      <c r="AN870" s="68"/>
      <c r="AO870" s="67"/>
      <c r="AP870" s="67"/>
      <c r="AQ870" s="67"/>
      <c r="AR870" s="67"/>
      <c r="AS870" s="67"/>
      <c r="AT870" s="68"/>
      <c r="AU870" s="49"/>
      <c r="AV870" s="50"/>
    </row>
    <row r="871" spans="1:48" ht="12.75" customHeight="1" x14ac:dyDescent="0.25">
      <c r="A871" s="72" t="s">
        <v>20</v>
      </c>
      <c r="B871" s="43" t="s">
        <v>889</v>
      </c>
      <c r="C871" s="44" t="s">
        <v>1025</v>
      </c>
      <c r="D871" s="45">
        <f>MROUND(MID($C871,6,3)/Basis!$E$3,0.5)</f>
        <v>23</v>
      </c>
      <c r="E871" s="45">
        <f>MROUND(MID($C871,9,3)/Basis!$E$3,0.5)</f>
        <v>64</v>
      </c>
      <c r="F871" s="124" t="s">
        <v>2946</v>
      </c>
      <c r="G871" s="45">
        <f>ROUND((ROUNDDOWN($F871/5,0)*5+3)/Basis!$E$3,1)</f>
        <v>5.0999999999999996</v>
      </c>
      <c r="H871" s="120">
        <f>ROUND($P871*Basis!$E$2*((TaH-TrH)/LN(1/µ)/Basis!$E$7)^$N871*$AA$4*Glycol,0)</f>
        <v>4088</v>
      </c>
      <c r="I871" s="83">
        <f>ROUND(H871/(MID($C871,9,3)/Basis!$E$3/Basis!$E$9)*Basis!$E$11,0)</f>
        <v>764</v>
      </c>
      <c r="J871" s="123">
        <f>IF(Basis!$E$1=1,ROUND(H871/((TaH-TrH)*1.163)/3600,3),ROUND(H871/(500*(TaH-TrH)),2))</f>
        <v>0.41</v>
      </c>
      <c r="K871" s="84"/>
      <c r="L871" s="177">
        <f>CHOOSE(Basis!$E$1,((AJ871*(J871*3600/Basis!$E$5)^AK871*(((MID(C871,9,3)*10)-144)/1000)*AL871+AM871*(J871*3600/Basis!$E$5)^2)*0.0098)/Basis!$E$10,((AJ871*(J871/Basis!$E$5)^AK871*(((MID(C871,9,3)*10)-144)/1000)*AL871+AM871*(J871/Basis!$E$5)^2)*0.0098)/Basis!$E$10)</f>
        <v>3.6363958509089876E-2</v>
      </c>
      <c r="M871" s="85"/>
      <c r="N871" s="109">
        <v>1.4370000000000001</v>
      </c>
      <c r="O871" s="68"/>
      <c r="P871" s="67">
        <v>1925</v>
      </c>
      <c r="Q871" s="68"/>
      <c r="R871" s="69"/>
      <c r="S871" s="69"/>
      <c r="T871" s="69"/>
      <c r="U871" s="69"/>
      <c r="V871" s="69"/>
      <c r="W871" s="68"/>
      <c r="X871" s="70"/>
      <c r="Y871" s="70"/>
      <c r="Z871" s="70"/>
      <c r="AA871" s="70"/>
      <c r="AB871" s="70"/>
      <c r="AC871" s="68"/>
      <c r="AD871" s="71"/>
      <c r="AE871" s="71"/>
      <c r="AF871" s="71"/>
      <c r="AG871" s="71"/>
      <c r="AH871" s="71"/>
      <c r="AI871" s="68"/>
      <c r="AJ871" s="214">
        <v>3.9689999999999994E-4</v>
      </c>
      <c r="AK871" s="214">
        <v>1.7345999999999999</v>
      </c>
      <c r="AL871" s="214">
        <v>4</v>
      </c>
      <c r="AM871" s="214">
        <v>5.7428799999999995E-4</v>
      </c>
      <c r="AN871" s="68"/>
      <c r="AO871" s="67"/>
      <c r="AP871" s="67"/>
      <c r="AQ871" s="67"/>
      <c r="AR871" s="67"/>
      <c r="AS871" s="67"/>
      <c r="AT871" s="68"/>
      <c r="AU871" s="49"/>
      <c r="AV871" s="50"/>
    </row>
    <row r="872" spans="1:48" ht="12.75" customHeight="1" x14ac:dyDescent="0.25">
      <c r="A872" s="72" t="s">
        <v>20</v>
      </c>
      <c r="B872" s="43" t="s">
        <v>889</v>
      </c>
      <c r="C872" s="44" t="s">
        <v>1026</v>
      </c>
      <c r="D872" s="45">
        <f>MROUND(MID($C872,6,3)/Basis!$E$3,0.5)</f>
        <v>23</v>
      </c>
      <c r="E872" s="45">
        <f>MROUND(MID($C872,9,3)/Basis!$E$3,0.5)</f>
        <v>64</v>
      </c>
      <c r="F872" s="124" t="s">
        <v>2947</v>
      </c>
      <c r="G872" s="45">
        <f>ROUND((ROUNDDOWN($F872/5,0)*5+3)/Basis!$E$3,1)</f>
        <v>7.1</v>
      </c>
      <c r="H872" s="120">
        <f>ROUND($P872*Basis!$E$2*((TaH-TrH)/LN(1/µ)/Basis!$E$7)^$N872*$AA$4*Glycol,0)</f>
        <v>3692</v>
      </c>
      <c r="I872" s="83">
        <f>ROUND(H872/(MID($C872,9,3)/Basis!$E$3/Basis!$E$9)*Basis!$E$11,0)</f>
        <v>690</v>
      </c>
      <c r="J872" s="123">
        <f>IF(Basis!$E$1=1,ROUND(H872/((TaH-TrH)*1.163)/3600,3),ROUND(H872/(500*(TaH-TrH)),2))</f>
        <v>0.37</v>
      </c>
      <c r="K872" s="84"/>
      <c r="L872" s="177">
        <f>CHOOSE(Basis!$E$1,((AJ872*(J872*3600/Basis!$E$5)^AK872*(((MID(C872,9,3)*10)-144)/1000)*AL872+AM872*(J872*3600/Basis!$E$5)^2)*0.0098)/Basis!$E$10,((AJ872*(J872/Basis!$E$5)^AK872*(((MID(C872,9,3)*10)-144)/1000)*AL872+AM872*(J872/Basis!$E$5)^2)*0.0098)/Basis!$E$10)</f>
        <v>4.0576075943910203E-2</v>
      </c>
      <c r="M872" s="85"/>
      <c r="N872" s="109">
        <v>1.4570000000000001</v>
      </c>
      <c r="O872" s="68"/>
      <c r="P872" s="67">
        <v>1750</v>
      </c>
      <c r="Q872" s="68"/>
      <c r="R872" s="69"/>
      <c r="S872" s="69"/>
      <c r="T872" s="69"/>
      <c r="U872" s="69"/>
      <c r="V872" s="69"/>
      <c r="W872" s="68"/>
      <c r="X872" s="70"/>
      <c r="Y872" s="70"/>
      <c r="Z872" s="70"/>
      <c r="AA872" s="70"/>
      <c r="AB872" s="70"/>
      <c r="AC872" s="68"/>
      <c r="AD872" s="71"/>
      <c r="AE872" s="71"/>
      <c r="AF872" s="71"/>
      <c r="AG872" s="71"/>
      <c r="AH872" s="71"/>
      <c r="AI872" s="68"/>
      <c r="AJ872" s="214">
        <v>2.0829999999999999E-4</v>
      </c>
      <c r="AK872" s="214">
        <v>1.724</v>
      </c>
      <c r="AL872" s="214">
        <v>4</v>
      </c>
      <c r="AM872" s="214">
        <v>1.392796E-3</v>
      </c>
      <c r="AN872" s="68"/>
      <c r="AO872" s="67"/>
      <c r="AP872" s="67"/>
      <c r="AQ872" s="67"/>
      <c r="AR872" s="67"/>
      <c r="AS872" s="67"/>
      <c r="AT872" s="68"/>
      <c r="AU872" s="49"/>
      <c r="AV872" s="50"/>
    </row>
    <row r="873" spans="1:48" ht="12.75" customHeight="1" x14ac:dyDescent="0.25">
      <c r="A873" s="72" t="s">
        <v>20</v>
      </c>
      <c r="B873" s="43" t="s">
        <v>889</v>
      </c>
      <c r="C873" s="44" t="s">
        <v>1027</v>
      </c>
      <c r="D873" s="45">
        <f>MROUND(MID($C873,6,3)/Basis!$E$3,0.5)</f>
        <v>23</v>
      </c>
      <c r="E873" s="45">
        <f>MROUND(MID($C873,9,3)/Basis!$E$3,0.5)</f>
        <v>64</v>
      </c>
      <c r="F873" s="124" t="s">
        <v>2947</v>
      </c>
      <c r="G873" s="45">
        <f>ROUND((ROUNDDOWN($F873/5,0)*5+3)/Basis!$E$3,1)</f>
        <v>7.1</v>
      </c>
      <c r="H873" s="120">
        <f>ROUND($P873*Basis!$E$2*((TaH-TrH)/LN(1/µ)/Basis!$E$7)^$N873*$AA$4*Glycol,0)</f>
        <v>5179</v>
      </c>
      <c r="I873" s="83">
        <f>ROUND(H873/(MID($C873,9,3)/Basis!$E$3/Basis!$E$9)*Basis!$E$11,0)</f>
        <v>968</v>
      </c>
      <c r="J873" s="123">
        <f>IF(Basis!$E$1=1,ROUND(H873/((TaH-TrH)*1.163)/3600,3),ROUND(H873/(500*(TaH-TrH)),2))</f>
        <v>0.52</v>
      </c>
      <c r="K873" s="84"/>
      <c r="L873" s="177">
        <f>CHOOSE(Basis!$E$1,((AJ873*(J873*3600/Basis!$E$5)^AK873*(((MID(C873,9,3)*10)-144)/1000)*AL873+AM873*(J873*3600/Basis!$E$5)^2)*0.0098)/Basis!$E$10,((AJ873*(J873/Basis!$E$5)^AK873*(((MID(C873,9,3)*10)-144)/1000)*AL873+AM873*(J873/Basis!$E$5)^2)*0.0098)/Basis!$E$10)</f>
        <v>7.8654266502865222E-2</v>
      </c>
      <c r="M873" s="85"/>
      <c r="N873" s="109">
        <v>1.462</v>
      </c>
      <c r="O873" s="68"/>
      <c r="P873" s="67">
        <v>2459</v>
      </c>
      <c r="Q873" s="68"/>
      <c r="R873" s="69"/>
      <c r="S873" s="69"/>
      <c r="T873" s="69"/>
      <c r="U873" s="69"/>
      <c r="V873" s="69"/>
      <c r="W873" s="68"/>
      <c r="X873" s="70"/>
      <c r="Y873" s="70"/>
      <c r="Z873" s="70"/>
      <c r="AA873" s="70"/>
      <c r="AB873" s="70"/>
      <c r="AC873" s="68"/>
      <c r="AD873" s="71"/>
      <c r="AE873" s="71"/>
      <c r="AF873" s="71"/>
      <c r="AG873" s="71"/>
      <c r="AH873" s="71"/>
      <c r="AI873" s="68"/>
      <c r="AJ873" s="214">
        <v>2.0829999999999999E-4</v>
      </c>
      <c r="AK873" s="214">
        <v>1.724</v>
      </c>
      <c r="AL873" s="214">
        <v>4</v>
      </c>
      <c r="AM873" s="214">
        <v>1.392796E-3</v>
      </c>
      <c r="AN873" s="68"/>
      <c r="AO873" s="67"/>
      <c r="AP873" s="67"/>
      <c r="AQ873" s="67"/>
      <c r="AR873" s="67"/>
      <c r="AS873" s="67"/>
      <c r="AT873" s="68"/>
      <c r="AU873" s="49"/>
      <c r="AV873" s="50"/>
    </row>
    <row r="874" spans="1:48" ht="12.75" customHeight="1" x14ac:dyDescent="0.25">
      <c r="A874" s="72" t="s">
        <v>20</v>
      </c>
      <c r="B874" s="43" t="s">
        <v>889</v>
      </c>
      <c r="C874" s="44" t="s">
        <v>1028</v>
      </c>
      <c r="D874" s="45">
        <f>MROUND(MID($C874,6,3)/Basis!$E$3,0.5)</f>
        <v>23</v>
      </c>
      <c r="E874" s="45">
        <f>MROUND(MID($C874,9,3)/Basis!$E$3,0.5)</f>
        <v>64</v>
      </c>
      <c r="F874" s="124" t="s">
        <v>2947</v>
      </c>
      <c r="G874" s="45">
        <f>ROUND((ROUNDDOWN($F874/5,0)*5+3)/Basis!$E$3,1)</f>
        <v>7.1</v>
      </c>
      <c r="H874" s="120">
        <f>ROUND($P874*Basis!$E$2*((TaH-TrH)/LN(1/µ)/Basis!$E$7)^$N874*$AA$4*Glycol,0)</f>
        <v>4695</v>
      </c>
      <c r="I874" s="83">
        <f>ROUND(H874/(MID($C874,9,3)/Basis!$E$3/Basis!$E$9)*Basis!$E$11,0)</f>
        <v>878</v>
      </c>
      <c r="J874" s="123">
        <f>IF(Basis!$E$1=1,ROUND(H874/((TaH-TrH)*1.163)/3600,3),ROUND(H874/(500*(TaH-TrH)),2))</f>
        <v>0.47</v>
      </c>
      <c r="K874" s="84"/>
      <c r="L874" s="177">
        <f>CHOOSE(Basis!$E$1,((AJ874*(J874*3600/Basis!$E$5)^AK874*(((MID(C874,9,3)*10)-144)/1000)*AL874+AM874*(J874*3600/Basis!$E$5)^2)*0.0098)/Basis!$E$10,((AJ874*(J874/Basis!$E$5)^AK874*(((MID(C874,9,3)*10)-144)/1000)*AL874+AM874*(J874/Basis!$E$5)^2)*0.0098)/Basis!$E$10)</f>
        <v>6.4605413697132311E-2</v>
      </c>
      <c r="M874" s="85"/>
      <c r="N874" s="109">
        <v>1.464</v>
      </c>
      <c r="O874" s="68"/>
      <c r="P874" s="67">
        <v>2231</v>
      </c>
      <c r="Q874" s="68"/>
      <c r="R874" s="69"/>
      <c r="S874" s="69"/>
      <c r="T874" s="69"/>
      <c r="U874" s="69"/>
      <c r="V874" s="69"/>
      <c r="W874" s="68"/>
      <c r="X874" s="70"/>
      <c r="Y874" s="70"/>
      <c r="Z874" s="70"/>
      <c r="AA874" s="70"/>
      <c r="AB874" s="70"/>
      <c r="AC874" s="68"/>
      <c r="AD874" s="71"/>
      <c r="AE874" s="71"/>
      <c r="AF874" s="71"/>
      <c r="AG874" s="71"/>
      <c r="AH874" s="71"/>
      <c r="AI874" s="68"/>
      <c r="AJ874" s="214">
        <v>2.0829999999999999E-4</v>
      </c>
      <c r="AK874" s="214">
        <v>1.724</v>
      </c>
      <c r="AL874" s="214">
        <v>4</v>
      </c>
      <c r="AM874" s="214">
        <v>1.392796E-3</v>
      </c>
      <c r="AN874" s="68"/>
      <c r="AO874" s="67"/>
      <c r="AP874" s="67"/>
      <c r="AQ874" s="67"/>
      <c r="AR874" s="67"/>
      <c r="AS874" s="67"/>
      <c r="AT874" s="68"/>
      <c r="AU874" s="49"/>
      <c r="AV874" s="50"/>
    </row>
    <row r="875" spans="1:48" ht="12.75" customHeight="1" x14ac:dyDescent="0.25">
      <c r="A875" s="72" t="s">
        <v>20</v>
      </c>
      <c r="B875" s="43" t="s">
        <v>889</v>
      </c>
      <c r="C875" s="44" t="s">
        <v>1029</v>
      </c>
      <c r="D875" s="45">
        <f>MROUND(MID($C875,6,3)/Basis!$E$3,0.5)</f>
        <v>23</v>
      </c>
      <c r="E875" s="45">
        <f>MROUND(MID($C875,9,3)/Basis!$E$3,0.5)</f>
        <v>64</v>
      </c>
      <c r="F875" s="124" t="s">
        <v>2947</v>
      </c>
      <c r="G875" s="45">
        <f>ROUND((ROUNDDOWN($F875/5,0)*5+3)/Basis!$E$3,1)</f>
        <v>7.1</v>
      </c>
      <c r="H875" s="120">
        <f>ROUND($P875*Basis!$E$2*((TaH-TrH)/LN(1/µ)/Basis!$E$7)^$N875*$AA$4*Glycol,0)</f>
        <v>6188</v>
      </c>
      <c r="I875" s="83">
        <f>ROUND(H875/(MID($C875,9,3)/Basis!$E$3/Basis!$E$9)*Basis!$E$11,0)</f>
        <v>1157</v>
      </c>
      <c r="J875" s="123">
        <f>IF(Basis!$E$1=1,ROUND(H875/((TaH-TrH)*1.163)/3600,3),ROUND(H875/(500*(TaH-TrH)),2))</f>
        <v>0.62</v>
      </c>
      <c r="K875" s="84"/>
      <c r="L875" s="177">
        <f>CHOOSE(Basis!$E$1,((AJ875*(J875*3600/Basis!$E$5)^AK875*(((MID(C875,9,3)*10)-144)/1000)*AL875+AM875*(J875*3600/Basis!$E$5)^2)*0.0098)/Basis!$E$10,((AJ875*(J875/Basis!$E$5)^AK875*(((MID(C875,9,3)*10)-144)/1000)*AL875+AM875*(J875/Basis!$E$5)^2)*0.0098)/Basis!$E$10)</f>
        <v>0.11079542372657813</v>
      </c>
      <c r="M875" s="85"/>
      <c r="N875" s="109">
        <v>1.468</v>
      </c>
      <c r="O875" s="68"/>
      <c r="P875" s="67">
        <v>2944</v>
      </c>
      <c r="Q875" s="68"/>
      <c r="R875" s="69"/>
      <c r="S875" s="69"/>
      <c r="T875" s="69"/>
      <c r="U875" s="69"/>
      <c r="V875" s="69"/>
      <c r="W875" s="68"/>
      <c r="X875" s="70"/>
      <c r="Y875" s="70"/>
      <c r="Z875" s="70"/>
      <c r="AA875" s="70"/>
      <c r="AB875" s="70"/>
      <c r="AC875" s="68"/>
      <c r="AD875" s="71"/>
      <c r="AE875" s="71"/>
      <c r="AF875" s="71"/>
      <c r="AG875" s="71"/>
      <c r="AH875" s="71"/>
      <c r="AI875" s="68"/>
      <c r="AJ875" s="214">
        <v>2.0829999999999999E-4</v>
      </c>
      <c r="AK875" s="214">
        <v>1.724</v>
      </c>
      <c r="AL875" s="214">
        <v>4</v>
      </c>
      <c r="AM875" s="214">
        <v>1.392796E-3</v>
      </c>
      <c r="AN875" s="68"/>
      <c r="AO875" s="67"/>
      <c r="AP875" s="67"/>
      <c r="AQ875" s="67"/>
      <c r="AR875" s="67"/>
      <c r="AS875" s="67"/>
      <c r="AT875" s="68"/>
      <c r="AU875" s="49"/>
      <c r="AV875" s="50"/>
    </row>
    <row r="876" spans="1:48" ht="12.75" customHeight="1" x14ac:dyDescent="0.25">
      <c r="A876" s="72" t="s">
        <v>20</v>
      </c>
      <c r="B876" s="43" t="s">
        <v>889</v>
      </c>
      <c r="C876" s="44" t="s">
        <v>1030</v>
      </c>
      <c r="D876" s="45">
        <f>MROUND(MID($C876,6,3)/Basis!$E$3,0.5)</f>
        <v>23</v>
      </c>
      <c r="E876" s="45">
        <f>MROUND(MID($C876,9,3)/Basis!$E$3,0.5)</f>
        <v>64</v>
      </c>
      <c r="F876" s="124" t="s">
        <v>2948</v>
      </c>
      <c r="G876" s="45">
        <f>ROUND((ROUNDDOWN($F876/5,0)*5+3)/Basis!$E$3,1)</f>
        <v>9.1</v>
      </c>
      <c r="H876" s="120">
        <f>ROUND($P876*Basis!$E$2*((TaH-TrH)/LN(1/µ)/Basis!$E$7)^$N876*$AA$4*Glycol,0)</f>
        <v>4652</v>
      </c>
      <c r="I876" s="83">
        <f>ROUND(H876/(MID($C876,9,3)/Basis!$E$3/Basis!$E$9)*Basis!$E$11,0)</f>
        <v>870</v>
      </c>
      <c r="J876" s="123">
        <f>IF(Basis!$E$1=1,ROUND(H876/((TaH-TrH)*1.163)/3600,3),ROUND(H876/(500*(TaH-TrH)),2))</f>
        <v>0.47</v>
      </c>
      <c r="K876" s="84"/>
      <c r="L876" s="177">
        <f>CHOOSE(Basis!$E$1,((AJ876*(J876*3600/Basis!$E$5)^AK876*(((MID(C876,9,3)*10)-144)/1000)*AL876+AM876*(J876*3600/Basis!$E$5)^2)*0.0098)/Basis!$E$10,((AJ876*(J876/Basis!$E$5)^AK876*(((MID(C876,9,3)*10)-144)/1000)*AL876+AM876*(J876/Basis!$E$5)^2)*0.0098)/Basis!$E$10)</f>
        <v>2.6869165863682203E-2</v>
      </c>
      <c r="M876" s="85"/>
      <c r="N876" s="109">
        <v>1.472</v>
      </c>
      <c r="O876" s="68"/>
      <c r="P876" s="67">
        <v>2216</v>
      </c>
      <c r="Q876" s="68"/>
      <c r="R876" s="69"/>
      <c r="S876" s="69"/>
      <c r="T876" s="69"/>
      <c r="U876" s="69"/>
      <c r="V876" s="69"/>
      <c r="W876" s="68"/>
      <c r="X876" s="70"/>
      <c r="Y876" s="70"/>
      <c r="Z876" s="70"/>
      <c r="AA876" s="70"/>
      <c r="AB876" s="70"/>
      <c r="AC876" s="68"/>
      <c r="AD876" s="71"/>
      <c r="AE876" s="71"/>
      <c r="AF876" s="71"/>
      <c r="AG876" s="71"/>
      <c r="AH876" s="71"/>
      <c r="AI876" s="68"/>
      <c r="AJ876" s="214">
        <v>1.2760000000000001E-4</v>
      </c>
      <c r="AK876" s="214">
        <v>1.7219</v>
      </c>
      <c r="AL876" s="214">
        <v>4</v>
      </c>
      <c r="AM876" s="214">
        <v>5.1420100000000005E-4</v>
      </c>
      <c r="AN876" s="68"/>
      <c r="AO876" s="67"/>
      <c r="AP876" s="67"/>
      <c r="AQ876" s="67"/>
      <c r="AR876" s="67"/>
      <c r="AS876" s="67"/>
      <c r="AT876" s="68"/>
      <c r="AU876" s="49"/>
      <c r="AV876" s="50"/>
    </row>
    <row r="877" spans="1:48" ht="12.75" customHeight="1" x14ac:dyDescent="0.25">
      <c r="A877" s="72" t="s">
        <v>20</v>
      </c>
      <c r="B877" s="43" t="s">
        <v>889</v>
      </c>
      <c r="C877" s="44" t="s">
        <v>1031</v>
      </c>
      <c r="D877" s="45">
        <f>MROUND(MID($C877,6,3)/Basis!$E$3,0.5)</f>
        <v>23</v>
      </c>
      <c r="E877" s="45">
        <f>MROUND(MID($C877,9,3)/Basis!$E$3,0.5)</f>
        <v>64</v>
      </c>
      <c r="F877" s="124" t="s">
        <v>2948</v>
      </c>
      <c r="G877" s="45">
        <f>ROUND((ROUNDDOWN($F877/5,0)*5+3)/Basis!$E$3,1)</f>
        <v>9.1</v>
      </c>
      <c r="H877" s="120">
        <f>ROUND($P877*Basis!$E$2*((TaH-TrH)/LN(1/µ)/Basis!$E$7)^$N877*$AA$4*Glycol,0)</f>
        <v>6664</v>
      </c>
      <c r="I877" s="83">
        <f>ROUND(H877/(MID($C877,9,3)/Basis!$E$3/Basis!$E$9)*Basis!$E$11,0)</f>
        <v>1246</v>
      </c>
      <c r="J877" s="123">
        <f>IF(Basis!$E$1=1,ROUND(H877/((TaH-TrH)*1.163)/3600,3),ROUND(H877/(500*(TaH-TrH)),2))</f>
        <v>0.67</v>
      </c>
      <c r="K877" s="84"/>
      <c r="L877" s="177">
        <f>CHOOSE(Basis!$E$1,((AJ877*(J877*3600/Basis!$E$5)^AK877*(((MID(C877,9,3)*10)-144)/1000)*AL877+AM877*(J877*3600/Basis!$E$5)^2)*0.0098)/Basis!$E$10,((AJ877*(J877/Basis!$E$5)^AK877*(((MID(C877,9,3)*10)-144)/1000)*AL877+AM877*(J877/Basis!$E$5)^2)*0.0098)/Basis!$E$10)</f>
        <v>5.3130742738366953E-2</v>
      </c>
      <c r="M877" s="85"/>
      <c r="N877" s="109">
        <v>1.48</v>
      </c>
      <c r="O877" s="68"/>
      <c r="P877" s="67">
        <v>3183</v>
      </c>
      <c r="Q877" s="68"/>
      <c r="R877" s="69"/>
      <c r="S877" s="69"/>
      <c r="T877" s="69"/>
      <c r="U877" s="69"/>
      <c r="V877" s="69"/>
      <c r="W877" s="68"/>
      <c r="X877" s="70"/>
      <c r="Y877" s="70"/>
      <c r="Z877" s="70"/>
      <c r="AA877" s="70"/>
      <c r="AB877" s="70"/>
      <c r="AC877" s="68"/>
      <c r="AD877" s="71"/>
      <c r="AE877" s="71"/>
      <c r="AF877" s="71"/>
      <c r="AG877" s="71"/>
      <c r="AH877" s="71"/>
      <c r="AI877" s="68"/>
      <c r="AJ877" s="214">
        <v>1.2760000000000001E-4</v>
      </c>
      <c r="AK877" s="214">
        <v>1.7219</v>
      </c>
      <c r="AL877" s="214">
        <v>4</v>
      </c>
      <c r="AM877" s="214">
        <v>5.1420100000000005E-4</v>
      </c>
      <c r="AN877" s="68"/>
      <c r="AO877" s="67"/>
      <c r="AP877" s="67"/>
      <c r="AQ877" s="67"/>
      <c r="AR877" s="67"/>
      <c r="AS877" s="67"/>
      <c r="AT877" s="68"/>
      <c r="AU877" s="49"/>
      <c r="AV877" s="50"/>
    </row>
    <row r="878" spans="1:48" ht="12.75" customHeight="1" x14ac:dyDescent="0.25">
      <c r="A878" s="72" t="s">
        <v>20</v>
      </c>
      <c r="B878" s="43" t="s">
        <v>889</v>
      </c>
      <c r="C878" s="44" t="s">
        <v>1032</v>
      </c>
      <c r="D878" s="45">
        <f>MROUND(MID($C878,6,3)/Basis!$E$3,0.5)</f>
        <v>23</v>
      </c>
      <c r="E878" s="45">
        <f>MROUND(MID($C878,9,3)/Basis!$E$3,0.5)</f>
        <v>64</v>
      </c>
      <c r="F878" s="124" t="s">
        <v>2948</v>
      </c>
      <c r="G878" s="45">
        <f>ROUND((ROUNDDOWN($F878/5,0)*5+3)/Basis!$E$3,1)</f>
        <v>9.1</v>
      </c>
      <c r="H878" s="120">
        <f>ROUND($P878*Basis!$E$2*((TaH-TrH)/LN(1/µ)/Basis!$E$7)^$N878*$AA$4*Glycol,0)</f>
        <v>6093</v>
      </c>
      <c r="I878" s="83">
        <f>ROUND(H878/(MID($C878,9,3)/Basis!$E$3/Basis!$E$9)*Basis!$E$11,0)</f>
        <v>1139</v>
      </c>
      <c r="J878" s="123">
        <f>IF(Basis!$E$1=1,ROUND(H878/((TaH-TrH)*1.163)/3600,3),ROUND(H878/(500*(TaH-TrH)),2))</f>
        <v>0.61</v>
      </c>
      <c r="K878" s="84"/>
      <c r="L878" s="177">
        <f>CHOOSE(Basis!$E$1,((AJ878*(J878*3600/Basis!$E$5)^AK878*(((MID(C878,9,3)*10)-144)/1000)*AL878+AM878*(J878*3600/Basis!$E$5)^2)*0.0098)/Basis!$E$10,((AJ878*(J878/Basis!$E$5)^AK878*(((MID(C878,9,3)*10)-144)/1000)*AL878+AM878*(J878/Basis!$E$5)^2)*0.0098)/Basis!$E$10)</f>
        <v>4.4351969685215542E-2</v>
      </c>
      <c r="M878" s="85"/>
      <c r="N878" s="109">
        <v>1.484</v>
      </c>
      <c r="O878" s="68"/>
      <c r="P878" s="67">
        <v>2914</v>
      </c>
      <c r="Q878" s="68"/>
      <c r="R878" s="69"/>
      <c r="S878" s="69"/>
      <c r="T878" s="69"/>
      <c r="U878" s="69"/>
      <c r="V878" s="69"/>
      <c r="W878" s="68"/>
      <c r="X878" s="70"/>
      <c r="Y878" s="70"/>
      <c r="Z878" s="70"/>
      <c r="AA878" s="70"/>
      <c r="AB878" s="70"/>
      <c r="AC878" s="68"/>
      <c r="AD878" s="71"/>
      <c r="AE878" s="71"/>
      <c r="AF878" s="71"/>
      <c r="AG878" s="71"/>
      <c r="AH878" s="71"/>
      <c r="AI878" s="68"/>
      <c r="AJ878" s="214">
        <v>1.2760000000000001E-4</v>
      </c>
      <c r="AK878" s="214">
        <v>1.7219</v>
      </c>
      <c r="AL878" s="214">
        <v>4</v>
      </c>
      <c r="AM878" s="214">
        <v>5.1420100000000005E-4</v>
      </c>
      <c r="AN878" s="68"/>
      <c r="AO878" s="67"/>
      <c r="AP878" s="67"/>
      <c r="AQ878" s="67"/>
      <c r="AR878" s="67"/>
      <c r="AS878" s="67"/>
      <c r="AT878" s="68"/>
      <c r="AU878" s="49"/>
      <c r="AV878" s="50"/>
    </row>
    <row r="879" spans="1:48" ht="12.75" customHeight="1" x14ac:dyDescent="0.25">
      <c r="A879" s="72" t="s">
        <v>20</v>
      </c>
      <c r="B879" s="43" t="s">
        <v>889</v>
      </c>
      <c r="C879" s="44" t="s">
        <v>1033</v>
      </c>
      <c r="D879" s="45">
        <f>MROUND(MID($C879,6,3)/Basis!$E$3,0.5)</f>
        <v>23</v>
      </c>
      <c r="E879" s="45">
        <f>MROUND(MID($C879,9,3)/Basis!$E$3,0.5)</f>
        <v>64</v>
      </c>
      <c r="F879" s="124" t="s">
        <v>2948</v>
      </c>
      <c r="G879" s="45">
        <f>ROUND((ROUNDDOWN($F879/5,0)*5+3)/Basis!$E$3,1)</f>
        <v>9.1</v>
      </c>
      <c r="H879" s="120">
        <f>ROUND($P879*Basis!$E$2*((TaH-TrH)/LN(1/µ)/Basis!$E$7)^$N879*$AA$4*Glycol,0)</f>
        <v>8168</v>
      </c>
      <c r="I879" s="83">
        <f>ROUND(H879/(MID($C879,9,3)/Basis!$E$3/Basis!$E$9)*Basis!$E$11,0)</f>
        <v>1527</v>
      </c>
      <c r="J879" s="123">
        <f>IF(Basis!$E$1=1,ROUND(H879/((TaH-TrH)*1.163)/3600,3),ROUND(H879/(500*(TaH-TrH)),2))</f>
        <v>0.82</v>
      </c>
      <c r="K879" s="84"/>
      <c r="L879" s="177">
        <f>CHOOSE(Basis!$E$1,((AJ879*(J879*3600/Basis!$E$5)^AK879*(((MID(C879,9,3)*10)-144)/1000)*AL879+AM879*(J879*3600/Basis!$E$5)^2)*0.0098)/Basis!$E$10,((AJ879*(J879/Basis!$E$5)^AK879*(((MID(C879,9,3)*10)-144)/1000)*AL879+AM879*(J879/Basis!$E$5)^2)*0.0098)/Basis!$E$10)</f>
        <v>7.8421806188635271E-2</v>
      </c>
      <c r="M879" s="85"/>
      <c r="N879" s="109">
        <v>1.492</v>
      </c>
      <c r="O879" s="68"/>
      <c r="P879" s="67">
        <v>3917</v>
      </c>
      <c r="Q879" s="68"/>
      <c r="R879" s="69"/>
      <c r="S879" s="69"/>
      <c r="T879" s="69"/>
      <c r="U879" s="69"/>
      <c r="V879" s="69"/>
      <c r="W879" s="68"/>
      <c r="X879" s="70"/>
      <c r="Y879" s="70"/>
      <c r="Z879" s="70"/>
      <c r="AA879" s="70"/>
      <c r="AB879" s="70"/>
      <c r="AC879" s="68"/>
      <c r="AD879" s="71"/>
      <c r="AE879" s="71"/>
      <c r="AF879" s="71"/>
      <c r="AG879" s="71"/>
      <c r="AH879" s="71"/>
      <c r="AI879" s="68"/>
      <c r="AJ879" s="214">
        <v>1.2760000000000001E-4</v>
      </c>
      <c r="AK879" s="214">
        <v>1.7219</v>
      </c>
      <c r="AL879" s="214">
        <v>4</v>
      </c>
      <c r="AM879" s="214">
        <v>5.1420100000000005E-4</v>
      </c>
      <c r="AN879" s="68"/>
      <c r="AO879" s="67"/>
      <c r="AP879" s="67"/>
      <c r="AQ879" s="67"/>
      <c r="AR879" s="67"/>
      <c r="AS879" s="67"/>
      <c r="AT879" s="68"/>
      <c r="AU879" s="49"/>
      <c r="AV879" s="50"/>
    </row>
    <row r="880" spans="1:48" ht="12.75" customHeight="1" x14ac:dyDescent="0.25">
      <c r="A880" s="72" t="s">
        <v>20</v>
      </c>
      <c r="B880" s="43" t="s">
        <v>889</v>
      </c>
      <c r="C880" s="44" t="s">
        <v>1034</v>
      </c>
      <c r="D880" s="45">
        <f>MROUND(MID($C880,6,3)/Basis!$E$3,0.5)</f>
        <v>23</v>
      </c>
      <c r="E880" s="45">
        <f>MROUND(MID($C880,9,3)/Basis!$E$3,0.5)</f>
        <v>72</v>
      </c>
      <c r="F880" s="124" t="s">
        <v>2946</v>
      </c>
      <c r="G880" s="45">
        <f>ROUND((ROUNDDOWN($F880/5,0)*5+3)/Basis!$E$3,1)</f>
        <v>5.0999999999999996</v>
      </c>
      <c r="H880" s="120">
        <f>ROUND($P880*Basis!$E$2*((TaH-TrH)/LN(1/µ)/Basis!$E$7)^$N880*$AA$4*Glycol,0)</f>
        <v>3072</v>
      </c>
      <c r="I880" s="83">
        <f>ROUND(H880/(MID($C880,9,3)/Basis!$E$3/Basis!$E$9)*Basis!$E$11,0)</f>
        <v>512</v>
      </c>
      <c r="J880" s="123">
        <f>IF(Basis!$E$1=1,ROUND(H880/((TaH-TrH)*1.163)/3600,3),ROUND(H880/(500*(TaH-TrH)),2))</f>
        <v>0.31</v>
      </c>
      <c r="K880" s="84"/>
      <c r="L880" s="177">
        <f>CHOOSE(Basis!$E$1,((AJ880*(J880*3600/Basis!$E$5)^AK880*(((MID(C880,9,3)*10)-144)/1000)*AL880+AM880*(J880*3600/Basis!$E$5)^2)*0.0098)/Basis!$E$10,((AJ880*(J880/Basis!$E$5)^AK880*(((MID(C880,9,3)*10)-144)/1000)*AL880+AM880*(J880/Basis!$E$5)^2)*0.0098)/Basis!$E$10)</f>
        <v>2.3336994530145233E-2</v>
      </c>
      <c r="M880" s="85"/>
      <c r="N880" s="109">
        <v>1.44</v>
      </c>
      <c r="O880" s="68"/>
      <c r="P880" s="67">
        <v>1448</v>
      </c>
      <c r="Q880" s="68"/>
      <c r="R880" s="69"/>
      <c r="S880" s="69"/>
      <c r="T880" s="69"/>
      <c r="U880" s="69"/>
      <c r="V880" s="69"/>
      <c r="W880" s="68"/>
      <c r="X880" s="70"/>
      <c r="Y880" s="70"/>
      <c r="Z880" s="70"/>
      <c r="AA880" s="70"/>
      <c r="AB880" s="70"/>
      <c r="AC880" s="68"/>
      <c r="AD880" s="71"/>
      <c r="AE880" s="71"/>
      <c r="AF880" s="71"/>
      <c r="AG880" s="71"/>
      <c r="AH880" s="71"/>
      <c r="AI880" s="68"/>
      <c r="AJ880" s="214">
        <v>3.9689999999999994E-4</v>
      </c>
      <c r="AK880" s="214">
        <v>1.7345999999999999</v>
      </c>
      <c r="AL880" s="214">
        <v>4</v>
      </c>
      <c r="AM880" s="214">
        <v>5.7428799999999995E-4</v>
      </c>
      <c r="AN880" s="68"/>
      <c r="AO880" s="67"/>
      <c r="AP880" s="67"/>
      <c r="AQ880" s="67"/>
      <c r="AR880" s="67"/>
      <c r="AS880" s="67"/>
      <c r="AT880" s="68"/>
      <c r="AU880" s="49"/>
      <c r="AV880" s="50"/>
    </row>
    <row r="881" spans="1:48" ht="12.75" customHeight="1" x14ac:dyDescent="0.25">
      <c r="A881" s="72" t="s">
        <v>20</v>
      </c>
      <c r="B881" s="43" t="s">
        <v>889</v>
      </c>
      <c r="C881" s="44" t="s">
        <v>1035</v>
      </c>
      <c r="D881" s="45">
        <f>MROUND(MID($C881,6,3)/Basis!$E$3,0.5)</f>
        <v>23</v>
      </c>
      <c r="E881" s="45">
        <f>MROUND(MID($C881,9,3)/Basis!$E$3,0.5)</f>
        <v>72</v>
      </c>
      <c r="F881" s="124" t="s">
        <v>2946</v>
      </c>
      <c r="G881" s="45">
        <f>ROUND((ROUNDDOWN($F881/5,0)*5+3)/Basis!$E$3,1)</f>
        <v>5.0999999999999996</v>
      </c>
      <c r="H881" s="120">
        <f>ROUND($P881*Basis!$E$2*((TaH-TrH)/LN(1/µ)/Basis!$E$7)^$N881*$AA$4*Glycol,0)</f>
        <v>4045</v>
      </c>
      <c r="I881" s="83">
        <f>ROUND(H881/(MID($C881,9,3)/Basis!$E$3/Basis!$E$9)*Basis!$E$11,0)</f>
        <v>674</v>
      </c>
      <c r="J881" s="123">
        <f>IF(Basis!$E$1=1,ROUND(H881/((TaH-TrH)*1.163)/3600,3),ROUND(H881/(500*(TaH-TrH)),2))</f>
        <v>0.4</v>
      </c>
      <c r="K881" s="84"/>
      <c r="L881" s="177">
        <f>CHOOSE(Basis!$E$1,((AJ881*(J881*3600/Basis!$E$5)^AK881*(((MID(C881,9,3)*10)-144)/1000)*AL881+AM881*(J881*3600/Basis!$E$5)^2)*0.0098)/Basis!$E$10,((AJ881*(J881/Basis!$E$5)^AK881*(((MID(C881,9,3)*10)-144)/1000)*AL881+AM881*(J881/Basis!$E$5)^2)*0.0098)/Basis!$E$10)</f>
        <v>3.7326772674336491E-2</v>
      </c>
      <c r="M881" s="85"/>
      <c r="N881" s="109">
        <v>1.4390000000000001</v>
      </c>
      <c r="O881" s="68"/>
      <c r="P881" s="67">
        <v>1906</v>
      </c>
      <c r="Q881" s="68"/>
      <c r="R881" s="69"/>
      <c r="S881" s="69"/>
      <c r="T881" s="69"/>
      <c r="U881" s="69"/>
      <c r="V881" s="69"/>
      <c r="W881" s="68"/>
      <c r="X881" s="70"/>
      <c r="Y881" s="70"/>
      <c r="Z881" s="70"/>
      <c r="AA881" s="70"/>
      <c r="AB881" s="70"/>
      <c r="AC881" s="68"/>
      <c r="AD881" s="71"/>
      <c r="AE881" s="71"/>
      <c r="AF881" s="71"/>
      <c r="AG881" s="71"/>
      <c r="AH881" s="71"/>
      <c r="AI881" s="68"/>
      <c r="AJ881" s="214">
        <v>3.9689999999999994E-4</v>
      </c>
      <c r="AK881" s="214">
        <v>1.7345999999999999</v>
      </c>
      <c r="AL881" s="214">
        <v>4</v>
      </c>
      <c r="AM881" s="214">
        <v>5.7428799999999995E-4</v>
      </c>
      <c r="AN881" s="68"/>
      <c r="AO881" s="67"/>
      <c r="AP881" s="67"/>
      <c r="AQ881" s="67"/>
      <c r="AR881" s="67"/>
      <c r="AS881" s="67"/>
      <c r="AT881" s="68"/>
      <c r="AU881" s="49"/>
      <c r="AV881" s="50"/>
    </row>
    <row r="882" spans="1:48" ht="12.75" customHeight="1" x14ac:dyDescent="0.25">
      <c r="A882" s="72" t="s">
        <v>20</v>
      </c>
      <c r="B882" s="43" t="s">
        <v>889</v>
      </c>
      <c r="C882" s="44" t="s">
        <v>1036</v>
      </c>
      <c r="D882" s="45">
        <f>MROUND(MID($C882,6,3)/Basis!$E$3,0.5)</f>
        <v>23</v>
      </c>
      <c r="E882" s="45">
        <f>MROUND(MID($C882,9,3)/Basis!$E$3,0.5)</f>
        <v>72</v>
      </c>
      <c r="F882" s="124" t="s">
        <v>2946</v>
      </c>
      <c r="G882" s="45">
        <f>ROUND((ROUNDDOWN($F882/5,0)*5+3)/Basis!$E$3,1)</f>
        <v>5.0999999999999996</v>
      </c>
      <c r="H882" s="120">
        <f>ROUND($P882*Basis!$E$2*((TaH-TrH)/LN(1/µ)/Basis!$E$7)^$N882*$AA$4*Glycol,0)</f>
        <v>3721</v>
      </c>
      <c r="I882" s="83">
        <f>ROUND(H882/(MID($C882,9,3)/Basis!$E$3/Basis!$E$9)*Basis!$E$11,0)</f>
        <v>620</v>
      </c>
      <c r="J882" s="123">
        <f>IF(Basis!$E$1=1,ROUND(H882/((TaH-TrH)*1.163)/3600,3),ROUND(H882/(500*(TaH-TrH)),2))</f>
        <v>0.37</v>
      </c>
      <c r="K882" s="84"/>
      <c r="L882" s="177">
        <f>CHOOSE(Basis!$E$1,((AJ882*(J882*3600/Basis!$E$5)^AK882*(((MID(C882,9,3)*10)-144)/1000)*AL882+AM882*(J882*3600/Basis!$E$5)^2)*0.0098)/Basis!$E$10,((AJ882*(J882/Basis!$E$5)^AK882*(((MID(C882,9,3)*10)-144)/1000)*AL882+AM882*(J882/Basis!$E$5)^2)*0.0098)/Basis!$E$10)</f>
        <v>3.2328188654203407E-2</v>
      </c>
      <c r="M882" s="85"/>
      <c r="N882" s="109">
        <v>1.4379999999999999</v>
      </c>
      <c r="O882" s="68"/>
      <c r="P882" s="67">
        <v>1753</v>
      </c>
      <c r="Q882" s="68"/>
      <c r="R882" s="69"/>
      <c r="S882" s="69"/>
      <c r="T882" s="69"/>
      <c r="U882" s="69"/>
      <c r="V882" s="69"/>
      <c r="W882" s="68"/>
      <c r="X882" s="70"/>
      <c r="Y882" s="70"/>
      <c r="Z882" s="70"/>
      <c r="AA882" s="70"/>
      <c r="AB882" s="70"/>
      <c r="AC882" s="68"/>
      <c r="AD882" s="71"/>
      <c r="AE882" s="71"/>
      <c r="AF882" s="71"/>
      <c r="AG882" s="71"/>
      <c r="AH882" s="71"/>
      <c r="AI882" s="68"/>
      <c r="AJ882" s="214">
        <v>3.9689999999999994E-4</v>
      </c>
      <c r="AK882" s="214">
        <v>1.7345999999999999</v>
      </c>
      <c r="AL882" s="214">
        <v>4</v>
      </c>
      <c r="AM882" s="214">
        <v>5.7428799999999995E-4</v>
      </c>
      <c r="AN882" s="68"/>
      <c r="AO882" s="67"/>
      <c r="AP882" s="67"/>
      <c r="AQ882" s="67"/>
      <c r="AR882" s="67"/>
      <c r="AS882" s="67"/>
      <c r="AT882" s="68"/>
      <c r="AU882" s="49"/>
      <c r="AV882" s="50"/>
    </row>
    <row r="883" spans="1:48" ht="12.75" customHeight="1" x14ac:dyDescent="0.25">
      <c r="A883" s="72" t="s">
        <v>20</v>
      </c>
      <c r="B883" s="43" t="s">
        <v>889</v>
      </c>
      <c r="C883" s="44" t="s">
        <v>1037</v>
      </c>
      <c r="D883" s="45">
        <f>MROUND(MID($C883,6,3)/Basis!$E$3,0.5)</f>
        <v>23</v>
      </c>
      <c r="E883" s="45">
        <f>MROUND(MID($C883,9,3)/Basis!$E$3,0.5)</f>
        <v>72</v>
      </c>
      <c r="F883" s="124" t="s">
        <v>2946</v>
      </c>
      <c r="G883" s="45">
        <f>ROUND((ROUNDDOWN($F883/5,0)*5+3)/Basis!$E$3,1)</f>
        <v>5.0999999999999996</v>
      </c>
      <c r="H883" s="120">
        <f>ROUND($P883*Basis!$E$2*((TaH-TrH)/LN(1/µ)/Basis!$E$7)^$N883*$AA$4*Glycol,0)</f>
        <v>4663</v>
      </c>
      <c r="I883" s="83">
        <f>ROUND(H883/(MID($C883,9,3)/Basis!$E$3/Basis!$E$9)*Basis!$E$11,0)</f>
        <v>777</v>
      </c>
      <c r="J883" s="123">
        <f>IF(Basis!$E$1=1,ROUND(H883/((TaH-TrH)*1.163)/3600,3),ROUND(H883/(500*(TaH-TrH)),2))</f>
        <v>0.47</v>
      </c>
      <c r="K883" s="84"/>
      <c r="L883" s="177">
        <f>CHOOSE(Basis!$E$1,((AJ883*(J883*3600/Basis!$E$5)^AK883*(((MID(C883,9,3)*10)-144)/1000)*AL883+AM883*(J883*3600/Basis!$E$5)^2)*0.0098)/Basis!$E$10,((AJ883*(J883/Basis!$E$5)^AK883*(((MID(C883,9,3)*10)-144)/1000)*AL883+AM883*(J883/Basis!$E$5)^2)*0.0098)/Basis!$E$10)</f>
        <v>5.0271619214348175E-2</v>
      </c>
      <c r="M883" s="85"/>
      <c r="N883" s="109">
        <v>1.4370000000000001</v>
      </c>
      <c r="O883" s="68"/>
      <c r="P883" s="67">
        <v>2196</v>
      </c>
      <c r="Q883" s="68"/>
      <c r="R883" s="69"/>
      <c r="S883" s="69"/>
      <c r="T883" s="69"/>
      <c r="U883" s="69"/>
      <c r="V883" s="69"/>
      <c r="W883" s="68"/>
      <c r="X883" s="70"/>
      <c r="Y883" s="70"/>
      <c r="Z883" s="70"/>
      <c r="AA883" s="70"/>
      <c r="AB883" s="70"/>
      <c r="AC883" s="68"/>
      <c r="AD883" s="71"/>
      <c r="AE883" s="71"/>
      <c r="AF883" s="71"/>
      <c r="AG883" s="71"/>
      <c r="AH883" s="71"/>
      <c r="AI883" s="68"/>
      <c r="AJ883" s="214">
        <v>3.9689999999999994E-4</v>
      </c>
      <c r="AK883" s="214">
        <v>1.7345999999999999</v>
      </c>
      <c r="AL883" s="214">
        <v>4</v>
      </c>
      <c r="AM883" s="214">
        <v>5.7428799999999995E-4</v>
      </c>
      <c r="AN883" s="68"/>
      <c r="AO883" s="67"/>
      <c r="AP883" s="67"/>
      <c r="AQ883" s="67"/>
      <c r="AR883" s="67"/>
      <c r="AS883" s="67"/>
      <c r="AT883" s="68"/>
      <c r="AU883" s="49"/>
      <c r="AV883" s="50"/>
    </row>
    <row r="884" spans="1:48" ht="12.75" customHeight="1" x14ac:dyDescent="0.25">
      <c r="A884" s="72" t="s">
        <v>20</v>
      </c>
      <c r="B884" s="43" t="s">
        <v>889</v>
      </c>
      <c r="C884" s="44" t="s">
        <v>1038</v>
      </c>
      <c r="D884" s="45">
        <f>MROUND(MID($C884,6,3)/Basis!$E$3,0.5)</f>
        <v>23</v>
      </c>
      <c r="E884" s="45">
        <f>MROUND(MID($C884,9,3)/Basis!$E$3,0.5)</f>
        <v>72</v>
      </c>
      <c r="F884" s="124" t="s">
        <v>2947</v>
      </c>
      <c r="G884" s="45">
        <f>ROUND((ROUNDDOWN($F884/5,0)*5+3)/Basis!$E$3,1)</f>
        <v>7.1</v>
      </c>
      <c r="H884" s="120">
        <f>ROUND($P884*Basis!$E$2*((TaH-TrH)/LN(1/µ)/Basis!$E$7)^$N884*$AA$4*Glycol,0)</f>
        <v>4211</v>
      </c>
      <c r="I884" s="83">
        <f>ROUND(H884/(MID($C884,9,3)/Basis!$E$3/Basis!$E$9)*Basis!$E$11,0)</f>
        <v>701</v>
      </c>
      <c r="J884" s="123">
        <f>IF(Basis!$E$1=1,ROUND(H884/((TaH-TrH)*1.163)/3600,3),ROUND(H884/(500*(TaH-TrH)),2))</f>
        <v>0.42</v>
      </c>
      <c r="K884" s="84"/>
      <c r="L884" s="177">
        <f>CHOOSE(Basis!$E$1,((AJ884*(J884*3600/Basis!$E$5)^AK884*(((MID(C884,9,3)*10)-144)/1000)*AL884+AM884*(J884*3600/Basis!$E$5)^2)*0.0098)/Basis!$E$10,((AJ884*(J884/Basis!$E$5)^AK884*(((MID(C884,9,3)*10)-144)/1000)*AL884+AM884*(J884/Basis!$E$5)^2)*0.0098)/Basis!$E$10)</f>
        <v>5.331999372953538E-2</v>
      </c>
      <c r="M884" s="85"/>
      <c r="N884" s="109">
        <v>1.4570000000000001</v>
      </c>
      <c r="O884" s="68"/>
      <c r="P884" s="67">
        <v>1996</v>
      </c>
      <c r="Q884" s="68"/>
      <c r="R884" s="69"/>
      <c r="S884" s="69"/>
      <c r="T884" s="69"/>
      <c r="U884" s="69"/>
      <c r="V884" s="69"/>
      <c r="W884" s="68"/>
      <c r="X884" s="70"/>
      <c r="Y884" s="70"/>
      <c r="Z884" s="70"/>
      <c r="AA884" s="70"/>
      <c r="AB884" s="70"/>
      <c r="AC884" s="68"/>
      <c r="AD884" s="71"/>
      <c r="AE884" s="71"/>
      <c r="AF884" s="71"/>
      <c r="AG884" s="71"/>
      <c r="AH884" s="71"/>
      <c r="AI884" s="68"/>
      <c r="AJ884" s="214">
        <v>2.0829999999999999E-4</v>
      </c>
      <c r="AK884" s="214">
        <v>1.724</v>
      </c>
      <c r="AL884" s="214">
        <v>4</v>
      </c>
      <c r="AM884" s="214">
        <v>1.392796E-3</v>
      </c>
      <c r="AN884" s="68"/>
      <c r="AO884" s="67"/>
      <c r="AP884" s="67"/>
      <c r="AQ884" s="67"/>
      <c r="AR884" s="67"/>
      <c r="AS884" s="67"/>
      <c r="AT884" s="68"/>
      <c r="AU884" s="49"/>
      <c r="AV884" s="50"/>
    </row>
    <row r="885" spans="1:48" ht="12.75" customHeight="1" x14ac:dyDescent="0.25">
      <c r="A885" s="72" t="s">
        <v>20</v>
      </c>
      <c r="B885" s="43" t="s">
        <v>889</v>
      </c>
      <c r="C885" s="44" t="s">
        <v>1039</v>
      </c>
      <c r="D885" s="45">
        <f>MROUND(MID($C885,6,3)/Basis!$E$3,0.5)</f>
        <v>23</v>
      </c>
      <c r="E885" s="45">
        <f>MROUND(MID($C885,9,3)/Basis!$E$3,0.5)</f>
        <v>72</v>
      </c>
      <c r="F885" s="124" t="s">
        <v>2947</v>
      </c>
      <c r="G885" s="45">
        <f>ROUND((ROUNDDOWN($F885/5,0)*5+3)/Basis!$E$3,1)</f>
        <v>7.1</v>
      </c>
      <c r="H885" s="120">
        <f>ROUND($P885*Basis!$E$2*((TaH-TrH)/LN(1/µ)/Basis!$E$7)^$N885*$AA$4*Glycol,0)</f>
        <v>5905</v>
      </c>
      <c r="I885" s="83">
        <f>ROUND(H885/(MID($C885,9,3)/Basis!$E$3/Basis!$E$9)*Basis!$E$11,0)</f>
        <v>984</v>
      </c>
      <c r="J885" s="123">
        <f>IF(Basis!$E$1=1,ROUND(H885/((TaH-TrH)*1.163)/3600,3),ROUND(H885/(500*(TaH-TrH)),2))</f>
        <v>0.59</v>
      </c>
      <c r="K885" s="84"/>
      <c r="L885" s="177">
        <f>CHOOSE(Basis!$E$1,((AJ885*(J885*3600/Basis!$E$5)^AK885*(((MID(C885,9,3)*10)-144)/1000)*AL885+AM885*(J885*3600/Basis!$E$5)^2)*0.0098)/Basis!$E$10,((AJ885*(J885/Basis!$E$5)^AK885*(((MID(C885,9,3)*10)-144)/1000)*AL885+AM885*(J885/Basis!$E$5)^2)*0.0098)/Basis!$E$10)</f>
        <v>0.10312031369458638</v>
      </c>
      <c r="M885" s="85"/>
      <c r="N885" s="109">
        <v>1.462</v>
      </c>
      <c r="O885" s="68"/>
      <c r="P885" s="67">
        <v>2804</v>
      </c>
      <c r="Q885" s="68"/>
      <c r="R885" s="69"/>
      <c r="S885" s="69"/>
      <c r="T885" s="69"/>
      <c r="U885" s="69"/>
      <c r="V885" s="69"/>
      <c r="W885" s="68"/>
      <c r="X885" s="70"/>
      <c r="Y885" s="70"/>
      <c r="Z885" s="70"/>
      <c r="AA885" s="70"/>
      <c r="AB885" s="70"/>
      <c r="AC885" s="68"/>
      <c r="AD885" s="71"/>
      <c r="AE885" s="71"/>
      <c r="AF885" s="71"/>
      <c r="AG885" s="71"/>
      <c r="AH885" s="71"/>
      <c r="AI885" s="68"/>
      <c r="AJ885" s="214">
        <v>2.0829999999999999E-4</v>
      </c>
      <c r="AK885" s="214">
        <v>1.724</v>
      </c>
      <c r="AL885" s="214">
        <v>4</v>
      </c>
      <c r="AM885" s="214">
        <v>1.392796E-3</v>
      </c>
      <c r="AN885" s="68"/>
      <c r="AO885" s="67"/>
      <c r="AP885" s="67"/>
      <c r="AQ885" s="67"/>
      <c r="AR885" s="67"/>
      <c r="AS885" s="67"/>
      <c r="AT885" s="68"/>
      <c r="AU885" s="49"/>
      <c r="AV885" s="50"/>
    </row>
    <row r="886" spans="1:48" ht="12.75" customHeight="1" x14ac:dyDescent="0.25">
      <c r="A886" s="72" t="s">
        <v>20</v>
      </c>
      <c r="B886" s="43" t="s">
        <v>889</v>
      </c>
      <c r="C886" s="44" t="s">
        <v>1040</v>
      </c>
      <c r="D886" s="45">
        <f>MROUND(MID($C886,6,3)/Basis!$E$3,0.5)</f>
        <v>23</v>
      </c>
      <c r="E886" s="45">
        <f>MROUND(MID($C886,9,3)/Basis!$E$3,0.5)</f>
        <v>72</v>
      </c>
      <c r="F886" s="124" t="s">
        <v>2947</v>
      </c>
      <c r="G886" s="45">
        <f>ROUND((ROUNDDOWN($F886/5,0)*5+3)/Basis!$E$3,1)</f>
        <v>7.1</v>
      </c>
      <c r="H886" s="120">
        <f>ROUND($P886*Basis!$E$2*((TaH-TrH)/LN(1/µ)/Basis!$E$7)^$N886*$AA$4*Glycol,0)</f>
        <v>5356</v>
      </c>
      <c r="I886" s="83">
        <f>ROUND(H886/(MID($C886,9,3)/Basis!$E$3/Basis!$E$9)*Basis!$E$11,0)</f>
        <v>892</v>
      </c>
      <c r="J886" s="123">
        <f>IF(Basis!$E$1=1,ROUND(H886/((TaH-TrH)*1.163)/3600,3),ROUND(H886/(500*(TaH-TrH)),2))</f>
        <v>0.54</v>
      </c>
      <c r="K886" s="84"/>
      <c r="L886" s="177">
        <f>CHOOSE(Basis!$E$1,((AJ886*(J886*3600/Basis!$E$5)^AK886*(((MID(C886,9,3)*10)-144)/1000)*AL886+AM886*(J886*3600/Basis!$E$5)^2)*0.0098)/Basis!$E$10,((AJ886*(J886/Basis!$E$5)^AK886*(((MID(C886,9,3)*10)-144)/1000)*AL886+AM886*(J886/Basis!$E$5)^2)*0.0098)/Basis!$E$10)</f>
        <v>8.6825256914465465E-2</v>
      </c>
      <c r="M886" s="85"/>
      <c r="N886" s="109">
        <v>1.464</v>
      </c>
      <c r="O886" s="68"/>
      <c r="P886" s="67">
        <v>2545</v>
      </c>
      <c r="Q886" s="68"/>
      <c r="R886" s="69"/>
      <c r="S886" s="69"/>
      <c r="T886" s="69"/>
      <c r="U886" s="69"/>
      <c r="V886" s="69"/>
      <c r="W886" s="68"/>
      <c r="X886" s="70"/>
      <c r="Y886" s="70"/>
      <c r="Z886" s="70"/>
      <c r="AA886" s="70"/>
      <c r="AB886" s="70"/>
      <c r="AC886" s="68"/>
      <c r="AD886" s="71"/>
      <c r="AE886" s="71"/>
      <c r="AF886" s="71"/>
      <c r="AG886" s="71"/>
      <c r="AH886" s="71"/>
      <c r="AI886" s="68"/>
      <c r="AJ886" s="214">
        <v>2.0829999999999999E-4</v>
      </c>
      <c r="AK886" s="214">
        <v>1.724</v>
      </c>
      <c r="AL886" s="214">
        <v>4</v>
      </c>
      <c r="AM886" s="214">
        <v>1.392796E-3</v>
      </c>
      <c r="AN886" s="68"/>
      <c r="AO886" s="67"/>
      <c r="AP886" s="67"/>
      <c r="AQ886" s="67"/>
      <c r="AR886" s="67"/>
      <c r="AS886" s="67"/>
      <c r="AT886" s="68"/>
      <c r="AU886" s="49"/>
      <c r="AV886" s="50"/>
    </row>
    <row r="887" spans="1:48" ht="12.75" customHeight="1" x14ac:dyDescent="0.25">
      <c r="A887" s="72" t="s">
        <v>20</v>
      </c>
      <c r="B887" s="43" t="s">
        <v>889</v>
      </c>
      <c r="C887" s="44" t="s">
        <v>1041</v>
      </c>
      <c r="D887" s="45">
        <f>MROUND(MID($C887,6,3)/Basis!$E$3,0.5)</f>
        <v>23</v>
      </c>
      <c r="E887" s="45">
        <f>MROUND(MID($C887,9,3)/Basis!$E$3,0.5)</f>
        <v>72</v>
      </c>
      <c r="F887" s="124" t="s">
        <v>2947</v>
      </c>
      <c r="G887" s="45">
        <f>ROUND((ROUNDDOWN($F887/5,0)*5+3)/Basis!$E$3,1)</f>
        <v>7.1</v>
      </c>
      <c r="H887" s="120">
        <f>ROUND($P887*Basis!$E$2*((TaH-TrH)/LN(1/µ)/Basis!$E$7)^$N887*$AA$4*Glycol,0)</f>
        <v>7058</v>
      </c>
      <c r="I887" s="83">
        <f>ROUND(H887/(MID($C887,9,3)/Basis!$E$3/Basis!$E$9)*Basis!$E$11,0)</f>
        <v>1176</v>
      </c>
      <c r="J887" s="123">
        <f>IF(Basis!$E$1=1,ROUND(H887/((TaH-TrH)*1.163)/3600,3),ROUND(H887/(500*(TaH-TrH)),2))</f>
        <v>0.71</v>
      </c>
      <c r="K887" s="84"/>
      <c r="L887" s="177">
        <f>CHOOSE(Basis!$E$1,((AJ887*(J887*3600/Basis!$E$5)^AK887*(((MID(C887,9,3)*10)-144)/1000)*AL887+AM887*(J887*3600/Basis!$E$5)^2)*0.0098)/Basis!$E$10,((AJ887*(J887/Basis!$E$5)^AK887*(((MID(C887,9,3)*10)-144)/1000)*AL887+AM887*(J887/Basis!$E$5)^2)*0.0098)/Basis!$E$10)</f>
        <v>0.14779364230486869</v>
      </c>
      <c r="M887" s="85"/>
      <c r="N887" s="109">
        <v>1.468</v>
      </c>
      <c r="O887" s="68"/>
      <c r="P887" s="67">
        <v>3358</v>
      </c>
      <c r="Q887" s="68"/>
      <c r="R887" s="69"/>
      <c r="S887" s="69"/>
      <c r="T887" s="69"/>
      <c r="U887" s="69"/>
      <c r="V887" s="69"/>
      <c r="W887" s="68"/>
      <c r="X887" s="70"/>
      <c r="Y887" s="70"/>
      <c r="Z887" s="70"/>
      <c r="AA887" s="70"/>
      <c r="AB887" s="70"/>
      <c r="AC887" s="68"/>
      <c r="AD887" s="71"/>
      <c r="AE887" s="71"/>
      <c r="AF887" s="71"/>
      <c r="AG887" s="71"/>
      <c r="AH887" s="71"/>
      <c r="AI887" s="68"/>
      <c r="AJ887" s="214">
        <v>2.0829999999999999E-4</v>
      </c>
      <c r="AK887" s="214">
        <v>1.724</v>
      </c>
      <c r="AL887" s="214">
        <v>4</v>
      </c>
      <c r="AM887" s="214">
        <v>1.392796E-3</v>
      </c>
      <c r="AN887" s="68"/>
      <c r="AO887" s="67"/>
      <c r="AP887" s="67"/>
      <c r="AQ887" s="67"/>
      <c r="AR887" s="67"/>
      <c r="AS887" s="67"/>
      <c r="AT887" s="68"/>
      <c r="AU887" s="49"/>
      <c r="AV887" s="50"/>
    </row>
    <row r="888" spans="1:48" ht="12.75" customHeight="1" x14ac:dyDescent="0.25">
      <c r="A888" s="72" t="s">
        <v>20</v>
      </c>
      <c r="B888" s="43" t="s">
        <v>889</v>
      </c>
      <c r="C888" s="44" t="s">
        <v>1042</v>
      </c>
      <c r="D888" s="45">
        <f>MROUND(MID($C888,6,3)/Basis!$E$3,0.5)</f>
        <v>23</v>
      </c>
      <c r="E888" s="45">
        <f>MROUND(MID($C888,9,3)/Basis!$E$3,0.5)</f>
        <v>72</v>
      </c>
      <c r="F888" s="124" t="s">
        <v>2948</v>
      </c>
      <c r="G888" s="45">
        <f>ROUND((ROUNDDOWN($F888/5,0)*5+3)/Basis!$E$3,1)</f>
        <v>9.1</v>
      </c>
      <c r="H888" s="120">
        <f>ROUND($P888*Basis!$E$2*((TaH-TrH)/LN(1/µ)/Basis!$E$7)^$N888*$AA$4*Glycol,0)</f>
        <v>5304</v>
      </c>
      <c r="I888" s="83">
        <f>ROUND(H888/(MID($C888,9,3)/Basis!$E$3/Basis!$E$9)*Basis!$E$11,0)</f>
        <v>883</v>
      </c>
      <c r="J888" s="123">
        <f>IF(Basis!$E$1=1,ROUND(H888/((TaH-TrH)*1.163)/3600,3),ROUND(H888/(500*(TaH-TrH)),2))</f>
        <v>0.53</v>
      </c>
      <c r="K888" s="84"/>
      <c r="L888" s="177">
        <f>CHOOSE(Basis!$E$1,((AJ888*(J888*3600/Basis!$E$5)^AK888*(((MID(C888,9,3)*10)-144)/1000)*AL888+AM888*(J888*3600/Basis!$E$5)^2)*0.0098)/Basis!$E$10,((AJ888*(J888/Basis!$E$5)^AK888*(((MID(C888,9,3)*10)-144)/1000)*AL888+AM888*(J888/Basis!$E$5)^2)*0.0098)/Basis!$E$10)</f>
        <v>3.5121330053234943E-2</v>
      </c>
      <c r="M888" s="85"/>
      <c r="N888" s="109">
        <v>1.472</v>
      </c>
      <c r="O888" s="68"/>
      <c r="P888" s="67">
        <v>2527</v>
      </c>
      <c r="Q888" s="68"/>
      <c r="R888" s="69"/>
      <c r="S888" s="69"/>
      <c r="T888" s="69"/>
      <c r="U888" s="69"/>
      <c r="V888" s="69"/>
      <c r="W888" s="68"/>
      <c r="X888" s="70"/>
      <c r="Y888" s="70"/>
      <c r="Z888" s="70"/>
      <c r="AA888" s="70"/>
      <c r="AB888" s="70"/>
      <c r="AC888" s="68"/>
      <c r="AD888" s="71"/>
      <c r="AE888" s="71"/>
      <c r="AF888" s="71"/>
      <c r="AG888" s="71"/>
      <c r="AH888" s="71"/>
      <c r="AI888" s="68"/>
      <c r="AJ888" s="214">
        <v>1.2760000000000001E-4</v>
      </c>
      <c r="AK888" s="214">
        <v>1.7219</v>
      </c>
      <c r="AL888" s="214">
        <v>4</v>
      </c>
      <c r="AM888" s="214">
        <v>5.1420100000000005E-4</v>
      </c>
      <c r="AN888" s="68"/>
      <c r="AO888" s="67"/>
      <c r="AP888" s="67"/>
      <c r="AQ888" s="67"/>
      <c r="AR888" s="67"/>
      <c r="AS888" s="67"/>
      <c r="AT888" s="68"/>
      <c r="AU888" s="49"/>
      <c r="AV888" s="50"/>
    </row>
    <row r="889" spans="1:48" ht="12.75" customHeight="1" x14ac:dyDescent="0.25">
      <c r="A889" s="72" t="s">
        <v>20</v>
      </c>
      <c r="B889" s="43" t="s">
        <v>889</v>
      </c>
      <c r="C889" s="44" t="s">
        <v>1043</v>
      </c>
      <c r="D889" s="45">
        <f>MROUND(MID($C889,6,3)/Basis!$E$3,0.5)</f>
        <v>23</v>
      </c>
      <c r="E889" s="45">
        <f>MROUND(MID($C889,9,3)/Basis!$E$3,0.5)</f>
        <v>72</v>
      </c>
      <c r="F889" s="124" t="s">
        <v>2948</v>
      </c>
      <c r="G889" s="45">
        <f>ROUND((ROUNDDOWN($F889/5,0)*5+3)/Basis!$E$3,1)</f>
        <v>9.1</v>
      </c>
      <c r="H889" s="120">
        <f>ROUND($P889*Basis!$E$2*((TaH-TrH)/LN(1/µ)/Basis!$E$7)^$N889*$AA$4*Glycol,0)</f>
        <v>7600</v>
      </c>
      <c r="I889" s="83">
        <f>ROUND(H889/(MID($C889,9,3)/Basis!$E$3/Basis!$E$9)*Basis!$E$11,0)</f>
        <v>1266</v>
      </c>
      <c r="J889" s="123">
        <f>IF(Basis!$E$1=1,ROUND(H889/((TaH-TrH)*1.163)/3600,3),ROUND(H889/(500*(TaH-TrH)),2))</f>
        <v>0.76</v>
      </c>
      <c r="K889" s="84"/>
      <c r="L889" s="177">
        <f>CHOOSE(Basis!$E$1,((AJ889*(J889*3600/Basis!$E$5)^AK889*(((MID(C889,9,3)*10)-144)/1000)*AL889+AM889*(J889*3600/Basis!$E$5)^2)*0.0098)/Basis!$E$10,((AJ889*(J889/Basis!$E$5)^AK889*(((MID(C889,9,3)*10)-144)/1000)*AL889+AM889*(J889/Basis!$E$5)^2)*0.0098)/Basis!$E$10)</f>
        <v>7.010812161388158E-2</v>
      </c>
      <c r="M889" s="85"/>
      <c r="N889" s="109">
        <v>1.48</v>
      </c>
      <c r="O889" s="68"/>
      <c r="P889" s="67">
        <v>3630</v>
      </c>
      <c r="Q889" s="68"/>
      <c r="R889" s="69"/>
      <c r="S889" s="69"/>
      <c r="T889" s="69"/>
      <c r="U889" s="69"/>
      <c r="V889" s="69"/>
      <c r="W889" s="68"/>
      <c r="X889" s="70"/>
      <c r="Y889" s="70"/>
      <c r="Z889" s="70"/>
      <c r="AA889" s="70"/>
      <c r="AB889" s="70"/>
      <c r="AC889" s="68"/>
      <c r="AD889" s="71"/>
      <c r="AE889" s="71"/>
      <c r="AF889" s="71"/>
      <c r="AG889" s="71"/>
      <c r="AH889" s="71"/>
      <c r="AI889" s="68"/>
      <c r="AJ889" s="214">
        <v>1.2760000000000001E-4</v>
      </c>
      <c r="AK889" s="214">
        <v>1.7219</v>
      </c>
      <c r="AL889" s="214">
        <v>4</v>
      </c>
      <c r="AM889" s="214">
        <v>5.1420100000000005E-4</v>
      </c>
      <c r="AN889" s="68"/>
      <c r="AO889" s="67"/>
      <c r="AP889" s="67"/>
      <c r="AQ889" s="67"/>
      <c r="AR889" s="67"/>
      <c r="AS889" s="67"/>
      <c r="AT889" s="68"/>
      <c r="AU889" s="49"/>
      <c r="AV889" s="50"/>
    </row>
    <row r="890" spans="1:48" ht="12.75" customHeight="1" x14ac:dyDescent="0.25">
      <c r="A890" s="72" t="s">
        <v>20</v>
      </c>
      <c r="B890" s="43" t="s">
        <v>889</v>
      </c>
      <c r="C890" s="44" t="s">
        <v>1044</v>
      </c>
      <c r="D890" s="45">
        <f>MROUND(MID($C890,6,3)/Basis!$E$3,0.5)</f>
        <v>23</v>
      </c>
      <c r="E890" s="45">
        <f>MROUND(MID($C890,9,3)/Basis!$E$3,0.5)</f>
        <v>72</v>
      </c>
      <c r="F890" s="124" t="s">
        <v>2948</v>
      </c>
      <c r="G890" s="45">
        <f>ROUND((ROUNDDOWN($F890/5,0)*5+3)/Basis!$E$3,1)</f>
        <v>9.1</v>
      </c>
      <c r="H890" s="120">
        <f>ROUND($P890*Basis!$E$2*((TaH-TrH)/LN(1/µ)/Basis!$E$7)^$N890*$AA$4*Glycol,0)</f>
        <v>6950</v>
      </c>
      <c r="I890" s="83">
        <f>ROUND(H890/(MID($C890,9,3)/Basis!$E$3/Basis!$E$9)*Basis!$E$11,0)</f>
        <v>1158</v>
      </c>
      <c r="J890" s="123">
        <f>IF(Basis!$E$1=1,ROUND(H890/((TaH-TrH)*1.163)/3600,3),ROUND(H890/(500*(TaH-TrH)),2))</f>
        <v>0.7</v>
      </c>
      <c r="K890" s="84"/>
      <c r="L890" s="177">
        <f>CHOOSE(Basis!$E$1,((AJ890*(J890*3600/Basis!$E$5)^AK890*(((MID(C890,9,3)*10)-144)/1000)*AL890+AM890*(J890*3600/Basis!$E$5)^2)*0.0098)/Basis!$E$10,((AJ890*(J890/Basis!$E$5)^AK890*(((MID(C890,9,3)*10)-144)/1000)*AL890+AM890*(J890/Basis!$E$5)^2)*0.0098)/Basis!$E$10)</f>
        <v>5.9868137493600052E-2</v>
      </c>
      <c r="M890" s="85"/>
      <c r="N890" s="109">
        <v>1.484</v>
      </c>
      <c r="O890" s="68"/>
      <c r="P890" s="67">
        <v>3324</v>
      </c>
      <c r="Q890" s="68"/>
      <c r="R890" s="69"/>
      <c r="S890" s="69"/>
      <c r="T890" s="69"/>
      <c r="U890" s="69"/>
      <c r="V890" s="69"/>
      <c r="W890" s="68"/>
      <c r="X890" s="70"/>
      <c r="Y890" s="70"/>
      <c r="Z890" s="70"/>
      <c r="AA890" s="70"/>
      <c r="AB890" s="70"/>
      <c r="AC890" s="68"/>
      <c r="AD890" s="71"/>
      <c r="AE890" s="71"/>
      <c r="AF890" s="71"/>
      <c r="AG890" s="71"/>
      <c r="AH890" s="71"/>
      <c r="AI890" s="68"/>
      <c r="AJ890" s="214">
        <v>1.2760000000000001E-4</v>
      </c>
      <c r="AK890" s="214">
        <v>1.7219</v>
      </c>
      <c r="AL890" s="214">
        <v>4</v>
      </c>
      <c r="AM890" s="214">
        <v>5.1420100000000005E-4</v>
      </c>
      <c r="AN890" s="68"/>
      <c r="AO890" s="67"/>
      <c r="AP890" s="67"/>
      <c r="AQ890" s="67"/>
      <c r="AR890" s="67"/>
      <c r="AS890" s="67"/>
      <c r="AT890" s="68"/>
      <c r="AU890" s="49"/>
      <c r="AV890" s="50"/>
    </row>
    <row r="891" spans="1:48" ht="12.75" customHeight="1" x14ac:dyDescent="0.25">
      <c r="A891" s="72" t="s">
        <v>20</v>
      </c>
      <c r="B891" s="43" t="s">
        <v>889</v>
      </c>
      <c r="C891" s="44" t="s">
        <v>1045</v>
      </c>
      <c r="D891" s="45">
        <f>MROUND(MID($C891,6,3)/Basis!$E$3,0.5)</f>
        <v>23</v>
      </c>
      <c r="E891" s="45">
        <f>MROUND(MID($C891,9,3)/Basis!$E$3,0.5)</f>
        <v>72</v>
      </c>
      <c r="F891" s="124" t="s">
        <v>2948</v>
      </c>
      <c r="G891" s="45">
        <f>ROUND((ROUNDDOWN($F891/5,0)*5+3)/Basis!$E$3,1)</f>
        <v>9.1</v>
      </c>
      <c r="H891" s="120">
        <f>ROUND($P891*Basis!$E$2*((TaH-TrH)/LN(1/µ)/Basis!$E$7)^$N891*$AA$4*Glycol,0)</f>
        <v>9315</v>
      </c>
      <c r="I891" s="83">
        <f>ROUND(H891/(MID($C891,9,3)/Basis!$E$3/Basis!$E$9)*Basis!$E$11,0)</f>
        <v>1551</v>
      </c>
      <c r="J891" s="123">
        <f>IF(Basis!$E$1=1,ROUND(H891/((TaH-TrH)*1.163)/3600,3),ROUND(H891/(500*(TaH-TrH)),2))</f>
        <v>0.93</v>
      </c>
      <c r="K891" s="84"/>
      <c r="L891" s="177">
        <f>CHOOSE(Basis!$E$1,((AJ891*(J891*3600/Basis!$E$5)^AK891*(((MID(C891,9,3)*10)-144)/1000)*AL891+AM891*(J891*3600/Basis!$E$5)^2)*0.0098)/Basis!$E$10,((AJ891*(J891/Basis!$E$5)^AK891*(((MID(C891,9,3)*10)-144)/1000)*AL891+AM891*(J891/Basis!$E$5)^2)*0.0098)/Basis!$E$10)</f>
        <v>0.10334414453764412</v>
      </c>
      <c r="M891" s="85"/>
      <c r="N891" s="109">
        <v>1.492</v>
      </c>
      <c r="O891" s="68"/>
      <c r="P891" s="67">
        <v>4467</v>
      </c>
      <c r="Q891" s="68"/>
      <c r="R891" s="69"/>
      <c r="S891" s="69"/>
      <c r="T891" s="69"/>
      <c r="U891" s="69"/>
      <c r="V891" s="69"/>
      <c r="W891" s="68"/>
      <c r="X891" s="70"/>
      <c r="Y891" s="70"/>
      <c r="Z891" s="70"/>
      <c r="AA891" s="70"/>
      <c r="AB891" s="70"/>
      <c r="AC891" s="68"/>
      <c r="AD891" s="71"/>
      <c r="AE891" s="71"/>
      <c r="AF891" s="71"/>
      <c r="AG891" s="71"/>
      <c r="AH891" s="71"/>
      <c r="AI891" s="68"/>
      <c r="AJ891" s="214">
        <v>1.2760000000000001E-4</v>
      </c>
      <c r="AK891" s="214">
        <v>1.7219</v>
      </c>
      <c r="AL891" s="214">
        <v>4</v>
      </c>
      <c r="AM891" s="214">
        <v>5.1420100000000005E-4</v>
      </c>
      <c r="AN891" s="68"/>
      <c r="AO891" s="67"/>
      <c r="AP891" s="67"/>
      <c r="AQ891" s="67"/>
      <c r="AR891" s="67"/>
      <c r="AS891" s="67"/>
      <c r="AT891" s="68"/>
      <c r="AU891" s="49"/>
      <c r="AV891" s="50"/>
    </row>
    <row r="892" spans="1:48" ht="12.75" customHeight="1" x14ac:dyDescent="0.25">
      <c r="A892" s="72" t="s">
        <v>20</v>
      </c>
      <c r="B892" s="43" t="s">
        <v>889</v>
      </c>
      <c r="C892" s="44" t="s">
        <v>1046</v>
      </c>
      <c r="D892" s="45">
        <f>MROUND(MID($C892,6,3)/Basis!$E$3,0.5)</f>
        <v>23</v>
      </c>
      <c r="E892" s="45">
        <f>MROUND(MID($C892,9,3)/Basis!$E$3,0.5)</f>
        <v>80</v>
      </c>
      <c r="F892" s="124" t="s">
        <v>2946</v>
      </c>
      <c r="G892" s="45">
        <f>ROUND((ROUNDDOWN($F892/5,0)*5+3)/Basis!$E$3,1)</f>
        <v>5.0999999999999996</v>
      </c>
      <c r="H892" s="120">
        <f>ROUND($P892*Basis!$E$2*((TaH-TrH)/LN(1/µ)/Basis!$E$7)^$N892*$AA$4*Glycol,0)</f>
        <v>3452</v>
      </c>
      <c r="I892" s="83">
        <f>ROUND(H892/(MID($C892,9,3)/Basis!$E$3/Basis!$E$9)*Basis!$E$11,0)</f>
        <v>518</v>
      </c>
      <c r="J892" s="123">
        <f>IF(Basis!$E$1=1,ROUND(H892/((TaH-TrH)*1.163)/3600,3),ROUND(H892/(500*(TaH-TrH)),2))</f>
        <v>0.35</v>
      </c>
      <c r="K892" s="84"/>
      <c r="L892" s="177">
        <f>CHOOSE(Basis!$E$1,((AJ892*(J892*3600/Basis!$E$5)^AK892*(((MID(C892,9,3)*10)-144)/1000)*AL892+AM892*(J892*3600/Basis!$E$5)^2)*0.0098)/Basis!$E$10,((AJ892*(J892/Basis!$E$5)^AK892*(((MID(C892,9,3)*10)-144)/1000)*AL892+AM892*(J892/Basis!$E$5)^2)*0.0098)/Basis!$E$10)</f>
        <v>3.1235201910945483E-2</v>
      </c>
      <c r="M892" s="85"/>
      <c r="N892" s="109">
        <v>1.44</v>
      </c>
      <c r="O892" s="68"/>
      <c r="P892" s="67">
        <v>1627</v>
      </c>
      <c r="Q892" s="68"/>
      <c r="R892" s="69"/>
      <c r="S892" s="69"/>
      <c r="T892" s="69"/>
      <c r="U892" s="69"/>
      <c r="V892" s="69"/>
      <c r="W892" s="68"/>
      <c r="X892" s="70"/>
      <c r="Y892" s="70"/>
      <c r="Z892" s="70"/>
      <c r="AA892" s="70"/>
      <c r="AB892" s="70"/>
      <c r="AC892" s="68"/>
      <c r="AD892" s="71"/>
      <c r="AE892" s="71"/>
      <c r="AF892" s="71"/>
      <c r="AG892" s="71"/>
      <c r="AH892" s="71"/>
      <c r="AI892" s="68"/>
      <c r="AJ892" s="214">
        <v>3.9689999999999994E-4</v>
      </c>
      <c r="AK892" s="214">
        <v>1.7345999999999999</v>
      </c>
      <c r="AL892" s="214">
        <v>4</v>
      </c>
      <c r="AM892" s="214">
        <v>5.7428799999999995E-4</v>
      </c>
      <c r="AN892" s="68"/>
      <c r="AO892" s="67"/>
      <c r="AP892" s="67"/>
      <c r="AQ892" s="67"/>
      <c r="AR892" s="67"/>
      <c r="AS892" s="67"/>
      <c r="AT892" s="68"/>
      <c r="AU892" s="49"/>
      <c r="AV892" s="50"/>
    </row>
    <row r="893" spans="1:48" ht="12.75" customHeight="1" x14ac:dyDescent="0.25">
      <c r="A893" s="72" t="s">
        <v>20</v>
      </c>
      <c r="B893" s="43" t="s">
        <v>889</v>
      </c>
      <c r="C893" s="44" t="s">
        <v>1047</v>
      </c>
      <c r="D893" s="45">
        <f>MROUND(MID($C893,6,3)/Basis!$E$3,0.5)</f>
        <v>23</v>
      </c>
      <c r="E893" s="45">
        <f>MROUND(MID($C893,9,3)/Basis!$E$3,0.5)</f>
        <v>80</v>
      </c>
      <c r="F893" s="124" t="s">
        <v>2946</v>
      </c>
      <c r="G893" s="45">
        <f>ROUND((ROUNDDOWN($F893/5,0)*5+3)/Basis!$E$3,1)</f>
        <v>5.0999999999999996</v>
      </c>
      <c r="H893" s="120">
        <f>ROUND($P893*Basis!$E$2*((TaH-TrH)/LN(1/µ)/Basis!$E$7)^$N893*$AA$4*Glycol,0)</f>
        <v>4543</v>
      </c>
      <c r="I893" s="83">
        <f>ROUND(H893/(MID($C893,9,3)/Basis!$E$3/Basis!$E$9)*Basis!$E$11,0)</f>
        <v>682</v>
      </c>
      <c r="J893" s="123">
        <f>IF(Basis!$E$1=1,ROUND(H893/((TaH-TrH)*1.163)/3600,3),ROUND(H893/(500*(TaH-TrH)),2))</f>
        <v>0.45</v>
      </c>
      <c r="K893" s="84"/>
      <c r="L893" s="177">
        <f>CHOOSE(Basis!$E$1,((AJ893*(J893*3600/Basis!$E$5)^AK893*(((MID(C893,9,3)*10)-144)/1000)*AL893+AM893*(J893*3600/Basis!$E$5)^2)*0.0098)/Basis!$E$10,((AJ893*(J893/Basis!$E$5)^AK893*(((MID(C893,9,3)*10)-144)/1000)*AL893+AM893*(J893/Basis!$E$5)^2)*0.0098)/Basis!$E$10)</f>
        <v>4.9567767438791203E-2</v>
      </c>
      <c r="M893" s="85"/>
      <c r="N893" s="109">
        <v>1.4390000000000001</v>
      </c>
      <c r="O893" s="68"/>
      <c r="P893" s="67">
        <v>2141</v>
      </c>
      <c r="Q893" s="68"/>
      <c r="R893" s="69"/>
      <c r="S893" s="69"/>
      <c r="T893" s="69"/>
      <c r="U893" s="69"/>
      <c r="V893" s="69"/>
      <c r="W893" s="68"/>
      <c r="X893" s="70"/>
      <c r="Y893" s="70"/>
      <c r="Z893" s="70"/>
      <c r="AA893" s="70"/>
      <c r="AB893" s="70"/>
      <c r="AC893" s="68"/>
      <c r="AD893" s="71"/>
      <c r="AE893" s="71"/>
      <c r="AF893" s="71"/>
      <c r="AG893" s="71"/>
      <c r="AH893" s="71"/>
      <c r="AI893" s="68"/>
      <c r="AJ893" s="214">
        <v>3.9689999999999994E-4</v>
      </c>
      <c r="AK893" s="214">
        <v>1.7345999999999999</v>
      </c>
      <c r="AL893" s="214">
        <v>4</v>
      </c>
      <c r="AM893" s="214">
        <v>5.7428799999999995E-4</v>
      </c>
      <c r="AN893" s="68"/>
      <c r="AO893" s="67"/>
      <c r="AP893" s="67"/>
      <c r="AQ893" s="67"/>
      <c r="AR893" s="67"/>
      <c r="AS893" s="67"/>
      <c r="AT893" s="68"/>
      <c r="AU893" s="49"/>
      <c r="AV893" s="50"/>
    </row>
    <row r="894" spans="1:48" ht="12.75" customHeight="1" x14ac:dyDescent="0.25">
      <c r="A894" s="72" t="s">
        <v>20</v>
      </c>
      <c r="B894" s="43" t="s">
        <v>889</v>
      </c>
      <c r="C894" s="44" t="s">
        <v>1048</v>
      </c>
      <c r="D894" s="45">
        <f>MROUND(MID($C894,6,3)/Basis!$E$3,0.5)</f>
        <v>23</v>
      </c>
      <c r="E894" s="45">
        <f>MROUND(MID($C894,9,3)/Basis!$E$3,0.5)</f>
        <v>80</v>
      </c>
      <c r="F894" s="124" t="s">
        <v>2946</v>
      </c>
      <c r="G894" s="45">
        <f>ROUND((ROUNDDOWN($F894/5,0)*5+3)/Basis!$E$3,1)</f>
        <v>5.0999999999999996</v>
      </c>
      <c r="H894" s="120">
        <f>ROUND($P894*Basis!$E$2*((TaH-TrH)/LN(1/µ)/Basis!$E$7)^$N894*$AA$4*Glycol,0)</f>
        <v>4180</v>
      </c>
      <c r="I894" s="83">
        <f>ROUND(H894/(MID($C894,9,3)/Basis!$E$3/Basis!$E$9)*Basis!$E$11,0)</f>
        <v>628</v>
      </c>
      <c r="J894" s="123">
        <f>IF(Basis!$E$1=1,ROUND(H894/((TaH-TrH)*1.163)/3600,3),ROUND(H894/(500*(TaH-TrH)),2))</f>
        <v>0.42</v>
      </c>
      <c r="K894" s="84"/>
      <c r="L894" s="177">
        <f>CHOOSE(Basis!$E$1,((AJ894*(J894*3600/Basis!$E$5)^AK894*(((MID(C894,9,3)*10)-144)/1000)*AL894+AM894*(J894*3600/Basis!$E$5)^2)*0.0098)/Basis!$E$10,((AJ894*(J894/Basis!$E$5)^AK894*(((MID(C894,9,3)*10)-144)/1000)*AL894+AM894*(J894/Basis!$E$5)^2)*0.0098)/Basis!$E$10)</f>
        <v>4.3661197148436838E-2</v>
      </c>
      <c r="M894" s="85"/>
      <c r="N894" s="109">
        <v>1.4379999999999999</v>
      </c>
      <c r="O894" s="68"/>
      <c r="P894" s="67">
        <v>1969</v>
      </c>
      <c r="Q894" s="68"/>
      <c r="R894" s="69"/>
      <c r="S894" s="69"/>
      <c r="T894" s="69"/>
      <c r="U894" s="69"/>
      <c r="V894" s="69"/>
      <c r="W894" s="68"/>
      <c r="X894" s="70"/>
      <c r="Y894" s="70"/>
      <c r="Z894" s="70"/>
      <c r="AA894" s="70"/>
      <c r="AB894" s="70"/>
      <c r="AC894" s="68"/>
      <c r="AD894" s="71"/>
      <c r="AE894" s="71"/>
      <c r="AF894" s="71"/>
      <c r="AG894" s="71"/>
      <c r="AH894" s="71"/>
      <c r="AI894" s="68"/>
      <c r="AJ894" s="214">
        <v>3.9689999999999994E-4</v>
      </c>
      <c r="AK894" s="214">
        <v>1.7345999999999999</v>
      </c>
      <c r="AL894" s="214">
        <v>4</v>
      </c>
      <c r="AM894" s="214">
        <v>5.7428799999999995E-4</v>
      </c>
      <c r="AN894" s="68"/>
      <c r="AO894" s="67"/>
      <c r="AP894" s="67"/>
      <c r="AQ894" s="67"/>
      <c r="AR894" s="67"/>
      <c r="AS894" s="67"/>
      <c r="AT894" s="68"/>
      <c r="AU894" s="49"/>
      <c r="AV894" s="50"/>
    </row>
    <row r="895" spans="1:48" ht="12.75" customHeight="1" x14ac:dyDescent="0.25">
      <c r="A895" s="72" t="s">
        <v>20</v>
      </c>
      <c r="B895" s="43" t="s">
        <v>889</v>
      </c>
      <c r="C895" s="44" t="s">
        <v>1049</v>
      </c>
      <c r="D895" s="45">
        <f>MROUND(MID($C895,6,3)/Basis!$E$3,0.5)</f>
        <v>23</v>
      </c>
      <c r="E895" s="45">
        <f>MROUND(MID($C895,9,3)/Basis!$E$3,0.5)</f>
        <v>80</v>
      </c>
      <c r="F895" s="124" t="s">
        <v>2946</v>
      </c>
      <c r="G895" s="45">
        <f>ROUND((ROUNDDOWN($F895/5,0)*5+3)/Basis!$E$3,1)</f>
        <v>5.0999999999999996</v>
      </c>
      <c r="H895" s="120">
        <f>ROUND($P895*Basis!$E$2*((TaH-TrH)/LN(1/µ)/Basis!$E$7)^$N895*$AA$4*Glycol,0)</f>
        <v>5237</v>
      </c>
      <c r="I895" s="83">
        <f>ROUND(H895/(MID($C895,9,3)/Basis!$E$3/Basis!$E$9)*Basis!$E$11,0)</f>
        <v>786</v>
      </c>
      <c r="J895" s="123">
        <f>IF(Basis!$E$1=1,ROUND(H895/((TaH-TrH)*1.163)/3600,3),ROUND(H895/(500*(TaH-TrH)),2))</f>
        <v>0.52</v>
      </c>
      <c r="K895" s="84"/>
      <c r="L895" s="177">
        <f>CHOOSE(Basis!$E$1,((AJ895*(J895*3600/Basis!$E$5)^AK895*(((MID(C895,9,3)*10)-144)/1000)*AL895+AM895*(J895*3600/Basis!$E$5)^2)*0.0098)/Basis!$E$10,((AJ895*(J895/Basis!$E$5)^AK895*(((MID(C895,9,3)*10)-144)/1000)*AL895+AM895*(J895/Basis!$E$5)^2)*0.0098)/Basis!$E$10)</f>
        <v>6.4682622296065709E-2</v>
      </c>
      <c r="M895" s="85"/>
      <c r="N895" s="109">
        <v>1.4370000000000001</v>
      </c>
      <c r="O895" s="68"/>
      <c r="P895" s="67">
        <v>2466</v>
      </c>
      <c r="Q895" s="68"/>
      <c r="R895" s="69"/>
      <c r="S895" s="69"/>
      <c r="T895" s="69"/>
      <c r="U895" s="69"/>
      <c r="V895" s="69"/>
      <c r="W895" s="68"/>
      <c r="X895" s="70"/>
      <c r="Y895" s="70"/>
      <c r="Z895" s="70"/>
      <c r="AA895" s="70"/>
      <c r="AB895" s="70"/>
      <c r="AC895" s="68"/>
      <c r="AD895" s="71"/>
      <c r="AE895" s="71"/>
      <c r="AF895" s="71"/>
      <c r="AG895" s="71"/>
      <c r="AH895" s="71"/>
      <c r="AI895" s="68"/>
      <c r="AJ895" s="214">
        <v>3.9689999999999994E-4</v>
      </c>
      <c r="AK895" s="214">
        <v>1.7345999999999999</v>
      </c>
      <c r="AL895" s="214">
        <v>4</v>
      </c>
      <c r="AM895" s="214">
        <v>5.7428799999999995E-4</v>
      </c>
      <c r="AN895" s="68"/>
      <c r="AO895" s="67"/>
      <c r="AP895" s="67"/>
      <c r="AQ895" s="67"/>
      <c r="AR895" s="67"/>
      <c r="AS895" s="67"/>
      <c r="AT895" s="68"/>
      <c r="AU895" s="49"/>
      <c r="AV895" s="50"/>
    </row>
    <row r="896" spans="1:48" ht="12.75" customHeight="1" x14ac:dyDescent="0.25">
      <c r="A896" s="72" t="s">
        <v>20</v>
      </c>
      <c r="B896" s="43" t="s">
        <v>889</v>
      </c>
      <c r="C896" s="44" t="s">
        <v>1050</v>
      </c>
      <c r="D896" s="45">
        <f>MROUND(MID($C896,6,3)/Basis!$E$3,0.5)</f>
        <v>23</v>
      </c>
      <c r="E896" s="45">
        <f>MROUND(MID($C896,9,3)/Basis!$E$3,0.5)</f>
        <v>80</v>
      </c>
      <c r="F896" s="124" t="s">
        <v>2947</v>
      </c>
      <c r="G896" s="45">
        <f>ROUND((ROUNDDOWN($F896/5,0)*5+3)/Basis!$E$3,1)</f>
        <v>7.1</v>
      </c>
      <c r="H896" s="120">
        <f>ROUND($P896*Basis!$E$2*((TaH-TrH)/LN(1/µ)/Basis!$E$7)^$N896*$AA$4*Glycol,0)</f>
        <v>4730</v>
      </c>
      <c r="I896" s="83">
        <f>ROUND(H896/(MID($C896,9,3)/Basis!$E$3/Basis!$E$9)*Basis!$E$11,0)</f>
        <v>710</v>
      </c>
      <c r="J896" s="123">
        <f>IF(Basis!$E$1=1,ROUND(H896/((TaH-TrH)*1.163)/3600,3),ROUND(H896/(500*(TaH-TrH)),2))</f>
        <v>0.47</v>
      </c>
      <c r="K896" s="84"/>
      <c r="L896" s="177">
        <f>CHOOSE(Basis!$E$1,((AJ896*(J896*3600/Basis!$E$5)^AK896*(((MID(C896,9,3)*10)-144)/1000)*AL896+AM896*(J896*3600/Basis!$E$5)^2)*0.0098)/Basis!$E$10,((AJ896*(J896/Basis!$E$5)^AK896*(((MID(C896,9,3)*10)-144)/1000)*AL896+AM896*(J896/Basis!$E$5)^2)*0.0098)/Basis!$E$10)</f>
        <v>6.8026929533631347E-2</v>
      </c>
      <c r="M896" s="85"/>
      <c r="N896" s="109">
        <v>1.4570000000000001</v>
      </c>
      <c r="O896" s="68"/>
      <c r="P896" s="67">
        <v>2242</v>
      </c>
      <c r="Q896" s="68"/>
      <c r="R896" s="69"/>
      <c r="S896" s="69"/>
      <c r="T896" s="69"/>
      <c r="U896" s="69"/>
      <c r="V896" s="69"/>
      <c r="W896" s="68"/>
      <c r="X896" s="70"/>
      <c r="Y896" s="70"/>
      <c r="Z896" s="70"/>
      <c r="AA896" s="70"/>
      <c r="AB896" s="70"/>
      <c r="AC896" s="68"/>
      <c r="AD896" s="71"/>
      <c r="AE896" s="71"/>
      <c r="AF896" s="71"/>
      <c r="AG896" s="71"/>
      <c r="AH896" s="71"/>
      <c r="AI896" s="68"/>
      <c r="AJ896" s="214">
        <v>2.0829999999999999E-4</v>
      </c>
      <c r="AK896" s="214">
        <v>1.724</v>
      </c>
      <c r="AL896" s="214">
        <v>4</v>
      </c>
      <c r="AM896" s="214">
        <v>1.392796E-3</v>
      </c>
      <c r="AN896" s="68"/>
      <c r="AO896" s="67"/>
      <c r="AP896" s="67"/>
      <c r="AQ896" s="67"/>
      <c r="AR896" s="67"/>
      <c r="AS896" s="67"/>
      <c r="AT896" s="68"/>
      <c r="AU896" s="49"/>
      <c r="AV896" s="50"/>
    </row>
    <row r="897" spans="1:48" ht="12.75" customHeight="1" x14ac:dyDescent="0.25">
      <c r="A897" s="72" t="s">
        <v>20</v>
      </c>
      <c r="B897" s="43" t="s">
        <v>889</v>
      </c>
      <c r="C897" s="44" t="s">
        <v>1051</v>
      </c>
      <c r="D897" s="45">
        <f>MROUND(MID($C897,6,3)/Basis!$E$3,0.5)</f>
        <v>23</v>
      </c>
      <c r="E897" s="45">
        <f>MROUND(MID($C897,9,3)/Basis!$E$3,0.5)</f>
        <v>80</v>
      </c>
      <c r="F897" s="124" t="s">
        <v>2947</v>
      </c>
      <c r="G897" s="45">
        <f>ROUND((ROUNDDOWN($F897/5,0)*5+3)/Basis!$E$3,1)</f>
        <v>7.1</v>
      </c>
      <c r="H897" s="120">
        <f>ROUND($P897*Basis!$E$2*((TaH-TrH)/LN(1/µ)/Basis!$E$7)^$N897*$AA$4*Glycol,0)</f>
        <v>6634</v>
      </c>
      <c r="I897" s="83">
        <f>ROUND(H897/(MID($C897,9,3)/Basis!$E$3/Basis!$E$9)*Basis!$E$11,0)</f>
        <v>996</v>
      </c>
      <c r="J897" s="123">
        <f>IF(Basis!$E$1=1,ROUND(H897/((TaH-TrH)*1.163)/3600,3),ROUND(H897/(500*(TaH-TrH)),2))</f>
        <v>0.66</v>
      </c>
      <c r="K897" s="84"/>
      <c r="L897" s="177">
        <f>CHOOSE(Basis!$E$1,((AJ897*(J897*3600/Basis!$E$5)^AK897*(((MID(C897,9,3)*10)-144)/1000)*AL897+AM897*(J897*3600/Basis!$E$5)^2)*0.0098)/Basis!$E$10,((AJ897*(J897/Basis!$E$5)^AK897*(((MID(C897,9,3)*10)-144)/1000)*AL897+AM897*(J897/Basis!$E$5)^2)*0.0098)/Basis!$E$10)</f>
        <v>0.13129902683146427</v>
      </c>
      <c r="M897" s="85"/>
      <c r="N897" s="109">
        <v>1.462</v>
      </c>
      <c r="O897" s="68"/>
      <c r="P897" s="67">
        <v>3150</v>
      </c>
      <c r="Q897" s="68"/>
      <c r="R897" s="69"/>
      <c r="S897" s="69"/>
      <c r="T897" s="69"/>
      <c r="U897" s="69"/>
      <c r="V897" s="69"/>
      <c r="W897" s="68"/>
      <c r="X897" s="70"/>
      <c r="Y897" s="70"/>
      <c r="Z897" s="70"/>
      <c r="AA897" s="70"/>
      <c r="AB897" s="70"/>
      <c r="AC897" s="68"/>
      <c r="AD897" s="71"/>
      <c r="AE897" s="71"/>
      <c r="AF897" s="71"/>
      <c r="AG897" s="71"/>
      <c r="AH897" s="71"/>
      <c r="AI897" s="68"/>
      <c r="AJ897" s="214">
        <v>2.0829999999999999E-4</v>
      </c>
      <c r="AK897" s="214">
        <v>1.724</v>
      </c>
      <c r="AL897" s="214">
        <v>4</v>
      </c>
      <c r="AM897" s="214">
        <v>1.392796E-3</v>
      </c>
      <c r="AN897" s="68"/>
      <c r="AO897" s="67"/>
      <c r="AP897" s="67"/>
      <c r="AQ897" s="67"/>
      <c r="AR897" s="67"/>
      <c r="AS897" s="67"/>
      <c r="AT897" s="68"/>
      <c r="AU897" s="49"/>
      <c r="AV897" s="50"/>
    </row>
    <row r="898" spans="1:48" ht="12.75" customHeight="1" x14ac:dyDescent="0.25">
      <c r="A898" s="72" t="s">
        <v>20</v>
      </c>
      <c r="B898" s="43" t="s">
        <v>889</v>
      </c>
      <c r="C898" s="44" t="s">
        <v>1052</v>
      </c>
      <c r="D898" s="45">
        <f>MROUND(MID($C898,6,3)/Basis!$E$3,0.5)</f>
        <v>23</v>
      </c>
      <c r="E898" s="45">
        <f>MROUND(MID($C898,9,3)/Basis!$E$3,0.5)</f>
        <v>80</v>
      </c>
      <c r="F898" s="124" t="s">
        <v>2947</v>
      </c>
      <c r="G898" s="45">
        <f>ROUND((ROUNDDOWN($F898/5,0)*5+3)/Basis!$E$3,1)</f>
        <v>7.1</v>
      </c>
      <c r="H898" s="120">
        <f>ROUND($P898*Basis!$E$2*((TaH-TrH)/LN(1/µ)/Basis!$E$7)^$N898*$AA$4*Glycol,0)</f>
        <v>6015</v>
      </c>
      <c r="I898" s="83">
        <f>ROUND(H898/(MID($C898,9,3)/Basis!$E$3/Basis!$E$9)*Basis!$E$11,0)</f>
        <v>903</v>
      </c>
      <c r="J898" s="123">
        <f>IF(Basis!$E$1=1,ROUND(H898/((TaH-TrH)*1.163)/3600,3),ROUND(H898/(500*(TaH-TrH)),2))</f>
        <v>0.6</v>
      </c>
      <c r="K898" s="84"/>
      <c r="L898" s="177">
        <f>CHOOSE(Basis!$E$1,((AJ898*(J898*3600/Basis!$E$5)^AK898*(((MID(C898,9,3)*10)-144)/1000)*AL898+AM898*(J898*3600/Basis!$E$5)^2)*0.0098)/Basis!$E$10,((AJ898*(J898/Basis!$E$5)^AK898*(((MID(C898,9,3)*10)-144)/1000)*AL898+AM898*(J898/Basis!$E$5)^2)*0.0098)/Basis!$E$10)</f>
        <v>0.10914968692421104</v>
      </c>
      <c r="M898" s="85"/>
      <c r="N898" s="109">
        <v>1.464</v>
      </c>
      <c r="O898" s="68"/>
      <c r="P898" s="67">
        <v>2858</v>
      </c>
      <c r="Q898" s="68"/>
      <c r="R898" s="69"/>
      <c r="S898" s="69"/>
      <c r="T898" s="69"/>
      <c r="U898" s="69"/>
      <c r="V898" s="69"/>
      <c r="W898" s="68"/>
      <c r="X898" s="70"/>
      <c r="Y898" s="70"/>
      <c r="Z898" s="70"/>
      <c r="AA898" s="70"/>
      <c r="AB898" s="70"/>
      <c r="AC898" s="68"/>
      <c r="AD898" s="71"/>
      <c r="AE898" s="71"/>
      <c r="AF898" s="71"/>
      <c r="AG898" s="71"/>
      <c r="AH898" s="71"/>
      <c r="AI898" s="68"/>
      <c r="AJ898" s="214">
        <v>2.0829999999999999E-4</v>
      </c>
      <c r="AK898" s="214">
        <v>1.724</v>
      </c>
      <c r="AL898" s="214">
        <v>4</v>
      </c>
      <c r="AM898" s="214">
        <v>1.392796E-3</v>
      </c>
      <c r="AN898" s="68"/>
      <c r="AO898" s="67"/>
      <c r="AP898" s="67"/>
      <c r="AQ898" s="67"/>
      <c r="AR898" s="67"/>
      <c r="AS898" s="67"/>
      <c r="AT898" s="68"/>
      <c r="AU898" s="49"/>
      <c r="AV898" s="50"/>
    </row>
    <row r="899" spans="1:48" ht="12.75" customHeight="1" x14ac:dyDescent="0.25">
      <c r="A899" s="72" t="s">
        <v>20</v>
      </c>
      <c r="B899" s="43" t="s">
        <v>889</v>
      </c>
      <c r="C899" s="44" t="s">
        <v>1053</v>
      </c>
      <c r="D899" s="45">
        <f>MROUND(MID($C899,6,3)/Basis!$E$3,0.5)</f>
        <v>23</v>
      </c>
      <c r="E899" s="45">
        <f>MROUND(MID($C899,9,3)/Basis!$E$3,0.5)</f>
        <v>80</v>
      </c>
      <c r="F899" s="124" t="s">
        <v>2947</v>
      </c>
      <c r="G899" s="45">
        <f>ROUND((ROUNDDOWN($F899/5,0)*5+3)/Basis!$E$3,1)</f>
        <v>7.1</v>
      </c>
      <c r="H899" s="120">
        <f>ROUND($P899*Basis!$E$2*((TaH-TrH)/LN(1/µ)/Basis!$E$7)^$N899*$AA$4*Glycol,0)</f>
        <v>7926</v>
      </c>
      <c r="I899" s="83">
        <f>ROUND(H899/(MID($C899,9,3)/Basis!$E$3/Basis!$E$9)*Basis!$E$11,0)</f>
        <v>1190</v>
      </c>
      <c r="J899" s="123">
        <f>IF(Basis!$E$1=1,ROUND(H899/((TaH-TrH)*1.163)/3600,3),ROUND(H899/(500*(TaH-TrH)),2))</f>
        <v>0.79</v>
      </c>
      <c r="K899" s="84"/>
      <c r="L899" s="177">
        <f>CHOOSE(Basis!$E$1,((AJ899*(J899*3600/Basis!$E$5)^AK899*(((MID(C899,9,3)*10)-144)/1000)*AL899+AM899*(J899*3600/Basis!$E$5)^2)*0.0098)/Basis!$E$10,((AJ899*(J899/Basis!$E$5)^AK899*(((MID(C899,9,3)*10)-144)/1000)*AL899+AM899*(J899/Basis!$E$5)^2)*0.0098)/Basis!$E$10)</f>
        <v>0.18610774097494373</v>
      </c>
      <c r="M899" s="85"/>
      <c r="N899" s="109">
        <v>1.468</v>
      </c>
      <c r="O899" s="68"/>
      <c r="P899" s="67">
        <v>3771</v>
      </c>
      <c r="Q899" s="68"/>
      <c r="R899" s="69"/>
      <c r="S899" s="69"/>
      <c r="T899" s="69"/>
      <c r="U899" s="69"/>
      <c r="V899" s="69"/>
      <c r="W899" s="68"/>
      <c r="X899" s="70"/>
      <c r="Y899" s="70"/>
      <c r="Z899" s="70"/>
      <c r="AA899" s="70"/>
      <c r="AB899" s="70"/>
      <c r="AC899" s="68"/>
      <c r="AD899" s="71"/>
      <c r="AE899" s="71"/>
      <c r="AF899" s="71"/>
      <c r="AG899" s="71"/>
      <c r="AH899" s="71"/>
      <c r="AI899" s="68"/>
      <c r="AJ899" s="214">
        <v>2.0829999999999999E-4</v>
      </c>
      <c r="AK899" s="214">
        <v>1.724</v>
      </c>
      <c r="AL899" s="214">
        <v>4</v>
      </c>
      <c r="AM899" s="214">
        <v>1.392796E-3</v>
      </c>
      <c r="AN899" s="68"/>
      <c r="AO899" s="67"/>
      <c r="AP899" s="67"/>
      <c r="AQ899" s="67"/>
      <c r="AR899" s="67"/>
      <c r="AS899" s="67"/>
      <c r="AT899" s="68"/>
      <c r="AU899" s="49"/>
      <c r="AV899" s="50"/>
    </row>
    <row r="900" spans="1:48" ht="12.75" customHeight="1" x14ac:dyDescent="0.25">
      <c r="A900" s="72" t="s">
        <v>20</v>
      </c>
      <c r="B900" s="43" t="s">
        <v>889</v>
      </c>
      <c r="C900" s="44" t="s">
        <v>1054</v>
      </c>
      <c r="D900" s="45">
        <f>MROUND(MID($C900,6,3)/Basis!$E$3,0.5)</f>
        <v>23</v>
      </c>
      <c r="E900" s="45">
        <f>MROUND(MID($C900,9,3)/Basis!$E$3,0.5)</f>
        <v>80</v>
      </c>
      <c r="F900" s="124" t="s">
        <v>2948</v>
      </c>
      <c r="G900" s="45">
        <f>ROUND((ROUNDDOWN($F900/5,0)*5+3)/Basis!$E$3,1)</f>
        <v>9.1</v>
      </c>
      <c r="H900" s="120">
        <f>ROUND($P900*Basis!$E$2*((TaH-TrH)/LN(1/µ)/Basis!$E$7)^$N900*$AA$4*Glycol,0)</f>
        <v>5957</v>
      </c>
      <c r="I900" s="83">
        <f>ROUND(H900/(MID($C900,9,3)/Basis!$E$3/Basis!$E$9)*Basis!$E$11,0)</f>
        <v>894</v>
      </c>
      <c r="J900" s="123">
        <f>IF(Basis!$E$1=1,ROUND(H900/((TaH-TrH)*1.163)/3600,3),ROUND(H900/(500*(TaH-TrH)),2))</f>
        <v>0.6</v>
      </c>
      <c r="K900" s="84"/>
      <c r="L900" s="177">
        <f>CHOOSE(Basis!$E$1,((AJ900*(J900*3600/Basis!$E$5)^AK900*(((MID(C900,9,3)*10)-144)/1000)*AL900+AM900*(J900*3600/Basis!$E$5)^2)*0.0098)/Basis!$E$10,((AJ900*(J900/Basis!$E$5)^AK900*(((MID(C900,9,3)*10)-144)/1000)*AL900+AM900*(J900/Basis!$E$5)^2)*0.0098)/Basis!$E$10)</f>
        <v>4.6123911386810643E-2</v>
      </c>
      <c r="M900" s="85"/>
      <c r="N900" s="109">
        <v>1.472</v>
      </c>
      <c r="O900" s="68"/>
      <c r="P900" s="67">
        <v>2838</v>
      </c>
      <c r="Q900" s="68"/>
      <c r="R900" s="69"/>
      <c r="S900" s="69"/>
      <c r="T900" s="69"/>
      <c r="U900" s="69"/>
      <c r="V900" s="69"/>
      <c r="W900" s="68"/>
      <c r="X900" s="70"/>
      <c r="Y900" s="70"/>
      <c r="Z900" s="70"/>
      <c r="AA900" s="70"/>
      <c r="AB900" s="70"/>
      <c r="AC900" s="68"/>
      <c r="AD900" s="71"/>
      <c r="AE900" s="71"/>
      <c r="AF900" s="71"/>
      <c r="AG900" s="71"/>
      <c r="AH900" s="71"/>
      <c r="AI900" s="68"/>
      <c r="AJ900" s="214">
        <v>1.2760000000000001E-4</v>
      </c>
      <c r="AK900" s="214">
        <v>1.7219</v>
      </c>
      <c r="AL900" s="214">
        <v>4</v>
      </c>
      <c r="AM900" s="214">
        <v>5.1420100000000005E-4</v>
      </c>
      <c r="AN900" s="68"/>
      <c r="AO900" s="67"/>
      <c r="AP900" s="67"/>
      <c r="AQ900" s="67"/>
      <c r="AR900" s="67"/>
      <c r="AS900" s="67"/>
      <c r="AT900" s="68"/>
      <c r="AU900" s="49"/>
      <c r="AV900" s="50"/>
    </row>
    <row r="901" spans="1:48" ht="12.75" customHeight="1" x14ac:dyDescent="0.25">
      <c r="A901" s="72" t="s">
        <v>20</v>
      </c>
      <c r="B901" s="43" t="s">
        <v>889</v>
      </c>
      <c r="C901" s="44" t="s">
        <v>1055</v>
      </c>
      <c r="D901" s="45">
        <f>MROUND(MID($C901,6,3)/Basis!$E$3,0.5)</f>
        <v>23</v>
      </c>
      <c r="E901" s="45">
        <f>MROUND(MID($C901,9,3)/Basis!$E$3,0.5)</f>
        <v>80</v>
      </c>
      <c r="F901" s="124" t="s">
        <v>2948</v>
      </c>
      <c r="G901" s="45">
        <f>ROUND((ROUNDDOWN($F901/5,0)*5+3)/Basis!$E$3,1)</f>
        <v>9.1</v>
      </c>
      <c r="H901" s="120">
        <f>ROUND($P901*Basis!$E$2*((TaH-TrH)/LN(1/µ)/Basis!$E$7)^$N901*$AA$4*Glycol,0)</f>
        <v>8538</v>
      </c>
      <c r="I901" s="83">
        <f>ROUND(H901/(MID($C901,9,3)/Basis!$E$3/Basis!$E$9)*Basis!$E$11,0)</f>
        <v>1282</v>
      </c>
      <c r="J901" s="123">
        <f>IF(Basis!$E$1=1,ROUND(H901/((TaH-TrH)*1.163)/3600,3),ROUND(H901/(500*(TaH-TrH)),2))</f>
        <v>0.85</v>
      </c>
      <c r="K901" s="84"/>
      <c r="L901" s="177">
        <f>CHOOSE(Basis!$E$1,((AJ901*(J901*3600/Basis!$E$5)^AK901*(((MID(C901,9,3)*10)-144)/1000)*AL901+AM901*(J901*3600/Basis!$E$5)^2)*0.0098)/Basis!$E$10,((AJ901*(J901/Basis!$E$5)^AK901*(((MID(C901,9,3)*10)-144)/1000)*AL901+AM901*(J901/Basis!$E$5)^2)*0.0098)/Basis!$E$10)</f>
        <v>8.9807234423026724E-2</v>
      </c>
      <c r="M901" s="85"/>
      <c r="N901" s="109">
        <v>1.48</v>
      </c>
      <c r="O901" s="68"/>
      <c r="P901" s="67">
        <v>4078</v>
      </c>
      <c r="Q901" s="68"/>
      <c r="R901" s="69"/>
      <c r="S901" s="69"/>
      <c r="T901" s="69"/>
      <c r="U901" s="69"/>
      <c r="V901" s="69"/>
      <c r="W901" s="68"/>
      <c r="X901" s="70"/>
      <c r="Y901" s="70"/>
      <c r="Z901" s="70"/>
      <c r="AA901" s="70"/>
      <c r="AB901" s="70"/>
      <c r="AC901" s="68"/>
      <c r="AD901" s="71"/>
      <c r="AE901" s="71"/>
      <c r="AF901" s="71"/>
      <c r="AG901" s="71"/>
      <c r="AH901" s="71"/>
      <c r="AI901" s="68"/>
      <c r="AJ901" s="214">
        <v>1.2760000000000001E-4</v>
      </c>
      <c r="AK901" s="214">
        <v>1.7219</v>
      </c>
      <c r="AL901" s="214">
        <v>4</v>
      </c>
      <c r="AM901" s="214">
        <v>5.1420100000000005E-4</v>
      </c>
      <c r="AN901" s="68"/>
      <c r="AO901" s="67"/>
      <c r="AP901" s="67"/>
      <c r="AQ901" s="67"/>
      <c r="AR901" s="67"/>
      <c r="AS901" s="67"/>
      <c r="AT901" s="68"/>
      <c r="AU901" s="49"/>
      <c r="AV901" s="50"/>
    </row>
    <row r="902" spans="1:48" ht="12.75" customHeight="1" x14ac:dyDescent="0.25">
      <c r="A902" s="72" t="s">
        <v>20</v>
      </c>
      <c r="B902" s="43" t="s">
        <v>889</v>
      </c>
      <c r="C902" s="44" t="s">
        <v>1056</v>
      </c>
      <c r="D902" s="45">
        <f>MROUND(MID($C902,6,3)/Basis!$E$3,0.5)</f>
        <v>23</v>
      </c>
      <c r="E902" s="45">
        <f>MROUND(MID($C902,9,3)/Basis!$E$3,0.5)</f>
        <v>80</v>
      </c>
      <c r="F902" s="124" t="s">
        <v>2948</v>
      </c>
      <c r="G902" s="45">
        <f>ROUND((ROUNDDOWN($F902/5,0)*5+3)/Basis!$E$3,1)</f>
        <v>9.1</v>
      </c>
      <c r="H902" s="120">
        <f>ROUND($P902*Basis!$E$2*((TaH-TrH)/LN(1/µ)/Basis!$E$7)^$N902*$AA$4*Glycol,0)</f>
        <v>7805</v>
      </c>
      <c r="I902" s="83">
        <f>ROUND(H902/(MID($C902,9,3)/Basis!$E$3/Basis!$E$9)*Basis!$E$11,0)</f>
        <v>1172</v>
      </c>
      <c r="J902" s="123">
        <f>IF(Basis!$E$1=1,ROUND(H902/((TaH-TrH)*1.163)/3600,3),ROUND(H902/(500*(TaH-TrH)),2))</f>
        <v>0.78</v>
      </c>
      <c r="K902" s="84"/>
      <c r="L902" s="177">
        <f>CHOOSE(Basis!$E$1,((AJ902*(J902*3600/Basis!$E$5)^AK902*(((MID(C902,9,3)*10)-144)/1000)*AL902+AM902*(J902*3600/Basis!$E$5)^2)*0.0098)/Basis!$E$10,((AJ902*(J902/Basis!$E$5)^AK902*(((MID(C902,9,3)*10)-144)/1000)*AL902+AM902*(J902/Basis!$E$5)^2)*0.0098)/Basis!$E$10)</f>
        <v>7.6177424018075438E-2</v>
      </c>
      <c r="M902" s="85"/>
      <c r="N902" s="109">
        <v>1.484</v>
      </c>
      <c r="O902" s="68"/>
      <c r="P902" s="67">
        <v>3733</v>
      </c>
      <c r="Q902" s="68"/>
      <c r="R902" s="69"/>
      <c r="S902" s="69"/>
      <c r="T902" s="69"/>
      <c r="U902" s="69"/>
      <c r="V902" s="69"/>
      <c r="W902" s="68"/>
      <c r="X902" s="70"/>
      <c r="Y902" s="70"/>
      <c r="Z902" s="70"/>
      <c r="AA902" s="70"/>
      <c r="AB902" s="70"/>
      <c r="AC902" s="68"/>
      <c r="AD902" s="71"/>
      <c r="AE902" s="71"/>
      <c r="AF902" s="71"/>
      <c r="AG902" s="71"/>
      <c r="AH902" s="71"/>
      <c r="AI902" s="68"/>
      <c r="AJ902" s="214">
        <v>1.2760000000000001E-4</v>
      </c>
      <c r="AK902" s="214">
        <v>1.7219</v>
      </c>
      <c r="AL902" s="214">
        <v>4</v>
      </c>
      <c r="AM902" s="214">
        <v>5.1420100000000005E-4</v>
      </c>
      <c r="AN902" s="68"/>
      <c r="AO902" s="67"/>
      <c r="AP902" s="67"/>
      <c r="AQ902" s="67"/>
      <c r="AR902" s="67"/>
      <c r="AS902" s="67"/>
      <c r="AT902" s="68"/>
      <c r="AU902" s="49"/>
      <c r="AV902" s="50"/>
    </row>
    <row r="903" spans="1:48" ht="12.75" customHeight="1" x14ac:dyDescent="0.25">
      <c r="A903" s="72" t="s">
        <v>20</v>
      </c>
      <c r="B903" s="43" t="s">
        <v>889</v>
      </c>
      <c r="C903" s="44" t="s">
        <v>1057</v>
      </c>
      <c r="D903" s="45">
        <f>MROUND(MID($C903,6,3)/Basis!$E$3,0.5)</f>
        <v>23</v>
      </c>
      <c r="E903" s="45">
        <f>MROUND(MID($C903,9,3)/Basis!$E$3,0.5)</f>
        <v>80</v>
      </c>
      <c r="F903" s="124" t="s">
        <v>2948</v>
      </c>
      <c r="G903" s="45">
        <f>ROUND((ROUNDDOWN($F903/5,0)*5+3)/Basis!$E$3,1)</f>
        <v>9.1</v>
      </c>
      <c r="H903" s="120">
        <f>ROUND($P903*Basis!$E$2*((TaH-TrH)/LN(1/µ)/Basis!$E$7)^$N903*$AA$4*Glycol,0)</f>
        <v>10462</v>
      </c>
      <c r="I903" s="83">
        <f>ROUND(H903/(MID($C903,9,3)/Basis!$E$3/Basis!$E$9)*Basis!$E$11,0)</f>
        <v>1571</v>
      </c>
      <c r="J903" s="123">
        <f>IF(Basis!$E$1=1,ROUND(H903/((TaH-TrH)*1.163)/3600,3),ROUND(H903/(500*(TaH-TrH)),2))</f>
        <v>1.05</v>
      </c>
      <c r="K903" s="84"/>
      <c r="L903" s="177">
        <f>CHOOSE(Basis!$E$1,((AJ903*(J903*3600/Basis!$E$5)^AK903*(((MID(C903,9,3)*10)-144)/1000)*AL903+AM903*(J903*3600/Basis!$E$5)^2)*0.0098)/Basis!$E$10,((AJ903*(J903/Basis!$E$5)^AK903*(((MID(C903,9,3)*10)-144)/1000)*AL903+AM903*(J903/Basis!$E$5)^2)*0.0098)/Basis!$E$10)</f>
        <v>0.13467750260808514</v>
      </c>
      <c r="M903" s="85"/>
      <c r="N903" s="109">
        <v>1.492</v>
      </c>
      <c r="O903" s="68"/>
      <c r="P903" s="67">
        <v>5017</v>
      </c>
      <c r="Q903" s="68"/>
      <c r="R903" s="69"/>
      <c r="S903" s="69"/>
      <c r="T903" s="69"/>
      <c r="U903" s="69"/>
      <c r="V903" s="69"/>
      <c r="W903" s="68"/>
      <c r="X903" s="70"/>
      <c r="Y903" s="70"/>
      <c r="Z903" s="70"/>
      <c r="AA903" s="70"/>
      <c r="AB903" s="70"/>
      <c r="AC903" s="68"/>
      <c r="AD903" s="71"/>
      <c r="AE903" s="71"/>
      <c r="AF903" s="71"/>
      <c r="AG903" s="71"/>
      <c r="AH903" s="71"/>
      <c r="AI903" s="68"/>
      <c r="AJ903" s="214">
        <v>1.2760000000000001E-4</v>
      </c>
      <c r="AK903" s="214">
        <v>1.7219</v>
      </c>
      <c r="AL903" s="214">
        <v>4</v>
      </c>
      <c r="AM903" s="214">
        <v>5.1420100000000005E-4</v>
      </c>
      <c r="AN903" s="68"/>
      <c r="AO903" s="67"/>
      <c r="AP903" s="67"/>
      <c r="AQ903" s="67"/>
      <c r="AR903" s="67"/>
      <c r="AS903" s="67"/>
      <c r="AT903" s="68"/>
      <c r="AU903" s="49"/>
      <c r="AV903" s="50"/>
    </row>
    <row r="904" spans="1:48" ht="12.75" customHeight="1" x14ac:dyDescent="0.25">
      <c r="A904" s="72" t="s">
        <v>20</v>
      </c>
      <c r="B904" s="43" t="s">
        <v>889</v>
      </c>
      <c r="C904" s="44" t="s">
        <v>1058</v>
      </c>
      <c r="D904" s="45">
        <f>MROUND(MID($C904,6,3)/Basis!$E$3,0.5)</f>
        <v>29</v>
      </c>
      <c r="E904" s="45">
        <f>MROUND(MID($C904,9,3)/Basis!$E$3,0.5)</f>
        <v>25</v>
      </c>
      <c r="F904" s="124" t="s">
        <v>2946</v>
      </c>
      <c r="G904" s="45">
        <f>ROUND((ROUNDDOWN($F904/5,0)*5+3)/Basis!$E$3,1)</f>
        <v>5.0999999999999996</v>
      </c>
      <c r="H904" s="120">
        <f>ROUND($P904*Basis!$E$2*((TaH-TrH)/LN(1/µ)/Basis!$E$7)^$N904*$AA$4*Glycol,0)</f>
        <v>1010</v>
      </c>
      <c r="I904" s="83">
        <f>ROUND(H904/(MID($C904,9,3)/Basis!$E$3/Basis!$E$9)*Basis!$E$11,0)</f>
        <v>489</v>
      </c>
      <c r="J904" s="123">
        <f>IF(Basis!$E$1=1,ROUND(H904/((TaH-TrH)*1.163)/3600,3),ROUND(H904/(500*(TaH-TrH)),2))</f>
        <v>0.1</v>
      </c>
      <c r="K904" s="84"/>
      <c r="L904" s="177">
        <f>CHOOSE(Basis!$E$1,((AJ904*(J904*3600/Basis!$E$5)^AK904*(((MID(C904,9,3)*10)-144)/1000)*AL904+AM904*(J904*3600/Basis!$E$5)^2)*0.0098)/Basis!$E$10,((AJ904*(J904/Basis!$E$5)^AK904*(((MID(C904,9,3)*10)-144)/1000)*AL904+AM904*(J904/Basis!$E$5)^2)*0.0098)/Basis!$E$10)</f>
        <v>1.5368060166197699E-3</v>
      </c>
      <c r="M904" s="85"/>
      <c r="N904" s="109">
        <v>1.4379999999999999</v>
      </c>
      <c r="O904" s="68"/>
      <c r="P904" s="67">
        <v>476</v>
      </c>
      <c r="Q904" s="68"/>
      <c r="R904" s="69"/>
      <c r="S904" s="69"/>
      <c r="T904" s="69"/>
      <c r="U904" s="69"/>
      <c r="V904" s="69"/>
      <c r="W904" s="68"/>
      <c r="X904" s="70"/>
      <c r="Y904" s="70"/>
      <c r="Z904" s="70"/>
      <c r="AA904" s="70"/>
      <c r="AB904" s="70"/>
      <c r="AC904" s="68"/>
      <c r="AD904" s="71"/>
      <c r="AE904" s="71"/>
      <c r="AF904" s="71"/>
      <c r="AG904" s="71"/>
      <c r="AH904" s="71"/>
      <c r="AI904" s="68"/>
      <c r="AJ904" s="214">
        <v>3.9689999999999994E-4</v>
      </c>
      <c r="AK904" s="214">
        <v>1.7345999999999999</v>
      </c>
      <c r="AL904" s="214">
        <v>4</v>
      </c>
      <c r="AM904" s="214">
        <v>5.7428799999999995E-4</v>
      </c>
      <c r="AN904" s="68"/>
      <c r="AO904" s="67"/>
      <c r="AP904" s="67"/>
      <c r="AQ904" s="67"/>
      <c r="AR904" s="67"/>
      <c r="AS904" s="67"/>
      <c r="AT904" s="68"/>
      <c r="AU904" s="49"/>
      <c r="AV904" s="50"/>
    </row>
    <row r="905" spans="1:48" ht="12.75" customHeight="1" x14ac:dyDescent="0.25">
      <c r="A905" s="72" t="s">
        <v>20</v>
      </c>
      <c r="B905" s="43" t="s">
        <v>889</v>
      </c>
      <c r="C905" s="44" t="s">
        <v>1059</v>
      </c>
      <c r="D905" s="45">
        <f>MROUND(MID($C905,6,3)/Basis!$E$3,0.5)</f>
        <v>29</v>
      </c>
      <c r="E905" s="45">
        <f>MROUND(MID($C905,9,3)/Basis!$E$3,0.5)</f>
        <v>25</v>
      </c>
      <c r="F905" s="124" t="s">
        <v>2946</v>
      </c>
      <c r="G905" s="45">
        <f>ROUND((ROUNDDOWN($F905/5,0)*5+3)/Basis!$E$3,1)</f>
        <v>5.0999999999999996</v>
      </c>
      <c r="H905" s="120">
        <f>ROUND($P905*Basis!$E$2*((TaH-TrH)/LN(1/µ)/Basis!$E$7)^$N905*$AA$4*Glycol,0)</f>
        <v>1261</v>
      </c>
      <c r="I905" s="83">
        <f>ROUND(H905/(MID($C905,9,3)/Basis!$E$3/Basis!$E$9)*Basis!$E$11,0)</f>
        <v>610</v>
      </c>
      <c r="J905" s="123">
        <f>IF(Basis!$E$1=1,ROUND(H905/((TaH-TrH)*1.163)/3600,3),ROUND(H905/(500*(TaH-TrH)),2))</f>
        <v>0.13</v>
      </c>
      <c r="K905" s="84"/>
      <c r="L905" s="177">
        <f>CHOOSE(Basis!$E$1,((AJ905*(J905*3600/Basis!$E$5)^AK905*(((MID(C905,9,3)*10)-144)/1000)*AL905+AM905*(J905*3600/Basis!$E$5)^2)*0.0098)/Basis!$E$10,((AJ905*(J905/Basis!$E$5)^AK905*(((MID(C905,9,3)*10)-144)/1000)*AL905+AM905*(J905/Basis!$E$5)^2)*0.0098)/Basis!$E$10)</f>
        <v>2.5326180143065325E-3</v>
      </c>
      <c r="M905" s="85"/>
      <c r="N905" s="109">
        <v>1.4370000000000001</v>
      </c>
      <c r="O905" s="68"/>
      <c r="P905" s="67">
        <v>594</v>
      </c>
      <c r="Q905" s="68"/>
      <c r="R905" s="69"/>
      <c r="S905" s="69"/>
      <c r="T905" s="69"/>
      <c r="U905" s="69"/>
      <c r="V905" s="69"/>
      <c r="W905" s="68"/>
      <c r="X905" s="70"/>
      <c r="Y905" s="70"/>
      <c r="Z905" s="70"/>
      <c r="AA905" s="70"/>
      <c r="AB905" s="70"/>
      <c r="AC905" s="68"/>
      <c r="AD905" s="71"/>
      <c r="AE905" s="71"/>
      <c r="AF905" s="71"/>
      <c r="AG905" s="71"/>
      <c r="AH905" s="71"/>
      <c r="AI905" s="68"/>
      <c r="AJ905" s="214">
        <v>3.9689999999999994E-4</v>
      </c>
      <c r="AK905" s="214">
        <v>1.7345999999999999</v>
      </c>
      <c r="AL905" s="214">
        <v>4</v>
      </c>
      <c r="AM905" s="214">
        <v>5.7428799999999995E-4</v>
      </c>
      <c r="AN905" s="68"/>
      <c r="AO905" s="67"/>
      <c r="AP905" s="67"/>
      <c r="AQ905" s="67"/>
      <c r="AR905" s="67"/>
      <c r="AS905" s="67"/>
      <c r="AT905" s="68"/>
      <c r="AU905" s="49"/>
      <c r="AV905" s="50"/>
    </row>
    <row r="906" spans="1:48" ht="12.75" customHeight="1" x14ac:dyDescent="0.25">
      <c r="A906" s="72" t="s">
        <v>20</v>
      </c>
      <c r="B906" s="43" t="s">
        <v>889</v>
      </c>
      <c r="C906" s="44" t="s">
        <v>1060</v>
      </c>
      <c r="D906" s="45">
        <f>MROUND(MID($C906,6,3)/Basis!$E$3,0.5)</f>
        <v>29</v>
      </c>
      <c r="E906" s="45">
        <f>MROUND(MID($C906,9,3)/Basis!$E$3,0.5)</f>
        <v>25</v>
      </c>
      <c r="F906" s="124" t="s">
        <v>2946</v>
      </c>
      <c r="G906" s="45">
        <f>ROUND((ROUNDDOWN($F906/5,0)*5+3)/Basis!$E$3,1)</f>
        <v>5.0999999999999996</v>
      </c>
      <c r="H906" s="120">
        <f>ROUND($P906*Basis!$E$2*((TaH-TrH)/LN(1/µ)/Basis!$E$7)^$N906*$AA$4*Glycol,0)</f>
        <v>1208</v>
      </c>
      <c r="I906" s="83">
        <f>ROUND(H906/(MID($C906,9,3)/Basis!$E$3/Basis!$E$9)*Basis!$E$11,0)</f>
        <v>584</v>
      </c>
      <c r="J906" s="123">
        <f>IF(Basis!$E$1=1,ROUND(H906/((TaH-TrH)*1.163)/3600,3),ROUND(H906/(500*(TaH-TrH)),2))</f>
        <v>0.12</v>
      </c>
      <c r="K906" s="84"/>
      <c r="L906" s="177">
        <f>CHOOSE(Basis!$E$1,((AJ906*(J906*3600/Basis!$E$5)^AK906*(((MID(C906,9,3)*10)-144)/1000)*AL906+AM906*(J906*3600/Basis!$E$5)^2)*0.0098)/Basis!$E$10,((AJ906*(J906/Basis!$E$5)^AK906*(((MID(C906,9,3)*10)-144)/1000)*AL906+AM906*(J906/Basis!$E$5)^2)*0.0098)/Basis!$E$10)</f>
        <v>2.1743548315009916E-3</v>
      </c>
      <c r="M906" s="85"/>
      <c r="N906" s="109">
        <v>1.4370000000000001</v>
      </c>
      <c r="O906" s="68"/>
      <c r="P906" s="67">
        <v>569</v>
      </c>
      <c r="Q906" s="68"/>
      <c r="R906" s="69"/>
      <c r="S906" s="69"/>
      <c r="T906" s="69"/>
      <c r="U906" s="69"/>
      <c r="V906" s="69"/>
      <c r="W906" s="68"/>
      <c r="X906" s="70"/>
      <c r="Y906" s="70"/>
      <c r="Z906" s="70"/>
      <c r="AA906" s="70"/>
      <c r="AB906" s="70"/>
      <c r="AC906" s="68"/>
      <c r="AD906" s="71"/>
      <c r="AE906" s="71"/>
      <c r="AF906" s="71"/>
      <c r="AG906" s="71"/>
      <c r="AH906" s="71"/>
      <c r="AI906" s="68"/>
      <c r="AJ906" s="214">
        <v>3.9689999999999994E-4</v>
      </c>
      <c r="AK906" s="214">
        <v>1.7345999999999999</v>
      </c>
      <c r="AL906" s="214">
        <v>4</v>
      </c>
      <c r="AM906" s="214">
        <v>5.7428799999999995E-4</v>
      </c>
      <c r="AN906" s="68"/>
      <c r="AO906" s="67"/>
      <c r="AP906" s="67"/>
      <c r="AQ906" s="67"/>
      <c r="AR906" s="67"/>
      <c r="AS906" s="67"/>
      <c r="AT906" s="68"/>
      <c r="AU906" s="49"/>
      <c r="AV906" s="50"/>
    </row>
    <row r="907" spans="1:48" ht="12.75" customHeight="1" x14ac:dyDescent="0.25">
      <c r="A907" s="72" t="s">
        <v>20</v>
      </c>
      <c r="B907" s="43" t="s">
        <v>889</v>
      </c>
      <c r="C907" s="44" t="s">
        <v>1061</v>
      </c>
      <c r="D907" s="45">
        <f>MROUND(MID($C907,6,3)/Basis!$E$3,0.5)</f>
        <v>29</v>
      </c>
      <c r="E907" s="45">
        <f>MROUND(MID($C907,9,3)/Basis!$E$3,0.5)</f>
        <v>25</v>
      </c>
      <c r="F907" s="124" t="s">
        <v>2946</v>
      </c>
      <c r="G907" s="45">
        <f>ROUND((ROUNDDOWN($F907/5,0)*5+3)/Basis!$E$3,1)</f>
        <v>5.0999999999999996</v>
      </c>
      <c r="H907" s="120">
        <f>ROUND($P907*Basis!$E$2*((TaH-TrH)/LN(1/µ)/Basis!$E$7)^$N907*$AA$4*Glycol,0)</f>
        <v>1340</v>
      </c>
      <c r="I907" s="83">
        <f>ROUND(H907/(MID($C907,9,3)/Basis!$E$3/Basis!$E$9)*Basis!$E$11,0)</f>
        <v>648</v>
      </c>
      <c r="J907" s="123">
        <f>IF(Basis!$E$1=1,ROUND(H907/((TaH-TrH)*1.163)/3600,3),ROUND(H907/(500*(TaH-TrH)),2))</f>
        <v>0.13</v>
      </c>
      <c r="K907" s="84"/>
      <c r="L907" s="177">
        <f>CHOOSE(Basis!$E$1,((AJ907*(J907*3600/Basis!$E$5)^AK907*(((MID(C907,9,3)*10)-144)/1000)*AL907+AM907*(J907*3600/Basis!$E$5)^2)*0.0098)/Basis!$E$10,((AJ907*(J907/Basis!$E$5)^AK907*(((MID(C907,9,3)*10)-144)/1000)*AL907+AM907*(J907/Basis!$E$5)^2)*0.0098)/Basis!$E$10)</f>
        <v>2.5326180143065325E-3</v>
      </c>
      <c r="M907" s="85"/>
      <c r="N907" s="109">
        <v>1.4359999999999999</v>
      </c>
      <c r="O907" s="68"/>
      <c r="P907" s="67">
        <v>631</v>
      </c>
      <c r="Q907" s="68"/>
      <c r="R907" s="69"/>
      <c r="S907" s="69"/>
      <c r="T907" s="69"/>
      <c r="U907" s="69"/>
      <c r="V907" s="69"/>
      <c r="W907" s="68"/>
      <c r="X907" s="70"/>
      <c r="Y907" s="70"/>
      <c r="Z907" s="70"/>
      <c r="AA907" s="70"/>
      <c r="AB907" s="70"/>
      <c r="AC907" s="68"/>
      <c r="AD907" s="71"/>
      <c r="AE907" s="71"/>
      <c r="AF907" s="71"/>
      <c r="AG907" s="71"/>
      <c r="AH907" s="71"/>
      <c r="AI907" s="68"/>
      <c r="AJ907" s="214">
        <v>3.9689999999999994E-4</v>
      </c>
      <c r="AK907" s="214">
        <v>1.7345999999999999</v>
      </c>
      <c r="AL907" s="214">
        <v>4</v>
      </c>
      <c r="AM907" s="214">
        <v>5.7428799999999995E-4</v>
      </c>
      <c r="AN907" s="68"/>
      <c r="AO907" s="67"/>
      <c r="AP907" s="67"/>
      <c r="AQ907" s="67"/>
      <c r="AR907" s="67"/>
      <c r="AS907" s="67"/>
      <c r="AT907" s="68"/>
      <c r="AU907" s="49"/>
      <c r="AV907" s="50"/>
    </row>
    <row r="908" spans="1:48" ht="12.75" customHeight="1" x14ac:dyDescent="0.25">
      <c r="A908" s="72" t="s">
        <v>20</v>
      </c>
      <c r="B908" s="43" t="s">
        <v>889</v>
      </c>
      <c r="C908" s="44" t="s">
        <v>1062</v>
      </c>
      <c r="D908" s="45">
        <f>MROUND(MID($C908,6,3)/Basis!$E$3,0.5)</f>
        <v>29</v>
      </c>
      <c r="E908" s="45">
        <f>MROUND(MID($C908,9,3)/Basis!$E$3,0.5)</f>
        <v>25</v>
      </c>
      <c r="F908" s="124" t="s">
        <v>2947</v>
      </c>
      <c r="G908" s="45">
        <f>ROUND((ROUNDDOWN($F908/5,0)*5+3)/Basis!$E$3,1)</f>
        <v>7.1</v>
      </c>
      <c r="H908" s="120">
        <f>ROUND($P908*Basis!$E$2*((TaH-TrH)/LN(1/µ)/Basis!$E$7)^$N908*$AA$4*Glycol,0)</f>
        <v>1389</v>
      </c>
      <c r="I908" s="83">
        <f>ROUND(H908/(MID($C908,9,3)/Basis!$E$3/Basis!$E$9)*Basis!$E$11,0)</f>
        <v>672</v>
      </c>
      <c r="J908" s="123">
        <f>IF(Basis!$E$1=1,ROUND(H908/((TaH-TrH)*1.163)/3600,3),ROUND(H908/(500*(TaH-TrH)),2))</f>
        <v>0.14000000000000001</v>
      </c>
      <c r="K908" s="84"/>
      <c r="L908" s="177">
        <f>CHOOSE(Basis!$E$1,((AJ908*(J908*3600/Basis!$E$5)^AK908*(((MID(C908,9,3)*10)-144)/1000)*AL908+AM908*(J908*3600/Basis!$E$5)^2)*0.0098)/Basis!$E$10,((AJ908*(J908/Basis!$E$5)^AK908*(((MID(C908,9,3)*10)-144)/1000)*AL908+AM908*(J908/Basis!$E$5)^2)*0.0098)/Basis!$E$10)</f>
        <v>5.1197458244620344E-3</v>
      </c>
      <c r="M908" s="85"/>
      <c r="N908" s="109">
        <v>1.464</v>
      </c>
      <c r="O908" s="68"/>
      <c r="P908" s="67">
        <v>660</v>
      </c>
      <c r="Q908" s="68"/>
      <c r="R908" s="69"/>
      <c r="S908" s="69"/>
      <c r="T908" s="69"/>
      <c r="U908" s="69"/>
      <c r="V908" s="69"/>
      <c r="W908" s="68"/>
      <c r="X908" s="70"/>
      <c r="Y908" s="70"/>
      <c r="Z908" s="70"/>
      <c r="AA908" s="70"/>
      <c r="AB908" s="70"/>
      <c r="AC908" s="68"/>
      <c r="AD908" s="71"/>
      <c r="AE908" s="71"/>
      <c r="AF908" s="71"/>
      <c r="AG908" s="71"/>
      <c r="AH908" s="71"/>
      <c r="AI908" s="68"/>
      <c r="AJ908" s="214">
        <v>2.0829999999999999E-4</v>
      </c>
      <c r="AK908" s="214">
        <v>1.724</v>
      </c>
      <c r="AL908" s="214">
        <v>4</v>
      </c>
      <c r="AM908" s="214">
        <v>1.392796E-3</v>
      </c>
      <c r="AN908" s="68"/>
      <c r="AO908" s="67"/>
      <c r="AP908" s="67"/>
      <c r="AQ908" s="67"/>
      <c r="AR908" s="67"/>
      <c r="AS908" s="67"/>
      <c r="AT908" s="68"/>
      <c r="AU908" s="49"/>
      <c r="AV908" s="50"/>
    </row>
    <row r="909" spans="1:48" ht="12.75" customHeight="1" x14ac:dyDescent="0.25">
      <c r="A909" s="72" t="s">
        <v>20</v>
      </c>
      <c r="B909" s="43" t="s">
        <v>889</v>
      </c>
      <c r="C909" s="44" t="s">
        <v>1063</v>
      </c>
      <c r="D909" s="45">
        <f>MROUND(MID($C909,6,3)/Basis!$E$3,0.5)</f>
        <v>29</v>
      </c>
      <c r="E909" s="45">
        <f>MROUND(MID($C909,9,3)/Basis!$E$3,0.5)</f>
        <v>25</v>
      </c>
      <c r="F909" s="124" t="s">
        <v>2947</v>
      </c>
      <c r="G909" s="45">
        <f>ROUND((ROUNDDOWN($F909/5,0)*5+3)/Basis!$E$3,1)</f>
        <v>7.1</v>
      </c>
      <c r="H909" s="120">
        <f>ROUND($P909*Basis!$E$2*((TaH-TrH)/LN(1/µ)/Basis!$E$7)^$N909*$AA$4*Glycol,0)</f>
        <v>1860</v>
      </c>
      <c r="I909" s="83">
        <f>ROUND(H909/(MID($C909,9,3)/Basis!$E$3/Basis!$E$9)*Basis!$E$11,0)</f>
        <v>900</v>
      </c>
      <c r="J909" s="123">
        <f>IF(Basis!$E$1=1,ROUND(H909/((TaH-TrH)*1.163)/3600,3),ROUND(H909/(500*(TaH-TrH)),2))</f>
        <v>0.19</v>
      </c>
      <c r="K909" s="84"/>
      <c r="L909" s="177">
        <f>CHOOSE(Basis!$E$1,((AJ909*(J909*3600/Basis!$E$5)^AK909*(((MID(C909,9,3)*10)-144)/1000)*AL909+AM909*(J909*3600/Basis!$E$5)^2)*0.0098)/Basis!$E$10,((AJ909*(J909/Basis!$E$5)^AK909*(((MID(C909,9,3)*10)-144)/1000)*AL909+AM909*(J909/Basis!$E$5)^2)*0.0098)/Basis!$E$10)</f>
        <v>9.3530258891813805E-3</v>
      </c>
      <c r="M909" s="85"/>
      <c r="N909" s="109">
        <v>1.468</v>
      </c>
      <c r="O909" s="68"/>
      <c r="P909" s="67">
        <v>885</v>
      </c>
      <c r="Q909" s="68"/>
      <c r="R909" s="69"/>
      <c r="S909" s="69"/>
      <c r="T909" s="69"/>
      <c r="U909" s="69"/>
      <c r="V909" s="69"/>
      <c r="W909" s="68"/>
      <c r="X909" s="70"/>
      <c r="Y909" s="70"/>
      <c r="Z909" s="70"/>
      <c r="AA909" s="70"/>
      <c r="AB909" s="70"/>
      <c r="AC909" s="68"/>
      <c r="AD909" s="71"/>
      <c r="AE909" s="71"/>
      <c r="AF909" s="71"/>
      <c r="AG909" s="71"/>
      <c r="AH909" s="71"/>
      <c r="AI909" s="68"/>
      <c r="AJ909" s="214">
        <v>2.0829999999999999E-4</v>
      </c>
      <c r="AK909" s="214">
        <v>1.724</v>
      </c>
      <c r="AL909" s="214">
        <v>4</v>
      </c>
      <c r="AM909" s="214">
        <v>1.392796E-3</v>
      </c>
      <c r="AN909" s="68"/>
      <c r="AO909" s="67"/>
      <c r="AP909" s="67"/>
      <c r="AQ909" s="67"/>
      <c r="AR909" s="67"/>
      <c r="AS909" s="67"/>
      <c r="AT909" s="68"/>
      <c r="AU909" s="49"/>
      <c r="AV909" s="50"/>
    </row>
    <row r="910" spans="1:48" ht="12.75" customHeight="1" x14ac:dyDescent="0.25">
      <c r="A910" s="72" t="s">
        <v>20</v>
      </c>
      <c r="B910" s="43" t="s">
        <v>889</v>
      </c>
      <c r="C910" s="44" t="s">
        <v>1064</v>
      </c>
      <c r="D910" s="45">
        <f>MROUND(MID($C910,6,3)/Basis!$E$3,0.5)</f>
        <v>29</v>
      </c>
      <c r="E910" s="45">
        <f>MROUND(MID($C910,9,3)/Basis!$E$3,0.5)</f>
        <v>25</v>
      </c>
      <c r="F910" s="124" t="s">
        <v>2947</v>
      </c>
      <c r="G910" s="45">
        <f>ROUND((ROUNDDOWN($F910/5,0)*5+3)/Basis!$E$3,1)</f>
        <v>7.1</v>
      </c>
      <c r="H910" s="120">
        <f>ROUND($P910*Basis!$E$2*((TaH-TrH)/LN(1/µ)/Basis!$E$7)^$N910*$AA$4*Glycol,0)</f>
        <v>1676</v>
      </c>
      <c r="I910" s="83">
        <f>ROUND(H910/(MID($C910,9,3)/Basis!$E$3/Basis!$E$9)*Basis!$E$11,0)</f>
        <v>811</v>
      </c>
      <c r="J910" s="123">
        <f>IF(Basis!$E$1=1,ROUND(H910/((TaH-TrH)*1.163)/3600,3),ROUND(H910/(500*(TaH-TrH)),2))</f>
        <v>0.17</v>
      </c>
      <c r="K910" s="84"/>
      <c r="L910" s="177">
        <f>CHOOSE(Basis!$E$1,((AJ910*(J910*3600/Basis!$E$5)^AK910*(((MID(C910,9,3)*10)-144)/1000)*AL910+AM910*(J910*3600/Basis!$E$5)^2)*0.0098)/Basis!$E$10,((AJ910*(J910/Basis!$E$5)^AK910*(((MID(C910,9,3)*10)-144)/1000)*AL910+AM910*(J910/Basis!$E$5)^2)*0.0098)/Basis!$E$10)</f>
        <v>7.5093723739737966E-3</v>
      </c>
      <c r="M910" s="85"/>
      <c r="N910" s="109">
        <v>1.47</v>
      </c>
      <c r="O910" s="68"/>
      <c r="P910" s="67">
        <v>798</v>
      </c>
      <c r="Q910" s="68"/>
      <c r="R910" s="69"/>
      <c r="S910" s="69"/>
      <c r="T910" s="69"/>
      <c r="U910" s="69"/>
      <c r="V910" s="69"/>
      <c r="W910" s="68"/>
      <c r="X910" s="70"/>
      <c r="Y910" s="70"/>
      <c r="Z910" s="70"/>
      <c r="AA910" s="70"/>
      <c r="AB910" s="70"/>
      <c r="AC910" s="68"/>
      <c r="AD910" s="71"/>
      <c r="AE910" s="71"/>
      <c r="AF910" s="71"/>
      <c r="AG910" s="71"/>
      <c r="AH910" s="71"/>
      <c r="AI910" s="68"/>
      <c r="AJ910" s="214">
        <v>2.0829999999999999E-4</v>
      </c>
      <c r="AK910" s="214">
        <v>1.724</v>
      </c>
      <c r="AL910" s="214">
        <v>4</v>
      </c>
      <c r="AM910" s="214">
        <v>1.392796E-3</v>
      </c>
      <c r="AN910" s="68"/>
      <c r="AO910" s="67"/>
      <c r="AP910" s="67"/>
      <c r="AQ910" s="67"/>
      <c r="AR910" s="67"/>
      <c r="AS910" s="67"/>
      <c r="AT910" s="68"/>
      <c r="AU910" s="49"/>
      <c r="AV910" s="50"/>
    </row>
    <row r="911" spans="1:48" ht="12.75" customHeight="1" x14ac:dyDescent="0.25">
      <c r="A911" s="72" t="s">
        <v>20</v>
      </c>
      <c r="B911" s="43" t="s">
        <v>889</v>
      </c>
      <c r="C911" s="44" t="s">
        <v>1065</v>
      </c>
      <c r="D911" s="45">
        <f>MROUND(MID($C911,6,3)/Basis!$E$3,0.5)</f>
        <v>29</v>
      </c>
      <c r="E911" s="45">
        <f>MROUND(MID($C911,9,3)/Basis!$E$3,0.5)</f>
        <v>25</v>
      </c>
      <c r="F911" s="124" t="s">
        <v>2947</v>
      </c>
      <c r="G911" s="45">
        <f>ROUND((ROUNDDOWN($F911/5,0)*5+3)/Basis!$E$3,1)</f>
        <v>7.1</v>
      </c>
      <c r="H911" s="120">
        <f>ROUND($P911*Basis!$E$2*((TaH-TrH)/LN(1/µ)/Basis!$E$7)^$N911*$AA$4*Glycol,0)</f>
        <v>2010</v>
      </c>
      <c r="I911" s="83">
        <f>ROUND(H911/(MID($C911,9,3)/Basis!$E$3/Basis!$E$9)*Basis!$E$11,0)</f>
        <v>972</v>
      </c>
      <c r="J911" s="123">
        <f>IF(Basis!$E$1=1,ROUND(H911/((TaH-TrH)*1.163)/3600,3),ROUND(H911/(500*(TaH-TrH)),2))</f>
        <v>0.2</v>
      </c>
      <c r="K911" s="84"/>
      <c r="L911" s="177">
        <f>CHOOSE(Basis!$E$1,((AJ911*(J911*3600/Basis!$E$5)^AK911*(((MID(C911,9,3)*10)-144)/1000)*AL911+AM911*(J911*3600/Basis!$E$5)^2)*0.0098)/Basis!$E$10,((AJ911*(J911/Basis!$E$5)^AK911*(((MID(C911,9,3)*10)-144)/1000)*AL911+AM911*(J911/Basis!$E$5)^2)*0.0098)/Basis!$E$10)</f>
        <v>1.0349876660862243E-2</v>
      </c>
      <c r="M911" s="85"/>
      <c r="N911" s="109">
        <v>1.474</v>
      </c>
      <c r="O911" s="68"/>
      <c r="P911" s="67">
        <v>958</v>
      </c>
      <c r="Q911" s="68"/>
      <c r="R911" s="69"/>
      <c r="S911" s="69"/>
      <c r="T911" s="69"/>
      <c r="U911" s="69"/>
      <c r="V911" s="69"/>
      <c r="W911" s="68"/>
      <c r="X911" s="70"/>
      <c r="Y911" s="70"/>
      <c r="Z911" s="70"/>
      <c r="AA911" s="70"/>
      <c r="AB911" s="70"/>
      <c r="AC911" s="68"/>
      <c r="AD911" s="71"/>
      <c r="AE911" s="71"/>
      <c r="AF911" s="71"/>
      <c r="AG911" s="71"/>
      <c r="AH911" s="71"/>
      <c r="AI911" s="68"/>
      <c r="AJ911" s="214">
        <v>2.0829999999999999E-4</v>
      </c>
      <c r="AK911" s="214">
        <v>1.724</v>
      </c>
      <c r="AL911" s="214">
        <v>4</v>
      </c>
      <c r="AM911" s="214">
        <v>1.392796E-3</v>
      </c>
      <c r="AN911" s="68"/>
      <c r="AO911" s="67"/>
      <c r="AP911" s="67"/>
      <c r="AQ911" s="67"/>
      <c r="AR911" s="67"/>
      <c r="AS911" s="67"/>
      <c r="AT911" s="68"/>
      <c r="AU911" s="49"/>
      <c r="AV911" s="50"/>
    </row>
    <row r="912" spans="1:48" ht="12.75" customHeight="1" x14ac:dyDescent="0.25">
      <c r="A912" s="72" t="s">
        <v>20</v>
      </c>
      <c r="B912" s="43" t="s">
        <v>889</v>
      </c>
      <c r="C912" s="44" t="s">
        <v>1066</v>
      </c>
      <c r="D912" s="45">
        <f>MROUND(MID($C912,6,3)/Basis!$E$3,0.5)</f>
        <v>29</v>
      </c>
      <c r="E912" s="45">
        <f>MROUND(MID($C912,9,3)/Basis!$E$3,0.5)</f>
        <v>25</v>
      </c>
      <c r="F912" s="124" t="s">
        <v>2948</v>
      </c>
      <c r="G912" s="45">
        <f>ROUND((ROUNDDOWN($F912/5,0)*5+3)/Basis!$E$3,1)</f>
        <v>9.1</v>
      </c>
      <c r="H912" s="120">
        <f>ROUND($P912*Basis!$E$2*((TaH-TrH)/LN(1/µ)/Basis!$E$7)^$N912*$AA$4*Glycol,0)</f>
        <v>1737</v>
      </c>
      <c r="I912" s="83">
        <f>ROUND(H912/(MID($C912,9,3)/Basis!$E$3/Basis!$E$9)*Basis!$E$11,0)</f>
        <v>840</v>
      </c>
      <c r="J912" s="123">
        <f>IF(Basis!$E$1=1,ROUND(H912/((TaH-TrH)*1.163)/3600,3),ROUND(H912/(500*(TaH-TrH)),2))</f>
        <v>0.17</v>
      </c>
      <c r="K912" s="84"/>
      <c r="L912" s="177">
        <f>CHOOSE(Basis!$E$1,((AJ912*(J912*3600/Basis!$E$5)^AK912*(((MID(C912,9,3)*10)-144)/1000)*AL912+AM912*(J912*3600/Basis!$E$5)^2)*0.0098)/Basis!$E$10,((AJ912*(J912/Basis!$E$5)^AK912*(((MID(C912,9,3)*10)-144)/1000)*AL912+AM912*(J912/Basis!$E$5)^2)*0.0098)/Basis!$E$10)</f>
        <v>2.9442510265827514E-3</v>
      </c>
      <c r="M912" s="85"/>
      <c r="N912" s="109">
        <v>1.484</v>
      </c>
      <c r="O912" s="68"/>
      <c r="P912" s="67">
        <v>831</v>
      </c>
      <c r="Q912" s="68"/>
      <c r="R912" s="69"/>
      <c r="S912" s="69"/>
      <c r="T912" s="69"/>
      <c r="U912" s="69"/>
      <c r="V912" s="69"/>
      <c r="W912" s="68"/>
      <c r="X912" s="70"/>
      <c r="Y912" s="70"/>
      <c r="Z912" s="70"/>
      <c r="AA912" s="70"/>
      <c r="AB912" s="70"/>
      <c r="AC912" s="68"/>
      <c r="AD912" s="71"/>
      <c r="AE912" s="71"/>
      <c r="AF912" s="71"/>
      <c r="AG912" s="71"/>
      <c r="AH912" s="71"/>
      <c r="AI912" s="68"/>
      <c r="AJ912" s="214">
        <v>1.2760000000000001E-4</v>
      </c>
      <c r="AK912" s="214">
        <v>1.7219</v>
      </c>
      <c r="AL912" s="214">
        <v>4</v>
      </c>
      <c r="AM912" s="214">
        <v>5.1420100000000005E-4</v>
      </c>
      <c r="AN912" s="68"/>
      <c r="AO912" s="67"/>
      <c r="AP912" s="67"/>
      <c r="AQ912" s="67"/>
      <c r="AR912" s="67"/>
      <c r="AS912" s="67"/>
      <c r="AT912" s="68"/>
      <c r="AU912" s="49"/>
      <c r="AV912" s="50"/>
    </row>
    <row r="913" spans="1:48" ht="12.75" customHeight="1" x14ac:dyDescent="0.25">
      <c r="A913" s="72" t="s">
        <v>20</v>
      </c>
      <c r="B913" s="43" t="s">
        <v>889</v>
      </c>
      <c r="C913" s="44" t="s">
        <v>1067</v>
      </c>
      <c r="D913" s="45">
        <f>MROUND(MID($C913,6,3)/Basis!$E$3,0.5)</f>
        <v>29</v>
      </c>
      <c r="E913" s="45">
        <f>MROUND(MID($C913,9,3)/Basis!$E$3,0.5)</f>
        <v>25</v>
      </c>
      <c r="F913" s="124" t="s">
        <v>2948</v>
      </c>
      <c r="G913" s="45">
        <f>ROUND((ROUNDDOWN($F913/5,0)*5+3)/Basis!$E$3,1)</f>
        <v>9.1</v>
      </c>
      <c r="H913" s="120">
        <f>ROUND($P913*Basis!$E$2*((TaH-TrH)/LN(1/µ)/Basis!$E$7)^$N913*$AA$4*Glycol,0)</f>
        <v>2252</v>
      </c>
      <c r="I913" s="83">
        <f>ROUND(H913/(MID($C913,9,3)/Basis!$E$3/Basis!$E$9)*Basis!$E$11,0)</f>
        <v>1090</v>
      </c>
      <c r="J913" s="123">
        <f>IF(Basis!$E$1=1,ROUND(H913/((TaH-TrH)*1.163)/3600,3),ROUND(H913/(500*(TaH-TrH)),2))</f>
        <v>0.23</v>
      </c>
      <c r="K913" s="84"/>
      <c r="L913" s="177">
        <f>CHOOSE(Basis!$E$1,((AJ913*(J913*3600/Basis!$E$5)^AK913*(((MID(C913,9,3)*10)-144)/1000)*AL913+AM913*(J913*3600/Basis!$E$5)^2)*0.0098)/Basis!$E$10,((AJ913*(J913/Basis!$E$5)^AK913*(((MID(C913,9,3)*10)-144)/1000)*AL913+AM913*(J913/Basis!$E$5)^2)*0.0098)/Basis!$E$10)</f>
        <v>5.3246990364821268E-3</v>
      </c>
      <c r="M913" s="85"/>
      <c r="N913" s="109">
        <v>1.492</v>
      </c>
      <c r="O913" s="68"/>
      <c r="P913" s="67">
        <v>1080</v>
      </c>
      <c r="Q913" s="68"/>
      <c r="R913" s="69"/>
      <c r="S913" s="69"/>
      <c r="T913" s="69"/>
      <c r="U913" s="69"/>
      <c r="V913" s="69"/>
      <c r="W913" s="68"/>
      <c r="X913" s="70"/>
      <c r="Y913" s="70"/>
      <c r="Z913" s="70"/>
      <c r="AA913" s="70"/>
      <c r="AB913" s="70"/>
      <c r="AC913" s="68"/>
      <c r="AD913" s="71"/>
      <c r="AE913" s="71"/>
      <c r="AF913" s="71"/>
      <c r="AG913" s="71"/>
      <c r="AH913" s="71"/>
      <c r="AI913" s="68"/>
      <c r="AJ913" s="214">
        <v>1.2760000000000001E-4</v>
      </c>
      <c r="AK913" s="214">
        <v>1.7219</v>
      </c>
      <c r="AL913" s="214">
        <v>4</v>
      </c>
      <c r="AM913" s="214">
        <v>5.1420100000000005E-4</v>
      </c>
      <c r="AN913" s="68"/>
      <c r="AO913" s="67"/>
      <c r="AP913" s="67"/>
      <c r="AQ913" s="67"/>
      <c r="AR913" s="67"/>
      <c r="AS913" s="67"/>
      <c r="AT913" s="68"/>
      <c r="AU913" s="49"/>
      <c r="AV913" s="50"/>
    </row>
    <row r="914" spans="1:48" ht="12.75" customHeight="1" x14ac:dyDescent="0.25">
      <c r="A914" s="72" t="s">
        <v>20</v>
      </c>
      <c r="B914" s="43" t="s">
        <v>889</v>
      </c>
      <c r="C914" s="44" t="s">
        <v>1068</v>
      </c>
      <c r="D914" s="45">
        <f>MROUND(MID($C914,6,3)/Basis!$E$3,0.5)</f>
        <v>29</v>
      </c>
      <c r="E914" s="45">
        <f>MROUND(MID($C914,9,3)/Basis!$E$3,0.5)</f>
        <v>25</v>
      </c>
      <c r="F914" s="124" t="s">
        <v>2948</v>
      </c>
      <c r="G914" s="45">
        <f>ROUND((ROUNDDOWN($F914/5,0)*5+3)/Basis!$E$3,1)</f>
        <v>9.1</v>
      </c>
      <c r="H914" s="120">
        <f>ROUND($P914*Basis!$E$2*((TaH-TrH)/LN(1/µ)/Basis!$E$7)^$N914*$AA$4*Glycol,0)</f>
        <v>2066</v>
      </c>
      <c r="I914" s="83">
        <f>ROUND(H914/(MID($C914,9,3)/Basis!$E$3/Basis!$E$9)*Basis!$E$11,0)</f>
        <v>1000</v>
      </c>
      <c r="J914" s="123">
        <f>IF(Basis!$E$1=1,ROUND(H914/((TaH-TrH)*1.163)/3600,3),ROUND(H914/(500*(TaH-TrH)),2))</f>
        <v>0.21</v>
      </c>
      <c r="K914" s="84"/>
      <c r="L914" s="177">
        <f>CHOOSE(Basis!$E$1,((AJ914*(J914*3600/Basis!$E$5)^AK914*(((MID(C914,9,3)*10)-144)/1000)*AL914+AM914*(J914*3600/Basis!$E$5)^2)*0.0098)/Basis!$E$10,((AJ914*(J914/Basis!$E$5)^AK914*(((MID(C914,9,3)*10)-144)/1000)*AL914+AM914*(J914/Basis!$E$5)^2)*0.0098)/Basis!$E$10)</f>
        <v>4.454661783345009E-3</v>
      </c>
      <c r="M914" s="85"/>
      <c r="N914" s="109">
        <v>1.496</v>
      </c>
      <c r="O914" s="68"/>
      <c r="P914" s="67">
        <v>992</v>
      </c>
      <c r="Q914" s="68"/>
      <c r="R914" s="69"/>
      <c r="S914" s="69"/>
      <c r="T914" s="69"/>
      <c r="U914" s="69"/>
      <c r="V914" s="69"/>
      <c r="W914" s="68"/>
      <c r="X914" s="70"/>
      <c r="Y914" s="70"/>
      <c r="Z914" s="70"/>
      <c r="AA914" s="70"/>
      <c r="AB914" s="70"/>
      <c r="AC914" s="68"/>
      <c r="AD914" s="71"/>
      <c r="AE914" s="71"/>
      <c r="AF914" s="71"/>
      <c r="AG914" s="71"/>
      <c r="AH914" s="71"/>
      <c r="AI914" s="68"/>
      <c r="AJ914" s="214">
        <v>1.2760000000000001E-4</v>
      </c>
      <c r="AK914" s="214">
        <v>1.7219</v>
      </c>
      <c r="AL914" s="214">
        <v>4</v>
      </c>
      <c r="AM914" s="214">
        <v>5.1420100000000005E-4</v>
      </c>
      <c r="AN914" s="68"/>
      <c r="AO914" s="67"/>
      <c r="AP914" s="67"/>
      <c r="AQ914" s="67"/>
      <c r="AR914" s="67"/>
      <c r="AS914" s="67"/>
      <c r="AT914" s="68"/>
      <c r="AU914" s="49"/>
      <c r="AV914" s="50"/>
    </row>
    <row r="915" spans="1:48" ht="12.75" customHeight="1" x14ac:dyDescent="0.25">
      <c r="A915" s="72" t="s">
        <v>20</v>
      </c>
      <c r="B915" s="43" t="s">
        <v>889</v>
      </c>
      <c r="C915" s="44" t="s">
        <v>1069</v>
      </c>
      <c r="D915" s="45">
        <f>MROUND(MID($C915,6,3)/Basis!$E$3,0.5)</f>
        <v>29</v>
      </c>
      <c r="E915" s="45">
        <f>MROUND(MID($C915,9,3)/Basis!$E$3,0.5)</f>
        <v>25</v>
      </c>
      <c r="F915" s="124" t="s">
        <v>2948</v>
      </c>
      <c r="G915" s="45">
        <f>ROUND((ROUNDDOWN($F915/5,0)*5+3)/Basis!$E$3,1)</f>
        <v>9.1</v>
      </c>
      <c r="H915" s="120">
        <f>ROUND($P915*Basis!$E$2*((TaH-TrH)/LN(1/µ)/Basis!$E$7)^$N915*$AA$4*Glycol,0)</f>
        <v>2797</v>
      </c>
      <c r="I915" s="83">
        <f>ROUND(H915/(MID($C915,9,3)/Basis!$E$3/Basis!$E$9)*Basis!$E$11,0)</f>
        <v>1353</v>
      </c>
      <c r="J915" s="123">
        <f>IF(Basis!$E$1=1,ROUND(H915/((TaH-TrH)*1.163)/3600,3),ROUND(H915/(500*(TaH-TrH)),2))</f>
        <v>0.28000000000000003</v>
      </c>
      <c r="K915" s="84"/>
      <c r="L915" s="177">
        <f>CHOOSE(Basis!$E$1,((AJ915*(J915*3600/Basis!$E$5)^AK915*(((MID(C915,9,3)*10)-144)/1000)*AL915+AM915*(J915*3600/Basis!$E$5)^2)*0.0098)/Basis!$E$10,((AJ915*(J915/Basis!$E$5)^AK915*(((MID(C915,9,3)*10)-144)/1000)*AL915+AM915*(J915/Basis!$E$5)^2)*0.0098)/Basis!$E$10)</f>
        <v>7.8333042764452913E-3</v>
      </c>
      <c r="M915" s="85"/>
      <c r="N915" s="109">
        <v>1.5049999999999999</v>
      </c>
      <c r="O915" s="68"/>
      <c r="P915" s="67">
        <v>1347</v>
      </c>
      <c r="Q915" s="68"/>
      <c r="R915" s="69"/>
      <c r="S915" s="69"/>
      <c r="T915" s="69"/>
      <c r="U915" s="69"/>
      <c r="V915" s="69"/>
      <c r="W915" s="68"/>
      <c r="X915" s="70"/>
      <c r="Y915" s="70"/>
      <c r="Z915" s="70"/>
      <c r="AA915" s="70"/>
      <c r="AB915" s="70"/>
      <c r="AC915" s="68"/>
      <c r="AD915" s="71"/>
      <c r="AE915" s="71"/>
      <c r="AF915" s="71"/>
      <c r="AG915" s="71"/>
      <c r="AH915" s="71"/>
      <c r="AI915" s="68"/>
      <c r="AJ915" s="214">
        <v>1.2760000000000001E-4</v>
      </c>
      <c r="AK915" s="214">
        <v>1.7219</v>
      </c>
      <c r="AL915" s="214">
        <v>4</v>
      </c>
      <c r="AM915" s="214">
        <v>5.1420100000000005E-4</v>
      </c>
      <c r="AN915" s="68"/>
      <c r="AO915" s="67"/>
      <c r="AP915" s="67"/>
      <c r="AQ915" s="67"/>
      <c r="AR915" s="67"/>
      <c r="AS915" s="67"/>
      <c r="AT915" s="68"/>
      <c r="AU915" s="49"/>
      <c r="AV915" s="50"/>
    </row>
    <row r="916" spans="1:48" ht="12.75" customHeight="1" x14ac:dyDescent="0.25">
      <c r="A916" s="72" t="s">
        <v>20</v>
      </c>
      <c r="B916" s="43" t="s">
        <v>889</v>
      </c>
      <c r="C916" s="44" t="s">
        <v>1070</v>
      </c>
      <c r="D916" s="45">
        <f>MROUND(MID($C916,6,3)/Basis!$E$3,0.5)</f>
        <v>29</v>
      </c>
      <c r="E916" s="45">
        <f>MROUND(MID($C916,9,3)/Basis!$E$3,0.5)</f>
        <v>32.5</v>
      </c>
      <c r="F916" s="124" t="s">
        <v>2946</v>
      </c>
      <c r="G916" s="45">
        <f>ROUND((ROUNDDOWN($F916/5,0)*5+3)/Basis!$E$3,1)</f>
        <v>5.0999999999999996</v>
      </c>
      <c r="H916" s="120">
        <f>ROUND($P916*Basis!$E$2*((TaH-TrH)/LN(1/µ)/Basis!$E$7)^$N916*$AA$4*Glycol,0)</f>
        <v>1488</v>
      </c>
      <c r="I916" s="83">
        <f>ROUND(H916/(MID($C916,9,3)/Basis!$E$3/Basis!$E$9)*Basis!$E$11,0)</f>
        <v>546</v>
      </c>
      <c r="J916" s="123">
        <f>IF(Basis!$E$1=1,ROUND(H916/((TaH-TrH)*1.163)/3600,3),ROUND(H916/(500*(TaH-TrH)),2))</f>
        <v>0.15</v>
      </c>
      <c r="K916" s="84"/>
      <c r="L916" s="177">
        <f>CHOOSE(Basis!$E$1,((AJ916*(J916*3600/Basis!$E$5)^AK916*(((MID(C916,9,3)*10)-144)/1000)*AL916+AM916*(J916*3600/Basis!$E$5)^2)*0.0098)/Basis!$E$10,((AJ916*(J916/Basis!$E$5)^AK916*(((MID(C916,9,3)*10)-144)/1000)*AL916+AM916*(J916/Basis!$E$5)^2)*0.0098)/Basis!$E$10)</f>
        <v>3.7997909621473079E-3</v>
      </c>
      <c r="M916" s="85"/>
      <c r="N916" s="109">
        <v>1.4379999999999999</v>
      </c>
      <c r="O916" s="68"/>
      <c r="P916" s="67">
        <v>701</v>
      </c>
      <c r="Q916" s="68"/>
      <c r="R916" s="69"/>
      <c r="S916" s="69"/>
      <c r="T916" s="69"/>
      <c r="U916" s="69"/>
      <c r="V916" s="69"/>
      <c r="W916" s="68"/>
      <c r="X916" s="70"/>
      <c r="Y916" s="70"/>
      <c r="Z916" s="70"/>
      <c r="AA916" s="70"/>
      <c r="AB916" s="70"/>
      <c r="AC916" s="68"/>
      <c r="AD916" s="71"/>
      <c r="AE916" s="71"/>
      <c r="AF916" s="71"/>
      <c r="AG916" s="71"/>
      <c r="AH916" s="71"/>
      <c r="AI916" s="68"/>
      <c r="AJ916" s="214">
        <v>3.9689999999999994E-4</v>
      </c>
      <c r="AK916" s="214">
        <v>1.7345999999999999</v>
      </c>
      <c r="AL916" s="214">
        <v>4</v>
      </c>
      <c r="AM916" s="214">
        <v>5.7428799999999995E-4</v>
      </c>
      <c r="AN916" s="68"/>
      <c r="AO916" s="67"/>
      <c r="AP916" s="67"/>
      <c r="AQ916" s="67"/>
      <c r="AR916" s="67"/>
      <c r="AS916" s="67"/>
      <c r="AT916" s="68"/>
      <c r="AU916" s="49"/>
      <c r="AV916" s="50"/>
    </row>
    <row r="917" spans="1:48" ht="12.75" customHeight="1" x14ac:dyDescent="0.25">
      <c r="A917" s="72" t="s">
        <v>20</v>
      </c>
      <c r="B917" s="43" t="s">
        <v>889</v>
      </c>
      <c r="C917" s="44" t="s">
        <v>1071</v>
      </c>
      <c r="D917" s="45">
        <f>MROUND(MID($C917,6,3)/Basis!$E$3,0.5)</f>
        <v>29</v>
      </c>
      <c r="E917" s="45">
        <f>MROUND(MID($C917,9,3)/Basis!$E$3,0.5)</f>
        <v>32.5</v>
      </c>
      <c r="F917" s="124" t="s">
        <v>2946</v>
      </c>
      <c r="G917" s="45">
        <f>ROUND((ROUNDDOWN($F917/5,0)*5+3)/Basis!$E$3,1)</f>
        <v>5.0999999999999996</v>
      </c>
      <c r="H917" s="120">
        <f>ROUND($P917*Basis!$E$2*((TaH-TrH)/LN(1/µ)/Basis!$E$7)^$N917*$AA$4*Glycol,0)</f>
        <v>1856</v>
      </c>
      <c r="I917" s="83">
        <f>ROUND(H917/(MID($C917,9,3)/Basis!$E$3/Basis!$E$9)*Basis!$E$11,0)</f>
        <v>682</v>
      </c>
      <c r="J917" s="123">
        <f>IF(Basis!$E$1=1,ROUND(H917/((TaH-TrH)*1.163)/3600,3),ROUND(H917/(500*(TaH-TrH)),2))</f>
        <v>0.19</v>
      </c>
      <c r="K917" s="84"/>
      <c r="L917" s="177">
        <f>CHOOSE(Basis!$E$1,((AJ917*(J917*3600/Basis!$E$5)^AK917*(((MID(C917,9,3)*10)-144)/1000)*AL917+AM917*(J917*3600/Basis!$E$5)^2)*0.0098)/Basis!$E$10,((AJ917*(J917/Basis!$E$5)^AK917*(((MID(C917,9,3)*10)-144)/1000)*AL917+AM917*(J917/Basis!$E$5)^2)*0.0098)/Basis!$E$10)</f>
        <v>5.9384642453303663E-3</v>
      </c>
      <c r="M917" s="85"/>
      <c r="N917" s="109">
        <v>1.4370000000000001</v>
      </c>
      <c r="O917" s="68"/>
      <c r="P917" s="67">
        <v>874</v>
      </c>
      <c r="Q917" s="68"/>
      <c r="R917" s="69"/>
      <c r="S917" s="69"/>
      <c r="T917" s="69"/>
      <c r="U917" s="69"/>
      <c r="V917" s="69"/>
      <c r="W917" s="68"/>
      <c r="X917" s="70"/>
      <c r="Y917" s="70"/>
      <c r="Z917" s="70"/>
      <c r="AA917" s="70"/>
      <c r="AB917" s="70"/>
      <c r="AC917" s="68"/>
      <c r="AD917" s="71"/>
      <c r="AE917" s="71"/>
      <c r="AF917" s="71"/>
      <c r="AG917" s="71"/>
      <c r="AH917" s="71"/>
      <c r="AI917" s="68"/>
      <c r="AJ917" s="214">
        <v>3.9689999999999994E-4</v>
      </c>
      <c r="AK917" s="214">
        <v>1.7345999999999999</v>
      </c>
      <c r="AL917" s="214">
        <v>4</v>
      </c>
      <c r="AM917" s="214">
        <v>5.7428799999999995E-4</v>
      </c>
      <c r="AN917" s="68"/>
      <c r="AO917" s="67"/>
      <c r="AP917" s="67"/>
      <c r="AQ917" s="67"/>
      <c r="AR917" s="67"/>
      <c r="AS917" s="67"/>
      <c r="AT917" s="68"/>
      <c r="AU917" s="49"/>
      <c r="AV917" s="50"/>
    </row>
    <row r="918" spans="1:48" ht="12.75" customHeight="1" x14ac:dyDescent="0.25">
      <c r="A918" s="72" t="s">
        <v>20</v>
      </c>
      <c r="B918" s="43" t="s">
        <v>889</v>
      </c>
      <c r="C918" s="44" t="s">
        <v>1072</v>
      </c>
      <c r="D918" s="45">
        <f>MROUND(MID($C918,6,3)/Basis!$E$3,0.5)</f>
        <v>29</v>
      </c>
      <c r="E918" s="45">
        <f>MROUND(MID($C918,9,3)/Basis!$E$3,0.5)</f>
        <v>32.5</v>
      </c>
      <c r="F918" s="124" t="s">
        <v>2946</v>
      </c>
      <c r="G918" s="45">
        <f>ROUND((ROUNDDOWN($F918/5,0)*5+3)/Basis!$E$3,1)</f>
        <v>5.0999999999999996</v>
      </c>
      <c r="H918" s="120">
        <f>ROUND($P918*Basis!$E$2*((TaH-TrH)/LN(1/µ)/Basis!$E$7)^$N918*$AA$4*Glycol,0)</f>
        <v>1779</v>
      </c>
      <c r="I918" s="83">
        <f>ROUND(H918/(MID($C918,9,3)/Basis!$E$3/Basis!$E$9)*Basis!$E$11,0)</f>
        <v>653</v>
      </c>
      <c r="J918" s="123">
        <f>IF(Basis!$E$1=1,ROUND(H918/((TaH-TrH)*1.163)/3600,3),ROUND(H918/(500*(TaH-TrH)),2))</f>
        <v>0.18</v>
      </c>
      <c r="K918" s="84"/>
      <c r="L918" s="177">
        <f>CHOOSE(Basis!$E$1,((AJ918*(J918*3600/Basis!$E$5)^AK918*(((MID(C918,9,3)*10)-144)/1000)*AL918+AM918*(J918*3600/Basis!$E$5)^2)*0.0098)/Basis!$E$10,((AJ918*(J918/Basis!$E$5)^AK918*(((MID(C918,9,3)*10)-144)/1000)*AL918+AM918*(J918/Basis!$E$5)^2)*0.0098)/Basis!$E$10)</f>
        <v>5.3614845676970549E-3</v>
      </c>
      <c r="M918" s="85"/>
      <c r="N918" s="109">
        <v>1.4370000000000001</v>
      </c>
      <c r="O918" s="68"/>
      <c r="P918" s="67">
        <v>838</v>
      </c>
      <c r="Q918" s="68"/>
      <c r="R918" s="69"/>
      <c r="S918" s="69"/>
      <c r="T918" s="69"/>
      <c r="U918" s="69"/>
      <c r="V918" s="69"/>
      <c r="W918" s="68"/>
      <c r="X918" s="70"/>
      <c r="Y918" s="70"/>
      <c r="Z918" s="70"/>
      <c r="AA918" s="70"/>
      <c r="AB918" s="70"/>
      <c r="AC918" s="68"/>
      <c r="AD918" s="71"/>
      <c r="AE918" s="71"/>
      <c r="AF918" s="71"/>
      <c r="AG918" s="71"/>
      <c r="AH918" s="71"/>
      <c r="AI918" s="68"/>
      <c r="AJ918" s="214">
        <v>3.9689999999999994E-4</v>
      </c>
      <c r="AK918" s="214">
        <v>1.7345999999999999</v>
      </c>
      <c r="AL918" s="214">
        <v>4</v>
      </c>
      <c r="AM918" s="214">
        <v>5.7428799999999995E-4</v>
      </c>
      <c r="AN918" s="68"/>
      <c r="AO918" s="67"/>
      <c r="AP918" s="67"/>
      <c r="AQ918" s="67"/>
      <c r="AR918" s="67"/>
      <c r="AS918" s="67"/>
      <c r="AT918" s="68"/>
      <c r="AU918" s="49"/>
      <c r="AV918" s="50"/>
    </row>
    <row r="919" spans="1:48" ht="12.75" customHeight="1" x14ac:dyDescent="0.25">
      <c r="A919" s="72" t="s">
        <v>20</v>
      </c>
      <c r="B919" s="43" t="s">
        <v>889</v>
      </c>
      <c r="C919" s="44" t="s">
        <v>1073</v>
      </c>
      <c r="D919" s="45">
        <f>MROUND(MID($C919,6,3)/Basis!$E$3,0.5)</f>
        <v>29</v>
      </c>
      <c r="E919" s="45">
        <f>MROUND(MID($C919,9,3)/Basis!$E$3,0.5)</f>
        <v>32.5</v>
      </c>
      <c r="F919" s="124" t="s">
        <v>2946</v>
      </c>
      <c r="G919" s="45">
        <f>ROUND((ROUNDDOWN($F919/5,0)*5+3)/Basis!$E$3,1)</f>
        <v>5.0999999999999996</v>
      </c>
      <c r="H919" s="120">
        <f>ROUND($P919*Basis!$E$2*((TaH-TrH)/LN(1/µ)/Basis!$E$7)^$N919*$AA$4*Glycol,0)</f>
        <v>1971</v>
      </c>
      <c r="I919" s="83">
        <f>ROUND(H919/(MID($C919,9,3)/Basis!$E$3/Basis!$E$9)*Basis!$E$11,0)</f>
        <v>724</v>
      </c>
      <c r="J919" s="123">
        <f>IF(Basis!$E$1=1,ROUND(H919/((TaH-TrH)*1.163)/3600,3),ROUND(H919/(500*(TaH-TrH)),2))</f>
        <v>0.2</v>
      </c>
      <c r="K919" s="84"/>
      <c r="L919" s="177">
        <f>CHOOSE(Basis!$E$1,((AJ919*(J919*3600/Basis!$E$5)^AK919*(((MID(C919,9,3)*10)-144)/1000)*AL919+AM919*(J919*3600/Basis!$E$5)^2)*0.0098)/Basis!$E$10,((AJ919*(J919/Basis!$E$5)^AK919*(((MID(C919,9,3)*10)-144)/1000)*AL919+AM919*(J919/Basis!$E$5)^2)*0.0098)/Basis!$E$10)</f>
        <v>6.543435958083728E-3</v>
      </c>
      <c r="M919" s="85"/>
      <c r="N919" s="109">
        <v>1.4359999999999999</v>
      </c>
      <c r="O919" s="68"/>
      <c r="P919" s="67">
        <v>928</v>
      </c>
      <c r="Q919" s="68"/>
      <c r="R919" s="69"/>
      <c r="S919" s="69"/>
      <c r="T919" s="69"/>
      <c r="U919" s="69"/>
      <c r="V919" s="69"/>
      <c r="W919" s="68"/>
      <c r="X919" s="70"/>
      <c r="Y919" s="70"/>
      <c r="Z919" s="70"/>
      <c r="AA919" s="70"/>
      <c r="AB919" s="70"/>
      <c r="AC919" s="68"/>
      <c r="AD919" s="71"/>
      <c r="AE919" s="71"/>
      <c r="AF919" s="71"/>
      <c r="AG919" s="71"/>
      <c r="AH919" s="71"/>
      <c r="AI919" s="68"/>
      <c r="AJ919" s="214">
        <v>3.9689999999999994E-4</v>
      </c>
      <c r="AK919" s="214">
        <v>1.7345999999999999</v>
      </c>
      <c r="AL919" s="214">
        <v>4</v>
      </c>
      <c r="AM919" s="214">
        <v>5.7428799999999995E-4</v>
      </c>
      <c r="AN919" s="68"/>
      <c r="AO919" s="67"/>
      <c r="AP919" s="67"/>
      <c r="AQ919" s="67"/>
      <c r="AR919" s="67"/>
      <c r="AS919" s="67"/>
      <c r="AT919" s="68"/>
      <c r="AU919" s="49"/>
      <c r="AV919" s="50"/>
    </row>
    <row r="920" spans="1:48" ht="12.75" customHeight="1" x14ac:dyDescent="0.25">
      <c r="A920" s="72" t="s">
        <v>20</v>
      </c>
      <c r="B920" s="43" t="s">
        <v>889</v>
      </c>
      <c r="C920" s="44" t="s">
        <v>1074</v>
      </c>
      <c r="D920" s="45">
        <f>MROUND(MID($C920,6,3)/Basis!$E$3,0.5)</f>
        <v>29</v>
      </c>
      <c r="E920" s="45">
        <f>MROUND(MID($C920,9,3)/Basis!$E$3,0.5)</f>
        <v>32.5</v>
      </c>
      <c r="F920" s="124" t="s">
        <v>2947</v>
      </c>
      <c r="G920" s="45">
        <f>ROUND((ROUNDDOWN($F920/5,0)*5+3)/Basis!$E$3,1)</f>
        <v>7.1</v>
      </c>
      <c r="H920" s="120">
        <f>ROUND($P920*Basis!$E$2*((TaH-TrH)/LN(1/µ)/Basis!$E$7)^$N920*$AA$4*Glycol,0)</f>
        <v>2044</v>
      </c>
      <c r="I920" s="83">
        <f>ROUND(H920/(MID($C920,9,3)/Basis!$E$3/Basis!$E$9)*Basis!$E$11,0)</f>
        <v>751</v>
      </c>
      <c r="J920" s="123">
        <f>IF(Basis!$E$1=1,ROUND(H920/((TaH-TrH)*1.163)/3600,3),ROUND(H920/(500*(TaH-TrH)),2))</f>
        <v>0.2</v>
      </c>
      <c r="K920" s="84"/>
      <c r="L920" s="177">
        <f>CHOOSE(Basis!$E$1,((AJ920*(J920*3600/Basis!$E$5)^AK920*(((MID(C920,9,3)*10)-144)/1000)*AL920+AM920*(J920*3600/Basis!$E$5)^2)*0.0098)/Basis!$E$10,((AJ920*(J920/Basis!$E$5)^AK920*(((MID(C920,9,3)*10)-144)/1000)*AL920+AM920*(J920/Basis!$E$5)^2)*0.0098)/Basis!$E$10)</f>
        <v>1.0742040516922343E-2</v>
      </c>
      <c r="M920" s="85"/>
      <c r="N920" s="109">
        <v>1.464</v>
      </c>
      <c r="O920" s="68"/>
      <c r="P920" s="67">
        <v>971</v>
      </c>
      <c r="Q920" s="68"/>
      <c r="R920" s="69"/>
      <c r="S920" s="69"/>
      <c r="T920" s="69"/>
      <c r="U920" s="69"/>
      <c r="V920" s="69"/>
      <c r="W920" s="68"/>
      <c r="X920" s="70"/>
      <c r="Y920" s="70"/>
      <c r="Z920" s="70"/>
      <c r="AA920" s="70"/>
      <c r="AB920" s="70"/>
      <c r="AC920" s="68"/>
      <c r="AD920" s="71"/>
      <c r="AE920" s="71"/>
      <c r="AF920" s="71"/>
      <c r="AG920" s="71"/>
      <c r="AH920" s="71"/>
      <c r="AI920" s="68"/>
      <c r="AJ920" s="214">
        <v>2.0829999999999999E-4</v>
      </c>
      <c r="AK920" s="214">
        <v>1.724</v>
      </c>
      <c r="AL920" s="214">
        <v>4</v>
      </c>
      <c r="AM920" s="214">
        <v>1.392796E-3</v>
      </c>
      <c r="AN920" s="68"/>
      <c r="AO920" s="67"/>
      <c r="AP920" s="67"/>
      <c r="AQ920" s="67"/>
      <c r="AR920" s="67"/>
      <c r="AS920" s="67"/>
      <c r="AT920" s="68"/>
      <c r="AU920" s="49"/>
      <c r="AV920" s="50"/>
    </row>
    <row r="921" spans="1:48" ht="12.75" customHeight="1" x14ac:dyDescent="0.25">
      <c r="A921" s="72" t="s">
        <v>20</v>
      </c>
      <c r="B921" s="43" t="s">
        <v>889</v>
      </c>
      <c r="C921" s="44" t="s">
        <v>1075</v>
      </c>
      <c r="D921" s="45">
        <f>MROUND(MID($C921,6,3)/Basis!$E$3,0.5)</f>
        <v>29</v>
      </c>
      <c r="E921" s="45">
        <f>MROUND(MID($C921,9,3)/Basis!$E$3,0.5)</f>
        <v>32.5</v>
      </c>
      <c r="F921" s="124" t="s">
        <v>2947</v>
      </c>
      <c r="G921" s="45">
        <f>ROUND((ROUNDDOWN($F921/5,0)*5+3)/Basis!$E$3,1)</f>
        <v>7.1</v>
      </c>
      <c r="H921" s="120">
        <f>ROUND($P921*Basis!$E$2*((TaH-TrH)/LN(1/µ)/Basis!$E$7)^$N921*$AA$4*Glycol,0)</f>
        <v>2737</v>
      </c>
      <c r="I921" s="83">
        <f>ROUND(H921/(MID($C921,9,3)/Basis!$E$3/Basis!$E$9)*Basis!$E$11,0)</f>
        <v>1005</v>
      </c>
      <c r="J921" s="123">
        <f>IF(Basis!$E$1=1,ROUND(H921/((TaH-TrH)*1.163)/3600,3),ROUND(H921/(500*(TaH-TrH)),2))</f>
        <v>0.27</v>
      </c>
      <c r="K921" s="84"/>
      <c r="L921" s="177">
        <f>CHOOSE(Basis!$E$1,((AJ921*(J921*3600/Basis!$E$5)^AK921*(((MID(C921,9,3)*10)-144)/1000)*AL921+AM921*(J921*3600/Basis!$E$5)^2)*0.0098)/Basis!$E$10,((AJ921*(J921/Basis!$E$5)^AK921*(((MID(C921,9,3)*10)-144)/1000)*AL921+AM921*(J921/Basis!$E$5)^2)*0.0098)/Basis!$E$10)</f>
        <v>1.9382497029522907E-2</v>
      </c>
      <c r="M921" s="85"/>
      <c r="N921" s="109">
        <v>1.468</v>
      </c>
      <c r="O921" s="68"/>
      <c r="P921" s="67">
        <v>1302</v>
      </c>
      <c r="Q921" s="68"/>
      <c r="R921" s="69"/>
      <c r="S921" s="69"/>
      <c r="T921" s="69"/>
      <c r="U921" s="69"/>
      <c r="V921" s="69"/>
      <c r="W921" s="68"/>
      <c r="X921" s="70"/>
      <c r="Y921" s="70"/>
      <c r="Z921" s="70"/>
      <c r="AA921" s="70"/>
      <c r="AB921" s="70"/>
      <c r="AC921" s="68"/>
      <c r="AD921" s="71"/>
      <c r="AE921" s="71"/>
      <c r="AF921" s="71"/>
      <c r="AG921" s="71"/>
      <c r="AH921" s="71"/>
      <c r="AI921" s="68"/>
      <c r="AJ921" s="214">
        <v>2.0829999999999999E-4</v>
      </c>
      <c r="AK921" s="214">
        <v>1.724</v>
      </c>
      <c r="AL921" s="214">
        <v>4</v>
      </c>
      <c r="AM921" s="214">
        <v>1.392796E-3</v>
      </c>
      <c r="AN921" s="68"/>
      <c r="AO921" s="67"/>
      <c r="AP921" s="67"/>
      <c r="AQ921" s="67"/>
      <c r="AR921" s="67"/>
      <c r="AS921" s="67"/>
      <c r="AT921" s="68"/>
      <c r="AU921" s="49"/>
      <c r="AV921" s="50"/>
    </row>
    <row r="922" spans="1:48" ht="12.75" customHeight="1" x14ac:dyDescent="0.25">
      <c r="A922" s="72" t="s">
        <v>20</v>
      </c>
      <c r="B922" s="43" t="s">
        <v>889</v>
      </c>
      <c r="C922" s="44" t="s">
        <v>1076</v>
      </c>
      <c r="D922" s="45">
        <f>MROUND(MID($C922,6,3)/Basis!$E$3,0.5)</f>
        <v>29</v>
      </c>
      <c r="E922" s="45">
        <f>MROUND(MID($C922,9,3)/Basis!$E$3,0.5)</f>
        <v>32.5</v>
      </c>
      <c r="F922" s="124" t="s">
        <v>2947</v>
      </c>
      <c r="G922" s="45">
        <f>ROUND((ROUNDDOWN($F922/5,0)*5+3)/Basis!$E$3,1)</f>
        <v>7.1</v>
      </c>
      <c r="H922" s="120">
        <f>ROUND($P922*Basis!$E$2*((TaH-TrH)/LN(1/µ)/Basis!$E$7)^$N922*$AA$4*Glycol,0)</f>
        <v>2468</v>
      </c>
      <c r="I922" s="83">
        <f>ROUND(H922/(MID($C922,9,3)/Basis!$E$3/Basis!$E$9)*Basis!$E$11,0)</f>
        <v>906</v>
      </c>
      <c r="J922" s="123">
        <f>IF(Basis!$E$1=1,ROUND(H922/((TaH-TrH)*1.163)/3600,3),ROUND(H922/(500*(TaH-TrH)),2))</f>
        <v>0.25</v>
      </c>
      <c r="K922" s="84"/>
      <c r="L922" s="177">
        <f>CHOOSE(Basis!$E$1,((AJ922*(J922*3600/Basis!$E$5)^AK922*(((MID(C922,9,3)*10)-144)/1000)*AL922+AM922*(J922*3600/Basis!$E$5)^2)*0.0098)/Basis!$E$10,((AJ922*(J922/Basis!$E$5)^AK922*(((MID(C922,9,3)*10)-144)/1000)*AL922+AM922*(J922/Basis!$E$5)^2)*0.0098)/Basis!$E$10)</f>
        <v>1.6658901758544363E-2</v>
      </c>
      <c r="M922" s="85"/>
      <c r="N922" s="109">
        <v>1.47</v>
      </c>
      <c r="O922" s="68"/>
      <c r="P922" s="67">
        <v>1175</v>
      </c>
      <c r="Q922" s="68"/>
      <c r="R922" s="69"/>
      <c r="S922" s="69"/>
      <c r="T922" s="69"/>
      <c r="U922" s="69"/>
      <c r="V922" s="69"/>
      <c r="W922" s="68"/>
      <c r="X922" s="70"/>
      <c r="Y922" s="70"/>
      <c r="Z922" s="70"/>
      <c r="AA922" s="70"/>
      <c r="AB922" s="70"/>
      <c r="AC922" s="68"/>
      <c r="AD922" s="71"/>
      <c r="AE922" s="71"/>
      <c r="AF922" s="71"/>
      <c r="AG922" s="71"/>
      <c r="AH922" s="71"/>
      <c r="AI922" s="68"/>
      <c r="AJ922" s="214">
        <v>2.0829999999999999E-4</v>
      </c>
      <c r="AK922" s="214">
        <v>1.724</v>
      </c>
      <c r="AL922" s="214">
        <v>4</v>
      </c>
      <c r="AM922" s="214">
        <v>1.392796E-3</v>
      </c>
      <c r="AN922" s="68"/>
      <c r="AO922" s="67"/>
      <c r="AP922" s="67"/>
      <c r="AQ922" s="67"/>
      <c r="AR922" s="67"/>
      <c r="AS922" s="67"/>
      <c r="AT922" s="68"/>
      <c r="AU922" s="49"/>
      <c r="AV922" s="50"/>
    </row>
    <row r="923" spans="1:48" ht="12.75" customHeight="1" x14ac:dyDescent="0.25">
      <c r="A923" s="72" t="s">
        <v>20</v>
      </c>
      <c r="B923" s="43" t="s">
        <v>889</v>
      </c>
      <c r="C923" s="44" t="s">
        <v>1077</v>
      </c>
      <c r="D923" s="45">
        <f>MROUND(MID($C923,6,3)/Basis!$E$3,0.5)</f>
        <v>29</v>
      </c>
      <c r="E923" s="45">
        <f>MROUND(MID($C923,9,3)/Basis!$E$3,0.5)</f>
        <v>32.5</v>
      </c>
      <c r="F923" s="124" t="s">
        <v>2947</v>
      </c>
      <c r="G923" s="45">
        <f>ROUND((ROUNDDOWN($F923/5,0)*5+3)/Basis!$E$3,1)</f>
        <v>7.1</v>
      </c>
      <c r="H923" s="120">
        <f>ROUND($P923*Basis!$E$2*((TaH-TrH)/LN(1/µ)/Basis!$E$7)^$N923*$AA$4*Glycol,0)</f>
        <v>2958</v>
      </c>
      <c r="I923" s="83">
        <f>ROUND(H923/(MID($C923,9,3)/Basis!$E$3/Basis!$E$9)*Basis!$E$11,0)</f>
        <v>1086</v>
      </c>
      <c r="J923" s="123">
        <f>IF(Basis!$E$1=1,ROUND(H923/((TaH-TrH)*1.163)/3600,3),ROUND(H923/(500*(TaH-TrH)),2))</f>
        <v>0.3</v>
      </c>
      <c r="K923" s="84"/>
      <c r="L923" s="177">
        <f>CHOOSE(Basis!$E$1,((AJ923*(J923*3600/Basis!$E$5)^AK923*(((MID(C923,9,3)*10)-144)/1000)*AL923+AM923*(J923*3600/Basis!$E$5)^2)*0.0098)/Basis!$E$10,((AJ923*(J923/Basis!$E$5)^AK923*(((MID(C923,9,3)*10)-144)/1000)*AL923+AM923*(J923/Basis!$E$5)^2)*0.0098)/Basis!$E$10)</f>
        <v>2.3849161454767794E-2</v>
      </c>
      <c r="M923" s="85"/>
      <c r="N923" s="109">
        <v>1.474</v>
      </c>
      <c r="O923" s="68"/>
      <c r="P923" s="67">
        <v>1410</v>
      </c>
      <c r="Q923" s="68"/>
      <c r="R923" s="69"/>
      <c r="S923" s="69"/>
      <c r="T923" s="69"/>
      <c r="U923" s="69"/>
      <c r="V923" s="69"/>
      <c r="W923" s="68"/>
      <c r="X923" s="70"/>
      <c r="Y923" s="70"/>
      <c r="Z923" s="70"/>
      <c r="AA923" s="70"/>
      <c r="AB923" s="70"/>
      <c r="AC923" s="68"/>
      <c r="AD923" s="71"/>
      <c r="AE923" s="71"/>
      <c r="AF923" s="71"/>
      <c r="AG923" s="71"/>
      <c r="AH923" s="71"/>
      <c r="AI923" s="68"/>
      <c r="AJ923" s="214">
        <v>2.0829999999999999E-4</v>
      </c>
      <c r="AK923" s="214">
        <v>1.724</v>
      </c>
      <c r="AL923" s="214">
        <v>4</v>
      </c>
      <c r="AM923" s="214">
        <v>1.392796E-3</v>
      </c>
      <c r="AN923" s="68"/>
      <c r="AO923" s="67"/>
      <c r="AP923" s="67"/>
      <c r="AQ923" s="67"/>
      <c r="AR923" s="67"/>
      <c r="AS923" s="67"/>
      <c r="AT923" s="68"/>
      <c r="AU923" s="49"/>
      <c r="AV923" s="50"/>
    </row>
    <row r="924" spans="1:48" ht="12.75" customHeight="1" x14ac:dyDescent="0.25">
      <c r="A924" s="72" t="s">
        <v>20</v>
      </c>
      <c r="B924" s="43" t="s">
        <v>889</v>
      </c>
      <c r="C924" s="44" t="s">
        <v>1078</v>
      </c>
      <c r="D924" s="45">
        <f>MROUND(MID($C924,6,3)/Basis!$E$3,0.5)</f>
        <v>29</v>
      </c>
      <c r="E924" s="45">
        <f>MROUND(MID($C924,9,3)/Basis!$E$3,0.5)</f>
        <v>32.5</v>
      </c>
      <c r="F924" s="124" t="s">
        <v>2948</v>
      </c>
      <c r="G924" s="45">
        <f>ROUND((ROUNDDOWN($F924/5,0)*5+3)/Basis!$E$3,1)</f>
        <v>9.1</v>
      </c>
      <c r="H924" s="120">
        <f>ROUND($P924*Basis!$E$2*((TaH-TrH)/LN(1/µ)/Basis!$E$7)^$N924*$AA$4*Glycol,0)</f>
        <v>2555</v>
      </c>
      <c r="I924" s="83">
        <f>ROUND(H924/(MID($C924,9,3)/Basis!$E$3/Basis!$E$9)*Basis!$E$11,0)</f>
        <v>938</v>
      </c>
      <c r="J924" s="123">
        <f>IF(Basis!$E$1=1,ROUND(H924/((TaH-TrH)*1.163)/3600,3),ROUND(H924/(500*(TaH-TrH)),2))</f>
        <v>0.26</v>
      </c>
      <c r="K924" s="84"/>
      <c r="L924" s="177">
        <f>CHOOSE(Basis!$E$1,((AJ924*(J924*3600/Basis!$E$5)^AK924*(((MID(C924,9,3)*10)-144)/1000)*AL924+AM924*(J924*3600/Basis!$E$5)^2)*0.0098)/Basis!$E$10,((AJ924*(J924/Basis!$E$5)^AK924*(((MID(C924,9,3)*10)-144)/1000)*AL924+AM924*(J924/Basis!$E$5)^2)*0.0098)/Basis!$E$10)</f>
        <v>7.1471958066248176E-3</v>
      </c>
      <c r="M924" s="85"/>
      <c r="N924" s="109">
        <v>1.484</v>
      </c>
      <c r="O924" s="68"/>
      <c r="P924" s="67">
        <v>1222</v>
      </c>
      <c r="Q924" s="68"/>
      <c r="R924" s="69"/>
      <c r="S924" s="69"/>
      <c r="T924" s="69"/>
      <c r="U924" s="69"/>
      <c r="V924" s="69"/>
      <c r="W924" s="68"/>
      <c r="X924" s="70"/>
      <c r="Y924" s="70"/>
      <c r="Z924" s="70"/>
      <c r="AA924" s="70"/>
      <c r="AB924" s="70"/>
      <c r="AC924" s="68"/>
      <c r="AD924" s="71"/>
      <c r="AE924" s="71"/>
      <c r="AF924" s="71"/>
      <c r="AG924" s="71"/>
      <c r="AH924" s="71"/>
      <c r="AI924" s="68"/>
      <c r="AJ924" s="214">
        <v>1.2760000000000001E-4</v>
      </c>
      <c r="AK924" s="214">
        <v>1.7219</v>
      </c>
      <c r="AL924" s="214">
        <v>4</v>
      </c>
      <c r="AM924" s="214">
        <v>5.1420100000000005E-4</v>
      </c>
      <c r="AN924" s="68"/>
      <c r="AO924" s="67"/>
      <c r="AP924" s="67"/>
      <c r="AQ924" s="67"/>
      <c r="AR924" s="67"/>
      <c r="AS924" s="67"/>
      <c r="AT924" s="68"/>
      <c r="AU924" s="49"/>
      <c r="AV924" s="50"/>
    </row>
    <row r="925" spans="1:48" ht="12.75" customHeight="1" x14ac:dyDescent="0.25">
      <c r="A925" s="72" t="s">
        <v>20</v>
      </c>
      <c r="B925" s="43" t="s">
        <v>889</v>
      </c>
      <c r="C925" s="44" t="s">
        <v>1079</v>
      </c>
      <c r="D925" s="45">
        <f>MROUND(MID($C925,6,3)/Basis!$E$3,0.5)</f>
        <v>29</v>
      </c>
      <c r="E925" s="45">
        <f>MROUND(MID($C925,9,3)/Basis!$E$3,0.5)</f>
        <v>32.5</v>
      </c>
      <c r="F925" s="124" t="s">
        <v>2948</v>
      </c>
      <c r="G925" s="45">
        <f>ROUND((ROUNDDOWN($F925/5,0)*5+3)/Basis!$E$3,1)</f>
        <v>9.1</v>
      </c>
      <c r="H925" s="120">
        <f>ROUND($P925*Basis!$E$2*((TaH-TrH)/LN(1/µ)/Basis!$E$7)^$N925*$AA$4*Glycol,0)</f>
        <v>3316</v>
      </c>
      <c r="I925" s="83">
        <f>ROUND(H925/(MID($C925,9,3)/Basis!$E$3/Basis!$E$9)*Basis!$E$11,0)</f>
        <v>1218</v>
      </c>
      <c r="J925" s="123">
        <f>IF(Basis!$E$1=1,ROUND(H925/((TaH-TrH)*1.163)/3600,3),ROUND(H925/(500*(TaH-TrH)),2))</f>
        <v>0.33</v>
      </c>
      <c r="K925" s="84"/>
      <c r="L925" s="177">
        <f>CHOOSE(Basis!$E$1,((AJ925*(J925*3600/Basis!$E$5)^AK925*(((MID(C925,9,3)*10)-144)/1000)*AL925+AM925*(J925*3600/Basis!$E$5)^2)*0.0098)/Basis!$E$10,((AJ925*(J925/Basis!$E$5)^AK925*(((MID(C925,9,3)*10)-144)/1000)*AL925+AM925*(J925/Basis!$E$5)^2)*0.0098)/Basis!$E$10)</f>
        <v>1.1381032981709966E-2</v>
      </c>
      <c r="M925" s="85"/>
      <c r="N925" s="109">
        <v>1.492</v>
      </c>
      <c r="O925" s="68"/>
      <c r="P925" s="67">
        <v>1590</v>
      </c>
      <c r="Q925" s="68"/>
      <c r="R925" s="69"/>
      <c r="S925" s="69"/>
      <c r="T925" s="69"/>
      <c r="U925" s="69"/>
      <c r="V925" s="69"/>
      <c r="W925" s="68"/>
      <c r="X925" s="70"/>
      <c r="Y925" s="70"/>
      <c r="Z925" s="70"/>
      <c r="AA925" s="70"/>
      <c r="AB925" s="70"/>
      <c r="AC925" s="68"/>
      <c r="AD925" s="71"/>
      <c r="AE925" s="71"/>
      <c r="AF925" s="71"/>
      <c r="AG925" s="71"/>
      <c r="AH925" s="71"/>
      <c r="AI925" s="68"/>
      <c r="AJ925" s="214">
        <v>1.2760000000000001E-4</v>
      </c>
      <c r="AK925" s="214">
        <v>1.7219</v>
      </c>
      <c r="AL925" s="214">
        <v>4</v>
      </c>
      <c r="AM925" s="214">
        <v>5.1420100000000005E-4</v>
      </c>
      <c r="AN925" s="68"/>
      <c r="AO925" s="67"/>
      <c r="AP925" s="67"/>
      <c r="AQ925" s="67"/>
      <c r="AR925" s="67"/>
      <c r="AS925" s="67"/>
      <c r="AT925" s="68"/>
      <c r="AU925" s="49"/>
      <c r="AV925" s="50"/>
    </row>
    <row r="926" spans="1:48" ht="12.75" customHeight="1" x14ac:dyDescent="0.25">
      <c r="A926" s="72" t="s">
        <v>20</v>
      </c>
      <c r="B926" s="43" t="s">
        <v>889</v>
      </c>
      <c r="C926" s="44" t="s">
        <v>1080</v>
      </c>
      <c r="D926" s="45">
        <f>MROUND(MID($C926,6,3)/Basis!$E$3,0.5)</f>
        <v>29</v>
      </c>
      <c r="E926" s="45">
        <f>MROUND(MID($C926,9,3)/Basis!$E$3,0.5)</f>
        <v>32.5</v>
      </c>
      <c r="F926" s="124" t="s">
        <v>2948</v>
      </c>
      <c r="G926" s="45">
        <f>ROUND((ROUNDDOWN($F926/5,0)*5+3)/Basis!$E$3,1)</f>
        <v>9.1</v>
      </c>
      <c r="H926" s="120">
        <f>ROUND($P926*Basis!$E$2*((TaH-TrH)/LN(1/µ)/Basis!$E$7)^$N926*$AA$4*Glycol,0)</f>
        <v>3043</v>
      </c>
      <c r="I926" s="83">
        <f>ROUND(H926/(MID($C926,9,3)/Basis!$E$3/Basis!$E$9)*Basis!$E$11,0)</f>
        <v>1117</v>
      </c>
      <c r="J926" s="123">
        <f>IF(Basis!$E$1=1,ROUND(H926/((TaH-TrH)*1.163)/3600,3),ROUND(H926/(500*(TaH-TrH)),2))</f>
        <v>0.3</v>
      </c>
      <c r="K926" s="84"/>
      <c r="L926" s="177">
        <f>CHOOSE(Basis!$E$1,((AJ926*(J926*3600/Basis!$E$5)^AK926*(((MID(C926,9,3)*10)-144)/1000)*AL926+AM926*(J926*3600/Basis!$E$5)^2)*0.0098)/Basis!$E$10,((AJ926*(J926/Basis!$E$5)^AK926*(((MID(C926,9,3)*10)-144)/1000)*AL926+AM926*(J926/Basis!$E$5)^2)*0.0098)/Basis!$E$10)</f>
        <v>9.4487909232261903E-3</v>
      </c>
      <c r="M926" s="85"/>
      <c r="N926" s="109">
        <v>1.496</v>
      </c>
      <c r="O926" s="68"/>
      <c r="P926" s="67">
        <v>1461</v>
      </c>
      <c r="Q926" s="68"/>
      <c r="R926" s="69"/>
      <c r="S926" s="69"/>
      <c r="T926" s="69"/>
      <c r="U926" s="69"/>
      <c r="V926" s="69"/>
      <c r="W926" s="68"/>
      <c r="X926" s="70"/>
      <c r="Y926" s="70"/>
      <c r="Z926" s="70"/>
      <c r="AA926" s="70"/>
      <c r="AB926" s="70"/>
      <c r="AC926" s="68"/>
      <c r="AD926" s="71"/>
      <c r="AE926" s="71"/>
      <c r="AF926" s="71"/>
      <c r="AG926" s="71"/>
      <c r="AH926" s="71"/>
      <c r="AI926" s="68"/>
      <c r="AJ926" s="214">
        <v>1.2760000000000001E-4</v>
      </c>
      <c r="AK926" s="214">
        <v>1.7219</v>
      </c>
      <c r="AL926" s="214">
        <v>4</v>
      </c>
      <c r="AM926" s="214">
        <v>5.1420100000000005E-4</v>
      </c>
      <c r="AN926" s="68"/>
      <c r="AO926" s="67"/>
      <c r="AP926" s="67"/>
      <c r="AQ926" s="67"/>
      <c r="AR926" s="67"/>
      <c r="AS926" s="67"/>
      <c r="AT926" s="68"/>
      <c r="AU926" s="49"/>
      <c r="AV926" s="50"/>
    </row>
    <row r="927" spans="1:48" ht="12.75" customHeight="1" x14ac:dyDescent="0.25">
      <c r="A927" s="72" t="s">
        <v>20</v>
      </c>
      <c r="B927" s="43" t="s">
        <v>889</v>
      </c>
      <c r="C927" s="44" t="s">
        <v>1081</v>
      </c>
      <c r="D927" s="45">
        <f>MROUND(MID($C927,6,3)/Basis!$E$3,0.5)</f>
        <v>29</v>
      </c>
      <c r="E927" s="45">
        <f>MROUND(MID($C927,9,3)/Basis!$E$3,0.5)</f>
        <v>32.5</v>
      </c>
      <c r="F927" s="124" t="s">
        <v>2948</v>
      </c>
      <c r="G927" s="45">
        <f>ROUND((ROUNDDOWN($F927/5,0)*5+3)/Basis!$E$3,1)</f>
        <v>9.1</v>
      </c>
      <c r="H927" s="120">
        <f>ROUND($P927*Basis!$E$2*((TaH-TrH)/LN(1/µ)/Basis!$E$7)^$N927*$AA$4*Glycol,0)</f>
        <v>4115</v>
      </c>
      <c r="I927" s="83">
        <f>ROUND(H927/(MID($C927,9,3)/Basis!$E$3/Basis!$E$9)*Basis!$E$11,0)</f>
        <v>1511</v>
      </c>
      <c r="J927" s="123">
        <f>IF(Basis!$E$1=1,ROUND(H927/((TaH-TrH)*1.163)/3600,3),ROUND(H927/(500*(TaH-TrH)),2))</f>
        <v>0.41</v>
      </c>
      <c r="K927" s="84"/>
      <c r="L927" s="177">
        <f>CHOOSE(Basis!$E$1,((AJ927*(J927*3600/Basis!$E$5)^AK927*(((MID(C927,9,3)*10)-144)/1000)*AL927+AM927*(J927*3600/Basis!$E$5)^2)*0.0098)/Basis!$E$10,((AJ927*(J927/Basis!$E$5)^AK927*(((MID(C927,9,3)*10)-144)/1000)*AL927+AM927*(J927/Basis!$E$5)^2)*0.0098)/Basis!$E$10)</f>
        <v>1.7392895731109904E-2</v>
      </c>
      <c r="M927" s="85"/>
      <c r="N927" s="109">
        <v>1.5049999999999999</v>
      </c>
      <c r="O927" s="68"/>
      <c r="P927" s="67">
        <v>1982</v>
      </c>
      <c r="Q927" s="68"/>
      <c r="R927" s="69"/>
      <c r="S927" s="69"/>
      <c r="T927" s="69"/>
      <c r="U927" s="69"/>
      <c r="V927" s="69"/>
      <c r="W927" s="68"/>
      <c r="X927" s="70"/>
      <c r="Y927" s="70"/>
      <c r="Z927" s="70"/>
      <c r="AA927" s="70"/>
      <c r="AB927" s="70"/>
      <c r="AC927" s="68"/>
      <c r="AD927" s="71"/>
      <c r="AE927" s="71"/>
      <c r="AF927" s="71"/>
      <c r="AG927" s="71"/>
      <c r="AH927" s="71"/>
      <c r="AI927" s="68"/>
      <c r="AJ927" s="214">
        <v>1.2760000000000001E-4</v>
      </c>
      <c r="AK927" s="214">
        <v>1.7219</v>
      </c>
      <c r="AL927" s="214">
        <v>4</v>
      </c>
      <c r="AM927" s="214">
        <v>5.1420100000000005E-4</v>
      </c>
      <c r="AN927" s="68"/>
      <c r="AO927" s="67"/>
      <c r="AP927" s="67"/>
      <c r="AQ927" s="67"/>
      <c r="AR927" s="67"/>
      <c r="AS927" s="67"/>
      <c r="AT927" s="68"/>
      <c r="AU927" s="49"/>
      <c r="AV927" s="50"/>
    </row>
    <row r="928" spans="1:48" ht="12.75" customHeight="1" x14ac:dyDescent="0.25">
      <c r="A928" s="72" t="s">
        <v>20</v>
      </c>
      <c r="B928" s="43" t="s">
        <v>889</v>
      </c>
      <c r="C928" s="44" t="s">
        <v>1082</v>
      </c>
      <c r="D928" s="45">
        <f>MROUND(MID($C928,6,3)/Basis!$E$3,0.5)</f>
        <v>29</v>
      </c>
      <c r="E928" s="45">
        <f>MROUND(MID($C928,9,3)/Basis!$E$3,0.5)</f>
        <v>40.5</v>
      </c>
      <c r="F928" s="124" t="s">
        <v>2946</v>
      </c>
      <c r="G928" s="45">
        <f>ROUND((ROUNDDOWN($F928/5,0)*5+3)/Basis!$E$3,1)</f>
        <v>5.0999999999999996</v>
      </c>
      <c r="H928" s="120">
        <f>ROUND($P928*Basis!$E$2*((TaH-TrH)/LN(1/µ)/Basis!$E$7)^$N928*$AA$4*Glycol,0)</f>
        <v>1966</v>
      </c>
      <c r="I928" s="83">
        <f>ROUND(H928/(MID($C928,9,3)/Basis!$E$3/Basis!$E$9)*Basis!$E$11,0)</f>
        <v>582</v>
      </c>
      <c r="J928" s="123">
        <f>IF(Basis!$E$1=1,ROUND(H928/((TaH-TrH)*1.163)/3600,3),ROUND(H928/(500*(TaH-TrH)),2))</f>
        <v>0.2</v>
      </c>
      <c r="K928" s="84"/>
      <c r="L928" s="177">
        <f>CHOOSE(Basis!$E$1,((AJ928*(J928*3600/Basis!$E$5)^AK928*(((MID(C928,9,3)*10)-144)/1000)*AL928+AM928*(J928*3600/Basis!$E$5)^2)*0.0098)/Basis!$E$10,((AJ928*(J928/Basis!$E$5)^AK928*(((MID(C928,9,3)*10)-144)/1000)*AL928+AM928*(J928/Basis!$E$5)^2)*0.0098)/Basis!$E$10)</f>
        <v>7.3215201197446567E-3</v>
      </c>
      <c r="M928" s="85"/>
      <c r="N928" s="109">
        <v>1.4379999999999999</v>
      </c>
      <c r="O928" s="68"/>
      <c r="P928" s="67">
        <v>926</v>
      </c>
      <c r="Q928" s="68"/>
      <c r="R928" s="69"/>
      <c r="S928" s="69"/>
      <c r="T928" s="69"/>
      <c r="U928" s="69"/>
      <c r="V928" s="69"/>
      <c r="W928" s="68"/>
      <c r="X928" s="70"/>
      <c r="Y928" s="70"/>
      <c r="Z928" s="70"/>
      <c r="AA928" s="70"/>
      <c r="AB928" s="70"/>
      <c r="AC928" s="68"/>
      <c r="AD928" s="71"/>
      <c r="AE928" s="71"/>
      <c r="AF928" s="71"/>
      <c r="AG928" s="71"/>
      <c r="AH928" s="71"/>
      <c r="AI928" s="68"/>
      <c r="AJ928" s="214">
        <v>3.9689999999999994E-4</v>
      </c>
      <c r="AK928" s="214">
        <v>1.7345999999999999</v>
      </c>
      <c r="AL928" s="214">
        <v>4</v>
      </c>
      <c r="AM928" s="214">
        <v>5.7428799999999995E-4</v>
      </c>
      <c r="AN928" s="68"/>
      <c r="AO928" s="67"/>
      <c r="AP928" s="67"/>
      <c r="AQ928" s="67"/>
      <c r="AR928" s="67"/>
      <c r="AS928" s="67"/>
      <c r="AT928" s="68"/>
      <c r="AU928" s="49"/>
      <c r="AV928" s="50"/>
    </row>
    <row r="929" spans="1:48" ht="12.75" customHeight="1" x14ac:dyDescent="0.25">
      <c r="A929" s="72" t="s">
        <v>20</v>
      </c>
      <c r="B929" s="43" t="s">
        <v>889</v>
      </c>
      <c r="C929" s="44" t="s">
        <v>1083</v>
      </c>
      <c r="D929" s="45">
        <f>MROUND(MID($C929,6,3)/Basis!$E$3,0.5)</f>
        <v>29</v>
      </c>
      <c r="E929" s="45">
        <f>MROUND(MID($C929,9,3)/Basis!$E$3,0.5)</f>
        <v>40.5</v>
      </c>
      <c r="F929" s="124" t="s">
        <v>2946</v>
      </c>
      <c r="G929" s="45">
        <f>ROUND((ROUNDDOWN($F929/5,0)*5+3)/Basis!$E$3,1)</f>
        <v>5.0999999999999996</v>
      </c>
      <c r="H929" s="120">
        <f>ROUND($P929*Basis!$E$2*((TaH-TrH)/LN(1/µ)/Basis!$E$7)^$N929*$AA$4*Glycol,0)</f>
        <v>2451</v>
      </c>
      <c r="I929" s="83">
        <f>ROUND(H929/(MID($C929,9,3)/Basis!$E$3/Basis!$E$9)*Basis!$E$11,0)</f>
        <v>725</v>
      </c>
      <c r="J929" s="123">
        <f>IF(Basis!$E$1=1,ROUND(H929/((TaH-TrH)*1.163)/3600,3),ROUND(H929/(500*(TaH-TrH)),2))</f>
        <v>0.25</v>
      </c>
      <c r="K929" s="84"/>
      <c r="L929" s="177">
        <f>CHOOSE(Basis!$E$1,((AJ929*(J929*3600/Basis!$E$5)^AK929*(((MID(C929,9,3)*10)-144)/1000)*AL929+AM929*(J929*3600/Basis!$E$5)^2)*0.0098)/Basis!$E$10,((AJ929*(J929/Basis!$E$5)^AK929*(((MID(C929,9,3)*10)-144)/1000)*AL929+AM929*(J929/Basis!$E$5)^2)*0.0098)/Basis!$E$10)</f>
        <v>1.1130176694006014E-2</v>
      </c>
      <c r="M929" s="85"/>
      <c r="N929" s="109">
        <v>1.4370000000000001</v>
      </c>
      <c r="O929" s="68"/>
      <c r="P929" s="67">
        <v>1154</v>
      </c>
      <c r="Q929" s="68"/>
      <c r="R929" s="69"/>
      <c r="S929" s="69"/>
      <c r="T929" s="69"/>
      <c r="U929" s="69"/>
      <c r="V929" s="69"/>
      <c r="W929" s="68"/>
      <c r="X929" s="70"/>
      <c r="Y929" s="70"/>
      <c r="Z929" s="70"/>
      <c r="AA929" s="70"/>
      <c r="AB929" s="70"/>
      <c r="AC929" s="68"/>
      <c r="AD929" s="71"/>
      <c r="AE929" s="71"/>
      <c r="AF929" s="71"/>
      <c r="AG929" s="71"/>
      <c r="AH929" s="71"/>
      <c r="AI929" s="68"/>
      <c r="AJ929" s="214">
        <v>3.9689999999999994E-4</v>
      </c>
      <c r="AK929" s="214">
        <v>1.7345999999999999</v>
      </c>
      <c r="AL929" s="214">
        <v>4</v>
      </c>
      <c r="AM929" s="214">
        <v>5.7428799999999995E-4</v>
      </c>
      <c r="AN929" s="68"/>
      <c r="AO929" s="67"/>
      <c r="AP929" s="67"/>
      <c r="AQ929" s="67"/>
      <c r="AR929" s="67"/>
      <c r="AS929" s="67"/>
      <c r="AT929" s="68"/>
      <c r="AU929" s="49"/>
      <c r="AV929" s="50"/>
    </row>
    <row r="930" spans="1:48" ht="12.75" customHeight="1" x14ac:dyDescent="0.25">
      <c r="A930" s="72" t="s">
        <v>20</v>
      </c>
      <c r="B930" s="43" t="s">
        <v>889</v>
      </c>
      <c r="C930" s="44" t="s">
        <v>1084</v>
      </c>
      <c r="D930" s="45">
        <f>MROUND(MID($C930,6,3)/Basis!$E$3,0.5)</f>
        <v>29</v>
      </c>
      <c r="E930" s="45">
        <f>MROUND(MID($C930,9,3)/Basis!$E$3,0.5)</f>
        <v>40.5</v>
      </c>
      <c r="F930" s="124" t="s">
        <v>2946</v>
      </c>
      <c r="G930" s="45">
        <f>ROUND((ROUNDDOWN($F930/5,0)*5+3)/Basis!$E$3,1)</f>
        <v>5.0999999999999996</v>
      </c>
      <c r="H930" s="120">
        <f>ROUND($P930*Basis!$E$2*((TaH-TrH)/LN(1/µ)/Basis!$E$7)^$N930*$AA$4*Glycol,0)</f>
        <v>2351</v>
      </c>
      <c r="I930" s="83">
        <f>ROUND(H930/(MID($C930,9,3)/Basis!$E$3/Basis!$E$9)*Basis!$E$11,0)</f>
        <v>696</v>
      </c>
      <c r="J930" s="123">
        <f>IF(Basis!$E$1=1,ROUND(H930/((TaH-TrH)*1.163)/3600,3),ROUND(H930/(500*(TaH-TrH)),2))</f>
        <v>0.24</v>
      </c>
      <c r="K930" s="84"/>
      <c r="L930" s="177">
        <f>CHOOSE(Basis!$E$1,((AJ930*(J930*3600/Basis!$E$5)^AK930*(((MID(C930,9,3)*10)-144)/1000)*AL930+AM930*(J930*3600/Basis!$E$5)^2)*0.0098)/Basis!$E$10,((AJ930*(J930/Basis!$E$5)^AK930*(((MID(C930,9,3)*10)-144)/1000)*AL930+AM930*(J930/Basis!$E$5)^2)*0.0098)/Basis!$E$10)</f>
        <v>1.0308530058153706E-2</v>
      </c>
      <c r="M930" s="85"/>
      <c r="N930" s="109">
        <v>1.4370000000000001</v>
      </c>
      <c r="O930" s="68"/>
      <c r="P930" s="67">
        <v>1107</v>
      </c>
      <c r="Q930" s="68"/>
      <c r="R930" s="69"/>
      <c r="S930" s="69"/>
      <c r="T930" s="69"/>
      <c r="U930" s="69"/>
      <c r="V930" s="69"/>
      <c r="W930" s="68"/>
      <c r="X930" s="70"/>
      <c r="Y930" s="70"/>
      <c r="Z930" s="70"/>
      <c r="AA930" s="70"/>
      <c r="AB930" s="70"/>
      <c r="AC930" s="68"/>
      <c r="AD930" s="71"/>
      <c r="AE930" s="71"/>
      <c r="AF930" s="71"/>
      <c r="AG930" s="71"/>
      <c r="AH930" s="71"/>
      <c r="AI930" s="68"/>
      <c r="AJ930" s="214">
        <v>3.9689999999999994E-4</v>
      </c>
      <c r="AK930" s="214">
        <v>1.7345999999999999</v>
      </c>
      <c r="AL930" s="214">
        <v>4</v>
      </c>
      <c r="AM930" s="214">
        <v>5.7428799999999995E-4</v>
      </c>
      <c r="AN930" s="68"/>
      <c r="AO930" s="67"/>
      <c r="AP930" s="67"/>
      <c r="AQ930" s="67"/>
      <c r="AR930" s="67"/>
      <c r="AS930" s="67"/>
      <c r="AT930" s="68"/>
      <c r="AU930" s="49"/>
      <c r="AV930" s="50"/>
    </row>
    <row r="931" spans="1:48" ht="12.75" customHeight="1" x14ac:dyDescent="0.25">
      <c r="A931" s="72" t="s">
        <v>20</v>
      </c>
      <c r="B931" s="43" t="s">
        <v>889</v>
      </c>
      <c r="C931" s="44" t="s">
        <v>1085</v>
      </c>
      <c r="D931" s="45">
        <f>MROUND(MID($C931,6,3)/Basis!$E$3,0.5)</f>
        <v>29</v>
      </c>
      <c r="E931" s="45">
        <f>MROUND(MID($C931,9,3)/Basis!$E$3,0.5)</f>
        <v>40.5</v>
      </c>
      <c r="F931" s="124" t="s">
        <v>2946</v>
      </c>
      <c r="G931" s="45">
        <f>ROUND((ROUNDDOWN($F931/5,0)*5+3)/Basis!$E$3,1)</f>
        <v>5.0999999999999996</v>
      </c>
      <c r="H931" s="120">
        <f>ROUND($P931*Basis!$E$2*((TaH-TrH)/LN(1/µ)/Basis!$E$7)^$N931*$AA$4*Glycol,0)</f>
        <v>2602</v>
      </c>
      <c r="I931" s="83">
        <f>ROUND(H931/(MID($C931,9,3)/Basis!$E$3/Basis!$E$9)*Basis!$E$11,0)</f>
        <v>770</v>
      </c>
      <c r="J931" s="123">
        <f>IF(Basis!$E$1=1,ROUND(H931/((TaH-TrH)*1.163)/3600,3),ROUND(H931/(500*(TaH-TrH)),2))</f>
        <v>0.26</v>
      </c>
      <c r="K931" s="84"/>
      <c r="L931" s="177">
        <f>CHOOSE(Basis!$E$1,((AJ931*(J931*3600/Basis!$E$5)^AK931*(((MID(C931,9,3)*10)-144)/1000)*AL931+AM931*(J931*3600/Basis!$E$5)^2)*0.0098)/Basis!$E$10,((AJ931*(J931/Basis!$E$5)^AK931*(((MID(C931,9,3)*10)-144)/1000)*AL931+AM931*(J931/Basis!$E$5)^2)*0.0098)/Basis!$E$10)</f>
        <v>1.1981545884004647E-2</v>
      </c>
      <c r="M931" s="85"/>
      <c r="N931" s="109">
        <v>1.4359999999999999</v>
      </c>
      <c r="O931" s="68"/>
      <c r="P931" s="67">
        <v>1225</v>
      </c>
      <c r="Q931" s="68"/>
      <c r="R931" s="69"/>
      <c r="S931" s="69"/>
      <c r="T931" s="69"/>
      <c r="U931" s="69"/>
      <c r="V931" s="69"/>
      <c r="W931" s="68"/>
      <c r="X931" s="70"/>
      <c r="Y931" s="70"/>
      <c r="Z931" s="70"/>
      <c r="AA931" s="70"/>
      <c r="AB931" s="70"/>
      <c r="AC931" s="68"/>
      <c r="AD931" s="71"/>
      <c r="AE931" s="71"/>
      <c r="AF931" s="71"/>
      <c r="AG931" s="71"/>
      <c r="AH931" s="71"/>
      <c r="AI931" s="68"/>
      <c r="AJ931" s="214">
        <v>3.9689999999999994E-4</v>
      </c>
      <c r="AK931" s="214">
        <v>1.7345999999999999</v>
      </c>
      <c r="AL931" s="214">
        <v>4</v>
      </c>
      <c r="AM931" s="214">
        <v>5.7428799999999995E-4</v>
      </c>
      <c r="AN931" s="68"/>
      <c r="AO931" s="67"/>
      <c r="AP931" s="67"/>
      <c r="AQ931" s="67"/>
      <c r="AR931" s="67"/>
      <c r="AS931" s="67"/>
      <c r="AT931" s="68"/>
      <c r="AU931" s="49"/>
      <c r="AV931" s="50"/>
    </row>
    <row r="932" spans="1:48" ht="12.75" customHeight="1" x14ac:dyDescent="0.25">
      <c r="A932" s="72" t="s">
        <v>20</v>
      </c>
      <c r="B932" s="43" t="s">
        <v>889</v>
      </c>
      <c r="C932" s="44" t="s">
        <v>1086</v>
      </c>
      <c r="D932" s="45">
        <f>MROUND(MID($C932,6,3)/Basis!$E$3,0.5)</f>
        <v>29</v>
      </c>
      <c r="E932" s="45">
        <f>MROUND(MID($C932,9,3)/Basis!$E$3,0.5)</f>
        <v>40.5</v>
      </c>
      <c r="F932" s="124" t="s">
        <v>2947</v>
      </c>
      <c r="G932" s="45">
        <f>ROUND((ROUNDDOWN($F932/5,0)*5+3)/Basis!$E$3,1)</f>
        <v>7.1</v>
      </c>
      <c r="H932" s="120">
        <f>ROUND($P932*Basis!$E$2*((TaH-TrH)/LN(1/µ)/Basis!$E$7)^$N932*$AA$4*Glycol,0)</f>
        <v>2698</v>
      </c>
      <c r="I932" s="83">
        <f>ROUND(H932/(MID($C932,9,3)/Basis!$E$3/Basis!$E$9)*Basis!$E$11,0)</f>
        <v>798</v>
      </c>
      <c r="J932" s="123">
        <f>IF(Basis!$E$1=1,ROUND(H932/((TaH-TrH)*1.163)/3600,3),ROUND(H932/(500*(TaH-TrH)),2))</f>
        <v>0.27</v>
      </c>
      <c r="K932" s="84"/>
      <c r="L932" s="177">
        <f>CHOOSE(Basis!$E$1,((AJ932*(J932*3600/Basis!$E$5)^AK932*(((MID(C932,9,3)*10)-144)/1000)*AL932+AM932*(J932*3600/Basis!$E$5)^2)*0.0098)/Basis!$E$10,((AJ932*(J932/Basis!$E$5)^AK932*(((MID(C932,9,3)*10)-144)/1000)*AL932+AM932*(J932/Basis!$E$5)^2)*0.0098)/Basis!$E$10)</f>
        <v>2.0040401717668226E-2</v>
      </c>
      <c r="M932" s="85"/>
      <c r="N932" s="109">
        <v>1.464</v>
      </c>
      <c r="O932" s="68"/>
      <c r="P932" s="67">
        <v>1282</v>
      </c>
      <c r="Q932" s="68"/>
      <c r="R932" s="69"/>
      <c r="S932" s="69"/>
      <c r="T932" s="69"/>
      <c r="U932" s="69"/>
      <c r="V932" s="69"/>
      <c r="W932" s="68"/>
      <c r="X932" s="70"/>
      <c r="Y932" s="70"/>
      <c r="Z932" s="70"/>
      <c r="AA932" s="70"/>
      <c r="AB932" s="70"/>
      <c r="AC932" s="68"/>
      <c r="AD932" s="71"/>
      <c r="AE932" s="71"/>
      <c r="AF932" s="71"/>
      <c r="AG932" s="71"/>
      <c r="AH932" s="71"/>
      <c r="AI932" s="68"/>
      <c r="AJ932" s="214">
        <v>2.0829999999999999E-4</v>
      </c>
      <c r="AK932" s="214">
        <v>1.724</v>
      </c>
      <c r="AL932" s="214">
        <v>4</v>
      </c>
      <c r="AM932" s="214">
        <v>1.392796E-3</v>
      </c>
      <c r="AN932" s="68"/>
      <c r="AO932" s="67"/>
      <c r="AP932" s="67"/>
      <c r="AQ932" s="67"/>
      <c r="AR932" s="67"/>
      <c r="AS932" s="67"/>
      <c r="AT932" s="68"/>
      <c r="AU932" s="49"/>
      <c r="AV932" s="50"/>
    </row>
    <row r="933" spans="1:48" ht="12.75" customHeight="1" x14ac:dyDescent="0.25">
      <c r="A933" s="72" t="s">
        <v>20</v>
      </c>
      <c r="B933" s="43" t="s">
        <v>889</v>
      </c>
      <c r="C933" s="44" t="s">
        <v>1087</v>
      </c>
      <c r="D933" s="45">
        <f>MROUND(MID($C933,6,3)/Basis!$E$3,0.5)</f>
        <v>29</v>
      </c>
      <c r="E933" s="45">
        <f>MROUND(MID($C933,9,3)/Basis!$E$3,0.5)</f>
        <v>40.5</v>
      </c>
      <c r="F933" s="124" t="s">
        <v>2947</v>
      </c>
      <c r="G933" s="45">
        <f>ROUND((ROUNDDOWN($F933/5,0)*5+3)/Basis!$E$3,1)</f>
        <v>7.1</v>
      </c>
      <c r="H933" s="120">
        <f>ROUND($P933*Basis!$E$2*((TaH-TrH)/LN(1/µ)/Basis!$E$7)^$N933*$AA$4*Glycol,0)</f>
        <v>3615</v>
      </c>
      <c r="I933" s="83">
        <f>ROUND(H933/(MID($C933,9,3)/Basis!$E$3/Basis!$E$9)*Basis!$E$11,0)</f>
        <v>1070</v>
      </c>
      <c r="J933" s="123">
        <f>IF(Basis!$E$1=1,ROUND(H933/((TaH-TrH)*1.163)/3600,3),ROUND(H933/(500*(TaH-TrH)),2))</f>
        <v>0.36</v>
      </c>
      <c r="K933" s="84"/>
      <c r="L933" s="177">
        <f>CHOOSE(Basis!$E$1,((AJ933*(J933*3600/Basis!$E$5)^AK933*(((MID(C933,9,3)*10)-144)/1000)*AL933+AM933*(J933*3600/Basis!$E$5)^2)*0.0098)/Basis!$E$10,((AJ933*(J933/Basis!$E$5)^AK933*(((MID(C933,9,3)*10)-144)/1000)*AL933+AM933*(J933/Basis!$E$5)^2)*0.0098)/Basis!$E$10)</f>
        <v>3.5231888022204103E-2</v>
      </c>
      <c r="M933" s="85"/>
      <c r="N933" s="109">
        <v>1.468</v>
      </c>
      <c r="O933" s="68"/>
      <c r="P933" s="67">
        <v>1720</v>
      </c>
      <c r="Q933" s="68"/>
      <c r="R933" s="69"/>
      <c r="S933" s="69"/>
      <c r="T933" s="69"/>
      <c r="U933" s="69"/>
      <c r="V933" s="69"/>
      <c r="W933" s="68"/>
      <c r="X933" s="70"/>
      <c r="Y933" s="70"/>
      <c r="Z933" s="70"/>
      <c r="AA933" s="70"/>
      <c r="AB933" s="70"/>
      <c r="AC933" s="68"/>
      <c r="AD933" s="71"/>
      <c r="AE933" s="71"/>
      <c r="AF933" s="71"/>
      <c r="AG933" s="71"/>
      <c r="AH933" s="71"/>
      <c r="AI933" s="68"/>
      <c r="AJ933" s="214">
        <v>2.0829999999999999E-4</v>
      </c>
      <c r="AK933" s="214">
        <v>1.724</v>
      </c>
      <c r="AL933" s="214">
        <v>4</v>
      </c>
      <c r="AM933" s="214">
        <v>1.392796E-3</v>
      </c>
      <c r="AN933" s="68"/>
      <c r="AO933" s="67"/>
      <c r="AP933" s="67"/>
      <c r="AQ933" s="67"/>
      <c r="AR933" s="67"/>
      <c r="AS933" s="67"/>
      <c r="AT933" s="68"/>
      <c r="AU933" s="49"/>
      <c r="AV933" s="50"/>
    </row>
    <row r="934" spans="1:48" ht="12.75" customHeight="1" x14ac:dyDescent="0.25">
      <c r="A934" s="72" t="s">
        <v>20</v>
      </c>
      <c r="B934" s="43" t="s">
        <v>889</v>
      </c>
      <c r="C934" s="44" t="s">
        <v>1088</v>
      </c>
      <c r="D934" s="45">
        <f>MROUND(MID($C934,6,3)/Basis!$E$3,0.5)</f>
        <v>29</v>
      </c>
      <c r="E934" s="45">
        <f>MROUND(MID($C934,9,3)/Basis!$E$3,0.5)</f>
        <v>40.5</v>
      </c>
      <c r="F934" s="124" t="s">
        <v>2947</v>
      </c>
      <c r="G934" s="45">
        <f>ROUND((ROUNDDOWN($F934/5,0)*5+3)/Basis!$E$3,1)</f>
        <v>7.1</v>
      </c>
      <c r="H934" s="120">
        <f>ROUND($P934*Basis!$E$2*((TaH-TrH)/LN(1/µ)/Basis!$E$7)^$N934*$AA$4*Glycol,0)</f>
        <v>3260</v>
      </c>
      <c r="I934" s="83">
        <f>ROUND(H934/(MID($C934,9,3)/Basis!$E$3/Basis!$E$9)*Basis!$E$11,0)</f>
        <v>965</v>
      </c>
      <c r="J934" s="123">
        <f>IF(Basis!$E$1=1,ROUND(H934/((TaH-TrH)*1.163)/3600,3),ROUND(H934/(500*(TaH-TrH)),2))</f>
        <v>0.33</v>
      </c>
      <c r="K934" s="84"/>
      <c r="L934" s="177">
        <f>CHOOSE(Basis!$E$1,((AJ934*(J934*3600/Basis!$E$5)^AK934*(((MID(C934,9,3)*10)-144)/1000)*AL934+AM934*(J934*3600/Basis!$E$5)^2)*0.0098)/Basis!$E$10,((AJ934*(J934/Basis!$E$5)^AK934*(((MID(C934,9,3)*10)-144)/1000)*AL934+AM934*(J934/Basis!$E$5)^2)*0.0098)/Basis!$E$10)</f>
        <v>2.9702317528699729E-2</v>
      </c>
      <c r="M934" s="85"/>
      <c r="N934" s="109">
        <v>1.47</v>
      </c>
      <c r="O934" s="68"/>
      <c r="P934" s="67">
        <v>1552</v>
      </c>
      <c r="Q934" s="68"/>
      <c r="R934" s="69"/>
      <c r="S934" s="69"/>
      <c r="T934" s="69"/>
      <c r="U934" s="69"/>
      <c r="V934" s="69"/>
      <c r="W934" s="68"/>
      <c r="X934" s="70"/>
      <c r="Y934" s="70"/>
      <c r="Z934" s="70"/>
      <c r="AA934" s="70"/>
      <c r="AB934" s="70"/>
      <c r="AC934" s="68"/>
      <c r="AD934" s="71"/>
      <c r="AE934" s="71"/>
      <c r="AF934" s="71"/>
      <c r="AG934" s="71"/>
      <c r="AH934" s="71"/>
      <c r="AI934" s="68"/>
      <c r="AJ934" s="214">
        <v>2.0829999999999999E-4</v>
      </c>
      <c r="AK934" s="214">
        <v>1.724</v>
      </c>
      <c r="AL934" s="214">
        <v>4</v>
      </c>
      <c r="AM934" s="214">
        <v>1.392796E-3</v>
      </c>
      <c r="AN934" s="68"/>
      <c r="AO934" s="67"/>
      <c r="AP934" s="67"/>
      <c r="AQ934" s="67"/>
      <c r="AR934" s="67"/>
      <c r="AS934" s="67"/>
      <c r="AT934" s="68"/>
      <c r="AU934" s="49"/>
      <c r="AV934" s="50"/>
    </row>
    <row r="935" spans="1:48" ht="12.75" customHeight="1" x14ac:dyDescent="0.25">
      <c r="A935" s="72" t="s">
        <v>20</v>
      </c>
      <c r="B935" s="43" t="s">
        <v>889</v>
      </c>
      <c r="C935" s="44" t="s">
        <v>1089</v>
      </c>
      <c r="D935" s="45">
        <f>MROUND(MID($C935,6,3)/Basis!$E$3,0.5)</f>
        <v>29</v>
      </c>
      <c r="E935" s="45">
        <f>MROUND(MID($C935,9,3)/Basis!$E$3,0.5)</f>
        <v>40.5</v>
      </c>
      <c r="F935" s="124" t="s">
        <v>2947</v>
      </c>
      <c r="G935" s="45">
        <f>ROUND((ROUNDDOWN($F935/5,0)*5+3)/Basis!$E$3,1)</f>
        <v>7.1</v>
      </c>
      <c r="H935" s="120">
        <f>ROUND($P935*Basis!$E$2*((TaH-TrH)/LN(1/µ)/Basis!$E$7)^$N935*$AA$4*Glycol,0)</f>
        <v>3906</v>
      </c>
      <c r="I935" s="83">
        <f>ROUND(H935/(MID($C935,9,3)/Basis!$E$3/Basis!$E$9)*Basis!$E$11,0)</f>
        <v>1156</v>
      </c>
      <c r="J935" s="123">
        <f>IF(Basis!$E$1=1,ROUND(H935/((TaH-TrH)*1.163)/3600,3),ROUND(H935/(500*(TaH-TrH)),2))</f>
        <v>0.39</v>
      </c>
      <c r="K935" s="84"/>
      <c r="L935" s="177">
        <f>CHOOSE(Basis!$E$1,((AJ935*(J935*3600/Basis!$E$5)^AK935*(((MID(C935,9,3)*10)-144)/1000)*AL935+AM935*(J935*3600/Basis!$E$5)^2)*0.0098)/Basis!$E$10,((AJ935*(J935/Basis!$E$5)^AK935*(((MID(C935,9,3)*10)-144)/1000)*AL935+AM935*(J935/Basis!$E$5)^2)*0.0098)/Basis!$E$10)</f>
        <v>4.1225811724677278E-2</v>
      </c>
      <c r="M935" s="85"/>
      <c r="N935" s="109">
        <v>1.474</v>
      </c>
      <c r="O935" s="68"/>
      <c r="P935" s="67">
        <v>1862</v>
      </c>
      <c r="Q935" s="68"/>
      <c r="R935" s="69"/>
      <c r="S935" s="69"/>
      <c r="T935" s="69"/>
      <c r="U935" s="69"/>
      <c r="V935" s="69"/>
      <c r="W935" s="68"/>
      <c r="X935" s="70"/>
      <c r="Y935" s="70"/>
      <c r="Z935" s="70"/>
      <c r="AA935" s="70"/>
      <c r="AB935" s="70"/>
      <c r="AC935" s="68"/>
      <c r="AD935" s="71"/>
      <c r="AE935" s="71"/>
      <c r="AF935" s="71"/>
      <c r="AG935" s="71"/>
      <c r="AH935" s="71"/>
      <c r="AI935" s="68"/>
      <c r="AJ935" s="214">
        <v>2.0829999999999999E-4</v>
      </c>
      <c r="AK935" s="214">
        <v>1.724</v>
      </c>
      <c r="AL935" s="214">
        <v>4</v>
      </c>
      <c r="AM935" s="214">
        <v>1.392796E-3</v>
      </c>
      <c r="AN935" s="68"/>
      <c r="AO935" s="67"/>
      <c r="AP935" s="67"/>
      <c r="AQ935" s="67"/>
      <c r="AR935" s="67"/>
      <c r="AS935" s="67"/>
      <c r="AT935" s="68"/>
      <c r="AU935" s="49"/>
      <c r="AV935" s="50"/>
    </row>
    <row r="936" spans="1:48" ht="12.75" customHeight="1" x14ac:dyDescent="0.25">
      <c r="A936" s="72" t="s">
        <v>20</v>
      </c>
      <c r="B936" s="43" t="s">
        <v>889</v>
      </c>
      <c r="C936" s="44" t="s">
        <v>1090</v>
      </c>
      <c r="D936" s="45">
        <f>MROUND(MID($C936,6,3)/Basis!$E$3,0.5)</f>
        <v>29</v>
      </c>
      <c r="E936" s="45">
        <f>MROUND(MID($C936,9,3)/Basis!$E$3,0.5)</f>
        <v>40.5</v>
      </c>
      <c r="F936" s="124" t="s">
        <v>2948</v>
      </c>
      <c r="G936" s="45">
        <f>ROUND((ROUNDDOWN($F936/5,0)*5+3)/Basis!$E$3,1)</f>
        <v>9.1</v>
      </c>
      <c r="H936" s="120">
        <f>ROUND($P936*Basis!$E$2*((TaH-TrH)/LN(1/µ)/Basis!$E$7)^$N936*$AA$4*Glycol,0)</f>
        <v>3375</v>
      </c>
      <c r="I936" s="83">
        <f>ROUND(H936/(MID($C936,9,3)/Basis!$E$3/Basis!$E$9)*Basis!$E$11,0)</f>
        <v>999</v>
      </c>
      <c r="J936" s="123">
        <f>IF(Basis!$E$1=1,ROUND(H936/((TaH-TrH)*1.163)/3600,3),ROUND(H936/(500*(TaH-TrH)),2))</f>
        <v>0.34</v>
      </c>
      <c r="K936" s="84"/>
      <c r="L936" s="177">
        <f>CHOOSE(Basis!$E$1,((AJ936*(J936*3600/Basis!$E$5)^AK936*(((MID(C936,9,3)*10)-144)/1000)*AL936+AM936*(J936*3600/Basis!$E$5)^2)*0.0098)/Basis!$E$10,((AJ936*(J936/Basis!$E$5)^AK936*(((MID(C936,9,3)*10)-144)/1000)*AL936+AM936*(J936/Basis!$E$5)^2)*0.0098)/Basis!$E$10)</f>
        <v>1.2658487042107595E-2</v>
      </c>
      <c r="M936" s="85"/>
      <c r="N936" s="109">
        <v>1.484</v>
      </c>
      <c r="O936" s="68"/>
      <c r="P936" s="67">
        <v>1614</v>
      </c>
      <c r="Q936" s="68"/>
      <c r="R936" s="69"/>
      <c r="S936" s="69"/>
      <c r="T936" s="69"/>
      <c r="U936" s="69"/>
      <c r="V936" s="69"/>
      <c r="W936" s="68"/>
      <c r="X936" s="70"/>
      <c r="Y936" s="70"/>
      <c r="Z936" s="70"/>
      <c r="AA936" s="70"/>
      <c r="AB936" s="70"/>
      <c r="AC936" s="68"/>
      <c r="AD936" s="71"/>
      <c r="AE936" s="71"/>
      <c r="AF936" s="71"/>
      <c r="AG936" s="71"/>
      <c r="AH936" s="71"/>
      <c r="AI936" s="68"/>
      <c r="AJ936" s="214">
        <v>1.2760000000000001E-4</v>
      </c>
      <c r="AK936" s="214">
        <v>1.7219</v>
      </c>
      <c r="AL936" s="214">
        <v>4</v>
      </c>
      <c r="AM936" s="214">
        <v>5.1420100000000005E-4</v>
      </c>
      <c r="AN936" s="68"/>
      <c r="AO936" s="67"/>
      <c r="AP936" s="67"/>
      <c r="AQ936" s="67"/>
      <c r="AR936" s="67"/>
      <c r="AS936" s="67"/>
      <c r="AT936" s="68"/>
      <c r="AU936" s="49"/>
      <c r="AV936" s="50"/>
    </row>
    <row r="937" spans="1:48" ht="12.75" customHeight="1" x14ac:dyDescent="0.25">
      <c r="A937" s="72" t="s">
        <v>20</v>
      </c>
      <c r="B937" s="43" t="s">
        <v>889</v>
      </c>
      <c r="C937" s="44" t="s">
        <v>1091</v>
      </c>
      <c r="D937" s="45">
        <f>MROUND(MID($C937,6,3)/Basis!$E$3,0.5)</f>
        <v>29</v>
      </c>
      <c r="E937" s="45">
        <f>MROUND(MID($C937,9,3)/Basis!$E$3,0.5)</f>
        <v>40.5</v>
      </c>
      <c r="F937" s="124" t="s">
        <v>2948</v>
      </c>
      <c r="G937" s="45">
        <f>ROUND((ROUNDDOWN($F937/5,0)*5+3)/Basis!$E$3,1)</f>
        <v>9.1</v>
      </c>
      <c r="H937" s="120">
        <f>ROUND($P937*Basis!$E$2*((TaH-TrH)/LN(1/µ)/Basis!$E$7)^$N937*$AA$4*Glycol,0)</f>
        <v>4379</v>
      </c>
      <c r="I937" s="83">
        <f>ROUND(H937/(MID($C937,9,3)/Basis!$E$3/Basis!$E$9)*Basis!$E$11,0)</f>
        <v>1296</v>
      </c>
      <c r="J937" s="123">
        <f>IF(Basis!$E$1=1,ROUND(H937/((TaH-TrH)*1.163)/3600,3),ROUND(H937/(500*(TaH-TrH)),2))</f>
        <v>0.44</v>
      </c>
      <c r="K937" s="84"/>
      <c r="L937" s="177">
        <f>CHOOSE(Basis!$E$1,((AJ937*(J937*3600/Basis!$E$5)^AK937*(((MID(C937,9,3)*10)-144)/1000)*AL937+AM937*(J937*3600/Basis!$E$5)^2)*0.0098)/Basis!$E$10,((AJ937*(J937/Basis!$E$5)^AK937*(((MID(C937,9,3)*10)-144)/1000)*AL937+AM937*(J937/Basis!$E$5)^2)*0.0098)/Basis!$E$10)</f>
        <v>2.0894634298514896E-2</v>
      </c>
      <c r="M937" s="85"/>
      <c r="N937" s="109">
        <v>1.492</v>
      </c>
      <c r="O937" s="68"/>
      <c r="P937" s="67">
        <v>2100</v>
      </c>
      <c r="Q937" s="68"/>
      <c r="R937" s="69"/>
      <c r="S937" s="69"/>
      <c r="T937" s="69"/>
      <c r="U937" s="69"/>
      <c r="V937" s="69"/>
      <c r="W937" s="68"/>
      <c r="X937" s="70"/>
      <c r="Y937" s="70"/>
      <c r="Z937" s="70"/>
      <c r="AA937" s="70"/>
      <c r="AB937" s="70"/>
      <c r="AC937" s="68"/>
      <c r="AD937" s="71"/>
      <c r="AE937" s="71"/>
      <c r="AF937" s="71"/>
      <c r="AG937" s="71"/>
      <c r="AH937" s="71"/>
      <c r="AI937" s="68"/>
      <c r="AJ937" s="214">
        <v>1.2760000000000001E-4</v>
      </c>
      <c r="AK937" s="214">
        <v>1.7219</v>
      </c>
      <c r="AL937" s="214">
        <v>4</v>
      </c>
      <c r="AM937" s="214">
        <v>5.1420100000000005E-4</v>
      </c>
      <c r="AN937" s="68"/>
      <c r="AO937" s="67"/>
      <c r="AP937" s="67"/>
      <c r="AQ937" s="67"/>
      <c r="AR937" s="67"/>
      <c r="AS937" s="67"/>
      <c r="AT937" s="68"/>
      <c r="AU937" s="49"/>
      <c r="AV937" s="50"/>
    </row>
    <row r="938" spans="1:48" ht="12.75" customHeight="1" x14ac:dyDescent="0.25">
      <c r="A938" s="72" t="s">
        <v>20</v>
      </c>
      <c r="B938" s="43" t="s">
        <v>889</v>
      </c>
      <c r="C938" s="44" t="s">
        <v>1092</v>
      </c>
      <c r="D938" s="45">
        <f>MROUND(MID($C938,6,3)/Basis!$E$3,0.5)</f>
        <v>29</v>
      </c>
      <c r="E938" s="45">
        <f>MROUND(MID($C938,9,3)/Basis!$E$3,0.5)</f>
        <v>40.5</v>
      </c>
      <c r="F938" s="124" t="s">
        <v>2948</v>
      </c>
      <c r="G938" s="45">
        <f>ROUND((ROUNDDOWN($F938/5,0)*5+3)/Basis!$E$3,1)</f>
        <v>9.1</v>
      </c>
      <c r="H938" s="120">
        <f>ROUND($P938*Basis!$E$2*((TaH-TrH)/LN(1/µ)/Basis!$E$7)^$N938*$AA$4*Glycol,0)</f>
        <v>4017</v>
      </c>
      <c r="I938" s="83">
        <f>ROUND(H938/(MID($C938,9,3)/Basis!$E$3/Basis!$E$9)*Basis!$E$11,0)</f>
        <v>1189</v>
      </c>
      <c r="J938" s="123">
        <f>IF(Basis!$E$1=1,ROUND(H938/((TaH-TrH)*1.163)/3600,3),ROUND(H938/(500*(TaH-TrH)),2))</f>
        <v>0.4</v>
      </c>
      <c r="K938" s="84"/>
      <c r="L938" s="177">
        <f>CHOOSE(Basis!$E$1,((AJ938*(J938*3600/Basis!$E$5)^AK938*(((MID(C938,9,3)*10)-144)/1000)*AL938+AM938*(J938*3600/Basis!$E$5)^2)*0.0098)/Basis!$E$10,((AJ938*(J938/Basis!$E$5)^AK938*(((MID(C938,9,3)*10)-144)/1000)*AL938+AM938*(J938/Basis!$E$5)^2)*0.0098)/Basis!$E$10)</f>
        <v>1.7359387546801667E-2</v>
      </c>
      <c r="M938" s="85"/>
      <c r="N938" s="109">
        <v>1.496</v>
      </c>
      <c r="O938" s="68"/>
      <c r="P938" s="67">
        <v>1929</v>
      </c>
      <c r="Q938" s="68"/>
      <c r="R938" s="69"/>
      <c r="S938" s="69"/>
      <c r="T938" s="69"/>
      <c r="U938" s="69"/>
      <c r="V938" s="69"/>
      <c r="W938" s="68"/>
      <c r="X938" s="70"/>
      <c r="Y938" s="70"/>
      <c r="Z938" s="70"/>
      <c r="AA938" s="70"/>
      <c r="AB938" s="70"/>
      <c r="AC938" s="68"/>
      <c r="AD938" s="71"/>
      <c r="AE938" s="71"/>
      <c r="AF938" s="71"/>
      <c r="AG938" s="71"/>
      <c r="AH938" s="71"/>
      <c r="AI938" s="68"/>
      <c r="AJ938" s="214">
        <v>1.2760000000000001E-4</v>
      </c>
      <c r="AK938" s="214">
        <v>1.7219</v>
      </c>
      <c r="AL938" s="214">
        <v>4</v>
      </c>
      <c r="AM938" s="214">
        <v>5.1420100000000005E-4</v>
      </c>
      <c r="AN938" s="68"/>
      <c r="AO938" s="67"/>
      <c r="AP938" s="67"/>
      <c r="AQ938" s="67"/>
      <c r="AR938" s="67"/>
      <c r="AS938" s="67"/>
      <c r="AT938" s="68"/>
      <c r="AU938" s="49"/>
      <c r="AV938" s="50"/>
    </row>
    <row r="939" spans="1:48" ht="12.75" customHeight="1" x14ac:dyDescent="0.25">
      <c r="A939" s="72" t="s">
        <v>20</v>
      </c>
      <c r="B939" s="43" t="s">
        <v>889</v>
      </c>
      <c r="C939" s="44" t="s">
        <v>1093</v>
      </c>
      <c r="D939" s="45">
        <f>MROUND(MID($C939,6,3)/Basis!$E$3,0.5)</f>
        <v>29</v>
      </c>
      <c r="E939" s="45">
        <f>MROUND(MID($C939,9,3)/Basis!$E$3,0.5)</f>
        <v>40.5</v>
      </c>
      <c r="F939" s="124" t="s">
        <v>2948</v>
      </c>
      <c r="G939" s="45">
        <f>ROUND((ROUNDDOWN($F939/5,0)*5+3)/Basis!$E$3,1)</f>
        <v>9.1</v>
      </c>
      <c r="H939" s="120">
        <f>ROUND($P939*Basis!$E$2*((TaH-TrH)/LN(1/µ)/Basis!$E$7)^$N939*$AA$4*Glycol,0)</f>
        <v>5434</v>
      </c>
      <c r="I939" s="83">
        <f>ROUND(H939/(MID($C939,9,3)/Basis!$E$3/Basis!$E$9)*Basis!$E$11,0)</f>
        <v>1608</v>
      </c>
      <c r="J939" s="123">
        <f>IF(Basis!$E$1=1,ROUND(H939/((TaH-TrH)*1.163)/3600,3),ROUND(H939/(500*(TaH-TrH)),2))</f>
        <v>0.54</v>
      </c>
      <c r="K939" s="84"/>
      <c r="L939" s="177">
        <f>CHOOSE(Basis!$E$1,((AJ939*(J939*3600/Basis!$E$5)^AK939*(((MID(C939,9,3)*10)-144)/1000)*AL939+AM939*(J939*3600/Basis!$E$5)^2)*0.0098)/Basis!$E$10,((AJ939*(J939/Basis!$E$5)^AK939*(((MID(C939,9,3)*10)-144)/1000)*AL939+AM939*(J939/Basis!$E$5)^2)*0.0098)/Basis!$E$10)</f>
        <v>3.1129277267549625E-2</v>
      </c>
      <c r="M939" s="85"/>
      <c r="N939" s="109">
        <v>1.5049999999999999</v>
      </c>
      <c r="O939" s="68"/>
      <c r="P939" s="67">
        <v>2617</v>
      </c>
      <c r="Q939" s="68"/>
      <c r="R939" s="69"/>
      <c r="S939" s="69"/>
      <c r="T939" s="69"/>
      <c r="U939" s="69"/>
      <c r="V939" s="69"/>
      <c r="W939" s="68"/>
      <c r="X939" s="70"/>
      <c r="Y939" s="70"/>
      <c r="Z939" s="70"/>
      <c r="AA939" s="70"/>
      <c r="AB939" s="70"/>
      <c r="AC939" s="68"/>
      <c r="AD939" s="71"/>
      <c r="AE939" s="71"/>
      <c r="AF939" s="71"/>
      <c r="AG939" s="71"/>
      <c r="AH939" s="71"/>
      <c r="AI939" s="68"/>
      <c r="AJ939" s="214">
        <v>1.2760000000000001E-4</v>
      </c>
      <c r="AK939" s="214">
        <v>1.7219</v>
      </c>
      <c r="AL939" s="214">
        <v>4</v>
      </c>
      <c r="AM939" s="214">
        <v>5.1420100000000005E-4</v>
      </c>
      <c r="AN939" s="68"/>
      <c r="AO939" s="67"/>
      <c r="AP939" s="67"/>
      <c r="AQ939" s="67"/>
      <c r="AR939" s="67"/>
      <c r="AS939" s="67"/>
      <c r="AT939" s="68"/>
      <c r="AU939" s="49"/>
      <c r="AV939" s="50"/>
    </row>
    <row r="940" spans="1:48" ht="12.75" customHeight="1" x14ac:dyDescent="0.25">
      <c r="A940" s="72" t="s">
        <v>20</v>
      </c>
      <c r="B940" s="43" t="s">
        <v>889</v>
      </c>
      <c r="C940" s="44" t="s">
        <v>1094</v>
      </c>
      <c r="D940" s="45">
        <f>MROUND(MID($C940,6,3)/Basis!$E$3,0.5)</f>
        <v>29</v>
      </c>
      <c r="E940" s="45">
        <f>MROUND(MID($C940,9,3)/Basis!$E$3,0.5)</f>
        <v>48.5</v>
      </c>
      <c r="F940" s="124" t="s">
        <v>2946</v>
      </c>
      <c r="G940" s="45">
        <f>ROUND((ROUNDDOWN($F940/5,0)*5+3)/Basis!$E$3,1)</f>
        <v>5.0999999999999996</v>
      </c>
      <c r="H940" s="120">
        <f>ROUND($P940*Basis!$E$2*((TaH-TrH)/LN(1/µ)/Basis!$E$7)^$N940*$AA$4*Glycol,0)</f>
        <v>2441</v>
      </c>
      <c r="I940" s="83">
        <f>ROUND(H940/(MID($C940,9,3)/Basis!$E$3/Basis!$E$9)*Basis!$E$11,0)</f>
        <v>605</v>
      </c>
      <c r="J940" s="123">
        <f>IF(Basis!$E$1=1,ROUND(H940/((TaH-TrH)*1.163)/3600,3),ROUND(H940/(500*(TaH-TrH)),2))</f>
        <v>0.24</v>
      </c>
      <c r="K940" s="84"/>
      <c r="L940" s="177">
        <f>CHOOSE(Basis!$E$1,((AJ940*(J940*3600/Basis!$E$5)^AK940*(((MID(C940,9,3)*10)-144)/1000)*AL940+AM940*(J940*3600/Basis!$E$5)^2)*0.0098)/Basis!$E$10,((AJ940*(J940/Basis!$E$5)^AK940*(((MID(C940,9,3)*10)-144)/1000)*AL940+AM940*(J940/Basis!$E$5)^2)*0.0098)/Basis!$E$10)</f>
        <v>1.1376045988128605E-2</v>
      </c>
      <c r="M940" s="85"/>
      <c r="N940" s="109">
        <v>1.4379999999999999</v>
      </c>
      <c r="O940" s="68"/>
      <c r="P940" s="67">
        <v>1150</v>
      </c>
      <c r="Q940" s="68"/>
      <c r="R940" s="69"/>
      <c r="S940" s="69"/>
      <c r="T940" s="69"/>
      <c r="U940" s="69"/>
      <c r="V940" s="69"/>
      <c r="W940" s="68"/>
      <c r="X940" s="70"/>
      <c r="Y940" s="70"/>
      <c r="Z940" s="70"/>
      <c r="AA940" s="70"/>
      <c r="AB940" s="70"/>
      <c r="AC940" s="68"/>
      <c r="AD940" s="71"/>
      <c r="AE940" s="71"/>
      <c r="AF940" s="71"/>
      <c r="AG940" s="71"/>
      <c r="AH940" s="71"/>
      <c r="AI940" s="68"/>
      <c r="AJ940" s="214">
        <v>3.9689999999999994E-4</v>
      </c>
      <c r="AK940" s="214">
        <v>1.7345999999999999</v>
      </c>
      <c r="AL940" s="214">
        <v>4</v>
      </c>
      <c r="AM940" s="214">
        <v>5.7428799999999995E-4</v>
      </c>
      <c r="AN940" s="68"/>
      <c r="AO940" s="67"/>
      <c r="AP940" s="67"/>
      <c r="AQ940" s="67"/>
      <c r="AR940" s="67"/>
      <c r="AS940" s="67"/>
      <c r="AT940" s="68"/>
      <c r="AU940" s="49"/>
      <c r="AV940" s="50"/>
    </row>
    <row r="941" spans="1:48" ht="12.75" customHeight="1" x14ac:dyDescent="0.25">
      <c r="A941" s="72" t="s">
        <v>20</v>
      </c>
      <c r="B941" s="43" t="s">
        <v>889</v>
      </c>
      <c r="C941" s="44" t="s">
        <v>1095</v>
      </c>
      <c r="D941" s="45">
        <f>MROUND(MID($C941,6,3)/Basis!$E$3,0.5)</f>
        <v>29</v>
      </c>
      <c r="E941" s="45">
        <f>MROUND(MID($C941,9,3)/Basis!$E$3,0.5)</f>
        <v>48.5</v>
      </c>
      <c r="F941" s="124" t="s">
        <v>2946</v>
      </c>
      <c r="G941" s="45">
        <f>ROUND((ROUNDDOWN($F941/5,0)*5+3)/Basis!$E$3,1)</f>
        <v>5.0999999999999996</v>
      </c>
      <c r="H941" s="120">
        <f>ROUND($P941*Basis!$E$2*((TaH-TrH)/LN(1/µ)/Basis!$E$7)^$N941*$AA$4*Glycol,0)</f>
        <v>3045</v>
      </c>
      <c r="I941" s="83">
        <f>ROUND(H941/(MID($C941,9,3)/Basis!$E$3/Basis!$E$9)*Basis!$E$11,0)</f>
        <v>755</v>
      </c>
      <c r="J941" s="123">
        <f>IF(Basis!$E$1=1,ROUND(H941/((TaH-TrH)*1.163)/3600,3),ROUND(H941/(500*(TaH-TrH)),2))</f>
        <v>0.3</v>
      </c>
      <c r="K941" s="84"/>
      <c r="L941" s="177">
        <f>CHOOSE(Basis!$E$1,((AJ941*(J941*3600/Basis!$E$5)^AK941*(((MID(C941,9,3)*10)-144)/1000)*AL941+AM941*(J941*3600/Basis!$E$5)^2)*0.0098)/Basis!$E$10,((AJ941*(J941/Basis!$E$5)^AK941*(((MID(C941,9,3)*10)-144)/1000)*AL941+AM941*(J941/Basis!$E$5)^2)*0.0098)/Basis!$E$10)</f>
        <v>1.7254257454734013E-2</v>
      </c>
      <c r="M941" s="85"/>
      <c r="N941" s="109">
        <v>1.4370000000000001</v>
      </c>
      <c r="O941" s="68"/>
      <c r="P941" s="67">
        <v>1434</v>
      </c>
      <c r="Q941" s="68"/>
      <c r="R941" s="69"/>
      <c r="S941" s="69"/>
      <c r="T941" s="69"/>
      <c r="U941" s="69"/>
      <c r="V941" s="69"/>
      <c r="W941" s="68"/>
      <c r="X941" s="70"/>
      <c r="Y941" s="70"/>
      <c r="Z941" s="70"/>
      <c r="AA941" s="70"/>
      <c r="AB941" s="70"/>
      <c r="AC941" s="68"/>
      <c r="AD941" s="71"/>
      <c r="AE941" s="71"/>
      <c r="AF941" s="71"/>
      <c r="AG941" s="71"/>
      <c r="AH941" s="71"/>
      <c r="AI941" s="68"/>
      <c r="AJ941" s="214">
        <v>3.9689999999999994E-4</v>
      </c>
      <c r="AK941" s="214">
        <v>1.7345999999999999</v>
      </c>
      <c r="AL941" s="214">
        <v>4</v>
      </c>
      <c r="AM941" s="214">
        <v>5.7428799999999995E-4</v>
      </c>
      <c r="AN941" s="68"/>
      <c r="AO941" s="67"/>
      <c r="AP941" s="67"/>
      <c r="AQ941" s="67"/>
      <c r="AR941" s="67"/>
      <c r="AS941" s="67"/>
      <c r="AT941" s="68"/>
      <c r="AU941" s="49"/>
      <c r="AV941" s="50"/>
    </row>
    <row r="942" spans="1:48" ht="12.75" customHeight="1" x14ac:dyDescent="0.25">
      <c r="A942" s="72" t="s">
        <v>20</v>
      </c>
      <c r="B942" s="43" t="s">
        <v>889</v>
      </c>
      <c r="C942" s="44" t="s">
        <v>1096</v>
      </c>
      <c r="D942" s="45">
        <f>MROUND(MID($C942,6,3)/Basis!$E$3,0.5)</f>
        <v>29</v>
      </c>
      <c r="E942" s="45">
        <f>MROUND(MID($C942,9,3)/Basis!$E$3,0.5)</f>
        <v>48.5</v>
      </c>
      <c r="F942" s="124" t="s">
        <v>2946</v>
      </c>
      <c r="G942" s="45">
        <f>ROUND((ROUNDDOWN($F942/5,0)*5+3)/Basis!$E$3,1)</f>
        <v>5.0999999999999996</v>
      </c>
      <c r="H942" s="120">
        <f>ROUND($P942*Basis!$E$2*((TaH-TrH)/LN(1/µ)/Basis!$E$7)^$N942*$AA$4*Glycol,0)</f>
        <v>2920</v>
      </c>
      <c r="I942" s="83">
        <f>ROUND(H942/(MID($C942,9,3)/Basis!$E$3/Basis!$E$9)*Basis!$E$11,0)</f>
        <v>724</v>
      </c>
      <c r="J942" s="123">
        <f>IF(Basis!$E$1=1,ROUND(H942/((TaH-TrH)*1.163)/3600,3),ROUND(H942/(500*(TaH-TrH)),2))</f>
        <v>0.28999999999999998</v>
      </c>
      <c r="K942" s="84"/>
      <c r="L942" s="177">
        <f>CHOOSE(Basis!$E$1,((AJ942*(J942*3600/Basis!$E$5)^AK942*(((MID(C942,9,3)*10)-144)/1000)*AL942+AM942*(J942*3600/Basis!$E$5)^2)*0.0098)/Basis!$E$10,((AJ942*(J942/Basis!$E$5)^AK942*(((MID(C942,9,3)*10)-144)/1000)*AL942+AM942*(J942/Basis!$E$5)^2)*0.0098)/Basis!$E$10)</f>
        <v>1.6195239752464237E-2</v>
      </c>
      <c r="M942" s="85"/>
      <c r="N942" s="109">
        <v>1.4370000000000001</v>
      </c>
      <c r="O942" s="68"/>
      <c r="P942" s="67">
        <v>1375</v>
      </c>
      <c r="Q942" s="68"/>
      <c r="R942" s="69"/>
      <c r="S942" s="69"/>
      <c r="T942" s="69"/>
      <c r="U942" s="69"/>
      <c r="V942" s="69"/>
      <c r="W942" s="68"/>
      <c r="X942" s="70"/>
      <c r="Y942" s="70"/>
      <c r="Z942" s="70"/>
      <c r="AA942" s="70"/>
      <c r="AB942" s="70"/>
      <c r="AC942" s="68"/>
      <c r="AD942" s="71"/>
      <c r="AE942" s="71"/>
      <c r="AF942" s="71"/>
      <c r="AG942" s="71"/>
      <c r="AH942" s="71"/>
      <c r="AI942" s="68"/>
      <c r="AJ942" s="214">
        <v>3.9689999999999994E-4</v>
      </c>
      <c r="AK942" s="214">
        <v>1.7345999999999999</v>
      </c>
      <c r="AL942" s="214">
        <v>4</v>
      </c>
      <c r="AM942" s="214">
        <v>5.7428799999999995E-4</v>
      </c>
      <c r="AN942" s="68"/>
      <c r="AO942" s="67"/>
      <c r="AP942" s="67"/>
      <c r="AQ942" s="67"/>
      <c r="AR942" s="67"/>
      <c r="AS942" s="67"/>
      <c r="AT942" s="68"/>
      <c r="AU942" s="49"/>
      <c r="AV942" s="50"/>
    </row>
    <row r="943" spans="1:48" ht="12.75" customHeight="1" x14ac:dyDescent="0.25">
      <c r="A943" s="72" t="s">
        <v>20</v>
      </c>
      <c r="B943" s="43" t="s">
        <v>889</v>
      </c>
      <c r="C943" s="44" t="s">
        <v>1097</v>
      </c>
      <c r="D943" s="45">
        <f>MROUND(MID($C943,6,3)/Basis!$E$3,0.5)</f>
        <v>29</v>
      </c>
      <c r="E943" s="45">
        <f>MROUND(MID($C943,9,3)/Basis!$E$3,0.5)</f>
        <v>48.5</v>
      </c>
      <c r="F943" s="124" t="s">
        <v>2946</v>
      </c>
      <c r="G943" s="45">
        <f>ROUND((ROUNDDOWN($F943/5,0)*5+3)/Basis!$E$3,1)</f>
        <v>5.0999999999999996</v>
      </c>
      <c r="H943" s="120">
        <f>ROUND($P943*Basis!$E$2*((TaH-TrH)/LN(1/µ)/Basis!$E$7)^$N943*$AA$4*Glycol,0)</f>
        <v>3235</v>
      </c>
      <c r="I943" s="83">
        <f>ROUND(H943/(MID($C943,9,3)/Basis!$E$3/Basis!$E$9)*Basis!$E$11,0)</f>
        <v>802</v>
      </c>
      <c r="J943" s="123">
        <f>IF(Basis!$E$1=1,ROUND(H943/((TaH-TrH)*1.163)/3600,3),ROUND(H943/(500*(TaH-TrH)),2))</f>
        <v>0.32</v>
      </c>
      <c r="K943" s="84"/>
      <c r="L943" s="177">
        <f>CHOOSE(Basis!$E$1,((AJ943*(J943*3600/Basis!$E$5)^AK943*(((MID(C943,9,3)*10)-144)/1000)*AL943+AM943*(J943*3600/Basis!$E$5)^2)*0.0098)/Basis!$E$10,((AJ943*(J943/Basis!$E$5)^AK943*(((MID(C943,9,3)*10)-144)/1000)*AL943+AM943*(J943/Basis!$E$5)^2)*0.0098)/Basis!$E$10)</f>
        <v>1.9466566304110762E-2</v>
      </c>
      <c r="M943" s="85"/>
      <c r="N943" s="109">
        <v>1.4359999999999999</v>
      </c>
      <c r="O943" s="68"/>
      <c r="P943" s="67">
        <v>1523</v>
      </c>
      <c r="Q943" s="68"/>
      <c r="R943" s="69"/>
      <c r="S943" s="69"/>
      <c r="T943" s="69"/>
      <c r="U943" s="69"/>
      <c r="V943" s="69"/>
      <c r="W943" s="68"/>
      <c r="X943" s="70"/>
      <c r="Y943" s="70"/>
      <c r="Z943" s="70"/>
      <c r="AA943" s="70"/>
      <c r="AB943" s="70"/>
      <c r="AC943" s="68"/>
      <c r="AD943" s="71"/>
      <c r="AE943" s="71"/>
      <c r="AF943" s="71"/>
      <c r="AG943" s="71"/>
      <c r="AH943" s="71"/>
      <c r="AI943" s="68"/>
      <c r="AJ943" s="214">
        <v>3.9689999999999994E-4</v>
      </c>
      <c r="AK943" s="214">
        <v>1.7345999999999999</v>
      </c>
      <c r="AL943" s="214">
        <v>4</v>
      </c>
      <c r="AM943" s="214">
        <v>5.7428799999999995E-4</v>
      </c>
      <c r="AN943" s="68"/>
      <c r="AO943" s="67"/>
      <c r="AP943" s="67"/>
      <c r="AQ943" s="67"/>
      <c r="AR943" s="67"/>
      <c r="AS943" s="67"/>
      <c r="AT943" s="68"/>
      <c r="AU943" s="49"/>
      <c r="AV943" s="50"/>
    </row>
    <row r="944" spans="1:48" ht="12.75" customHeight="1" x14ac:dyDescent="0.25">
      <c r="A944" s="72" t="s">
        <v>20</v>
      </c>
      <c r="B944" s="43" t="s">
        <v>889</v>
      </c>
      <c r="C944" s="44" t="s">
        <v>1098</v>
      </c>
      <c r="D944" s="45">
        <f>MROUND(MID($C944,6,3)/Basis!$E$3,0.5)</f>
        <v>29</v>
      </c>
      <c r="E944" s="45">
        <f>MROUND(MID($C944,9,3)/Basis!$E$3,0.5)</f>
        <v>48.5</v>
      </c>
      <c r="F944" s="124" t="s">
        <v>2947</v>
      </c>
      <c r="G944" s="45">
        <f>ROUND((ROUNDDOWN($F944/5,0)*5+3)/Basis!$E$3,1)</f>
        <v>7.1</v>
      </c>
      <c r="H944" s="120">
        <f>ROUND($P944*Basis!$E$2*((TaH-TrH)/LN(1/µ)/Basis!$E$7)^$N944*$AA$4*Glycol,0)</f>
        <v>3355</v>
      </c>
      <c r="I944" s="83">
        <f>ROUND(H944/(MID($C944,9,3)/Basis!$E$3/Basis!$E$9)*Basis!$E$11,0)</f>
        <v>831</v>
      </c>
      <c r="J944" s="123">
        <f>IF(Basis!$E$1=1,ROUND(H944/((TaH-TrH)*1.163)/3600,3),ROUND(H944/(500*(TaH-TrH)),2))</f>
        <v>0.34</v>
      </c>
      <c r="K944" s="84"/>
      <c r="L944" s="177">
        <f>CHOOSE(Basis!$E$1,((AJ944*(J944*3600/Basis!$E$5)^AK944*(((MID(C944,9,3)*10)-144)/1000)*AL944+AM944*(J944*3600/Basis!$E$5)^2)*0.0098)/Basis!$E$10,((AJ944*(J944/Basis!$E$5)^AK944*(((MID(C944,9,3)*10)-144)/1000)*AL944+AM944*(J944/Basis!$E$5)^2)*0.0098)/Basis!$E$10)</f>
        <v>3.2472805104172185E-2</v>
      </c>
      <c r="M944" s="85"/>
      <c r="N944" s="109">
        <v>1.464</v>
      </c>
      <c r="O944" s="68"/>
      <c r="P944" s="67">
        <v>1594</v>
      </c>
      <c r="Q944" s="68"/>
      <c r="R944" s="69"/>
      <c r="S944" s="69"/>
      <c r="T944" s="69"/>
      <c r="U944" s="69"/>
      <c r="V944" s="69"/>
      <c r="W944" s="68"/>
      <c r="X944" s="70"/>
      <c r="Y944" s="70"/>
      <c r="Z944" s="70"/>
      <c r="AA944" s="70"/>
      <c r="AB944" s="70"/>
      <c r="AC944" s="68"/>
      <c r="AD944" s="71"/>
      <c r="AE944" s="71"/>
      <c r="AF944" s="71"/>
      <c r="AG944" s="71"/>
      <c r="AH944" s="71"/>
      <c r="AI944" s="68"/>
      <c r="AJ944" s="214">
        <v>2.0829999999999999E-4</v>
      </c>
      <c r="AK944" s="214">
        <v>1.724</v>
      </c>
      <c r="AL944" s="214">
        <v>4</v>
      </c>
      <c r="AM944" s="214">
        <v>1.392796E-3</v>
      </c>
      <c r="AN944" s="68"/>
      <c r="AO944" s="67"/>
      <c r="AP944" s="67"/>
      <c r="AQ944" s="67"/>
      <c r="AR944" s="67"/>
      <c r="AS944" s="67"/>
      <c r="AT944" s="68"/>
      <c r="AU944" s="49"/>
      <c r="AV944" s="50"/>
    </row>
    <row r="945" spans="1:48" ht="12.75" customHeight="1" x14ac:dyDescent="0.25">
      <c r="A945" s="72" t="s">
        <v>20</v>
      </c>
      <c r="B945" s="43" t="s">
        <v>889</v>
      </c>
      <c r="C945" s="44" t="s">
        <v>1099</v>
      </c>
      <c r="D945" s="45">
        <f>MROUND(MID($C945,6,3)/Basis!$E$3,0.5)</f>
        <v>29</v>
      </c>
      <c r="E945" s="45">
        <f>MROUND(MID($C945,9,3)/Basis!$E$3,0.5)</f>
        <v>48.5</v>
      </c>
      <c r="F945" s="124" t="s">
        <v>2947</v>
      </c>
      <c r="G945" s="45">
        <f>ROUND((ROUNDDOWN($F945/5,0)*5+3)/Basis!$E$3,1)</f>
        <v>7.1</v>
      </c>
      <c r="H945" s="120">
        <f>ROUND($P945*Basis!$E$2*((TaH-TrH)/LN(1/µ)/Basis!$E$7)^$N945*$AA$4*Glycol,0)</f>
        <v>4492</v>
      </c>
      <c r="I945" s="83">
        <f>ROUND(H945/(MID($C945,9,3)/Basis!$E$3/Basis!$E$9)*Basis!$E$11,0)</f>
        <v>1113</v>
      </c>
      <c r="J945" s="123">
        <f>IF(Basis!$E$1=1,ROUND(H945/((TaH-TrH)*1.163)/3600,3),ROUND(H945/(500*(TaH-TrH)),2))</f>
        <v>0.45</v>
      </c>
      <c r="K945" s="84"/>
      <c r="L945" s="177">
        <f>CHOOSE(Basis!$E$1,((AJ945*(J945*3600/Basis!$E$5)^AK945*(((MID(C945,9,3)*10)-144)/1000)*AL945+AM945*(J945*3600/Basis!$E$5)^2)*0.0098)/Basis!$E$10,((AJ945*(J945/Basis!$E$5)^AK945*(((MID(C945,9,3)*10)-144)/1000)*AL945+AM945*(J945/Basis!$E$5)^2)*0.0098)/Basis!$E$10)</f>
        <v>5.6190367493977607E-2</v>
      </c>
      <c r="M945" s="85"/>
      <c r="N945" s="109">
        <v>1.468</v>
      </c>
      <c r="O945" s="68"/>
      <c r="P945" s="67">
        <v>2137</v>
      </c>
      <c r="Q945" s="68"/>
      <c r="R945" s="69"/>
      <c r="S945" s="69"/>
      <c r="T945" s="69"/>
      <c r="U945" s="69"/>
      <c r="V945" s="69"/>
      <c r="W945" s="68"/>
      <c r="X945" s="70"/>
      <c r="Y945" s="70"/>
      <c r="Z945" s="70"/>
      <c r="AA945" s="70"/>
      <c r="AB945" s="70"/>
      <c r="AC945" s="68"/>
      <c r="AD945" s="71"/>
      <c r="AE945" s="71"/>
      <c r="AF945" s="71"/>
      <c r="AG945" s="71"/>
      <c r="AH945" s="71"/>
      <c r="AI945" s="68"/>
      <c r="AJ945" s="214">
        <v>2.0829999999999999E-4</v>
      </c>
      <c r="AK945" s="214">
        <v>1.724</v>
      </c>
      <c r="AL945" s="214">
        <v>4</v>
      </c>
      <c r="AM945" s="214">
        <v>1.392796E-3</v>
      </c>
      <c r="AN945" s="68"/>
      <c r="AO945" s="67"/>
      <c r="AP945" s="67"/>
      <c r="AQ945" s="67"/>
      <c r="AR945" s="67"/>
      <c r="AS945" s="67"/>
      <c r="AT945" s="68"/>
      <c r="AU945" s="49"/>
      <c r="AV945" s="50"/>
    </row>
    <row r="946" spans="1:48" ht="12.75" customHeight="1" x14ac:dyDescent="0.25">
      <c r="A946" s="72" t="s">
        <v>20</v>
      </c>
      <c r="B946" s="43" t="s">
        <v>889</v>
      </c>
      <c r="C946" s="44" t="s">
        <v>1100</v>
      </c>
      <c r="D946" s="45">
        <f>MROUND(MID($C946,6,3)/Basis!$E$3,0.5)</f>
        <v>29</v>
      </c>
      <c r="E946" s="45">
        <f>MROUND(MID($C946,9,3)/Basis!$E$3,0.5)</f>
        <v>48.5</v>
      </c>
      <c r="F946" s="124" t="s">
        <v>2947</v>
      </c>
      <c r="G946" s="45">
        <f>ROUND((ROUNDDOWN($F946/5,0)*5+3)/Basis!$E$3,1)</f>
        <v>7.1</v>
      </c>
      <c r="H946" s="120">
        <f>ROUND($P946*Basis!$E$2*((TaH-TrH)/LN(1/µ)/Basis!$E$7)^$N946*$AA$4*Glycol,0)</f>
        <v>4050</v>
      </c>
      <c r="I946" s="83">
        <f>ROUND(H946/(MID($C946,9,3)/Basis!$E$3/Basis!$E$9)*Basis!$E$11,0)</f>
        <v>1004</v>
      </c>
      <c r="J946" s="123">
        <f>IF(Basis!$E$1=1,ROUND(H946/((TaH-TrH)*1.163)/3600,3),ROUND(H946/(500*(TaH-TrH)),2))</f>
        <v>0.41</v>
      </c>
      <c r="K946" s="84"/>
      <c r="L946" s="177">
        <f>CHOOSE(Basis!$E$1,((AJ946*(J946*3600/Basis!$E$5)^AK946*(((MID(C946,9,3)*10)-144)/1000)*AL946+AM946*(J946*3600/Basis!$E$5)^2)*0.0098)/Basis!$E$10,((AJ946*(J946/Basis!$E$5)^AK946*(((MID(C946,9,3)*10)-144)/1000)*AL946+AM946*(J946/Basis!$E$5)^2)*0.0098)/Basis!$E$10)</f>
        <v>4.6831141352297274E-2</v>
      </c>
      <c r="M946" s="85"/>
      <c r="N946" s="109">
        <v>1.47</v>
      </c>
      <c r="O946" s="68"/>
      <c r="P946" s="67">
        <v>1928</v>
      </c>
      <c r="Q946" s="68"/>
      <c r="R946" s="69"/>
      <c r="S946" s="69"/>
      <c r="T946" s="69"/>
      <c r="U946" s="69"/>
      <c r="V946" s="69"/>
      <c r="W946" s="68"/>
      <c r="X946" s="70"/>
      <c r="Y946" s="70"/>
      <c r="Z946" s="70"/>
      <c r="AA946" s="70"/>
      <c r="AB946" s="70"/>
      <c r="AC946" s="68"/>
      <c r="AD946" s="71"/>
      <c r="AE946" s="71"/>
      <c r="AF946" s="71"/>
      <c r="AG946" s="71"/>
      <c r="AH946" s="71"/>
      <c r="AI946" s="68"/>
      <c r="AJ946" s="214">
        <v>2.0829999999999999E-4</v>
      </c>
      <c r="AK946" s="214">
        <v>1.724</v>
      </c>
      <c r="AL946" s="214">
        <v>4</v>
      </c>
      <c r="AM946" s="214">
        <v>1.392796E-3</v>
      </c>
      <c r="AN946" s="68"/>
      <c r="AO946" s="67"/>
      <c r="AP946" s="67"/>
      <c r="AQ946" s="67"/>
      <c r="AR946" s="67"/>
      <c r="AS946" s="67"/>
      <c r="AT946" s="68"/>
      <c r="AU946" s="49"/>
      <c r="AV946" s="50"/>
    </row>
    <row r="947" spans="1:48" ht="12.75" customHeight="1" x14ac:dyDescent="0.25">
      <c r="A947" s="72" t="s">
        <v>20</v>
      </c>
      <c r="B947" s="43" t="s">
        <v>889</v>
      </c>
      <c r="C947" s="44" t="s">
        <v>1101</v>
      </c>
      <c r="D947" s="45">
        <f>MROUND(MID($C947,6,3)/Basis!$E$3,0.5)</f>
        <v>29</v>
      </c>
      <c r="E947" s="45">
        <f>MROUND(MID($C947,9,3)/Basis!$E$3,0.5)</f>
        <v>48.5</v>
      </c>
      <c r="F947" s="124" t="s">
        <v>2947</v>
      </c>
      <c r="G947" s="45">
        <f>ROUND((ROUNDDOWN($F947/5,0)*5+3)/Basis!$E$3,1)</f>
        <v>7.1</v>
      </c>
      <c r="H947" s="120">
        <f>ROUND($P947*Basis!$E$2*((TaH-TrH)/LN(1/µ)/Basis!$E$7)^$N947*$AA$4*Glycol,0)</f>
        <v>4854</v>
      </c>
      <c r="I947" s="83">
        <f>ROUND(H947/(MID($C947,9,3)/Basis!$E$3/Basis!$E$9)*Basis!$E$11,0)</f>
        <v>1203</v>
      </c>
      <c r="J947" s="123">
        <f>IF(Basis!$E$1=1,ROUND(H947/((TaH-TrH)*1.163)/3600,3),ROUND(H947/(500*(TaH-TrH)),2))</f>
        <v>0.49</v>
      </c>
      <c r="K947" s="84"/>
      <c r="L947" s="177">
        <f>CHOOSE(Basis!$E$1,((AJ947*(J947*3600/Basis!$E$5)^AK947*(((MID(C947,9,3)*10)-144)/1000)*AL947+AM947*(J947*3600/Basis!$E$5)^2)*0.0098)/Basis!$E$10,((AJ947*(J947/Basis!$E$5)^AK947*(((MID(C947,9,3)*10)-144)/1000)*AL947+AM947*(J947/Basis!$E$5)^2)*0.0098)/Basis!$E$10)</f>
        <v>6.6386363323100633E-2</v>
      </c>
      <c r="M947" s="85"/>
      <c r="N947" s="109">
        <v>1.474</v>
      </c>
      <c r="O947" s="68"/>
      <c r="P947" s="67">
        <v>2314</v>
      </c>
      <c r="Q947" s="68"/>
      <c r="R947" s="69"/>
      <c r="S947" s="69"/>
      <c r="T947" s="69"/>
      <c r="U947" s="69"/>
      <c r="V947" s="69"/>
      <c r="W947" s="68"/>
      <c r="X947" s="70"/>
      <c r="Y947" s="70"/>
      <c r="Z947" s="70"/>
      <c r="AA947" s="70"/>
      <c r="AB947" s="70"/>
      <c r="AC947" s="68"/>
      <c r="AD947" s="71"/>
      <c r="AE947" s="71"/>
      <c r="AF947" s="71"/>
      <c r="AG947" s="71"/>
      <c r="AH947" s="71"/>
      <c r="AI947" s="68"/>
      <c r="AJ947" s="214">
        <v>2.0829999999999999E-4</v>
      </c>
      <c r="AK947" s="214">
        <v>1.724</v>
      </c>
      <c r="AL947" s="214">
        <v>4</v>
      </c>
      <c r="AM947" s="214">
        <v>1.392796E-3</v>
      </c>
      <c r="AN947" s="68"/>
      <c r="AO947" s="67"/>
      <c r="AP947" s="67"/>
      <c r="AQ947" s="67"/>
      <c r="AR947" s="67"/>
      <c r="AS947" s="67"/>
      <c r="AT947" s="68"/>
      <c r="AU947" s="49"/>
      <c r="AV947" s="50"/>
    </row>
    <row r="948" spans="1:48" ht="12.75" customHeight="1" x14ac:dyDescent="0.25">
      <c r="A948" s="72" t="s">
        <v>20</v>
      </c>
      <c r="B948" s="43" t="s">
        <v>889</v>
      </c>
      <c r="C948" s="44" t="s">
        <v>1102</v>
      </c>
      <c r="D948" s="45">
        <f>MROUND(MID($C948,6,3)/Basis!$E$3,0.5)</f>
        <v>29</v>
      </c>
      <c r="E948" s="45">
        <f>MROUND(MID($C948,9,3)/Basis!$E$3,0.5)</f>
        <v>48.5</v>
      </c>
      <c r="F948" s="124" t="s">
        <v>2948</v>
      </c>
      <c r="G948" s="45">
        <f>ROUND((ROUNDDOWN($F948/5,0)*5+3)/Basis!$E$3,1)</f>
        <v>9.1</v>
      </c>
      <c r="H948" s="120">
        <f>ROUND($P948*Basis!$E$2*((TaH-TrH)/LN(1/µ)/Basis!$E$7)^$N948*$AA$4*Glycol,0)</f>
        <v>4194</v>
      </c>
      <c r="I948" s="83">
        <f>ROUND(H948/(MID($C948,9,3)/Basis!$E$3/Basis!$E$9)*Basis!$E$11,0)</f>
        <v>1039</v>
      </c>
      <c r="J948" s="123">
        <f>IF(Basis!$E$1=1,ROUND(H948/((TaH-TrH)*1.163)/3600,3),ROUND(H948/(500*(TaH-TrH)),2))</f>
        <v>0.42</v>
      </c>
      <c r="K948" s="84"/>
      <c r="L948" s="177">
        <f>CHOOSE(Basis!$E$1,((AJ948*(J948*3600/Basis!$E$5)^AK948*(((MID(C948,9,3)*10)-144)/1000)*AL948+AM948*(J948*3600/Basis!$E$5)^2)*0.0098)/Basis!$E$10,((AJ948*(J948/Basis!$E$5)^AK948*(((MID(C948,9,3)*10)-144)/1000)*AL948+AM948*(J948/Basis!$E$5)^2)*0.0098)/Basis!$E$10)</f>
        <v>1.9942003760177546E-2</v>
      </c>
      <c r="M948" s="85"/>
      <c r="N948" s="109">
        <v>1.484</v>
      </c>
      <c r="O948" s="68"/>
      <c r="P948" s="67">
        <v>2006</v>
      </c>
      <c r="Q948" s="68"/>
      <c r="R948" s="69"/>
      <c r="S948" s="69"/>
      <c r="T948" s="69"/>
      <c r="U948" s="69"/>
      <c r="V948" s="69"/>
      <c r="W948" s="68"/>
      <c r="X948" s="70"/>
      <c r="Y948" s="70"/>
      <c r="Z948" s="70"/>
      <c r="AA948" s="70"/>
      <c r="AB948" s="70"/>
      <c r="AC948" s="68"/>
      <c r="AD948" s="71"/>
      <c r="AE948" s="71"/>
      <c r="AF948" s="71"/>
      <c r="AG948" s="71"/>
      <c r="AH948" s="71"/>
      <c r="AI948" s="68"/>
      <c r="AJ948" s="214">
        <v>1.2760000000000001E-4</v>
      </c>
      <c r="AK948" s="214">
        <v>1.7219</v>
      </c>
      <c r="AL948" s="214">
        <v>4</v>
      </c>
      <c r="AM948" s="214">
        <v>5.1420100000000005E-4</v>
      </c>
      <c r="AN948" s="68"/>
      <c r="AO948" s="67"/>
      <c r="AP948" s="67"/>
      <c r="AQ948" s="67"/>
      <c r="AR948" s="67"/>
      <c r="AS948" s="67"/>
      <c r="AT948" s="68"/>
      <c r="AU948" s="49"/>
      <c r="AV948" s="50"/>
    </row>
    <row r="949" spans="1:48" ht="12.75" customHeight="1" x14ac:dyDescent="0.25">
      <c r="A949" s="72" t="s">
        <v>20</v>
      </c>
      <c r="B949" s="43" t="s">
        <v>889</v>
      </c>
      <c r="C949" s="44" t="s">
        <v>1103</v>
      </c>
      <c r="D949" s="45">
        <f>MROUND(MID($C949,6,3)/Basis!$E$3,0.5)</f>
        <v>29</v>
      </c>
      <c r="E949" s="45">
        <f>MROUND(MID($C949,9,3)/Basis!$E$3,0.5)</f>
        <v>48.5</v>
      </c>
      <c r="F949" s="124" t="s">
        <v>2948</v>
      </c>
      <c r="G949" s="45">
        <f>ROUND((ROUNDDOWN($F949/5,0)*5+3)/Basis!$E$3,1)</f>
        <v>9.1</v>
      </c>
      <c r="H949" s="120">
        <f>ROUND($P949*Basis!$E$2*((TaH-TrH)/LN(1/µ)/Basis!$E$7)^$N949*$AA$4*Glycol,0)</f>
        <v>5441</v>
      </c>
      <c r="I949" s="83">
        <f>ROUND(H949/(MID($C949,9,3)/Basis!$E$3/Basis!$E$9)*Basis!$E$11,0)</f>
        <v>1348</v>
      </c>
      <c r="J949" s="123">
        <f>IF(Basis!$E$1=1,ROUND(H949/((TaH-TrH)*1.163)/3600,3),ROUND(H949/(500*(TaH-TrH)),2))</f>
        <v>0.54</v>
      </c>
      <c r="K949" s="84"/>
      <c r="L949" s="177">
        <f>CHOOSE(Basis!$E$1,((AJ949*(J949*3600/Basis!$E$5)^AK949*(((MID(C949,9,3)*10)-144)/1000)*AL949+AM949*(J949*3600/Basis!$E$5)^2)*0.0098)/Basis!$E$10,((AJ949*(J949/Basis!$E$5)^AK949*(((MID(C949,9,3)*10)-144)/1000)*AL949+AM949*(J949/Basis!$E$5)^2)*0.0098)/Basis!$E$10)</f>
        <v>3.244727281605201E-2</v>
      </c>
      <c r="M949" s="85"/>
      <c r="N949" s="109">
        <v>1.492</v>
      </c>
      <c r="O949" s="68"/>
      <c r="P949" s="67">
        <v>2609</v>
      </c>
      <c r="Q949" s="68"/>
      <c r="R949" s="69"/>
      <c r="S949" s="69"/>
      <c r="T949" s="69"/>
      <c r="U949" s="69"/>
      <c r="V949" s="69"/>
      <c r="W949" s="68"/>
      <c r="X949" s="70"/>
      <c r="Y949" s="70"/>
      <c r="Z949" s="70"/>
      <c r="AA949" s="70"/>
      <c r="AB949" s="70"/>
      <c r="AC949" s="68"/>
      <c r="AD949" s="71"/>
      <c r="AE949" s="71"/>
      <c r="AF949" s="71"/>
      <c r="AG949" s="71"/>
      <c r="AH949" s="71"/>
      <c r="AI949" s="68"/>
      <c r="AJ949" s="214">
        <v>1.2760000000000001E-4</v>
      </c>
      <c r="AK949" s="214">
        <v>1.7219</v>
      </c>
      <c r="AL949" s="214">
        <v>4</v>
      </c>
      <c r="AM949" s="214">
        <v>5.1420100000000005E-4</v>
      </c>
      <c r="AN949" s="68"/>
      <c r="AO949" s="67"/>
      <c r="AP949" s="67"/>
      <c r="AQ949" s="67"/>
      <c r="AR949" s="67"/>
      <c r="AS949" s="67"/>
      <c r="AT949" s="68"/>
      <c r="AU949" s="49"/>
      <c r="AV949" s="50"/>
    </row>
    <row r="950" spans="1:48" ht="12.75" customHeight="1" x14ac:dyDescent="0.25">
      <c r="A950" s="72" t="s">
        <v>20</v>
      </c>
      <c r="B950" s="43" t="s">
        <v>889</v>
      </c>
      <c r="C950" s="44" t="s">
        <v>1104</v>
      </c>
      <c r="D950" s="45">
        <f>MROUND(MID($C950,6,3)/Basis!$E$3,0.5)</f>
        <v>29</v>
      </c>
      <c r="E950" s="45">
        <f>MROUND(MID($C950,9,3)/Basis!$E$3,0.5)</f>
        <v>48.5</v>
      </c>
      <c r="F950" s="124" t="s">
        <v>2948</v>
      </c>
      <c r="G950" s="45">
        <f>ROUND((ROUNDDOWN($F950/5,0)*5+3)/Basis!$E$3,1)</f>
        <v>9.1</v>
      </c>
      <c r="H950" s="120">
        <f>ROUND($P950*Basis!$E$2*((TaH-TrH)/LN(1/µ)/Basis!$E$7)^$N950*$AA$4*Glycol,0)</f>
        <v>4992</v>
      </c>
      <c r="I950" s="83">
        <f>ROUND(H950/(MID($C950,9,3)/Basis!$E$3/Basis!$E$9)*Basis!$E$11,0)</f>
        <v>1237</v>
      </c>
      <c r="J950" s="123">
        <f>IF(Basis!$E$1=1,ROUND(H950/((TaH-TrH)*1.163)/3600,3),ROUND(H950/(500*(TaH-TrH)),2))</f>
        <v>0.5</v>
      </c>
      <c r="K950" s="84"/>
      <c r="L950" s="177">
        <f>CHOOSE(Basis!$E$1,((AJ950*(J950*3600/Basis!$E$5)^AK950*(((MID(C950,9,3)*10)-144)/1000)*AL950+AM950*(J950*3600/Basis!$E$5)^2)*0.0098)/Basis!$E$10,((AJ950*(J950/Basis!$E$5)^AK950*(((MID(C950,9,3)*10)-144)/1000)*AL950+AM950*(J950/Basis!$E$5)^2)*0.0098)/Basis!$E$10)</f>
        <v>2.7951044224600242E-2</v>
      </c>
      <c r="M950" s="85"/>
      <c r="N950" s="109">
        <v>1.496</v>
      </c>
      <c r="O950" s="68"/>
      <c r="P950" s="67">
        <v>2397</v>
      </c>
      <c r="Q950" s="68"/>
      <c r="R950" s="69"/>
      <c r="S950" s="69"/>
      <c r="T950" s="69"/>
      <c r="U950" s="69"/>
      <c r="V950" s="69"/>
      <c r="W950" s="68"/>
      <c r="X950" s="70"/>
      <c r="Y950" s="70"/>
      <c r="Z950" s="70"/>
      <c r="AA950" s="70"/>
      <c r="AB950" s="70"/>
      <c r="AC950" s="68"/>
      <c r="AD950" s="71"/>
      <c r="AE950" s="71"/>
      <c r="AF950" s="71"/>
      <c r="AG950" s="71"/>
      <c r="AH950" s="71"/>
      <c r="AI950" s="68"/>
      <c r="AJ950" s="214">
        <v>1.2760000000000001E-4</v>
      </c>
      <c r="AK950" s="214">
        <v>1.7219</v>
      </c>
      <c r="AL950" s="214">
        <v>4</v>
      </c>
      <c r="AM950" s="214">
        <v>5.1420100000000005E-4</v>
      </c>
      <c r="AN950" s="68"/>
      <c r="AO950" s="67"/>
      <c r="AP950" s="67"/>
      <c r="AQ950" s="67"/>
      <c r="AR950" s="67"/>
      <c r="AS950" s="67"/>
      <c r="AT950" s="68"/>
      <c r="AU950" s="49"/>
      <c r="AV950" s="50"/>
    </row>
    <row r="951" spans="1:48" ht="12.75" customHeight="1" x14ac:dyDescent="0.25">
      <c r="A951" s="72" t="s">
        <v>20</v>
      </c>
      <c r="B951" s="43" t="s">
        <v>889</v>
      </c>
      <c r="C951" s="44" t="s">
        <v>1105</v>
      </c>
      <c r="D951" s="45">
        <f>MROUND(MID($C951,6,3)/Basis!$E$3,0.5)</f>
        <v>29</v>
      </c>
      <c r="E951" s="45">
        <f>MROUND(MID($C951,9,3)/Basis!$E$3,0.5)</f>
        <v>48.5</v>
      </c>
      <c r="F951" s="124" t="s">
        <v>2948</v>
      </c>
      <c r="G951" s="45">
        <f>ROUND((ROUNDDOWN($F951/5,0)*5+3)/Basis!$E$3,1)</f>
        <v>9.1</v>
      </c>
      <c r="H951" s="120">
        <f>ROUND($P951*Basis!$E$2*((TaH-TrH)/LN(1/µ)/Basis!$E$7)^$N951*$AA$4*Glycol,0)</f>
        <v>6754</v>
      </c>
      <c r="I951" s="83">
        <f>ROUND(H951/(MID($C951,9,3)/Basis!$E$3/Basis!$E$9)*Basis!$E$11,0)</f>
        <v>1674</v>
      </c>
      <c r="J951" s="123">
        <f>IF(Basis!$E$1=1,ROUND(H951/((TaH-TrH)*1.163)/3600,3),ROUND(H951/(500*(TaH-TrH)),2))</f>
        <v>0.68</v>
      </c>
      <c r="K951" s="84"/>
      <c r="L951" s="177">
        <f>CHOOSE(Basis!$E$1,((AJ951*(J951*3600/Basis!$E$5)^AK951*(((MID(C951,9,3)*10)-144)/1000)*AL951+AM951*(J951*3600/Basis!$E$5)^2)*0.0098)/Basis!$E$10,((AJ951*(J951/Basis!$E$5)^AK951*(((MID(C951,9,3)*10)-144)/1000)*AL951+AM951*(J951/Basis!$E$5)^2)*0.0098)/Basis!$E$10)</f>
        <v>5.0748024214575277E-2</v>
      </c>
      <c r="M951" s="85"/>
      <c r="N951" s="109">
        <v>1.5049999999999999</v>
      </c>
      <c r="O951" s="68"/>
      <c r="P951" s="67">
        <v>3253</v>
      </c>
      <c r="Q951" s="68"/>
      <c r="R951" s="69"/>
      <c r="S951" s="69"/>
      <c r="T951" s="69"/>
      <c r="U951" s="69"/>
      <c r="V951" s="69"/>
      <c r="W951" s="68"/>
      <c r="X951" s="70"/>
      <c r="Y951" s="70"/>
      <c r="Z951" s="70"/>
      <c r="AA951" s="70"/>
      <c r="AB951" s="70"/>
      <c r="AC951" s="68"/>
      <c r="AD951" s="71"/>
      <c r="AE951" s="71"/>
      <c r="AF951" s="71"/>
      <c r="AG951" s="71"/>
      <c r="AH951" s="71"/>
      <c r="AI951" s="68"/>
      <c r="AJ951" s="214">
        <v>1.2760000000000001E-4</v>
      </c>
      <c r="AK951" s="214">
        <v>1.7219</v>
      </c>
      <c r="AL951" s="214">
        <v>4</v>
      </c>
      <c r="AM951" s="214">
        <v>5.1420100000000005E-4</v>
      </c>
      <c r="AN951" s="68"/>
      <c r="AO951" s="67"/>
      <c r="AP951" s="67"/>
      <c r="AQ951" s="67"/>
      <c r="AR951" s="67"/>
      <c r="AS951" s="67"/>
      <c r="AT951" s="68"/>
      <c r="AU951" s="49"/>
      <c r="AV951" s="50"/>
    </row>
    <row r="952" spans="1:48" ht="12.75" customHeight="1" x14ac:dyDescent="0.25">
      <c r="A952" s="72" t="s">
        <v>20</v>
      </c>
      <c r="B952" s="43" t="s">
        <v>889</v>
      </c>
      <c r="C952" s="44" t="s">
        <v>1106</v>
      </c>
      <c r="D952" s="45">
        <f>MROUND(MID($C952,6,3)/Basis!$E$3,0.5)</f>
        <v>29</v>
      </c>
      <c r="E952" s="45">
        <f>MROUND(MID($C952,9,3)/Basis!$E$3,0.5)</f>
        <v>56.5</v>
      </c>
      <c r="F952" s="124" t="s">
        <v>2946</v>
      </c>
      <c r="G952" s="45">
        <f>ROUND((ROUNDDOWN($F952/5,0)*5+3)/Basis!$E$3,1)</f>
        <v>5.0999999999999996</v>
      </c>
      <c r="H952" s="120">
        <f>ROUND($P952*Basis!$E$2*((TaH-TrH)/LN(1/µ)/Basis!$E$7)^$N952*$AA$4*Glycol,0)</f>
        <v>2919</v>
      </c>
      <c r="I952" s="83">
        <f>ROUND(H952/(MID($C952,9,3)/Basis!$E$3/Basis!$E$9)*Basis!$E$11,0)</f>
        <v>622</v>
      </c>
      <c r="J952" s="123">
        <f>IF(Basis!$E$1=1,ROUND(H952/((TaH-TrH)*1.163)/3600,3),ROUND(H952/(500*(TaH-TrH)),2))</f>
        <v>0.28999999999999998</v>
      </c>
      <c r="K952" s="84"/>
      <c r="L952" s="177">
        <f>CHOOSE(Basis!$E$1,((AJ952*(J952*3600/Basis!$E$5)^AK952*(((MID(C952,9,3)*10)-144)/1000)*AL952+AM952*(J952*3600/Basis!$E$5)^2)*0.0098)/Basis!$E$10,((AJ952*(J952/Basis!$E$5)^AK952*(((MID(C952,9,3)*10)-144)/1000)*AL952+AM952*(J952/Basis!$E$5)^2)*0.0098)/Basis!$E$10)</f>
        <v>1.7677537715396669E-2</v>
      </c>
      <c r="M952" s="85"/>
      <c r="N952" s="109">
        <v>1.4379999999999999</v>
      </c>
      <c r="O952" s="68"/>
      <c r="P952" s="67">
        <v>1375</v>
      </c>
      <c r="Q952" s="68"/>
      <c r="R952" s="69"/>
      <c r="S952" s="69"/>
      <c r="T952" s="69"/>
      <c r="U952" s="69"/>
      <c r="V952" s="69"/>
      <c r="W952" s="68"/>
      <c r="X952" s="70"/>
      <c r="Y952" s="70"/>
      <c r="Z952" s="70"/>
      <c r="AA952" s="70"/>
      <c r="AB952" s="70"/>
      <c r="AC952" s="68"/>
      <c r="AD952" s="71"/>
      <c r="AE952" s="71"/>
      <c r="AF952" s="71"/>
      <c r="AG952" s="71"/>
      <c r="AH952" s="71"/>
      <c r="AI952" s="68"/>
      <c r="AJ952" s="214">
        <v>3.9689999999999994E-4</v>
      </c>
      <c r="AK952" s="214">
        <v>1.7345999999999999</v>
      </c>
      <c r="AL952" s="214">
        <v>4</v>
      </c>
      <c r="AM952" s="214">
        <v>5.7428799999999995E-4</v>
      </c>
      <c r="AN952" s="68"/>
      <c r="AO952" s="67"/>
      <c r="AP952" s="67"/>
      <c r="AQ952" s="67"/>
      <c r="AR952" s="67"/>
      <c r="AS952" s="67"/>
      <c r="AT952" s="68"/>
      <c r="AU952" s="49"/>
      <c r="AV952" s="50"/>
    </row>
    <row r="953" spans="1:48" ht="12.75" customHeight="1" x14ac:dyDescent="0.25">
      <c r="A953" s="72" t="s">
        <v>20</v>
      </c>
      <c r="B953" s="43" t="s">
        <v>889</v>
      </c>
      <c r="C953" s="44" t="s">
        <v>1107</v>
      </c>
      <c r="D953" s="45">
        <f>MROUND(MID($C953,6,3)/Basis!$E$3,0.5)</f>
        <v>29</v>
      </c>
      <c r="E953" s="45">
        <f>MROUND(MID($C953,9,3)/Basis!$E$3,0.5)</f>
        <v>56.5</v>
      </c>
      <c r="F953" s="124" t="s">
        <v>2946</v>
      </c>
      <c r="G953" s="45">
        <f>ROUND((ROUNDDOWN($F953/5,0)*5+3)/Basis!$E$3,1)</f>
        <v>5.0999999999999996</v>
      </c>
      <c r="H953" s="120">
        <f>ROUND($P953*Basis!$E$2*((TaH-TrH)/LN(1/µ)/Basis!$E$7)^$N953*$AA$4*Glycol,0)</f>
        <v>3640</v>
      </c>
      <c r="I953" s="83">
        <f>ROUND(H953/(MID($C953,9,3)/Basis!$E$3/Basis!$E$9)*Basis!$E$11,0)</f>
        <v>776</v>
      </c>
      <c r="J953" s="123">
        <f>IF(Basis!$E$1=1,ROUND(H953/((TaH-TrH)*1.163)/3600,3),ROUND(H953/(500*(TaH-TrH)),2))</f>
        <v>0.36</v>
      </c>
      <c r="K953" s="84"/>
      <c r="L953" s="177">
        <f>CHOOSE(Basis!$E$1,((AJ953*(J953*3600/Basis!$E$5)^AK953*(((MID(C953,9,3)*10)-144)/1000)*AL953+AM953*(J953*3600/Basis!$E$5)^2)*0.0098)/Basis!$E$10,((AJ953*(J953/Basis!$E$5)^AK953*(((MID(C953,9,3)*10)-144)/1000)*AL953+AM953*(J953/Basis!$E$5)^2)*0.0098)/Basis!$E$10)</f>
        <v>2.6422347174624852E-2</v>
      </c>
      <c r="M953" s="85"/>
      <c r="N953" s="109">
        <v>1.4370000000000001</v>
      </c>
      <c r="O953" s="68"/>
      <c r="P953" s="67">
        <v>1714</v>
      </c>
      <c r="Q953" s="68"/>
      <c r="R953" s="69"/>
      <c r="S953" s="69"/>
      <c r="T953" s="69"/>
      <c r="U953" s="69"/>
      <c r="V953" s="69"/>
      <c r="W953" s="68"/>
      <c r="X953" s="70"/>
      <c r="Y953" s="70"/>
      <c r="Z953" s="70"/>
      <c r="AA953" s="70"/>
      <c r="AB953" s="70"/>
      <c r="AC953" s="68"/>
      <c r="AD953" s="71"/>
      <c r="AE953" s="71"/>
      <c r="AF953" s="71"/>
      <c r="AG953" s="71"/>
      <c r="AH953" s="71"/>
      <c r="AI953" s="68"/>
      <c r="AJ953" s="214">
        <v>3.9689999999999994E-4</v>
      </c>
      <c r="AK953" s="214">
        <v>1.7345999999999999</v>
      </c>
      <c r="AL953" s="214">
        <v>4</v>
      </c>
      <c r="AM953" s="214">
        <v>5.7428799999999995E-4</v>
      </c>
      <c r="AN953" s="68"/>
      <c r="AO953" s="67"/>
      <c r="AP953" s="67"/>
      <c r="AQ953" s="67"/>
      <c r="AR953" s="67"/>
      <c r="AS953" s="67"/>
      <c r="AT953" s="68"/>
      <c r="AU953" s="49"/>
      <c r="AV953" s="50"/>
    </row>
    <row r="954" spans="1:48" ht="12.75" customHeight="1" x14ac:dyDescent="0.25">
      <c r="A954" s="72" t="s">
        <v>20</v>
      </c>
      <c r="B954" s="43" t="s">
        <v>889</v>
      </c>
      <c r="C954" s="44" t="s">
        <v>1108</v>
      </c>
      <c r="D954" s="45">
        <f>MROUND(MID($C954,6,3)/Basis!$E$3,0.5)</f>
        <v>29</v>
      </c>
      <c r="E954" s="45">
        <f>MROUND(MID($C954,9,3)/Basis!$E$3,0.5)</f>
        <v>56.5</v>
      </c>
      <c r="F954" s="124" t="s">
        <v>2946</v>
      </c>
      <c r="G954" s="45">
        <f>ROUND((ROUNDDOWN($F954/5,0)*5+3)/Basis!$E$3,1)</f>
        <v>5.0999999999999996</v>
      </c>
      <c r="H954" s="120">
        <f>ROUND($P954*Basis!$E$2*((TaH-TrH)/LN(1/µ)/Basis!$E$7)^$N954*$AA$4*Glycol,0)</f>
        <v>3491</v>
      </c>
      <c r="I954" s="83">
        <f>ROUND(H954/(MID($C954,9,3)/Basis!$E$3/Basis!$E$9)*Basis!$E$11,0)</f>
        <v>744</v>
      </c>
      <c r="J954" s="123">
        <f>IF(Basis!$E$1=1,ROUND(H954/((TaH-TrH)*1.163)/3600,3),ROUND(H954/(500*(TaH-TrH)),2))</f>
        <v>0.35</v>
      </c>
      <c r="K954" s="84"/>
      <c r="L954" s="177">
        <f>CHOOSE(Basis!$E$1,((AJ954*(J954*3600/Basis!$E$5)^AK954*(((MID(C954,9,3)*10)-144)/1000)*AL954+AM954*(J954*3600/Basis!$E$5)^2)*0.0098)/Basis!$E$10,((AJ954*(J954/Basis!$E$5)^AK954*(((MID(C954,9,3)*10)-144)/1000)*AL954+AM954*(J954/Basis!$E$5)^2)*0.0098)/Basis!$E$10)</f>
        <v>2.5073202831954685E-2</v>
      </c>
      <c r="M954" s="85"/>
      <c r="N954" s="109">
        <v>1.4370000000000001</v>
      </c>
      <c r="O954" s="68"/>
      <c r="P954" s="67">
        <v>1644</v>
      </c>
      <c r="Q954" s="68"/>
      <c r="R954" s="69"/>
      <c r="S954" s="69"/>
      <c r="T954" s="69"/>
      <c r="U954" s="69"/>
      <c r="V954" s="69"/>
      <c r="W954" s="68"/>
      <c r="X954" s="70"/>
      <c r="Y954" s="70"/>
      <c r="Z954" s="70"/>
      <c r="AA954" s="70"/>
      <c r="AB954" s="70"/>
      <c r="AC954" s="68"/>
      <c r="AD954" s="71"/>
      <c r="AE954" s="71"/>
      <c r="AF954" s="71"/>
      <c r="AG954" s="71"/>
      <c r="AH954" s="71"/>
      <c r="AI954" s="68"/>
      <c r="AJ954" s="214">
        <v>3.9689999999999994E-4</v>
      </c>
      <c r="AK954" s="214">
        <v>1.7345999999999999</v>
      </c>
      <c r="AL954" s="214">
        <v>4</v>
      </c>
      <c r="AM954" s="214">
        <v>5.7428799999999995E-4</v>
      </c>
      <c r="AN954" s="68"/>
      <c r="AO954" s="67"/>
      <c r="AP954" s="67"/>
      <c r="AQ954" s="67"/>
      <c r="AR954" s="67"/>
      <c r="AS954" s="67"/>
      <c r="AT954" s="68"/>
      <c r="AU954" s="49"/>
      <c r="AV954" s="50"/>
    </row>
    <row r="955" spans="1:48" ht="12.75" customHeight="1" x14ac:dyDescent="0.25">
      <c r="A955" s="72" t="s">
        <v>20</v>
      </c>
      <c r="B955" s="43" t="s">
        <v>889</v>
      </c>
      <c r="C955" s="44" t="s">
        <v>1109</v>
      </c>
      <c r="D955" s="45">
        <f>MROUND(MID($C955,6,3)/Basis!$E$3,0.5)</f>
        <v>29</v>
      </c>
      <c r="E955" s="45">
        <f>MROUND(MID($C955,9,3)/Basis!$E$3,0.5)</f>
        <v>56.5</v>
      </c>
      <c r="F955" s="124" t="s">
        <v>2946</v>
      </c>
      <c r="G955" s="45">
        <f>ROUND((ROUNDDOWN($F955/5,0)*5+3)/Basis!$E$3,1)</f>
        <v>5.0999999999999996</v>
      </c>
      <c r="H955" s="120">
        <f>ROUND($P955*Basis!$E$2*((TaH-TrH)/LN(1/µ)/Basis!$E$7)^$N955*$AA$4*Glycol,0)</f>
        <v>3866</v>
      </c>
      <c r="I955" s="83">
        <f>ROUND(H955/(MID($C955,9,3)/Basis!$E$3/Basis!$E$9)*Basis!$E$11,0)</f>
        <v>824</v>
      </c>
      <c r="J955" s="123">
        <f>IF(Basis!$E$1=1,ROUND(H955/((TaH-TrH)*1.163)/3600,3),ROUND(H955/(500*(TaH-TrH)),2))</f>
        <v>0.39</v>
      </c>
      <c r="K955" s="84"/>
      <c r="L955" s="177">
        <f>CHOOSE(Basis!$E$1,((AJ955*(J955*3600/Basis!$E$5)^AK955*(((MID(C955,9,3)*10)-144)/1000)*AL955+AM955*(J955*3600/Basis!$E$5)^2)*0.0098)/Basis!$E$10,((AJ955*(J955/Basis!$E$5)^AK955*(((MID(C955,9,3)*10)-144)/1000)*AL955+AM955*(J955/Basis!$E$5)^2)*0.0098)/Basis!$E$10)</f>
        <v>3.0667442660600636E-2</v>
      </c>
      <c r="M955" s="85"/>
      <c r="N955" s="109">
        <v>1.4359999999999999</v>
      </c>
      <c r="O955" s="68"/>
      <c r="P955" s="67">
        <v>1820</v>
      </c>
      <c r="Q955" s="68"/>
      <c r="R955" s="69"/>
      <c r="S955" s="69"/>
      <c r="T955" s="69"/>
      <c r="U955" s="69"/>
      <c r="V955" s="69"/>
      <c r="W955" s="68"/>
      <c r="X955" s="70"/>
      <c r="Y955" s="70"/>
      <c r="Z955" s="70"/>
      <c r="AA955" s="70"/>
      <c r="AB955" s="70"/>
      <c r="AC955" s="68"/>
      <c r="AD955" s="71"/>
      <c r="AE955" s="71"/>
      <c r="AF955" s="71"/>
      <c r="AG955" s="71"/>
      <c r="AH955" s="71"/>
      <c r="AI955" s="68"/>
      <c r="AJ955" s="214">
        <v>3.9689999999999994E-4</v>
      </c>
      <c r="AK955" s="214">
        <v>1.7345999999999999</v>
      </c>
      <c r="AL955" s="214">
        <v>4</v>
      </c>
      <c r="AM955" s="214">
        <v>5.7428799999999995E-4</v>
      </c>
      <c r="AN955" s="68"/>
      <c r="AO955" s="67"/>
      <c r="AP955" s="67"/>
      <c r="AQ955" s="67"/>
      <c r="AR955" s="67"/>
      <c r="AS955" s="67"/>
      <c r="AT955" s="68"/>
      <c r="AU955" s="49"/>
      <c r="AV955" s="50"/>
    </row>
    <row r="956" spans="1:48" ht="12.75" customHeight="1" x14ac:dyDescent="0.25">
      <c r="A956" s="72" t="s">
        <v>20</v>
      </c>
      <c r="B956" s="43" t="s">
        <v>889</v>
      </c>
      <c r="C956" s="44" t="s">
        <v>1110</v>
      </c>
      <c r="D956" s="45">
        <f>MROUND(MID($C956,6,3)/Basis!$E$3,0.5)</f>
        <v>29</v>
      </c>
      <c r="E956" s="45">
        <f>MROUND(MID($C956,9,3)/Basis!$E$3,0.5)</f>
        <v>56.5</v>
      </c>
      <c r="F956" s="124" t="s">
        <v>2947</v>
      </c>
      <c r="G956" s="45">
        <f>ROUND((ROUNDDOWN($F956/5,0)*5+3)/Basis!$E$3,1)</f>
        <v>7.1</v>
      </c>
      <c r="H956" s="120">
        <f>ROUND($P956*Basis!$E$2*((TaH-TrH)/LN(1/µ)/Basis!$E$7)^$N956*$AA$4*Glycol,0)</f>
        <v>4009</v>
      </c>
      <c r="I956" s="83">
        <f>ROUND(H956/(MID($C956,9,3)/Basis!$E$3/Basis!$E$9)*Basis!$E$11,0)</f>
        <v>855</v>
      </c>
      <c r="J956" s="123">
        <f>IF(Basis!$E$1=1,ROUND(H956/((TaH-TrH)*1.163)/3600,3),ROUND(H956/(500*(TaH-TrH)),2))</f>
        <v>0.4</v>
      </c>
      <c r="K956" s="84"/>
      <c r="L956" s="177">
        <f>CHOOSE(Basis!$E$1,((AJ956*(J956*3600/Basis!$E$5)^AK956*(((MID(C956,9,3)*10)-144)/1000)*AL956+AM956*(J956*3600/Basis!$E$5)^2)*0.0098)/Basis!$E$10,((AJ956*(J956/Basis!$E$5)^AK956*(((MID(C956,9,3)*10)-144)/1000)*AL956+AM956*(J956/Basis!$E$5)^2)*0.0098)/Basis!$E$10)</f>
        <v>4.5917851351617259E-2</v>
      </c>
      <c r="M956" s="85"/>
      <c r="N956" s="109">
        <v>1.464</v>
      </c>
      <c r="O956" s="68"/>
      <c r="P956" s="67">
        <v>1905</v>
      </c>
      <c r="Q956" s="68"/>
      <c r="R956" s="69"/>
      <c r="S956" s="69"/>
      <c r="T956" s="69"/>
      <c r="U956" s="69"/>
      <c r="V956" s="69"/>
      <c r="W956" s="68"/>
      <c r="X956" s="70"/>
      <c r="Y956" s="70"/>
      <c r="Z956" s="70"/>
      <c r="AA956" s="70"/>
      <c r="AB956" s="70"/>
      <c r="AC956" s="68"/>
      <c r="AD956" s="71"/>
      <c r="AE956" s="71"/>
      <c r="AF956" s="71"/>
      <c r="AG956" s="71"/>
      <c r="AH956" s="71"/>
      <c r="AI956" s="68"/>
      <c r="AJ956" s="214">
        <v>2.0829999999999999E-4</v>
      </c>
      <c r="AK956" s="214">
        <v>1.724</v>
      </c>
      <c r="AL956" s="214">
        <v>4</v>
      </c>
      <c r="AM956" s="214">
        <v>1.392796E-3</v>
      </c>
      <c r="AN956" s="68"/>
      <c r="AO956" s="67"/>
      <c r="AP956" s="67"/>
      <c r="AQ956" s="67"/>
      <c r="AR956" s="67"/>
      <c r="AS956" s="67"/>
      <c r="AT956" s="68"/>
      <c r="AU956" s="49"/>
      <c r="AV956" s="50"/>
    </row>
    <row r="957" spans="1:48" ht="12.75" customHeight="1" x14ac:dyDescent="0.25">
      <c r="A957" s="72" t="s">
        <v>20</v>
      </c>
      <c r="B957" s="43" t="s">
        <v>889</v>
      </c>
      <c r="C957" s="44" t="s">
        <v>1111</v>
      </c>
      <c r="D957" s="45">
        <f>MROUND(MID($C957,6,3)/Basis!$E$3,0.5)</f>
        <v>29</v>
      </c>
      <c r="E957" s="45">
        <f>MROUND(MID($C957,9,3)/Basis!$E$3,0.5)</f>
        <v>56.5</v>
      </c>
      <c r="F957" s="124" t="s">
        <v>2947</v>
      </c>
      <c r="G957" s="45">
        <f>ROUND((ROUNDDOWN($F957/5,0)*5+3)/Basis!$E$3,1)</f>
        <v>7.1</v>
      </c>
      <c r="H957" s="120">
        <f>ROUND($P957*Basis!$E$2*((TaH-TrH)/LN(1/µ)/Basis!$E$7)^$N957*$AA$4*Glycol,0)</f>
        <v>5370</v>
      </c>
      <c r="I957" s="83">
        <f>ROUND(H957/(MID($C957,9,3)/Basis!$E$3/Basis!$E$9)*Basis!$E$11,0)</f>
        <v>1145</v>
      </c>
      <c r="J957" s="123">
        <f>IF(Basis!$E$1=1,ROUND(H957/((TaH-TrH)*1.163)/3600,3),ROUND(H957/(500*(TaH-TrH)),2))</f>
        <v>0.54</v>
      </c>
      <c r="K957" s="84"/>
      <c r="L957" s="177">
        <f>CHOOSE(Basis!$E$1,((AJ957*(J957*3600/Basis!$E$5)^AK957*(((MID(C957,9,3)*10)-144)/1000)*AL957+AM957*(J957*3600/Basis!$E$5)^2)*0.0098)/Basis!$E$10,((AJ957*(J957/Basis!$E$5)^AK957*(((MID(C957,9,3)*10)-144)/1000)*AL957+AM957*(J957/Basis!$E$5)^2)*0.0098)/Basis!$E$10)</f>
        <v>8.247846661369973E-2</v>
      </c>
      <c r="M957" s="85"/>
      <c r="N957" s="109">
        <v>1.468</v>
      </c>
      <c r="O957" s="68"/>
      <c r="P957" s="67">
        <v>2555</v>
      </c>
      <c r="Q957" s="68"/>
      <c r="R957" s="69"/>
      <c r="S957" s="69"/>
      <c r="T957" s="69"/>
      <c r="U957" s="69"/>
      <c r="V957" s="69"/>
      <c r="W957" s="68"/>
      <c r="X957" s="70"/>
      <c r="Y957" s="70"/>
      <c r="Z957" s="70"/>
      <c r="AA957" s="70"/>
      <c r="AB957" s="70"/>
      <c r="AC957" s="68"/>
      <c r="AD957" s="71"/>
      <c r="AE957" s="71"/>
      <c r="AF957" s="71"/>
      <c r="AG957" s="71"/>
      <c r="AH957" s="71"/>
      <c r="AI957" s="68"/>
      <c r="AJ957" s="214">
        <v>2.0829999999999999E-4</v>
      </c>
      <c r="AK957" s="214">
        <v>1.724</v>
      </c>
      <c r="AL957" s="214">
        <v>4</v>
      </c>
      <c r="AM957" s="214">
        <v>1.392796E-3</v>
      </c>
      <c r="AN957" s="68"/>
      <c r="AO957" s="67"/>
      <c r="AP957" s="67"/>
      <c r="AQ957" s="67"/>
      <c r="AR957" s="67"/>
      <c r="AS957" s="67"/>
      <c r="AT957" s="68"/>
      <c r="AU957" s="49"/>
      <c r="AV957" s="50"/>
    </row>
    <row r="958" spans="1:48" ht="12.75" customHeight="1" x14ac:dyDescent="0.25">
      <c r="A958" s="72" t="s">
        <v>20</v>
      </c>
      <c r="B958" s="43" t="s">
        <v>889</v>
      </c>
      <c r="C958" s="44" t="s">
        <v>1112</v>
      </c>
      <c r="D958" s="45">
        <f>MROUND(MID($C958,6,3)/Basis!$E$3,0.5)</f>
        <v>29</v>
      </c>
      <c r="E958" s="45">
        <f>MROUND(MID($C958,9,3)/Basis!$E$3,0.5)</f>
        <v>56.5</v>
      </c>
      <c r="F958" s="124" t="s">
        <v>2947</v>
      </c>
      <c r="G958" s="45">
        <f>ROUND((ROUNDDOWN($F958/5,0)*5+3)/Basis!$E$3,1)</f>
        <v>7.1</v>
      </c>
      <c r="H958" s="120">
        <f>ROUND($P958*Basis!$E$2*((TaH-TrH)/LN(1/µ)/Basis!$E$7)^$N958*$AA$4*Glycol,0)</f>
        <v>4842</v>
      </c>
      <c r="I958" s="83">
        <f>ROUND(H958/(MID($C958,9,3)/Basis!$E$3/Basis!$E$9)*Basis!$E$11,0)</f>
        <v>1032</v>
      </c>
      <c r="J958" s="123">
        <f>IF(Basis!$E$1=1,ROUND(H958/((TaH-TrH)*1.163)/3600,3),ROUND(H958/(500*(TaH-TrH)),2))</f>
        <v>0.48</v>
      </c>
      <c r="K958" s="84"/>
      <c r="L958" s="177">
        <f>CHOOSE(Basis!$E$1,((AJ958*(J958*3600/Basis!$E$5)^AK958*(((MID(C958,9,3)*10)-144)/1000)*AL958+AM958*(J958*3600/Basis!$E$5)^2)*0.0098)/Basis!$E$10,((AJ958*(J958/Basis!$E$5)^AK958*(((MID(C958,9,3)*10)-144)/1000)*AL958+AM958*(J958/Basis!$E$5)^2)*0.0098)/Basis!$E$10)</f>
        <v>6.5533021376251138E-2</v>
      </c>
      <c r="M958" s="85"/>
      <c r="N958" s="109">
        <v>1.47</v>
      </c>
      <c r="O958" s="68"/>
      <c r="P958" s="67">
        <v>2305</v>
      </c>
      <c r="Q958" s="68"/>
      <c r="R958" s="69"/>
      <c r="S958" s="69"/>
      <c r="T958" s="69"/>
      <c r="U958" s="69"/>
      <c r="V958" s="69"/>
      <c r="W958" s="68"/>
      <c r="X958" s="70"/>
      <c r="Y958" s="70"/>
      <c r="Z958" s="70"/>
      <c r="AA958" s="70"/>
      <c r="AB958" s="70"/>
      <c r="AC958" s="68"/>
      <c r="AD958" s="71"/>
      <c r="AE958" s="71"/>
      <c r="AF958" s="71"/>
      <c r="AG958" s="71"/>
      <c r="AH958" s="71"/>
      <c r="AI958" s="68"/>
      <c r="AJ958" s="214">
        <v>2.0829999999999999E-4</v>
      </c>
      <c r="AK958" s="214">
        <v>1.724</v>
      </c>
      <c r="AL958" s="214">
        <v>4</v>
      </c>
      <c r="AM958" s="214">
        <v>1.392796E-3</v>
      </c>
      <c r="AN958" s="68"/>
      <c r="AO958" s="67"/>
      <c r="AP958" s="67"/>
      <c r="AQ958" s="67"/>
      <c r="AR958" s="67"/>
      <c r="AS958" s="67"/>
      <c r="AT958" s="68"/>
      <c r="AU958" s="49"/>
      <c r="AV958" s="50"/>
    </row>
    <row r="959" spans="1:48" ht="12.75" customHeight="1" x14ac:dyDescent="0.25">
      <c r="A959" s="72" t="s">
        <v>20</v>
      </c>
      <c r="B959" s="43" t="s">
        <v>889</v>
      </c>
      <c r="C959" s="44" t="s">
        <v>1113</v>
      </c>
      <c r="D959" s="45">
        <f>MROUND(MID($C959,6,3)/Basis!$E$3,0.5)</f>
        <v>29</v>
      </c>
      <c r="E959" s="45">
        <f>MROUND(MID($C959,9,3)/Basis!$E$3,0.5)</f>
        <v>56.5</v>
      </c>
      <c r="F959" s="124" t="s">
        <v>2947</v>
      </c>
      <c r="G959" s="45">
        <f>ROUND((ROUNDDOWN($F959/5,0)*5+3)/Basis!$E$3,1)</f>
        <v>7.1</v>
      </c>
      <c r="H959" s="120">
        <f>ROUND($P959*Basis!$E$2*((TaH-TrH)/LN(1/µ)/Basis!$E$7)^$N959*$AA$4*Glycol,0)</f>
        <v>5802</v>
      </c>
      <c r="I959" s="83">
        <f>ROUND(H959/(MID($C959,9,3)/Basis!$E$3/Basis!$E$9)*Basis!$E$11,0)</f>
        <v>1237</v>
      </c>
      <c r="J959" s="123">
        <f>IF(Basis!$E$1=1,ROUND(H959/((TaH-TrH)*1.163)/3600,3),ROUND(H959/(500*(TaH-TrH)),2))</f>
        <v>0.57999999999999996</v>
      </c>
      <c r="K959" s="84"/>
      <c r="L959" s="177">
        <f>CHOOSE(Basis!$E$1,((AJ959*(J959*3600/Basis!$E$5)^AK959*(((MID(C959,9,3)*10)-144)/1000)*AL959+AM959*(J959*3600/Basis!$E$5)^2)*0.0098)/Basis!$E$10,((AJ959*(J959/Basis!$E$5)^AK959*(((MID(C959,9,3)*10)-144)/1000)*AL959+AM959*(J959/Basis!$E$5)^2)*0.0098)/Basis!$E$10)</f>
        <v>9.483520215112555E-2</v>
      </c>
      <c r="M959" s="85"/>
      <c r="N959" s="109">
        <v>1.474</v>
      </c>
      <c r="O959" s="68"/>
      <c r="P959" s="67">
        <v>2766</v>
      </c>
      <c r="Q959" s="68"/>
      <c r="R959" s="69"/>
      <c r="S959" s="69"/>
      <c r="T959" s="69"/>
      <c r="U959" s="69"/>
      <c r="V959" s="69"/>
      <c r="W959" s="68"/>
      <c r="X959" s="70"/>
      <c r="Y959" s="70"/>
      <c r="Z959" s="70"/>
      <c r="AA959" s="70"/>
      <c r="AB959" s="70"/>
      <c r="AC959" s="68"/>
      <c r="AD959" s="71"/>
      <c r="AE959" s="71"/>
      <c r="AF959" s="71"/>
      <c r="AG959" s="71"/>
      <c r="AH959" s="71"/>
      <c r="AI959" s="68"/>
      <c r="AJ959" s="214">
        <v>2.0829999999999999E-4</v>
      </c>
      <c r="AK959" s="214">
        <v>1.724</v>
      </c>
      <c r="AL959" s="214">
        <v>4</v>
      </c>
      <c r="AM959" s="214">
        <v>1.392796E-3</v>
      </c>
      <c r="AN959" s="68"/>
      <c r="AO959" s="67"/>
      <c r="AP959" s="67"/>
      <c r="AQ959" s="67"/>
      <c r="AR959" s="67"/>
      <c r="AS959" s="67"/>
      <c r="AT959" s="68"/>
      <c r="AU959" s="49"/>
      <c r="AV959" s="50"/>
    </row>
    <row r="960" spans="1:48" ht="12.75" customHeight="1" x14ac:dyDescent="0.25">
      <c r="A960" s="72" t="s">
        <v>20</v>
      </c>
      <c r="B960" s="43" t="s">
        <v>889</v>
      </c>
      <c r="C960" s="44" t="s">
        <v>1114</v>
      </c>
      <c r="D960" s="45">
        <f>MROUND(MID($C960,6,3)/Basis!$E$3,0.5)</f>
        <v>29</v>
      </c>
      <c r="E960" s="45">
        <f>MROUND(MID($C960,9,3)/Basis!$E$3,0.5)</f>
        <v>56.5</v>
      </c>
      <c r="F960" s="124" t="s">
        <v>2948</v>
      </c>
      <c r="G960" s="45">
        <f>ROUND((ROUNDDOWN($F960/5,0)*5+3)/Basis!$E$3,1)</f>
        <v>9.1</v>
      </c>
      <c r="H960" s="120">
        <f>ROUND($P960*Basis!$E$2*((TaH-TrH)/LN(1/µ)/Basis!$E$7)^$N960*$AA$4*Glycol,0)</f>
        <v>5014</v>
      </c>
      <c r="I960" s="83">
        <f>ROUND(H960/(MID($C960,9,3)/Basis!$E$3/Basis!$E$9)*Basis!$E$11,0)</f>
        <v>1069</v>
      </c>
      <c r="J960" s="123">
        <f>IF(Basis!$E$1=1,ROUND(H960/((TaH-TrH)*1.163)/3600,3),ROUND(H960/(500*(TaH-TrH)),2))</f>
        <v>0.5</v>
      </c>
      <c r="K960" s="84"/>
      <c r="L960" s="177">
        <f>CHOOSE(Basis!$E$1,((AJ960*(J960*3600/Basis!$E$5)^AK960*(((MID(C960,9,3)*10)-144)/1000)*AL960+AM960*(J960*3600/Basis!$E$5)^2)*0.0098)/Basis!$E$10,((AJ960*(J960/Basis!$E$5)^AK960*(((MID(C960,9,3)*10)-144)/1000)*AL960+AM960*(J960/Basis!$E$5)^2)*0.0098)/Basis!$E$10)</f>
        <v>2.910545820839475E-2</v>
      </c>
      <c r="M960" s="85"/>
      <c r="N960" s="109">
        <v>1.484</v>
      </c>
      <c r="O960" s="68"/>
      <c r="P960" s="67">
        <v>2398</v>
      </c>
      <c r="Q960" s="68"/>
      <c r="R960" s="69"/>
      <c r="S960" s="69"/>
      <c r="T960" s="69"/>
      <c r="U960" s="69"/>
      <c r="V960" s="69"/>
      <c r="W960" s="68"/>
      <c r="X960" s="70"/>
      <c r="Y960" s="70"/>
      <c r="Z960" s="70"/>
      <c r="AA960" s="70"/>
      <c r="AB960" s="70"/>
      <c r="AC960" s="68"/>
      <c r="AD960" s="71"/>
      <c r="AE960" s="71"/>
      <c r="AF960" s="71"/>
      <c r="AG960" s="71"/>
      <c r="AH960" s="71"/>
      <c r="AI960" s="68"/>
      <c r="AJ960" s="214">
        <v>1.2760000000000001E-4</v>
      </c>
      <c r="AK960" s="214">
        <v>1.7219</v>
      </c>
      <c r="AL960" s="214">
        <v>4</v>
      </c>
      <c r="AM960" s="214">
        <v>5.1420100000000005E-4</v>
      </c>
      <c r="AN960" s="68"/>
      <c r="AO960" s="67"/>
      <c r="AP960" s="67"/>
      <c r="AQ960" s="67"/>
      <c r="AR960" s="67"/>
      <c r="AS960" s="67"/>
      <c r="AT960" s="68"/>
      <c r="AU960" s="49"/>
      <c r="AV960" s="50"/>
    </row>
    <row r="961" spans="1:48" ht="12.75" customHeight="1" x14ac:dyDescent="0.25">
      <c r="A961" s="72" t="s">
        <v>20</v>
      </c>
      <c r="B961" s="43" t="s">
        <v>889</v>
      </c>
      <c r="C961" s="44" t="s">
        <v>1115</v>
      </c>
      <c r="D961" s="45">
        <f>MROUND(MID($C961,6,3)/Basis!$E$3,0.5)</f>
        <v>29</v>
      </c>
      <c r="E961" s="45">
        <f>MROUND(MID($C961,9,3)/Basis!$E$3,0.5)</f>
        <v>56.5</v>
      </c>
      <c r="F961" s="124" t="s">
        <v>2948</v>
      </c>
      <c r="G961" s="45">
        <f>ROUND((ROUNDDOWN($F961/5,0)*5+3)/Basis!$E$3,1)</f>
        <v>9.1</v>
      </c>
      <c r="H961" s="120">
        <f>ROUND($P961*Basis!$E$2*((TaH-TrH)/LN(1/µ)/Basis!$E$7)^$N961*$AA$4*Glycol,0)</f>
        <v>6504</v>
      </c>
      <c r="I961" s="83">
        <f>ROUND(H961/(MID($C961,9,3)/Basis!$E$3/Basis!$E$9)*Basis!$E$11,0)</f>
        <v>1386</v>
      </c>
      <c r="J961" s="123">
        <f>IF(Basis!$E$1=1,ROUND(H961/((TaH-TrH)*1.163)/3600,3),ROUND(H961/(500*(TaH-TrH)),2))</f>
        <v>0.65</v>
      </c>
      <c r="K961" s="84"/>
      <c r="L961" s="177">
        <f>CHOOSE(Basis!$E$1,((AJ961*(J961*3600/Basis!$E$5)^AK961*(((MID(C961,9,3)*10)-144)/1000)*AL961+AM961*(J961*3600/Basis!$E$5)^2)*0.0098)/Basis!$E$10,((AJ961*(J961/Basis!$E$5)^AK961*(((MID(C961,9,3)*10)-144)/1000)*AL961+AM961*(J961/Basis!$E$5)^2)*0.0098)/Basis!$E$10)</f>
        <v>4.8305515616884849E-2</v>
      </c>
      <c r="M961" s="85"/>
      <c r="N961" s="109">
        <v>1.492</v>
      </c>
      <c r="O961" s="68"/>
      <c r="P961" s="67">
        <v>3119</v>
      </c>
      <c r="Q961" s="68"/>
      <c r="R961" s="69"/>
      <c r="S961" s="69"/>
      <c r="T961" s="69"/>
      <c r="U961" s="69"/>
      <c r="V961" s="69"/>
      <c r="W961" s="68"/>
      <c r="X961" s="70"/>
      <c r="Y961" s="70"/>
      <c r="Z961" s="70"/>
      <c r="AA961" s="70"/>
      <c r="AB961" s="70"/>
      <c r="AC961" s="68"/>
      <c r="AD961" s="71"/>
      <c r="AE961" s="71"/>
      <c r="AF961" s="71"/>
      <c r="AG961" s="71"/>
      <c r="AH961" s="71"/>
      <c r="AI961" s="68"/>
      <c r="AJ961" s="214">
        <v>1.2760000000000001E-4</v>
      </c>
      <c r="AK961" s="214">
        <v>1.7219</v>
      </c>
      <c r="AL961" s="214">
        <v>4</v>
      </c>
      <c r="AM961" s="214">
        <v>5.1420100000000005E-4</v>
      </c>
      <c r="AN961" s="68"/>
      <c r="AO961" s="67"/>
      <c r="AP961" s="67"/>
      <c r="AQ961" s="67"/>
      <c r="AR961" s="67"/>
      <c r="AS961" s="67"/>
      <c r="AT961" s="68"/>
      <c r="AU961" s="49"/>
      <c r="AV961" s="50"/>
    </row>
    <row r="962" spans="1:48" ht="12.75" customHeight="1" x14ac:dyDescent="0.25">
      <c r="A962" s="72" t="s">
        <v>20</v>
      </c>
      <c r="B962" s="43" t="s">
        <v>889</v>
      </c>
      <c r="C962" s="44" t="s">
        <v>1116</v>
      </c>
      <c r="D962" s="45">
        <f>MROUND(MID($C962,6,3)/Basis!$E$3,0.5)</f>
        <v>29</v>
      </c>
      <c r="E962" s="45">
        <f>MROUND(MID($C962,9,3)/Basis!$E$3,0.5)</f>
        <v>56.5</v>
      </c>
      <c r="F962" s="124" t="s">
        <v>2948</v>
      </c>
      <c r="G962" s="45">
        <f>ROUND((ROUNDDOWN($F962/5,0)*5+3)/Basis!$E$3,1)</f>
        <v>9.1</v>
      </c>
      <c r="H962" s="120">
        <f>ROUND($P962*Basis!$E$2*((TaH-TrH)/LN(1/µ)/Basis!$E$7)^$N962*$AA$4*Glycol,0)</f>
        <v>5966</v>
      </c>
      <c r="I962" s="83">
        <f>ROUND(H962/(MID($C962,9,3)/Basis!$E$3/Basis!$E$9)*Basis!$E$11,0)</f>
        <v>1272</v>
      </c>
      <c r="J962" s="123">
        <f>IF(Basis!$E$1=1,ROUND(H962/((TaH-TrH)*1.163)/3600,3),ROUND(H962/(500*(TaH-TrH)),2))</f>
        <v>0.6</v>
      </c>
      <c r="K962" s="84"/>
      <c r="L962" s="177">
        <f>CHOOSE(Basis!$E$1,((AJ962*(J962*3600/Basis!$E$5)^AK962*(((MID(C962,9,3)*10)-144)/1000)*AL962+AM962*(J962*3600/Basis!$E$5)^2)*0.0098)/Basis!$E$10,((AJ962*(J962/Basis!$E$5)^AK962*(((MID(C962,9,3)*10)-144)/1000)*AL962+AM962*(J962/Basis!$E$5)^2)*0.0098)/Basis!$E$10)</f>
        <v>4.1383401887720841E-2</v>
      </c>
      <c r="M962" s="85"/>
      <c r="N962" s="109">
        <v>1.496</v>
      </c>
      <c r="O962" s="68"/>
      <c r="P962" s="67">
        <v>2865</v>
      </c>
      <c r="Q962" s="68"/>
      <c r="R962" s="69"/>
      <c r="S962" s="69"/>
      <c r="T962" s="69"/>
      <c r="U962" s="69"/>
      <c r="V962" s="69"/>
      <c r="W962" s="68"/>
      <c r="X962" s="70"/>
      <c r="Y962" s="70"/>
      <c r="Z962" s="70"/>
      <c r="AA962" s="70"/>
      <c r="AB962" s="70"/>
      <c r="AC962" s="68"/>
      <c r="AD962" s="71"/>
      <c r="AE962" s="71"/>
      <c r="AF962" s="71"/>
      <c r="AG962" s="71"/>
      <c r="AH962" s="71"/>
      <c r="AI962" s="68"/>
      <c r="AJ962" s="214">
        <v>1.2760000000000001E-4</v>
      </c>
      <c r="AK962" s="214">
        <v>1.7219</v>
      </c>
      <c r="AL962" s="214">
        <v>4</v>
      </c>
      <c r="AM962" s="214">
        <v>5.1420100000000005E-4</v>
      </c>
      <c r="AN962" s="68"/>
      <c r="AO962" s="67"/>
      <c r="AP962" s="67"/>
      <c r="AQ962" s="67"/>
      <c r="AR962" s="67"/>
      <c r="AS962" s="67"/>
      <c r="AT962" s="68"/>
      <c r="AU962" s="49"/>
      <c r="AV962" s="50"/>
    </row>
    <row r="963" spans="1:48" ht="12.75" customHeight="1" x14ac:dyDescent="0.25">
      <c r="A963" s="72" t="s">
        <v>20</v>
      </c>
      <c r="B963" s="43" t="s">
        <v>889</v>
      </c>
      <c r="C963" s="44" t="s">
        <v>1117</v>
      </c>
      <c r="D963" s="45">
        <f>MROUND(MID($C963,6,3)/Basis!$E$3,0.5)</f>
        <v>29</v>
      </c>
      <c r="E963" s="45">
        <f>MROUND(MID($C963,9,3)/Basis!$E$3,0.5)</f>
        <v>56.5</v>
      </c>
      <c r="F963" s="124" t="s">
        <v>2948</v>
      </c>
      <c r="G963" s="45">
        <f>ROUND((ROUNDDOWN($F963/5,0)*5+3)/Basis!$E$3,1)</f>
        <v>9.1</v>
      </c>
      <c r="H963" s="120">
        <f>ROUND($P963*Basis!$E$2*((TaH-TrH)/LN(1/µ)/Basis!$E$7)^$N963*$AA$4*Glycol,0)</f>
        <v>8073</v>
      </c>
      <c r="I963" s="83">
        <f>ROUND(H963/(MID($C963,9,3)/Basis!$E$3/Basis!$E$9)*Basis!$E$11,0)</f>
        <v>1721</v>
      </c>
      <c r="J963" s="123">
        <f>IF(Basis!$E$1=1,ROUND(H963/((TaH-TrH)*1.163)/3600,3),ROUND(H963/(500*(TaH-TrH)),2))</f>
        <v>0.81</v>
      </c>
      <c r="K963" s="84"/>
      <c r="L963" s="177">
        <f>CHOOSE(Basis!$E$1,((AJ963*(J963*3600/Basis!$E$5)^AK963*(((MID(C963,9,3)*10)-144)/1000)*AL963+AM963*(J963*3600/Basis!$E$5)^2)*0.0098)/Basis!$E$10,((AJ963*(J963/Basis!$E$5)^AK963*(((MID(C963,9,3)*10)-144)/1000)*AL963+AM963*(J963/Basis!$E$5)^2)*0.0098)/Basis!$E$10)</f>
        <v>7.3938530327562674E-2</v>
      </c>
      <c r="M963" s="85"/>
      <c r="N963" s="109">
        <v>1.5049999999999999</v>
      </c>
      <c r="O963" s="68"/>
      <c r="P963" s="67">
        <v>3888</v>
      </c>
      <c r="Q963" s="68"/>
      <c r="R963" s="69"/>
      <c r="S963" s="69"/>
      <c r="T963" s="69"/>
      <c r="U963" s="69"/>
      <c r="V963" s="69"/>
      <c r="W963" s="68"/>
      <c r="X963" s="70"/>
      <c r="Y963" s="70"/>
      <c r="Z963" s="70"/>
      <c r="AA963" s="70"/>
      <c r="AB963" s="70"/>
      <c r="AC963" s="68"/>
      <c r="AD963" s="71"/>
      <c r="AE963" s="71"/>
      <c r="AF963" s="71"/>
      <c r="AG963" s="71"/>
      <c r="AH963" s="71"/>
      <c r="AI963" s="68"/>
      <c r="AJ963" s="214">
        <v>1.2760000000000001E-4</v>
      </c>
      <c r="AK963" s="214">
        <v>1.7219</v>
      </c>
      <c r="AL963" s="214">
        <v>4</v>
      </c>
      <c r="AM963" s="214">
        <v>5.1420100000000005E-4</v>
      </c>
      <c r="AN963" s="68"/>
      <c r="AO963" s="67"/>
      <c r="AP963" s="67"/>
      <c r="AQ963" s="67"/>
      <c r="AR963" s="67"/>
      <c r="AS963" s="67"/>
      <c r="AT963" s="68"/>
      <c r="AU963" s="49"/>
      <c r="AV963" s="50"/>
    </row>
    <row r="964" spans="1:48" ht="12.75" customHeight="1" x14ac:dyDescent="0.25">
      <c r="A964" s="72" t="s">
        <v>20</v>
      </c>
      <c r="B964" s="43" t="s">
        <v>889</v>
      </c>
      <c r="C964" s="44" t="s">
        <v>1118</v>
      </c>
      <c r="D964" s="45">
        <f>MROUND(MID($C964,6,3)/Basis!$E$3,0.5)</f>
        <v>29</v>
      </c>
      <c r="E964" s="45">
        <f>MROUND(MID($C964,9,3)/Basis!$E$3,0.5)</f>
        <v>64</v>
      </c>
      <c r="F964" s="124" t="s">
        <v>2946</v>
      </c>
      <c r="G964" s="45">
        <f>ROUND((ROUNDDOWN($F964/5,0)*5+3)/Basis!$E$3,1)</f>
        <v>5.0999999999999996</v>
      </c>
      <c r="H964" s="120">
        <f>ROUND($P964*Basis!$E$2*((TaH-TrH)/LN(1/µ)/Basis!$E$7)^$N964*$AA$4*Glycol,0)</f>
        <v>3396</v>
      </c>
      <c r="I964" s="83">
        <f>ROUND(H964/(MID($C964,9,3)/Basis!$E$3/Basis!$E$9)*Basis!$E$11,0)</f>
        <v>635</v>
      </c>
      <c r="J964" s="123">
        <f>IF(Basis!$E$1=1,ROUND(H964/((TaH-TrH)*1.163)/3600,3),ROUND(H964/(500*(TaH-TrH)),2))</f>
        <v>0.34</v>
      </c>
      <c r="K964" s="84"/>
      <c r="L964" s="177">
        <f>CHOOSE(Basis!$E$1,((AJ964*(J964*3600/Basis!$E$5)^AK964*(((MID(C964,9,3)*10)-144)/1000)*AL964+AM964*(J964*3600/Basis!$E$5)^2)*0.0098)/Basis!$E$10,((AJ964*(J964/Basis!$E$5)^AK964*(((MID(C964,9,3)*10)-144)/1000)*AL964+AM964*(J964/Basis!$E$5)^2)*0.0098)/Basis!$E$10)</f>
        <v>2.5710444375098743E-2</v>
      </c>
      <c r="M964" s="85"/>
      <c r="N964" s="109">
        <v>1.4379999999999999</v>
      </c>
      <c r="O964" s="68"/>
      <c r="P964" s="67">
        <v>1600</v>
      </c>
      <c r="Q964" s="68"/>
      <c r="R964" s="69"/>
      <c r="S964" s="69"/>
      <c r="T964" s="69"/>
      <c r="U964" s="69"/>
      <c r="V964" s="69"/>
      <c r="W964" s="68"/>
      <c r="X964" s="70"/>
      <c r="Y964" s="70"/>
      <c r="Z964" s="70"/>
      <c r="AA964" s="70"/>
      <c r="AB964" s="70"/>
      <c r="AC964" s="68"/>
      <c r="AD964" s="71"/>
      <c r="AE964" s="71"/>
      <c r="AF964" s="71"/>
      <c r="AG964" s="71"/>
      <c r="AH964" s="71"/>
      <c r="AI964" s="68"/>
      <c r="AJ964" s="214">
        <v>3.9689999999999994E-4</v>
      </c>
      <c r="AK964" s="214">
        <v>1.7345999999999999</v>
      </c>
      <c r="AL964" s="214">
        <v>4</v>
      </c>
      <c r="AM964" s="214">
        <v>5.7428799999999995E-4</v>
      </c>
      <c r="AN964" s="68"/>
      <c r="AO964" s="67"/>
      <c r="AP964" s="67"/>
      <c r="AQ964" s="67"/>
      <c r="AR964" s="67"/>
      <c r="AS964" s="67"/>
      <c r="AT964" s="68"/>
      <c r="AU964" s="49"/>
      <c r="AV964" s="50"/>
    </row>
    <row r="965" spans="1:48" ht="12.75" customHeight="1" x14ac:dyDescent="0.25">
      <c r="A965" s="72" t="s">
        <v>20</v>
      </c>
      <c r="B965" s="43" t="s">
        <v>889</v>
      </c>
      <c r="C965" s="44" t="s">
        <v>1119</v>
      </c>
      <c r="D965" s="45">
        <f>MROUND(MID($C965,6,3)/Basis!$E$3,0.5)</f>
        <v>29</v>
      </c>
      <c r="E965" s="45">
        <f>MROUND(MID($C965,9,3)/Basis!$E$3,0.5)</f>
        <v>64</v>
      </c>
      <c r="F965" s="124" t="s">
        <v>2946</v>
      </c>
      <c r="G965" s="45">
        <f>ROUND((ROUNDDOWN($F965/5,0)*5+3)/Basis!$E$3,1)</f>
        <v>5.0999999999999996</v>
      </c>
      <c r="H965" s="120">
        <f>ROUND($P965*Basis!$E$2*((TaH-TrH)/LN(1/µ)/Basis!$E$7)^$N965*$AA$4*Glycol,0)</f>
        <v>4234</v>
      </c>
      <c r="I965" s="83">
        <f>ROUND(H965/(MID($C965,9,3)/Basis!$E$3/Basis!$E$9)*Basis!$E$11,0)</f>
        <v>792</v>
      </c>
      <c r="J965" s="123">
        <f>IF(Basis!$E$1=1,ROUND(H965/((TaH-TrH)*1.163)/3600,3),ROUND(H965/(500*(TaH-TrH)),2))</f>
        <v>0.42</v>
      </c>
      <c r="K965" s="84"/>
      <c r="L965" s="177">
        <f>CHOOSE(Basis!$E$1,((AJ965*(J965*3600/Basis!$E$5)^AK965*(((MID(C965,9,3)*10)-144)/1000)*AL965+AM965*(J965*3600/Basis!$E$5)^2)*0.0098)/Basis!$E$10,((AJ965*(J965/Basis!$E$5)^AK965*(((MID(C965,9,3)*10)-144)/1000)*AL965+AM965*(J965/Basis!$E$5)^2)*0.0098)/Basis!$E$10)</f>
        <v>3.8025104035431689E-2</v>
      </c>
      <c r="M965" s="85"/>
      <c r="N965" s="109">
        <v>1.4370000000000001</v>
      </c>
      <c r="O965" s="68"/>
      <c r="P965" s="67">
        <v>1994</v>
      </c>
      <c r="Q965" s="68"/>
      <c r="R965" s="69"/>
      <c r="S965" s="69"/>
      <c r="T965" s="69"/>
      <c r="U965" s="69"/>
      <c r="V965" s="69"/>
      <c r="W965" s="68"/>
      <c r="X965" s="70"/>
      <c r="Y965" s="70"/>
      <c r="Z965" s="70"/>
      <c r="AA965" s="70"/>
      <c r="AB965" s="70"/>
      <c r="AC965" s="68"/>
      <c r="AD965" s="71"/>
      <c r="AE965" s="71"/>
      <c r="AF965" s="71"/>
      <c r="AG965" s="71"/>
      <c r="AH965" s="71"/>
      <c r="AI965" s="68"/>
      <c r="AJ965" s="214">
        <v>3.9689999999999994E-4</v>
      </c>
      <c r="AK965" s="214">
        <v>1.7345999999999999</v>
      </c>
      <c r="AL965" s="214">
        <v>4</v>
      </c>
      <c r="AM965" s="214">
        <v>5.7428799999999995E-4</v>
      </c>
      <c r="AN965" s="68"/>
      <c r="AO965" s="67"/>
      <c r="AP965" s="67"/>
      <c r="AQ965" s="67"/>
      <c r="AR965" s="67"/>
      <c r="AS965" s="67"/>
      <c r="AT965" s="68"/>
      <c r="AU965" s="49"/>
      <c r="AV965" s="50"/>
    </row>
    <row r="966" spans="1:48" ht="12.75" customHeight="1" x14ac:dyDescent="0.25">
      <c r="A966" s="72" t="s">
        <v>20</v>
      </c>
      <c r="B966" s="43" t="s">
        <v>889</v>
      </c>
      <c r="C966" s="44" t="s">
        <v>1120</v>
      </c>
      <c r="D966" s="45">
        <f>MROUND(MID($C966,6,3)/Basis!$E$3,0.5)</f>
        <v>29</v>
      </c>
      <c r="E966" s="45">
        <f>MROUND(MID($C966,9,3)/Basis!$E$3,0.5)</f>
        <v>64</v>
      </c>
      <c r="F966" s="124" t="s">
        <v>2946</v>
      </c>
      <c r="G966" s="45">
        <f>ROUND((ROUNDDOWN($F966/5,0)*5+3)/Basis!$E$3,1)</f>
        <v>5.0999999999999996</v>
      </c>
      <c r="H966" s="120">
        <f>ROUND($P966*Basis!$E$2*((TaH-TrH)/LN(1/µ)/Basis!$E$7)^$N966*$AA$4*Glycol,0)</f>
        <v>4062</v>
      </c>
      <c r="I966" s="83">
        <f>ROUND(H966/(MID($C966,9,3)/Basis!$E$3/Basis!$E$9)*Basis!$E$11,0)</f>
        <v>760</v>
      </c>
      <c r="J966" s="123">
        <f>IF(Basis!$E$1=1,ROUND(H966/((TaH-TrH)*1.163)/3600,3),ROUND(H966/(500*(TaH-TrH)),2))</f>
        <v>0.41</v>
      </c>
      <c r="K966" s="84"/>
      <c r="L966" s="177">
        <f>CHOOSE(Basis!$E$1,((AJ966*(J966*3600/Basis!$E$5)^AK966*(((MID(C966,9,3)*10)-144)/1000)*AL966+AM966*(J966*3600/Basis!$E$5)^2)*0.0098)/Basis!$E$10,((AJ966*(J966/Basis!$E$5)^AK966*(((MID(C966,9,3)*10)-144)/1000)*AL966+AM966*(J966/Basis!$E$5)^2)*0.0098)/Basis!$E$10)</f>
        <v>3.6363958509089876E-2</v>
      </c>
      <c r="M966" s="85"/>
      <c r="N966" s="109">
        <v>1.4370000000000001</v>
      </c>
      <c r="O966" s="68"/>
      <c r="P966" s="67">
        <v>1913</v>
      </c>
      <c r="Q966" s="68"/>
      <c r="R966" s="69"/>
      <c r="S966" s="69"/>
      <c r="T966" s="69"/>
      <c r="U966" s="69"/>
      <c r="V966" s="69"/>
      <c r="W966" s="68"/>
      <c r="X966" s="70"/>
      <c r="Y966" s="70"/>
      <c r="Z966" s="70"/>
      <c r="AA966" s="70"/>
      <c r="AB966" s="70"/>
      <c r="AC966" s="68"/>
      <c r="AD966" s="71"/>
      <c r="AE966" s="71"/>
      <c r="AF966" s="71"/>
      <c r="AG966" s="71"/>
      <c r="AH966" s="71"/>
      <c r="AI966" s="68"/>
      <c r="AJ966" s="214">
        <v>3.9689999999999994E-4</v>
      </c>
      <c r="AK966" s="214">
        <v>1.7345999999999999</v>
      </c>
      <c r="AL966" s="214">
        <v>4</v>
      </c>
      <c r="AM966" s="214">
        <v>5.7428799999999995E-4</v>
      </c>
      <c r="AN966" s="68"/>
      <c r="AO966" s="67"/>
      <c r="AP966" s="67"/>
      <c r="AQ966" s="67"/>
      <c r="AR966" s="67"/>
      <c r="AS966" s="67"/>
      <c r="AT966" s="68"/>
      <c r="AU966" s="49"/>
      <c r="AV966" s="50"/>
    </row>
    <row r="967" spans="1:48" ht="12.75" customHeight="1" x14ac:dyDescent="0.25">
      <c r="A967" s="72" t="s">
        <v>20</v>
      </c>
      <c r="B967" s="43" t="s">
        <v>889</v>
      </c>
      <c r="C967" s="44" t="s">
        <v>1121</v>
      </c>
      <c r="D967" s="45">
        <f>MROUND(MID($C967,6,3)/Basis!$E$3,0.5)</f>
        <v>29</v>
      </c>
      <c r="E967" s="45">
        <f>MROUND(MID($C967,9,3)/Basis!$E$3,0.5)</f>
        <v>64</v>
      </c>
      <c r="F967" s="124" t="s">
        <v>2946</v>
      </c>
      <c r="G967" s="45">
        <f>ROUND((ROUNDDOWN($F967/5,0)*5+3)/Basis!$E$3,1)</f>
        <v>5.0999999999999996</v>
      </c>
      <c r="H967" s="120">
        <f>ROUND($P967*Basis!$E$2*((TaH-TrH)/LN(1/µ)/Basis!$E$7)^$N967*$AA$4*Glycol,0)</f>
        <v>4499</v>
      </c>
      <c r="I967" s="83">
        <f>ROUND(H967/(MID($C967,9,3)/Basis!$E$3/Basis!$E$9)*Basis!$E$11,0)</f>
        <v>841</v>
      </c>
      <c r="J967" s="123">
        <f>IF(Basis!$E$1=1,ROUND(H967/((TaH-TrH)*1.163)/3600,3),ROUND(H967/(500*(TaH-TrH)),2))</f>
        <v>0.45</v>
      </c>
      <c r="K967" s="84"/>
      <c r="L967" s="177">
        <f>CHOOSE(Basis!$E$1,((AJ967*(J967*3600/Basis!$E$5)^AK967*(((MID(C967,9,3)*10)-144)/1000)*AL967+AM967*(J967*3600/Basis!$E$5)^2)*0.0098)/Basis!$E$10,((AJ967*(J967/Basis!$E$5)^AK967*(((MID(C967,9,3)*10)-144)/1000)*AL967+AM967*(J967/Basis!$E$5)^2)*0.0098)/Basis!$E$10)</f>
        <v>4.3215154911615525E-2</v>
      </c>
      <c r="M967" s="85"/>
      <c r="N967" s="109">
        <v>1.4359999999999999</v>
      </c>
      <c r="O967" s="68"/>
      <c r="P967" s="67">
        <v>2118</v>
      </c>
      <c r="Q967" s="68"/>
      <c r="R967" s="69"/>
      <c r="S967" s="69"/>
      <c r="T967" s="69"/>
      <c r="U967" s="69"/>
      <c r="V967" s="69"/>
      <c r="W967" s="68"/>
      <c r="X967" s="70"/>
      <c r="Y967" s="70"/>
      <c r="Z967" s="70"/>
      <c r="AA967" s="70"/>
      <c r="AB967" s="70"/>
      <c r="AC967" s="68"/>
      <c r="AD967" s="71"/>
      <c r="AE967" s="71"/>
      <c r="AF967" s="71"/>
      <c r="AG967" s="71"/>
      <c r="AH967" s="71"/>
      <c r="AI967" s="68"/>
      <c r="AJ967" s="214">
        <v>3.9689999999999994E-4</v>
      </c>
      <c r="AK967" s="214">
        <v>1.7345999999999999</v>
      </c>
      <c r="AL967" s="214">
        <v>4</v>
      </c>
      <c r="AM967" s="214">
        <v>5.7428799999999995E-4</v>
      </c>
      <c r="AN967" s="68"/>
      <c r="AO967" s="67"/>
      <c r="AP967" s="67"/>
      <c r="AQ967" s="67"/>
      <c r="AR967" s="67"/>
      <c r="AS967" s="67"/>
      <c r="AT967" s="68"/>
      <c r="AU967" s="49"/>
      <c r="AV967" s="50"/>
    </row>
    <row r="968" spans="1:48" ht="12.75" customHeight="1" x14ac:dyDescent="0.25">
      <c r="A968" s="72" t="s">
        <v>20</v>
      </c>
      <c r="B968" s="43" t="s">
        <v>889</v>
      </c>
      <c r="C968" s="44" t="s">
        <v>1122</v>
      </c>
      <c r="D968" s="45">
        <f>MROUND(MID($C968,6,3)/Basis!$E$3,0.5)</f>
        <v>29</v>
      </c>
      <c r="E968" s="45">
        <f>MROUND(MID($C968,9,3)/Basis!$E$3,0.5)</f>
        <v>64</v>
      </c>
      <c r="F968" s="124" t="s">
        <v>2947</v>
      </c>
      <c r="G968" s="45">
        <f>ROUND((ROUNDDOWN($F968/5,0)*5+3)/Basis!$E$3,1)</f>
        <v>7.1</v>
      </c>
      <c r="H968" s="120">
        <f>ROUND($P968*Basis!$E$2*((TaH-TrH)/LN(1/µ)/Basis!$E$7)^$N968*$AA$4*Glycol,0)</f>
        <v>4664</v>
      </c>
      <c r="I968" s="83">
        <f>ROUND(H968/(MID($C968,9,3)/Basis!$E$3/Basis!$E$9)*Basis!$E$11,0)</f>
        <v>872</v>
      </c>
      <c r="J968" s="123">
        <f>IF(Basis!$E$1=1,ROUND(H968/((TaH-TrH)*1.163)/3600,3),ROUND(H968/(500*(TaH-TrH)),2))</f>
        <v>0.47</v>
      </c>
      <c r="K968" s="84"/>
      <c r="L968" s="177">
        <f>CHOOSE(Basis!$E$1,((AJ968*(J968*3600/Basis!$E$5)^AK968*(((MID(C968,9,3)*10)-144)/1000)*AL968+AM968*(J968*3600/Basis!$E$5)^2)*0.0098)/Basis!$E$10,((AJ968*(J968/Basis!$E$5)^AK968*(((MID(C968,9,3)*10)-144)/1000)*AL968+AM968*(J968/Basis!$E$5)^2)*0.0098)/Basis!$E$10)</f>
        <v>6.4605413697132311E-2</v>
      </c>
      <c r="M968" s="85"/>
      <c r="N968" s="109">
        <v>1.464</v>
      </c>
      <c r="O968" s="68"/>
      <c r="P968" s="67">
        <v>2216</v>
      </c>
      <c r="Q968" s="68"/>
      <c r="R968" s="69"/>
      <c r="S968" s="69"/>
      <c r="T968" s="69"/>
      <c r="U968" s="69"/>
      <c r="V968" s="69"/>
      <c r="W968" s="68"/>
      <c r="X968" s="70"/>
      <c r="Y968" s="70"/>
      <c r="Z968" s="70"/>
      <c r="AA968" s="70"/>
      <c r="AB968" s="70"/>
      <c r="AC968" s="68"/>
      <c r="AD968" s="71"/>
      <c r="AE968" s="71"/>
      <c r="AF968" s="71"/>
      <c r="AG968" s="71"/>
      <c r="AH968" s="71"/>
      <c r="AI968" s="68"/>
      <c r="AJ968" s="214">
        <v>2.0829999999999999E-4</v>
      </c>
      <c r="AK968" s="214">
        <v>1.724</v>
      </c>
      <c r="AL968" s="214">
        <v>4</v>
      </c>
      <c r="AM968" s="214">
        <v>1.392796E-3</v>
      </c>
      <c r="AN968" s="68"/>
      <c r="AO968" s="67"/>
      <c r="AP968" s="67"/>
      <c r="AQ968" s="67"/>
      <c r="AR968" s="67"/>
      <c r="AS968" s="67"/>
      <c r="AT968" s="68"/>
      <c r="AU968" s="49"/>
      <c r="AV968" s="50"/>
    </row>
    <row r="969" spans="1:48" ht="12.75" customHeight="1" x14ac:dyDescent="0.25">
      <c r="A969" s="72" t="s">
        <v>20</v>
      </c>
      <c r="B969" s="43" t="s">
        <v>889</v>
      </c>
      <c r="C969" s="44" t="s">
        <v>1123</v>
      </c>
      <c r="D969" s="45">
        <f>MROUND(MID($C969,6,3)/Basis!$E$3,0.5)</f>
        <v>29</v>
      </c>
      <c r="E969" s="45">
        <f>MROUND(MID($C969,9,3)/Basis!$E$3,0.5)</f>
        <v>64</v>
      </c>
      <c r="F969" s="124" t="s">
        <v>2947</v>
      </c>
      <c r="G969" s="45">
        <f>ROUND((ROUNDDOWN($F969/5,0)*5+3)/Basis!$E$3,1)</f>
        <v>7.1</v>
      </c>
      <c r="H969" s="120">
        <f>ROUND($P969*Basis!$E$2*((TaH-TrH)/LN(1/µ)/Basis!$E$7)^$N969*$AA$4*Glycol,0)</f>
        <v>6247</v>
      </c>
      <c r="I969" s="83">
        <f>ROUND(H969/(MID($C969,9,3)/Basis!$E$3/Basis!$E$9)*Basis!$E$11,0)</f>
        <v>1168</v>
      </c>
      <c r="J969" s="123">
        <f>IF(Basis!$E$1=1,ROUND(H969/((TaH-TrH)*1.163)/3600,3),ROUND(H969/(500*(TaH-TrH)),2))</f>
        <v>0.62</v>
      </c>
      <c r="K969" s="84"/>
      <c r="L969" s="177">
        <f>CHOOSE(Basis!$E$1,((AJ969*(J969*3600/Basis!$E$5)^AK969*(((MID(C969,9,3)*10)-144)/1000)*AL969+AM969*(J969*3600/Basis!$E$5)^2)*0.0098)/Basis!$E$10,((AJ969*(J969/Basis!$E$5)^AK969*(((MID(C969,9,3)*10)-144)/1000)*AL969+AM969*(J969/Basis!$E$5)^2)*0.0098)/Basis!$E$10)</f>
        <v>0.11079542372657813</v>
      </c>
      <c r="M969" s="85"/>
      <c r="N969" s="109">
        <v>1.468</v>
      </c>
      <c r="O969" s="68"/>
      <c r="P969" s="67">
        <v>2972</v>
      </c>
      <c r="Q969" s="68"/>
      <c r="R969" s="69"/>
      <c r="S969" s="69"/>
      <c r="T969" s="69"/>
      <c r="U969" s="69"/>
      <c r="V969" s="69"/>
      <c r="W969" s="68"/>
      <c r="X969" s="70"/>
      <c r="Y969" s="70"/>
      <c r="Z969" s="70"/>
      <c r="AA969" s="70"/>
      <c r="AB969" s="70"/>
      <c r="AC969" s="68"/>
      <c r="AD969" s="71"/>
      <c r="AE969" s="71"/>
      <c r="AF969" s="71"/>
      <c r="AG969" s="71"/>
      <c r="AH969" s="71"/>
      <c r="AI969" s="68"/>
      <c r="AJ969" s="214">
        <v>2.0829999999999999E-4</v>
      </c>
      <c r="AK969" s="214">
        <v>1.724</v>
      </c>
      <c r="AL969" s="214">
        <v>4</v>
      </c>
      <c r="AM969" s="214">
        <v>1.392796E-3</v>
      </c>
      <c r="AN969" s="68"/>
      <c r="AO969" s="67"/>
      <c r="AP969" s="67"/>
      <c r="AQ969" s="67"/>
      <c r="AR969" s="67"/>
      <c r="AS969" s="67"/>
      <c r="AT969" s="68"/>
      <c r="AU969" s="49"/>
      <c r="AV969" s="50"/>
    </row>
    <row r="970" spans="1:48" ht="12.75" customHeight="1" x14ac:dyDescent="0.25">
      <c r="A970" s="72" t="s">
        <v>20</v>
      </c>
      <c r="B970" s="43" t="s">
        <v>889</v>
      </c>
      <c r="C970" s="44" t="s">
        <v>1124</v>
      </c>
      <c r="D970" s="45">
        <f>MROUND(MID($C970,6,3)/Basis!$E$3,0.5)</f>
        <v>29</v>
      </c>
      <c r="E970" s="45">
        <f>MROUND(MID($C970,9,3)/Basis!$E$3,0.5)</f>
        <v>64</v>
      </c>
      <c r="F970" s="124" t="s">
        <v>2947</v>
      </c>
      <c r="G970" s="45">
        <f>ROUND((ROUNDDOWN($F970/5,0)*5+3)/Basis!$E$3,1)</f>
        <v>7.1</v>
      </c>
      <c r="H970" s="120">
        <f>ROUND($P970*Basis!$E$2*((TaH-TrH)/LN(1/µ)/Basis!$E$7)^$N970*$AA$4*Glycol,0)</f>
        <v>5631</v>
      </c>
      <c r="I970" s="83">
        <f>ROUND(H970/(MID($C970,9,3)/Basis!$E$3/Basis!$E$9)*Basis!$E$11,0)</f>
        <v>1053</v>
      </c>
      <c r="J970" s="123">
        <f>IF(Basis!$E$1=1,ROUND(H970/((TaH-TrH)*1.163)/3600,3),ROUND(H970/(500*(TaH-TrH)),2))</f>
        <v>0.56000000000000005</v>
      </c>
      <c r="K970" s="84"/>
      <c r="L970" s="177">
        <f>CHOOSE(Basis!$E$1,((AJ970*(J970*3600/Basis!$E$5)^AK970*(((MID(C970,9,3)*10)-144)/1000)*AL970+AM970*(J970*3600/Basis!$E$5)^2)*0.0098)/Basis!$E$10,((AJ970*(J970/Basis!$E$5)^AK970*(((MID(C970,9,3)*10)-144)/1000)*AL970+AM970*(J970/Basis!$E$5)^2)*0.0098)/Basis!$E$10)</f>
        <v>9.0865045278000864E-2</v>
      </c>
      <c r="M970" s="85"/>
      <c r="N970" s="109">
        <v>1.47</v>
      </c>
      <c r="O970" s="68"/>
      <c r="P970" s="67">
        <v>2681</v>
      </c>
      <c r="Q970" s="68"/>
      <c r="R970" s="69"/>
      <c r="S970" s="69"/>
      <c r="T970" s="69"/>
      <c r="U970" s="69"/>
      <c r="V970" s="69"/>
      <c r="W970" s="68"/>
      <c r="X970" s="70"/>
      <c r="Y970" s="70"/>
      <c r="Z970" s="70"/>
      <c r="AA970" s="70"/>
      <c r="AB970" s="70"/>
      <c r="AC970" s="68"/>
      <c r="AD970" s="71"/>
      <c r="AE970" s="71"/>
      <c r="AF970" s="71"/>
      <c r="AG970" s="71"/>
      <c r="AH970" s="71"/>
      <c r="AI970" s="68"/>
      <c r="AJ970" s="214">
        <v>2.0829999999999999E-4</v>
      </c>
      <c r="AK970" s="214">
        <v>1.724</v>
      </c>
      <c r="AL970" s="214">
        <v>4</v>
      </c>
      <c r="AM970" s="214">
        <v>1.392796E-3</v>
      </c>
      <c r="AN970" s="68"/>
      <c r="AO970" s="67"/>
      <c r="AP970" s="67"/>
      <c r="AQ970" s="67"/>
      <c r="AR970" s="67"/>
      <c r="AS970" s="67"/>
      <c r="AT970" s="68"/>
      <c r="AU970" s="49"/>
      <c r="AV970" s="50"/>
    </row>
    <row r="971" spans="1:48" ht="12.75" customHeight="1" x14ac:dyDescent="0.25">
      <c r="A971" s="72" t="s">
        <v>20</v>
      </c>
      <c r="B971" s="43" t="s">
        <v>889</v>
      </c>
      <c r="C971" s="44" t="s">
        <v>1125</v>
      </c>
      <c r="D971" s="45">
        <f>MROUND(MID($C971,6,3)/Basis!$E$3,0.5)</f>
        <v>29</v>
      </c>
      <c r="E971" s="45">
        <f>MROUND(MID($C971,9,3)/Basis!$E$3,0.5)</f>
        <v>64</v>
      </c>
      <c r="F971" s="124" t="s">
        <v>2947</v>
      </c>
      <c r="G971" s="45">
        <f>ROUND((ROUNDDOWN($F971/5,0)*5+3)/Basis!$E$3,1)</f>
        <v>7.1</v>
      </c>
      <c r="H971" s="120">
        <f>ROUND($P971*Basis!$E$2*((TaH-TrH)/LN(1/µ)/Basis!$E$7)^$N971*$AA$4*Glycol,0)</f>
        <v>6750</v>
      </c>
      <c r="I971" s="83">
        <f>ROUND(H971/(MID($C971,9,3)/Basis!$E$3/Basis!$E$9)*Basis!$E$11,0)</f>
        <v>1262</v>
      </c>
      <c r="J971" s="123">
        <f>IF(Basis!$E$1=1,ROUND(H971/((TaH-TrH)*1.163)/3600,3),ROUND(H971/(500*(TaH-TrH)),2))</f>
        <v>0.68</v>
      </c>
      <c r="K971" s="84"/>
      <c r="L971" s="177">
        <f>CHOOSE(Basis!$E$1,((AJ971*(J971*3600/Basis!$E$5)^AK971*(((MID(C971,9,3)*10)-144)/1000)*AL971+AM971*(J971*3600/Basis!$E$5)^2)*0.0098)/Basis!$E$10,((AJ971*(J971/Basis!$E$5)^AK971*(((MID(C971,9,3)*10)-144)/1000)*AL971+AM971*(J971/Basis!$E$5)^2)*0.0098)/Basis!$E$10)</f>
        <v>0.13265684292589547</v>
      </c>
      <c r="M971" s="85"/>
      <c r="N971" s="109">
        <v>1.474</v>
      </c>
      <c r="O971" s="68"/>
      <c r="P971" s="67">
        <v>3218</v>
      </c>
      <c r="Q971" s="68"/>
      <c r="R971" s="69"/>
      <c r="S971" s="69"/>
      <c r="T971" s="69"/>
      <c r="U971" s="69"/>
      <c r="V971" s="69"/>
      <c r="W971" s="68"/>
      <c r="X971" s="70"/>
      <c r="Y971" s="70"/>
      <c r="Z971" s="70"/>
      <c r="AA971" s="70"/>
      <c r="AB971" s="70"/>
      <c r="AC971" s="68"/>
      <c r="AD971" s="71"/>
      <c r="AE971" s="71"/>
      <c r="AF971" s="71"/>
      <c r="AG971" s="71"/>
      <c r="AH971" s="71"/>
      <c r="AI971" s="68"/>
      <c r="AJ971" s="214">
        <v>2.0829999999999999E-4</v>
      </c>
      <c r="AK971" s="214">
        <v>1.724</v>
      </c>
      <c r="AL971" s="214">
        <v>4</v>
      </c>
      <c r="AM971" s="214">
        <v>1.392796E-3</v>
      </c>
      <c r="AN971" s="68"/>
      <c r="AO971" s="67"/>
      <c r="AP971" s="67"/>
      <c r="AQ971" s="67"/>
      <c r="AR971" s="67"/>
      <c r="AS971" s="67"/>
      <c r="AT971" s="68"/>
      <c r="AU971" s="49"/>
      <c r="AV971" s="50"/>
    </row>
    <row r="972" spans="1:48" ht="12.75" customHeight="1" x14ac:dyDescent="0.25">
      <c r="A972" s="72" t="s">
        <v>20</v>
      </c>
      <c r="B972" s="43" t="s">
        <v>889</v>
      </c>
      <c r="C972" s="44" t="s">
        <v>1126</v>
      </c>
      <c r="D972" s="45">
        <f>MROUND(MID($C972,6,3)/Basis!$E$3,0.5)</f>
        <v>29</v>
      </c>
      <c r="E972" s="45">
        <f>MROUND(MID($C972,9,3)/Basis!$E$3,0.5)</f>
        <v>64</v>
      </c>
      <c r="F972" s="124" t="s">
        <v>2948</v>
      </c>
      <c r="G972" s="45">
        <f>ROUND((ROUNDDOWN($F972/5,0)*5+3)/Basis!$E$3,1)</f>
        <v>9.1</v>
      </c>
      <c r="H972" s="120">
        <f>ROUND($P972*Basis!$E$2*((TaH-TrH)/LN(1/µ)/Basis!$E$7)^$N972*$AA$4*Glycol,0)</f>
        <v>5833</v>
      </c>
      <c r="I972" s="83">
        <f>ROUND(H972/(MID($C972,9,3)/Basis!$E$3/Basis!$E$9)*Basis!$E$11,0)</f>
        <v>1091</v>
      </c>
      <c r="J972" s="123">
        <f>IF(Basis!$E$1=1,ROUND(H972/((TaH-TrH)*1.163)/3600,3),ROUND(H972/(500*(TaH-TrH)),2))</f>
        <v>0.57999999999999996</v>
      </c>
      <c r="K972" s="84"/>
      <c r="L972" s="177">
        <f>CHOOSE(Basis!$E$1,((AJ972*(J972*3600/Basis!$E$5)^AK972*(((MID(C972,9,3)*10)-144)/1000)*AL972+AM972*(J972*3600/Basis!$E$5)^2)*0.0098)/Basis!$E$10,((AJ972*(J972/Basis!$E$5)^AK972*(((MID(C972,9,3)*10)-144)/1000)*AL972+AM972*(J972/Basis!$E$5)^2)*0.0098)/Basis!$E$10)</f>
        <v>4.0250994825355484E-2</v>
      </c>
      <c r="M972" s="85"/>
      <c r="N972" s="109">
        <v>1.484</v>
      </c>
      <c r="O972" s="68"/>
      <c r="P972" s="67">
        <v>2790</v>
      </c>
      <c r="Q972" s="68"/>
      <c r="R972" s="69"/>
      <c r="S972" s="69"/>
      <c r="T972" s="69"/>
      <c r="U972" s="69"/>
      <c r="V972" s="69"/>
      <c r="W972" s="68"/>
      <c r="X972" s="70"/>
      <c r="Y972" s="70"/>
      <c r="Z972" s="70"/>
      <c r="AA972" s="70"/>
      <c r="AB972" s="70"/>
      <c r="AC972" s="68"/>
      <c r="AD972" s="71"/>
      <c r="AE972" s="71"/>
      <c r="AF972" s="71"/>
      <c r="AG972" s="71"/>
      <c r="AH972" s="71"/>
      <c r="AI972" s="68"/>
      <c r="AJ972" s="214">
        <v>1.2760000000000001E-4</v>
      </c>
      <c r="AK972" s="214">
        <v>1.7219</v>
      </c>
      <c r="AL972" s="214">
        <v>4</v>
      </c>
      <c r="AM972" s="214">
        <v>5.1420100000000005E-4</v>
      </c>
      <c r="AN972" s="68"/>
      <c r="AO972" s="67"/>
      <c r="AP972" s="67"/>
      <c r="AQ972" s="67"/>
      <c r="AR972" s="67"/>
      <c r="AS972" s="67"/>
      <c r="AT972" s="68"/>
      <c r="AU972" s="49"/>
      <c r="AV972" s="50"/>
    </row>
    <row r="973" spans="1:48" ht="12.75" customHeight="1" x14ac:dyDescent="0.25">
      <c r="A973" s="72" t="s">
        <v>20</v>
      </c>
      <c r="B973" s="43" t="s">
        <v>889</v>
      </c>
      <c r="C973" s="44" t="s">
        <v>1127</v>
      </c>
      <c r="D973" s="45">
        <f>MROUND(MID($C973,6,3)/Basis!$E$3,0.5)</f>
        <v>29</v>
      </c>
      <c r="E973" s="45">
        <f>MROUND(MID($C973,9,3)/Basis!$E$3,0.5)</f>
        <v>64</v>
      </c>
      <c r="F973" s="124" t="s">
        <v>2948</v>
      </c>
      <c r="G973" s="45">
        <f>ROUND((ROUNDDOWN($F973/5,0)*5+3)/Basis!$E$3,1)</f>
        <v>9.1</v>
      </c>
      <c r="H973" s="120">
        <f>ROUND($P973*Basis!$E$2*((TaH-TrH)/LN(1/µ)/Basis!$E$7)^$N973*$AA$4*Glycol,0)</f>
        <v>7565</v>
      </c>
      <c r="I973" s="83">
        <f>ROUND(H973/(MID($C973,9,3)/Basis!$E$3/Basis!$E$9)*Basis!$E$11,0)</f>
        <v>1415</v>
      </c>
      <c r="J973" s="123">
        <f>IF(Basis!$E$1=1,ROUND(H973/((TaH-TrH)*1.163)/3600,3),ROUND(H973/(500*(TaH-TrH)),2))</f>
        <v>0.76</v>
      </c>
      <c r="K973" s="84"/>
      <c r="L973" s="177">
        <f>CHOOSE(Basis!$E$1,((AJ973*(J973*3600/Basis!$E$5)^AK973*(((MID(C973,9,3)*10)-144)/1000)*AL973+AM973*(J973*3600/Basis!$E$5)^2)*0.0098)/Basis!$E$10,((AJ973*(J973/Basis!$E$5)^AK973*(((MID(C973,9,3)*10)-144)/1000)*AL973+AM973*(J973/Basis!$E$5)^2)*0.0098)/Basis!$E$10)</f>
        <v>6.7734136163410924E-2</v>
      </c>
      <c r="M973" s="85"/>
      <c r="N973" s="109">
        <v>1.492</v>
      </c>
      <c r="O973" s="68"/>
      <c r="P973" s="67">
        <v>3628</v>
      </c>
      <c r="Q973" s="68"/>
      <c r="R973" s="69"/>
      <c r="S973" s="69"/>
      <c r="T973" s="69"/>
      <c r="U973" s="69"/>
      <c r="V973" s="69"/>
      <c r="W973" s="68"/>
      <c r="X973" s="70"/>
      <c r="Y973" s="70"/>
      <c r="Z973" s="70"/>
      <c r="AA973" s="70"/>
      <c r="AB973" s="70"/>
      <c r="AC973" s="68"/>
      <c r="AD973" s="71"/>
      <c r="AE973" s="71"/>
      <c r="AF973" s="71"/>
      <c r="AG973" s="71"/>
      <c r="AH973" s="71"/>
      <c r="AI973" s="68"/>
      <c r="AJ973" s="214">
        <v>1.2760000000000001E-4</v>
      </c>
      <c r="AK973" s="214">
        <v>1.7219</v>
      </c>
      <c r="AL973" s="214">
        <v>4</v>
      </c>
      <c r="AM973" s="214">
        <v>5.1420100000000005E-4</v>
      </c>
      <c r="AN973" s="68"/>
      <c r="AO973" s="67"/>
      <c r="AP973" s="67"/>
      <c r="AQ973" s="67"/>
      <c r="AR973" s="67"/>
      <c r="AS973" s="67"/>
      <c r="AT973" s="68"/>
      <c r="AU973" s="49"/>
      <c r="AV973" s="50"/>
    </row>
    <row r="974" spans="1:48" ht="12.75" customHeight="1" x14ac:dyDescent="0.25">
      <c r="A974" s="72" t="s">
        <v>20</v>
      </c>
      <c r="B974" s="43" t="s">
        <v>889</v>
      </c>
      <c r="C974" s="44" t="s">
        <v>1128</v>
      </c>
      <c r="D974" s="45">
        <f>MROUND(MID($C974,6,3)/Basis!$E$3,0.5)</f>
        <v>29</v>
      </c>
      <c r="E974" s="45">
        <f>MROUND(MID($C974,9,3)/Basis!$E$3,0.5)</f>
        <v>64</v>
      </c>
      <c r="F974" s="124" t="s">
        <v>2948</v>
      </c>
      <c r="G974" s="45">
        <f>ROUND((ROUNDDOWN($F974/5,0)*5+3)/Basis!$E$3,1)</f>
        <v>9.1</v>
      </c>
      <c r="H974" s="120">
        <f>ROUND($P974*Basis!$E$2*((TaH-TrH)/LN(1/µ)/Basis!$E$7)^$N974*$AA$4*Glycol,0)</f>
        <v>6941</v>
      </c>
      <c r="I974" s="83">
        <f>ROUND(H974/(MID($C974,9,3)/Basis!$E$3/Basis!$E$9)*Basis!$E$11,0)</f>
        <v>1298</v>
      </c>
      <c r="J974" s="123">
        <f>IF(Basis!$E$1=1,ROUND(H974/((TaH-TrH)*1.163)/3600,3),ROUND(H974/(500*(TaH-TrH)),2))</f>
        <v>0.69</v>
      </c>
      <c r="K974" s="84"/>
      <c r="L974" s="177">
        <f>CHOOSE(Basis!$E$1,((AJ974*(J974*3600/Basis!$E$5)^AK974*(((MID(C974,9,3)*10)-144)/1000)*AL974+AM974*(J974*3600/Basis!$E$5)^2)*0.0098)/Basis!$E$10,((AJ974*(J974/Basis!$E$5)^AK974*(((MID(C974,9,3)*10)-144)/1000)*AL974+AM974*(J974/Basis!$E$5)^2)*0.0098)/Basis!$E$10)</f>
        <v>5.6227400240654875E-2</v>
      </c>
      <c r="M974" s="85"/>
      <c r="N974" s="109">
        <v>1.496</v>
      </c>
      <c r="O974" s="68"/>
      <c r="P974" s="67">
        <v>3333</v>
      </c>
      <c r="Q974" s="68"/>
      <c r="R974" s="69"/>
      <c r="S974" s="69"/>
      <c r="T974" s="69"/>
      <c r="U974" s="69"/>
      <c r="V974" s="69"/>
      <c r="W974" s="68"/>
      <c r="X974" s="70"/>
      <c r="Y974" s="70"/>
      <c r="Z974" s="70"/>
      <c r="AA974" s="70"/>
      <c r="AB974" s="70"/>
      <c r="AC974" s="68"/>
      <c r="AD974" s="71"/>
      <c r="AE974" s="71"/>
      <c r="AF974" s="71"/>
      <c r="AG974" s="71"/>
      <c r="AH974" s="71"/>
      <c r="AI974" s="68"/>
      <c r="AJ974" s="214">
        <v>1.2760000000000001E-4</v>
      </c>
      <c r="AK974" s="214">
        <v>1.7219</v>
      </c>
      <c r="AL974" s="214">
        <v>4</v>
      </c>
      <c r="AM974" s="214">
        <v>5.1420100000000005E-4</v>
      </c>
      <c r="AN974" s="68"/>
      <c r="AO974" s="67"/>
      <c r="AP974" s="67"/>
      <c r="AQ974" s="67"/>
      <c r="AR974" s="67"/>
      <c r="AS974" s="67"/>
      <c r="AT974" s="68"/>
      <c r="AU974" s="49"/>
      <c r="AV974" s="50"/>
    </row>
    <row r="975" spans="1:48" ht="12.75" customHeight="1" x14ac:dyDescent="0.25">
      <c r="A975" s="72" t="s">
        <v>20</v>
      </c>
      <c r="B975" s="43" t="s">
        <v>889</v>
      </c>
      <c r="C975" s="44" t="s">
        <v>1129</v>
      </c>
      <c r="D975" s="45">
        <f>MROUND(MID($C975,6,3)/Basis!$E$3,0.5)</f>
        <v>29</v>
      </c>
      <c r="E975" s="45">
        <f>MROUND(MID($C975,9,3)/Basis!$E$3,0.5)</f>
        <v>64</v>
      </c>
      <c r="F975" s="124" t="s">
        <v>2948</v>
      </c>
      <c r="G975" s="45">
        <f>ROUND((ROUNDDOWN($F975/5,0)*5+3)/Basis!$E$3,1)</f>
        <v>9.1</v>
      </c>
      <c r="H975" s="120">
        <f>ROUND($P975*Basis!$E$2*((TaH-TrH)/LN(1/µ)/Basis!$E$7)^$N975*$AA$4*Glycol,0)</f>
        <v>9391</v>
      </c>
      <c r="I975" s="83">
        <f>ROUND(H975/(MID($C975,9,3)/Basis!$E$3/Basis!$E$9)*Basis!$E$11,0)</f>
        <v>1756</v>
      </c>
      <c r="J975" s="123">
        <f>IF(Basis!$E$1=1,ROUND(H975/((TaH-TrH)*1.163)/3600,3),ROUND(H975/(500*(TaH-TrH)),2))</f>
        <v>0.94</v>
      </c>
      <c r="K975" s="84"/>
      <c r="L975" s="177">
        <f>CHOOSE(Basis!$E$1,((AJ975*(J975*3600/Basis!$E$5)^AK975*(((MID(C975,9,3)*10)-144)/1000)*AL975+AM975*(J975*3600/Basis!$E$5)^2)*0.0098)/Basis!$E$10,((AJ975*(J975/Basis!$E$5)^AK975*(((MID(C975,9,3)*10)-144)/1000)*AL975+AM975*(J975/Basis!$E$5)^2)*0.0098)/Basis!$E$10)</f>
        <v>0.10206937356265249</v>
      </c>
      <c r="M975" s="85"/>
      <c r="N975" s="109">
        <v>1.5049999999999999</v>
      </c>
      <c r="O975" s="68"/>
      <c r="P975" s="67">
        <v>4523</v>
      </c>
      <c r="Q975" s="68"/>
      <c r="R975" s="69"/>
      <c r="S975" s="69"/>
      <c r="T975" s="69"/>
      <c r="U975" s="69"/>
      <c r="V975" s="69"/>
      <c r="W975" s="68"/>
      <c r="X975" s="70"/>
      <c r="Y975" s="70"/>
      <c r="Z975" s="70"/>
      <c r="AA975" s="70"/>
      <c r="AB975" s="70"/>
      <c r="AC975" s="68"/>
      <c r="AD975" s="71"/>
      <c r="AE975" s="71"/>
      <c r="AF975" s="71"/>
      <c r="AG975" s="71"/>
      <c r="AH975" s="71"/>
      <c r="AI975" s="68"/>
      <c r="AJ975" s="214">
        <v>1.2760000000000001E-4</v>
      </c>
      <c r="AK975" s="214">
        <v>1.7219</v>
      </c>
      <c r="AL975" s="214">
        <v>4</v>
      </c>
      <c r="AM975" s="214">
        <v>5.1420100000000005E-4</v>
      </c>
      <c r="AN975" s="68"/>
      <c r="AO975" s="67"/>
      <c r="AP975" s="67"/>
      <c r="AQ975" s="67"/>
      <c r="AR975" s="67"/>
      <c r="AS975" s="67"/>
      <c r="AT975" s="68"/>
      <c r="AU975" s="49"/>
      <c r="AV975" s="50"/>
    </row>
    <row r="976" spans="1:48" ht="12.75" customHeight="1" x14ac:dyDescent="0.25">
      <c r="A976" s="72" t="s">
        <v>20</v>
      </c>
      <c r="B976" s="43" t="s">
        <v>889</v>
      </c>
      <c r="C976" s="44" t="s">
        <v>1130</v>
      </c>
      <c r="D976" s="45">
        <f>MROUND(MID($C976,6,3)/Basis!$E$3,0.5)</f>
        <v>29</v>
      </c>
      <c r="E976" s="45">
        <f>MROUND(MID($C976,9,3)/Basis!$E$3,0.5)</f>
        <v>72</v>
      </c>
      <c r="F976" s="124" t="s">
        <v>2946</v>
      </c>
      <c r="G976" s="45">
        <f>ROUND((ROUNDDOWN($F976/5,0)*5+3)/Basis!$E$3,1)</f>
        <v>5.0999999999999996</v>
      </c>
      <c r="H976" s="120">
        <f>ROUND($P976*Basis!$E$2*((TaH-TrH)/LN(1/µ)/Basis!$E$7)^$N976*$AA$4*Glycol,0)</f>
        <v>3872</v>
      </c>
      <c r="I976" s="83">
        <f>ROUND(H976/(MID($C976,9,3)/Basis!$E$3/Basis!$E$9)*Basis!$E$11,0)</f>
        <v>645</v>
      </c>
      <c r="J976" s="123">
        <f>IF(Basis!$E$1=1,ROUND(H976/((TaH-TrH)*1.163)/3600,3),ROUND(H976/(500*(TaH-TrH)),2))</f>
        <v>0.39</v>
      </c>
      <c r="K976" s="84"/>
      <c r="L976" s="177">
        <f>CHOOSE(Basis!$E$1,((AJ976*(J976*3600/Basis!$E$5)^AK976*(((MID(C976,9,3)*10)-144)/1000)*AL976+AM976*(J976*3600/Basis!$E$5)^2)*0.0098)/Basis!$E$10,((AJ976*(J976/Basis!$E$5)^AK976*(((MID(C976,9,3)*10)-144)/1000)*AL976+AM976*(J976/Basis!$E$5)^2)*0.0098)/Basis!$E$10)</f>
        <v>3.5623663022890543E-2</v>
      </c>
      <c r="M976" s="85"/>
      <c r="N976" s="109">
        <v>1.4379999999999999</v>
      </c>
      <c r="O976" s="68"/>
      <c r="P976" s="67">
        <v>1824</v>
      </c>
      <c r="Q976" s="68"/>
      <c r="R976" s="69"/>
      <c r="S976" s="69"/>
      <c r="T976" s="69"/>
      <c r="U976" s="69"/>
      <c r="V976" s="69"/>
      <c r="W976" s="68"/>
      <c r="X976" s="70"/>
      <c r="Y976" s="70"/>
      <c r="Z976" s="70"/>
      <c r="AA976" s="70"/>
      <c r="AB976" s="70"/>
      <c r="AC976" s="68"/>
      <c r="AD976" s="71"/>
      <c r="AE976" s="71"/>
      <c r="AF976" s="71"/>
      <c r="AG976" s="71"/>
      <c r="AH976" s="71"/>
      <c r="AI976" s="68"/>
      <c r="AJ976" s="214">
        <v>3.9689999999999994E-4</v>
      </c>
      <c r="AK976" s="214">
        <v>1.7345999999999999</v>
      </c>
      <c r="AL976" s="214">
        <v>4</v>
      </c>
      <c r="AM976" s="214">
        <v>5.7428799999999995E-4</v>
      </c>
      <c r="AN976" s="68"/>
      <c r="AO976" s="67"/>
      <c r="AP976" s="67"/>
      <c r="AQ976" s="67"/>
      <c r="AR976" s="67"/>
      <c r="AS976" s="67"/>
      <c r="AT976" s="68"/>
      <c r="AU976" s="49"/>
      <c r="AV976" s="50"/>
    </row>
    <row r="977" spans="1:48" ht="12.75" customHeight="1" x14ac:dyDescent="0.25">
      <c r="A977" s="72" t="s">
        <v>20</v>
      </c>
      <c r="B977" s="43" t="s">
        <v>889</v>
      </c>
      <c r="C977" s="44" t="s">
        <v>1131</v>
      </c>
      <c r="D977" s="45">
        <f>MROUND(MID($C977,6,3)/Basis!$E$3,0.5)</f>
        <v>29</v>
      </c>
      <c r="E977" s="45">
        <f>MROUND(MID($C977,9,3)/Basis!$E$3,0.5)</f>
        <v>72</v>
      </c>
      <c r="F977" s="124" t="s">
        <v>2946</v>
      </c>
      <c r="G977" s="45">
        <f>ROUND((ROUNDDOWN($F977/5,0)*5+3)/Basis!$E$3,1)</f>
        <v>5.0999999999999996</v>
      </c>
      <c r="H977" s="120">
        <f>ROUND($P977*Basis!$E$2*((TaH-TrH)/LN(1/µ)/Basis!$E$7)^$N977*$AA$4*Glycol,0)</f>
        <v>4831</v>
      </c>
      <c r="I977" s="83">
        <f>ROUND(H977/(MID($C977,9,3)/Basis!$E$3/Basis!$E$9)*Basis!$E$11,0)</f>
        <v>805</v>
      </c>
      <c r="J977" s="123">
        <f>IF(Basis!$E$1=1,ROUND(H977/((TaH-TrH)*1.163)/3600,3),ROUND(H977/(500*(TaH-TrH)),2))</f>
        <v>0.48</v>
      </c>
      <c r="K977" s="84"/>
      <c r="L977" s="177">
        <f>CHOOSE(Basis!$E$1,((AJ977*(J977*3600/Basis!$E$5)^AK977*(((MID(C977,9,3)*10)-144)/1000)*AL977+AM977*(J977*3600/Basis!$E$5)^2)*0.0098)/Basis!$E$10,((AJ977*(J977/Basis!$E$5)^AK977*(((MID(C977,9,3)*10)-144)/1000)*AL977+AM977*(J977/Basis!$E$5)^2)*0.0098)/Basis!$E$10)</f>
        <v>5.2265789336695456E-2</v>
      </c>
      <c r="M977" s="85"/>
      <c r="N977" s="109">
        <v>1.4370000000000001</v>
      </c>
      <c r="O977" s="68"/>
      <c r="P977" s="67">
        <v>2275</v>
      </c>
      <c r="Q977" s="68"/>
      <c r="R977" s="69"/>
      <c r="S977" s="69"/>
      <c r="T977" s="69"/>
      <c r="U977" s="69"/>
      <c r="V977" s="69"/>
      <c r="W977" s="68"/>
      <c r="X977" s="70"/>
      <c r="Y977" s="70"/>
      <c r="Z977" s="70"/>
      <c r="AA977" s="70"/>
      <c r="AB977" s="70"/>
      <c r="AC977" s="68"/>
      <c r="AD977" s="71"/>
      <c r="AE977" s="71"/>
      <c r="AF977" s="71"/>
      <c r="AG977" s="71"/>
      <c r="AH977" s="71"/>
      <c r="AI977" s="68"/>
      <c r="AJ977" s="214">
        <v>3.9689999999999994E-4</v>
      </c>
      <c r="AK977" s="214">
        <v>1.7345999999999999</v>
      </c>
      <c r="AL977" s="214">
        <v>4</v>
      </c>
      <c r="AM977" s="214">
        <v>5.7428799999999995E-4</v>
      </c>
      <c r="AN977" s="68"/>
      <c r="AO977" s="67"/>
      <c r="AP977" s="67"/>
      <c r="AQ977" s="67"/>
      <c r="AR977" s="67"/>
      <c r="AS977" s="67"/>
      <c r="AT977" s="68"/>
      <c r="AU977" s="49"/>
      <c r="AV977" s="50"/>
    </row>
    <row r="978" spans="1:48" ht="12.75" customHeight="1" x14ac:dyDescent="0.25">
      <c r="A978" s="72" t="s">
        <v>20</v>
      </c>
      <c r="B978" s="43" t="s">
        <v>889</v>
      </c>
      <c r="C978" s="44" t="s">
        <v>1132</v>
      </c>
      <c r="D978" s="45">
        <f>MROUND(MID($C978,6,3)/Basis!$E$3,0.5)</f>
        <v>29</v>
      </c>
      <c r="E978" s="45">
        <f>MROUND(MID($C978,9,3)/Basis!$E$3,0.5)</f>
        <v>72</v>
      </c>
      <c r="F978" s="124" t="s">
        <v>2946</v>
      </c>
      <c r="G978" s="45">
        <f>ROUND((ROUNDDOWN($F978/5,0)*5+3)/Basis!$E$3,1)</f>
        <v>5.0999999999999996</v>
      </c>
      <c r="H978" s="120">
        <f>ROUND($P978*Basis!$E$2*((TaH-TrH)/LN(1/µ)/Basis!$E$7)^$N978*$AA$4*Glycol,0)</f>
        <v>4631</v>
      </c>
      <c r="I978" s="83">
        <f>ROUND(H978/(MID($C978,9,3)/Basis!$E$3/Basis!$E$9)*Basis!$E$11,0)</f>
        <v>771</v>
      </c>
      <c r="J978" s="123">
        <f>IF(Basis!$E$1=1,ROUND(H978/((TaH-TrH)*1.163)/3600,3),ROUND(H978/(500*(TaH-TrH)),2))</f>
        <v>0.46</v>
      </c>
      <c r="K978" s="84"/>
      <c r="L978" s="177">
        <f>CHOOSE(Basis!$E$1,((AJ978*(J978*3600/Basis!$E$5)^AK978*(((MID(C978,9,3)*10)-144)/1000)*AL978+AM978*(J978*3600/Basis!$E$5)^2)*0.0098)/Basis!$E$10,((AJ978*(J978/Basis!$E$5)^AK978*(((MID(C978,9,3)*10)-144)/1000)*AL978+AM978*(J978/Basis!$E$5)^2)*0.0098)/Basis!$E$10)</f>
        <v>4.8313478044214528E-2</v>
      </c>
      <c r="M978" s="85"/>
      <c r="N978" s="109">
        <v>1.4370000000000001</v>
      </c>
      <c r="O978" s="68"/>
      <c r="P978" s="67">
        <v>2181</v>
      </c>
      <c r="Q978" s="68"/>
      <c r="R978" s="69"/>
      <c r="S978" s="69"/>
      <c r="T978" s="69"/>
      <c r="U978" s="69"/>
      <c r="V978" s="69"/>
      <c r="W978" s="68"/>
      <c r="X978" s="70"/>
      <c r="Y978" s="70"/>
      <c r="Z978" s="70"/>
      <c r="AA978" s="70"/>
      <c r="AB978" s="70"/>
      <c r="AC978" s="68"/>
      <c r="AD978" s="71"/>
      <c r="AE978" s="71"/>
      <c r="AF978" s="71"/>
      <c r="AG978" s="71"/>
      <c r="AH978" s="71"/>
      <c r="AI978" s="68"/>
      <c r="AJ978" s="214">
        <v>3.9689999999999994E-4</v>
      </c>
      <c r="AK978" s="214">
        <v>1.7345999999999999</v>
      </c>
      <c r="AL978" s="214">
        <v>4</v>
      </c>
      <c r="AM978" s="214">
        <v>5.7428799999999995E-4</v>
      </c>
      <c r="AN978" s="68"/>
      <c r="AO978" s="67"/>
      <c r="AP978" s="67"/>
      <c r="AQ978" s="67"/>
      <c r="AR978" s="67"/>
      <c r="AS978" s="67"/>
      <c r="AT978" s="68"/>
      <c r="AU978" s="49"/>
      <c r="AV978" s="50"/>
    </row>
    <row r="979" spans="1:48" ht="12.75" customHeight="1" x14ac:dyDescent="0.25">
      <c r="A979" s="72" t="s">
        <v>20</v>
      </c>
      <c r="B979" s="43" t="s">
        <v>889</v>
      </c>
      <c r="C979" s="44" t="s">
        <v>1133</v>
      </c>
      <c r="D979" s="45">
        <f>MROUND(MID($C979,6,3)/Basis!$E$3,0.5)</f>
        <v>29</v>
      </c>
      <c r="E979" s="45">
        <f>MROUND(MID($C979,9,3)/Basis!$E$3,0.5)</f>
        <v>72</v>
      </c>
      <c r="F979" s="124" t="s">
        <v>2946</v>
      </c>
      <c r="G979" s="45">
        <f>ROUND((ROUNDDOWN($F979/5,0)*5+3)/Basis!$E$3,1)</f>
        <v>5.0999999999999996</v>
      </c>
      <c r="H979" s="120">
        <f>ROUND($P979*Basis!$E$2*((TaH-TrH)/LN(1/µ)/Basis!$E$7)^$N979*$AA$4*Glycol,0)</f>
        <v>5130</v>
      </c>
      <c r="I979" s="83">
        <f>ROUND(H979/(MID($C979,9,3)/Basis!$E$3/Basis!$E$9)*Basis!$E$11,0)</f>
        <v>854</v>
      </c>
      <c r="J979" s="123">
        <f>IF(Basis!$E$1=1,ROUND(H979/((TaH-TrH)*1.163)/3600,3),ROUND(H979/(500*(TaH-TrH)),2))</f>
        <v>0.51</v>
      </c>
      <c r="K979" s="84"/>
      <c r="L979" s="177">
        <f>CHOOSE(Basis!$E$1,((AJ979*(J979*3600/Basis!$E$5)^AK979*(((MID(C979,9,3)*10)-144)/1000)*AL979+AM979*(J979*3600/Basis!$E$5)^2)*0.0098)/Basis!$E$10,((AJ979*(J979/Basis!$E$5)^AK979*(((MID(C979,9,3)*10)-144)/1000)*AL979+AM979*(J979/Basis!$E$5)^2)*0.0098)/Basis!$E$10)</f>
        <v>5.8463557231396367E-2</v>
      </c>
      <c r="M979" s="85"/>
      <c r="N979" s="109">
        <v>1.4359999999999999</v>
      </c>
      <c r="O979" s="68"/>
      <c r="P979" s="67">
        <v>2415</v>
      </c>
      <c r="Q979" s="68"/>
      <c r="R979" s="69"/>
      <c r="S979" s="69"/>
      <c r="T979" s="69"/>
      <c r="U979" s="69"/>
      <c r="V979" s="69"/>
      <c r="W979" s="68"/>
      <c r="X979" s="70"/>
      <c r="Y979" s="70"/>
      <c r="Z979" s="70"/>
      <c r="AA979" s="70"/>
      <c r="AB979" s="70"/>
      <c r="AC979" s="68"/>
      <c r="AD979" s="71"/>
      <c r="AE979" s="71"/>
      <c r="AF979" s="71"/>
      <c r="AG979" s="71"/>
      <c r="AH979" s="71"/>
      <c r="AI979" s="68"/>
      <c r="AJ979" s="214">
        <v>3.9689999999999994E-4</v>
      </c>
      <c r="AK979" s="214">
        <v>1.7345999999999999</v>
      </c>
      <c r="AL979" s="214">
        <v>4</v>
      </c>
      <c r="AM979" s="214">
        <v>5.7428799999999995E-4</v>
      </c>
      <c r="AN979" s="68"/>
      <c r="AO979" s="67"/>
      <c r="AP979" s="67"/>
      <c r="AQ979" s="67"/>
      <c r="AR979" s="67"/>
      <c r="AS979" s="67"/>
      <c r="AT979" s="68"/>
      <c r="AU979" s="49"/>
      <c r="AV979" s="50"/>
    </row>
    <row r="980" spans="1:48" ht="12.75" customHeight="1" x14ac:dyDescent="0.25">
      <c r="A980" s="72" t="s">
        <v>20</v>
      </c>
      <c r="B980" s="43" t="s">
        <v>889</v>
      </c>
      <c r="C980" s="44" t="s">
        <v>1134</v>
      </c>
      <c r="D980" s="45">
        <f>MROUND(MID($C980,6,3)/Basis!$E$3,0.5)</f>
        <v>29</v>
      </c>
      <c r="E980" s="45">
        <f>MROUND(MID($C980,9,3)/Basis!$E$3,0.5)</f>
        <v>72</v>
      </c>
      <c r="F980" s="124" t="s">
        <v>2947</v>
      </c>
      <c r="G980" s="45">
        <f>ROUND((ROUNDDOWN($F980/5,0)*5+3)/Basis!$E$3,1)</f>
        <v>7.1</v>
      </c>
      <c r="H980" s="120">
        <f>ROUND($P980*Basis!$E$2*((TaH-TrH)/LN(1/µ)/Basis!$E$7)^$N980*$AA$4*Glycol,0)</f>
        <v>5318</v>
      </c>
      <c r="I980" s="83">
        <f>ROUND(H980/(MID($C980,9,3)/Basis!$E$3/Basis!$E$9)*Basis!$E$11,0)</f>
        <v>886</v>
      </c>
      <c r="J980" s="123">
        <f>IF(Basis!$E$1=1,ROUND(H980/((TaH-TrH)*1.163)/3600,3),ROUND(H980/(500*(TaH-TrH)),2))</f>
        <v>0.53</v>
      </c>
      <c r="K980" s="84"/>
      <c r="L980" s="177">
        <f>CHOOSE(Basis!$E$1,((AJ980*(J980*3600/Basis!$E$5)^AK980*(((MID(C980,9,3)*10)-144)/1000)*AL980+AM980*(J980*3600/Basis!$E$5)^2)*0.0098)/Basis!$E$10,((AJ980*(J980/Basis!$E$5)^AK980*(((MID(C980,9,3)*10)-144)/1000)*AL980+AM980*(J980/Basis!$E$5)^2)*0.0098)/Basis!$E$10)</f>
        <v>8.3730571277872562E-2</v>
      </c>
      <c r="M980" s="85"/>
      <c r="N980" s="109">
        <v>1.464</v>
      </c>
      <c r="O980" s="68"/>
      <c r="P980" s="67">
        <v>2527</v>
      </c>
      <c r="Q980" s="68"/>
      <c r="R980" s="69"/>
      <c r="S980" s="69"/>
      <c r="T980" s="69"/>
      <c r="U980" s="69"/>
      <c r="V980" s="69"/>
      <c r="W980" s="68"/>
      <c r="X980" s="70"/>
      <c r="Y980" s="70"/>
      <c r="Z980" s="70"/>
      <c r="AA980" s="70"/>
      <c r="AB980" s="70"/>
      <c r="AC980" s="68"/>
      <c r="AD980" s="71"/>
      <c r="AE980" s="71"/>
      <c r="AF980" s="71"/>
      <c r="AG980" s="71"/>
      <c r="AH980" s="71"/>
      <c r="AI980" s="68"/>
      <c r="AJ980" s="214">
        <v>2.0829999999999999E-4</v>
      </c>
      <c r="AK980" s="214">
        <v>1.724</v>
      </c>
      <c r="AL980" s="214">
        <v>4</v>
      </c>
      <c r="AM980" s="214">
        <v>1.392796E-3</v>
      </c>
      <c r="AN980" s="68"/>
      <c r="AO980" s="67"/>
      <c r="AP980" s="67"/>
      <c r="AQ980" s="67"/>
      <c r="AR980" s="67"/>
      <c r="AS980" s="67"/>
      <c r="AT980" s="68"/>
      <c r="AU980" s="49"/>
      <c r="AV980" s="50"/>
    </row>
    <row r="981" spans="1:48" ht="12.75" customHeight="1" x14ac:dyDescent="0.25">
      <c r="A981" s="72" t="s">
        <v>20</v>
      </c>
      <c r="B981" s="43" t="s">
        <v>889</v>
      </c>
      <c r="C981" s="44" t="s">
        <v>1135</v>
      </c>
      <c r="D981" s="45">
        <f>MROUND(MID($C981,6,3)/Basis!$E$3,0.5)</f>
        <v>29</v>
      </c>
      <c r="E981" s="45">
        <f>MROUND(MID($C981,9,3)/Basis!$E$3,0.5)</f>
        <v>72</v>
      </c>
      <c r="F981" s="124" t="s">
        <v>2947</v>
      </c>
      <c r="G981" s="45">
        <f>ROUND((ROUNDDOWN($F981/5,0)*5+3)/Basis!$E$3,1)</f>
        <v>7.1</v>
      </c>
      <c r="H981" s="120">
        <f>ROUND($P981*Basis!$E$2*((TaH-TrH)/LN(1/µ)/Basis!$E$7)^$N981*$AA$4*Glycol,0)</f>
        <v>7125</v>
      </c>
      <c r="I981" s="83">
        <f>ROUND(H981/(MID($C981,9,3)/Basis!$E$3/Basis!$E$9)*Basis!$E$11,0)</f>
        <v>1187</v>
      </c>
      <c r="J981" s="123">
        <f>IF(Basis!$E$1=1,ROUND(H981/((TaH-TrH)*1.163)/3600,3),ROUND(H981/(500*(TaH-TrH)),2))</f>
        <v>0.71</v>
      </c>
      <c r="K981" s="84"/>
      <c r="L981" s="177">
        <f>CHOOSE(Basis!$E$1,((AJ981*(J981*3600/Basis!$E$5)^AK981*(((MID(C981,9,3)*10)-144)/1000)*AL981+AM981*(J981*3600/Basis!$E$5)^2)*0.0098)/Basis!$E$10,((AJ981*(J981/Basis!$E$5)^AK981*(((MID(C981,9,3)*10)-144)/1000)*AL981+AM981*(J981/Basis!$E$5)^2)*0.0098)/Basis!$E$10)</f>
        <v>0.14779364230486869</v>
      </c>
      <c r="M981" s="85"/>
      <c r="N981" s="109">
        <v>1.468</v>
      </c>
      <c r="O981" s="68"/>
      <c r="P981" s="67">
        <v>3390</v>
      </c>
      <c r="Q981" s="68"/>
      <c r="R981" s="69"/>
      <c r="S981" s="69"/>
      <c r="T981" s="69"/>
      <c r="U981" s="69"/>
      <c r="V981" s="69"/>
      <c r="W981" s="68"/>
      <c r="X981" s="70"/>
      <c r="Y981" s="70"/>
      <c r="Z981" s="70"/>
      <c r="AA981" s="70"/>
      <c r="AB981" s="70"/>
      <c r="AC981" s="68"/>
      <c r="AD981" s="71"/>
      <c r="AE981" s="71"/>
      <c r="AF981" s="71"/>
      <c r="AG981" s="71"/>
      <c r="AH981" s="71"/>
      <c r="AI981" s="68"/>
      <c r="AJ981" s="214">
        <v>2.0829999999999999E-4</v>
      </c>
      <c r="AK981" s="214">
        <v>1.724</v>
      </c>
      <c r="AL981" s="214">
        <v>4</v>
      </c>
      <c r="AM981" s="214">
        <v>1.392796E-3</v>
      </c>
      <c r="AN981" s="68"/>
      <c r="AO981" s="67"/>
      <c r="AP981" s="67"/>
      <c r="AQ981" s="67"/>
      <c r="AR981" s="67"/>
      <c r="AS981" s="67"/>
      <c r="AT981" s="68"/>
      <c r="AU981" s="49"/>
      <c r="AV981" s="50"/>
    </row>
    <row r="982" spans="1:48" ht="12.75" customHeight="1" x14ac:dyDescent="0.25">
      <c r="A982" s="72" t="s">
        <v>20</v>
      </c>
      <c r="B982" s="43" t="s">
        <v>889</v>
      </c>
      <c r="C982" s="44" t="s">
        <v>1136</v>
      </c>
      <c r="D982" s="45">
        <f>MROUND(MID($C982,6,3)/Basis!$E$3,0.5)</f>
        <v>29</v>
      </c>
      <c r="E982" s="45">
        <f>MROUND(MID($C982,9,3)/Basis!$E$3,0.5)</f>
        <v>72</v>
      </c>
      <c r="F982" s="124" t="s">
        <v>2947</v>
      </c>
      <c r="G982" s="45">
        <f>ROUND((ROUNDDOWN($F982/5,0)*5+3)/Basis!$E$3,1)</f>
        <v>7.1</v>
      </c>
      <c r="H982" s="120">
        <f>ROUND($P982*Basis!$E$2*((TaH-TrH)/LN(1/µ)/Basis!$E$7)^$N982*$AA$4*Glycol,0)</f>
        <v>6423</v>
      </c>
      <c r="I982" s="83">
        <f>ROUND(H982/(MID($C982,9,3)/Basis!$E$3/Basis!$E$9)*Basis!$E$11,0)</f>
        <v>1070</v>
      </c>
      <c r="J982" s="123">
        <f>IF(Basis!$E$1=1,ROUND(H982/((TaH-TrH)*1.163)/3600,3),ROUND(H982/(500*(TaH-TrH)),2))</f>
        <v>0.64</v>
      </c>
      <c r="K982" s="84"/>
      <c r="L982" s="177">
        <f>CHOOSE(Basis!$E$1,((AJ982*(J982*3600/Basis!$E$5)^AK982*(((MID(C982,9,3)*10)-144)/1000)*AL982+AM982*(J982*3600/Basis!$E$5)^2)*0.0098)/Basis!$E$10,((AJ982*(J982/Basis!$E$5)^AK982*(((MID(C982,9,3)*10)-144)/1000)*AL982+AM982*(J982/Basis!$E$5)^2)*0.0098)/Basis!$E$10)</f>
        <v>0.12078135437930478</v>
      </c>
      <c r="M982" s="85"/>
      <c r="N982" s="109">
        <v>1.47</v>
      </c>
      <c r="O982" s="68"/>
      <c r="P982" s="67">
        <v>3058</v>
      </c>
      <c r="Q982" s="68"/>
      <c r="R982" s="69"/>
      <c r="S982" s="69"/>
      <c r="T982" s="69"/>
      <c r="U982" s="69"/>
      <c r="V982" s="69"/>
      <c r="W982" s="68"/>
      <c r="X982" s="70"/>
      <c r="Y982" s="70"/>
      <c r="Z982" s="70"/>
      <c r="AA982" s="70"/>
      <c r="AB982" s="70"/>
      <c r="AC982" s="68"/>
      <c r="AD982" s="71"/>
      <c r="AE982" s="71"/>
      <c r="AF982" s="71"/>
      <c r="AG982" s="71"/>
      <c r="AH982" s="71"/>
      <c r="AI982" s="68"/>
      <c r="AJ982" s="214">
        <v>2.0829999999999999E-4</v>
      </c>
      <c r="AK982" s="214">
        <v>1.724</v>
      </c>
      <c r="AL982" s="214">
        <v>4</v>
      </c>
      <c r="AM982" s="214">
        <v>1.392796E-3</v>
      </c>
      <c r="AN982" s="68"/>
      <c r="AO982" s="67"/>
      <c r="AP982" s="67"/>
      <c r="AQ982" s="67"/>
      <c r="AR982" s="67"/>
      <c r="AS982" s="67"/>
      <c r="AT982" s="68"/>
      <c r="AU982" s="49"/>
      <c r="AV982" s="50"/>
    </row>
    <row r="983" spans="1:48" ht="12.75" customHeight="1" x14ac:dyDescent="0.25">
      <c r="A983" s="72" t="s">
        <v>20</v>
      </c>
      <c r="B983" s="43" t="s">
        <v>889</v>
      </c>
      <c r="C983" s="44" t="s">
        <v>1137</v>
      </c>
      <c r="D983" s="45">
        <f>MROUND(MID($C983,6,3)/Basis!$E$3,0.5)</f>
        <v>29</v>
      </c>
      <c r="E983" s="45">
        <f>MROUND(MID($C983,9,3)/Basis!$E$3,0.5)</f>
        <v>72</v>
      </c>
      <c r="F983" s="124" t="s">
        <v>2947</v>
      </c>
      <c r="G983" s="45">
        <f>ROUND((ROUNDDOWN($F983/5,0)*5+3)/Basis!$E$3,1)</f>
        <v>7.1</v>
      </c>
      <c r="H983" s="120">
        <f>ROUND($P983*Basis!$E$2*((TaH-TrH)/LN(1/µ)/Basis!$E$7)^$N983*$AA$4*Glycol,0)</f>
        <v>7697</v>
      </c>
      <c r="I983" s="83">
        <f>ROUND(H983/(MID($C983,9,3)/Basis!$E$3/Basis!$E$9)*Basis!$E$11,0)</f>
        <v>1282</v>
      </c>
      <c r="J983" s="123">
        <f>IF(Basis!$E$1=1,ROUND(H983/((TaH-TrH)*1.163)/3600,3),ROUND(H983/(500*(TaH-TrH)),2))</f>
        <v>0.77</v>
      </c>
      <c r="K983" s="84"/>
      <c r="L983" s="177">
        <f>CHOOSE(Basis!$E$1,((AJ983*(J983*3600/Basis!$E$5)^AK983*(((MID(C983,9,3)*10)-144)/1000)*AL983+AM983*(J983*3600/Basis!$E$5)^2)*0.0098)/Basis!$E$10,((AJ983*(J983/Basis!$E$5)^AK983*(((MID(C983,9,3)*10)-144)/1000)*AL983+AM983*(J983/Basis!$E$5)^2)*0.0098)/Basis!$E$10)</f>
        <v>0.17306347473745626</v>
      </c>
      <c r="M983" s="85"/>
      <c r="N983" s="109">
        <v>1.474</v>
      </c>
      <c r="O983" s="68"/>
      <c r="P983" s="67">
        <v>3669</v>
      </c>
      <c r="Q983" s="68"/>
      <c r="R983" s="69"/>
      <c r="S983" s="69"/>
      <c r="T983" s="69"/>
      <c r="U983" s="69"/>
      <c r="V983" s="69"/>
      <c r="W983" s="68"/>
      <c r="X983" s="70"/>
      <c r="Y983" s="70"/>
      <c r="Z983" s="70"/>
      <c r="AA983" s="70"/>
      <c r="AB983" s="70"/>
      <c r="AC983" s="68"/>
      <c r="AD983" s="71"/>
      <c r="AE983" s="71"/>
      <c r="AF983" s="71"/>
      <c r="AG983" s="71"/>
      <c r="AH983" s="71"/>
      <c r="AI983" s="68"/>
      <c r="AJ983" s="214">
        <v>2.0829999999999999E-4</v>
      </c>
      <c r="AK983" s="214">
        <v>1.724</v>
      </c>
      <c r="AL983" s="214">
        <v>4</v>
      </c>
      <c r="AM983" s="214">
        <v>1.392796E-3</v>
      </c>
      <c r="AN983" s="68"/>
      <c r="AO983" s="67"/>
      <c r="AP983" s="67"/>
      <c r="AQ983" s="67"/>
      <c r="AR983" s="67"/>
      <c r="AS983" s="67"/>
      <c r="AT983" s="68"/>
      <c r="AU983" s="49"/>
      <c r="AV983" s="50"/>
    </row>
    <row r="984" spans="1:48" ht="12.75" customHeight="1" x14ac:dyDescent="0.25">
      <c r="A984" s="72" t="s">
        <v>20</v>
      </c>
      <c r="B984" s="43" t="s">
        <v>889</v>
      </c>
      <c r="C984" s="44" t="s">
        <v>1138</v>
      </c>
      <c r="D984" s="45">
        <f>MROUND(MID($C984,6,3)/Basis!$E$3,0.5)</f>
        <v>29</v>
      </c>
      <c r="E984" s="45">
        <f>MROUND(MID($C984,9,3)/Basis!$E$3,0.5)</f>
        <v>72</v>
      </c>
      <c r="F984" s="124" t="s">
        <v>2948</v>
      </c>
      <c r="G984" s="45">
        <f>ROUND((ROUNDDOWN($F984/5,0)*5+3)/Basis!$E$3,1)</f>
        <v>9.1</v>
      </c>
      <c r="H984" s="120">
        <f>ROUND($P984*Basis!$E$2*((TaH-TrH)/LN(1/µ)/Basis!$E$7)^$N984*$AA$4*Glycol,0)</f>
        <v>6653</v>
      </c>
      <c r="I984" s="83">
        <f>ROUND(H984/(MID($C984,9,3)/Basis!$E$3/Basis!$E$9)*Basis!$E$11,0)</f>
        <v>1108</v>
      </c>
      <c r="J984" s="123">
        <f>IF(Basis!$E$1=1,ROUND(H984/((TaH-TrH)*1.163)/3600,3),ROUND(H984/(500*(TaH-TrH)),2))</f>
        <v>0.67</v>
      </c>
      <c r="K984" s="84"/>
      <c r="L984" s="177">
        <f>CHOOSE(Basis!$E$1,((AJ984*(J984*3600/Basis!$E$5)^AK984*(((MID(C984,9,3)*10)-144)/1000)*AL984+AM984*(J984*3600/Basis!$E$5)^2)*0.0098)/Basis!$E$10,((AJ984*(J984/Basis!$E$5)^AK984*(((MID(C984,9,3)*10)-144)/1000)*AL984+AM984*(J984/Basis!$E$5)^2)*0.0098)/Basis!$E$10)</f>
        <v>5.5041578370585167E-2</v>
      </c>
      <c r="M984" s="85"/>
      <c r="N984" s="109">
        <v>1.484</v>
      </c>
      <c r="O984" s="68"/>
      <c r="P984" s="67">
        <v>3182</v>
      </c>
      <c r="Q984" s="68"/>
      <c r="R984" s="69"/>
      <c r="S984" s="69"/>
      <c r="T984" s="69"/>
      <c r="U984" s="69"/>
      <c r="V984" s="69"/>
      <c r="W984" s="68"/>
      <c r="X984" s="70"/>
      <c r="Y984" s="70"/>
      <c r="Z984" s="70"/>
      <c r="AA984" s="70"/>
      <c r="AB984" s="70"/>
      <c r="AC984" s="68"/>
      <c r="AD984" s="71"/>
      <c r="AE984" s="71"/>
      <c r="AF984" s="71"/>
      <c r="AG984" s="71"/>
      <c r="AH984" s="71"/>
      <c r="AI984" s="68"/>
      <c r="AJ984" s="214">
        <v>1.2760000000000001E-4</v>
      </c>
      <c r="AK984" s="214">
        <v>1.7219</v>
      </c>
      <c r="AL984" s="214">
        <v>4</v>
      </c>
      <c r="AM984" s="214">
        <v>5.1420100000000005E-4</v>
      </c>
      <c r="AN984" s="68"/>
      <c r="AO984" s="67"/>
      <c r="AP984" s="67"/>
      <c r="AQ984" s="67"/>
      <c r="AR984" s="67"/>
      <c r="AS984" s="67"/>
      <c r="AT984" s="68"/>
      <c r="AU984" s="49"/>
      <c r="AV984" s="50"/>
    </row>
    <row r="985" spans="1:48" ht="12.75" customHeight="1" x14ac:dyDescent="0.25">
      <c r="A985" s="72" t="s">
        <v>20</v>
      </c>
      <c r="B985" s="43" t="s">
        <v>889</v>
      </c>
      <c r="C985" s="44" t="s">
        <v>1139</v>
      </c>
      <c r="D985" s="45">
        <f>MROUND(MID($C985,6,3)/Basis!$E$3,0.5)</f>
        <v>29</v>
      </c>
      <c r="E985" s="45">
        <f>MROUND(MID($C985,9,3)/Basis!$E$3,0.5)</f>
        <v>72</v>
      </c>
      <c r="F985" s="124" t="s">
        <v>2948</v>
      </c>
      <c r="G985" s="45">
        <f>ROUND((ROUNDDOWN($F985/5,0)*5+3)/Basis!$E$3,1)</f>
        <v>9.1</v>
      </c>
      <c r="H985" s="120">
        <f>ROUND($P985*Basis!$E$2*((TaH-TrH)/LN(1/µ)/Basis!$E$7)^$N985*$AA$4*Glycol,0)</f>
        <v>8629</v>
      </c>
      <c r="I985" s="83">
        <f>ROUND(H985/(MID($C985,9,3)/Basis!$E$3/Basis!$E$9)*Basis!$E$11,0)</f>
        <v>1437</v>
      </c>
      <c r="J985" s="123">
        <f>IF(Basis!$E$1=1,ROUND(H985/((TaH-TrH)*1.163)/3600,3),ROUND(H985/(500*(TaH-TrH)),2))</f>
        <v>0.86</v>
      </c>
      <c r="K985" s="84"/>
      <c r="L985" s="177">
        <f>CHOOSE(Basis!$E$1,((AJ985*(J985*3600/Basis!$E$5)^AK985*(((MID(C985,9,3)*10)-144)/1000)*AL985+AM985*(J985*3600/Basis!$E$5)^2)*0.0098)/Basis!$E$10,((AJ985*(J985/Basis!$E$5)^AK985*(((MID(C985,9,3)*10)-144)/1000)*AL985+AM985*(J985/Basis!$E$5)^2)*0.0098)/Basis!$E$10)</f>
        <v>8.8905445559900945E-2</v>
      </c>
      <c r="M985" s="85"/>
      <c r="N985" s="109">
        <v>1.492</v>
      </c>
      <c r="O985" s="68"/>
      <c r="P985" s="67">
        <v>4138</v>
      </c>
      <c r="Q985" s="68"/>
      <c r="R985" s="69"/>
      <c r="S985" s="69"/>
      <c r="T985" s="69"/>
      <c r="U985" s="69"/>
      <c r="V985" s="69"/>
      <c r="W985" s="68"/>
      <c r="X985" s="70"/>
      <c r="Y985" s="70"/>
      <c r="Z985" s="70"/>
      <c r="AA985" s="70"/>
      <c r="AB985" s="70"/>
      <c r="AC985" s="68"/>
      <c r="AD985" s="71"/>
      <c r="AE985" s="71"/>
      <c r="AF985" s="71"/>
      <c r="AG985" s="71"/>
      <c r="AH985" s="71"/>
      <c r="AI985" s="68"/>
      <c r="AJ985" s="214">
        <v>1.2760000000000001E-4</v>
      </c>
      <c r="AK985" s="214">
        <v>1.7219</v>
      </c>
      <c r="AL985" s="214">
        <v>4</v>
      </c>
      <c r="AM985" s="214">
        <v>5.1420100000000005E-4</v>
      </c>
      <c r="AN985" s="68"/>
      <c r="AO985" s="67"/>
      <c r="AP985" s="67"/>
      <c r="AQ985" s="67"/>
      <c r="AR985" s="67"/>
      <c r="AS985" s="67"/>
      <c r="AT985" s="68"/>
      <c r="AU985" s="49"/>
      <c r="AV985" s="50"/>
    </row>
    <row r="986" spans="1:48" ht="12.75" customHeight="1" x14ac:dyDescent="0.25">
      <c r="A986" s="72" t="s">
        <v>20</v>
      </c>
      <c r="B986" s="43" t="s">
        <v>889</v>
      </c>
      <c r="C986" s="44" t="s">
        <v>1140</v>
      </c>
      <c r="D986" s="45">
        <f>MROUND(MID($C986,6,3)/Basis!$E$3,0.5)</f>
        <v>29</v>
      </c>
      <c r="E986" s="45">
        <f>MROUND(MID($C986,9,3)/Basis!$E$3,0.5)</f>
        <v>72</v>
      </c>
      <c r="F986" s="124" t="s">
        <v>2948</v>
      </c>
      <c r="G986" s="45">
        <f>ROUND((ROUNDDOWN($F986/5,0)*5+3)/Basis!$E$3,1)</f>
        <v>9.1</v>
      </c>
      <c r="H986" s="120">
        <f>ROUND($P986*Basis!$E$2*((TaH-TrH)/LN(1/µ)/Basis!$E$7)^$N986*$AA$4*Glycol,0)</f>
        <v>7916</v>
      </c>
      <c r="I986" s="83">
        <f>ROUND(H986/(MID($C986,9,3)/Basis!$E$3/Basis!$E$9)*Basis!$E$11,0)</f>
        <v>1318</v>
      </c>
      <c r="J986" s="123">
        <f>IF(Basis!$E$1=1,ROUND(H986/((TaH-TrH)*1.163)/3600,3),ROUND(H986/(500*(TaH-TrH)),2))</f>
        <v>0.79</v>
      </c>
      <c r="K986" s="84"/>
      <c r="L986" s="177">
        <f>CHOOSE(Basis!$E$1,((AJ986*(J986*3600/Basis!$E$5)^AK986*(((MID(C986,9,3)*10)-144)/1000)*AL986+AM986*(J986*3600/Basis!$E$5)^2)*0.0098)/Basis!$E$10,((AJ986*(J986/Basis!$E$5)^AK986*(((MID(C986,9,3)*10)-144)/1000)*AL986+AM986*(J986/Basis!$E$5)^2)*0.0098)/Basis!$E$10)</f>
        <v>7.5520649524671996E-2</v>
      </c>
      <c r="M986" s="85"/>
      <c r="N986" s="109">
        <v>1.496</v>
      </c>
      <c r="O986" s="68"/>
      <c r="P986" s="67">
        <v>3801</v>
      </c>
      <c r="Q986" s="68"/>
      <c r="R986" s="69"/>
      <c r="S986" s="69"/>
      <c r="T986" s="69"/>
      <c r="U986" s="69"/>
      <c r="V986" s="69"/>
      <c r="W986" s="68"/>
      <c r="X986" s="70"/>
      <c r="Y986" s="70"/>
      <c r="Z986" s="70"/>
      <c r="AA986" s="70"/>
      <c r="AB986" s="70"/>
      <c r="AC986" s="68"/>
      <c r="AD986" s="71"/>
      <c r="AE986" s="71"/>
      <c r="AF986" s="71"/>
      <c r="AG986" s="71"/>
      <c r="AH986" s="71"/>
      <c r="AI986" s="68"/>
      <c r="AJ986" s="214">
        <v>1.2760000000000001E-4</v>
      </c>
      <c r="AK986" s="214">
        <v>1.7219</v>
      </c>
      <c r="AL986" s="214">
        <v>4</v>
      </c>
      <c r="AM986" s="214">
        <v>5.1420100000000005E-4</v>
      </c>
      <c r="AN986" s="68"/>
      <c r="AO986" s="67"/>
      <c r="AP986" s="67"/>
      <c r="AQ986" s="67"/>
      <c r="AR986" s="67"/>
      <c r="AS986" s="67"/>
      <c r="AT986" s="68"/>
      <c r="AU986" s="49"/>
      <c r="AV986" s="50"/>
    </row>
    <row r="987" spans="1:48" ht="12.75" customHeight="1" x14ac:dyDescent="0.25">
      <c r="A987" s="72" t="s">
        <v>20</v>
      </c>
      <c r="B987" s="43" t="s">
        <v>889</v>
      </c>
      <c r="C987" s="44" t="s">
        <v>1141</v>
      </c>
      <c r="D987" s="45">
        <f>MROUND(MID($C987,6,3)/Basis!$E$3,0.5)</f>
        <v>29</v>
      </c>
      <c r="E987" s="45">
        <f>MROUND(MID($C987,9,3)/Basis!$E$3,0.5)</f>
        <v>72</v>
      </c>
      <c r="F987" s="124" t="s">
        <v>2948</v>
      </c>
      <c r="G987" s="45">
        <f>ROUND((ROUNDDOWN($F987/5,0)*5+3)/Basis!$E$3,1)</f>
        <v>9.1</v>
      </c>
      <c r="H987" s="120">
        <f>ROUND($P987*Basis!$E$2*((TaH-TrH)/LN(1/µ)/Basis!$E$7)^$N987*$AA$4*Glycol,0)</f>
        <v>10710</v>
      </c>
      <c r="I987" s="83">
        <f>ROUND(H987/(MID($C987,9,3)/Basis!$E$3/Basis!$E$9)*Basis!$E$11,0)</f>
        <v>1784</v>
      </c>
      <c r="J987" s="123">
        <f>IF(Basis!$E$1=1,ROUND(H987/((TaH-TrH)*1.163)/3600,3),ROUND(H987/(500*(TaH-TrH)),2))</f>
        <v>1.07</v>
      </c>
      <c r="K987" s="84"/>
      <c r="L987" s="177">
        <f>CHOOSE(Basis!$E$1,((AJ987*(J987*3600/Basis!$E$5)^AK987*(((MID(C987,9,3)*10)-144)/1000)*AL987+AM987*(J987*3600/Basis!$E$5)^2)*0.0098)/Basis!$E$10,((AJ987*(J987/Basis!$E$5)^AK987*(((MID(C987,9,3)*10)-144)/1000)*AL987+AM987*(J987/Basis!$E$5)^2)*0.0098)/Basis!$E$10)</f>
        <v>0.13536607193185041</v>
      </c>
      <c r="M987" s="85"/>
      <c r="N987" s="109">
        <v>1.5049999999999999</v>
      </c>
      <c r="O987" s="68"/>
      <c r="P987" s="67">
        <v>5158</v>
      </c>
      <c r="Q987" s="68"/>
      <c r="R987" s="69"/>
      <c r="S987" s="69"/>
      <c r="T987" s="69"/>
      <c r="U987" s="69"/>
      <c r="V987" s="69"/>
      <c r="W987" s="68"/>
      <c r="X987" s="70"/>
      <c r="Y987" s="70"/>
      <c r="Z987" s="70"/>
      <c r="AA987" s="70"/>
      <c r="AB987" s="70"/>
      <c r="AC987" s="68"/>
      <c r="AD987" s="71"/>
      <c r="AE987" s="71"/>
      <c r="AF987" s="71"/>
      <c r="AG987" s="71"/>
      <c r="AH987" s="71"/>
      <c r="AI987" s="68"/>
      <c r="AJ987" s="214">
        <v>1.2760000000000001E-4</v>
      </c>
      <c r="AK987" s="214">
        <v>1.7219</v>
      </c>
      <c r="AL987" s="214">
        <v>4</v>
      </c>
      <c r="AM987" s="214">
        <v>5.1420100000000005E-4</v>
      </c>
      <c r="AN987" s="68"/>
      <c r="AO987" s="67"/>
      <c r="AP987" s="67"/>
      <c r="AQ987" s="67"/>
      <c r="AR987" s="67"/>
      <c r="AS987" s="67"/>
      <c r="AT987" s="68"/>
      <c r="AU987" s="49"/>
      <c r="AV987" s="50"/>
    </row>
    <row r="988" spans="1:48" ht="12.75" customHeight="1" x14ac:dyDescent="0.25">
      <c r="A988" s="72" t="s">
        <v>20</v>
      </c>
      <c r="B988" s="43" t="s">
        <v>889</v>
      </c>
      <c r="C988" s="44" t="s">
        <v>1142</v>
      </c>
      <c r="D988" s="45">
        <f>MROUND(MID($C988,6,3)/Basis!$E$3,0.5)</f>
        <v>29</v>
      </c>
      <c r="E988" s="45">
        <f>MROUND(MID($C988,9,3)/Basis!$E$3,0.5)</f>
        <v>80</v>
      </c>
      <c r="F988" s="124" t="s">
        <v>2946</v>
      </c>
      <c r="G988" s="45">
        <f>ROUND((ROUNDDOWN($F988/5,0)*5+3)/Basis!$E$3,1)</f>
        <v>5.0999999999999996</v>
      </c>
      <c r="H988" s="120">
        <f>ROUND($P988*Basis!$E$2*((TaH-TrH)/LN(1/µ)/Basis!$E$7)^$N988*$AA$4*Glycol,0)</f>
        <v>4350</v>
      </c>
      <c r="I988" s="83">
        <f>ROUND(H988/(MID($C988,9,3)/Basis!$E$3/Basis!$E$9)*Basis!$E$11,0)</f>
        <v>653</v>
      </c>
      <c r="J988" s="123">
        <f>IF(Basis!$E$1=1,ROUND(H988/((TaH-TrH)*1.163)/3600,3),ROUND(H988/(500*(TaH-TrH)),2))</f>
        <v>0.44</v>
      </c>
      <c r="K988" s="84"/>
      <c r="L988" s="177">
        <f>CHOOSE(Basis!$E$1,((AJ988*(J988*3600/Basis!$E$5)^AK988*(((MID(C988,9,3)*10)-144)/1000)*AL988+AM988*(J988*3600/Basis!$E$5)^2)*0.0098)/Basis!$E$10,((AJ988*(J988/Basis!$E$5)^AK988*(((MID(C988,9,3)*10)-144)/1000)*AL988+AM988*(J988/Basis!$E$5)^2)*0.0098)/Basis!$E$10)</f>
        <v>4.756053818979359E-2</v>
      </c>
      <c r="M988" s="85"/>
      <c r="N988" s="109">
        <v>1.4379999999999999</v>
      </c>
      <c r="O988" s="68"/>
      <c r="P988" s="67">
        <v>2049</v>
      </c>
      <c r="Q988" s="68"/>
      <c r="R988" s="69"/>
      <c r="S988" s="69"/>
      <c r="T988" s="69"/>
      <c r="U988" s="69"/>
      <c r="V988" s="69"/>
      <c r="W988" s="68"/>
      <c r="X988" s="70"/>
      <c r="Y988" s="70"/>
      <c r="Z988" s="70"/>
      <c r="AA988" s="70"/>
      <c r="AB988" s="70"/>
      <c r="AC988" s="68"/>
      <c r="AD988" s="71"/>
      <c r="AE988" s="71"/>
      <c r="AF988" s="71"/>
      <c r="AG988" s="71"/>
      <c r="AH988" s="71"/>
      <c r="AI988" s="68"/>
      <c r="AJ988" s="214">
        <v>3.9689999999999994E-4</v>
      </c>
      <c r="AK988" s="214">
        <v>1.7345999999999999</v>
      </c>
      <c r="AL988" s="214">
        <v>4</v>
      </c>
      <c r="AM988" s="214">
        <v>5.7428799999999995E-4</v>
      </c>
      <c r="AN988" s="68"/>
      <c r="AO988" s="67"/>
      <c r="AP988" s="67"/>
      <c r="AQ988" s="67"/>
      <c r="AR988" s="67"/>
      <c r="AS988" s="67"/>
      <c r="AT988" s="68"/>
      <c r="AU988" s="49"/>
      <c r="AV988" s="50"/>
    </row>
    <row r="989" spans="1:48" ht="12.75" customHeight="1" x14ac:dyDescent="0.25">
      <c r="A989" s="72" t="s">
        <v>20</v>
      </c>
      <c r="B989" s="43" t="s">
        <v>889</v>
      </c>
      <c r="C989" s="44" t="s">
        <v>1143</v>
      </c>
      <c r="D989" s="45">
        <f>MROUND(MID($C989,6,3)/Basis!$E$3,0.5)</f>
        <v>29</v>
      </c>
      <c r="E989" s="45">
        <f>MROUND(MID($C989,9,3)/Basis!$E$3,0.5)</f>
        <v>80</v>
      </c>
      <c r="F989" s="124" t="s">
        <v>2946</v>
      </c>
      <c r="G989" s="45">
        <f>ROUND((ROUNDDOWN($F989/5,0)*5+3)/Basis!$E$3,1)</f>
        <v>5.0999999999999996</v>
      </c>
      <c r="H989" s="120">
        <f>ROUND($P989*Basis!$E$2*((TaH-TrH)/LN(1/µ)/Basis!$E$7)^$N989*$AA$4*Glycol,0)</f>
        <v>5426</v>
      </c>
      <c r="I989" s="83">
        <f>ROUND(H989/(MID($C989,9,3)/Basis!$E$3/Basis!$E$9)*Basis!$E$11,0)</f>
        <v>815</v>
      </c>
      <c r="J989" s="123">
        <f>IF(Basis!$E$1=1,ROUND(H989/((TaH-TrH)*1.163)/3600,3),ROUND(H989/(500*(TaH-TrH)),2))</f>
        <v>0.54</v>
      </c>
      <c r="K989" s="84"/>
      <c r="L989" s="177">
        <f>CHOOSE(Basis!$E$1,((AJ989*(J989*3600/Basis!$E$5)^AK989*(((MID(C989,9,3)*10)-144)/1000)*AL989+AM989*(J989*3600/Basis!$E$5)^2)*0.0098)/Basis!$E$10,((AJ989*(J989/Basis!$E$5)^AK989*(((MID(C989,9,3)*10)-144)/1000)*AL989+AM989*(J989/Basis!$E$5)^2)*0.0098)/Basis!$E$10)</f>
        <v>6.9340212273516277E-2</v>
      </c>
      <c r="M989" s="85"/>
      <c r="N989" s="109">
        <v>1.4370000000000001</v>
      </c>
      <c r="O989" s="68"/>
      <c r="P989" s="67">
        <v>2555</v>
      </c>
      <c r="Q989" s="68"/>
      <c r="R989" s="69"/>
      <c r="S989" s="69"/>
      <c r="T989" s="69"/>
      <c r="U989" s="69"/>
      <c r="V989" s="69"/>
      <c r="W989" s="68"/>
      <c r="X989" s="70"/>
      <c r="Y989" s="70"/>
      <c r="Z989" s="70"/>
      <c r="AA989" s="70"/>
      <c r="AB989" s="70"/>
      <c r="AC989" s="68"/>
      <c r="AD989" s="71"/>
      <c r="AE989" s="71"/>
      <c r="AF989" s="71"/>
      <c r="AG989" s="71"/>
      <c r="AH989" s="71"/>
      <c r="AI989" s="68"/>
      <c r="AJ989" s="214">
        <v>3.9689999999999994E-4</v>
      </c>
      <c r="AK989" s="214">
        <v>1.7345999999999999</v>
      </c>
      <c r="AL989" s="214">
        <v>4</v>
      </c>
      <c r="AM989" s="214">
        <v>5.7428799999999995E-4</v>
      </c>
      <c r="AN989" s="68"/>
      <c r="AO989" s="67"/>
      <c r="AP989" s="67"/>
      <c r="AQ989" s="67"/>
      <c r="AR989" s="67"/>
      <c r="AS989" s="67"/>
      <c r="AT989" s="68"/>
      <c r="AU989" s="49"/>
      <c r="AV989" s="50"/>
    </row>
    <row r="990" spans="1:48" ht="12.75" customHeight="1" x14ac:dyDescent="0.25">
      <c r="A990" s="72" t="s">
        <v>20</v>
      </c>
      <c r="B990" s="43" t="s">
        <v>889</v>
      </c>
      <c r="C990" s="44" t="s">
        <v>1144</v>
      </c>
      <c r="D990" s="45">
        <f>MROUND(MID($C990,6,3)/Basis!$E$3,0.5)</f>
        <v>29</v>
      </c>
      <c r="E990" s="45">
        <f>MROUND(MID($C990,9,3)/Basis!$E$3,0.5)</f>
        <v>80</v>
      </c>
      <c r="F990" s="124" t="s">
        <v>2946</v>
      </c>
      <c r="G990" s="45">
        <f>ROUND((ROUNDDOWN($F990/5,0)*5+3)/Basis!$E$3,1)</f>
        <v>5.0999999999999996</v>
      </c>
      <c r="H990" s="120">
        <f>ROUND($P990*Basis!$E$2*((TaH-TrH)/LN(1/µ)/Basis!$E$7)^$N990*$AA$4*Glycol,0)</f>
        <v>5203</v>
      </c>
      <c r="I990" s="83">
        <f>ROUND(H990/(MID($C990,9,3)/Basis!$E$3/Basis!$E$9)*Basis!$E$11,0)</f>
        <v>781</v>
      </c>
      <c r="J990" s="123">
        <f>IF(Basis!$E$1=1,ROUND(H990/((TaH-TrH)*1.163)/3600,3),ROUND(H990/(500*(TaH-TrH)),2))</f>
        <v>0.52</v>
      </c>
      <c r="K990" s="84"/>
      <c r="L990" s="177">
        <f>CHOOSE(Basis!$E$1,((AJ990*(J990*3600/Basis!$E$5)^AK990*(((MID(C990,9,3)*10)-144)/1000)*AL990+AM990*(J990*3600/Basis!$E$5)^2)*0.0098)/Basis!$E$10,((AJ990*(J990/Basis!$E$5)^AK990*(((MID(C990,9,3)*10)-144)/1000)*AL990+AM990*(J990/Basis!$E$5)^2)*0.0098)/Basis!$E$10)</f>
        <v>6.4682622296065709E-2</v>
      </c>
      <c r="M990" s="85"/>
      <c r="N990" s="109">
        <v>1.4370000000000001</v>
      </c>
      <c r="O990" s="68"/>
      <c r="P990" s="67">
        <v>2450</v>
      </c>
      <c r="Q990" s="68"/>
      <c r="R990" s="69"/>
      <c r="S990" s="69"/>
      <c r="T990" s="69"/>
      <c r="U990" s="69"/>
      <c r="V990" s="69"/>
      <c r="W990" s="68"/>
      <c r="X990" s="70"/>
      <c r="Y990" s="70"/>
      <c r="Z990" s="70"/>
      <c r="AA990" s="70"/>
      <c r="AB990" s="70"/>
      <c r="AC990" s="68"/>
      <c r="AD990" s="71"/>
      <c r="AE990" s="71"/>
      <c r="AF990" s="71"/>
      <c r="AG990" s="71"/>
      <c r="AH990" s="71"/>
      <c r="AI990" s="68"/>
      <c r="AJ990" s="214">
        <v>3.9689999999999994E-4</v>
      </c>
      <c r="AK990" s="214">
        <v>1.7345999999999999</v>
      </c>
      <c r="AL990" s="214">
        <v>4</v>
      </c>
      <c r="AM990" s="214">
        <v>5.7428799999999995E-4</v>
      </c>
      <c r="AN990" s="68"/>
      <c r="AO990" s="67"/>
      <c r="AP990" s="67"/>
      <c r="AQ990" s="67"/>
      <c r="AR990" s="67"/>
      <c r="AS990" s="67"/>
      <c r="AT990" s="68"/>
      <c r="AU990" s="49"/>
      <c r="AV990" s="50"/>
    </row>
    <row r="991" spans="1:48" ht="12.75" customHeight="1" x14ac:dyDescent="0.25">
      <c r="A991" s="72" t="s">
        <v>20</v>
      </c>
      <c r="B991" s="43" t="s">
        <v>889</v>
      </c>
      <c r="C991" s="44" t="s">
        <v>1145</v>
      </c>
      <c r="D991" s="45">
        <f>MROUND(MID($C991,6,3)/Basis!$E$3,0.5)</f>
        <v>29</v>
      </c>
      <c r="E991" s="45">
        <f>MROUND(MID($C991,9,3)/Basis!$E$3,0.5)</f>
        <v>80</v>
      </c>
      <c r="F991" s="124" t="s">
        <v>2946</v>
      </c>
      <c r="G991" s="45">
        <f>ROUND((ROUNDDOWN($F991/5,0)*5+3)/Basis!$E$3,1)</f>
        <v>5.0999999999999996</v>
      </c>
      <c r="H991" s="120">
        <f>ROUND($P991*Basis!$E$2*((TaH-TrH)/LN(1/µ)/Basis!$E$7)^$N991*$AA$4*Glycol,0)</f>
        <v>5763</v>
      </c>
      <c r="I991" s="83">
        <f>ROUND(H991/(MID($C991,9,3)/Basis!$E$3/Basis!$E$9)*Basis!$E$11,0)</f>
        <v>865</v>
      </c>
      <c r="J991" s="123">
        <f>IF(Basis!$E$1=1,ROUND(H991/((TaH-TrH)*1.163)/3600,3),ROUND(H991/(500*(TaH-TrH)),2))</f>
        <v>0.57999999999999996</v>
      </c>
      <c r="K991" s="84"/>
      <c r="L991" s="177">
        <f>CHOOSE(Basis!$E$1,((AJ991*(J991*3600/Basis!$E$5)^AK991*(((MID(C991,9,3)*10)-144)/1000)*AL991+AM991*(J991*3600/Basis!$E$5)^2)*0.0098)/Basis!$E$10,((AJ991*(J991/Basis!$E$5)^AK991*(((MID(C991,9,3)*10)-144)/1000)*AL991+AM991*(J991/Basis!$E$5)^2)*0.0098)/Basis!$E$10)</f>
        <v>7.9102676125733101E-2</v>
      </c>
      <c r="M991" s="85"/>
      <c r="N991" s="109">
        <v>1.4359999999999999</v>
      </c>
      <c r="O991" s="68"/>
      <c r="P991" s="67">
        <v>2713</v>
      </c>
      <c r="Q991" s="68"/>
      <c r="R991" s="69"/>
      <c r="S991" s="69"/>
      <c r="T991" s="69"/>
      <c r="U991" s="69"/>
      <c r="V991" s="69"/>
      <c r="W991" s="68"/>
      <c r="X991" s="70"/>
      <c r="Y991" s="70"/>
      <c r="Z991" s="70"/>
      <c r="AA991" s="70"/>
      <c r="AB991" s="70"/>
      <c r="AC991" s="68"/>
      <c r="AD991" s="71"/>
      <c r="AE991" s="71"/>
      <c r="AF991" s="71"/>
      <c r="AG991" s="71"/>
      <c r="AH991" s="71"/>
      <c r="AI991" s="68"/>
      <c r="AJ991" s="214">
        <v>3.9689999999999994E-4</v>
      </c>
      <c r="AK991" s="214">
        <v>1.7345999999999999</v>
      </c>
      <c r="AL991" s="214">
        <v>4</v>
      </c>
      <c r="AM991" s="214">
        <v>5.7428799999999995E-4</v>
      </c>
      <c r="AN991" s="68"/>
      <c r="AO991" s="67"/>
      <c r="AP991" s="67"/>
      <c r="AQ991" s="67"/>
      <c r="AR991" s="67"/>
      <c r="AS991" s="67"/>
      <c r="AT991" s="68"/>
      <c r="AU991" s="49"/>
      <c r="AV991" s="50"/>
    </row>
    <row r="992" spans="1:48" ht="12.75" customHeight="1" x14ac:dyDescent="0.25">
      <c r="A992" s="72" t="s">
        <v>20</v>
      </c>
      <c r="B992" s="43" t="s">
        <v>889</v>
      </c>
      <c r="C992" s="44" t="s">
        <v>1146</v>
      </c>
      <c r="D992" s="45">
        <f>MROUND(MID($C992,6,3)/Basis!$E$3,0.5)</f>
        <v>29</v>
      </c>
      <c r="E992" s="45">
        <f>MROUND(MID($C992,9,3)/Basis!$E$3,0.5)</f>
        <v>80</v>
      </c>
      <c r="F992" s="124" t="s">
        <v>2947</v>
      </c>
      <c r="G992" s="45">
        <f>ROUND((ROUNDDOWN($F992/5,0)*5+3)/Basis!$E$3,1)</f>
        <v>7.1</v>
      </c>
      <c r="H992" s="120">
        <f>ROUND($P992*Basis!$E$2*((TaH-TrH)/LN(1/µ)/Basis!$E$7)^$N992*$AA$4*Glycol,0)</f>
        <v>5973</v>
      </c>
      <c r="I992" s="83">
        <f>ROUND(H992/(MID($C992,9,3)/Basis!$E$3/Basis!$E$9)*Basis!$E$11,0)</f>
        <v>897</v>
      </c>
      <c r="J992" s="123">
        <f>IF(Basis!$E$1=1,ROUND(H992/((TaH-TrH)*1.163)/3600,3),ROUND(H992/(500*(TaH-TrH)),2))</f>
        <v>0.6</v>
      </c>
      <c r="K992" s="84"/>
      <c r="L992" s="177">
        <f>CHOOSE(Basis!$E$1,((AJ992*(J992*3600/Basis!$E$5)^AK992*(((MID(C992,9,3)*10)-144)/1000)*AL992+AM992*(J992*3600/Basis!$E$5)^2)*0.0098)/Basis!$E$10,((AJ992*(J992/Basis!$E$5)^AK992*(((MID(C992,9,3)*10)-144)/1000)*AL992+AM992*(J992/Basis!$E$5)^2)*0.0098)/Basis!$E$10)</f>
        <v>0.10914968692421104</v>
      </c>
      <c r="M992" s="85"/>
      <c r="N992" s="109">
        <v>1.464</v>
      </c>
      <c r="O992" s="68"/>
      <c r="P992" s="67">
        <v>2838</v>
      </c>
      <c r="Q992" s="68"/>
      <c r="R992" s="69"/>
      <c r="S992" s="69"/>
      <c r="T992" s="69"/>
      <c r="U992" s="69"/>
      <c r="V992" s="69"/>
      <c r="W992" s="68"/>
      <c r="X992" s="70"/>
      <c r="Y992" s="70"/>
      <c r="Z992" s="70"/>
      <c r="AA992" s="70"/>
      <c r="AB992" s="70"/>
      <c r="AC992" s="68"/>
      <c r="AD992" s="71"/>
      <c r="AE992" s="71"/>
      <c r="AF992" s="71"/>
      <c r="AG992" s="71"/>
      <c r="AH992" s="71"/>
      <c r="AI992" s="68"/>
      <c r="AJ992" s="214">
        <v>2.0829999999999999E-4</v>
      </c>
      <c r="AK992" s="214">
        <v>1.724</v>
      </c>
      <c r="AL992" s="214">
        <v>4</v>
      </c>
      <c r="AM992" s="214">
        <v>1.392796E-3</v>
      </c>
      <c r="AN992" s="68"/>
      <c r="AO992" s="67"/>
      <c r="AP992" s="67"/>
      <c r="AQ992" s="67"/>
      <c r="AR992" s="67"/>
      <c r="AS992" s="67"/>
      <c r="AT992" s="68"/>
      <c r="AU992" s="49"/>
      <c r="AV992" s="50"/>
    </row>
    <row r="993" spans="1:48" ht="12.75" customHeight="1" x14ac:dyDescent="0.25">
      <c r="A993" s="72" t="s">
        <v>20</v>
      </c>
      <c r="B993" s="43" t="s">
        <v>889</v>
      </c>
      <c r="C993" s="44" t="s">
        <v>1147</v>
      </c>
      <c r="D993" s="45">
        <f>MROUND(MID($C993,6,3)/Basis!$E$3,0.5)</f>
        <v>29</v>
      </c>
      <c r="E993" s="45">
        <f>MROUND(MID($C993,9,3)/Basis!$E$3,0.5)</f>
        <v>80</v>
      </c>
      <c r="F993" s="124" t="s">
        <v>2947</v>
      </c>
      <c r="G993" s="45">
        <f>ROUND((ROUNDDOWN($F993/5,0)*5+3)/Basis!$E$3,1)</f>
        <v>7.1</v>
      </c>
      <c r="H993" s="120">
        <f>ROUND($P993*Basis!$E$2*((TaH-TrH)/LN(1/µ)/Basis!$E$7)^$N993*$AA$4*Glycol,0)</f>
        <v>8002</v>
      </c>
      <c r="I993" s="83">
        <f>ROUND(H993/(MID($C993,9,3)/Basis!$E$3/Basis!$E$9)*Basis!$E$11,0)</f>
        <v>1201</v>
      </c>
      <c r="J993" s="123">
        <f>IF(Basis!$E$1=1,ROUND(H993/((TaH-TrH)*1.163)/3600,3),ROUND(H993/(500*(TaH-TrH)),2))</f>
        <v>0.8</v>
      </c>
      <c r="K993" s="84"/>
      <c r="L993" s="177">
        <f>CHOOSE(Basis!$E$1,((AJ993*(J993*3600/Basis!$E$5)^AK993*(((MID(C993,9,3)*10)-144)/1000)*AL993+AM993*(J993*3600/Basis!$E$5)^2)*0.0098)/Basis!$E$10,((AJ993*(J993/Basis!$E$5)^AK993*(((MID(C993,9,3)*10)-144)/1000)*AL993+AM993*(J993/Basis!$E$5)^2)*0.0098)/Basis!$E$10)</f>
        <v>0.19070879305642491</v>
      </c>
      <c r="M993" s="85"/>
      <c r="N993" s="109">
        <v>1.468</v>
      </c>
      <c r="O993" s="68"/>
      <c r="P993" s="67">
        <v>3807</v>
      </c>
      <c r="Q993" s="68"/>
      <c r="R993" s="69"/>
      <c r="S993" s="69"/>
      <c r="T993" s="69"/>
      <c r="U993" s="69"/>
      <c r="V993" s="69"/>
      <c r="W993" s="68"/>
      <c r="X993" s="70"/>
      <c r="Y993" s="70"/>
      <c r="Z993" s="70"/>
      <c r="AA993" s="70"/>
      <c r="AB993" s="70"/>
      <c r="AC993" s="68"/>
      <c r="AD993" s="71"/>
      <c r="AE993" s="71"/>
      <c r="AF993" s="71"/>
      <c r="AG993" s="71"/>
      <c r="AH993" s="71"/>
      <c r="AI993" s="68"/>
      <c r="AJ993" s="214">
        <v>2.0829999999999999E-4</v>
      </c>
      <c r="AK993" s="214">
        <v>1.724</v>
      </c>
      <c r="AL993" s="214">
        <v>4</v>
      </c>
      <c r="AM993" s="214">
        <v>1.392796E-3</v>
      </c>
      <c r="AN993" s="68"/>
      <c r="AO993" s="67"/>
      <c r="AP993" s="67"/>
      <c r="AQ993" s="67"/>
      <c r="AR993" s="67"/>
      <c r="AS993" s="67"/>
      <c r="AT993" s="68"/>
      <c r="AU993" s="49"/>
      <c r="AV993" s="50"/>
    </row>
    <row r="994" spans="1:48" ht="12.75" customHeight="1" x14ac:dyDescent="0.25">
      <c r="A994" s="72" t="s">
        <v>20</v>
      </c>
      <c r="B994" s="43" t="s">
        <v>889</v>
      </c>
      <c r="C994" s="44" t="s">
        <v>1148</v>
      </c>
      <c r="D994" s="45">
        <f>MROUND(MID($C994,6,3)/Basis!$E$3,0.5)</f>
        <v>29</v>
      </c>
      <c r="E994" s="45">
        <f>MROUND(MID($C994,9,3)/Basis!$E$3,0.5)</f>
        <v>80</v>
      </c>
      <c r="F994" s="124" t="s">
        <v>2947</v>
      </c>
      <c r="G994" s="45">
        <f>ROUND((ROUNDDOWN($F994/5,0)*5+3)/Basis!$E$3,1)</f>
        <v>7.1</v>
      </c>
      <c r="H994" s="120">
        <f>ROUND($P994*Basis!$E$2*((TaH-TrH)/LN(1/µ)/Basis!$E$7)^$N994*$AA$4*Glycol,0)</f>
        <v>7215</v>
      </c>
      <c r="I994" s="83">
        <f>ROUND(H994/(MID($C994,9,3)/Basis!$E$3/Basis!$E$9)*Basis!$E$11,0)</f>
        <v>1083</v>
      </c>
      <c r="J994" s="123">
        <f>IF(Basis!$E$1=1,ROUND(H994/((TaH-TrH)*1.163)/3600,3),ROUND(H994/(500*(TaH-TrH)),2))</f>
        <v>0.72</v>
      </c>
      <c r="K994" s="84"/>
      <c r="L994" s="177">
        <f>CHOOSE(Basis!$E$1,((AJ994*(J994*3600/Basis!$E$5)^AK994*(((MID(C994,9,3)*10)-144)/1000)*AL994+AM994*(J994*3600/Basis!$E$5)^2)*0.0098)/Basis!$E$10,((AJ994*(J994/Basis!$E$5)^AK994*(((MID(C994,9,3)*10)-144)/1000)*AL994+AM994*(J994/Basis!$E$5)^2)*0.0098)/Basis!$E$10)</f>
        <v>0.15543868961195031</v>
      </c>
      <c r="M994" s="85"/>
      <c r="N994" s="109">
        <v>1.47</v>
      </c>
      <c r="O994" s="68"/>
      <c r="P994" s="67">
        <v>3435</v>
      </c>
      <c r="Q994" s="68"/>
      <c r="R994" s="69"/>
      <c r="S994" s="69"/>
      <c r="T994" s="69"/>
      <c r="U994" s="69"/>
      <c r="V994" s="69"/>
      <c r="W994" s="68"/>
      <c r="X994" s="70"/>
      <c r="Y994" s="70"/>
      <c r="Z994" s="70"/>
      <c r="AA994" s="70"/>
      <c r="AB994" s="70"/>
      <c r="AC994" s="68"/>
      <c r="AD994" s="71"/>
      <c r="AE994" s="71"/>
      <c r="AF994" s="71"/>
      <c r="AG994" s="71"/>
      <c r="AH994" s="71"/>
      <c r="AI994" s="68"/>
      <c r="AJ994" s="214">
        <v>2.0829999999999999E-4</v>
      </c>
      <c r="AK994" s="214">
        <v>1.724</v>
      </c>
      <c r="AL994" s="214">
        <v>4</v>
      </c>
      <c r="AM994" s="214">
        <v>1.392796E-3</v>
      </c>
      <c r="AN994" s="68"/>
      <c r="AO994" s="67"/>
      <c r="AP994" s="67"/>
      <c r="AQ994" s="67"/>
      <c r="AR994" s="67"/>
      <c r="AS994" s="67"/>
      <c r="AT994" s="68"/>
      <c r="AU994" s="49"/>
      <c r="AV994" s="50"/>
    </row>
    <row r="995" spans="1:48" ht="12.75" customHeight="1" x14ac:dyDescent="0.25">
      <c r="A995" s="72" t="s">
        <v>20</v>
      </c>
      <c r="B995" s="43" t="s">
        <v>889</v>
      </c>
      <c r="C995" s="44" t="s">
        <v>1149</v>
      </c>
      <c r="D995" s="45">
        <f>MROUND(MID($C995,6,3)/Basis!$E$3,0.5)</f>
        <v>29</v>
      </c>
      <c r="E995" s="45">
        <f>MROUND(MID($C995,9,3)/Basis!$E$3,0.5)</f>
        <v>80</v>
      </c>
      <c r="F995" s="124" t="s">
        <v>2947</v>
      </c>
      <c r="G995" s="45">
        <f>ROUND((ROUNDDOWN($F995/5,0)*5+3)/Basis!$E$3,1)</f>
        <v>7.1</v>
      </c>
      <c r="H995" s="120">
        <f>ROUND($P995*Basis!$E$2*((TaH-TrH)/LN(1/µ)/Basis!$E$7)^$N995*$AA$4*Glycol,0)</f>
        <v>8645</v>
      </c>
      <c r="I995" s="83">
        <f>ROUND(H995/(MID($C995,9,3)/Basis!$E$3/Basis!$E$9)*Basis!$E$11,0)</f>
        <v>1298</v>
      </c>
      <c r="J995" s="123">
        <f>IF(Basis!$E$1=1,ROUND(H995/((TaH-TrH)*1.163)/3600,3),ROUND(H995/(500*(TaH-TrH)),2))</f>
        <v>0.86</v>
      </c>
      <c r="K995" s="84"/>
      <c r="L995" s="177">
        <f>CHOOSE(Basis!$E$1,((AJ995*(J995*3600/Basis!$E$5)^AK995*(((MID(C995,9,3)*10)-144)/1000)*AL995+AM995*(J995*3600/Basis!$E$5)^2)*0.0098)/Basis!$E$10,((AJ995*(J995/Basis!$E$5)^AK995*(((MID(C995,9,3)*10)-144)/1000)*AL995+AM995*(J995/Basis!$E$5)^2)*0.0098)/Basis!$E$10)</f>
        <v>0.21946614401589692</v>
      </c>
      <c r="M995" s="85"/>
      <c r="N995" s="109">
        <v>1.474</v>
      </c>
      <c r="O995" s="68"/>
      <c r="P995" s="67">
        <v>4121</v>
      </c>
      <c r="Q995" s="68"/>
      <c r="R995" s="69"/>
      <c r="S995" s="69"/>
      <c r="T995" s="69"/>
      <c r="U995" s="69"/>
      <c r="V995" s="69"/>
      <c r="W995" s="68"/>
      <c r="X995" s="70"/>
      <c r="Y995" s="70"/>
      <c r="Z995" s="70"/>
      <c r="AA995" s="70"/>
      <c r="AB995" s="70"/>
      <c r="AC995" s="68"/>
      <c r="AD995" s="71"/>
      <c r="AE995" s="71"/>
      <c r="AF995" s="71"/>
      <c r="AG995" s="71"/>
      <c r="AH995" s="71"/>
      <c r="AI995" s="68"/>
      <c r="AJ995" s="214">
        <v>2.0829999999999999E-4</v>
      </c>
      <c r="AK995" s="214">
        <v>1.724</v>
      </c>
      <c r="AL995" s="214">
        <v>4</v>
      </c>
      <c r="AM995" s="214">
        <v>1.392796E-3</v>
      </c>
      <c r="AN995" s="68"/>
      <c r="AO995" s="67"/>
      <c r="AP995" s="67"/>
      <c r="AQ995" s="67"/>
      <c r="AR995" s="67"/>
      <c r="AS995" s="67"/>
      <c r="AT995" s="68"/>
      <c r="AU995" s="49"/>
      <c r="AV995" s="50"/>
    </row>
    <row r="996" spans="1:48" ht="12.75" customHeight="1" x14ac:dyDescent="0.25">
      <c r="A996" s="72" t="s">
        <v>20</v>
      </c>
      <c r="B996" s="43" t="s">
        <v>889</v>
      </c>
      <c r="C996" s="44" t="s">
        <v>1150</v>
      </c>
      <c r="D996" s="45">
        <f>MROUND(MID($C996,6,3)/Basis!$E$3,0.5)</f>
        <v>29</v>
      </c>
      <c r="E996" s="45">
        <f>MROUND(MID($C996,9,3)/Basis!$E$3,0.5)</f>
        <v>80</v>
      </c>
      <c r="F996" s="124" t="s">
        <v>2948</v>
      </c>
      <c r="G996" s="45">
        <f>ROUND((ROUNDDOWN($F996/5,0)*5+3)/Basis!$E$3,1)</f>
        <v>9.1</v>
      </c>
      <c r="H996" s="120">
        <f>ROUND($P996*Basis!$E$2*((TaH-TrH)/LN(1/µ)/Basis!$E$7)^$N996*$AA$4*Glycol,0)</f>
        <v>7470</v>
      </c>
      <c r="I996" s="83">
        <f>ROUND(H996/(MID($C996,9,3)/Basis!$E$3/Basis!$E$9)*Basis!$E$11,0)</f>
        <v>1122</v>
      </c>
      <c r="J996" s="123">
        <f>IF(Basis!$E$1=1,ROUND(H996/((TaH-TrH)*1.163)/3600,3),ROUND(H996/(500*(TaH-TrH)),2))</f>
        <v>0.75</v>
      </c>
      <c r="K996" s="84"/>
      <c r="L996" s="177">
        <f>CHOOSE(Basis!$E$1,((AJ996*(J996*3600/Basis!$E$5)^AK996*(((MID(C996,9,3)*10)-144)/1000)*AL996+AM996*(J996*3600/Basis!$E$5)^2)*0.0098)/Basis!$E$10,((AJ996*(J996/Basis!$E$5)^AK996*(((MID(C996,9,3)*10)-144)/1000)*AL996+AM996*(J996/Basis!$E$5)^2)*0.0098)/Basis!$E$10)</f>
        <v>7.0667685653873047E-2</v>
      </c>
      <c r="M996" s="85"/>
      <c r="N996" s="109">
        <v>1.484</v>
      </c>
      <c r="O996" s="68"/>
      <c r="P996" s="67">
        <v>3573</v>
      </c>
      <c r="Q996" s="68"/>
      <c r="R996" s="69"/>
      <c r="S996" s="69"/>
      <c r="T996" s="69"/>
      <c r="U996" s="69"/>
      <c r="V996" s="69"/>
      <c r="W996" s="68"/>
      <c r="X996" s="70"/>
      <c r="Y996" s="70"/>
      <c r="Z996" s="70"/>
      <c r="AA996" s="70"/>
      <c r="AB996" s="70"/>
      <c r="AC996" s="68"/>
      <c r="AD996" s="71"/>
      <c r="AE996" s="71"/>
      <c r="AF996" s="71"/>
      <c r="AG996" s="71"/>
      <c r="AH996" s="71"/>
      <c r="AI996" s="68"/>
      <c r="AJ996" s="214">
        <v>1.2760000000000001E-4</v>
      </c>
      <c r="AK996" s="214">
        <v>1.7219</v>
      </c>
      <c r="AL996" s="214">
        <v>4</v>
      </c>
      <c r="AM996" s="214">
        <v>5.1420100000000005E-4</v>
      </c>
      <c r="AN996" s="68"/>
      <c r="AO996" s="67"/>
      <c r="AP996" s="67"/>
      <c r="AQ996" s="67"/>
      <c r="AR996" s="67"/>
      <c r="AS996" s="67"/>
      <c r="AT996" s="68"/>
      <c r="AU996" s="49"/>
      <c r="AV996" s="50"/>
    </row>
    <row r="997" spans="1:48" ht="12.75" customHeight="1" x14ac:dyDescent="0.25">
      <c r="A997" s="72" t="s">
        <v>20</v>
      </c>
      <c r="B997" s="43" t="s">
        <v>889</v>
      </c>
      <c r="C997" s="44" t="s">
        <v>1151</v>
      </c>
      <c r="D997" s="45">
        <f>MROUND(MID($C997,6,3)/Basis!$E$3,0.5)</f>
        <v>29</v>
      </c>
      <c r="E997" s="45">
        <f>MROUND(MID($C997,9,3)/Basis!$E$3,0.5)</f>
        <v>80</v>
      </c>
      <c r="F997" s="124" t="s">
        <v>2948</v>
      </c>
      <c r="G997" s="45">
        <f>ROUND((ROUNDDOWN($F997/5,0)*5+3)/Basis!$E$3,1)</f>
        <v>9.1</v>
      </c>
      <c r="H997" s="120">
        <f>ROUND($P997*Basis!$E$2*((TaH-TrH)/LN(1/µ)/Basis!$E$7)^$N997*$AA$4*Glycol,0)</f>
        <v>9692</v>
      </c>
      <c r="I997" s="83">
        <f>ROUND(H997/(MID($C997,9,3)/Basis!$E$3/Basis!$E$9)*Basis!$E$11,0)</f>
        <v>1455</v>
      </c>
      <c r="J997" s="123">
        <f>IF(Basis!$E$1=1,ROUND(H997/((TaH-TrH)*1.163)/3600,3),ROUND(H997/(500*(TaH-TrH)),2))</f>
        <v>0.97</v>
      </c>
      <c r="K997" s="84"/>
      <c r="L997" s="177">
        <f>CHOOSE(Basis!$E$1,((AJ997*(J997*3600/Basis!$E$5)^AK997*(((MID(C997,9,3)*10)-144)/1000)*AL997+AM997*(J997*3600/Basis!$E$5)^2)*0.0098)/Basis!$E$10,((AJ997*(J997/Basis!$E$5)^AK997*(((MID(C997,9,3)*10)-144)/1000)*AL997+AM997*(J997/Basis!$E$5)^2)*0.0098)/Basis!$E$10)</f>
        <v>0.11567979566987203</v>
      </c>
      <c r="M997" s="85"/>
      <c r="N997" s="109">
        <v>1.492</v>
      </c>
      <c r="O997" s="68"/>
      <c r="P997" s="67">
        <v>4648</v>
      </c>
      <c r="Q997" s="68"/>
      <c r="R997" s="69"/>
      <c r="S997" s="69"/>
      <c r="T997" s="69"/>
      <c r="U997" s="69"/>
      <c r="V997" s="69"/>
      <c r="W997" s="68"/>
      <c r="X997" s="70"/>
      <c r="Y997" s="70"/>
      <c r="Z997" s="70"/>
      <c r="AA997" s="70"/>
      <c r="AB997" s="70"/>
      <c r="AC997" s="68"/>
      <c r="AD997" s="71"/>
      <c r="AE997" s="71"/>
      <c r="AF997" s="71"/>
      <c r="AG997" s="71"/>
      <c r="AH997" s="71"/>
      <c r="AI997" s="68"/>
      <c r="AJ997" s="214">
        <v>1.2760000000000001E-4</v>
      </c>
      <c r="AK997" s="214">
        <v>1.7219</v>
      </c>
      <c r="AL997" s="214">
        <v>4</v>
      </c>
      <c r="AM997" s="214">
        <v>5.1420100000000005E-4</v>
      </c>
      <c r="AN997" s="68"/>
      <c r="AO997" s="67"/>
      <c r="AP997" s="67"/>
      <c r="AQ997" s="67"/>
      <c r="AR997" s="67"/>
      <c r="AS997" s="67"/>
      <c r="AT997" s="68"/>
      <c r="AU997" s="49"/>
      <c r="AV997" s="50"/>
    </row>
    <row r="998" spans="1:48" ht="12.75" customHeight="1" x14ac:dyDescent="0.25">
      <c r="A998" s="72" t="s">
        <v>20</v>
      </c>
      <c r="B998" s="43" t="s">
        <v>889</v>
      </c>
      <c r="C998" s="44" t="s">
        <v>1152</v>
      </c>
      <c r="D998" s="45">
        <f>MROUND(MID($C998,6,3)/Basis!$E$3,0.5)</f>
        <v>29</v>
      </c>
      <c r="E998" s="45">
        <f>MROUND(MID($C998,9,3)/Basis!$E$3,0.5)</f>
        <v>80</v>
      </c>
      <c r="F998" s="124" t="s">
        <v>2948</v>
      </c>
      <c r="G998" s="45">
        <f>ROUND((ROUNDDOWN($F998/5,0)*5+3)/Basis!$E$3,1)</f>
        <v>9.1</v>
      </c>
      <c r="H998" s="120">
        <f>ROUND($P998*Basis!$E$2*((TaH-TrH)/LN(1/µ)/Basis!$E$7)^$N998*$AA$4*Glycol,0)</f>
        <v>8892</v>
      </c>
      <c r="I998" s="83">
        <f>ROUND(H998/(MID($C998,9,3)/Basis!$E$3/Basis!$E$9)*Basis!$E$11,0)</f>
        <v>1335</v>
      </c>
      <c r="J998" s="123">
        <f>IF(Basis!$E$1=1,ROUND(H998/((TaH-TrH)*1.163)/3600,3),ROUND(H998/(500*(TaH-TrH)),2))</f>
        <v>0.89</v>
      </c>
      <c r="K998" s="84"/>
      <c r="L998" s="177">
        <f>CHOOSE(Basis!$E$1,((AJ998*(J998*3600/Basis!$E$5)^AK998*(((MID(C998,9,3)*10)-144)/1000)*AL998+AM998*(J998*3600/Basis!$E$5)^2)*0.0098)/Basis!$E$10,((AJ998*(J998/Basis!$E$5)^AK998*(((MID(C998,9,3)*10)-144)/1000)*AL998+AM998*(J998/Basis!$E$5)^2)*0.0098)/Basis!$E$10)</f>
        <v>9.8080406250562524E-2</v>
      </c>
      <c r="M998" s="85"/>
      <c r="N998" s="109">
        <v>1.496</v>
      </c>
      <c r="O998" s="68"/>
      <c r="P998" s="67">
        <v>4270</v>
      </c>
      <c r="Q998" s="68"/>
      <c r="R998" s="69"/>
      <c r="S998" s="69"/>
      <c r="T998" s="69"/>
      <c r="U998" s="69"/>
      <c r="V998" s="69"/>
      <c r="W998" s="68"/>
      <c r="X998" s="70"/>
      <c r="Y998" s="70"/>
      <c r="Z998" s="70"/>
      <c r="AA998" s="70"/>
      <c r="AB998" s="70"/>
      <c r="AC998" s="68"/>
      <c r="AD998" s="71"/>
      <c r="AE998" s="71"/>
      <c r="AF998" s="71"/>
      <c r="AG998" s="71"/>
      <c r="AH998" s="71"/>
      <c r="AI998" s="68"/>
      <c r="AJ998" s="214">
        <v>1.2760000000000001E-4</v>
      </c>
      <c r="AK998" s="214">
        <v>1.7219</v>
      </c>
      <c r="AL998" s="214">
        <v>4</v>
      </c>
      <c r="AM998" s="214">
        <v>5.1420100000000005E-4</v>
      </c>
      <c r="AN998" s="68"/>
      <c r="AO998" s="67"/>
      <c r="AP998" s="67"/>
      <c r="AQ998" s="67"/>
      <c r="AR998" s="67"/>
      <c r="AS998" s="67"/>
      <c r="AT998" s="68"/>
      <c r="AU998" s="49"/>
      <c r="AV998" s="50"/>
    </row>
    <row r="999" spans="1:48" ht="12.75" customHeight="1" x14ac:dyDescent="0.25">
      <c r="A999" s="72" t="s">
        <v>20</v>
      </c>
      <c r="B999" s="43" t="s">
        <v>889</v>
      </c>
      <c r="C999" s="44" t="s">
        <v>1153</v>
      </c>
      <c r="D999" s="45">
        <f>MROUND(MID($C999,6,3)/Basis!$E$3,0.5)</f>
        <v>29</v>
      </c>
      <c r="E999" s="45">
        <f>MROUND(MID($C999,9,3)/Basis!$E$3,0.5)</f>
        <v>80</v>
      </c>
      <c r="F999" s="124" t="s">
        <v>2948</v>
      </c>
      <c r="G999" s="45">
        <f>ROUND((ROUNDDOWN($F999/5,0)*5+3)/Basis!$E$3,1)</f>
        <v>9.1</v>
      </c>
      <c r="H999" s="120">
        <f>ROUND($P999*Basis!$E$2*((TaH-TrH)/LN(1/µ)/Basis!$E$7)^$N999*$AA$4*Glycol,0)</f>
        <v>12030</v>
      </c>
      <c r="I999" s="83">
        <f>ROUND(H999/(MID($C999,9,3)/Basis!$E$3/Basis!$E$9)*Basis!$E$11,0)</f>
        <v>1806</v>
      </c>
      <c r="J999" s="123">
        <f>IF(Basis!$E$1=1,ROUND(H999/((TaH-TrH)*1.163)/3600,3),ROUND(H999/(500*(TaH-TrH)),2))</f>
        <v>1.2</v>
      </c>
      <c r="K999" s="84"/>
      <c r="L999" s="177">
        <f>CHOOSE(Basis!$E$1,((AJ999*(J999*3600/Basis!$E$5)^AK999*(((MID(C999,9,3)*10)-144)/1000)*AL999+AM999*(J999*3600/Basis!$E$5)^2)*0.0098)/Basis!$E$10,((AJ999*(J999/Basis!$E$5)^AK999*(((MID(C999,9,3)*10)-144)/1000)*AL999+AM999*(J999/Basis!$E$5)^2)*0.0098)/Basis!$E$10)</f>
        <v>0.17404565569428013</v>
      </c>
      <c r="M999" s="85"/>
      <c r="N999" s="109">
        <v>1.5049999999999999</v>
      </c>
      <c r="O999" s="68"/>
      <c r="P999" s="67">
        <v>5794</v>
      </c>
      <c r="Q999" s="68"/>
      <c r="R999" s="69"/>
      <c r="S999" s="69"/>
      <c r="T999" s="69"/>
      <c r="U999" s="69"/>
      <c r="V999" s="69"/>
      <c r="W999" s="68"/>
      <c r="X999" s="70"/>
      <c r="Y999" s="70"/>
      <c r="Z999" s="70"/>
      <c r="AA999" s="70"/>
      <c r="AB999" s="70"/>
      <c r="AC999" s="68"/>
      <c r="AD999" s="71"/>
      <c r="AE999" s="71"/>
      <c r="AF999" s="71"/>
      <c r="AG999" s="71"/>
      <c r="AH999" s="71"/>
      <c r="AI999" s="68"/>
      <c r="AJ999" s="214">
        <v>1.2760000000000001E-4</v>
      </c>
      <c r="AK999" s="214">
        <v>1.7219</v>
      </c>
      <c r="AL999" s="214">
        <v>4</v>
      </c>
      <c r="AM999" s="214">
        <v>5.1420100000000005E-4</v>
      </c>
      <c r="AN999" s="68"/>
      <c r="AO999" s="67"/>
      <c r="AP999" s="67"/>
      <c r="AQ999" s="67"/>
      <c r="AR999" s="67"/>
      <c r="AS999" s="67"/>
      <c r="AT999" s="68"/>
      <c r="AU999" s="49"/>
      <c r="AV999" s="50"/>
    </row>
    <row r="1000" spans="1:48" ht="12.75" customHeight="1" x14ac:dyDescent="0.25">
      <c r="A1000" s="72" t="s">
        <v>119</v>
      </c>
      <c r="B1000" s="43" t="s">
        <v>1154</v>
      </c>
      <c r="C1000" s="44" t="s">
        <v>1155</v>
      </c>
      <c r="D1000" s="45">
        <f>MROUND(MID($C1000,6,3)/Basis!$E$3,0.5)</f>
        <v>3.5</v>
      </c>
      <c r="E1000" s="45">
        <f>MROUND(MID($C1000,9,3)/Basis!$E$3,0.5)</f>
        <v>27.5</v>
      </c>
      <c r="F1000" s="199" t="s">
        <v>2950</v>
      </c>
      <c r="G1000" s="45">
        <f>ROUND(MID($C1000,12,2)/Basis!$E$3,1)</f>
        <v>5.5</v>
      </c>
      <c r="H1000" s="120">
        <f>ROUND($P1000*Basis!$E$2*((TaH-TrH)/LN(1/µ)/Basis!$E$7)^$N1000*$AA$4*Glycol,0)</f>
        <v>161</v>
      </c>
      <c r="I1000" s="83">
        <f>ROUND(H1000/(MID($C1000,9,3)/Basis!$E$3/Basis!$E$9)*Basis!$E$11,0)</f>
        <v>70</v>
      </c>
      <c r="J1000" s="123">
        <f>IF(Basis!$E$1=1,ROUND(H1000/((TaH-TrH)*1.163)/3600,3),ROUND(H1000/(500*(TaH-TrH)),2))</f>
        <v>0.02</v>
      </c>
      <c r="K1000" s="84"/>
      <c r="L1000" s="177">
        <f>CHOOSE(Basis!$E$1,((AJ1000*(J1000*3600/Basis!$E$5)^AK1000*(((MID(C1000,9,3)*10)-244)/1000)*AL1000+AM1000*(J1000*3600/Basis!$E$5)^2)*0.0098)/Basis!$E$10,((AJ1000*(J1000/Basis!$E$5)^AK1000*(((MID(C1000,9,3)*10)-244)/1000)*AL1000+AM1000*(J1000/Basis!$E$5)^2)*0.0098)/Basis!$E$10)</f>
        <v>3.6530731506149515E-5</v>
      </c>
      <c r="M1000" s="85"/>
      <c r="N1000" s="109">
        <v>1.3620000000000001</v>
      </c>
      <c r="O1000" s="68"/>
      <c r="P1000" s="67">
        <v>74</v>
      </c>
      <c r="Q1000" s="68"/>
      <c r="R1000" s="69"/>
      <c r="S1000" s="69"/>
      <c r="T1000" s="69"/>
      <c r="U1000" s="69"/>
      <c r="V1000" s="69"/>
      <c r="W1000" s="68"/>
      <c r="X1000" s="70"/>
      <c r="Y1000" s="70"/>
      <c r="Z1000" s="70"/>
      <c r="AA1000" s="70"/>
      <c r="AB1000" s="70"/>
      <c r="AC1000" s="68"/>
      <c r="AD1000" s="71"/>
      <c r="AE1000" s="71"/>
      <c r="AF1000" s="71"/>
      <c r="AG1000" s="71"/>
      <c r="AH1000" s="71"/>
      <c r="AI1000" s="68"/>
      <c r="AJ1000" s="214">
        <v>6.0625777523108995E-4</v>
      </c>
      <c r="AK1000" s="214">
        <v>1.8894792857555001</v>
      </c>
      <c r="AL1000" s="214">
        <v>1</v>
      </c>
      <c r="AM1000" s="214">
        <v>3.0758017492711002E-4</v>
      </c>
      <c r="AN1000" s="68"/>
      <c r="AO1000" s="67"/>
      <c r="AP1000" s="67"/>
      <c r="AQ1000" s="67"/>
      <c r="AR1000" s="67"/>
      <c r="AS1000" s="67"/>
      <c r="AT1000" s="68"/>
      <c r="AU1000" s="49"/>
      <c r="AV1000" s="50"/>
    </row>
    <row r="1001" spans="1:48" ht="12.75" customHeight="1" x14ac:dyDescent="0.25">
      <c r="A1001" s="72" t="s">
        <v>119</v>
      </c>
      <c r="B1001" s="43" t="s">
        <v>1154</v>
      </c>
      <c r="C1001" s="44" t="s">
        <v>1156</v>
      </c>
      <c r="D1001" s="45">
        <f>MROUND(MID($C1001,6,3)/Basis!$E$3,0.5)</f>
        <v>3.5</v>
      </c>
      <c r="E1001" s="45">
        <f>MROUND(MID($C1001,9,3)/Basis!$E$3,0.5)</f>
        <v>27.5</v>
      </c>
      <c r="F1001" s="199" t="s">
        <v>2950</v>
      </c>
      <c r="G1001" s="45">
        <f>ROUND(MID($C1001,12,2)/Basis!$E$3,1)</f>
        <v>7.1</v>
      </c>
      <c r="H1001" s="120">
        <f>ROUND($P1001*Basis!$E$2*((TaH-TrH)/LN(1/µ)/Basis!$E$7)^$N1001*$AA$4*Glycol,0)</f>
        <v>189</v>
      </c>
      <c r="I1001" s="83">
        <f>ROUND(H1001/(MID($C1001,9,3)/Basis!$E$3/Basis!$E$9)*Basis!$E$11,0)</f>
        <v>82</v>
      </c>
      <c r="J1001" s="123">
        <f>IF(Basis!$E$1=1,ROUND(H1001/((TaH-TrH)*1.163)/3600,3),ROUND(H1001/(500*(TaH-TrH)),2))</f>
        <v>0.02</v>
      </c>
      <c r="K1001" s="84"/>
      <c r="L1001" s="177">
        <f>CHOOSE(Basis!$E$1,((AJ1001*(J1001*3600/Basis!$E$5)^AK1001*(((MID(C1001,9,3)*10)-244)/1000)*AL1001+AM1001*(J1001*3600/Basis!$E$5)^2)*0.0098)/Basis!$E$10,((AJ1001*(J1001/Basis!$E$5)^AK1001*(((MID(C1001,9,3)*10)-244)/1000)*AL1001+AM1001*(J1001/Basis!$E$5)^2)*0.0098)/Basis!$E$10)</f>
        <v>7.1997114590058981E-5</v>
      </c>
      <c r="M1001" s="85"/>
      <c r="N1001" s="110">
        <v>1.3620000000000001</v>
      </c>
      <c r="O1001" s="74"/>
      <c r="P1001" s="73">
        <v>87</v>
      </c>
      <c r="Q1001" s="74"/>
      <c r="R1001" s="75"/>
      <c r="S1001" s="75"/>
      <c r="T1001" s="75"/>
      <c r="U1001" s="75"/>
      <c r="V1001" s="75"/>
      <c r="W1001" s="74"/>
      <c r="X1001" s="76"/>
      <c r="Y1001" s="76"/>
      <c r="Z1001" s="76"/>
      <c r="AA1001" s="76"/>
      <c r="AB1001" s="76"/>
      <c r="AC1001" s="74"/>
      <c r="AD1001" s="77"/>
      <c r="AE1001" s="77"/>
      <c r="AF1001" s="77"/>
      <c r="AG1001" s="77"/>
      <c r="AH1001" s="77"/>
      <c r="AI1001" s="68"/>
      <c r="AJ1001" s="213">
        <v>9.3669999999999995E-4</v>
      </c>
      <c r="AK1001" s="213">
        <v>1.789841</v>
      </c>
      <c r="AL1001" s="213">
        <v>2</v>
      </c>
      <c r="AM1001" s="213">
        <v>4.4559999999999999E-4</v>
      </c>
      <c r="AN1001" s="74"/>
      <c r="AO1001" s="73"/>
      <c r="AP1001" s="73"/>
      <c r="AQ1001" s="73"/>
      <c r="AR1001" s="73"/>
      <c r="AS1001" s="73"/>
      <c r="AT1001" s="74"/>
      <c r="AU1001" s="47"/>
      <c r="AV1001" s="48"/>
    </row>
    <row r="1002" spans="1:48" ht="12.75" customHeight="1" x14ac:dyDescent="0.25">
      <c r="A1002" s="72" t="s">
        <v>119</v>
      </c>
      <c r="B1002" s="43" t="s">
        <v>1154</v>
      </c>
      <c r="C1002" s="44" t="s">
        <v>1157</v>
      </c>
      <c r="D1002" s="45">
        <f>MROUND(MID($C1002,6,3)/Basis!$E$3,0.5)</f>
        <v>3.5</v>
      </c>
      <c r="E1002" s="45">
        <f>MROUND(MID($C1002,9,3)/Basis!$E$3,0.5)</f>
        <v>27.5</v>
      </c>
      <c r="F1002" s="199" t="s">
        <v>2950</v>
      </c>
      <c r="G1002" s="45">
        <f>ROUND(MID($C1002,12,2)/Basis!$E$3,1)</f>
        <v>10.199999999999999</v>
      </c>
      <c r="H1002" s="120">
        <f>ROUND($P1002*Basis!$E$2*((TaH-TrH)/LN(1/µ)/Basis!$E$7)^$N1002*$AA$4*Glycol,0)</f>
        <v>250</v>
      </c>
      <c r="I1002" s="83">
        <f>ROUND(H1002/(MID($C1002,9,3)/Basis!$E$3/Basis!$E$9)*Basis!$E$11,0)</f>
        <v>109</v>
      </c>
      <c r="J1002" s="123">
        <f>IF(Basis!$E$1=1,ROUND(H1002/((TaH-TrH)*1.163)/3600,3),ROUND(H1002/(500*(TaH-TrH)),2))</f>
        <v>0.03</v>
      </c>
      <c r="K1002" s="84"/>
      <c r="L1002" s="177">
        <f>CHOOSE(Basis!$E$1,((AJ1002*(J1002*3600/Basis!$E$5)^AK1002*(((MID(C1002,9,3)*10)-244)/1000)*AL1002+AM1002*(J1002*3600/Basis!$E$5)^2)*0.0098)/Basis!$E$10,((AJ1002*(J1002/Basis!$E$5)^AK1002*(((MID(C1002,9,3)*10)-244)/1000)*AL1002+AM1002*(J1002/Basis!$E$5)^2)*0.0098)/Basis!$E$10)</f>
        <v>1.5428675326642808E-4</v>
      </c>
      <c r="M1002" s="85"/>
      <c r="N1002" s="109">
        <v>1.3620000000000001</v>
      </c>
      <c r="O1002" s="68"/>
      <c r="P1002" s="67">
        <v>115</v>
      </c>
      <c r="Q1002" s="68"/>
      <c r="R1002" s="69"/>
      <c r="S1002" s="69"/>
      <c r="T1002" s="69"/>
      <c r="U1002" s="69"/>
      <c r="V1002" s="69"/>
      <c r="W1002" s="68"/>
      <c r="X1002" s="70"/>
      <c r="Y1002" s="70"/>
      <c r="Z1002" s="70"/>
      <c r="AA1002" s="70"/>
      <c r="AB1002" s="70"/>
      <c r="AC1002" s="68"/>
      <c r="AD1002" s="71"/>
      <c r="AE1002" s="71"/>
      <c r="AF1002" s="71"/>
      <c r="AG1002" s="71"/>
      <c r="AH1002" s="71"/>
      <c r="AI1002" s="68"/>
      <c r="AJ1002" s="214">
        <v>9.3669999999999995E-4</v>
      </c>
      <c r="AK1002" s="214">
        <v>1.789841</v>
      </c>
      <c r="AL1002" s="214">
        <v>2</v>
      </c>
      <c r="AM1002" s="214">
        <v>4.4559999999999999E-4</v>
      </c>
      <c r="AN1002" s="68"/>
      <c r="AO1002" s="67"/>
      <c r="AP1002" s="67"/>
      <c r="AQ1002" s="67"/>
      <c r="AR1002" s="67"/>
      <c r="AS1002" s="67"/>
      <c r="AT1002" s="68"/>
      <c r="AU1002" s="49"/>
      <c r="AV1002" s="50"/>
    </row>
    <row r="1003" spans="1:48" ht="12.75" customHeight="1" x14ac:dyDescent="0.25">
      <c r="A1003" s="72" t="s">
        <v>119</v>
      </c>
      <c r="B1003" s="43" t="s">
        <v>1154</v>
      </c>
      <c r="C1003" s="44" t="s">
        <v>1158</v>
      </c>
      <c r="D1003" s="45">
        <f>MROUND(MID($C1003,6,3)/Basis!$E$3,0.5)</f>
        <v>3.5</v>
      </c>
      <c r="E1003" s="45">
        <f>MROUND(MID($C1003,9,3)/Basis!$E$3,0.5)</f>
        <v>27.5</v>
      </c>
      <c r="F1003" s="199" t="s">
        <v>2950</v>
      </c>
      <c r="G1003" s="45">
        <f>ROUND(MID($C1003,12,2)/Basis!$E$3,1)</f>
        <v>13.4</v>
      </c>
      <c r="H1003" s="120">
        <f>ROUND($P1003*Basis!$E$2*((TaH-TrH)/LN(1/µ)/Basis!$E$7)^$N1003*$AA$4*Glycol,0)</f>
        <v>324</v>
      </c>
      <c r="I1003" s="83">
        <f>ROUND(H1003/(MID($C1003,9,3)/Basis!$E$3/Basis!$E$9)*Basis!$E$11,0)</f>
        <v>141</v>
      </c>
      <c r="J1003" s="123">
        <f>IF(Basis!$E$1=1,ROUND(H1003/((TaH-TrH)*1.163)/3600,3),ROUND(H1003/(500*(TaH-TrH)),2))</f>
        <v>0.03</v>
      </c>
      <c r="K1003" s="84"/>
      <c r="L1003" s="177">
        <f>CHOOSE(Basis!$E$1,((AJ1003*(J1003*3600/Basis!$E$5)^AK1003*(((MID(C1003,9,3)*10)-244)/1000)*AL1003+AM1003*(J1003*3600/Basis!$E$5)^2)*0.0098)/Basis!$E$10,((AJ1003*(J1003/Basis!$E$5)^AK1003*(((MID(C1003,9,3)*10)-244)/1000)*AL1003+AM1003*(J1003/Basis!$E$5)^2)*0.0098)/Basis!$E$10)</f>
        <v>4.4419855716949037E-4</v>
      </c>
      <c r="M1003" s="85"/>
      <c r="N1003" s="110">
        <v>1.3620000000000001</v>
      </c>
      <c r="O1003" s="74"/>
      <c r="P1003" s="73">
        <v>149</v>
      </c>
      <c r="Q1003" s="74"/>
      <c r="R1003" s="75"/>
      <c r="S1003" s="75"/>
      <c r="T1003" s="75"/>
      <c r="U1003" s="75"/>
      <c r="V1003" s="75"/>
      <c r="W1003" s="74"/>
      <c r="X1003" s="76"/>
      <c r="Y1003" s="76"/>
      <c r="Z1003" s="76"/>
      <c r="AA1003" s="76"/>
      <c r="AB1003" s="76"/>
      <c r="AC1003" s="74"/>
      <c r="AD1003" s="77"/>
      <c r="AE1003" s="77"/>
      <c r="AF1003" s="77"/>
      <c r="AG1003" s="77"/>
      <c r="AH1003" s="77"/>
      <c r="AI1003" s="68"/>
      <c r="AJ1003" s="213">
        <v>1.3162765859195E-2</v>
      </c>
      <c r="AK1003" s="213">
        <v>1.4286501188989</v>
      </c>
      <c r="AL1003" s="213">
        <v>1</v>
      </c>
      <c r="AM1003" s="213">
        <v>9.2091836734694004E-4</v>
      </c>
      <c r="AN1003" s="74"/>
      <c r="AO1003" s="73"/>
      <c r="AP1003" s="73"/>
      <c r="AQ1003" s="73"/>
      <c r="AR1003" s="73"/>
      <c r="AS1003" s="73"/>
      <c r="AT1003" s="74"/>
      <c r="AU1003" s="47"/>
      <c r="AV1003" s="48"/>
    </row>
    <row r="1004" spans="1:48" ht="12.75" customHeight="1" x14ac:dyDescent="0.25">
      <c r="A1004" s="72" t="s">
        <v>119</v>
      </c>
      <c r="B1004" s="43" t="s">
        <v>1154</v>
      </c>
      <c r="C1004" s="44" t="s">
        <v>1159</v>
      </c>
      <c r="D1004" s="45">
        <f>MROUND(MID($C1004,6,3)/Basis!$E$3,0.5)</f>
        <v>3.5</v>
      </c>
      <c r="E1004" s="45">
        <f>MROUND(MID($C1004,9,3)/Basis!$E$3,0.5)</f>
        <v>27.5</v>
      </c>
      <c r="F1004" s="199" t="s">
        <v>2950</v>
      </c>
      <c r="G1004" s="45">
        <f>ROUND(MID($C1004,12,2)/Basis!$E$3,1)</f>
        <v>16.5</v>
      </c>
      <c r="H1004" s="120">
        <f>ROUND($P1004*Basis!$E$2*((TaH-TrH)/LN(1/µ)/Basis!$E$7)^$N1004*$AA$4*Glycol,0)</f>
        <v>468</v>
      </c>
      <c r="I1004" s="83">
        <f>ROUND(H1004/(MID($C1004,9,3)/Basis!$E$3/Basis!$E$9)*Basis!$E$11,0)</f>
        <v>204</v>
      </c>
      <c r="J1004" s="123">
        <f>IF(Basis!$E$1=1,ROUND(H1004/((TaH-TrH)*1.163)/3600,3),ROUND(H1004/(500*(TaH-TrH)),2))</f>
        <v>0.05</v>
      </c>
      <c r="K1004" s="84"/>
      <c r="L1004" s="177">
        <f>CHOOSE(Basis!$E$1,((AJ1004*(J1004*3600/Basis!$E$5)^AK1004*(((MID(C1004,9,3)*10)-244)/1000)*AL1004+AM1004*(J1004*3600/Basis!$E$5)^2)*0.0098)/Basis!$E$10,((AJ1004*(J1004/Basis!$E$5)^AK1004*(((MID(C1004,9,3)*10)-244)/1000)*AL1004+AM1004*(J1004/Basis!$E$5)^2)*0.0098)/Basis!$E$10)</f>
        <v>2.3499475113617521E-4</v>
      </c>
      <c r="M1004" s="85"/>
      <c r="N1004" s="109">
        <v>1.3620000000000001</v>
      </c>
      <c r="O1004" s="68"/>
      <c r="P1004" s="67">
        <v>215</v>
      </c>
      <c r="Q1004" s="68"/>
      <c r="R1004" s="69"/>
      <c r="S1004" s="69"/>
      <c r="T1004" s="69"/>
      <c r="U1004" s="69"/>
      <c r="V1004" s="69"/>
      <c r="W1004" s="68"/>
      <c r="X1004" s="70"/>
      <c r="Y1004" s="70"/>
      <c r="Z1004" s="70"/>
      <c r="AA1004" s="70"/>
      <c r="AB1004" s="70"/>
      <c r="AC1004" s="68"/>
      <c r="AD1004" s="71"/>
      <c r="AE1004" s="71"/>
      <c r="AF1004" s="71"/>
      <c r="AG1004" s="71"/>
      <c r="AH1004" s="71"/>
      <c r="AI1004" s="68"/>
      <c r="AJ1004" s="214">
        <v>3.9689999999999994E-4</v>
      </c>
      <c r="AK1004" s="214">
        <v>1.7345999999999999</v>
      </c>
      <c r="AL1004" s="214">
        <v>2</v>
      </c>
      <c r="AM1004" s="214">
        <v>3.6734700000000002E-4</v>
      </c>
      <c r="AN1004" s="68"/>
      <c r="AO1004" s="67"/>
      <c r="AP1004" s="67"/>
      <c r="AQ1004" s="67"/>
      <c r="AR1004" s="67"/>
      <c r="AS1004" s="67"/>
      <c r="AT1004" s="68"/>
      <c r="AU1004" s="49"/>
      <c r="AV1004" s="50"/>
    </row>
    <row r="1005" spans="1:48" ht="12.75" customHeight="1" x14ac:dyDescent="0.25">
      <c r="A1005" s="72" t="s">
        <v>119</v>
      </c>
      <c r="B1005" s="43" t="s">
        <v>1154</v>
      </c>
      <c r="C1005" s="44" t="s">
        <v>1160</v>
      </c>
      <c r="D1005" s="45">
        <f>MROUND(MID($C1005,6,3)/Basis!$E$3,0.5)</f>
        <v>3.5</v>
      </c>
      <c r="E1005" s="45">
        <f>MROUND(MID($C1005,9,3)/Basis!$E$3,0.5)</f>
        <v>31.5</v>
      </c>
      <c r="F1005" s="199" t="s">
        <v>2950</v>
      </c>
      <c r="G1005" s="45">
        <f>ROUND(MID($C1005,12,2)/Basis!$E$3,1)</f>
        <v>5.5</v>
      </c>
      <c r="H1005" s="120">
        <f>ROUND($P1005*Basis!$E$2*((TaH-TrH)/LN(1/µ)/Basis!$E$7)^$N1005*$AA$4*Glycol,0)</f>
        <v>200</v>
      </c>
      <c r="I1005" s="83">
        <f>ROUND(H1005/(MID($C1005,9,3)/Basis!$E$3/Basis!$E$9)*Basis!$E$11,0)</f>
        <v>76</v>
      </c>
      <c r="J1005" s="123">
        <f>IF(Basis!$E$1=1,ROUND(H1005/((TaH-TrH)*1.163)/3600,3),ROUND(H1005/(500*(TaH-TrH)),2))</f>
        <v>0.02</v>
      </c>
      <c r="K1005" s="84"/>
      <c r="L1005" s="177">
        <f>CHOOSE(Basis!$E$1,((AJ1005*(J1005*3600/Basis!$E$5)^AK1005*(((MID(C1005,9,3)*10)-244)/1000)*AL1005+AM1005*(J1005*3600/Basis!$E$5)^2)*0.0098)/Basis!$E$10,((AJ1005*(J1005/Basis!$E$5)^AK1005*(((MID(C1005,9,3)*10)-244)/1000)*AL1005+AM1005*(J1005/Basis!$E$5)^2)*0.0098)/Basis!$E$10)</f>
        <v>3.9991018102758168E-5</v>
      </c>
      <c r="M1005" s="85"/>
      <c r="N1005" s="110">
        <v>1.3620000000000001</v>
      </c>
      <c r="O1005" s="74"/>
      <c r="P1005" s="73">
        <v>92</v>
      </c>
      <c r="Q1005" s="74"/>
      <c r="R1005" s="75"/>
      <c r="S1005" s="75"/>
      <c r="T1005" s="75"/>
      <c r="U1005" s="75"/>
      <c r="V1005" s="75"/>
      <c r="W1005" s="74"/>
      <c r="X1005" s="76"/>
      <c r="Y1005" s="76"/>
      <c r="Z1005" s="76"/>
      <c r="AA1005" s="76"/>
      <c r="AB1005" s="76"/>
      <c r="AC1005" s="74"/>
      <c r="AD1005" s="77"/>
      <c r="AE1005" s="77"/>
      <c r="AF1005" s="77"/>
      <c r="AG1005" s="77"/>
      <c r="AH1005" s="77"/>
      <c r="AI1005" s="68"/>
      <c r="AJ1005" s="213">
        <v>6.0625777523108995E-4</v>
      </c>
      <c r="AK1005" s="213">
        <v>1.8894792857555001</v>
      </c>
      <c r="AL1005" s="213">
        <v>1</v>
      </c>
      <c r="AM1005" s="213">
        <v>3.0758017492711002E-4</v>
      </c>
      <c r="AN1005" s="74"/>
      <c r="AO1005" s="73"/>
      <c r="AP1005" s="73"/>
      <c r="AQ1005" s="73"/>
      <c r="AR1005" s="73"/>
      <c r="AS1005" s="73"/>
      <c r="AT1005" s="74"/>
      <c r="AU1005" s="47"/>
      <c r="AV1005" s="48"/>
    </row>
    <row r="1006" spans="1:48" ht="12.75" customHeight="1" x14ac:dyDescent="0.25">
      <c r="A1006" s="72" t="s">
        <v>119</v>
      </c>
      <c r="B1006" s="43" t="s">
        <v>1154</v>
      </c>
      <c r="C1006" s="44" t="s">
        <v>1161</v>
      </c>
      <c r="D1006" s="45">
        <f>MROUND(MID($C1006,6,3)/Basis!$E$3,0.5)</f>
        <v>3.5</v>
      </c>
      <c r="E1006" s="45">
        <f>MROUND(MID($C1006,9,3)/Basis!$E$3,0.5)</f>
        <v>31.5</v>
      </c>
      <c r="F1006" s="199" t="s">
        <v>2950</v>
      </c>
      <c r="G1006" s="45">
        <f>ROUND(MID($C1006,12,2)/Basis!$E$3,1)</f>
        <v>7.1</v>
      </c>
      <c r="H1006" s="120">
        <f>ROUND($P1006*Basis!$E$2*((TaH-TrH)/LN(1/µ)/Basis!$E$7)^$N1006*$AA$4*Glycol,0)</f>
        <v>239</v>
      </c>
      <c r="I1006" s="83">
        <f>ROUND(H1006/(MID($C1006,9,3)/Basis!$E$3/Basis!$E$9)*Basis!$E$11,0)</f>
        <v>91</v>
      </c>
      <c r="J1006" s="123">
        <f>IF(Basis!$E$1=1,ROUND(H1006/((TaH-TrH)*1.163)/3600,3),ROUND(H1006/(500*(TaH-TrH)),2))</f>
        <v>0.02</v>
      </c>
      <c r="K1006" s="84"/>
      <c r="L1006" s="177">
        <f>CHOOSE(Basis!$E$1,((AJ1006*(J1006*3600/Basis!$E$5)^AK1006*(((MID(C1006,9,3)*10)-244)/1000)*AL1006+AM1006*(J1006*3600/Basis!$E$5)^2)*0.0098)/Basis!$E$10,((AJ1006*(J1006/Basis!$E$5)^AK1006*(((MID(C1006,9,3)*10)-244)/1000)*AL1006+AM1006*(J1006/Basis!$E$5)^2)*0.0098)/Basis!$E$10)</f>
        <v>8.1193028184497806E-5</v>
      </c>
      <c r="M1006" s="85"/>
      <c r="N1006" s="109">
        <v>1.3620000000000001</v>
      </c>
      <c r="O1006" s="68"/>
      <c r="P1006" s="67">
        <v>110</v>
      </c>
      <c r="Q1006" s="68"/>
      <c r="R1006" s="69"/>
      <c r="S1006" s="69"/>
      <c r="T1006" s="69"/>
      <c r="U1006" s="69"/>
      <c r="V1006" s="69"/>
      <c r="W1006" s="68"/>
      <c r="X1006" s="70"/>
      <c r="Y1006" s="70"/>
      <c r="Z1006" s="70"/>
      <c r="AA1006" s="70"/>
      <c r="AB1006" s="70"/>
      <c r="AC1006" s="68"/>
      <c r="AD1006" s="71"/>
      <c r="AE1006" s="71"/>
      <c r="AF1006" s="71"/>
      <c r="AG1006" s="71"/>
      <c r="AH1006" s="71"/>
      <c r="AI1006" s="68"/>
      <c r="AJ1006" s="214">
        <v>9.3669999999999995E-4</v>
      </c>
      <c r="AK1006" s="214">
        <v>1.789841</v>
      </c>
      <c r="AL1006" s="214">
        <v>2</v>
      </c>
      <c r="AM1006" s="214">
        <v>4.4559999999999999E-4</v>
      </c>
      <c r="AN1006" s="68"/>
      <c r="AO1006" s="67"/>
      <c r="AP1006" s="67"/>
      <c r="AQ1006" s="67"/>
      <c r="AR1006" s="67"/>
      <c r="AS1006" s="67"/>
      <c r="AT1006" s="68"/>
      <c r="AU1006" s="49"/>
      <c r="AV1006" s="50"/>
    </row>
    <row r="1007" spans="1:48" ht="12.75" customHeight="1" x14ac:dyDescent="0.25">
      <c r="A1007" s="72" t="s">
        <v>119</v>
      </c>
      <c r="B1007" s="43" t="s">
        <v>1154</v>
      </c>
      <c r="C1007" s="44" t="s">
        <v>1162</v>
      </c>
      <c r="D1007" s="45">
        <f>MROUND(MID($C1007,6,3)/Basis!$E$3,0.5)</f>
        <v>3.5</v>
      </c>
      <c r="E1007" s="45">
        <f>MROUND(MID($C1007,9,3)/Basis!$E$3,0.5)</f>
        <v>31.5</v>
      </c>
      <c r="F1007" s="199" t="s">
        <v>2950</v>
      </c>
      <c r="G1007" s="45">
        <f>ROUND(MID($C1007,12,2)/Basis!$E$3,1)</f>
        <v>10.199999999999999</v>
      </c>
      <c r="H1007" s="120">
        <f>ROUND($P1007*Basis!$E$2*((TaH-TrH)/LN(1/µ)/Basis!$E$7)^$N1007*$AA$4*Glycol,0)</f>
        <v>313</v>
      </c>
      <c r="I1007" s="83">
        <f>ROUND(H1007/(MID($C1007,9,3)/Basis!$E$3/Basis!$E$9)*Basis!$E$11,0)</f>
        <v>119</v>
      </c>
      <c r="J1007" s="123">
        <f>IF(Basis!$E$1=1,ROUND(H1007/((TaH-TrH)*1.163)/3600,3),ROUND(H1007/(500*(TaH-TrH)),2))</f>
        <v>0.03</v>
      </c>
      <c r="K1007" s="84"/>
      <c r="L1007" s="177">
        <f>CHOOSE(Basis!$E$1,((AJ1007*(J1007*3600/Basis!$E$5)^AK1007*(((MID(C1007,9,3)*10)-244)/1000)*AL1007+AM1007*(J1007*3600/Basis!$E$5)^2)*0.0098)/Basis!$E$10,((AJ1007*(J1007/Basis!$E$5)^AK1007*(((MID(C1007,9,3)*10)-244)/1000)*AL1007+AM1007*(J1007/Basis!$E$5)^2)*0.0098)/Basis!$E$10)</f>
        <v>1.7328748109926535E-4</v>
      </c>
      <c r="M1007" s="85"/>
      <c r="N1007" s="110">
        <v>1.3620000000000001</v>
      </c>
      <c r="O1007" s="74"/>
      <c r="P1007" s="73">
        <v>144</v>
      </c>
      <c r="Q1007" s="74"/>
      <c r="R1007" s="75"/>
      <c r="S1007" s="75"/>
      <c r="T1007" s="75"/>
      <c r="U1007" s="75"/>
      <c r="V1007" s="75"/>
      <c r="W1007" s="74"/>
      <c r="X1007" s="76"/>
      <c r="Y1007" s="76"/>
      <c r="Z1007" s="76"/>
      <c r="AA1007" s="76"/>
      <c r="AB1007" s="76"/>
      <c r="AC1007" s="74"/>
      <c r="AD1007" s="77"/>
      <c r="AE1007" s="77"/>
      <c r="AF1007" s="77"/>
      <c r="AG1007" s="77"/>
      <c r="AH1007" s="77"/>
      <c r="AI1007" s="68"/>
      <c r="AJ1007" s="213">
        <v>9.3669999999999995E-4</v>
      </c>
      <c r="AK1007" s="213">
        <v>1.789841</v>
      </c>
      <c r="AL1007" s="213">
        <v>2</v>
      </c>
      <c r="AM1007" s="213">
        <v>4.4559999999999999E-4</v>
      </c>
      <c r="AN1007" s="74"/>
      <c r="AO1007" s="73"/>
      <c r="AP1007" s="73"/>
      <c r="AQ1007" s="73"/>
      <c r="AR1007" s="73"/>
      <c r="AS1007" s="73"/>
      <c r="AT1007" s="74"/>
      <c r="AU1007" s="47"/>
      <c r="AV1007" s="48"/>
    </row>
    <row r="1008" spans="1:48" ht="12.75" customHeight="1" x14ac:dyDescent="0.25">
      <c r="A1008" s="72" t="s">
        <v>119</v>
      </c>
      <c r="B1008" s="43" t="s">
        <v>1154</v>
      </c>
      <c r="C1008" s="44" t="s">
        <v>1163</v>
      </c>
      <c r="D1008" s="45">
        <f>MROUND(MID($C1008,6,3)/Basis!$E$3,0.5)</f>
        <v>3.5</v>
      </c>
      <c r="E1008" s="45">
        <f>MROUND(MID($C1008,9,3)/Basis!$E$3,0.5)</f>
        <v>31.5</v>
      </c>
      <c r="F1008" s="199" t="s">
        <v>2950</v>
      </c>
      <c r="G1008" s="45">
        <f>ROUND(MID($C1008,12,2)/Basis!$E$3,1)</f>
        <v>13.4</v>
      </c>
      <c r="H1008" s="120">
        <f>ROUND($P1008*Basis!$E$2*((TaH-TrH)/LN(1/µ)/Basis!$E$7)^$N1008*$AA$4*Glycol,0)</f>
        <v>407</v>
      </c>
      <c r="I1008" s="83">
        <f>ROUND(H1008/(MID($C1008,9,3)/Basis!$E$3/Basis!$E$9)*Basis!$E$11,0)</f>
        <v>155</v>
      </c>
      <c r="J1008" s="123">
        <f>IF(Basis!$E$1=1,ROUND(H1008/((TaH-TrH)*1.163)/3600,3),ROUND(H1008/(500*(TaH-TrH)),2))</f>
        <v>0.04</v>
      </c>
      <c r="K1008" s="84"/>
      <c r="L1008" s="177">
        <f>CHOOSE(Basis!$E$1,((AJ1008*(J1008*3600/Basis!$E$5)^AK1008*(((MID(C1008,9,3)*10)-244)/1000)*AL1008+AM1008*(J1008*3600/Basis!$E$5)^2)*0.0098)/Basis!$E$10,((AJ1008*(J1008/Basis!$E$5)^AK1008*(((MID(C1008,9,3)*10)-244)/1000)*AL1008+AM1008*(J1008/Basis!$E$5)^2)*0.0098)/Basis!$E$10)</f>
        <v>8.083506969696337E-4</v>
      </c>
      <c r="M1008" s="85"/>
      <c r="N1008" s="109">
        <v>1.3620000000000001</v>
      </c>
      <c r="O1008" s="68"/>
      <c r="P1008" s="67">
        <v>187</v>
      </c>
      <c r="Q1008" s="68"/>
      <c r="R1008" s="69"/>
      <c r="S1008" s="69"/>
      <c r="T1008" s="69"/>
      <c r="U1008" s="69"/>
      <c r="V1008" s="69"/>
      <c r="W1008" s="68"/>
      <c r="X1008" s="70"/>
      <c r="Y1008" s="70"/>
      <c r="Z1008" s="70"/>
      <c r="AA1008" s="70"/>
      <c r="AB1008" s="70"/>
      <c r="AC1008" s="68"/>
      <c r="AD1008" s="71"/>
      <c r="AE1008" s="71"/>
      <c r="AF1008" s="71"/>
      <c r="AG1008" s="71"/>
      <c r="AH1008" s="71"/>
      <c r="AI1008" s="68"/>
      <c r="AJ1008" s="214">
        <v>1.3162765859195E-2</v>
      </c>
      <c r="AK1008" s="214">
        <v>1.4286501188989</v>
      </c>
      <c r="AL1008" s="214">
        <v>1</v>
      </c>
      <c r="AM1008" s="214">
        <v>9.2091836734694004E-4</v>
      </c>
      <c r="AN1008" s="68"/>
      <c r="AO1008" s="67"/>
      <c r="AP1008" s="67"/>
      <c r="AQ1008" s="67"/>
      <c r="AR1008" s="67"/>
      <c r="AS1008" s="67"/>
      <c r="AT1008" s="68"/>
      <c r="AU1008" s="49"/>
      <c r="AV1008" s="50"/>
    </row>
    <row r="1009" spans="1:48" ht="12.75" customHeight="1" x14ac:dyDescent="0.25">
      <c r="A1009" s="72" t="s">
        <v>119</v>
      </c>
      <c r="B1009" s="43" t="s">
        <v>1154</v>
      </c>
      <c r="C1009" s="44" t="s">
        <v>1164</v>
      </c>
      <c r="D1009" s="45">
        <f>MROUND(MID($C1009,6,3)/Basis!$E$3,0.5)</f>
        <v>3.5</v>
      </c>
      <c r="E1009" s="45">
        <f>MROUND(MID($C1009,9,3)/Basis!$E$3,0.5)</f>
        <v>31.5</v>
      </c>
      <c r="F1009" s="199" t="s">
        <v>2950</v>
      </c>
      <c r="G1009" s="45">
        <f>ROUND(MID($C1009,12,2)/Basis!$E$3,1)</f>
        <v>16.5</v>
      </c>
      <c r="H1009" s="120">
        <f>ROUND($P1009*Basis!$E$2*((TaH-TrH)/LN(1/µ)/Basis!$E$7)^$N1009*$AA$4*Glycol,0)</f>
        <v>588</v>
      </c>
      <c r="I1009" s="83">
        <f>ROUND(H1009/(MID($C1009,9,3)/Basis!$E$3/Basis!$E$9)*Basis!$E$11,0)</f>
        <v>224</v>
      </c>
      <c r="J1009" s="123">
        <f>IF(Basis!$E$1=1,ROUND(H1009/((TaH-TrH)*1.163)/3600,3),ROUND(H1009/(500*(TaH-TrH)),2))</f>
        <v>0.06</v>
      </c>
      <c r="K1009" s="84"/>
      <c r="L1009" s="177">
        <f>CHOOSE(Basis!$E$1,((AJ1009*(J1009*3600/Basis!$E$5)^AK1009*(((MID(C1009,9,3)*10)-244)/1000)*AL1009+AM1009*(J1009*3600/Basis!$E$5)^2)*0.0098)/Basis!$E$10,((AJ1009*(J1009/Basis!$E$5)^AK1009*(((MID(C1009,9,3)*10)-244)/1000)*AL1009+AM1009*(J1009/Basis!$E$5)^2)*0.0098)/Basis!$E$10)</f>
        <v>3.57042479035284E-4</v>
      </c>
      <c r="M1009" s="85"/>
      <c r="N1009" s="110">
        <v>1.3620000000000001</v>
      </c>
      <c r="O1009" s="74"/>
      <c r="P1009" s="73">
        <v>270</v>
      </c>
      <c r="Q1009" s="74"/>
      <c r="R1009" s="75"/>
      <c r="S1009" s="75"/>
      <c r="T1009" s="75"/>
      <c r="U1009" s="75"/>
      <c r="V1009" s="75"/>
      <c r="W1009" s="74"/>
      <c r="X1009" s="76"/>
      <c r="Y1009" s="76"/>
      <c r="Z1009" s="76"/>
      <c r="AA1009" s="76"/>
      <c r="AB1009" s="76"/>
      <c r="AC1009" s="74"/>
      <c r="AD1009" s="77"/>
      <c r="AE1009" s="77"/>
      <c r="AF1009" s="77"/>
      <c r="AG1009" s="77"/>
      <c r="AH1009" s="77"/>
      <c r="AI1009" s="68"/>
      <c r="AJ1009" s="213">
        <v>3.9689999999999994E-4</v>
      </c>
      <c r="AK1009" s="213">
        <v>1.7345999999999999</v>
      </c>
      <c r="AL1009" s="213">
        <v>2</v>
      </c>
      <c r="AM1009" s="213">
        <v>3.6734700000000002E-4</v>
      </c>
      <c r="AN1009" s="74"/>
      <c r="AO1009" s="73"/>
      <c r="AP1009" s="73"/>
      <c r="AQ1009" s="73"/>
      <c r="AR1009" s="73"/>
      <c r="AS1009" s="73"/>
      <c r="AT1009" s="74"/>
      <c r="AU1009" s="47"/>
      <c r="AV1009" s="48"/>
    </row>
    <row r="1010" spans="1:48" ht="12.75" customHeight="1" x14ac:dyDescent="0.25">
      <c r="A1010" s="72" t="s">
        <v>119</v>
      </c>
      <c r="B1010" s="43" t="s">
        <v>1154</v>
      </c>
      <c r="C1010" s="44" t="s">
        <v>1165</v>
      </c>
      <c r="D1010" s="45">
        <f>MROUND(MID($C1010,6,3)/Basis!$E$3,0.5)</f>
        <v>3.5</v>
      </c>
      <c r="E1010" s="45">
        <f>MROUND(MID($C1010,9,3)/Basis!$E$3,0.5)</f>
        <v>35.5</v>
      </c>
      <c r="F1010" s="199" t="s">
        <v>2950</v>
      </c>
      <c r="G1010" s="45">
        <f>ROUND(MID($C1010,12,2)/Basis!$E$3,1)</f>
        <v>5.5</v>
      </c>
      <c r="H1010" s="120">
        <f>ROUND($P1010*Basis!$E$2*((TaH-TrH)/LN(1/µ)/Basis!$E$7)^$N1010*$AA$4*Glycol,0)</f>
        <v>242</v>
      </c>
      <c r="I1010" s="83">
        <f>ROUND(H1010/(MID($C1010,9,3)/Basis!$E$3/Basis!$E$9)*Basis!$E$11,0)</f>
        <v>82</v>
      </c>
      <c r="J1010" s="123">
        <f>IF(Basis!$E$1=1,ROUND(H1010/((TaH-TrH)*1.163)/3600,3),ROUND(H1010/(500*(TaH-TrH)),2))</f>
        <v>0.02</v>
      </c>
      <c r="K1010" s="84"/>
      <c r="L1010" s="177">
        <f>CHOOSE(Basis!$E$1,((AJ1010*(J1010*3600/Basis!$E$5)^AK1010*(((MID(C1010,9,3)*10)-244)/1000)*AL1010+AM1010*(J1010*3600/Basis!$E$5)^2)*0.0098)/Basis!$E$10,((AJ1010*(J1010/Basis!$E$5)^AK1010*(((MID(C1010,9,3)*10)-244)/1000)*AL1010+AM1010*(J1010/Basis!$E$5)^2)*0.0098)/Basis!$E$10)</f>
        <v>4.3451304699366827E-5</v>
      </c>
      <c r="M1010" s="85"/>
      <c r="N1010" s="109">
        <v>1.3620000000000001</v>
      </c>
      <c r="O1010" s="68"/>
      <c r="P1010" s="67">
        <v>111</v>
      </c>
      <c r="Q1010" s="68"/>
      <c r="R1010" s="69"/>
      <c r="S1010" s="69"/>
      <c r="T1010" s="69"/>
      <c r="U1010" s="69"/>
      <c r="V1010" s="69"/>
      <c r="W1010" s="68"/>
      <c r="X1010" s="70"/>
      <c r="Y1010" s="70"/>
      <c r="Z1010" s="70"/>
      <c r="AA1010" s="70"/>
      <c r="AB1010" s="70"/>
      <c r="AC1010" s="68"/>
      <c r="AD1010" s="71"/>
      <c r="AE1010" s="71"/>
      <c r="AF1010" s="71"/>
      <c r="AG1010" s="71"/>
      <c r="AH1010" s="71"/>
      <c r="AI1010" s="68"/>
      <c r="AJ1010" s="214">
        <v>6.0625777523108995E-4</v>
      </c>
      <c r="AK1010" s="214">
        <v>1.8894792857555001</v>
      </c>
      <c r="AL1010" s="214">
        <v>1</v>
      </c>
      <c r="AM1010" s="214">
        <v>3.0758017492711002E-4</v>
      </c>
      <c r="AN1010" s="68"/>
      <c r="AO1010" s="67"/>
      <c r="AP1010" s="67"/>
      <c r="AQ1010" s="67"/>
      <c r="AR1010" s="67"/>
      <c r="AS1010" s="67"/>
      <c r="AT1010" s="68"/>
      <c r="AU1010" s="49"/>
      <c r="AV1010" s="50"/>
    </row>
    <row r="1011" spans="1:48" ht="12.75" customHeight="1" x14ac:dyDescent="0.25">
      <c r="A1011" s="72" t="s">
        <v>119</v>
      </c>
      <c r="B1011" s="43" t="s">
        <v>1154</v>
      </c>
      <c r="C1011" s="44" t="s">
        <v>1166</v>
      </c>
      <c r="D1011" s="45">
        <f>MROUND(MID($C1011,6,3)/Basis!$E$3,0.5)</f>
        <v>3.5</v>
      </c>
      <c r="E1011" s="45">
        <f>MROUND(MID($C1011,9,3)/Basis!$E$3,0.5)</f>
        <v>35.5</v>
      </c>
      <c r="F1011" s="199" t="s">
        <v>2950</v>
      </c>
      <c r="G1011" s="45">
        <f>ROUND(MID($C1011,12,2)/Basis!$E$3,1)</f>
        <v>7.1</v>
      </c>
      <c r="H1011" s="120">
        <f>ROUND($P1011*Basis!$E$2*((TaH-TrH)/LN(1/µ)/Basis!$E$7)^$N1011*$AA$4*Glycol,0)</f>
        <v>285</v>
      </c>
      <c r="I1011" s="83">
        <f>ROUND(H1011/(MID($C1011,9,3)/Basis!$E$3/Basis!$E$9)*Basis!$E$11,0)</f>
        <v>97</v>
      </c>
      <c r="J1011" s="123">
        <f>IF(Basis!$E$1=1,ROUND(H1011/((TaH-TrH)*1.163)/3600,3),ROUND(H1011/(500*(TaH-TrH)),2))</f>
        <v>0.03</v>
      </c>
      <c r="K1011" s="84"/>
      <c r="L1011" s="177">
        <f>CHOOSE(Basis!$E$1,((AJ1011*(J1011*3600/Basis!$E$5)^AK1011*(((MID(C1011,9,3)*10)-244)/1000)*AL1011+AM1011*(J1011*3600/Basis!$E$5)^2)*0.0098)/Basis!$E$10,((AJ1011*(J1011/Basis!$E$5)^AK1011*(((MID(C1011,9,3)*10)-244)/1000)*AL1011+AM1011*(J1011/Basis!$E$5)^2)*0.0098)/Basis!$E$10)</f>
        <v>1.9228820893210253E-4</v>
      </c>
      <c r="M1011" s="85"/>
      <c r="N1011" s="110">
        <v>1.3620000000000001</v>
      </c>
      <c r="O1011" s="74"/>
      <c r="P1011" s="73">
        <v>131</v>
      </c>
      <c r="Q1011" s="74"/>
      <c r="R1011" s="75"/>
      <c r="S1011" s="75"/>
      <c r="T1011" s="75"/>
      <c r="U1011" s="75"/>
      <c r="V1011" s="75"/>
      <c r="W1011" s="74"/>
      <c r="X1011" s="76"/>
      <c r="Y1011" s="76"/>
      <c r="Z1011" s="76"/>
      <c r="AA1011" s="76"/>
      <c r="AB1011" s="76"/>
      <c r="AC1011" s="74"/>
      <c r="AD1011" s="77"/>
      <c r="AE1011" s="77"/>
      <c r="AF1011" s="77"/>
      <c r="AG1011" s="77"/>
      <c r="AH1011" s="77"/>
      <c r="AI1011" s="68"/>
      <c r="AJ1011" s="213">
        <v>9.3669999999999995E-4</v>
      </c>
      <c r="AK1011" s="213">
        <v>1.789841</v>
      </c>
      <c r="AL1011" s="213">
        <v>2</v>
      </c>
      <c r="AM1011" s="213">
        <v>4.4559999999999999E-4</v>
      </c>
      <c r="AN1011" s="74"/>
      <c r="AO1011" s="73"/>
      <c r="AP1011" s="73"/>
      <c r="AQ1011" s="73"/>
      <c r="AR1011" s="73"/>
      <c r="AS1011" s="73"/>
      <c r="AT1011" s="74"/>
      <c r="AU1011" s="47"/>
      <c r="AV1011" s="48"/>
    </row>
    <row r="1012" spans="1:48" ht="12.75" customHeight="1" x14ac:dyDescent="0.25">
      <c r="A1012" s="72" t="s">
        <v>119</v>
      </c>
      <c r="B1012" s="43" t="s">
        <v>1154</v>
      </c>
      <c r="C1012" s="44" t="s">
        <v>1167</v>
      </c>
      <c r="D1012" s="45">
        <f>MROUND(MID($C1012,6,3)/Basis!$E$3,0.5)</f>
        <v>3.5</v>
      </c>
      <c r="E1012" s="45">
        <f>MROUND(MID($C1012,9,3)/Basis!$E$3,0.5)</f>
        <v>35.5</v>
      </c>
      <c r="F1012" s="199" t="s">
        <v>2950</v>
      </c>
      <c r="G1012" s="45">
        <f>ROUND(MID($C1012,12,2)/Basis!$E$3,1)</f>
        <v>10.199999999999999</v>
      </c>
      <c r="H1012" s="120">
        <f>ROUND($P1012*Basis!$E$2*((TaH-TrH)/LN(1/µ)/Basis!$E$7)^$N1012*$AA$4*Glycol,0)</f>
        <v>377</v>
      </c>
      <c r="I1012" s="83">
        <f>ROUND(H1012/(MID($C1012,9,3)/Basis!$E$3/Basis!$E$9)*Basis!$E$11,0)</f>
        <v>128</v>
      </c>
      <c r="J1012" s="123">
        <f>IF(Basis!$E$1=1,ROUND(H1012/((TaH-TrH)*1.163)/3600,3),ROUND(H1012/(500*(TaH-TrH)),2))</f>
        <v>0.04</v>
      </c>
      <c r="K1012" s="84"/>
      <c r="L1012" s="177">
        <f>CHOOSE(Basis!$E$1,((AJ1012*(J1012*3600/Basis!$E$5)^AK1012*(((MID(C1012,9,3)*10)-244)/1000)*AL1012+AM1012*(J1012*3600/Basis!$E$5)^2)*0.0098)/Basis!$E$10,((AJ1012*(J1012/Basis!$E$5)^AK1012*(((MID(C1012,9,3)*10)-244)/1000)*AL1012+AM1012*(J1012/Basis!$E$5)^2)*0.0098)/Basis!$E$10)</f>
        <v>3.2884550624484989E-4</v>
      </c>
      <c r="M1012" s="85"/>
      <c r="N1012" s="109">
        <v>1.3620000000000001</v>
      </c>
      <c r="O1012" s="68"/>
      <c r="P1012" s="67">
        <v>173</v>
      </c>
      <c r="Q1012" s="68"/>
      <c r="R1012" s="69"/>
      <c r="S1012" s="69"/>
      <c r="T1012" s="69"/>
      <c r="U1012" s="69"/>
      <c r="V1012" s="69"/>
      <c r="W1012" s="68"/>
      <c r="X1012" s="70"/>
      <c r="Y1012" s="70"/>
      <c r="Z1012" s="70"/>
      <c r="AA1012" s="70"/>
      <c r="AB1012" s="70"/>
      <c r="AC1012" s="68"/>
      <c r="AD1012" s="71"/>
      <c r="AE1012" s="71"/>
      <c r="AF1012" s="71"/>
      <c r="AG1012" s="71"/>
      <c r="AH1012" s="71"/>
      <c r="AI1012" s="68"/>
      <c r="AJ1012" s="214">
        <v>9.3669999999999995E-4</v>
      </c>
      <c r="AK1012" s="214">
        <v>1.789841</v>
      </c>
      <c r="AL1012" s="214">
        <v>2</v>
      </c>
      <c r="AM1012" s="214">
        <v>4.4559999999999999E-4</v>
      </c>
      <c r="AN1012" s="68"/>
      <c r="AO1012" s="67"/>
      <c r="AP1012" s="67"/>
      <c r="AQ1012" s="67"/>
      <c r="AR1012" s="67"/>
      <c r="AS1012" s="67"/>
      <c r="AT1012" s="68"/>
      <c r="AU1012" s="49"/>
      <c r="AV1012" s="50"/>
    </row>
    <row r="1013" spans="1:48" ht="12.75" customHeight="1" x14ac:dyDescent="0.25">
      <c r="A1013" s="72" t="s">
        <v>119</v>
      </c>
      <c r="B1013" s="43" t="s">
        <v>1154</v>
      </c>
      <c r="C1013" s="44" t="s">
        <v>1168</v>
      </c>
      <c r="D1013" s="45">
        <f>MROUND(MID($C1013,6,3)/Basis!$E$3,0.5)</f>
        <v>3.5</v>
      </c>
      <c r="E1013" s="45">
        <f>MROUND(MID($C1013,9,3)/Basis!$E$3,0.5)</f>
        <v>35.5</v>
      </c>
      <c r="F1013" s="199" t="s">
        <v>2950</v>
      </c>
      <c r="G1013" s="45">
        <f>ROUND(MID($C1013,12,2)/Basis!$E$3,1)</f>
        <v>13.4</v>
      </c>
      <c r="H1013" s="120">
        <f>ROUND($P1013*Basis!$E$2*((TaH-TrH)/LN(1/µ)/Basis!$E$7)^$N1013*$AA$4*Glycol,0)</f>
        <v>488</v>
      </c>
      <c r="I1013" s="83">
        <f>ROUND(H1013/(MID($C1013,9,3)/Basis!$E$3/Basis!$E$9)*Basis!$E$11,0)</f>
        <v>165</v>
      </c>
      <c r="J1013" s="123">
        <f>IF(Basis!$E$1=1,ROUND(H1013/((TaH-TrH)*1.163)/3600,3),ROUND(H1013/(500*(TaH-TrH)),2))</f>
        <v>0.05</v>
      </c>
      <c r="K1013" s="84"/>
      <c r="L1013" s="177">
        <f>CHOOSE(Basis!$E$1,((AJ1013*(J1013*3600/Basis!$E$5)^AK1013*(((MID(C1013,9,3)*10)-244)/1000)*AL1013+AM1013*(J1013*3600/Basis!$E$5)^2)*0.0098)/Basis!$E$10,((AJ1013*(J1013/Basis!$E$5)^AK1013*(((MID(C1013,9,3)*10)-244)/1000)*AL1013+AM1013*(J1013/Basis!$E$5)^2)*0.0098)/Basis!$E$10)</f>
        <v>1.2968355808575689E-3</v>
      </c>
      <c r="M1013" s="85"/>
      <c r="N1013" s="110">
        <v>1.3620000000000001</v>
      </c>
      <c r="O1013" s="74"/>
      <c r="P1013" s="73">
        <v>224</v>
      </c>
      <c r="Q1013" s="74"/>
      <c r="R1013" s="75"/>
      <c r="S1013" s="75"/>
      <c r="T1013" s="75"/>
      <c r="U1013" s="75"/>
      <c r="V1013" s="75"/>
      <c r="W1013" s="74"/>
      <c r="X1013" s="76"/>
      <c r="Y1013" s="76"/>
      <c r="Z1013" s="76"/>
      <c r="AA1013" s="76"/>
      <c r="AB1013" s="76"/>
      <c r="AC1013" s="74"/>
      <c r="AD1013" s="77"/>
      <c r="AE1013" s="77"/>
      <c r="AF1013" s="77"/>
      <c r="AG1013" s="77"/>
      <c r="AH1013" s="77"/>
      <c r="AI1013" s="68"/>
      <c r="AJ1013" s="213">
        <v>1.3162765859195E-2</v>
      </c>
      <c r="AK1013" s="213">
        <v>1.4286501188989</v>
      </c>
      <c r="AL1013" s="213">
        <v>1</v>
      </c>
      <c r="AM1013" s="213">
        <v>9.2091836734694004E-4</v>
      </c>
      <c r="AN1013" s="74"/>
      <c r="AO1013" s="73"/>
      <c r="AP1013" s="73"/>
      <c r="AQ1013" s="73"/>
      <c r="AR1013" s="73"/>
      <c r="AS1013" s="73"/>
      <c r="AT1013" s="74"/>
      <c r="AU1013" s="47"/>
      <c r="AV1013" s="48"/>
    </row>
    <row r="1014" spans="1:48" ht="12.75" customHeight="1" x14ac:dyDescent="0.25">
      <c r="A1014" s="72" t="s">
        <v>119</v>
      </c>
      <c r="B1014" s="43" t="s">
        <v>1154</v>
      </c>
      <c r="C1014" s="44" t="s">
        <v>1169</v>
      </c>
      <c r="D1014" s="45">
        <f>MROUND(MID($C1014,6,3)/Basis!$E$3,0.5)</f>
        <v>3.5</v>
      </c>
      <c r="E1014" s="45">
        <f>MROUND(MID($C1014,9,3)/Basis!$E$3,0.5)</f>
        <v>35.5</v>
      </c>
      <c r="F1014" s="199" t="s">
        <v>2950</v>
      </c>
      <c r="G1014" s="45">
        <f>ROUND(MID($C1014,12,2)/Basis!$E$3,1)</f>
        <v>16.5</v>
      </c>
      <c r="H1014" s="120">
        <f>ROUND($P1014*Basis!$E$2*((TaH-TrH)/LN(1/µ)/Basis!$E$7)^$N1014*$AA$4*Glycol,0)</f>
        <v>703</v>
      </c>
      <c r="I1014" s="83">
        <f>ROUND(H1014/(MID($C1014,9,3)/Basis!$E$3/Basis!$E$9)*Basis!$E$11,0)</f>
        <v>238</v>
      </c>
      <c r="J1014" s="123">
        <f>IF(Basis!$E$1=1,ROUND(H1014/((TaH-TrH)*1.163)/3600,3),ROUND(H1014/(500*(TaH-TrH)),2))</f>
        <v>7.0000000000000007E-2</v>
      </c>
      <c r="K1014" s="84"/>
      <c r="L1014" s="177">
        <f>CHOOSE(Basis!$E$1,((AJ1014*(J1014*3600/Basis!$E$5)^AK1014*(((MID(C1014,9,3)*10)-244)/1000)*AL1014+AM1014*(J1014*3600/Basis!$E$5)^2)*0.0098)/Basis!$E$10,((AJ1014*(J1014/Basis!$E$5)^AK1014*(((MID(C1014,9,3)*10)-244)/1000)*AL1014+AM1014*(J1014/Basis!$E$5)^2)*0.0098)/Basis!$E$10)</f>
        <v>5.1014930632757095E-4</v>
      </c>
      <c r="M1014" s="85"/>
      <c r="N1014" s="109">
        <v>1.3620000000000001</v>
      </c>
      <c r="O1014" s="68"/>
      <c r="P1014" s="67">
        <v>323</v>
      </c>
      <c r="Q1014" s="68"/>
      <c r="R1014" s="69"/>
      <c r="S1014" s="69"/>
      <c r="T1014" s="69"/>
      <c r="U1014" s="69"/>
      <c r="V1014" s="69"/>
      <c r="W1014" s="68"/>
      <c r="X1014" s="70"/>
      <c r="Y1014" s="70"/>
      <c r="Z1014" s="70"/>
      <c r="AA1014" s="70"/>
      <c r="AB1014" s="70"/>
      <c r="AC1014" s="68"/>
      <c r="AD1014" s="71"/>
      <c r="AE1014" s="71"/>
      <c r="AF1014" s="71"/>
      <c r="AG1014" s="71"/>
      <c r="AH1014" s="71"/>
      <c r="AI1014" s="68"/>
      <c r="AJ1014" s="214">
        <v>3.9689999999999994E-4</v>
      </c>
      <c r="AK1014" s="214">
        <v>1.7345999999999999</v>
      </c>
      <c r="AL1014" s="214">
        <v>2</v>
      </c>
      <c r="AM1014" s="214">
        <v>3.6734700000000002E-4</v>
      </c>
      <c r="AN1014" s="68"/>
      <c r="AO1014" s="67"/>
      <c r="AP1014" s="67"/>
      <c r="AQ1014" s="67"/>
      <c r="AR1014" s="67"/>
      <c r="AS1014" s="67"/>
      <c r="AT1014" s="68"/>
      <c r="AU1014" s="49"/>
      <c r="AV1014" s="50"/>
    </row>
    <row r="1015" spans="1:48" ht="12.75" customHeight="1" x14ac:dyDescent="0.25">
      <c r="A1015" s="72" t="s">
        <v>119</v>
      </c>
      <c r="B1015" s="43" t="s">
        <v>1154</v>
      </c>
      <c r="C1015" s="44" t="s">
        <v>1170</v>
      </c>
      <c r="D1015" s="45">
        <f>MROUND(MID($C1015,6,3)/Basis!$E$3,0.5)</f>
        <v>3.5</v>
      </c>
      <c r="E1015" s="45">
        <f>MROUND(MID($C1015,9,3)/Basis!$E$3,0.5)</f>
        <v>39.5</v>
      </c>
      <c r="F1015" s="199" t="s">
        <v>2950</v>
      </c>
      <c r="G1015" s="45">
        <f>ROUND(MID($C1015,12,2)/Basis!$E$3,1)</f>
        <v>5.5</v>
      </c>
      <c r="H1015" s="120">
        <f>ROUND($P1015*Basis!$E$2*((TaH-TrH)/LN(1/µ)/Basis!$E$7)^$N1015*$AA$4*Glycol,0)</f>
        <v>281</v>
      </c>
      <c r="I1015" s="83">
        <f>ROUND(H1015/(MID($C1015,9,3)/Basis!$E$3/Basis!$E$9)*Basis!$E$11,0)</f>
        <v>86</v>
      </c>
      <c r="J1015" s="123">
        <f>IF(Basis!$E$1=1,ROUND(H1015/((TaH-TrH)*1.163)/3600,3),ROUND(H1015/(500*(TaH-TrH)),2))</f>
        <v>0.03</v>
      </c>
      <c r="K1015" s="84"/>
      <c r="L1015" s="177">
        <f>CHOOSE(Basis!$E$1,((AJ1015*(J1015*3600/Basis!$E$5)^AK1015*(((MID(C1015,9,3)*10)-244)/1000)*AL1015+AM1015*(J1015*3600/Basis!$E$5)^2)*0.0098)/Basis!$E$10,((AJ1015*(J1015/Basis!$E$5)^AK1015*(((MID(C1015,9,3)*10)-244)/1000)*AL1015+AM1015*(J1015/Basis!$E$5)^2)*0.0098)/Basis!$E$10)</f>
        <v>1.0297167845018914E-4</v>
      </c>
      <c r="M1015" s="85"/>
      <c r="N1015" s="110">
        <v>1.3620000000000001</v>
      </c>
      <c r="O1015" s="74"/>
      <c r="P1015" s="73">
        <v>129</v>
      </c>
      <c r="Q1015" s="74"/>
      <c r="R1015" s="75"/>
      <c r="S1015" s="75"/>
      <c r="T1015" s="75"/>
      <c r="U1015" s="75"/>
      <c r="V1015" s="75"/>
      <c r="W1015" s="74"/>
      <c r="X1015" s="76"/>
      <c r="Y1015" s="76"/>
      <c r="Z1015" s="76"/>
      <c r="AA1015" s="76"/>
      <c r="AB1015" s="76"/>
      <c r="AC1015" s="74"/>
      <c r="AD1015" s="77"/>
      <c r="AE1015" s="77"/>
      <c r="AF1015" s="77"/>
      <c r="AG1015" s="77"/>
      <c r="AH1015" s="77"/>
      <c r="AI1015" s="68"/>
      <c r="AJ1015" s="213">
        <v>6.0625777523108995E-4</v>
      </c>
      <c r="AK1015" s="213">
        <v>1.8894792857555001</v>
      </c>
      <c r="AL1015" s="213">
        <v>1</v>
      </c>
      <c r="AM1015" s="213">
        <v>3.0758017492711002E-4</v>
      </c>
      <c r="AN1015" s="74"/>
      <c r="AO1015" s="73"/>
      <c r="AP1015" s="73"/>
      <c r="AQ1015" s="73"/>
      <c r="AR1015" s="73"/>
      <c r="AS1015" s="73"/>
      <c r="AT1015" s="74"/>
      <c r="AU1015" s="47"/>
      <c r="AV1015" s="48"/>
    </row>
    <row r="1016" spans="1:48" ht="12.75" customHeight="1" x14ac:dyDescent="0.25">
      <c r="A1016" s="72" t="s">
        <v>119</v>
      </c>
      <c r="B1016" s="43" t="s">
        <v>1154</v>
      </c>
      <c r="C1016" s="44" t="s">
        <v>1171</v>
      </c>
      <c r="D1016" s="45">
        <f>MROUND(MID($C1016,6,3)/Basis!$E$3,0.5)</f>
        <v>3.5</v>
      </c>
      <c r="E1016" s="45">
        <f>MROUND(MID($C1016,9,3)/Basis!$E$3,0.5)</f>
        <v>39.5</v>
      </c>
      <c r="F1016" s="199" t="s">
        <v>2950</v>
      </c>
      <c r="G1016" s="45">
        <f>ROUND(MID($C1016,12,2)/Basis!$E$3,1)</f>
        <v>7.1</v>
      </c>
      <c r="H1016" s="120">
        <f>ROUND($P1016*Basis!$E$2*((TaH-TrH)/LN(1/µ)/Basis!$E$7)^$N1016*$AA$4*Glycol,0)</f>
        <v>333</v>
      </c>
      <c r="I1016" s="83">
        <f>ROUND(H1016/(MID($C1016,9,3)/Basis!$E$3/Basis!$E$9)*Basis!$E$11,0)</f>
        <v>101</v>
      </c>
      <c r="J1016" s="123">
        <f>IF(Basis!$E$1=1,ROUND(H1016/((TaH-TrH)*1.163)/3600,3),ROUND(H1016/(500*(TaH-TrH)),2))</f>
        <v>0.03</v>
      </c>
      <c r="K1016" s="84"/>
      <c r="L1016" s="177">
        <f>CHOOSE(Basis!$E$1,((AJ1016*(J1016*3600/Basis!$E$5)^AK1016*(((MID(C1016,9,3)*10)-244)/1000)*AL1016+AM1016*(J1016*3600/Basis!$E$5)^2)*0.0098)/Basis!$E$10,((AJ1016*(J1016/Basis!$E$5)^AK1016*(((MID(C1016,9,3)*10)-244)/1000)*AL1016+AM1016*(J1016/Basis!$E$5)^2)*0.0098)/Basis!$E$10)</f>
        <v>2.1128893676493978E-4</v>
      </c>
      <c r="M1016" s="85"/>
      <c r="N1016" s="109">
        <v>1.3620000000000001</v>
      </c>
      <c r="O1016" s="68"/>
      <c r="P1016" s="67">
        <v>153</v>
      </c>
      <c r="Q1016" s="68"/>
      <c r="R1016" s="69"/>
      <c r="S1016" s="69"/>
      <c r="T1016" s="69"/>
      <c r="U1016" s="69"/>
      <c r="V1016" s="69"/>
      <c r="W1016" s="68"/>
      <c r="X1016" s="70"/>
      <c r="Y1016" s="70"/>
      <c r="Z1016" s="70"/>
      <c r="AA1016" s="70"/>
      <c r="AB1016" s="70"/>
      <c r="AC1016" s="68"/>
      <c r="AD1016" s="71"/>
      <c r="AE1016" s="71"/>
      <c r="AF1016" s="71"/>
      <c r="AG1016" s="71"/>
      <c r="AH1016" s="71"/>
      <c r="AI1016" s="68"/>
      <c r="AJ1016" s="214">
        <v>9.3669999999999995E-4</v>
      </c>
      <c r="AK1016" s="214">
        <v>1.789841</v>
      </c>
      <c r="AL1016" s="214">
        <v>2</v>
      </c>
      <c r="AM1016" s="214">
        <v>4.4559999999999999E-4</v>
      </c>
      <c r="AN1016" s="68"/>
      <c r="AO1016" s="67"/>
      <c r="AP1016" s="67"/>
      <c r="AQ1016" s="67"/>
      <c r="AR1016" s="67"/>
      <c r="AS1016" s="67"/>
      <c r="AT1016" s="68"/>
      <c r="AU1016" s="49"/>
      <c r="AV1016" s="50"/>
    </row>
    <row r="1017" spans="1:48" ht="12.75" customHeight="1" x14ac:dyDescent="0.25">
      <c r="A1017" s="72" t="s">
        <v>119</v>
      </c>
      <c r="B1017" s="43" t="s">
        <v>1154</v>
      </c>
      <c r="C1017" s="44" t="s">
        <v>1172</v>
      </c>
      <c r="D1017" s="45">
        <f>MROUND(MID($C1017,6,3)/Basis!$E$3,0.5)</f>
        <v>3.5</v>
      </c>
      <c r="E1017" s="45">
        <f>MROUND(MID($C1017,9,3)/Basis!$E$3,0.5)</f>
        <v>39.5</v>
      </c>
      <c r="F1017" s="199" t="s">
        <v>2950</v>
      </c>
      <c r="G1017" s="45">
        <f>ROUND(MID($C1017,12,2)/Basis!$E$3,1)</f>
        <v>10.199999999999999</v>
      </c>
      <c r="H1017" s="120">
        <f>ROUND($P1017*Basis!$E$2*((TaH-TrH)/LN(1/µ)/Basis!$E$7)^$N1017*$AA$4*Glycol,0)</f>
        <v>438</v>
      </c>
      <c r="I1017" s="83">
        <f>ROUND(H1017/(MID($C1017,9,3)/Basis!$E$3/Basis!$E$9)*Basis!$E$11,0)</f>
        <v>134</v>
      </c>
      <c r="J1017" s="123">
        <f>IF(Basis!$E$1=1,ROUND(H1017/((TaH-TrH)*1.163)/3600,3),ROUND(H1017/(500*(TaH-TrH)),2))</f>
        <v>0.04</v>
      </c>
      <c r="K1017" s="84"/>
      <c r="L1017" s="177">
        <f>CHOOSE(Basis!$E$1,((AJ1017*(J1017*3600/Basis!$E$5)^AK1017*(((MID(C1017,9,3)*10)-244)/1000)*AL1017+AM1017*(J1017*3600/Basis!$E$5)^2)*0.0098)/Basis!$E$10,((AJ1017*(J1017/Basis!$E$5)^AK1017*(((MID(C1017,9,3)*10)-244)/1000)*AL1017+AM1017*(J1017/Basis!$E$5)^2)*0.0098)/Basis!$E$10)</f>
        <v>3.6064284036789527E-4</v>
      </c>
      <c r="M1017" s="85"/>
      <c r="N1017" s="110">
        <v>1.3620000000000001</v>
      </c>
      <c r="O1017" s="74"/>
      <c r="P1017" s="73">
        <v>201</v>
      </c>
      <c r="Q1017" s="74"/>
      <c r="R1017" s="75"/>
      <c r="S1017" s="75"/>
      <c r="T1017" s="75"/>
      <c r="U1017" s="75"/>
      <c r="V1017" s="75"/>
      <c r="W1017" s="74"/>
      <c r="X1017" s="76"/>
      <c r="Y1017" s="76"/>
      <c r="Z1017" s="76"/>
      <c r="AA1017" s="76"/>
      <c r="AB1017" s="76"/>
      <c r="AC1017" s="74"/>
      <c r="AD1017" s="77"/>
      <c r="AE1017" s="77"/>
      <c r="AF1017" s="77"/>
      <c r="AG1017" s="77"/>
      <c r="AH1017" s="77"/>
      <c r="AI1017" s="68"/>
      <c r="AJ1017" s="213">
        <v>9.3669999999999995E-4</v>
      </c>
      <c r="AK1017" s="213">
        <v>1.789841</v>
      </c>
      <c r="AL1017" s="213">
        <v>2</v>
      </c>
      <c r="AM1017" s="213">
        <v>4.4559999999999999E-4</v>
      </c>
      <c r="AN1017" s="74"/>
      <c r="AO1017" s="73"/>
      <c r="AP1017" s="73"/>
      <c r="AQ1017" s="73"/>
      <c r="AR1017" s="73"/>
      <c r="AS1017" s="73"/>
      <c r="AT1017" s="74"/>
      <c r="AU1017" s="47"/>
      <c r="AV1017" s="48"/>
    </row>
    <row r="1018" spans="1:48" ht="12.75" customHeight="1" x14ac:dyDescent="0.25">
      <c r="A1018" s="72" t="s">
        <v>119</v>
      </c>
      <c r="B1018" s="43" t="s">
        <v>1154</v>
      </c>
      <c r="C1018" s="44" t="s">
        <v>1173</v>
      </c>
      <c r="D1018" s="45">
        <f>MROUND(MID($C1018,6,3)/Basis!$E$3,0.5)</f>
        <v>3.5</v>
      </c>
      <c r="E1018" s="45">
        <f>MROUND(MID($C1018,9,3)/Basis!$E$3,0.5)</f>
        <v>39.5</v>
      </c>
      <c r="F1018" s="199" t="s">
        <v>2950</v>
      </c>
      <c r="G1018" s="45">
        <f>ROUND(MID($C1018,12,2)/Basis!$E$3,1)</f>
        <v>13.4</v>
      </c>
      <c r="H1018" s="120">
        <f>ROUND($P1018*Basis!$E$2*((TaH-TrH)/LN(1/µ)/Basis!$E$7)^$N1018*$AA$4*Glycol,0)</f>
        <v>568</v>
      </c>
      <c r="I1018" s="83">
        <f>ROUND(H1018/(MID($C1018,9,3)/Basis!$E$3/Basis!$E$9)*Basis!$E$11,0)</f>
        <v>173</v>
      </c>
      <c r="J1018" s="123">
        <f>IF(Basis!$E$1=1,ROUND(H1018/((TaH-TrH)*1.163)/3600,3),ROUND(H1018/(500*(TaH-TrH)),2))</f>
        <v>0.06</v>
      </c>
      <c r="K1018" s="84"/>
      <c r="L1018" s="177">
        <f>CHOOSE(Basis!$E$1,((AJ1018*(J1018*3600/Basis!$E$5)^AK1018*(((MID(C1018,9,3)*10)-244)/1000)*AL1018+AM1018*(J1018*3600/Basis!$E$5)^2)*0.0098)/Basis!$E$10,((AJ1018*(J1018/Basis!$E$5)^AK1018*(((MID(C1018,9,3)*10)-244)/1000)*AL1018+AM1018*(J1018/Basis!$E$5)^2)*0.0098)/Basis!$E$10)</f>
        <v>1.9177209709819627E-3</v>
      </c>
      <c r="M1018" s="85"/>
      <c r="N1018" s="109">
        <v>1.3620000000000001</v>
      </c>
      <c r="O1018" s="68"/>
      <c r="P1018" s="67">
        <v>261</v>
      </c>
      <c r="Q1018" s="68"/>
      <c r="R1018" s="69"/>
      <c r="S1018" s="69"/>
      <c r="T1018" s="69"/>
      <c r="U1018" s="69"/>
      <c r="V1018" s="69"/>
      <c r="W1018" s="68"/>
      <c r="X1018" s="70"/>
      <c r="Y1018" s="70"/>
      <c r="Z1018" s="70"/>
      <c r="AA1018" s="70"/>
      <c r="AB1018" s="70"/>
      <c r="AC1018" s="68"/>
      <c r="AD1018" s="71"/>
      <c r="AE1018" s="71"/>
      <c r="AF1018" s="71"/>
      <c r="AG1018" s="71"/>
      <c r="AH1018" s="71"/>
      <c r="AI1018" s="68"/>
      <c r="AJ1018" s="214">
        <v>1.3162765859195E-2</v>
      </c>
      <c r="AK1018" s="214">
        <v>1.4286501188989</v>
      </c>
      <c r="AL1018" s="214">
        <v>1</v>
      </c>
      <c r="AM1018" s="214">
        <v>9.2091836734694004E-4</v>
      </c>
      <c r="AN1018" s="68"/>
      <c r="AO1018" s="67"/>
      <c r="AP1018" s="67"/>
      <c r="AQ1018" s="67"/>
      <c r="AR1018" s="67"/>
      <c r="AS1018" s="67"/>
      <c r="AT1018" s="68"/>
      <c r="AU1018" s="49"/>
      <c r="AV1018" s="50"/>
    </row>
    <row r="1019" spans="1:48" ht="12.75" customHeight="1" x14ac:dyDescent="0.25">
      <c r="A1019" s="72" t="s">
        <v>119</v>
      </c>
      <c r="B1019" s="43" t="s">
        <v>1154</v>
      </c>
      <c r="C1019" s="44" t="s">
        <v>1174</v>
      </c>
      <c r="D1019" s="45">
        <f>MROUND(MID($C1019,6,3)/Basis!$E$3,0.5)</f>
        <v>3.5</v>
      </c>
      <c r="E1019" s="45">
        <f>MROUND(MID($C1019,9,3)/Basis!$E$3,0.5)</f>
        <v>39.5</v>
      </c>
      <c r="F1019" s="199" t="s">
        <v>2950</v>
      </c>
      <c r="G1019" s="45">
        <f>ROUND(MID($C1019,12,2)/Basis!$E$3,1)</f>
        <v>16.5</v>
      </c>
      <c r="H1019" s="120">
        <f>ROUND($P1019*Basis!$E$2*((TaH-TrH)/LN(1/µ)/Basis!$E$7)^$N1019*$AA$4*Glycol,0)</f>
        <v>818</v>
      </c>
      <c r="I1019" s="83">
        <f>ROUND(H1019/(MID($C1019,9,3)/Basis!$E$3/Basis!$E$9)*Basis!$E$11,0)</f>
        <v>249</v>
      </c>
      <c r="J1019" s="123">
        <f>IF(Basis!$E$1=1,ROUND(H1019/((TaH-TrH)*1.163)/3600,3),ROUND(H1019/(500*(TaH-TrH)),2))</f>
        <v>0.08</v>
      </c>
      <c r="K1019" s="84"/>
      <c r="L1019" s="177">
        <f>CHOOSE(Basis!$E$1,((AJ1019*(J1019*3600/Basis!$E$5)^AK1019*(((MID(C1019,9,3)*10)-244)/1000)*AL1019+AM1019*(J1019*3600/Basis!$E$5)^2)*0.0098)/Basis!$E$10,((AJ1019*(J1019/Basis!$E$5)^AK1019*(((MID(C1019,9,3)*10)-244)/1000)*AL1019+AM1019*(J1019/Basis!$E$5)^2)*0.0098)/Basis!$E$10)</f>
        <v>6.9661613307962257E-4</v>
      </c>
      <c r="M1019" s="85"/>
      <c r="N1019" s="110">
        <v>1.3620000000000001</v>
      </c>
      <c r="O1019" s="74"/>
      <c r="P1019" s="73">
        <v>376</v>
      </c>
      <c r="Q1019" s="74"/>
      <c r="R1019" s="75"/>
      <c r="S1019" s="75"/>
      <c r="T1019" s="75"/>
      <c r="U1019" s="75"/>
      <c r="V1019" s="75"/>
      <c r="W1019" s="74"/>
      <c r="X1019" s="76"/>
      <c r="Y1019" s="76"/>
      <c r="Z1019" s="76"/>
      <c r="AA1019" s="76"/>
      <c r="AB1019" s="76"/>
      <c r="AC1019" s="74"/>
      <c r="AD1019" s="77"/>
      <c r="AE1019" s="77"/>
      <c r="AF1019" s="77"/>
      <c r="AG1019" s="77"/>
      <c r="AH1019" s="77"/>
      <c r="AI1019" s="68"/>
      <c r="AJ1019" s="213">
        <v>3.9689999999999994E-4</v>
      </c>
      <c r="AK1019" s="213">
        <v>1.7345999999999999</v>
      </c>
      <c r="AL1019" s="213">
        <v>2</v>
      </c>
      <c r="AM1019" s="213">
        <v>3.6734700000000002E-4</v>
      </c>
      <c r="AN1019" s="74"/>
      <c r="AO1019" s="73"/>
      <c r="AP1019" s="73"/>
      <c r="AQ1019" s="73"/>
      <c r="AR1019" s="73"/>
      <c r="AS1019" s="73"/>
      <c r="AT1019" s="74"/>
      <c r="AU1019" s="47"/>
      <c r="AV1019" s="48"/>
    </row>
    <row r="1020" spans="1:48" ht="12.75" customHeight="1" x14ac:dyDescent="0.25">
      <c r="A1020" s="72" t="s">
        <v>119</v>
      </c>
      <c r="B1020" s="43" t="s">
        <v>1154</v>
      </c>
      <c r="C1020" s="44" t="s">
        <v>1175</v>
      </c>
      <c r="D1020" s="45">
        <f>MROUND(MID($C1020,6,3)/Basis!$E$3,0.5)</f>
        <v>3.5</v>
      </c>
      <c r="E1020" s="45">
        <f>MROUND(MID($C1020,9,3)/Basis!$E$3,0.5)</f>
        <v>43.5</v>
      </c>
      <c r="F1020" s="199" t="s">
        <v>2950</v>
      </c>
      <c r="G1020" s="45">
        <f>ROUND(MID($C1020,12,2)/Basis!$E$3,1)</f>
        <v>5.5</v>
      </c>
      <c r="H1020" s="120">
        <f>ROUND($P1020*Basis!$E$2*((TaH-TrH)/LN(1/µ)/Basis!$E$7)^$N1020*$AA$4*Glycol,0)</f>
        <v>320</v>
      </c>
      <c r="I1020" s="83">
        <f>ROUND(H1020/(MID($C1020,9,3)/Basis!$E$3/Basis!$E$9)*Basis!$E$11,0)</f>
        <v>89</v>
      </c>
      <c r="J1020" s="123">
        <f>IF(Basis!$E$1=1,ROUND(H1020/((TaH-TrH)*1.163)/3600,3),ROUND(H1020/(500*(TaH-TrH)),2))</f>
        <v>0.03</v>
      </c>
      <c r="K1020" s="84"/>
      <c r="L1020" s="177">
        <f>CHOOSE(Basis!$E$1,((AJ1020*(J1020*3600/Basis!$E$5)^AK1020*(((MID(C1020,9,3)*10)-244)/1000)*AL1020+AM1020*(J1020*3600/Basis!$E$5)^2)*0.0098)/Basis!$E$10,((AJ1020*(J1020/Basis!$E$5)^AK1020*(((MID(C1020,9,3)*10)-244)/1000)*AL1020+AM1020*(J1020/Basis!$E$5)^2)*0.0098)/Basis!$E$10)</f>
        <v>1.1041613255634753E-4</v>
      </c>
      <c r="M1020" s="85"/>
      <c r="N1020" s="109">
        <v>1.3620000000000001</v>
      </c>
      <c r="O1020" s="68"/>
      <c r="P1020" s="67">
        <v>147</v>
      </c>
      <c r="Q1020" s="68"/>
      <c r="R1020" s="69"/>
      <c r="S1020" s="69"/>
      <c r="T1020" s="69"/>
      <c r="U1020" s="69"/>
      <c r="V1020" s="69"/>
      <c r="W1020" s="68"/>
      <c r="X1020" s="70"/>
      <c r="Y1020" s="70"/>
      <c r="Z1020" s="70"/>
      <c r="AA1020" s="70"/>
      <c r="AB1020" s="70"/>
      <c r="AC1020" s="68"/>
      <c r="AD1020" s="71"/>
      <c r="AE1020" s="71"/>
      <c r="AF1020" s="71"/>
      <c r="AG1020" s="71"/>
      <c r="AH1020" s="71"/>
      <c r="AI1020" s="68"/>
      <c r="AJ1020" s="214">
        <v>6.0625777523108995E-4</v>
      </c>
      <c r="AK1020" s="214">
        <v>1.8894792857555001</v>
      </c>
      <c r="AL1020" s="214">
        <v>1</v>
      </c>
      <c r="AM1020" s="214">
        <v>3.0758017492711002E-4</v>
      </c>
      <c r="AN1020" s="68"/>
      <c r="AO1020" s="67"/>
      <c r="AP1020" s="67"/>
      <c r="AQ1020" s="67"/>
      <c r="AR1020" s="67"/>
      <c r="AS1020" s="67"/>
      <c r="AT1020" s="68"/>
      <c r="AU1020" s="49"/>
      <c r="AV1020" s="50"/>
    </row>
    <row r="1021" spans="1:48" ht="12.75" customHeight="1" x14ac:dyDescent="0.25">
      <c r="A1021" s="72" t="s">
        <v>119</v>
      </c>
      <c r="B1021" s="43" t="s">
        <v>1154</v>
      </c>
      <c r="C1021" s="44" t="s">
        <v>1176</v>
      </c>
      <c r="D1021" s="45">
        <f>MROUND(MID($C1021,6,3)/Basis!$E$3,0.5)</f>
        <v>3.5</v>
      </c>
      <c r="E1021" s="45">
        <f>MROUND(MID($C1021,9,3)/Basis!$E$3,0.5)</f>
        <v>43.5</v>
      </c>
      <c r="F1021" s="199" t="s">
        <v>2950</v>
      </c>
      <c r="G1021" s="45">
        <f>ROUND(MID($C1021,12,2)/Basis!$E$3,1)</f>
        <v>7.1</v>
      </c>
      <c r="H1021" s="120">
        <f>ROUND($P1021*Basis!$E$2*((TaH-TrH)/LN(1/µ)/Basis!$E$7)^$N1021*$AA$4*Glycol,0)</f>
        <v>381</v>
      </c>
      <c r="I1021" s="83">
        <f>ROUND(H1021/(MID($C1021,9,3)/Basis!$E$3/Basis!$E$9)*Basis!$E$11,0)</f>
        <v>106</v>
      </c>
      <c r="J1021" s="123">
        <f>IF(Basis!$E$1=1,ROUND(H1021/((TaH-TrH)*1.163)/3600,3),ROUND(H1021/(500*(TaH-TrH)),2))</f>
        <v>0.04</v>
      </c>
      <c r="K1021" s="84"/>
      <c r="L1021" s="177">
        <f>CHOOSE(Basis!$E$1,((AJ1021*(J1021*3600/Basis!$E$5)^AK1021*(((MID(C1021,9,3)*10)-244)/1000)*AL1021+AM1021*(J1021*3600/Basis!$E$5)^2)*0.0098)/Basis!$E$10,((AJ1021*(J1021/Basis!$E$5)^AK1021*(((MID(C1021,9,3)*10)-244)/1000)*AL1021+AM1021*(J1021/Basis!$E$5)^2)*0.0098)/Basis!$E$10)</f>
        <v>3.9244017449094072E-4</v>
      </c>
      <c r="M1021" s="85"/>
      <c r="N1021" s="110">
        <v>1.3620000000000001</v>
      </c>
      <c r="O1021" s="74"/>
      <c r="P1021" s="73">
        <v>175</v>
      </c>
      <c r="Q1021" s="74"/>
      <c r="R1021" s="75"/>
      <c r="S1021" s="75"/>
      <c r="T1021" s="75"/>
      <c r="U1021" s="75"/>
      <c r="V1021" s="75"/>
      <c r="W1021" s="74"/>
      <c r="X1021" s="76"/>
      <c r="Y1021" s="76"/>
      <c r="Z1021" s="76"/>
      <c r="AA1021" s="76"/>
      <c r="AB1021" s="76"/>
      <c r="AC1021" s="74"/>
      <c r="AD1021" s="77"/>
      <c r="AE1021" s="77"/>
      <c r="AF1021" s="77"/>
      <c r="AG1021" s="77"/>
      <c r="AH1021" s="77"/>
      <c r="AI1021" s="68"/>
      <c r="AJ1021" s="213">
        <v>9.3669999999999995E-4</v>
      </c>
      <c r="AK1021" s="213">
        <v>1.789841</v>
      </c>
      <c r="AL1021" s="213">
        <v>2</v>
      </c>
      <c r="AM1021" s="213">
        <v>4.4559999999999999E-4</v>
      </c>
      <c r="AN1021" s="74"/>
      <c r="AO1021" s="73"/>
      <c r="AP1021" s="73"/>
      <c r="AQ1021" s="73"/>
      <c r="AR1021" s="73"/>
      <c r="AS1021" s="73"/>
      <c r="AT1021" s="74"/>
      <c r="AU1021" s="47"/>
      <c r="AV1021" s="48"/>
    </row>
    <row r="1022" spans="1:48" ht="12.75" customHeight="1" x14ac:dyDescent="0.25">
      <c r="A1022" s="72" t="s">
        <v>119</v>
      </c>
      <c r="B1022" s="43" t="s">
        <v>1154</v>
      </c>
      <c r="C1022" s="44" t="s">
        <v>1177</v>
      </c>
      <c r="D1022" s="45">
        <f>MROUND(MID($C1022,6,3)/Basis!$E$3,0.5)</f>
        <v>3.5</v>
      </c>
      <c r="E1022" s="45">
        <f>MROUND(MID($C1022,9,3)/Basis!$E$3,0.5)</f>
        <v>43.5</v>
      </c>
      <c r="F1022" s="199" t="s">
        <v>2950</v>
      </c>
      <c r="G1022" s="45">
        <f>ROUND(MID($C1022,12,2)/Basis!$E$3,1)</f>
        <v>10.199999999999999</v>
      </c>
      <c r="H1022" s="120">
        <f>ROUND($P1022*Basis!$E$2*((TaH-TrH)/LN(1/µ)/Basis!$E$7)^$N1022*$AA$4*Glycol,0)</f>
        <v>501</v>
      </c>
      <c r="I1022" s="83">
        <f>ROUND(H1022/(MID($C1022,9,3)/Basis!$E$3/Basis!$E$9)*Basis!$E$11,0)</f>
        <v>139</v>
      </c>
      <c r="J1022" s="123">
        <f>IF(Basis!$E$1=1,ROUND(H1022/((TaH-TrH)*1.163)/3600,3),ROUND(H1022/(500*(TaH-TrH)),2))</f>
        <v>0.05</v>
      </c>
      <c r="K1022" s="84"/>
      <c r="L1022" s="177">
        <f>CHOOSE(Basis!$E$1,((AJ1022*(J1022*3600/Basis!$E$5)^AK1022*(((MID(C1022,9,3)*10)-244)/1000)*AL1022+AM1022*(J1022*3600/Basis!$E$5)^2)*0.0098)/Basis!$E$10,((AJ1022*(J1022/Basis!$E$5)^AK1022*(((MID(C1022,9,3)*10)-244)/1000)*AL1022+AM1022*(J1022/Basis!$E$5)^2)*0.0098)/Basis!$E$10)</f>
        <v>5.937039855876601E-4</v>
      </c>
      <c r="M1022" s="85"/>
      <c r="N1022" s="109">
        <v>1.3620000000000001</v>
      </c>
      <c r="O1022" s="68"/>
      <c r="P1022" s="67">
        <v>230</v>
      </c>
      <c r="Q1022" s="68"/>
      <c r="R1022" s="69"/>
      <c r="S1022" s="69"/>
      <c r="T1022" s="69"/>
      <c r="U1022" s="69"/>
      <c r="V1022" s="69"/>
      <c r="W1022" s="68"/>
      <c r="X1022" s="70"/>
      <c r="Y1022" s="70"/>
      <c r="Z1022" s="70"/>
      <c r="AA1022" s="70"/>
      <c r="AB1022" s="70"/>
      <c r="AC1022" s="68"/>
      <c r="AD1022" s="71"/>
      <c r="AE1022" s="71"/>
      <c r="AF1022" s="71"/>
      <c r="AG1022" s="71"/>
      <c r="AH1022" s="71"/>
      <c r="AI1022" s="68"/>
      <c r="AJ1022" s="214">
        <v>9.3669999999999995E-4</v>
      </c>
      <c r="AK1022" s="214">
        <v>1.789841</v>
      </c>
      <c r="AL1022" s="214">
        <v>2</v>
      </c>
      <c r="AM1022" s="214">
        <v>4.4559999999999999E-4</v>
      </c>
      <c r="AN1022" s="68"/>
      <c r="AO1022" s="67"/>
      <c r="AP1022" s="67"/>
      <c r="AQ1022" s="67"/>
      <c r="AR1022" s="67"/>
      <c r="AS1022" s="67"/>
      <c r="AT1022" s="68"/>
      <c r="AU1022" s="49"/>
      <c r="AV1022" s="50"/>
    </row>
    <row r="1023" spans="1:48" ht="12.75" customHeight="1" x14ac:dyDescent="0.25">
      <c r="A1023" s="72" t="s">
        <v>119</v>
      </c>
      <c r="B1023" s="43" t="s">
        <v>1154</v>
      </c>
      <c r="C1023" s="44" t="s">
        <v>1178</v>
      </c>
      <c r="D1023" s="45">
        <f>MROUND(MID($C1023,6,3)/Basis!$E$3,0.5)</f>
        <v>3.5</v>
      </c>
      <c r="E1023" s="45">
        <f>MROUND(MID($C1023,9,3)/Basis!$E$3,0.5)</f>
        <v>43.5</v>
      </c>
      <c r="F1023" s="199" t="s">
        <v>2950</v>
      </c>
      <c r="G1023" s="45">
        <f>ROUND(MID($C1023,12,2)/Basis!$E$3,1)</f>
        <v>13.4</v>
      </c>
      <c r="H1023" s="120">
        <f>ROUND($P1023*Basis!$E$2*((TaH-TrH)/LN(1/µ)/Basis!$E$7)^$N1023*$AA$4*Glycol,0)</f>
        <v>649</v>
      </c>
      <c r="I1023" s="83">
        <f>ROUND(H1023/(MID($C1023,9,3)/Basis!$E$3/Basis!$E$9)*Basis!$E$11,0)</f>
        <v>180</v>
      </c>
      <c r="J1023" s="123">
        <f>IF(Basis!$E$1=1,ROUND(H1023/((TaH-TrH)*1.163)/3600,3),ROUND(H1023/(500*(TaH-TrH)),2))</f>
        <v>0.06</v>
      </c>
      <c r="K1023" s="84"/>
      <c r="L1023" s="177">
        <f>CHOOSE(Basis!$E$1,((AJ1023*(J1023*3600/Basis!$E$5)^AK1023*(((MID(C1023,9,3)*10)-244)/1000)*AL1023+AM1023*(J1023*3600/Basis!$E$5)^2)*0.0098)/Basis!$E$10,((AJ1023*(J1023/Basis!$E$5)^AK1023*(((MID(C1023,9,3)*10)-244)/1000)*AL1023+AM1023*(J1023/Basis!$E$5)^2)*0.0098)/Basis!$E$10)</f>
        <v>2.0974204606959146E-3</v>
      </c>
      <c r="M1023" s="85"/>
      <c r="N1023" s="110">
        <v>1.3620000000000001</v>
      </c>
      <c r="O1023" s="74"/>
      <c r="P1023" s="73">
        <v>298</v>
      </c>
      <c r="Q1023" s="74"/>
      <c r="R1023" s="75"/>
      <c r="S1023" s="75"/>
      <c r="T1023" s="75"/>
      <c r="U1023" s="75"/>
      <c r="V1023" s="75"/>
      <c r="W1023" s="74"/>
      <c r="X1023" s="76"/>
      <c r="Y1023" s="76"/>
      <c r="Z1023" s="76"/>
      <c r="AA1023" s="76"/>
      <c r="AB1023" s="76"/>
      <c r="AC1023" s="74"/>
      <c r="AD1023" s="77"/>
      <c r="AE1023" s="77"/>
      <c r="AF1023" s="77"/>
      <c r="AG1023" s="77"/>
      <c r="AH1023" s="77"/>
      <c r="AI1023" s="68"/>
      <c r="AJ1023" s="213">
        <v>1.3162765859195E-2</v>
      </c>
      <c r="AK1023" s="213">
        <v>1.4286501188989</v>
      </c>
      <c r="AL1023" s="213">
        <v>1</v>
      </c>
      <c r="AM1023" s="213">
        <v>9.2091836734694004E-4</v>
      </c>
      <c r="AN1023" s="74"/>
      <c r="AO1023" s="73"/>
      <c r="AP1023" s="73"/>
      <c r="AQ1023" s="73"/>
      <c r="AR1023" s="73"/>
      <c r="AS1023" s="73"/>
      <c r="AT1023" s="74"/>
      <c r="AU1023" s="47"/>
      <c r="AV1023" s="48"/>
    </row>
    <row r="1024" spans="1:48" ht="12.75" customHeight="1" x14ac:dyDescent="0.25">
      <c r="A1024" s="72" t="s">
        <v>119</v>
      </c>
      <c r="B1024" s="43" t="s">
        <v>1154</v>
      </c>
      <c r="C1024" s="44" t="s">
        <v>1179</v>
      </c>
      <c r="D1024" s="45">
        <f>MROUND(MID($C1024,6,3)/Basis!$E$3,0.5)</f>
        <v>3.5</v>
      </c>
      <c r="E1024" s="45">
        <f>MROUND(MID($C1024,9,3)/Basis!$E$3,0.5)</f>
        <v>43.5</v>
      </c>
      <c r="F1024" s="199" t="s">
        <v>2950</v>
      </c>
      <c r="G1024" s="45">
        <f>ROUND(MID($C1024,12,2)/Basis!$E$3,1)</f>
        <v>16.5</v>
      </c>
      <c r="H1024" s="120">
        <f>ROUND($P1024*Basis!$E$2*((TaH-TrH)/LN(1/µ)/Basis!$E$7)^$N1024*$AA$4*Glycol,0)</f>
        <v>940</v>
      </c>
      <c r="I1024" s="83">
        <f>ROUND(H1024/(MID($C1024,9,3)/Basis!$E$3/Basis!$E$9)*Basis!$E$11,0)</f>
        <v>260</v>
      </c>
      <c r="J1024" s="123">
        <f>IF(Basis!$E$1=1,ROUND(H1024/((TaH-TrH)*1.163)/3600,3),ROUND(H1024/(500*(TaH-TrH)),2))</f>
        <v>0.09</v>
      </c>
      <c r="K1024" s="84"/>
      <c r="L1024" s="177">
        <f>CHOOSE(Basis!$E$1,((AJ1024*(J1024*3600/Basis!$E$5)^AK1024*(((MID(C1024,9,3)*10)-244)/1000)*AL1024+AM1024*(J1024*3600/Basis!$E$5)^2)*0.0098)/Basis!$E$10,((AJ1024*(J1024/Basis!$E$5)^AK1024*(((MID(C1024,9,3)*10)-244)/1000)*AL1024+AM1024*(J1024/Basis!$E$5)^2)*0.0098)/Basis!$E$10)</f>
        <v>9.1865558967155073E-4</v>
      </c>
      <c r="M1024" s="85"/>
      <c r="N1024" s="109">
        <v>1.3620000000000001</v>
      </c>
      <c r="O1024" s="68"/>
      <c r="P1024" s="67">
        <v>432</v>
      </c>
      <c r="Q1024" s="68"/>
      <c r="R1024" s="69"/>
      <c r="S1024" s="69"/>
      <c r="T1024" s="69"/>
      <c r="U1024" s="69"/>
      <c r="V1024" s="69"/>
      <c r="W1024" s="68"/>
      <c r="X1024" s="70"/>
      <c r="Y1024" s="70"/>
      <c r="Z1024" s="70"/>
      <c r="AA1024" s="70"/>
      <c r="AB1024" s="70"/>
      <c r="AC1024" s="68"/>
      <c r="AD1024" s="71"/>
      <c r="AE1024" s="71"/>
      <c r="AF1024" s="71"/>
      <c r="AG1024" s="71"/>
      <c r="AH1024" s="71"/>
      <c r="AI1024" s="68"/>
      <c r="AJ1024" s="214">
        <v>3.9689999999999994E-4</v>
      </c>
      <c r="AK1024" s="214">
        <v>1.7345999999999999</v>
      </c>
      <c r="AL1024" s="214">
        <v>2</v>
      </c>
      <c r="AM1024" s="214">
        <v>3.6734700000000002E-4</v>
      </c>
      <c r="AN1024" s="68"/>
      <c r="AO1024" s="67"/>
      <c r="AP1024" s="67"/>
      <c r="AQ1024" s="67"/>
      <c r="AR1024" s="67"/>
      <c r="AS1024" s="67"/>
      <c r="AT1024" s="68"/>
      <c r="AU1024" s="49"/>
      <c r="AV1024" s="50"/>
    </row>
    <row r="1025" spans="1:48" ht="12.75" customHeight="1" x14ac:dyDescent="0.25">
      <c r="A1025" s="72" t="s">
        <v>119</v>
      </c>
      <c r="B1025" s="43" t="s">
        <v>1154</v>
      </c>
      <c r="C1025" s="44" t="s">
        <v>1180</v>
      </c>
      <c r="D1025" s="45">
        <f>MROUND(MID($C1025,6,3)/Basis!$E$3,0.5)</f>
        <v>3.5</v>
      </c>
      <c r="E1025" s="45">
        <f>MROUND(MID($C1025,9,3)/Basis!$E$3,0.5)</f>
        <v>47</v>
      </c>
      <c r="F1025" s="199" t="s">
        <v>2950</v>
      </c>
      <c r="G1025" s="45">
        <f>ROUND(MID($C1025,12,2)/Basis!$E$3,1)</f>
        <v>5.5</v>
      </c>
      <c r="H1025" s="120">
        <f>ROUND($P1025*Basis!$E$2*((TaH-TrH)/LN(1/µ)/Basis!$E$7)^$N1025*$AA$4*Glycol,0)</f>
        <v>364</v>
      </c>
      <c r="I1025" s="83">
        <f>ROUND(H1025/(MID($C1025,9,3)/Basis!$E$3/Basis!$E$9)*Basis!$E$11,0)</f>
        <v>92</v>
      </c>
      <c r="J1025" s="123">
        <f>IF(Basis!$E$1=1,ROUND(H1025/((TaH-TrH)*1.163)/3600,3),ROUND(H1025/(500*(TaH-TrH)),2))</f>
        <v>0.04</v>
      </c>
      <c r="K1025" s="84"/>
      <c r="L1025" s="177">
        <f>CHOOSE(Basis!$E$1,((AJ1025*(J1025*3600/Basis!$E$5)^AK1025*(((MID(C1025,9,3)*10)-244)/1000)*AL1025+AM1025*(J1025*3600/Basis!$E$5)^2)*0.0098)/Basis!$E$10,((AJ1025*(J1025/Basis!$E$5)^AK1025*(((MID(C1025,9,3)*10)-244)/1000)*AL1025+AM1025*(J1025/Basis!$E$5)^2)*0.0098)/Basis!$E$10)</f>
        <v>2.0557044560765128E-4</v>
      </c>
      <c r="M1025" s="85"/>
      <c r="N1025" s="110">
        <v>1.3620000000000001</v>
      </c>
      <c r="O1025" s="74"/>
      <c r="P1025" s="73">
        <v>167</v>
      </c>
      <c r="Q1025" s="74"/>
      <c r="R1025" s="75"/>
      <c r="S1025" s="75"/>
      <c r="T1025" s="75"/>
      <c r="U1025" s="75"/>
      <c r="V1025" s="75"/>
      <c r="W1025" s="74"/>
      <c r="X1025" s="76"/>
      <c r="Y1025" s="76"/>
      <c r="Z1025" s="76"/>
      <c r="AA1025" s="76"/>
      <c r="AB1025" s="76"/>
      <c r="AC1025" s="74"/>
      <c r="AD1025" s="77"/>
      <c r="AE1025" s="77"/>
      <c r="AF1025" s="77"/>
      <c r="AG1025" s="77"/>
      <c r="AH1025" s="77"/>
      <c r="AI1025" s="68"/>
      <c r="AJ1025" s="213">
        <v>6.0625777523108995E-4</v>
      </c>
      <c r="AK1025" s="213">
        <v>1.8894792857555001</v>
      </c>
      <c r="AL1025" s="213">
        <v>1</v>
      </c>
      <c r="AM1025" s="213">
        <v>3.0758017492711002E-4</v>
      </c>
      <c r="AN1025" s="74"/>
      <c r="AO1025" s="73"/>
      <c r="AP1025" s="73"/>
      <c r="AQ1025" s="73"/>
      <c r="AR1025" s="73"/>
      <c r="AS1025" s="73"/>
      <c r="AT1025" s="74"/>
      <c r="AU1025" s="47"/>
      <c r="AV1025" s="48"/>
    </row>
    <row r="1026" spans="1:48" ht="12.75" customHeight="1" x14ac:dyDescent="0.25">
      <c r="A1026" s="72" t="s">
        <v>119</v>
      </c>
      <c r="B1026" s="43" t="s">
        <v>1154</v>
      </c>
      <c r="C1026" s="44" t="s">
        <v>1181</v>
      </c>
      <c r="D1026" s="45">
        <f>MROUND(MID($C1026,6,3)/Basis!$E$3,0.5)</f>
        <v>3.5</v>
      </c>
      <c r="E1026" s="45">
        <f>MROUND(MID($C1026,9,3)/Basis!$E$3,0.5)</f>
        <v>47</v>
      </c>
      <c r="F1026" s="199" t="s">
        <v>2950</v>
      </c>
      <c r="G1026" s="45">
        <f>ROUND(MID($C1026,12,2)/Basis!$E$3,1)</f>
        <v>7.1</v>
      </c>
      <c r="H1026" s="120">
        <f>ROUND($P1026*Basis!$E$2*((TaH-TrH)/LN(1/µ)/Basis!$E$7)^$N1026*$AA$4*Glycol,0)</f>
        <v>429</v>
      </c>
      <c r="I1026" s="83">
        <f>ROUND(H1026/(MID($C1026,9,3)/Basis!$E$3/Basis!$E$9)*Basis!$E$11,0)</f>
        <v>109</v>
      </c>
      <c r="J1026" s="123">
        <f>IF(Basis!$E$1=1,ROUND(H1026/((TaH-TrH)*1.163)/3600,3),ROUND(H1026/(500*(TaH-TrH)),2))</f>
        <v>0.04</v>
      </c>
      <c r="K1026" s="84"/>
      <c r="L1026" s="177">
        <f>CHOOSE(Basis!$E$1,((AJ1026*(J1026*3600/Basis!$E$5)^AK1026*(((MID(C1026,9,3)*10)-244)/1000)*AL1026+AM1026*(J1026*3600/Basis!$E$5)^2)*0.0098)/Basis!$E$10,((AJ1026*(J1026/Basis!$E$5)^AK1026*(((MID(C1026,9,3)*10)-244)/1000)*AL1026+AM1026*(J1026/Basis!$E$5)^2)*0.0098)/Basis!$E$10)</f>
        <v>4.2423750861398616E-4</v>
      </c>
      <c r="M1026" s="85"/>
      <c r="N1026" s="109">
        <v>1.3620000000000001</v>
      </c>
      <c r="O1026" s="68"/>
      <c r="P1026" s="67">
        <v>197</v>
      </c>
      <c r="Q1026" s="68"/>
      <c r="R1026" s="69"/>
      <c r="S1026" s="69"/>
      <c r="T1026" s="69"/>
      <c r="U1026" s="69"/>
      <c r="V1026" s="69"/>
      <c r="W1026" s="68"/>
      <c r="X1026" s="70"/>
      <c r="Y1026" s="70"/>
      <c r="Z1026" s="70"/>
      <c r="AA1026" s="70"/>
      <c r="AB1026" s="70"/>
      <c r="AC1026" s="68"/>
      <c r="AD1026" s="71"/>
      <c r="AE1026" s="71"/>
      <c r="AF1026" s="71"/>
      <c r="AG1026" s="71"/>
      <c r="AH1026" s="71"/>
      <c r="AI1026" s="68"/>
      <c r="AJ1026" s="214">
        <v>9.3669999999999995E-4</v>
      </c>
      <c r="AK1026" s="214">
        <v>1.789841</v>
      </c>
      <c r="AL1026" s="214">
        <v>2</v>
      </c>
      <c r="AM1026" s="214">
        <v>4.4559999999999999E-4</v>
      </c>
      <c r="AN1026" s="68"/>
      <c r="AO1026" s="67"/>
      <c r="AP1026" s="67"/>
      <c r="AQ1026" s="67"/>
      <c r="AR1026" s="67"/>
      <c r="AS1026" s="67"/>
      <c r="AT1026" s="68"/>
      <c r="AU1026" s="49"/>
      <c r="AV1026" s="50"/>
    </row>
    <row r="1027" spans="1:48" ht="12.75" customHeight="1" x14ac:dyDescent="0.25">
      <c r="A1027" s="72" t="s">
        <v>119</v>
      </c>
      <c r="B1027" s="43" t="s">
        <v>1154</v>
      </c>
      <c r="C1027" s="44" t="s">
        <v>1182</v>
      </c>
      <c r="D1027" s="45">
        <f>MROUND(MID($C1027,6,3)/Basis!$E$3,0.5)</f>
        <v>3.5</v>
      </c>
      <c r="E1027" s="45">
        <f>MROUND(MID($C1027,9,3)/Basis!$E$3,0.5)</f>
        <v>47</v>
      </c>
      <c r="F1027" s="199" t="s">
        <v>2950</v>
      </c>
      <c r="G1027" s="45">
        <f>ROUND(MID($C1027,12,2)/Basis!$E$3,1)</f>
        <v>10.199999999999999</v>
      </c>
      <c r="H1027" s="120">
        <f>ROUND($P1027*Basis!$E$2*((TaH-TrH)/LN(1/µ)/Basis!$E$7)^$N1027*$AA$4*Glycol,0)</f>
        <v>564</v>
      </c>
      <c r="I1027" s="83">
        <f>ROUND(H1027/(MID($C1027,9,3)/Basis!$E$3/Basis!$E$9)*Basis!$E$11,0)</f>
        <v>143</v>
      </c>
      <c r="J1027" s="123">
        <f>IF(Basis!$E$1=1,ROUND(H1027/((TaH-TrH)*1.163)/3600,3),ROUND(H1027/(500*(TaH-TrH)),2))</f>
        <v>0.06</v>
      </c>
      <c r="K1027" s="84"/>
      <c r="L1027" s="177">
        <f>CHOOSE(Basis!$E$1,((AJ1027*(J1027*3600/Basis!$E$5)^AK1027*(((MID(C1027,9,3)*10)-244)/1000)*AL1027+AM1027*(J1027*3600/Basis!$E$5)^2)*0.0098)/Basis!$E$10,((AJ1027*(J1027/Basis!$E$5)^AK1027*(((MID(C1027,9,3)*10)-244)/1000)*AL1027+AM1027*(J1027/Basis!$E$5)^2)*0.0098)/Basis!$E$10)</f>
        <v>8.9866674406010184E-4</v>
      </c>
      <c r="M1027" s="85"/>
      <c r="N1027" s="110">
        <v>1.3620000000000001</v>
      </c>
      <c r="O1027" s="74"/>
      <c r="P1027" s="73">
        <v>259</v>
      </c>
      <c r="Q1027" s="74"/>
      <c r="R1027" s="75"/>
      <c r="S1027" s="75"/>
      <c r="T1027" s="75"/>
      <c r="U1027" s="75"/>
      <c r="V1027" s="75"/>
      <c r="W1027" s="74"/>
      <c r="X1027" s="76"/>
      <c r="Y1027" s="76"/>
      <c r="Z1027" s="76"/>
      <c r="AA1027" s="76"/>
      <c r="AB1027" s="76"/>
      <c r="AC1027" s="74"/>
      <c r="AD1027" s="77"/>
      <c r="AE1027" s="77"/>
      <c r="AF1027" s="77"/>
      <c r="AG1027" s="77"/>
      <c r="AH1027" s="77"/>
      <c r="AI1027" s="68"/>
      <c r="AJ1027" s="213">
        <v>9.3669999999999995E-4</v>
      </c>
      <c r="AK1027" s="213">
        <v>1.789841</v>
      </c>
      <c r="AL1027" s="213">
        <v>2</v>
      </c>
      <c r="AM1027" s="213">
        <v>4.4559999999999999E-4</v>
      </c>
      <c r="AN1027" s="74"/>
      <c r="AO1027" s="73"/>
      <c r="AP1027" s="73"/>
      <c r="AQ1027" s="73"/>
      <c r="AR1027" s="73"/>
      <c r="AS1027" s="73"/>
      <c r="AT1027" s="74"/>
      <c r="AU1027" s="47"/>
      <c r="AV1027" s="48"/>
    </row>
    <row r="1028" spans="1:48" ht="12.75" customHeight="1" x14ac:dyDescent="0.25">
      <c r="A1028" s="72" t="s">
        <v>119</v>
      </c>
      <c r="B1028" s="43" t="s">
        <v>1154</v>
      </c>
      <c r="C1028" s="44" t="s">
        <v>1183</v>
      </c>
      <c r="D1028" s="45">
        <f>MROUND(MID($C1028,6,3)/Basis!$E$3,0.5)</f>
        <v>3.5</v>
      </c>
      <c r="E1028" s="45">
        <f>MROUND(MID($C1028,9,3)/Basis!$E$3,0.5)</f>
        <v>47</v>
      </c>
      <c r="F1028" s="199" t="s">
        <v>2950</v>
      </c>
      <c r="G1028" s="45">
        <f>ROUND(MID($C1028,12,2)/Basis!$E$3,1)</f>
        <v>13.4</v>
      </c>
      <c r="H1028" s="120">
        <f>ROUND($P1028*Basis!$E$2*((TaH-TrH)/LN(1/µ)/Basis!$E$7)^$N1028*$AA$4*Glycol,0)</f>
        <v>731</v>
      </c>
      <c r="I1028" s="83">
        <f>ROUND(H1028/(MID($C1028,9,3)/Basis!$E$3/Basis!$E$9)*Basis!$E$11,0)</f>
        <v>186</v>
      </c>
      <c r="J1028" s="123">
        <f>IF(Basis!$E$1=1,ROUND(H1028/((TaH-TrH)*1.163)/3600,3),ROUND(H1028/(500*(TaH-TrH)),2))</f>
        <v>7.0000000000000007E-2</v>
      </c>
      <c r="K1028" s="84"/>
      <c r="L1028" s="177">
        <f>CHOOSE(Basis!$E$1,((AJ1028*(J1028*3600/Basis!$E$5)^AK1028*(((MID(C1028,9,3)*10)-244)/1000)*AL1028+AM1028*(J1028*3600/Basis!$E$5)^2)*0.0098)/Basis!$E$10,((AJ1028*(J1028/Basis!$E$5)^AK1028*(((MID(C1028,9,3)*10)-244)/1000)*AL1028+AM1028*(J1028/Basis!$E$5)^2)*0.0098)/Basis!$E$10)</f>
        <v>2.9022793993961657E-3</v>
      </c>
      <c r="M1028" s="85"/>
      <c r="N1028" s="109">
        <v>1.3620000000000001</v>
      </c>
      <c r="O1028" s="68"/>
      <c r="P1028" s="67">
        <v>336</v>
      </c>
      <c r="Q1028" s="68"/>
      <c r="R1028" s="69"/>
      <c r="S1028" s="69"/>
      <c r="T1028" s="69"/>
      <c r="U1028" s="69"/>
      <c r="V1028" s="69"/>
      <c r="W1028" s="68"/>
      <c r="X1028" s="70"/>
      <c r="Y1028" s="70"/>
      <c r="Z1028" s="70"/>
      <c r="AA1028" s="70"/>
      <c r="AB1028" s="70"/>
      <c r="AC1028" s="68"/>
      <c r="AD1028" s="71"/>
      <c r="AE1028" s="71"/>
      <c r="AF1028" s="71"/>
      <c r="AG1028" s="71"/>
      <c r="AH1028" s="71"/>
      <c r="AI1028" s="68"/>
      <c r="AJ1028" s="214">
        <v>1.3162765859195E-2</v>
      </c>
      <c r="AK1028" s="214">
        <v>1.4286501188989</v>
      </c>
      <c r="AL1028" s="214">
        <v>1</v>
      </c>
      <c r="AM1028" s="214">
        <v>9.2091836734694004E-4</v>
      </c>
      <c r="AN1028" s="68"/>
      <c r="AO1028" s="67"/>
      <c r="AP1028" s="67"/>
      <c r="AQ1028" s="67"/>
      <c r="AR1028" s="67"/>
      <c r="AS1028" s="67"/>
      <c r="AT1028" s="68"/>
      <c r="AU1028" s="49"/>
      <c r="AV1028" s="50"/>
    </row>
    <row r="1029" spans="1:48" ht="12.75" customHeight="1" x14ac:dyDescent="0.25">
      <c r="A1029" s="72" t="s">
        <v>119</v>
      </c>
      <c r="B1029" s="43" t="s">
        <v>1154</v>
      </c>
      <c r="C1029" s="44" t="s">
        <v>1184</v>
      </c>
      <c r="D1029" s="45">
        <f>MROUND(MID($C1029,6,3)/Basis!$E$3,0.5)</f>
        <v>3.5</v>
      </c>
      <c r="E1029" s="45">
        <f>MROUND(MID($C1029,9,3)/Basis!$E$3,0.5)</f>
        <v>47</v>
      </c>
      <c r="F1029" s="199" t="s">
        <v>2950</v>
      </c>
      <c r="G1029" s="45">
        <f>ROUND(MID($C1029,12,2)/Basis!$E$3,1)</f>
        <v>16.5</v>
      </c>
      <c r="H1029" s="120">
        <f>ROUND($P1029*Basis!$E$2*((TaH-TrH)/LN(1/µ)/Basis!$E$7)^$N1029*$AA$4*Glycol,0)</f>
        <v>1056</v>
      </c>
      <c r="I1029" s="83">
        <f>ROUND(H1029/(MID($C1029,9,3)/Basis!$E$3/Basis!$E$9)*Basis!$E$11,0)</f>
        <v>268</v>
      </c>
      <c r="J1029" s="123">
        <f>IF(Basis!$E$1=1,ROUND(H1029/((TaH-TrH)*1.163)/3600,3),ROUND(H1029/(500*(TaH-TrH)),2))</f>
        <v>0.11</v>
      </c>
      <c r="K1029" s="84"/>
      <c r="L1029" s="177">
        <f>CHOOSE(Basis!$E$1,((AJ1029*(J1029*3600/Basis!$E$5)^AK1029*(((MID(C1029,9,3)*10)-244)/1000)*AL1029+AM1029*(J1029*3600/Basis!$E$5)^2)*0.0098)/Basis!$E$10,((AJ1029*(J1029/Basis!$E$5)^AK1029*(((MID(C1029,9,3)*10)-244)/1000)*AL1029+AM1029*(J1029/Basis!$E$5)^2)*0.0098)/Basis!$E$10)</f>
        <v>1.4089825805946468E-3</v>
      </c>
      <c r="M1029" s="85"/>
      <c r="N1029" s="110">
        <v>1.3620000000000001</v>
      </c>
      <c r="O1029" s="74"/>
      <c r="P1029" s="73">
        <v>485</v>
      </c>
      <c r="Q1029" s="74"/>
      <c r="R1029" s="75"/>
      <c r="S1029" s="75"/>
      <c r="T1029" s="75"/>
      <c r="U1029" s="75"/>
      <c r="V1029" s="75"/>
      <c r="W1029" s="74"/>
      <c r="X1029" s="76"/>
      <c r="Y1029" s="76"/>
      <c r="Z1029" s="76"/>
      <c r="AA1029" s="76"/>
      <c r="AB1029" s="76"/>
      <c r="AC1029" s="74"/>
      <c r="AD1029" s="77"/>
      <c r="AE1029" s="77"/>
      <c r="AF1029" s="77"/>
      <c r="AG1029" s="77"/>
      <c r="AH1029" s="77"/>
      <c r="AI1029" s="68"/>
      <c r="AJ1029" s="213">
        <v>3.9689999999999994E-4</v>
      </c>
      <c r="AK1029" s="213">
        <v>1.7345999999999999</v>
      </c>
      <c r="AL1029" s="213">
        <v>2</v>
      </c>
      <c r="AM1029" s="213">
        <v>3.6734700000000002E-4</v>
      </c>
      <c r="AN1029" s="74"/>
      <c r="AO1029" s="73"/>
      <c r="AP1029" s="73"/>
      <c r="AQ1029" s="73"/>
      <c r="AR1029" s="73"/>
      <c r="AS1029" s="73"/>
      <c r="AT1029" s="74"/>
      <c r="AU1029" s="47"/>
      <c r="AV1029" s="48"/>
    </row>
    <row r="1030" spans="1:48" ht="12.75" customHeight="1" x14ac:dyDescent="0.25">
      <c r="A1030" s="72" t="s">
        <v>119</v>
      </c>
      <c r="B1030" s="43" t="s">
        <v>1154</v>
      </c>
      <c r="C1030" s="44" t="s">
        <v>1185</v>
      </c>
      <c r="D1030" s="45">
        <f>MROUND(MID($C1030,6,3)/Basis!$E$3,0.5)</f>
        <v>3.5</v>
      </c>
      <c r="E1030" s="45">
        <f>MROUND(MID($C1030,9,3)/Basis!$E$3,0.5)</f>
        <v>51</v>
      </c>
      <c r="F1030" s="199" t="s">
        <v>2950</v>
      </c>
      <c r="G1030" s="45">
        <f>ROUND(MID($C1030,12,2)/Basis!$E$3,1)</f>
        <v>5.5</v>
      </c>
      <c r="H1030" s="120">
        <f>ROUND($P1030*Basis!$E$2*((TaH-TrH)/LN(1/µ)/Basis!$E$7)^$N1030*$AA$4*Glycol,0)</f>
        <v>401</v>
      </c>
      <c r="I1030" s="83">
        <f>ROUND(H1030/(MID($C1030,9,3)/Basis!$E$3/Basis!$E$9)*Basis!$E$11,0)</f>
        <v>94</v>
      </c>
      <c r="J1030" s="123">
        <f>IF(Basis!$E$1=1,ROUND(H1030/((TaH-TrH)*1.163)/3600,3),ROUND(H1030/(500*(TaH-TrH)),2))</f>
        <v>0.04</v>
      </c>
      <c r="K1030" s="84"/>
      <c r="L1030" s="177">
        <f>CHOOSE(Basis!$E$1,((AJ1030*(J1030*3600/Basis!$E$5)^AK1030*(((MID(C1030,9,3)*10)-244)/1000)*AL1030+AM1030*(J1030*3600/Basis!$E$5)^2)*0.0098)/Basis!$E$10,((AJ1030*(J1030/Basis!$E$5)^AK1030*(((MID(C1030,9,3)*10)-244)/1000)*AL1030+AM1030*(J1030/Basis!$E$5)^2)*0.0098)/Basis!$E$10)</f>
        <v>2.1839085848476375E-4</v>
      </c>
      <c r="M1030" s="85"/>
      <c r="N1030" s="109">
        <v>1.3620000000000001</v>
      </c>
      <c r="O1030" s="68"/>
      <c r="P1030" s="67">
        <v>184</v>
      </c>
      <c r="Q1030" s="68"/>
      <c r="R1030" s="69"/>
      <c r="S1030" s="69"/>
      <c r="T1030" s="69"/>
      <c r="U1030" s="69"/>
      <c r="V1030" s="69"/>
      <c r="W1030" s="68"/>
      <c r="X1030" s="70"/>
      <c r="Y1030" s="70"/>
      <c r="Z1030" s="70"/>
      <c r="AA1030" s="70"/>
      <c r="AB1030" s="70"/>
      <c r="AC1030" s="68"/>
      <c r="AD1030" s="71"/>
      <c r="AE1030" s="71"/>
      <c r="AF1030" s="71"/>
      <c r="AG1030" s="71"/>
      <c r="AH1030" s="71"/>
      <c r="AI1030" s="68"/>
      <c r="AJ1030" s="214">
        <v>6.0625777523108995E-4</v>
      </c>
      <c r="AK1030" s="214">
        <v>1.8894792857555001</v>
      </c>
      <c r="AL1030" s="214">
        <v>1</v>
      </c>
      <c r="AM1030" s="214">
        <v>3.0758017492711002E-4</v>
      </c>
      <c r="AN1030" s="68"/>
      <c r="AO1030" s="67"/>
      <c r="AP1030" s="67"/>
      <c r="AQ1030" s="67"/>
      <c r="AR1030" s="67"/>
      <c r="AS1030" s="67"/>
      <c r="AT1030" s="68"/>
      <c r="AU1030" s="49"/>
      <c r="AV1030" s="50"/>
    </row>
    <row r="1031" spans="1:48" ht="12.75" customHeight="1" x14ac:dyDescent="0.25">
      <c r="A1031" s="72" t="s">
        <v>119</v>
      </c>
      <c r="B1031" s="43" t="s">
        <v>1154</v>
      </c>
      <c r="C1031" s="44" t="s">
        <v>1186</v>
      </c>
      <c r="D1031" s="45">
        <f>MROUND(MID($C1031,6,3)/Basis!$E$3,0.5)</f>
        <v>3.5</v>
      </c>
      <c r="E1031" s="45">
        <f>MROUND(MID($C1031,9,3)/Basis!$E$3,0.5)</f>
        <v>51</v>
      </c>
      <c r="F1031" s="199" t="s">
        <v>2950</v>
      </c>
      <c r="G1031" s="45">
        <f>ROUND(MID($C1031,12,2)/Basis!$E$3,1)</f>
        <v>7.1</v>
      </c>
      <c r="H1031" s="120">
        <f>ROUND($P1031*Basis!$E$2*((TaH-TrH)/LN(1/µ)/Basis!$E$7)^$N1031*$AA$4*Glycol,0)</f>
        <v>475</v>
      </c>
      <c r="I1031" s="83">
        <f>ROUND(H1031/(MID($C1031,9,3)/Basis!$E$3/Basis!$E$9)*Basis!$E$11,0)</f>
        <v>111</v>
      </c>
      <c r="J1031" s="123">
        <f>IF(Basis!$E$1=1,ROUND(H1031/((TaH-TrH)*1.163)/3600,3),ROUND(H1031/(500*(TaH-TrH)),2))</f>
        <v>0.05</v>
      </c>
      <c r="K1031" s="84"/>
      <c r="L1031" s="177">
        <f>CHOOSE(Basis!$E$1,((AJ1031*(J1031*3600/Basis!$E$5)^AK1031*(((MID(C1031,9,3)*10)-244)/1000)*AL1031+AM1031*(J1031*3600/Basis!$E$5)^2)*0.0098)/Basis!$E$10,((AJ1031*(J1031/Basis!$E$5)^AK1031*(((MID(C1031,9,3)*10)-244)/1000)*AL1031+AM1031*(J1031/Basis!$E$5)^2)*0.0098)/Basis!$E$10)</f>
        <v>6.8851836802721574E-4</v>
      </c>
      <c r="M1031" s="85"/>
      <c r="N1031" s="110">
        <v>1.3620000000000001</v>
      </c>
      <c r="O1031" s="74"/>
      <c r="P1031" s="73">
        <v>218</v>
      </c>
      <c r="Q1031" s="74"/>
      <c r="R1031" s="75"/>
      <c r="S1031" s="75"/>
      <c r="T1031" s="75"/>
      <c r="U1031" s="75"/>
      <c r="V1031" s="75"/>
      <c r="W1031" s="74"/>
      <c r="X1031" s="76"/>
      <c r="Y1031" s="76"/>
      <c r="Z1031" s="76"/>
      <c r="AA1031" s="76"/>
      <c r="AB1031" s="76"/>
      <c r="AC1031" s="74"/>
      <c r="AD1031" s="77"/>
      <c r="AE1031" s="77"/>
      <c r="AF1031" s="77"/>
      <c r="AG1031" s="77"/>
      <c r="AH1031" s="77"/>
      <c r="AI1031" s="68"/>
      <c r="AJ1031" s="213">
        <v>9.3669999999999995E-4</v>
      </c>
      <c r="AK1031" s="213">
        <v>1.789841</v>
      </c>
      <c r="AL1031" s="213">
        <v>2</v>
      </c>
      <c r="AM1031" s="213">
        <v>4.4559999999999999E-4</v>
      </c>
      <c r="AN1031" s="74"/>
      <c r="AO1031" s="73"/>
      <c r="AP1031" s="73"/>
      <c r="AQ1031" s="73"/>
      <c r="AR1031" s="73"/>
      <c r="AS1031" s="73"/>
      <c r="AT1031" s="74"/>
      <c r="AU1031" s="47"/>
      <c r="AV1031" s="48"/>
    </row>
    <row r="1032" spans="1:48" ht="12.75" customHeight="1" x14ac:dyDescent="0.25">
      <c r="A1032" s="72" t="s">
        <v>119</v>
      </c>
      <c r="B1032" s="43" t="s">
        <v>1154</v>
      </c>
      <c r="C1032" s="44" t="s">
        <v>1187</v>
      </c>
      <c r="D1032" s="45">
        <f>MROUND(MID($C1032,6,3)/Basis!$E$3,0.5)</f>
        <v>3.5</v>
      </c>
      <c r="E1032" s="45">
        <f>MROUND(MID($C1032,9,3)/Basis!$E$3,0.5)</f>
        <v>51</v>
      </c>
      <c r="F1032" s="199" t="s">
        <v>2950</v>
      </c>
      <c r="G1032" s="45">
        <f>ROUND(MID($C1032,12,2)/Basis!$E$3,1)</f>
        <v>10.199999999999999</v>
      </c>
      <c r="H1032" s="120">
        <f>ROUND($P1032*Basis!$E$2*((TaH-TrH)/LN(1/µ)/Basis!$E$7)^$N1032*$AA$4*Glycol,0)</f>
        <v>625</v>
      </c>
      <c r="I1032" s="83">
        <f>ROUND(H1032/(MID($C1032,9,3)/Basis!$E$3/Basis!$E$9)*Basis!$E$11,0)</f>
        <v>147</v>
      </c>
      <c r="J1032" s="123">
        <f>IF(Basis!$E$1=1,ROUND(H1032/((TaH-TrH)*1.163)/3600,3),ROUND(H1032/(500*(TaH-TrH)),2))</f>
        <v>0.06</v>
      </c>
      <c r="K1032" s="84"/>
      <c r="L1032" s="177">
        <f>CHOOSE(Basis!$E$1,((AJ1032*(J1032*3600/Basis!$E$5)^AK1032*(((MID(C1032,9,3)*10)-244)/1000)*AL1032+AM1032*(J1032*3600/Basis!$E$5)^2)*0.0098)/Basis!$E$10,((AJ1032*(J1032/Basis!$E$5)^AK1032*(((MID(C1032,9,3)*10)-244)/1000)*AL1032+AM1032*(J1032/Basis!$E$5)^2)*0.0098)/Basis!$E$10)</f>
        <v>9.6436684935982382E-4</v>
      </c>
      <c r="M1032" s="85"/>
      <c r="N1032" s="109">
        <v>1.3620000000000001</v>
      </c>
      <c r="O1032" s="68"/>
      <c r="P1032" s="67">
        <v>287</v>
      </c>
      <c r="Q1032" s="68"/>
      <c r="R1032" s="69"/>
      <c r="S1032" s="69"/>
      <c r="T1032" s="69"/>
      <c r="U1032" s="69"/>
      <c r="V1032" s="69"/>
      <c r="W1032" s="68"/>
      <c r="X1032" s="70"/>
      <c r="Y1032" s="70"/>
      <c r="Z1032" s="70"/>
      <c r="AA1032" s="70"/>
      <c r="AB1032" s="70"/>
      <c r="AC1032" s="68"/>
      <c r="AD1032" s="71"/>
      <c r="AE1032" s="71"/>
      <c r="AF1032" s="71"/>
      <c r="AG1032" s="71"/>
      <c r="AH1032" s="71"/>
      <c r="AI1032" s="68"/>
      <c r="AJ1032" s="214">
        <v>9.3669999999999995E-4</v>
      </c>
      <c r="AK1032" s="214">
        <v>1.789841</v>
      </c>
      <c r="AL1032" s="214">
        <v>2</v>
      </c>
      <c r="AM1032" s="214">
        <v>4.4559999999999999E-4</v>
      </c>
      <c r="AN1032" s="68"/>
      <c r="AO1032" s="67"/>
      <c r="AP1032" s="67"/>
      <c r="AQ1032" s="67"/>
      <c r="AR1032" s="67"/>
      <c r="AS1032" s="67"/>
      <c r="AT1032" s="68"/>
      <c r="AU1032" s="49"/>
      <c r="AV1032" s="50"/>
    </row>
    <row r="1033" spans="1:48" ht="12.75" customHeight="1" x14ac:dyDescent="0.25">
      <c r="A1033" s="72" t="s">
        <v>119</v>
      </c>
      <c r="B1033" s="43" t="s">
        <v>1154</v>
      </c>
      <c r="C1033" s="44" t="s">
        <v>1188</v>
      </c>
      <c r="D1033" s="45">
        <f>MROUND(MID($C1033,6,3)/Basis!$E$3,0.5)</f>
        <v>3.5</v>
      </c>
      <c r="E1033" s="45">
        <f>MROUND(MID($C1033,9,3)/Basis!$E$3,0.5)</f>
        <v>51</v>
      </c>
      <c r="F1033" s="199" t="s">
        <v>2950</v>
      </c>
      <c r="G1033" s="45">
        <f>ROUND(MID($C1033,12,2)/Basis!$E$3,1)</f>
        <v>13.4</v>
      </c>
      <c r="H1033" s="120">
        <f>ROUND($P1033*Basis!$E$2*((TaH-TrH)/LN(1/µ)/Basis!$E$7)^$N1033*$AA$4*Glycol,0)</f>
        <v>812</v>
      </c>
      <c r="I1033" s="83">
        <f>ROUND(H1033/(MID($C1033,9,3)/Basis!$E$3/Basis!$E$9)*Basis!$E$11,0)</f>
        <v>190</v>
      </c>
      <c r="J1033" s="123">
        <f>IF(Basis!$E$1=1,ROUND(H1033/((TaH-TrH)*1.163)/3600,3),ROUND(H1033/(500*(TaH-TrH)),2))</f>
        <v>0.08</v>
      </c>
      <c r="K1033" s="84"/>
      <c r="L1033" s="177">
        <f>CHOOSE(Basis!$E$1,((AJ1033*(J1033*3600/Basis!$E$5)^AK1033*(((MID(C1033,9,3)*10)-244)/1000)*AL1033+AM1033*(J1033*3600/Basis!$E$5)^2)*0.0098)/Basis!$E$10,((AJ1033*(J1033/Basis!$E$5)^AK1033*(((MID(C1033,9,3)*10)-244)/1000)*AL1033+AM1033*(J1033/Basis!$E$5)^2)*0.0098)/Basis!$E$10)</f>
        <v>3.8563504102736329E-3</v>
      </c>
      <c r="M1033" s="85"/>
      <c r="N1033" s="110">
        <v>1.3620000000000001</v>
      </c>
      <c r="O1033" s="74"/>
      <c r="P1033" s="73">
        <v>373</v>
      </c>
      <c r="Q1033" s="74"/>
      <c r="R1033" s="75"/>
      <c r="S1033" s="75"/>
      <c r="T1033" s="75"/>
      <c r="U1033" s="75"/>
      <c r="V1033" s="75"/>
      <c r="W1033" s="74"/>
      <c r="X1033" s="76"/>
      <c r="Y1033" s="76"/>
      <c r="Z1033" s="76"/>
      <c r="AA1033" s="76"/>
      <c r="AB1033" s="76"/>
      <c r="AC1033" s="74"/>
      <c r="AD1033" s="77"/>
      <c r="AE1033" s="77"/>
      <c r="AF1033" s="77"/>
      <c r="AG1033" s="77"/>
      <c r="AH1033" s="77"/>
      <c r="AI1033" s="68"/>
      <c r="AJ1033" s="213">
        <v>1.3162765859195E-2</v>
      </c>
      <c r="AK1033" s="213">
        <v>1.4286501188989</v>
      </c>
      <c r="AL1033" s="213">
        <v>1</v>
      </c>
      <c r="AM1033" s="213">
        <v>9.2091836734694004E-4</v>
      </c>
      <c r="AN1033" s="74"/>
      <c r="AO1033" s="73"/>
      <c r="AP1033" s="73"/>
      <c r="AQ1033" s="73"/>
      <c r="AR1033" s="73"/>
      <c r="AS1033" s="73"/>
      <c r="AT1033" s="74"/>
      <c r="AU1033" s="47"/>
      <c r="AV1033" s="48"/>
    </row>
    <row r="1034" spans="1:48" ht="12.75" customHeight="1" x14ac:dyDescent="0.25">
      <c r="A1034" s="72" t="s">
        <v>119</v>
      </c>
      <c r="B1034" s="43" t="s">
        <v>1154</v>
      </c>
      <c r="C1034" s="44" t="s">
        <v>1189</v>
      </c>
      <c r="D1034" s="45">
        <f>MROUND(MID($C1034,6,3)/Basis!$E$3,0.5)</f>
        <v>3.5</v>
      </c>
      <c r="E1034" s="45">
        <f>MROUND(MID($C1034,9,3)/Basis!$E$3,0.5)</f>
        <v>51</v>
      </c>
      <c r="F1034" s="199" t="s">
        <v>2950</v>
      </c>
      <c r="G1034" s="45">
        <f>ROUND(MID($C1034,12,2)/Basis!$E$3,1)</f>
        <v>16.5</v>
      </c>
      <c r="H1034" s="120">
        <f>ROUND($P1034*Basis!$E$2*((TaH-TrH)/LN(1/µ)/Basis!$E$7)^$N1034*$AA$4*Glycol,0)</f>
        <v>1171</v>
      </c>
      <c r="I1034" s="83">
        <f>ROUND(H1034/(MID($C1034,9,3)/Basis!$E$3/Basis!$E$9)*Basis!$E$11,0)</f>
        <v>275</v>
      </c>
      <c r="J1034" s="123">
        <f>IF(Basis!$E$1=1,ROUND(H1034/((TaH-TrH)*1.163)/3600,3),ROUND(H1034/(500*(TaH-TrH)),2))</f>
        <v>0.12</v>
      </c>
      <c r="K1034" s="84"/>
      <c r="L1034" s="177">
        <f>CHOOSE(Basis!$E$1,((AJ1034*(J1034*3600/Basis!$E$5)^AK1034*(((MID(C1034,9,3)*10)-244)/1000)*AL1034+AM1034*(J1034*3600/Basis!$E$5)^2)*0.0098)/Basis!$E$10,((AJ1034*(J1034/Basis!$E$5)^AK1034*(((MID(C1034,9,3)*10)-244)/1000)*AL1034+AM1034*(J1034/Basis!$E$5)^2)*0.0098)/Basis!$E$10)</f>
        <v>1.7390903370854481E-3</v>
      </c>
      <c r="M1034" s="85"/>
      <c r="N1034" s="109">
        <v>1.3620000000000001</v>
      </c>
      <c r="O1034" s="68"/>
      <c r="P1034" s="67">
        <v>538</v>
      </c>
      <c r="Q1034" s="68"/>
      <c r="R1034" s="69"/>
      <c r="S1034" s="69"/>
      <c r="T1034" s="69"/>
      <c r="U1034" s="69"/>
      <c r="V1034" s="69"/>
      <c r="W1034" s="68"/>
      <c r="X1034" s="70"/>
      <c r="Y1034" s="70"/>
      <c r="Z1034" s="70"/>
      <c r="AA1034" s="70"/>
      <c r="AB1034" s="70"/>
      <c r="AC1034" s="68"/>
      <c r="AD1034" s="71"/>
      <c r="AE1034" s="71"/>
      <c r="AF1034" s="71"/>
      <c r="AG1034" s="71"/>
      <c r="AH1034" s="71"/>
      <c r="AI1034" s="68"/>
      <c r="AJ1034" s="214">
        <v>3.9689999999999994E-4</v>
      </c>
      <c r="AK1034" s="214">
        <v>1.7345999999999999</v>
      </c>
      <c r="AL1034" s="214">
        <v>2</v>
      </c>
      <c r="AM1034" s="214">
        <v>3.6734700000000002E-4</v>
      </c>
      <c r="AN1034" s="68"/>
      <c r="AO1034" s="67"/>
      <c r="AP1034" s="67"/>
      <c r="AQ1034" s="67"/>
      <c r="AR1034" s="67"/>
      <c r="AS1034" s="67"/>
      <c r="AT1034" s="68"/>
      <c r="AU1034" s="49"/>
      <c r="AV1034" s="50"/>
    </row>
    <row r="1035" spans="1:48" ht="12.75" customHeight="1" x14ac:dyDescent="0.25">
      <c r="A1035" s="72" t="s">
        <v>119</v>
      </c>
      <c r="B1035" s="43" t="s">
        <v>1154</v>
      </c>
      <c r="C1035" s="44" t="s">
        <v>1190</v>
      </c>
      <c r="D1035" s="45">
        <f>MROUND(MID($C1035,6,3)/Basis!$E$3,0.5)</f>
        <v>3.5</v>
      </c>
      <c r="E1035" s="45">
        <f>MROUND(MID($C1035,9,3)/Basis!$E$3,0.5)</f>
        <v>59</v>
      </c>
      <c r="F1035" s="199" t="s">
        <v>2950</v>
      </c>
      <c r="G1035" s="45">
        <f>ROUND(MID($C1035,12,2)/Basis!$E$3,1)</f>
        <v>5.5</v>
      </c>
      <c r="H1035" s="120">
        <f>ROUND($P1035*Basis!$E$2*((TaH-TrH)/LN(1/µ)/Basis!$E$7)^$N1035*$AA$4*Glycol,0)</f>
        <v>483</v>
      </c>
      <c r="I1035" s="83">
        <f>ROUND(H1035/(MID($C1035,9,3)/Basis!$E$3/Basis!$E$9)*Basis!$E$11,0)</f>
        <v>98</v>
      </c>
      <c r="J1035" s="123">
        <f>IF(Basis!$E$1=1,ROUND(H1035/((TaH-TrH)*1.163)/3600,3),ROUND(H1035/(500*(TaH-TrH)),2))</f>
        <v>0.05</v>
      </c>
      <c r="K1035" s="84"/>
      <c r="L1035" s="177">
        <f>CHOOSE(Basis!$E$1,((AJ1035*(J1035*3600/Basis!$E$5)^AK1035*(((MID(C1035,9,3)*10)-244)/1000)*AL1035+AM1035*(J1035*3600/Basis!$E$5)^2)*0.0098)/Basis!$E$10,((AJ1035*(J1035/Basis!$E$5)^AK1035*(((MID(C1035,9,3)*10)-244)/1000)*AL1035+AM1035*(J1035/Basis!$E$5)^2)*0.0098)/Basis!$E$10)</f>
        <v>3.7517042472422657E-4</v>
      </c>
      <c r="M1035" s="85"/>
      <c r="N1035" s="110">
        <v>1.3620000000000001</v>
      </c>
      <c r="O1035" s="74"/>
      <c r="P1035" s="73">
        <v>222</v>
      </c>
      <c r="Q1035" s="74"/>
      <c r="R1035" s="75"/>
      <c r="S1035" s="75"/>
      <c r="T1035" s="75"/>
      <c r="U1035" s="75"/>
      <c r="V1035" s="75"/>
      <c r="W1035" s="74"/>
      <c r="X1035" s="76"/>
      <c r="Y1035" s="76"/>
      <c r="Z1035" s="76"/>
      <c r="AA1035" s="76"/>
      <c r="AB1035" s="76"/>
      <c r="AC1035" s="74"/>
      <c r="AD1035" s="77"/>
      <c r="AE1035" s="77"/>
      <c r="AF1035" s="77"/>
      <c r="AG1035" s="77"/>
      <c r="AH1035" s="77"/>
      <c r="AI1035" s="68"/>
      <c r="AJ1035" s="213">
        <v>6.0625777523108995E-4</v>
      </c>
      <c r="AK1035" s="213">
        <v>1.8894792857555001</v>
      </c>
      <c r="AL1035" s="213">
        <v>1</v>
      </c>
      <c r="AM1035" s="213">
        <v>3.0758017492711002E-4</v>
      </c>
      <c r="AN1035" s="74"/>
      <c r="AO1035" s="73"/>
      <c r="AP1035" s="73"/>
      <c r="AQ1035" s="73"/>
      <c r="AR1035" s="73"/>
      <c r="AS1035" s="73"/>
      <c r="AT1035" s="74"/>
      <c r="AU1035" s="47"/>
      <c r="AV1035" s="48"/>
    </row>
    <row r="1036" spans="1:48" ht="12.75" customHeight="1" x14ac:dyDescent="0.25">
      <c r="A1036" s="72" t="s">
        <v>119</v>
      </c>
      <c r="B1036" s="43" t="s">
        <v>1154</v>
      </c>
      <c r="C1036" s="44" t="s">
        <v>1191</v>
      </c>
      <c r="D1036" s="45">
        <f>MROUND(MID($C1036,6,3)/Basis!$E$3,0.5)</f>
        <v>3.5</v>
      </c>
      <c r="E1036" s="45">
        <f>MROUND(MID($C1036,9,3)/Basis!$E$3,0.5)</f>
        <v>59</v>
      </c>
      <c r="F1036" s="199" t="s">
        <v>2950</v>
      </c>
      <c r="G1036" s="45">
        <f>ROUND(MID($C1036,12,2)/Basis!$E$3,1)</f>
        <v>7.1</v>
      </c>
      <c r="H1036" s="120">
        <f>ROUND($P1036*Basis!$E$2*((TaH-TrH)/LN(1/µ)/Basis!$E$7)^$N1036*$AA$4*Glycol,0)</f>
        <v>572</v>
      </c>
      <c r="I1036" s="83">
        <f>ROUND(H1036/(MID($C1036,9,3)/Basis!$E$3/Basis!$E$9)*Basis!$E$11,0)</f>
        <v>116</v>
      </c>
      <c r="J1036" s="123">
        <f>IF(Basis!$E$1=1,ROUND(H1036/((TaH-TrH)*1.163)/3600,3),ROUND(H1036/(500*(TaH-TrH)),2))</f>
        <v>0.06</v>
      </c>
      <c r="K1036" s="84"/>
      <c r="L1036" s="177">
        <f>CHOOSE(Basis!$E$1,((AJ1036*(J1036*3600/Basis!$E$5)^AK1036*(((MID(C1036,9,3)*10)-244)/1000)*AL1036+AM1036*(J1036*3600/Basis!$E$5)^2)*0.0098)/Basis!$E$10,((AJ1036*(J1036/Basis!$E$5)^AK1036*(((MID(C1036,9,3)*10)-244)/1000)*AL1036+AM1036*(J1036/Basis!$E$5)^2)*0.0098)/Basis!$E$10)</f>
        <v>1.0957670599592675E-3</v>
      </c>
      <c r="M1036" s="85"/>
      <c r="N1036" s="109">
        <v>1.3620000000000001</v>
      </c>
      <c r="O1036" s="68"/>
      <c r="P1036" s="67">
        <v>263</v>
      </c>
      <c r="Q1036" s="68"/>
      <c r="R1036" s="69"/>
      <c r="S1036" s="69"/>
      <c r="T1036" s="69"/>
      <c r="U1036" s="69"/>
      <c r="V1036" s="69"/>
      <c r="W1036" s="68"/>
      <c r="X1036" s="70"/>
      <c r="Y1036" s="70"/>
      <c r="Z1036" s="70"/>
      <c r="AA1036" s="70"/>
      <c r="AB1036" s="70"/>
      <c r="AC1036" s="68"/>
      <c r="AD1036" s="71"/>
      <c r="AE1036" s="71"/>
      <c r="AF1036" s="71"/>
      <c r="AG1036" s="71"/>
      <c r="AH1036" s="71"/>
      <c r="AI1036" s="68"/>
      <c r="AJ1036" s="214">
        <v>9.3669999999999995E-4</v>
      </c>
      <c r="AK1036" s="214">
        <v>1.789841</v>
      </c>
      <c r="AL1036" s="214">
        <v>2</v>
      </c>
      <c r="AM1036" s="214">
        <v>4.4559999999999999E-4</v>
      </c>
      <c r="AN1036" s="68"/>
      <c r="AO1036" s="67"/>
      <c r="AP1036" s="67"/>
      <c r="AQ1036" s="67"/>
      <c r="AR1036" s="67"/>
      <c r="AS1036" s="67"/>
      <c r="AT1036" s="68"/>
      <c r="AU1036" s="49"/>
      <c r="AV1036" s="50"/>
    </row>
    <row r="1037" spans="1:48" ht="12.75" customHeight="1" x14ac:dyDescent="0.25">
      <c r="A1037" s="72" t="s">
        <v>119</v>
      </c>
      <c r="B1037" s="43" t="s">
        <v>1154</v>
      </c>
      <c r="C1037" s="44" t="s">
        <v>1192</v>
      </c>
      <c r="D1037" s="45">
        <f>MROUND(MID($C1037,6,3)/Basis!$E$3,0.5)</f>
        <v>3.5</v>
      </c>
      <c r="E1037" s="45">
        <f>MROUND(MID($C1037,9,3)/Basis!$E$3,0.5)</f>
        <v>59</v>
      </c>
      <c r="F1037" s="199" t="s">
        <v>2950</v>
      </c>
      <c r="G1037" s="45">
        <f>ROUND(MID($C1037,12,2)/Basis!$E$3,1)</f>
        <v>10.199999999999999</v>
      </c>
      <c r="H1037" s="120">
        <f>ROUND($P1037*Basis!$E$2*((TaH-TrH)/LN(1/µ)/Basis!$E$7)^$N1037*$AA$4*Glycol,0)</f>
        <v>751</v>
      </c>
      <c r="I1037" s="83">
        <f>ROUND(H1037/(MID($C1037,9,3)/Basis!$E$3/Basis!$E$9)*Basis!$E$11,0)</f>
        <v>153</v>
      </c>
      <c r="J1037" s="123">
        <f>IF(Basis!$E$1=1,ROUND(H1037/((TaH-TrH)*1.163)/3600,3),ROUND(H1037/(500*(TaH-TrH)),2))</f>
        <v>0.08</v>
      </c>
      <c r="K1037" s="84"/>
      <c r="L1037" s="177">
        <f>CHOOSE(Basis!$E$1,((AJ1037*(J1037*3600/Basis!$E$5)^AK1037*(((MID(C1037,9,3)*10)-244)/1000)*AL1037+AM1037*(J1037*3600/Basis!$E$5)^2)*0.0098)/Basis!$E$10,((AJ1037*(J1037/Basis!$E$5)^AK1037*(((MID(C1037,9,3)*10)-244)/1000)*AL1037+AM1037*(J1037/Basis!$E$5)^2)*0.0098)/Basis!$E$10)</f>
        <v>1.8619643300666613E-3</v>
      </c>
      <c r="M1037" s="85"/>
      <c r="N1037" s="110">
        <v>1.3620000000000001</v>
      </c>
      <c r="O1037" s="74"/>
      <c r="P1037" s="73">
        <v>345</v>
      </c>
      <c r="Q1037" s="74"/>
      <c r="R1037" s="75"/>
      <c r="S1037" s="75"/>
      <c r="T1037" s="75"/>
      <c r="U1037" s="75"/>
      <c r="V1037" s="75"/>
      <c r="W1037" s="74"/>
      <c r="X1037" s="76"/>
      <c r="Y1037" s="76"/>
      <c r="Z1037" s="76"/>
      <c r="AA1037" s="76"/>
      <c r="AB1037" s="76"/>
      <c r="AC1037" s="74"/>
      <c r="AD1037" s="77"/>
      <c r="AE1037" s="77"/>
      <c r="AF1037" s="77"/>
      <c r="AG1037" s="77"/>
      <c r="AH1037" s="77"/>
      <c r="AI1037" s="68"/>
      <c r="AJ1037" s="213">
        <v>9.3669999999999995E-4</v>
      </c>
      <c r="AK1037" s="213">
        <v>1.789841</v>
      </c>
      <c r="AL1037" s="213">
        <v>2</v>
      </c>
      <c r="AM1037" s="213">
        <v>4.4559999999999999E-4</v>
      </c>
      <c r="AN1037" s="74"/>
      <c r="AO1037" s="73"/>
      <c r="AP1037" s="73"/>
      <c r="AQ1037" s="73"/>
      <c r="AR1037" s="73"/>
      <c r="AS1037" s="73"/>
      <c r="AT1037" s="74"/>
      <c r="AU1037" s="47"/>
      <c r="AV1037" s="48"/>
    </row>
    <row r="1038" spans="1:48" ht="12.75" customHeight="1" x14ac:dyDescent="0.25">
      <c r="A1038" s="72" t="s">
        <v>119</v>
      </c>
      <c r="B1038" s="43" t="s">
        <v>1154</v>
      </c>
      <c r="C1038" s="44" t="s">
        <v>1193</v>
      </c>
      <c r="D1038" s="45">
        <f>MROUND(MID($C1038,6,3)/Basis!$E$3,0.5)</f>
        <v>3.5</v>
      </c>
      <c r="E1038" s="45">
        <f>MROUND(MID($C1038,9,3)/Basis!$E$3,0.5)</f>
        <v>59</v>
      </c>
      <c r="F1038" s="199" t="s">
        <v>2950</v>
      </c>
      <c r="G1038" s="45">
        <f>ROUND(MID($C1038,12,2)/Basis!$E$3,1)</f>
        <v>13.4</v>
      </c>
      <c r="H1038" s="120">
        <f>ROUND($P1038*Basis!$E$2*((TaH-TrH)/LN(1/µ)/Basis!$E$7)^$N1038*$AA$4*Glycol,0)</f>
        <v>975</v>
      </c>
      <c r="I1038" s="83">
        <f>ROUND(H1038/(MID($C1038,9,3)/Basis!$E$3/Basis!$E$9)*Basis!$E$11,0)</f>
        <v>198</v>
      </c>
      <c r="J1038" s="123">
        <f>IF(Basis!$E$1=1,ROUND(H1038/((TaH-TrH)*1.163)/3600,3),ROUND(H1038/(500*(TaH-TrH)),2))</f>
        <v>0.1</v>
      </c>
      <c r="K1038" s="84"/>
      <c r="L1038" s="177">
        <f>CHOOSE(Basis!$E$1,((AJ1038*(J1038*3600/Basis!$E$5)^AK1038*(((MID(C1038,9,3)*10)-244)/1000)*AL1038+AM1038*(J1038*3600/Basis!$E$5)^2)*0.0098)/Basis!$E$10,((AJ1038*(J1038/Basis!$E$5)^AK1038*(((MID(C1038,9,3)*10)-244)/1000)*AL1038+AM1038*(J1038/Basis!$E$5)^2)*0.0098)/Basis!$E$10)</f>
        <v>6.2358451090442912E-3</v>
      </c>
      <c r="M1038" s="85"/>
      <c r="N1038" s="109">
        <v>1.3620000000000001</v>
      </c>
      <c r="O1038" s="68"/>
      <c r="P1038" s="67">
        <v>448</v>
      </c>
      <c r="Q1038" s="68"/>
      <c r="R1038" s="69"/>
      <c r="S1038" s="69"/>
      <c r="T1038" s="69"/>
      <c r="U1038" s="69"/>
      <c r="V1038" s="69"/>
      <c r="W1038" s="68"/>
      <c r="X1038" s="70"/>
      <c r="Y1038" s="70"/>
      <c r="Z1038" s="70"/>
      <c r="AA1038" s="70"/>
      <c r="AB1038" s="70"/>
      <c r="AC1038" s="68"/>
      <c r="AD1038" s="71"/>
      <c r="AE1038" s="71"/>
      <c r="AF1038" s="71"/>
      <c r="AG1038" s="71"/>
      <c r="AH1038" s="71"/>
      <c r="AI1038" s="68"/>
      <c r="AJ1038" s="214">
        <v>1.3162765859195E-2</v>
      </c>
      <c r="AK1038" s="214">
        <v>1.4286501188989</v>
      </c>
      <c r="AL1038" s="214">
        <v>1</v>
      </c>
      <c r="AM1038" s="214">
        <v>9.2091836734694004E-4</v>
      </c>
      <c r="AN1038" s="68"/>
      <c r="AO1038" s="67"/>
      <c r="AP1038" s="67"/>
      <c r="AQ1038" s="67"/>
      <c r="AR1038" s="67"/>
      <c r="AS1038" s="67"/>
      <c r="AT1038" s="68"/>
      <c r="AU1038" s="49"/>
      <c r="AV1038" s="50"/>
    </row>
    <row r="1039" spans="1:48" ht="12.75" customHeight="1" x14ac:dyDescent="0.25">
      <c r="A1039" s="72" t="s">
        <v>119</v>
      </c>
      <c r="B1039" s="43" t="s">
        <v>1154</v>
      </c>
      <c r="C1039" s="44" t="s">
        <v>1194</v>
      </c>
      <c r="D1039" s="45">
        <f>MROUND(MID($C1039,6,3)/Basis!$E$3,0.5)</f>
        <v>3.5</v>
      </c>
      <c r="E1039" s="45">
        <f>MROUND(MID($C1039,9,3)/Basis!$E$3,0.5)</f>
        <v>59</v>
      </c>
      <c r="F1039" s="199" t="s">
        <v>2950</v>
      </c>
      <c r="G1039" s="45">
        <f>ROUND(MID($C1039,12,2)/Basis!$E$3,1)</f>
        <v>16.5</v>
      </c>
      <c r="H1039" s="120">
        <f>ROUND($P1039*Basis!$E$2*((TaH-TrH)/LN(1/µ)/Basis!$E$7)^$N1039*$AA$4*Glycol,0)</f>
        <v>1406</v>
      </c>
      <c r="I1039" s="83">
        <f>ROUND(H1039/(MID($C1039,9,3)/Basis!$E$3/Basis!$E$9)*Basis!$E$11,0)</f>
        <v>286</v>
      </c>
      <c r="J1039" s="123">
        <f>IF(Basis!$E$1=1,ROUND(H1039/((TaH-TrH)*1.163)/3600,3),ROUND(H1039/(500*(TaH-TrH)),2))</f>
        <v>0.14000000000000001</v>
      </c>
      <c r="K1039" s="84"/>
      <c r="L1039" s="177">
        <f>CHOOSE(Basis!$E$1,((AJ1039*(J1039*3600/Basis!$E$5)^AK1039*(((MID(C1039,9,3)*10)-244)/1000)*AL1039+AM1039*(J1039*3600/Basis!$E$5)^2)*0.0098)/Basis!$E$10,((AJ1039*(J1039/Basis!$E$5)^AK1039*(((MID(C1039,9,3)*10)-244)/1000)*AL1039+AM1039*(J1039/Basis!$E$5)^2)*0.0098)/Basis!$E$10)</f>
        <v>2.5304469232739317E-3</v>
      </c>
      <c r="M1039" s="85"/>
      <c r="N1039" s="110">
        <v>1.3620000000000001</v>
      </c>
      <c r="O1039" s="74"/>
      <c r="P1039" s="73">
        <v>646</v>
      </c>
      <c r="Q1039" s="74"/>
      <c r="R1039" s="75"/>
      <c r="S1039" s="75"/>
      <c r="T1039" s="75"/>
      <c r="U1039" s="75"/>
      <c r="V1039" s="75"/>
      <c r="W1039" s="74"/>
      <c r="X1039" s="76"/>
      <c r="Y1039" s="76"/>
      <c r="Z1039" s="76"/>
      <c r="AA1039" s="76"/>
      <c r="AB1039" s="76"/>
      <c r="AC1039" s="74"/>
      <c r="AD1039" s="77"/>
      <c r="AE1039" s="77"/>
      <c r="AF1039" s="77"/>
      <c r="AG1039" s="77"/>
      <c r="AH1039" s="77"/>
      <c r="AI1039" s="68"/>
      <c r="AJ1039" s="213">
        <v>3.9689999999999994E-4</v>
      </c>
      <c r="AK1039" s="213">
        <v>1.7345999999999999</v>
      </c>
      <c r="AL1039" s="213">
        <v>2</v>
      </c>
      <c r="AM1039" s="213">
        <v>3.6734700000000002E-4</v>
      </c>
      <c r="AN1039" s="74"/>
      <c r="AO1039" s="73"/>
      <c r="AP1039" s="73"/>
      <c r="AQ1039" s="73"/>
      <c r="AR1039" s="73"/>
      <c r="AS1039" s="73"/>
      <c r="AT1039" s="74"/>
      <c r="AU1039" s="47"/>
      <c r="AV1039" s="48"/>
    </row>
    <row r="1040" spans="1:48" ht="12.75" customHeight="1" x14ac:dyDescent="0.25">
      <c r="A1040" s="72" t="s">
        <v>119</v>
      </c>
      <c r="B1040" s="43" t="s">
        <v>1154</v>
      </c>
      <c r="C1040" s="44" t="s">
        <v>1195</v>
      </c>
      <c r="D1040" s="45">
        <f>MROUND(MID($C1040,6,3)/Basis!$E$3,0.5)</f>
        <v>3.5</v>
      </c>
      <c r="E1040" s="45">
        <f>MROUND(MID($C1040,9,3)/Basis!$E$3,0.5)</f>
        <v>67</v>
      </c>
      <c r="F1040" s="199" t="s">
        <v>2950</v>
      </c>
      <c r="G1040" s="45">
        <f>ROUND(MID($C1040,12,2)/Basis!$E$3,1)</f>
        <v>5.5</v>
      </c>
      <c r="H1040" s="120">
        <f>ROUND($P1040*Basis!$E$2*((TaH-TrH)/LN(1/µ)/Basis!$E$7)^$N1040*$AA$4*Glycol,0)</f>
        <v>564</v>
      </c>
      <c r="I1040" s="83">
        <f>ROUND(H1040/(MID($C1040,9,3)/Basis!$E$3/Basis!$E$9)*Basis!$E$11,0)</f>
        <v>101</v>
      </c>
      <c r="J1040" s="123">
        <f>IF(Basis!$E$1=1,ROUND(H1040/((TaH-TrH)*1.163)/3600,3),ROUND(H1040/(500*(TaH-TrH)),2))</f>
        <v>0.06</v>
      </c>
      <c r="K1040" s="84"/>
      <c r="L1040" s="177">
        <f>CHOOSE(Basis!$E$1,((AJ1040*(J1040*3600/Basis!$E$5)^AK1040*(((MID(C1040,9,3)*10)-244)/1000)*AL1040+AM1040*(J1040*3600/Basis!$E$5)^2)*0.0098)/Basis!$E$10,((AJ1040*(J1040/Basis!$E$5)^AK1040*(((MID(C1040,9,3)*10)-244)/1000)*AL1040+AM1040*(J1040/Basis!$E$5)^2)*0.0098)/Basis!$E$10)</f>
        <v>5.8835760818750976E-4</v>
      </c>
      <c r="M1040" s="85"/>
      <c r="N1040" s="109">
        <v>1.3620000000000001</v>
      </c>
      <c r="O1040" s="68"/>
      <c r="P1040" s="67">
        <v>259</v>
      </c>
      <c r="Q1040" s="68"/>
      <c r="R1040" s="69"/>
      <c r="S1040" s="69"/>
      <c r="T1040" s="69"/>
      <c r="U1040" s="69"/>
      <c r="V1040" s="69"/>
      <c r="W1040" s="68"/>
      <c r="X1040" s="70"/>
      <c r="Y1040" s="70"/>
      <c r="Z1040" s="70"/>
      <c r="AA1040" s="70"/>
      <c r="AB1040" s="70"/>
      <c r="AC1040" s="68"/>
      <c r="AD1040" s="71"/>
      <c r="AE1040" s="71"/>
      <c r="AF1040" s="71"/>
      <c r="AG1040" s="71"/>
      <c r="AH1040" s="71"/>
      <c r="AI1040" s="68"/>
      <c r="AJ1040" s="214">
        <v>6.0625777523108995E-4</v>
      </c>
      <c r="AK1040" s="214">
        <v>1.8894792857555001</v>
      </c>
      <c r="AL1040" s="214">
        <v>1</v>
      </c>
      <c r="AM1040" s="214">
        <v>3.0758017492711002E-4</v>
      </c>
      <c r="AN1040" s="68"/>
      <c r="AO1040" s="67"/>
      <c r="AP1040" s="67"/>
      <c r="AQ1040" s="67"/>
      <c r="AR1040" s="67"/>
      <c r="AS1040" s="67"/>
      <c r="AT1040" s="68"/>
      <c r="AU1040" s="49"/>
      <c r="AV1040" s="50"/>
    </row>
    <row r="1041" spans="1:48" ht="12.75" customHeight="1" x14ac:dyDescent="0.25">
      <c r="A1041" s="72" t="s">
        <v>119</v>
      </c>
      <c r="B1041" s="43" t="s">
        <v>1154</v>
      </c>
      <c r="C1041" s="44" t="s">
        <v>1196</v>
      </c>
      <c r="D1041" s="45">
        <f>MROUND(MID($C1041,6,3)/Basis!$E$3,0.5)</f>
        <v>3.5</v>
      </c>
      <c r="E1041" s="45">
        <f>MROUND(MID($C1041,9,3)/Basis!$E$3,0.5)</f>
        <v>67</v>
      </c>
      <c r="F1041" s="199" t="s">
        <v>2950</v>
      </c>
      <c r="G1041" s="45">
        <f>ROUND(MID($C1041,12,2)/Basis!$E$3,1)</f>
        <v>7.1</v>
      </c>
      <c r="H1041" s="120">
        <f>ROUND($P1041*Basis!$E$2*((TaH-TrH)/LN(1/µ)/Basis!$E$7)^$N1041*$AA$4*Glycol,0)</f>
        <v>668</v>
      </c>
      <c r="I1041" s="83">
        <f>ROUND(H1041/(MID($C1041,9,3)/Basis!$E$3/Basis!$E$9)*Basis!$E$11,0)</f>
        <v>120</v>
      </c>
      <c r="J1041" s="123">
        <f>IF(Basis!$E$1=1,ROUND(H1041/((TaH-TrH)*1.163)/3600,3),ROUND(H1041/(500*(TaH-TrH)),2))</f>
        <v>7.0000000000000007E-2</v>
      </c>
      <c r="K1041" s="84"/>
      <c r="L1041" s="177">
        <f>CHOOSE(Basis!$E$1,((AJ1041*(J1041*3600/Basis!$E$5)^AK1041*(((MID(C1041,9,3)*10)-244)/1000)*AL1041+AM1041*(J1041*3600/Basis!$E$5)^2)*0.0098)/Basis!$E$10,((AJ1041*(J1041/Basis!$E$5)^AK1041*(((MID(C1041,9,3)*10)-244)/1000)*AL1041+AM1041*(J1041/Basis!$E$5)^2)*0.0098)/Basis!$E$10)</f>
        <v>1.6288061700469381E-3</v>
      </c>
      <c r="M1041" s="85"/>
      <c r="N1041" s="110">
        <v>1.3620000000000001</v>
      </c>
      <c r="O1041" s="74"/>
      <c r="P1041" s="73">
        <v>307</v>
      </c>
      <c r="Q1041" s="74"/>
      <c r="R1041" s="75"/>
      <c r="S1041" s="75"/>
      <c r="T1041" s="75"/>
      <c r="U1041" s="75"/>
      <c r="V1041" s="75"/>
      <c r="W1041" s="74"/>
      <c r="X1041" s="76"/>
      <c r="Y1041" s="76"/>
      <c r="Z1041" s="76"/>
      <c r="AA1041" s="76"/>
      <c r="AB1041" s="76"/>
      <c r="AC1041" s="74"/>
      <c r="AD1041" s="77"/>
      <c r="AE1041" s="77"/>
      <c r="AF1041" s="77"/>
      <c r="AG1041" s="77"/>
      <c r="AH1041" s="77"/>
      <c r="AI1041" s="68"/>
      <c r="AJ1041" s="213">
        <v>9.3669999999999995E-4</v>
      </c>
      <c r="AK1041" s="213">
        <v>1.789841</v>
      </c>
      <c r="AL1041" s="213">
        <v>2</v>
      </c>
      <c r="AM1041" s="213">
        <v>4.4559999999999999E-4</v>
      </c>
      <c r="AN1041" s="74"/>
      <c r="AO1041" s="73"/>
      <c r="AP1041" s="73"/>
      <c r="AQ1041" s="73"/>
      <c r="AR1041" s="73"/>
      <c r="AS1041" s="73"/>
      <c r="AT1041" s="74"/>
      <c r="AU1041" s="47"/>
      <c r="AV1041" s="48"/>
    </row>
    <row r="1042" spans="1:48" ht="12.75" customHeight="1" x14ac:dyDescent="0.25">
      <c r="A1042" s="72" t="s">
        <v>119</v>
      </c>
      <c r="B1042" s="43" t="s">
        <v>1154</v>
      </c>
      <c r="C1042" s="44" t="s">
        <v>1197</v>
      </c>
      <c r="D1042" s="45">
        <f>MROUND(MID($C1042,6,3)/Basis!$E$3,0.5)</f>
        <v>3.5</v>
      </c>
      <c r="E1042" s="45">
        <f>MROUND(MID($C1042,9,3)/Basis!$E$3,0.5)</f>
        <v>67</v>
      </c>
      <c r="F1042" s="199" t="s">
        <v>2950</v>
      </c>
      <c r="G1042" s="45">
        <f>ROUND(MID($C1042,12,2)/Basis!$E$3,1)</f>
        <v>10.199999999999999</v>
      </c>
      <c r="H1042" s="120">
        <f>ROUND($P1042*Basis!$E$2*((TaH-TrH)/LN(1/µ)/Basis!$E$7)^$N1042*$AA$4*Glycol,0)</f>
        <v>877</v>
      </c>
      <c r="I1042" s="83">
        <f>ROUND(H1042/(MID($C1042,9,3)/Basis!$E$3/Basis!$E$9)*Basis!$E$11,0)</f>
        <v>157</v>
      </c>
      <c r="J1042" s="123">
        <f>IF(Basis!$E$1=1,ROUND(H1042/((TaH-TrH)*1.163)/3600,3),ROUND(H1042/(500*(TaH-TrH)),2))</f>
        <v>0.09</v>
      </c>
      <c r="K1042" s="84"/>
      <c r="L1042" s="177">
        <f>CHOOSE(Basis!$E$1,((AJ1042*(J1042*3600/Basis!$E$5)^AK1042*(((MID(C1042,9,3)*10)-244)/1000)*AL1042+AM1042*(J1042*3600/Basis!$E$5)^2)*0.0098)/Basis!$E$10,((AJ1042*(J1042/Basis!$E$5)^AK1042*(((MID(C1042,9,3)*10)-244)/1000)*AL1042+AM1042*(J1042/Basis!$E$5)^2)*0.0098)/Basis!$E$10)</f>
        <v>2.5853181115351753E-3</v>
      </c>
      <c r="M1042" s="85"/>
      <c r="N1042" s="109">
        <v>1.3620000000000001</v>
      </c>
      <c r="O1042" s="68"/>
      <c r="P1042" s="67">
        <v>403</v>
      </c>
      <c r="Q1042" s="68"/>
      <c r="R1042" s="69"/>
      <c r="S1042" s="69"/>
      <c r="T1042" s="69"/>
      <c r="U1042" s="69"/>
      <c r="V1042" s="69"/>
      <c r="W1042" s="68"/>
      <c r="X1042" s="70"/>
      <c r="Y1042" s="70"/>
      <c r="Z1042" s="70"/>
      <c r="AA1042" s="70"/>
      <c r="AB1042" s="70"/>
      <c r="AC1042" s="68"/>
      <c r="AD1042" s="71"/>
      <c r="AE1042" s="71"/>
      <c r="AF1042" s="71"/>
      <c r="AG1042" s="71"/>
      <c r="AH1042" s="71"/>
      <c r="AI1042" s="68"/>
      <c r="AJ1042" s="214">
        <v>9.3669999999999995E-4</v>
      </c>
      <c r="AK1042" s="214">
        <v>1.789841</v>
      </c>
      <c r="AL1042" s="214">
        <v>2</v>
      </c>
      <c r="AM1042" s="214">
        <v>4.4559999999999999E-4</v>
      </c>
      <c r="AN1042" s="68"/>
      <c r="AO1042" s="67"/>
      <c r="AP1042" s="67"/>
      <c r="AQ1042" s="67"/>
      <c r="AR1042" s="67"/>
      <c r="AS1042" s="67"/>
      <c r="AT1042" s="68"/>
      <c r="AU1042" s="49"/>
      <c r="AV1042" s="50"/>
    </row>
    <row r="1043" spans="1:48" ht="12.75" customHeight="1" x14ac:dyDescent="0.25">
      <c r="A1043" s="72" t="s">
        <v>119</v>
      </c>
      <c r="B1043" s="43" t="s">
        <v>1154</v>
      </c>
      <c r="C1043" s="44" t="s">
        <v>1198</v>
      </c>
      <c r="D1043" s="45">
        <f>MROUND(MID($C1043,6,3)/Basis!$E$3,0.5)</f>
        <v>3.5</v>
      </c>
      <c r="E1043" s="45">
        <f>MROUND(MID($C1043,9,3)/Basis!$E$3,0.5)</f>
        <v>67</v>
      </c>
      <c r="F1043" s="199" t="s">
        <v>2950</v>
      </c>
      <c r="G1043" s="45">
        <f>ROUND(MID($C1043,12,2)/Basis!$E$3,1)</f>
        <v>13.4</v>
      </c>
      <c r="H1043" s="120">
        <f>ROUND($P1043*Basis!$E$2*((TaH-TrH)/LN(1/µ)/Basis!$E$7)^$N1043*$AA$4*Glycol,0)</f>
        <v>1136</v>
      </c>
      <c r="I1043" s="83">
        <f>ROUND(H1043/(MID($C1043,9,3)/Basis!$E$3/Basis!$E$9)*Basis!$E$11,0)</f>
        <v>204</v>
      </c>
      <c r="J1043" s="123">
        <f>IF(Basis!$E$1=1,ROUND(H1043/((TaH-TrH)*1.163)/3600,3),ROUND(H1043/(500*(TaH-TrH)),2))</f>
        <v>0.11</v>
      </c>
      <c r="K1043" s="84"/>
      <c r="L1043" s="177">
        <f>CHOOSE(Basis!$E$1,((AJ1043*(J1043*3600/Basis!$E$5)^AK1043*(((MID(C1043,9,3)*10)-244)/1000)*AL1043+AM1043*(J1043*3600/Basis!$E$5)^2)*0.0098)/Basis!$E$10,((AJ1043*(J1043/Basis!$E$5)^AK1043*(((MID(C1043,9,3)*10)-244)/1000)*AL1043+AM1043*(J1043/Basis!$E$5)^2)*0.0098)/Basis!$E$10)</f>
        <v>8.0994768798429654E-3</v>
      </c>
      <c r="M1043" s="85"/>
      <c r="N1043" s="110">
        <v>1.3620000000000001</v>
      </c>
      <c r="O1043" s="74"/>
      <c r="P1043" s="73">
        <v>522</v>
      </c>
      <c r="Q1043" s="74"/>
      <c r="R1043" s="75"/>
      <c r="S1043" s="75"/>
      <c r="T1043" s="75"/>
      <c r="U1043" s="75"/>
      <c r="V1043" s="75"/>
      <c r="W1043" s="74"/>
      <c r="X1043" s="76"/>
      <c r="Y1043" s="76"/>
      <c r="Z1043" s="76"/>
      <c r="AA1043" s="76"/>
      <c r="AB1043" s="76"/>
      <c r="AC1043" s="74"/>
      <c r="AD1043" s="77"/>
      <c r="AE1043" s="77"/>
      <c r="AF1043" s="77"/>
      <c r="AG1043" s="77"/>
      <c r="AH1043" s="77"/>
      <c r="AI1043" s="68"/>
      <c r="AJ1043" s="213">
        <v>1.3162765859195E-2</v>
      </c>
      <c r="AK1043" s="213">
        <v>1.4286501188989</v>
      </c>
      <c r="AL1043" s="213">
        <v>1</v>
      </c>
      <c r="AM1043" s="213">
        <v>9.2091836734694004E-4</v>
      </c>
      <c r="AN1043" s="74"/>
      <c r="AO1043" s="73"/>
      <c r="AP1043" s="73"/>
      <c r="AQ1043" s="73"/>
      <c r="AR1043" s="73"/>
      <c r="AS1043" s="73"/>
      <c r="AT1043" s="74"/>
      <c r="AU1043" s="47"/>
      <c r="AV1043" s="48"/>
    </row>
    <row r="1044" spans="1:48" ht="12.75" customHeight="1" x14ac:dyDescent="0.25">
      <c r="A1044" s="72" t="s">
        <v>119</v>
      </c>
      <c r="B1044" s="43" t="s">
        <v>1154</v>
      </c>
      <c r="C1044" s="44" t="s">
        <v>1199</v>
      </c>
      <c r="D1044" s="45">
        <f>MROUND(MID($C1044,6,3)/Basis!$E$3,0.5)</f>
        <v>3.5</v>
      </c>
      <c r="E1044" s="45">
        <f>MROUND(MID($C1044,9,3)/Basis!$E$3,0.5)</f>
        <v>67</v>
      </c>
      <c r="F1044" s="199" t="s">
        <v>2950</v>
      </c>
      <c r="G1044" s="45">
        <f>ROUND(MID($C1044,12,2)/Basis!$E$3,1)</f>
        <v>16.5</v>
      </c>
      <c r="H1044" s="120">
        <f>ROUND($P1044*Basis!$E$2*((TaH-TrH)/LN(1/µ)/Basis!$E$7)^$N1044*$AA$4*Glycol,0)</f>
        <v>1643</v>
      </c>
      <c r="I1044" s="83">
        <f>ROUND(H1044/(MID($C1044,9,3)/Basis!$E$3/Basis!$E$9)*Basis!$E$11,0)</f>
        <v>295</v>
      </c>
      <c r="J1044" s="123">
        <f>IF(Basis!$E$1=1,ROUND(H1044/((TaH-TrH)*1.163)/3600,3),ROUND(H1044/(500*(TaH-TrH)),2))</f>
        <v>0.16</v>
      </c>
      <c r="K1044" s="84"/>
      <c r="L1044" s="177">
        <f>CHOOSE(Basis!$E$1,((AJ1044*(J1044*3600/Basis!$E$5)^AK1044*(((MID(C1044,9,3)*10)-244)/1000)*AL1044+AM1044*(J1044*3600/Basis!$E$5)^2)*0.0098)/Basis!$E$10,((AJ1044*(J1044/Basis!$E$5)^AK1044*(((MID(C1044,9,3)*10)-244)/1000)*AL1044+AM1044*(J1044/Basis!$E$5)^2)*0.0098)/Basis!$E$10)</f>
        <v>3.5094021806158287E-3</v>
      </c>
      <c r="M1044" s="85"/>
      <c r="N1044" s="109">
        <v>1.3620000000000001</v>
      </c>
      <c r="O1044" s="68"/>
      <c r="P1044" s="67">
        <v>755</v>
      </c>
      <c r="Q1044" s="68"/>
      <c r="R1044" s="69"/>
      <c r="S1044" s="69"/>
      <c r="T1044" s="69"/>
      <c r="U1044" s="69"/>
      <c r="V1044" s="69"/>
      <c r="W1044" s="68"/>
      <c r="X1044" s="70"/>
      <c r="Y1044" s="70"/>
      <c r="Z1044" s="70"/>
      <c r="AA1044" s="70"/>
      <c r="AB1044" s="70"/>
      <c r="AC1044" s="68"/>
      <c r="AD1044" s="71"/>
      <c r="AE1044" s="71"/>
      <c r="AF1044" s="71"/>
      <c r="AG1044" s="71"/>
      <c r="AH1044" s="71"/>
      <c r="AI1044" s="68"/>
      <c r="AJ1044" s="214">
        <v>3.9689999999999994E-4</v>
      </c>
      <c r="AK1044" s="214">
        <v>1.7345999999999999</v>
      </c>
      <c r="AL1044" s="214">
        <v>2</v>
      </c>
      <c r="AM1044" s="214">
        <v>3.6734700000000002E-4</v>
      </c>
      <c r="AN1044" s="68"/>
      <c r="AO1044" s="67"/>
      <c r="AP1044" s="67"/>
      <c r="AQ1044" s="67"/>
      <c r="AR1044" s="67"/>
      <c r="AS1044" s="67"/>
      <c r="AT1044" s="68"/>
      <c r="AU1044" s="49"/>
      <c r="AV1044" s="50"/>
    </row>
    <row r="1045" spans="1:48" ht="12.75" customHeight="1" x14ac:dyDescent="0.25">
      <c r="A1045" s="72" t="s">
        <v>119</v>
      </c>
      <c r="B1045" s="43" t="s">
        <v>1154</v>
      </c>
      <c r="C1045" s="44" t="s">
        <v>1200</v>
      </c>
      <c r="D1045" s="45">
        <f>MROUND(MID($C1045,6,3)/Basis!$E$3,0.5)</f>
        <v>3.5</v>
      </c>
      <c r="E1045" s="45">
        <f>MROUND(MID($C1045,9,3)/Basis!$E$3,0.5)</f>
        <v>75</v>
      </c>
      <c r="F1045" s="199" t="s">
        <v>2950</v>
      </c>
      <c r="G1045" s="45">
        <f>ROUND(MID($C1045,12,2)/Basis!$E$3,1)</f>
        <v>5.5</v>
      </c>
      <c r="H1045" s="120">
        <f>ROUND($P1045*Basis!$E$2*((TaH-TrH)/LN(1/µ)/Basis!$E$7)^$N1045*$AA$4*Glycol,0)</f>
        <v>642</v>
      </c>
      <c r="I1045" s="83">
        <f>ROUND(H1045/(MID($C1045,9,3)/Basis!$E$3/Basis!$E$9)*Basis!$E$11,0)</f>
        <v>103</v>
      </c>
      <c r="J1045" s="123">
        <f>IF(Basis!$E$1=1,ROUND(H1045/((TaH-TrH)*1.163)/3600,3),ROUND(H1045/(500*(TaH-TrH)),2))</f>
        <v>0.06</v>
      </c>
      <c r="K1045" s="84"/>
      <c r="L1045" s="177">
        <f>CHOOSE(Basis!$E$1,((AJ1045*(J1045*3600/Basis!$E$5)^AK1045*(((MID(C1045,9,3)*10)-244)/1000)*AL1045+AM1045*(J1045*3600/Basis!$E$5)^2)*0.0098)/Basis!$E$10,((AJ1045*(J1045/Basis!$E$5)^AK1045*(((MID(C1045,9,3)*10)-244)/1000)*AL1045+AM1045*(J1045/Basis!$E$5)^2)*0.0098)/Basis!$E$10)</f>
        <v>6.4352123271456787E-4</v>
      </c>
      <c r="M1045" s="85"/>
      <c r="N1045" s="110">
        <v>1.3620000000000001</v>
      </c>
      <c r="O1045" s="74"/>
      <c r="P1045" s="73">
        <v>295</v>
      </c>
      <c r="Q1045" s="74"/>
      <c r="R1045" s="75"/>
      <c r="S1045" s="75"/>
      <c r="T1045" s="75"/>
      <c r="U1045" s="75"/>
      <c r="V1045" s="75"/>
      <c r="W1045" s="74"/>
      <c r="X1045" s="76"/>
      <c r="Y1045" s="76"/>
      <c r="Z1045" s="76"/>
      <c r="AA1045" s="76"/>
      <c r="AB1045" s="76"/>
      <c r="AC1045" s="74"/>
      <c r="AD1045" s="77"/>
      <c r="AE1045" s="77"/>
      <c r="AF1045" s="77"/>
      <c r="AG1045" s="77"/>
      <c r="AH1045" s="77"/>
      <c r="AI1045" s="68"/>
      <c r="AJ1045" s="213">
        <v>6.0625777523108995E-4</v>
      </c>
      <c r="AK1045" s="213">
        <v>1.8894792857555001</v>
      </c>
      <c r="AL1045" s="213">
        <v>1</v>
      </c>
      <c r="AM1045" s="213">
        <v>3.0758017492711002E-4</v>
      </c>
      <c r="AN1045" s="74"/>
      <c r="AO1045" s="73"/>
      <c r="AP1045" s="73"/>
      <c r="AQ1045" s="73"/>
      <c r="AR1045" s="73"/>
      <c r="AS1045" s="73"/>
      <c r="AT1045" s="74"/>
      <c r="AU1045" s="47"/>
      <c r="AV1045" s="48"/>
    </row>
    <row r="1046" spans="1:48" ht="12.75" customHeight="1" x14ac:dyDescent="0.25">
      <c r="A1046" s="72" t="s">
        <v>119</v>
      </c>
      <c r="B1046" s="43" t="s">
        <v>1154</v>
      </c>
      <c r="C1046" s="44" t="s">
        <v>1201</v>
      </c>
      <c r="D1046" s="45">
        <f>MROUND(MID($C1046,6,3)/Basis!$E$3,0.5)</f>
        <v>3.5</v>
      </c>
      <c r="E1046" s="45">
        <f>MROUND(MID($C1046,9,3)/Basis!$E$3,0.5)</f>
        <v>75</v>
      </c>
      <c r="F1046" s="199" t="s">
        <v>2950</v>
      </c>
      <c r="G1046" s="45">
        <f>ROUND(MID($C1046,12,2)/Basis!$E$3,1)</f>
        <v>7.1</v>
      </c>
      <c r="H1046" s="120">
        <f>ROUND($P1046*Basis!$E$2*((TaH-TrH)/LN(1/µ)/Basis!$E$7)^$N1046*$AA$4*Glycol,0)</f>
        <v>760</v>
      </c>
      <c r="I1046" s="83">
        <f>ROUND(H1046/(MID($C1046,9,3)/Basis!$E$3/Basis!$E$9)*Basis!$E$11,0)</f>
        <v>122</v>
      </c>
      <c r="J1046" s="123">
        <f>IF(Basis!$E$1=1,ROUND(H1046/((TaH-TrH)*1.163)/3600,3),ROUND(H1046/(500*(TaH-TrH)),2))</f>
        <v>0.08</v>
      </c>
      <c r="K1046" s="84"/>
      <c r="L1046" s="177">
        <f>CHOOSE(Basis!$E$1,((AJ1046*(J1046*3600/Basis!$E$5)^AK1046*(((MID(C1046,9,3)*10)-244)/1000)*AL1046+AM1046*(J1046*3600/Basis!$E$5)^2)*0.0098)/Basis!$E$10,((AJ1046*(J1046/Basis!$E$5)^AK1046*(((MID(C1046,9,3)*10)-244)/1000)*AL1046+AM1046*(J1046/Basis!$E$5)^2)*0.0098)/Basis!$E$10)</f>
        <v>2.3017555251227039E-3</v>
      </c>
      <c r="M1046" s="85"/>
      <c r="N1046" s="109">
        <v>1.3620000000000001</v>
      </c>
      <c r="O1046" s="68"/>
      <c r="P1046" s="67">
        <v>349</v>
      </c>
      <c r="Q1046" s="68"/>
      <c r="R1046" s="69"/>
      <c r="S1046" s="69"/>
      <c r="T1046" s="69"/>
      <c r="U1046" s="69"/>
      <c r="V1046" s="69"/>
      <c r="W1046" s="68"/>
      <c r="X1046" s="70"/>
      <c r="Y1046" s="70"/>
      <c r="Z1046" s="70"/>
      <c r="AA1046" s="70"/>
      <c r="AB1046" s="70"/>
      <c r="AC1046" s="68"/>
      <c r="AD1046" s="71"/>
      <c r="AE1046" s="71"/>
      <c r="AF1046" s="71"/>
      <c r="AG1046" s="71"/>
      <c r="AH1046" s="71"/>
      <c r="AI1046" s="68"/>
      <c r="AJ1046" s="214">
        <v>9.3669999999999995E-4</v>
      </c>
      <c r="AK1046" s="214">
        <v>1.789841</v>
      </c>
      <c r="AL1046" s="214">
        <v>2</v>
      </c>
      <c r="AM1046" s="214">
        <v>4.4559999999999999E-4</v>
      </c>
      <c r="AN1046" s="68"/>
      <c r="AO1046" s="67"/>
      <c r="AP1046" s="67"/>
      <c r="AQ1046" s="67"/>
      <c r="AR1046" s="67"/>
      <c r="AS1046" s="67"/>
      <c r="AT1046" s="68"/>
      <c r="AU1046" s="49"/>
      <c r="AV1046" s="50"/>
    </row>
    <row r="1047" spans="1:48" ht="12.75" customHeight="1" x14ac:dyDescent="0.25">
      <c r="A1047" s="72" t="s">
        <v>119</v>
      </c>
      <c r="B1047" s="43" t="s">
        <v>1154</v>
      </c>
      <c r="C1047" s="44" t="s">
        <v>1202</v>
      </c>
      <c r="D1047" s="45">
        <f>MROUND(MID($C1047,6,3)/Basis!$E$3,0.5)</f>
        <v>3.5</v>
      </c>
      <c r="E1047" s="45">
        <f>MROUND(MID($C1047,9,3)/Basis!$E$3,0.5)</f>
        <v>75</v>
      </c>
      <c r="F1047" s="199" t="s">
        <v>2950</v>
      </c>
      <c r="G1047" s="45">
        <f>ROUND(MID($C1047,12,2)/Basis!$E$3,1)</f>
        <v>10.199999999999999</v>
      </c>
      <c r="H1047" s="120">
        <f>ROUND($P1047*Basis!$E$2*((TaH-TrH)/LN(1/µ)/Basis!$E$7)^$N1047*$AA$4*Glycol,0)</f>
        <v>1001</v>
      </c>
      <c r="I1047" s="83">
        <f>ROUND(H1047/(MID($C1047,9,3)/Basis!$E$3/Basis!$E$9)*Basis!$E$11,0)</f>
        <v>161</v>
      </c>
      <c r="J1047" s="123">
        <f>IF(Basis!$E$1=1,ROUND(H1047/((TaH-TrH)*1.163)/3600,3),ROUND(H1047/(500*(TaH-TrH)),2))</f>
        <v>0.1</v>
      </c>
      <c r="K1047" s="84"/>
      <c r="L1047" s="177">
        <f>CHOOSE(Basis!$E$1,((AJ1047*(J1047*3600/Basis!$E$5)^AK1047*(((MID(C1047,9,3)*10)-244)/1000)*AL1047+AM1047*(J1047*3600/Basis!$E$5)^2)*0.0098)/Basis!$E$10,((AJ1047*(J1047/Basis!$E$5)^AK1047*(((MID(C1047,9,3)*10)-244)/1000)*AL1047+AM1047*(J1047/Basis!$E$5)^2)*0.0098)/Basis!$E$10)</f>
        <v>3.466159594265837E-3</v>
      </c>
      <c r="M1047" s="85"/>
      <c r="N1047" s="110">
        <v>1.3620000000000001</v>
      </c>
      <c r="O1047" s="74"/>
      <c r="P1047" s="73">
        <v>460</v>
      </c>
      <c r="Q1047" s="74"/>
      <c r="R1047" s="75"/>
      <c r="S1047" s="75"/>
      <c r="T1047" s="75"/>
      <c r="U1047" s="75"/>
      <c r="V1047" s="75"/>
      <c r="W1047" s="74"/>
      <c r="X1047" s="76"/>
      <c r="Y1047" s="76"/>
      <c r="Z1047" s="76"/>
      <c r="AA1047" s="76"/>
      <c r="AB1047" s="76"/>
      <c r="AC1047" s="74"/>
      <c r="AD1047" s="77"/>
      <c r="AE1047" s="77"/>
      <c r="AF1047" s="77"/>
      <c r="AG1047" s="77"/>
      <c r="AH1047" s="77"/>
      <c r="AI1047" s="68"/>
      <c r="AJ1047" s="213">
        <v>9.3669999999999995E-4</v>
      </c>
      <c r="AK1047" s="213">
        <v>1.789841</v>
      </c>
      <c r="AL1047" s="213">
        <v>2</v>
      </c>
      <c r="AM1047" s="213">
        <v>4.4559999999999999E-4</v>
      </c>
      <c r="AN1047" s="74"/>
      <c r="AO1047" s="73"/>
      <c r="AP1047" s="73"/>
      <c r="AQ1047" s="73"/>
      <c r="AR1047" s="73"/>
      <c r="AS1047" s="73"/>
      <c r="AT1047" s="74"/>
      <c r="AU1047" s="47"/>
      <c r="AV1047" s="48"/>
    </row>
    <row r="1048" spans="1:48" ht="12.75" customHeight="1" x14ac:dyDescent="0.25">
      <c r="A1048" s="72" t="s">
        <v>119</v>
      </c>
      <c r="B1048" s="43" t="s">
        <v>1154</v>
      </c>
      <c r="C1048" s="44" t="s">
        <v>1203</v>
      </c>
      <c r="D1048" s="45">
        <f>MROUND(MID($C1048,6,3)/Basis!$E$3,0.5)</f>
        <v>3.5</v>
      </c>
      <c r="E1048" s="45">
        <f>MROUND(MID($C1048,9,3)/Basis!$E$3,0.5)</f>
        <v>75</v>
      </c>
      <c r="F1048" s="199" t="s">
        <v>2950</v>
      </c>
      <c r="G1048" s="45">
        <f>ROUND(MID($C1048,12,2)/Basis!$E$3,1)</f>
        <v>13.4</v>
      </c>
      <c r="H1048" s="120">
        <f>ROUND($P1048*Basis!$E$2*((TaH-TrH)/LN(1/µ)/Basis!$E$7)^$N1048*$AA$4*Glycol,0)</f>
        <v>1299</v>
      </c>
      <c r="I1048" s="83">
        <f>ROUND(H1048/(MID($C1048,9,3)/Basis!$E$3/Basis!$E$9)*Basis!$E$11,0)</f>
        <v>208</v>
      </c>
      <c r="J1048" s="123">
        <f>IF(Basis!$E$1=1,ROUND(H1048/((TaH-TrH)*1.163)/3600,3),ROUND(H1048/(500*(TaH-TrH)),2))</f>
        <v>0.13</v>
      </c>
      <c r="K1048" s="84"/>
      <c r="L1048" s="177">
        <f>CHOOSE(Basis!$E$1,((AJ1048*(J1048*3600/Basis!$E$5)^AK1048*(((MID(C1048,9,3)*10)-244)/1000)*AL1048+AM1048*(J1048*3600/Basis!$E$5)^2)*0.0098)/Basis!$E$10,((AJ1048*(J1048/Basis!$E$5)^AK1048*(((MID(C1048,9,3)*10)-244)/1000)*AL1048+AM1048*(J1048/Basis!$E$5)^2)*0.0098)/Basis!$E$10)</f>
        <v>1.16063458873128E-2</v>
      </c>
      <c r="M1048" s="85"/>
      <c r="N1048" s="109">
        <v>1.3620000000000001</v>
      </c>
      <c r="O1048" s="68"/>
      <c r="P1048" s="67">
        <v>597</v>
      </c>
      <c r="Q1048" s="68"/>
      <c r="R1048" s="69"/>
      <c r="S1048" s="69"/>
      <c r="T1048" s="69"/>
      <c r="U1048" s="69"/>
      <c r="V1048" s="69"/>
      <c r="W1048" s="68"/>
      <c r="X1048" s="70"/>
      <c r="Y1048" s="70"/>
      <c r="Z1048" s="70"/>
      <c r="AA1048" s="70"/>
      <c r="AB1048" s="70"/>
      <c r="AC1048" s="68"/>
      <c r="AD1048" s="71"/>
      <c r="AE1048" s="71"/>
      <c r="AF1048" s="71"/>
      <c r="AG1048" s="71"/>
      <c r="AH1048" s="71"/>
      <c r="AI1048" s="68"/>
      <c r="AJ1048" s="214">
        <v>1.3162765859195E-2</v>
      </c>
      <c r="AK1048" s="214">
        <v>1.4286501188989</v>
      </c>
      <c r="AL1048" s="214">
        <v>1</v>
      </c>
      <c r="AM1048" s="214">
        <v>9.2091836734694004E-4</v>
      </c>
      <c r="AN1048" s="68"/>
      <c r="AO1048" s="67"/>
      <c r="AP1048" s="67"/>
      <c r="AQ1048" s="67"/>
      <c r="AR1048" s="67"/>
      <c r="AS1048" s="67"/>
      <c r="AT1048" s="68"/>
      <c r="AU1048" s="49"/>
      <c r="AV1048" s="50"/>
    </row>
    <row r="1049" spans="1:48" ht="12.75" customHeight="1" x14ac:dyDescent="0.25">
      <c r="A1049" s="72" t="s">
        <v>119</v>
      </c>
      <c r="B1049" s="43" t="s">
        <v>1154</v>
      </c>
      <c r="C1049" s="44" t="s">
        <v>1204</v>
      </c>
      <c r="D1049" s="45">
        <f>MROUND(MID($C1049,6,3)/Basis!$E$3,0.5)</f>
        <v>3.5</v>
      </c>
      <c r="E1049" s="45">
        <f>MROUND(MID($C1049,9,3)/Basis!$E$3,0.5)</f>
        <v>75</v>
      </c>
      <c r="F1049" s="199" t="s">
        <v>2950</v>
      </c>
      <c r="G1049" s="45">
        <f>ROUND(MID($C1049,12,2)/Basis!$E$3,1)</f>
        <v>16.5</v>
      </c>
      <c r="H1049" s="120">
        <f>ROUND($P1049*Basis!$E$2*((TaH-TrH)/LN(1/µ)/Basis!$E$7)^$N1049*$AA$4*Glycol,0)</f>
        <v>1874</v>
      </c>
      <c r="I1049" s="83">
        <f>ROUND(H1049/(MID($C1049,9,3)/Basis!$E$3/Basis!$E$9)*Basis!$E$11,0)</f>
        <v>301</v>
      </c>
      <c r="J1049" s="123">
        <f>IF(Basis!$E$1=1,ROUND(H1049/((TaH-TrH)*1.163)/3600,3),ROUND(H1049/(500*(TaH-TrH)),2))</f>
        <v>0.19</v>
      </c>
      <c r="K1049" s="84"/>
      <c r="L1049" s="177">
        <f>CHOOSE(Basis!$E$1,((AJ1049*(J1049*3600/Basis!$E$5)^AK1049*(((MID(C1049,9,3)*10)-244)/1000)*AL1049+AM1049*(J1049*3600/Basis!$E$5)^2)*0.0098)/Basis!$E$10,((AJ1049*(J1049/Basis!$E$5)^AK1049*(((MID(C1049,9,3)*10)-244)/1000)*AL1049+AM1049*(J1049/Basis!$E$5)^2)*0.0098)/Basis!$E$10)</f>
        <v>5.1838133937901869E-3</v>
      </c>
      <c r="M1049" s="85"/>
      <c r="N1049" s="110">
        <v>1.3620000000000001</v>
      </c>
      <c r="O1049" s="74"/>
      <c r="P1049" s="73">
        <v>861</v>
      </c>
      <c r="Q1049" s="74"/>
      <c r="R1049" s="75"/>
      <c r="S1049" s="75"/>
      <c r="T1049" s="75"/>
      <c r="U1049" s="75"/>
      <c r="V1049" s="75"/>
      <c r="W1049" s="74"/>
      <c r="X1049" s="76"/>
      <c r="Y1049" s="76"/>
      <c r="Z1049" s="76"/>
      <c r="AA1049" s="76"/>
      <c r="AB1049" s="76"/>
      <c r="AC1049" s="74"/>
      <c r="AD1049" s="77"/>
      <c r="AE1049" s="77"/>
      <c r="AF1049" s="77"/>
      <c r="AG1049" s="77"/>
      <c r="AH1049" s="77"/>
      <c r="AI1049" s="68"/>
      <c r="AJ1049" s="213">
        <v>3.9689999999999994E-4</v>
      </c>
      <c r="AK1049" s="213">
        <v>1.7345999999999999</v>
      </c>
      <c r="AL1049" s="213">
        <v>2</v>
      </c>
      <c r="AM1049" s="213">
        <v>3.6734700000000002E-4</v>
      </c>
      <c r="AN1049" s="74"/>
      <c r="AO1049" s="73"/>
      <c r="AP1049" s="73"/>
      <c r="AQ1049" s="73"/>
      <c r="AR1049" s="73"/>
      <c r="AS1049" s="73"/>
      <c r="AT1049" s="74"/>
      <c r="AU1049" s="47"/>
      <c r="AV1049" s="48"/>
    </row>
    <row r="1050" spans="1:48" ht="12.75" customHeight="1" x14ac:dyDescent="0.25">
      <c r="A1050" s="72" t="s">
        <v>119</v>
      </c>
      <c r="B1050" s="43" t="s">
        <v>1154</v>
      </c>
      <c r="C1050" s="44" t="s">
        <v>1205</v>
      </c>
      <c r="D1050" s="45">
        <f>MROUND(MID($C1050,6,3)/Basis!$E$3,0.5)</f>
        <v>3.5</v>
      </c>
      <c r="E1050" s="45">
        <f>MROUND(MID($C1050,9,3)/Basis!$E$3,0.5)</f>
        <v>82.5</v>
      </c>
      <c r="F1050" s="199" t="s">
        <v>2950</v>
      </c>
      <c r="G1050" s="45">
        <f>ROUND(MID($C1050,12,2)/Basis!$E$3,1)</f>
        <v>5.5</v>
      </c>
      <c r="H1050" s="120">
        <f>ROUND($P1050*Basis!$E$2*((TaH-TrH)/LN(1/µ)/Basis!$E$7)^$N1050*$AA$4*Glycol,0)</f>
        <v>723</v>
      </c>
      <c r="I1050" s="83">
        <f>ROUND(H1050/(MID($C1050,9,3)/Basis!$E$3/Basis!$E$9)*Basis!$E$11,0)</f>
        <v>105</v>
      </c>
      <c r="J1050" s="123">
        <f>IF(Basis!$E$1=1,ROUND(H1050/((TaH-TrH)*1.163)/3600,3),ROUND(H1050/(500*(TaH-TrH)),2))</f>
        <v>7.0000000000000007E-2</v>
      </c>
      <c r="K1050" s="84"/>
      <c r="L1050" s="177">
        <f>CHOOSE(Basis!$E$1,((AJ1050*(J1050*3600/Basis!$E$5)^AK1050*(((MID(C1050,9,3)*10)-244)/1000)*AL1050+AM1050*(J1050*3600/Basis!$E$5)^2)*0.0098)/Basis!$E$10,((AJ1050*(J1050/Basis!$E$5)^AK1050*(((MID(C1050,9,3)*10)-244)/1000)*AL1050+AM1050*(J1050/Basis!$E$5)^2)*0.0098)/Basis!$E$10)</f>
        <v>9.3921737647016418E-4</v>
      </c>
      <c r="M1050" s="85"/>
      <c r="N1050" s="109">
        <v>1.3620000000000001</v>
      </c>
      <c r="O1050" s="68"/>
      <c r="P1050" s="67">
        <v>332</v>
      </c>
      <c r="Q1050" s="68"/>
      <c r="R1050" s="69"/>
      <c r="S1050" s="69"/>
      <c r="T1050" s="69"/>
      <c r="U1050" s="69"/>
      <c r="V1050" s="69"/>
      <c r="W1050" s="68"/>
      <c r="X1050" s="70"/>
      <c r="Y1050" s="70"/>
      <c r="Z1050" s="70"/>
      <c r="AA1050" s="70"/>
      <c r="AB1050" s="70"/>
      <c r="AC1050" s="68"/>
      <c r="AD1050" s="71"/>
      <c r="AE1050" s="71"/>
      <c r="AF1050" s="71"/>
      <c r="AG1050" s="71"/>
      <c r="AH1050" s="71"/>
      <c r="AI1050" s="68"/>
      <c r="AJ1050" s="214">
        <v>6.0625777523108995E-4</v>
      </c>
      <c r="AK1050" s="214">
        <v>1.8894792857555001</v>
      </c>
      <c r="AL1050" s="214">
        <v>1</v>
      </c>
      <c r="AM1050" s="214">
        <v>3.0758017492711002E-4</v>
      </c>
      <c r="AN1050" s="68"/>
      <c r="AO1050" s="67"/>
      <c r="AP1050" s="67"/>
      <c r="AQ1050" s="67"/>
      <c r="AR1050" s="67"/>
      <c r="AS1050" s="67"/>
      <c r="AT1050" s="68"/>
      <c r="AU1050" s="49"/>
      <c r="AV1050" s="50"/>
    </row>
    <row r="1051" spans="1:48" ht="12.75" customHeight="1" x14ac:dyDescent="0.25">
      <c r="A1051" s="72" t="s">
        <v>119</v>
      </c>
      <c r="B1051" s="43" t="s">
        <v>1154</v>
      </c>
      <c r="C1051" s="44" t="s">
        <v>1206</v>
      </c>
      <c r="D1051" s="45">
        <f>MROUND(MID($C1051,6,3)/Basis!$E$3,0.5)</f>
        <v>3.5</v>
      </c>
      <c r="E1051" s="45">
        <f>MROUND(MID($C1051,9,3)/Basis!$E$3,0.5)</f>
        <v>82.5</v>
      </c>
      <c r="F1051" s="199" t="s">
        <v>2950</v>
      </c>
      <c r="G1051" s="45">
        <f>ROUND(MID($C1051,12,2)/Basis!$E$3,1)</f>
        <v>7.1</v>
      </c>
      <c r="H1051" s="120">
        <f>ROUND($P1051*Basis!$E$2*((TaH-TrH)/LN(1/µ)/Basis!$E$7)^$N1051*$AA$4*Glycol,0)</f>
        <v>858</v>
      </c>
      <c r="I1051" s="83">
        <f>ROUND(H1051/(MID($C1051,9,3)/Basis!$E$3/Basis!$E$9)*Basis!$E$11,0)</f>
        <v>125</v>
      </c>
      <c r="J1051" s="123">
        <f>IF(Basis!$E$1=1,ROUND(H1051/((TaH-TrH)*1.163)/3600,3),ROUND(H1051/(500*(TaH-TrH)),2))</f>
        <v>0.09</v>
      </c>
      <c r="K1051" s="84"/>
      <c r="L1051" s="177">
        <f>CHOOSE(Basis!$E$1,((AJ1051*(J1051*3600/Basis!$E$5)^AK1051*(((MID(C1051,9,3)*10)-244)/1000)*AL1051+AM1051*(J1051*3600/Basis!$E$5)^2)*0.0098)/Basis!$E$10,((AJ1051*(J1051/Basis!$E$5)^AK1051*(((MID(C1051,9,3)*10)-244)/1000)*AL1051+AM1051*(J1051/Basis!$E$5)^2)*0.0098)/Basis!$E$10)</f>
        <v>3.1283200902156591E-3</v>
      </c>
      <c r="M1051" s="85"/>
      <c r="N1051" s="110">
        <v>1.3620000000000001</v>
      </c>
      <c r="O1051" s="74"/>
      <c r="P1051" s="73">
        <v>394</v>
      </c>
      <c r="Q1051" s="74"/>
      <c r="R1051" s="75"/>
      <c r="S1051" s="75"/>
      <c r="T1051" s="75"/>
      <c r="U1051" s="75"/>
      <c r="V1051" s="75"/>
      <c r="W1051" s="74"/>
      <c r="X1051" s="76"/>
      <c r="Y1051" s="76"/>
      <c r="Z1051" s="76"/>
      <c r="AA1051" s="76"/>
      <c r="AB1051" s="76"/>
      <c r="AC1051" s="74"/>
      <c r="AD1051" s="77"/>
      <c r="AE1051" s="77"/>
      <c r="AF1051" s="77"/>
      <c r="AG1051" s="77"/>
      <c r="AH1051" s="77"/>
      <c r="AI1051" s="68"/>
      <c r="AJ1051" s="213">
        <v>9.3669999999999995E-4</v>
      </c>
      <c r="AK1051" s="213">
        <v>1.789841</v>
      </c>
      <c r="AL1051" s="213">
        <v>2</v>
      </c>
      <c r="AM1051" s="213">
        <v>4.4559999999999999E-4</v>
      </c>
      <c r="AN1051" s="74"/>
      <c r="AO1051" s="73"/>
      <c r="AP1051" s="73"/>
      <c r="AQ1051" s="73"/>
      <c r="AR1051" s="73"/>
      <c r="AS1051" s="73"/>
      <c r="AT1051" s="74"/>
      <c r="AU1051" s="47"/>
      <c r="AV1051" s="48"/>
    </row>
    <row r="1052" spans="1:48" ht="12.75" customHeight="1" x14ac:dyDescent="0.25">
      <c r="A1052" s="72" t="s">
        <v>119</v>
      </c>
      <c r="B1052" s="43" t="s">
        <v>1154</v>
      </c>
      <c r="C1052" s="44" t="s">
        <v>1207</v>
      </c>
      <c r="D1052" s="45">
        <f>MROUND(MID($C1052,6,3)/Basis!$E$3,0.5)</f>
        <v>3.5</v>
      </c>
      <c r="E1052" s="45">
        <f>MROUND(MID($C1052,9,3)/Basis!$E$3,0.5)</f>
        <v>82.5</v>
      </c>
      <c r="F1052" s="199" t="s">
        <v>2950</v>
      </c>
      <c r="G1052" s="45">
        <f>ROUND(MID($C1052,12,2)/Basis!$E$3,1)</f>
        <v>10.199999999999999</v>
      </c>
      <c r="H1052" s="120">
        <f>ROUND($P1052*Basis!$E$2*((TaH-TrH)/LN(1/µ)/Basis!$E$7)^$N1052*$AA$4*Glycol,0)</f>
        <v>1128</v>
      </c>
      <c r="I1052" s="83">
        <f>ROUND(H1052/(MID($C1052,9,3)/Basis!$E$3/Basis!$E$9)*Basis!$E$11,0)</f>
        <v>164</v>
      </c>
      <c r="J1052" s="123">
        <f>IF(Basis!$E$1=1,ROUND(H1052/((TaH-TrH)*1.163)/3600,3),ROUND(H1052/(500*(TaH-TrH)),2))</f>
        <v>0.11</v>
      </c>
      <c r="K1052" s="84"/>
      <c r="L1052" s="177">
        <f>CHOOSE(Basis!$E$1,((AJ1052*(J1052*3600/Basis!$E$5)^AK1052*(((MID(C1052,9,3)*10)-244)/1000)*AL1052+AM1052*(J1052*3600/Basis!$E$5)^2)*0.0098)/Basis!$E$10,((AJ1052*(J1052/Basis!$E$5)^AK1052*(((MID(C1052,9,3)*10)-244)/1000)*AL1052+AM1052*(J1052/Basis!$E$5)^2)*0.0098)/Basis!$E$10)</f>
        <v>4.5177426194265126E-3</v>
      </c>
      <c r="M1052" s="85"/>
      <c r="N1052" s="109">
        <v>1.3620000000000001</v>
      </c>
      <c r="O1052" s="68"/>
      <c r="P1052" s="67">
        <v>518</v>
      </c>
      <c r="Q1052" s="68"/>
      <c r="R1052" s="69"/>
      <c r="S1052" s="69"/>
      <c r="T1052" s="69"/>
      <c r="U1052" s="69"/>
      <c r="V1052" s="69"/>
      <c r="W1052" s="68"/>
      <c r="X1052" s="70"/>
      <c r="Y1052" s="70"/>
      <c r="Z1052" s="70"/>
      <c r="AA1052" s="70"/>
      <c r="AB1052" s="70"/>
      <c r="AC1052" s="68"/>
      <c r="AD1052" s="71"/>
      <c r="AE1052" s="71"/>
      <c r="AF1052" s="71"/>
      <c r="AG1052" s="71"/>
      <c r="AH1052" s="71"/>
      <c r="AI1052" s="68"/>
      <c r="AJ1052" s="214">
        <v>9.3669999999999995E-4</v>
      </c>
      <c r="AK1052" s="214">
        <v>1.789841</v>
      </c>
      <c r="AL1052" s="214">
        <v>2</v>
      </c>
      <c r="AM1052" s="214">
        <v>4.4559999999999999E-4</v>
      </c>
      <c r="AN1052" s="68"/>
      <c r="AO1052" s="67"/>
      <c r="AP1052" s="67"/>
      <c r="AQ1052" s="67"/>
      <c r="AR1052" s="67"/>
      <c r="AS1052" s="67"/>
      <c r="AT1052" s="68"/>
      <c r="AU1052" s="49"/>
      <c r="AV1052" s="50"/>
    </row>
    <row r="1053" spans="1:48" ht="12.75" customHeight="1" x14ac:dyDescent="0.25">
      <c r="A1053" s="72" t="s">
        <v>119</v>
      </c>
      <c r="B1053" s="43" t="s">
        <v>1154</v>
      </c>
      <c r="C1053" s="44" t="s">
        <v>1208</v>
      </c>
      <c r="D1053" s="45">
        <f>MROUND(MID($C1053,6,3)/Basis!$E$3,0.5)</f>
        <v>3.5</v>
      </c>
      <c r="E1053" s="45">
        <f>MROUND(MID($C1053,9,3)/Basis!$E$3,0.5)</f>
        <v>82.5</v>
      </c>
      <c r="F1053" s="199" t="s">
        <v>2950</v>
      </c>
      <c r="G1053" s="45">
        <f>ROUND(MID($C1053,12,2)/Basis!$E$3,1)</f>
        <v>13.4</v>
      </c>
      <c r="H1053" s="120">
        <f>ROUND($P1053*Basis!$E$2*((TaH-TrH)/LN(1/µ)/Basis!$E$7)^$N1053*$AA$4*Glycol,0)</f>
        <v>1461</v>
      </c>
      <c r="I1053" s="83">
        <f>ROUND(H1053/(MID($C1053,9,3)/Basis!$E$3/Basis!$E$9)*Basis!$E$11,0)</f>
        <v>212</v>
      </c>
      <c r="J1053" s="123">
        <f>IF(Basis!$E$1=1,ROUND(H1053/((TaH-TrH)*1.163)/3600,3),ROUND(H1053/(500*(TaH-TrH)),2))</f>
        <v>0.15</v>
      </c>
      <c r="K1053" s="84"/>
      <c r="L1053" s="177">
        <f>CHOOSE(Basis!$E$1,((AJ1053*(J1053*3600/Basis!$E$5)^AK1053*(((MID(C1053,9,3)*10)-244)/1000)*AL1053+AM1053*(J1053*3600/Basis!$E$5)^2)*0.0098)/Basis!$E$10,((AJ1053*(J1053/Basis!$E$5)^AK1053*(((MID(C1053,9,3)*10)-244)/1000)*AL1053+AM1053*(J1053/Basis!$E$5)^2)*0.0098)/Basis!$E$10)</f>
        <v>1.5844241400786756E-2</v>
      </c>
      <c r="M1053" s="85"/>
      <c r="N1053" s="110">
        <v>1.3620000000000001</v>
      </c>
      <c r="O1053" s="74"/>
      <c r="P1053" s="73">
        <v>671</v>
      </c>
      <c r="Q1053" s="74"/>
      <c r="R1053" s="75"/>
      <c r="S1053" s="75"/>
      <c r="T1053" s="75"/>
      <c r="U1053" s="75"/>
      <c r="V1053" s="75"/>
      <c r="W1053" s="74"/>
      <c r="X1053" s="76"/>
      <c r="Y1053" s="76"/>
      <c r="Z1053" s="76"/>
      <c r="AA1053" s="76"/>
      <c r="AB1053" s="76"/>
      <c r="AC1053" s="74"/>
      <c r="AD1053" s="77"/>
      <c r="AE1053" s="77"/>
      <c r="AF1053" s="77"/>
      <c r="AG1053" s="77"/>
      <c r="AH1053" s="77"/>
      <c r="AI1053" s="68"/>
      <c r="AJ1053" s="213">
        <v>1.3162765859195E-2</v>
      </c>
      <c r="AK1053" s="213">
        <v>1.4286501188989</v>
      </c>
      <c r="AL1053" s="213">
        <v>1</v>
      </c>
      <c r="AM1053" s="213">
        <v>9.2091836734694004E-4</v>
      </c>
      <c r="AN1053" s="74"/>
      <c r="AO1053" s="73"/>
      <c r="AP1053" s="73"/>
      <c r="AQ1053" s="73"/>
      <c r="AR1053" s="73"/>
      <c r="AS1053" s="73"/>
      <c r="AT1053" s="74"/>
      <c r="AU1053" s="47"/>
      <c r="AV1053" s="48"/>
    </row>
    <row r="1054" spans="1:48" ht="12.75" customHeight="1" x14ac:dyDescent="0.25">
      <c r="A1054" s="72" t="s">
        <v>119</v>
      </c>
      <c r="B1054" s="43" t="s">
        <v>1154</v>
      </c>
      <c r="C1054" s="44" t="s">
        <v>1209</v>
      </c>
      <c r="D1054" s="45">
        <f>MROUND(MID($C1054,6,3)/Basis!$E$3,0.5)</f>
        <v>3.5</v>
      </c>
      <c r="E1054" s="45">
        <f>MROUND(MID($C1054,9,3)/Basis!$E$3,0.5)</f>
        <v>82.5</v>
      </c>
      <c r="F1054" s="199" t="s">
        <v>2950</v>
      </c>
      <c r="G1054" s="45">
        <f>ROUND(MID($C1054,12,2)/Basis!$E$3,1)</f>
        <v>16.5</v>
      </c>
      <c r="H1054" s="120">
        <f>ROUND($P1054*Basis!$E$2*((TaH-TrH)/LN(1/µ)/Basis!$E$7)^$N1054*$AA$4*Glycol,0)</f>
        <v>2111</v>
      </c>
      <c r="I1054" s="83">
        <f>ROUND(H1054/(MID($C1054,9,3)/Basis!$E$3/Basis!$E$9)*Basis!$E$11,0)</f>
        <v>306</v>
      </c>
      <c r="J1054" s="123">
        <f>IF(Basis!$E$1=1,ROUND(H1054/((TaH-TrH)*1.163)/3600,3),ROUND(H1054/(500*(TaH-TrH)),2))</f>
        <v>0.21</v>
      </c>
      <c r="K1054" s="84"/>
      <c r="L1054" s="177">
        <f>CHOOSE(Basis!$E$1,((AJ1054*(J1054*3600/Basis!$E$5)^AK1054*(((MID(C1054,9,3)*10)-244)/1000)*AL1054+AM1054*(J1054*3600/Basis!$E$5)^2)*0.0098)/Basis!$E$10,((AJ1054*(J1054/Basis!$E$5)^AK1054*(((MID(C1054,9,3)*10)-244)/1000)*AL1054+AM1054*(J1054/Basis!$E$5)^2)*0.0098)/Basis!$E$10)</f>
        <v>6.6616133518324098E-3</v>
      </c>
      <c r="M1054" s="85"/>
      <c r="N1054" s="109">
        <v>1.3620000000000001</v>
      </c>
      <c r="O1054" s="68"/>
      <c r="P1054" s="67">
        <v>970</v>
      </c>
      <c r="Q1054" s="68"/>
      <c r="R1054" s="69"/>
      <c r="S1054" s="69"/>
      <c r="T1054" s="69"/>
      <c r="U1054" s="69"/>
      <c r="V1054" s="69"/>
      <c r="W1054" s="68"/>
      <c r="X1054" s="70"/>
      <c r="Y1054" s="70"/>
      <c r="Z1054" s="70"/>
      <c r="AA1054" s="70"/>
      <c r="AB1054" s="70"/>
      <c r="AC1054" s="68"/>
      <c r="AD1054" s="71"/>
      <c r="AE1054" s="71"/>
      <c r="AF1054" s="71"/>
      <c r="AG1054" s="71"/>
      <c r="AH1054" s="71"/>
      <c r="AI1054" s="68"/>
      <c r="AJ1054" s="214">
        <v>3.9689999999999994E-4</v>
      </c>
      <c r="AK1054" s="214">
        <v>1.7345999999999999</v>
      </c>
      <c r="AL1054" s="214">
        <v>2</v>
      </c>
      <c r="AM1054" s="214">
        <v>3.6734700000000002E-4</v>
      </c>
      <c r="AN1054" s="68"/>
      <c r="AO1054" s="67"/>
      <c r="AP1054" s="67"/>
      <c r="AQ1054" s="67"/>
      <c r="AR1054" s="67"/>
      <c r="AS1054" s="67"/>
      <c r="AT1054" s="68"/>
      <c r="AU1054" s="49"/>
      <c r="AV1054" s="50"/>
    </row>
    <row r="1055" spans="1:48" ht="12.75" customHeight="1" x14ac:dyDescent="0.25">
      <c r="A1055" s="72" t="s">
        <v>119</v>
      </c>
      <c r="B1055" s="43" t="s">
        <v>1154</v>
      </c>
      <c r="C1055" s="44" t="s">
        <v>1210</v>
      </c>
      <c r="D1055" s="45">
        <f>MROUND(MID($C1055,6,3)/Basis!$E$3,0.5)</f>
        <v>3.5</v>
      </c>
      <c r="E1055" s="45">
        <f>MROUND(MID($C1055,9,3)/Basis!$E$3,0.5)</f>
        <v>90.5</v>
      </c>
      <c r="F1055" s="199" t="s">
        <v>2950</v>
      </c>
      <c r="G1055" s="45">
        <f>ROUND(MID($C1055,12,2)/Basis!$E$3,1)</f>
        <v>5.5</v>
      </c>
      <c r="H1055" s="120">
        <f>ROUND($P1055*Basis!$E$2*((TaH-TrH)/LN(1/µ)/Basis!$E$7)^$N1055*$AA$4*Glycol,0)</f>
        <v>805</v>
      </c>
      <c r="I1055" s="83">
        <f>ROUND(H1055/(MID($C1055,9,3)/Basis!$E$3/Basis!$E$9)*Basis!$E$11,0)</f>
        <v>107</v>
      </c>
      <c r="J1055" s="123">
        <f>IF(Basis!$E$1=1,ROUND(H1055/((TaH-TrH)*1.163)/3600,3),ROUND(H1055/(500*(TaH-TrH)),2))</f>
        <v>0.08</v>
      </c>
      <c r="K1055" s="84"/>
      <c r="L1055" s="177">
        <f>CHOOSE(Basis!$E$1,((AJ1055*(J1055*3600/Basis!$E$5)^AK1055*(((MID(C1055,9,3)*10)-244)/1000)*AL1055+AM1055*(J1055*3600/Basis!$E$5)^2)*0.0098)/Basis!$E$10,((AJ1055*(J1055/Basis!$E$5)^AK1055*(((MID(C1055,9,3)*10)-244)/1000)*AL1055+AM1055*(J1055/Basis!$E$5)^2)*0.0098)/Basis!$E$10)</f>
        <v>1.3086254685654604E-3</v>
      </c>
      <c r="M1055" s="85"/>
      <c r="N1055" s="110">
        <v>1.3620000000000001</v>
      </c>
      <c r="O1055" s="74"/>
      <c r="P1055" s="73">
        <v>370</v>
      </c>
      <c r="Q1055" s="74"/>
      <c r="R1055" s="75"/>
      <c r="S1055" s="75"/>
      <c r="T1055" s="75"/>
      <c r="U1055" s="75"/>
      <c r="V1055" s="75"/>
      <c r="W1055" s="74"/>
      <c r="X1055" s="76"/>
      <c r="Y1055" s="76"/>
      <c r="Z1055" s="76"/>
      <c r="AA1055" s="76"/>
      <c r="AB1055" s="76"/>
      <c r="AC1055" s="74"/>
      <c r="AD1055" s="77"/>
      <c r="AE1055" s="77"/>
      <c r="AF1055" s="77"/>
      <c r="AG1055" s="77"/>
      <c r="AH1055" s="77"/>
      <c r="AI1055" s="68"/>
      <c r="AJ1055" s="213">
        <v>6.0625777523108995E-4</v>
      </c>
      <c r="AK1055" s="213">
        <v>1.8894792857555001</v>
      </c>
      <c r="AL1055" s="213">
        <v>1</v>
      </c>
      <c r="AM1055" s="213">
        <v>3.0758017492711002E-4</v>
      </c>
      <c r="AN1055" s="74"/>
      <c r="AO1055" s="73"/>
      <c r="AP1055" s="73"/>
      <c r="AQ1055" s="73"/>
      <c r="AR1055" s="73"/>
      <c r="AS1055" s="73"/>
      <c r="AT1055" s="74"/>
      <c r="AU1055" s="47"/>
      <c r="AV1055" s="48"/>
    </row>
    <row r="1056" spans="1:48" ht="12.75" customHeight="1" x14ac:dyDescent="0.25">
      <c r="A1056" s="72" t="s">
        <v>119</v>
      </c>
      <c r="B1056" s="43" t="s">
        <v>1154</v>
      </c>
      <c r="C1056" s="44" t="s">
        <v>1211</v>
      </c>
      <c r="D1056" s="45">
        <f>MROUND(MID($C1056,6,3)/Basis!$E$3,0.5)</f>
        <v>3.5</v>
      </c>
      <c r="E1056" s="45">
        <f>MROUND(MID($C1056,9,3)/Basis!$E$3,0.5)</f>
        <v>90.5</v>
      </c>
      <c r="F1056" s="199" t="s">
        <v>2950</v>
      </c>
      <c r="G1056" s="45">
        <f>ROUND(MID($C1056,12,2)/Basis!$E$3,1)</f>
        <v>7.1</v>
      </c>
      <c r="H1056" s="120">
        <f>ROUND($P1056*Basis!$E$2*((TaH-TrH)/LN(1/µ)/Basis!$E$7)^$N1056*$AA$4*Glycol,0)</f>
        <v>951</v>
      </c>
      <c r="I1056" s="83">
        <f>ROUND(H1056/(MID($C1056,9,3)/Basis!$E$3/Basis!$E$9)*Basis!$E$11,0)</f>
        <v>126</v>
      </c>
      <c r="J1056" s="123">
        <f>IF(Basis!$E$1=1,ROUND(H1056/((TaH-TrH)*1.163)/3600,3),ROUND(H1056/(500*(TaH-TrH)),2))</f>
        <v>0.1</v>
      </c>
      <c r="K1056" s="84"/>
      <c r="L1056" s="177">
        <f>CHOOSE(Basis!$E$1,((AJ1056*(J1056*3600/Basis!$E$5)^AK1056*(((MID(C1056,9,3)*10)-244)/1000)*AL1056+AM1056*(J1056*3600/Basis!$E$5)^2)*0.0098)/Basis!$E$10,((AJ1056*(J1056/Basis!$E$5)^AK1056*(((MID(C1056,9,3)*10)-244)/1000)*AL1056+AM1056*(J1056/Basis!$E$5)^2)*0.0098)/Basis!$E$10)</f>
        <v>4.1218518356379123E-3</v>
      </c>
      <c r="M1056" s="85"/>
      <c r="N1056" s="109">
        <v>1.3620000000000001</v>
      </c>
      <c r="O1056" s="68"/>
      <c r="P1056" s="67">
        <v>437</v>
      </c>
      <c r="Q1056" s="68"/>
      <c r="R1056" s="69"/>
      <c r="S1056" s="69"/>
      <c r="T1056" s="69"/>
      <c r="U1056" s="69"/>
      <c r="V1056" s="69"/>
      <c r="W1056" s="68"/>
      <c r="X1056" s="70"/>
      <c r="Y1056" s="70"/>
      <c r="Z1056" s="70"/>
      <c r="AA1056" s="70"/>
      <c r="AB1056" s="70"/>
      <c r="AC1056" s="68"/>
      <c r="AD1056" s="71"/>
      <c r="AE1056" s="71"/>
      <c r="AF1056" s="71"/>
      <c r="AG1056" s="71"/>
      <c r="AH1056" s="71"/>
      <c r="AI1056" s="68"/>
      <c r="AJ1056" s="214">
        <v>9.3669999999999995E-4</v>
      </c>
      <c r="AK1056" s="214">
        <v>1.789841</v>
      </c>
      <c r="AL1056" s="214">
        <v>2</v>
      </c>
      <c r="AM1056" s="214">
        <v>4.4559999999999999E-4</v>
      </c>
      <c r="AN1056" s="68"/>
      <c r="AO1056" s="67"/>
      <c r="AP1056" s="67"/>
      <c r="AQ1056" s="67"/>
      <c r="AR1056" s="67"/>
      <c r="AS1056" s="67"/>
      <c r="AT1056" s="68"/>
      <c r="AU1056" s="49"/>
      <c r="AV1056" s="50"/>
    </row>
    <row r="1057" spans="1:48" ht="12.75" customHeight="1" x14ac:dyDescent="0.25">
      <c r="A1057" s="72" t="s">
        <v>119</v>
      </c>
      <c r="B1057" s="43" t="s">
        <v>1154</v>
      </c>
      <c r="C1057" s="44" t="s">
        <v>1212</v>
      </c>
      <c r="D1057" s="45">
        <f>MROUND(MID($C1057,6,3)/Basis!$E$3,0.5)</f>
        <v>3.5</v>
      </c>
      <c r="E1057" s="45">
        <f>MROUND(MID($C1057,9,3)/Basis!$E$3,0.5)</f>
        <v>90.5</v>
      </c>
      <c r="F1057" s="199" t="s">
        <v>2950</v>
      </c>
      <c r="G1057" s="45">
        <f>ROUND(MID($C1057,12,2)/Basis!$E$3,1)</f>
        <v>10.199999999999999</v>
      </c>
      <c r="H1057" s="120">
        <f>ROUND($P1057*Basis!$E$2*((TaH-TrH)/LN(1/µ)/Basis!$E$7)^$N1057*$AA$4*Glycol,0)</f>
        <v>1252</v>
      </c>
      <c r="I1057" s="83">
        <f>ROUND(H1057/(MID($C1057,9,3)/Basis!$E$3/Basis!$E$9)*Basis!$E$11,0)</f>
        <v>166</v>
      </c>
      <c r="J1057" s="123">
        <f>IF(Basis!$E$1=1,ROUND(H1057/((TaH-TrH)*1.163)/3600,3),ROUND(H1057/(500*(TaH-TrH)),2))</f>
        <v>0.13</v>
      </c>
      <c r="K1057" s="84"/>
      <c r="L1057" s="177">
        <f>CHOOSE(Basis!$E$1,((AJ1057*(J1057*3600/Basis!$E$5)^AK1057*(((MID(C1057,9,3)*10)-244)/1000)*AL1057+AM1057*(J1057*3600/Basis!$E$5)^2)*0.0098)/Basis!$E$10,((AJ1057*(J1057/Basis!$E$5)^AK1057*(((MID(C1057,9,3)*10)-244)/1000)*AL1057+AM1057*(J1057/Basis!$E$5)^2)*0.0098)/Basis!$E$10)</f>
        <v>6.6603780841473122E-3</v>
      </c>
      <c r="M1057" s="85"/>
      <c r="N1057" s="110">
        <v>1.3620000000000001</v>
      </c>
      <c r="O1057" s="74"/>
      <c r="P1057" s="73">
        <v>575</v>
      </c>
      <c r="Q1057" s="74"/>
      <c r="R1057" s="75"/>
      <c r="S1057" s="75"/>
      <c r="T1057" s="75"/>
      <c r="U1057" s="75"/>
      <c r="V1057" s="75"/>
      <c r="W1057" s="74"/>
      <c r="X1057" s="76"/>
      <c r="Y1057" s="76"/>
      <c r="Z1057" s="76"/>
      <c r="AA1057" s="76"/>
      <c r="AB1057" s="76"/>
      <c r="AC1057" s="74"/>
      <c r="AD1057" s="77"/>
      <c r="AE1057" s="77"/>
      <c r="AF1057" s="77"/>
      <c r="AG1057" s="77"/>
      <c r="AH1057" s="77"/>
      <c r="AI1057" s="68"/>
      <c r="AJ1057" s="213">
        <v>9.3669999999999995E-4</v>
      </c>
      <c r="AK1057" s="213">
        <v>1.789841</v>
      </c>
      <c r="AL1057" s="213">
        <v>2</v>
      </c>
      <c r="AM1057" s="213">
        <v>4.4559999999999999E-4</v>
      </c>
      <c r="AN1057" s="74"/>
      <c r="AO1057" s="73"/>
      <c r="AP1057" s="73"/>
      <c r="AQ1057" s="73"/>
      <c r="AR1057" s="73"/>
      <c r="AS1057" s="73"/>
      <c r="AT1057" s="74"/>
      <c r="AU1057" s="47"/>
      <c r="AV1057" s="48"/>
    </row>
    <row r="1058" spans="1:48" ht="12.75" customHeight="1" x14ac:dyDescent="0.25">
      <c r="A1058" s="72" t="s">
        <v>119</v>
      </c>
      <c r="B1058" s="43" t="s">
        <v>1154</v>
      </c>
      <c r="C1058" s="44" t="s">
        <v>1213</v>
      </c>
      <c r="D1058" s="45">
        <f>MROUND(MID($C1058,6,3)/Basis!$E$3,0.5)</f>
        <v>3.5</v>
      </c>
      <c r="E1058" s="45">
        <f>MROUND(MID($C1058,9,3)/Basis!$E$3,0.5)</f>
        <v>90.5</v>
      </c>
      <c r="F1058" s="199" t="s">
        <v>2950</v>
      </c>
      <c r="G1058" s="45">
        <f>ROUND(MID($C1058,12,2)/Basis!$E$3,1)</f>
        <v>13.4</v>
      </c>
      <c r="H1058" s="120">
        <f>ROUND($P1058*Basis!$E$2*((TaH-TrH)/LN(1/µ)/Basis!$E$7)^$N1058*$AA$4*Glycol,0)</f>
        <v>1624</v>
      </c>
      <c r="I1058" s="83">
        <f>ROUND(H1058/(MID($C1058,9,3)/Basis!$E$3/Basis!$E$9)*Basis!$E$11,0)</f>
        <v>215</v>
      </c>
      <c r="J1058" s="123">
        <f>IF(Basis!$E$1=1,ROUND(H1058/((TaH-TrH)*1.163)/3600,3),ROUND(H1058/(500*(TaH-TrH)),2))</f>
        <v>0.16</v>
      </c>
      <c r="K1058" s="84"/>
      <c r="L1058" s="177">
        <f>CHOOSE(Basis!$E$1,((AJ1058*(J1058*3600/Basis!$E$5)^AK1058*(((MID(C1058,9,3)*10)-244)/1000)*AL1058+AM1058*(J1058*3600/Basis!$E$5)^2)*0.0098)/Basis!$E$10,((AJ1058*(J1058/Basis!$E$5)^AK1058*(((MID(C1058,9,3)*10)-244)/1000)*AL1058+AM1058*(J1058/Basis!$E$5)^2)*0.0098)/Basis!$E$10)</f>
        <v>1.897782855165828E-2</v>
      </c>
      <c r="M1058" s="85"/>
      <c r="N1058" s="109">
        <v>1.3620000000000001</v>
      </c>
      <c r="O1058" s="68"/>
      <c r="P1058" s="67">
        <v>746</v>
      </c>
      <c r="Q1058" s="68"/>
      <c r="R1058" s="69"/>
      <c r="S1058" s="69"/>
      <c r="T1058" s="69"/>
      <c r="U1058" s="69"/>
      <c r="V1058" s="69"/>
      <c r="W1058" s="68"/>
      <c r="X1058" s="70"/>
      <c r="Y1058" s="70"/>
      <c r="Z1058" s="70"/>
      <c r="AA1058" s="70"/>
      <c r="AB1058" s="70"/>
      <c r="AC1058" s="68"/>
      <c r="AD1058" s="71"/>
      <c r="AE1058" s="71"/>
      <c r="AF1058" s="71"/>
      <c r="AG1058" s="71"/>
      <c r="AH1058" s="71"/>
      <c r="AI1058" s="68"/>
      <c r="AJ1058" s="214">
        <v>1.3162765859195E-2</v>
      </c>
      <c r="AK1058" s="214">
        <v>1.4286501188989</v>
      </c>
      <c r="AL1058" s="214">
        <v>1</v>
      </c>
      <c r="AM1058" s="214">
        <v>9.2091836734694004E-4</v>
      </c>
      <c r="AN1058" s="68"/>
      <c r="AO1058" s="67"/>
      <c r="AP1058" s="67"/>
      <c r="AQ1058" s="67"/>
      <c r="AR1058" s="67"/>
      <c r="AS1058" s="67"/>
      <c r="AT1058" s="68"/>
      <c r="AU1058" s="49"/>
      <c r="AV1058" s="50"/>
    </row>
    <row r="1059" spans="1:48" ht="12.75" customHeight="1" x14ac:dyDescent="0.25">
      <c r="A1059" s="72" t="s">
        <v>119</v>
      </c>
      <c r="B1059" s="43" t="s">
        <v>1154</v>
      </c>
      <c r="C1059" s="44" t="s">
        <v>1214</v>
      </c>
      <c r="D1059" s="45">
        <f>MROUND(MID($C1059,6,3)/Basis!$E$3,0.5)</f>
        <v>3.5</v>
      </c>
      <c r="E1059" s="45">
        <f>MROUND(MID($C1059,9,3)/Basis!$E$3,0.5)</f>
        <v>90.5</v>
      </c>
      <c r="F1059" s="199" t="s">
        <v>2950</v>
      </c>
      <c r="G1059" s="45">
        <f>ROUND(MID($C1059,12,2)/Basis!$E$3,1)</f>
        <v>16.5</v>
      </c>
      <c r="H1059" s="120">
        <f>ROUND($P1059*Basis!$E$2*((TaH-TrH)/LN(1/µ)/Basis!$E$7)^$N1059*$AA$4*Glycol,0)</f>
        <v>2346</v>
      </c>
      <c r="I1059" s="83">
        <f>ROUND(H1059/(MID($C1059,9,3)/Basis!$E$3/Basis!$E$9)*Basis!$E$11,0)</f>
        <v>311</v>
      </c>
      <c r="J1059" s="123">
        <f>IF(Basis!$E$1=1,ROUND(H1059/((TaH-TrH)*1.163)/3600,3),ROUND(H1059/(500*(TaH-TrH)),2))</f>
        <v>0.23</v>
      </c>
      <c r="K1059" s="84"/>
      <c r="L1059" s="177">
        <f>CHOOSE(Basis!$E$1,((AJ1059*(J1059*3600/Basis!$E$5)^AK1059*(((MID(C1059,9,3)*10)-244)/1000)*AL1059+AM1059*(J1059*3600/Basis!$E$5)^2)*0.0098)/Basis!$E$10,((AJ1059*(J1059/Basis!$E$5)^AK1059*(((MID(C1059,9,3)*10)-244)/1000)*AL1059+AM1059*(J1059/Basis!$E$5)^2)*0.0098)/Basis!$E$10)</f>
        <v>8.3742555653247997E-3</v>
      </c>
      <c r="M1059" s="85"/>
      <c r="N1059" s="110">
        <v>1.3620000000000001</v>
      </c>
      <c r="O1059" s="74"/>
      <c r="P1059" s="73">
        <v>1078</v>
      </c>
      <c r="Q1059" s="74"/>
      <c r="R1059" s="75"/>
      <c r="S1059" s="75"/>
      <c r="T1059" s="75"/>
      <c r="U1059" s="75"/>
      <c r="V1059" s="75"/>
      <c r="W1059" s="74"/>
      <c r="X1059" s="76"/>
      <c r="Y1059" s="76"/>
      <c r="Z1059" s="76"/>
      <c r="AA1059" s="76"/>
      <c r="AB1059" s="76"/>
      <c r="AC1059" s="74"/>
      <c r="AD1059" s="77"/>
      <c r="AE1059" s="77"/>
      <c r="AF1059" s="77"/>
      <c r="AG1059" s="77"/>
      <c r="AH1059" s="77"/>
      <c r="AI1059" s="68"/>
      <c r="AJ1059" s="213">
        <v>3.9689999999999994E-4</v>
      </c>
      <c r="AK1059" s="213">
        <v>1.7345999999999999</v>
      </c>
      <c r="AL1059" s="213">
        <v>2</v>
      </c>
      <c r="AM1059" s="213">
        <v>3.6734700000000002E-4</v>
      </c>
      <c r="AN1059" s="74"/>
      <c r="AO1059" s="73"/>
      <c r="AP1059" s="73"/>
      <c r="AQ1059" s="73"/>
      <c r="AR1059" s="73"/>
      <c r="AS1059" s="73"/>
      <c r="AT1059" s="74"/>
      <c r="AU1059" s="47"/>
      <c r="AV1059" s="48"/>
    </row>
    <row r="1060" spans="1:48" ht="12.75" customHeight="1" x14ac:dyDescent="0.25">
      <c r="A1060" s="72" t="s">
        <v>119</v>
      </c>
      <c r="B1060" s="43" t="s">
        <v>1154</v>
      </c>
      <c r="C1060" s="44" t="s">
        <v>1215</v>
      </c>
      <c r="D1060" s="45">
        <f>MROUND(MID($C1060,6,3)/Basis!$E$3,0.5)</f>
        <v>3.5</v>
      </c>
      <c r="E1060" s="45">
        <f>MROUND(MID($C1060,9,3)/Basis!$E$3,0.5)</f>
        <v>98.5</v>
      </c>
      <c r="F1060" s="199" t="s">
        <v>2950</v>
      </c>
      <c r="G1060" s="45">
        <f>ROUND(MID($C1060,12,2)/Basis!$E$3,1)</f>
        <v>5.5</v>
      </c>
      <c r="H1060" s="120">
        <f>ROUND($P1060*Basis!$E$2*((TaH-TrH)/LN(1/µ)/Basis!$E$7)^$N1060*$AA$4*Glycol,0)</f>
        <v>884</v>
      </c>
      <c r="I1060" s="83">
        <f>ROUND(H1060/(MID($C1060,9,3)/Basis!$E$3/Basis!$E$9)*Basis!$E$11,0)</f>
        <v>108</v>
      </c>
      <c r="J1060" s="123">
        <f>IF(Basis!$E$1=1,ROUND(H1060/((TaH-TrH)*1.163)/3600,3),ROUND(H1060/(500*(TaH-TrH)),2))</f>
        <v>0.09</v>
      </c>
      <c r="K1060" s="84"/>
      <c r="L1060" s="177">
        <f>CHOOSE(Basis!$E$1,((AJ1060*(J1060*3600/Basis!$E$5)^AK1060*(((MID(C1060,9,3)*10)-244)/1000)*AL1060+AM1060*(J1060*3600/Basis!$E$5)^2)*0.0098)/Basis!$E$10,((AJ1060*(J1060/Basis!$E$5)^AK1060*(((MID(C1060,9,3)*10)-244)/1000)*AL1060+AM1060*(J1060/Basis!$E$5)^2)*0.0098)/Basis!$E$10)</f>
        <v>1.7589226497903218E-3</v>
      </c>
      <c r="M1060" s="85"/>
      <c r="N1060" s="109">
        <v>1.3620000000000001</v>
      </c>
      <c r="O1060" s="68"/>
      <c r="P1060" s="67">
        <v>406</v>
      </c>
      <c r="Q1060" s="68"/>
      <c r="R1060" s="69"/>
      <c r="S1060" s="69"/>
      <c r="T1060" s="69"/>
      <c r="U1060" s="69"/>
      <c r="V1060" s="69"/>
      <c r="W1060" s="68"/>
      <c r="X1060" s="70"/>
      <c r="Y1060" s="70"/>
      <c r="Z1060" s="70"/>
      <c r="AA1060" s="70"/>
      <c r="AB1060" s="70"/>
      <c r="AC1060" s="68"/>
      <c r="AD1060" s="71"/>
      <c r="AE1060" s="71"/>
      <c r="AF1060" s="71"/>
      <c r="AG1060" s="71"/>
      <c r="AH1060" s="71"/>
      <c r="AI1060" s="68"/>
      <c r="AJ1060" s="214">
        <v>6.0625777523108995E-4</v>
      </c>
      <c r="AK1060" s="214">
        <v>1.8894792857555001</v>
      </c>
      <c r="AL1060" s="214">
        <v>1</v>
      </c>
      <c r="AM1060" s="214">
        <v>3.0758017492711002E-4</v>
      </c>
      <c r="AN1060" s="68"/>
      <c r="AO1060" s="67"/>
      <c r="AP1060" s="67"/>
      <c r="AQ1060" s="67"/>
      <c r="AR1060" s="67"/>
      <c r="AS1060" s="67"/>
      <c r="AT1060" s="68"/>
      <c r="AU1060" s="49"/>
      <c r="AV1060" s="50"/>
    </row>
    <row r="1061" spans="1:48" ht="12.75" customHeight="1" x14ac:dyDescent="0.25">
      <c r="A1061" s="72" t="s">
        <v>119</v>
      </c>
      <c r="B1061" s="43" t="s">
        <v>1154</v>
      </c>
      <c r="C1061" s="44" t="s">
        <v>1216</v>
      </c>
      <c r="D1061" s="45">
        <f>MROUND(MID($C1061,6,3)/Basis!$E$3,0.5)</f>
        <v>3.5</v>
      </c>
      <c r="E1061" s="45">
        <f>MROUND(MID($C1061,9,3)/Basis!$E$3,0.5)</f>
        <v>98.5</v>
      </c>
      <c r="F1061" s="199" t="s">
        <v>2950</v>
      </c>
      <c r="G1061" s="45">
        <f>ROUND(MID($C1061,12,2)/Basis!$E$3,1)</f>
        <v>7.1</v>
      </c>
      <c r="H1061" s="120">
        <f>ROUND($P1061*Basis!$E$2*((TaH-TrH)/LN(1/µ)/Basis!$E$7)^$N1061*$AA$4*Glycol,0)</f>
        <v>1047</v>
      </c>
      <c r="I1061" s="83">
        <f>ROUND(H1061/(MID($C1061,9,3)/Basis!$E$3/Basis!$E$9)*Basis!$E$11,0)</f>
        <v>128</v>
      </c>
      <c r="J1061" s="123">
        <f>IF(Basis!$E$1=1,ROUND(H1061/((TaH-TrH)*1.163)/3600,3),ROUND(H1061/(500*(TaH-TrH)),2))</f>
        <v>0.1</v>
      </c>
      <c r="K1061" s="84"/>
      <c r="L1061" s="177">
        <f>CHOOSE(Basis!$E$1,((AJ1061*(J1061*3600/Basis!$E$5)^AK1061*(((MID(C1061,9,3)*10)-244)/1000)*AL1061+AM1061*(J1061*3600/Basis!$E$5)^2)*0.0098)/Basis!$E$10,((AJ1061*(J1061/Basis!$E$5)^AK1061*(((MID(C1061,9,3)*10)-244)/1000)*AL1061+AM1061*(J1061/Basis!$E$5)^2)*0.0098)/Basis!$E$10)</f>
        <v>4.4496979563239496E-3</v>
      </c>
      <c r="M1061" s="85"/>
      <c r="N1061" s="110">
        <v>1.3620000000000001</v>
      </c>
      <c r="O1061" s="74"/>
      <c r="P1061" s="73">
        <v>481</v>
      </c>
      <c r="Q1061" s="74"/>
      <c r="R1061" s="75"/>
      <c r="S1061" s="75"/>
      <c r="T1061" s="75"/>
      <c r="U1061" s="75"/>
      <c r="V1061" s="75"/>
      <c r="W1061" s="74"/>
      <c r="X1061" s="76"/>
      <c r="Y1061" s="76"/>
      <c r="Z1061" s="76"/>
      <c r="AA1061" s="76"/>
      <c r="AB1061" s="76"/>
      <c r="AC1061" s="74"/>
      <c r="AD1061" s="77"/>
      <c r="AE1061" s="77"/>
      <c r="AF1061" s="77"/>
      <c r="AG1061" s="77"/>
      <c r="AH1061" s="77"/>
      <c r="AI1061" s="68"/>
      <c r="AJ1061" s="213">
        <v>9.3669999999999995E-4</v>
      </c>
      <c r="AK1061" s="213">
        <v>1.789841</v>
      </c>
      <c r="AL1061" s="213">
        <v>2</v>
      </c>
      <c r="AM1061" s="213">
        <v>4.4559999999999999E-4</v>
      </c>
      <c r="AN1061" s="74"/>
      <c r="AO1061" s="73"/>
      <c r="AP1061" s="73"/>
      <c r="AQ1061" s="73"/>
      <c r="AR1061" s="73"/>
      <c r="AS1061" s="73"/>
      <c r="AT1061" s="74"/>
      <c r="AU1061" s="47"/>
      <c r="AV1061" s="48"/>
    </row>
    <row r="1062" spans="1:48" ht="12.75" customHeight="1" x14ac:dyDescent="0.25">
      <c r="A1062" s="72" t="s">
        <v>119</v>
      </c>
      <c r="B1062" s="43" t="s">
        <v>1154</v>
      </c>
      <c r="C1062" s="44" t="s">
        <v>1217</v>
      </c>
      <c r="D1062" s="45">
        <f>MROUND(MID($C1062,6,3)/Basis!$E$3,0.5)</f>
        <v>3.5</v>
      </c>
      <c r="E1062" s="45">
        <f>MROUND(MID($C1062,9,3)/Basis!$E$3,0.5)</f>
        <v>98.5</v>
      </c>
      <c r="F1062" s="199" t="s">
        <v>2950</v>
      </c>
      <c r="G1062" s="45">
        <f>ROUND(MID($C1062,12,2)/Basis!$E$3,1)</f>
        <v>10.199999999999999</v>
      </c>
      <c r="H1062" s="120">
        <f>ROUND($P1062*Basis!$E$2*((TaH-TrH)/LN(1/µ)/Basis!$E$7)^$N1062*$AA$4*Glycol,0)</f>
        <v>1376</v>
      </c>
      <c r="I1062" s="83">
        <f>ROUND(H1062/(MID($C1062,9,3)/Basis!$E$3/Basis!$E$9)*Basis!$E$11,0)</f>
        <v>168</v>
      </c>
      <c r="J1062" s="123">
        <f>IF(Basis!$E$1=1,ROUND(H1062/((TaH-TrH)*1.163)/3600,3),ROUND(H1062/(500*(TaH-TrH)),2))</f>
        <v>0.14000000000000001</v>
      </c>
      <c r="K1062" s="84"/>
      <c r="L1062" s="177">
        <f>CHOOSE(Basis!$E$1,((AJ1062*(J1062*3600/Basis!$E$5)^AK1062*(((MID(C1062,9,3)*10)-244)/1000)*AL1062+AM1062*(J1062*3600/Basis!$E$5)^2)*0.0098)/Basis!$E$10,((AJ1062*(J1062/Basis!$E$5)^AK1062*(((MID(C1062,9,3)*10)-244)/1000)*AL1062+AM1062*(J1062/Basis!$E$5)^2)*0.0098)/Basis!$E$10)</f>
        <v>8.2265644979218171E-3</v>
      </c>
      <c r="M1062" s="85"/>
      <c r="N1062" s="109">
        <v>1.3620000000000001</v>
      </c>
      <c r="O1062" s="68"/>
      <c r="P1062" s="67">
        <v>632</v>
      </c>
      <c r="Q1062" s="68"/>
      <c r="R1062" s="69"/>
      <c r="S1062" s="69"/>
      <c r="T1062" s="69"/>
      <c r="U1062" s="69"/>
      <c r="V1062" s="69"/>
      <c r="W1062" s="68"/>
      <c r="X1062" s="70"/>
      <c r="Y1062" s="70"/>
      <c r="Z1062" s="70"/>
      <c r="AA1062" s="70"/>
      <c r="AB1062" s="70"/>
      <c r="AC1062" s="68"/>
      <c r="AD1062" s="71"/>
      <c r="AE1062" s="71"/>
      <c r="AF1062" s="71"/>
      <c r="AG1062" s="71"/>
      <c r="AH1062" s="71"/>
      <c r="AI1062" s="68"/>
      <c r="AJ1062" s="214">
        <v>9.3669999999999995E-4</v>
      </c>
      <c r="AK1062" s="214">
        <v>1.789841</v>
      </c>
      <c r="AL1062" s="214">
        <v>2</v>
      </c>
      <c r="AM1062" s="214">
        <v>4.4559999999999999E-4</v>
      </c>
      <c r="AN1062" s="68"/>
      <c r="AO1062" s="67"/>
      <c r="AP1062" s="67"/>
      <c r="AQ1062" s="67"/>
      <c r="AR1062" s="67"/>
      <c r="AS1062" s="67"/>
      <c r="AT1062" s="68"/>
      <c r="AU1062" s="49"/>
      <c r="AV1062" s="50"/>
    </row>
    <row r="1063" spans="1:48" ht="12.75" customHeight="1" x14ac:dyDescent="0.25">
      <c r="A1063" s="72" t="s">
        <v>119</v>
      </c>
      <c r="B1063" s="43" t="s">
        <v>1154</v>
      </c>
      <c r="C1063" s="44" t="s">
        <v>1218</v>
      </c>
      <c r="D1063" s="45">
        <f>MROUND(MID($C1063,6,3)/Basis!$E$3,0.5)</f>
        <v>3.5</v>
      </c>
      <c r="E1063" s="45">
        <f>MROUND(MID($C1063,9,3)/Basis!$E$3,0.5)</f>
        <v>98.5</v>
      </c>
      <c r="F1063" s="199" t="s">
        <v>2950</v>
      </c>
      <c r="G1063" s="45">
        <f>ROUND(MID($C1063,12,2)/Basis!$E$3,1)</f>
        <v>13.4</v>
      </c>
      <c r="H1063" s="120">
        <f>ROUND($P1063*Basis!$E$2*((TaH-TrH)/LN(1/µ)/Basis!$E$7)^$N1063*$AA$4*Glycol,0)</f>
        <v>1787</v>
      </c>
      <c r="I1063" s="83">
        <f>ROUND(H1063/(MID($C1063,9,3)/Basis!$E$3/Basis!$E$9)*Basis!$E$11,0)</f>
        <v>218</v>
      </c>
      <c r="J1063" s="123">
        <f>IF(Basis!$E$1=1,ROUND(H1063/((TaH-TrH)*1.163)/3600,3),ROUND(H1063/(500*(TaH-TrH)),2))</f>
        <v>0.18</v>
      </c>
      <c r="K1063" s="84"/>
      <c r="L1063" s="177">
        <f>CHOOSE(Basis!$E$1,((AJ1063*(J1063*3600/Basis!$E$5)^AK1063*(((MID(C1063,9,3)*10)-244)/1000)*AL1063+AM1063*(J1063*3600/Basis!$E$5)^2)*0.0098)/Basis!$E$10,((AJ1063*(J1063/Basis!$E$5)^AK1063*(((MID(C1063,9,3)*10)-244)/1000)*AL1063+AM1063*(J1063/Basis!$E$5)^2)*0.0098)/Basis!$E$10)</f>
        <v>2.450987951813061E-2</v>
      </c>
      <c r="M1063" s="85"/>
      <c r="N1063" s="110">
        <v>1.3620000000000001</v>
      </c>
      <c r="O1063" s="74"/>
      <c r="P1063" s="73">
        <v>821</v>
      </c>
      <c r="Q1063" s="74"/>
      <c r="R1063" s="75"/>
      <c r="S1063" s="75"/>
      <c r="T1063" s="75"/>
      <c r="U1063" s="75"/>
      <c r="V1063" s="75"/>
      <c r="W1063" s="74"/>
      <c r="X1063" s="76"/>
      <c r="Y1063" s="76"/>
      <c r="Z1063" s="76"/>
      <c r="AA1063" s="76"/>
      <c r="AB1063" s="76"/>
      <c r="AC1063" s="74"/>
      <c r="AD1063" s="77"/>
      <c r="AE1063" s="77"/>
      <c r="AF1063" s="77"/>
      <c r="AG1063" s="77"/>
      <c r="AH1063" s="77"/>
      <c r="AI1063" s="68"/>
      <c r="AJ1063" s="213">
        <v>1.3162765859195E-2</v>
      </c>
      <c r="AK1063" s="213">
        <v>1.4286501188989</v>
      </c>
      <c r="AL1063" s="213">
        <v>1</v>
      </c>
      <c r="AM1063" s="213">
        <v>9.2091836734694004E-4</v>
      </c>
      <c r="AN1063" s="74"/>
      <c r="AO1063" s="73"/>
      <c r="AP1063" s="73"/>
      <c r="AQ1063" s="73"/>
      <c r="AR1063" s="73"/>
      <c r="AS1063" s="73"/>
      <c r="AT1063" s="74"/>
      <c r="AU1063" s="47"/>
      <c r="AV1063" s="48"/>
    </row>
    <row r="1064" spans="1:48" ht="12.75" customHeight="1" x14ac:dyDescent="0.25">
      <c r="A1064" s="72" t="s">
        <v>119</v>
      </c>
      <c r="B1064" s="43" t="s">
        <v>1154</v>
      </c>
      <c r="C1064" s="44" t="s">
        <v>1219</v>
      </c>
      <c r="D1064" s="45">
        <f>MROUND(MID($C1064,6,3)/Basis!$E$3,0.5)</f>
        <v>3.5</v>
      </c>
      <c r="E1064" s="45">
        <f>MROUND(MID($C1064,9,3)/Basis!$E$3,0.5)</f>
        <v>98.5</v>
      </c>
      <c r="F1064" s="199" t="s">
        <v>2950</v>
      </c>
      <c r="G1064" s="45">
        <f>ROUND(MID($C1064,12,2)/Basis!$E$3,1)</f>
        <v>16.5</v>
      </c>
      <c r="H1064" s="120">
        <f>ROUND($P1064*Basis!$E$2*((TaH-TrH)/LN(1/µ)/Basis!$E$7)^$N1064*$AA$4*Glycol,0)</f>
        <v>2577</v>
      </c>
      <c r="I1064" s="83">
        <f>ROUND(H1064/(MID($C1064,9,3)/Basis!$E$3/Basis!$E$9)*Basis!$E$11,0)</f>
        <v>314</v>
      </c>
      <c r="J1064" s="123">
        <f>IF(Basis!$E$1=1,ROUND(H1064/((TaH-TrH)*1.163)/3600,3),ROUND(H1064/(500*(TaH-TrH)),2))</f>
        <v>0.26</v>
      </c>
      <c r="K1064" s="84"/>
      <c r="L1064" s="177">
        <f>CHOOSE(Basis!$E$1,((AJ1064*(J1064*3600/Basis!$E$5)^AK1064*(((MID(C1064,9,3)*10)-244)/1000)*AL1064+AM1064*(J1064*3600/Basis!$E$5)^2)*0.0098)/Basis!$E$10,((AJ1064*(J1064/Basis!$E$5)^AK1064*(((MID(C1064,9,3)*10)-244)/1000)*AL1064+AM1064*(J1064/Basis!$E$5)^2)*0.0098)/Basis!$E$10)</f>
        <v>1.1106067589089989E-2</v>
      </c>
      <c r="M1064" s="85"/>
      <c r="N1064" s="109">
        <v>1.3620000000000001</v>
      </c>
      <c r="O1064" s="68"/>
      <c r="P1064" s="67">
        <v>1184</v>
      </c>
      <c r="Q1064" s="68"/>
      <c r="R1064" s="69"/>
      <c r="S1064" s="69"/>
      <c r="T1064" s="69"/>
      <c r="U1064" s="69"/>
      <c r="V1064" s="69"/>
      <c r="W1064" s="68"/>
      <c r="X1064" s="70"/>
      <c r="Y1064" s="70"/>
      <c r="Z1064" s="70"/>
      <c r="AA1064" s="70"/>
      <c r="AB1064" s="70"/>
      <c r="AC1064" s="68"/>
      <c r="AD1064" s="71"/>
      <c r="AE1064" s="71"/>
      <c r="AF1064" s="71"/>
      <c r="AG1064" s="71"/>
      <c r="AH1064" s="71"/>
      <c r="AI1064" s="68"/>
      <c r="AJ1064" s="214">
        <v>3.9689999999999994E-4</v>
      </c>
      <c r="AK1064" s="214">
        <v>1.7345999999999999</v>
      </c>
      <c r="AL1064" s="214">
        <v>2</v>
      </c>
      <c r="AM1064" s="214">
        <v>3.6734700000000002E-4</v>
      </c>
      <c r="AN1064" s="68"/>
      <c r="AO1064" s="67"/>
      <c r="AP1064" s="67"/>
      <c r="AQ1064" s="67"/>
      <c r="AR1064" s="67"/>
      <c r="AS1064" s="67"/>
      <c r="AT1064" s="68"/>
      <c r="AU1064" s="49"/>
      <c r="AV1064" s="50"/>
    </row>
    <row r="1065" spans="1:48" ht="12.75" customHeight="1" x14ac:dyDescent="0.25">
      <c r="A1065" s="72" t="s">
        <v>119</v>
      </c>
      <c r="B1065" s="43" t="s">
        <v>1154</v>
      </c>
      <c r="C1065" s="44" t="s">
        <v>1220</v>
      </c>
      <c r="D1065" s="45">
        <f>MROUND(MID($C1065,6,3)/Basis!$E$3,0.5)</f>
        <v>3.5</v>
      </c>
      <c r="E1065" s="45">
        <f>MROUND(MID($C1065,9,3)/Basis!$E$3,0.5)</f>
        <v>106.5</v>
      </c>
      <c r="F1065" s="199" t="s">
        <v>2950</v>
      </c>
      <c r="G1065" s="45">
        <f>ROUND(MID($C1065,12,2)/Basis!$E$3,1)</f>
        <v>5.5</v>
      </c>
      <c r="H1065" s="120">
        <f>ROUND($P1065*Basis!$E$2*((TaH-TrH)/LN(1/µ)/Basis!$E$7)^$N1065*$AA$4*Glycol,0)</f>
        <v>964</v>
      </c>
      <c r="I1065" s="83">
        <f>ROUND(H1065/(MID($C1065,9,3)/Basis!$E$3/Basis!$E$9)*Basis!$E$11,0)</f>
        <v>109</v>
      </c>
      <c r="J1065" s="123">
        <f>IF(Basis!$E$1=1,ROUND(H1065/((TaH-TrH)*1.163)/3600,3),ROUND(H1065/(500*(TaH-TrH)),2))</f>
        <v>0.1</v>
      </c>
      <c r="K1065" s="84"/>
      <c r="L1065" s="177">
        <f>CHOOSE(Basis!$E$1,((AJ1065*(J1065*3600/Basis!$E$5)^AK1065*(((MID(C1065,9,3)*10)-244)/1000)*AL1065+AM1065*(J1065*3600/Basis!$E$5)^2)*0.0098)/Basis!$E$10,((AJ1065*(J1065/Basis!$E$5)^AK1065*(((MID(C1065,9,3)*10)-244)/1000)*AL1065+AM1065*(J1065/Basis!$E$5)^2)*0.0098)/Basis!$E$10)</f>
        <v>2.2971969581760915E-3</v>
      </c>
      <c r="M1065" s="85"/>
      <c r="N1065" s="110">
        <v>1.3620000000000001</v>
      </c>
      <c r="O1065" s="74"/>
      <c r="P1065" s="73">
        <v>443</v>
      </c>
      <c r="Q1065" s="74"/>
      <c r="R1065" s="75"/>
      <c r="S1065" s="75"/>
      <c r="T1065" s="75"/>
      <c r="U1065" s="75"/>
      <c r="V1065" s="75"/>
      <c r="W1065" s="74"/>
      <c r="X1065" s="76"/>
      <c r="Y1065" s="76"/>
      <c r="Z1065" s="76"/>
      <c r="AA1065" s="76"/>
      <c r="AB1065" s="76"/>
      <c r="AC1065" s="74"/>
      <c r="AD1065" s="77"/>
      <c r="AE1065" s="77"/>
      <c r="AF1065" s="77"/>
      <c r="AG1065" s="77"/>
      <c r="AH1065" s="77"/>
      <c r="AI1065" s="68"/>
      <c r="AJ1065" s="213">
        <v>6.0625777523108995E-4</v>
      </c>
      <c r="AK1065" s="213">
        <v>1.8894792857555001</v>
      </c>
      <c r="AL1065" s="213">
        <v>1</v>
      </c>
      <c r="AM1065" s="213">
        <v>3.0758017492711002E-4</v>
      </c>
      <c r="AN1065" s="74"/>
      <c r="AO1065" s="73"/>
      <c r="AP1065" s="73"/>
      <c r="AQ1065" s="73"/>
      <c r="AR1065" s="73"/>
      <c r="AS1065" s="73"/>
      <c r="AT1065" s="74"/>
      <c r="AU1065" s="47"/>
      <c r="AV1065" s="48"/>
    </row>
    <row r="1066" spans="1:48" ht="12.75" customHeight="1" x14ac:dyDescent="0.25">
      <c r="A1066" s="72" t="s">
        <v>119</v>
      </c>
      <c r="B1066" s="43" t="s">
        <v>1154</v>
      </c>
      <c r="C1066" s="44" t="s">
        <v>1221</v>
      </c>
      <c r="D1066" s="45">
        <f>MROUND(MID($C1066,6,3)/Basis!$E$3,0.5)</f>
        <v>3.5</v>
      </c>
      <c r="E1066" s="45">
        <f>MROUND(MID($C1066,9,3)/Basis!$E$3,0.5)</f>
        <v>106.5</v>
      </c>
      <c r="F1066" s="199" t="s">
        <v>2950</v>
      </c>
      <c r="G1066" s="45">
        <f>ROUND(MID($C1066,12,2)/Basis!$E$3,1)</f>
        <v>7.1</v>
      </c>
      <c r="H1066" s="120">
        <f>ROUND($P1066*Basis!$E$2*((TaH-TrH)/LN(1/µ)/Basis!$E$7)^$N1066*$AA$4*Glycol,0)</f>
        <v>1143</v>
      </c>
      <c r="I1066" s="83">
        <f>ROUND(H1066/(MID($C1066,9,3)/Basis!$E$3/Basis!$E$9)*Basis!$E$11,0)</f>
        <v>129</v>
      </c>
      <c r="J1066" s="123">
        <f>IF(Basis!$E$1=1,ROUND(H1066/((TaH-TrH)*1.163)/3600,3),ROUND(H1066/(500*(TaH-TrH)),2))</f>
        <v>0.11</v>
      </c>
      <c r="K1066" s="84"/>
      <c r="L1066" s="177">
        <f>CHOOSE(Basis!$E$1,((AJ1066*(J1066*3600/Basis!$E$5)^AK1066*(((MID(C1066,9,3)*10)-244)/1000)*AL1066+AM1066*(J1066*3600/Basis!$E$5)^2)*0.0098)/Basis!$E$10,((AJ1066*(J1066/Basis!$E$5)^AK1066*(((MID(C1066,9,3)*10)-244)/1000)*AL1066+AM1066*(J1066/Basis!$E$5)^2)*0.0098)/Basis!$E$10)</f>
        <v>5.6842235109009044E-3</v>
      </c>
      <c r="M1066" s="85"/>
      <c r="N1066" s="109">
        <v>1.3620000000000001</v>
      </c>
      <c r="O1066" s="68"/>
      <c r="P1066" s="67">
        <v>525</v>
      </c>
      <c r="Q1066" s="68"/>
      <c r="R1066" s="69"/>
      <c r="S1066" s="69"/>
      <c r="T1066" s="69"/>
      <c r="U1066" s="69"/>
      <c r="V1066" s="69"/>
      <c r="W1066" s="68"/>
      <c r="X1066" s="70"/>
      <c r="Y1066" s="70"/>
      <c r="Z1066" s="70"/>
      <c r="AA1066" s="70"/>
      <c r="AB1066" s="70"/>
      <c r="AC1066" s="68"/>
      <c r="AD1066" s="71"/>
      <c r="AE1066" s="71"/>
      <c r="AF1066" s="71"/>
      <c r="AG1066" s="71"/>
      <c r="AH1066" s="71"/>
      <c r="AI1066" s="68"/>
      <c r="AJ1066" s="214">
        <v>9.3669999999999995E-4</v>
      </c>
      <c r="AK1066" s="214">
        <v>1.789841</v>
      </c>
      <c r="AL1066" s="214">
        <v>2</v>
      </c>
      <c r="AM1066" s="214">
        <v>4.4559999999999999E-4</v>
      </c>
      <c r="AN1066" s="68"/>
      <c r="AO1066" s="67"/>
      <c r="AP1066" s="67"/>
      <c r="AQ1066" s="67"/>
      <c r="AR1066" s="67"/>
      <c r="AS1066" s="67"/>
      <c r="AT1066" s="68"/>
      <c r="AU1066" s="49"/>
      <c r="AV1066" s="50"/>
    </row>
    <row r="1067" spans="1:48" ht="12.75" customHeight="1" x14ac:dyDescent="0.25">
      <c r="A1067" s="72" t="s">
        <v>119</v>
      </c>
      <c r="B1067" s="43" t="s">
        <v>1154</v>
      </c>
      <c r="C1067" s="44" t="s">
        <v>1222</v>
      </c>
      <c r="D1067" s="45">
        <f>MROUND(MID($C1067,6,3)/Basis!$E$3,0.5)</f>
        <v>3.5</v>
      </c>
      <c r="E1067" s="45">
        <f>MROUND(MID($C1067,9,3)/Basis!$E$3,0.5)</f>
        <v>106.5</v>
      </c>
      <c r="F1067" s="199" t="s">
        <v>2950</v>
      </c>
      <c r="G1067" s="45">
        <f>ROUND(MID($C1067,12,2)/Basis!$E$3,1)</f>
        <v>10.199999999999999</v>
      </c>
      <c r="H1067" s="120">
        <f>ROUND($P1067*Basis!$E$2*((TaH-TrH)/LN(1/µ)/Basis!$E$7)^$N1067*$AA$4*Glycol,0)</f>
        <v>1502</v>
      </c>
      <c r="I1067" s="83">
        <f>ROUND(H1067/(MID($C1067,9,3)/Basis!$E$3/Basis!$E$9)*Basis!$E$11,0)</f>
        <v>170</v>
      </c>
      <c r="J1067" s="123">
        <f>IF(Basis!$E$1=1,ROUND(H1067/((TaH-TrH)*1.163)/3600,3),ROUND(H1067/(500*(TaH-TrH)),2))</f>
        <v>0.15</v>
      </c>
      <c r="K1067" s="84"/>
      <c r="L1067" s="177">
        <f>CHOOSE(Basis!$E$1,((AJ1067*(J1067*3600/Basis!$E$5)^AK1067*(((MID(C1067,9,3)*10)-244)/1000)*AL1067+AM1067*(J1067*3600/Basis!$E$5)^2)*0.0098)/Basis!$E$10,((AJ1067*(J1067/Basis!$E$5)^AK1067*(((MID(C1067,9,3)*10)-244)/1000)*AL1067+AM1067*(J1067/Basis!$E$5)^2)*0.0098)/Basis!$E$10)</f>
        <v>1.0009561920040983E-2</v>
      </c>
      <c r="M1067" s="85"/>
      <c r="N1067" s="110">
        <v>1.3620000000000001</v>
      </c>
      <c r="O1067" s="74"/>
      <c r="P1067" s="73">
        <v>690</v>
      </c>
      <c r="Q1067" s="74"/>
      <c r="R1067" s="75"/>
      <c r="S1067" s="75"/>
      <c r="T1067" s="75"/>
      <c r="U1067" s="75"/>
      <c r="V1067" s="75"/>
      <c r="W1067" s="74"/>
      <c r="X1067" s="76"/>
      <c r="Y1067" s="76"/>
      <c r="Z1067" s="76"/>
      <c r="AA1067" s="76"/>
      <c r="AB1067" s="76"/>
      <c r="AC1067" s="74"/>
      <c r="AD1067" s="77"/>
      <c r="AE1067" s="77"/>
      <c r="AF1067" s="77"/>
      <c r="AG1067" s="77"/>
      <c r="AH1067" s="77"/>
      <c r="AI1067" s="68"/>
      <c r="AJ1067" s="213">
        <v>9.3669999999999995E-4</v>
      </c>
      <c r="AK1067" s="213">
        <v>1.789841</v>
      </c>
      <c r="AL1067" s="213">
        <v>2</v>
      </c>
      <c r="AM1067" s="213">
        <v>4.4559999999999999E-4</v>
      </c>
      <c r="AN1067" s="74"/>
      <c r="AO1067" s="73"/>
      <c r="AP1067" s="73"/>
      <c r="AQ1067" s="73"/>
      <c r="AR1067" s="73"/>
      <c r="AS1067" s="73"/>
      <c r="AT1067" s="74"/>
      <c r="AU1067" s="47"/>
      <c r="AV1067" s="48"/>
    </row>
    <row r="1068" spans="1:48" ht="12.75" customHeight="1" x14ac:dyDescent="0.25">
      <c r="A1068" s="72" t="s">
        <v>119</v>
      </c>
      <c r="B1068" s="43" t="s">
        <v>1154</v>
      </c>
      <c r="C1068" s="44" t="s">
        <v>1223</v>
      </c>
      <c r="D1068" s="45">
        <f>MROUND(MID($C1068,6,3)/Basis!$E$3,0.5)</f>
        <v>3.5</v>
      </c>
      <c r="E1068" s="45">
        <f>MROUND(MID($C1068,9,3)/Basis!$E$3,0.5)</f>
        <v>106.5</v>
      </c>
      <c r="F1068" s="199" t="s">
        <v>2950</v>
      </c>
      <c r="G1068" s="45">
        <f>ROUND(MID($C1068,12,2)/Basis!$E$3,1)</f>
        <v>13.4</v>
      </c>
      <c r="H1068" s="120">
        <f>ROUND($P1068*Basis!$E$2*((TaH-TrH)/LN(1/µ)/Basis!$E$7)^$N1068*$AA$4*Glycol,0)</f>
        <v>1948</v>
      </c>
      <c r="I1068" s="83">
        <f>ROUND(H1068/(MID($C1068,9,3)/Basis!$E$3/Basis!$E$9)*Basis!$E$11,0)</f>
        <v>220</v>
      </c>
      <c r="J1068" s="123">
        <f>IF(Basis!$E$1=1,ROUND(H1068/((TaH-TrH)*1.163)/3600,3),ROUND(H1068/(500*(TaH-TrH)),2))</f>
        <v>0.19</v>
      </c>
      <c r="K1068" s="84"/>
      <c r="L1068" s="177">
        <f>CHOOSE(Basis!$E$1,((AJ1068*(J1068*3600/Basis!$E$5)^AK1068*(((MID(C1068,9,3)*10)-244)/1000)*AL1068+AM1068*(J1068*3600/Basis!$E$5)^2)*0.0098)/Basis!$E$10,((AJ1068*(J1068/Basis!$E$5)^AK1068*(((MID(C1068,9,3)*10)-244)/1000)*AL1068+AM1068*(J1068/Basis!$E$5)^2)*0.0098)/Basis!$E$10)</f>
        <v>2.8514071012802705E-2</v>
      </c>
      <c r="M1068" s="85"/>
      <c r="N1068" s="109">
        <v>1.3620000000000001</v>
      </c>
      <c r="O1068" s="68"/>
      <c r="P1068" s="67">
        <v>895</v>
      </c>
      <c r="Q1068" s="68"/>
      <c r="R1068" s="69"/>
      <c r="S1068" s="69"/>
      <c r="T1068" s="69"/>
      <c r="U1068" s="69"/>
      <c r="V1068" s="69"/>
      <c r="W1068" s="68"/>
      <c r="X1068" s="70"/>
      <c r="Y1068" s="70"/>
      <c r="Z1068" s="70"/>
      <c r="AA1068" s="70"/>
      <c r="AB1068" s="70"/>
      <c r="AC1068" s="68"/>
      <c r="AD1068" s="71"/>
      <c r="AE1068" s="71"/>
      <c r="AF1068" s="71"/>
      <c r="AG1068" s="71"/>
      <c r="AH1068" s="71"/>
      <c r="AI1068" s="68"/>
      <c r="AJ1068" s="214">
        <v>1.3162765859195E-2</v>
      </c>
      <c r="AK1068" s="214">
        <v>1.4286501188989</v>
      </c>
      <c r="AL1068" s="214">
        <v>1</v>
      </c>
      <c r="AM1068" s="214">
        <v>9.2091836734694004E-4</v>
      </c>
      <c r="AN1068" s="68"/>
      <c r="AO1068" s="67"/>
      <c r="AP1068" s="67"/>
      <c r="AQ1068" s="67"/>
      <c r="AR1068" s="67"/>
      <c r="AS1068" s="67"/>
      <c r="AT1068" s="68"/>
      <c r="AU1068" s="49"/>
      <c r="AV1068" s="50"/>
    </row>
    <row r="1069" spans="1:48" ht="12.75" customHeight="1" x14ac:dyDescent="0.25">
      <c r="A1069" s="72" t="s">
        <v>119</v>
      </c>
      <c r="B1069" s="43" t="s">
        <v>1154</v>
      </c>
      <c r="C1069" s="44" t="s">
        <v>1224</v>
      </c>
      <c r="D1069" s="45">
        <f>MROUND(MID($C1069,6,3)/Basis!$E$3,0.5)</f>
        <v>3.5</v>
      </c>
      <c r="E1069" s="45">
        <f>MROUND(MID($C1069,9,3)/Basis!$E$3,0.5)</f>
        <v>106.5</v>
      </c>
      <c r="F1069" s="199" t="s">
        <v>2950</v>
      </c>
      <c r="G1069" s="45">
        <f>ROUND(MID($C1069,12,2)/Basis!$E$3,1)</f>
        <v>16.5</v>
      </c>
      <c r="H1069" s="120">
        <f>ROUND($P1069*Basis!$E$2*((TaH-TrH)/LN(1/µ)/Basis!$E$7)^$N1069*$AA$4*Glycol,0)</f>
        <v>2814</v>
      </c>
      <c r="I1069" s="83">
        <f>ROUND(H1069/(MID($C1069,9,3)/Basis!$E$3/Basis!$E$9)*Basis!$E$11,0)</f>
        <v>318</v>
      </c>
      <c r="J1069" s="123">
        <f>IF(Basis!$E$1=1,ROUND(H1069/((TaH-TrH)*1.163)/3600,3),ROUND(H1069/(500*(TaH-TrH)),2))</f>
        <v>0.28000000000000003</v>
      </c>
      <c r="K1069" s="84"/>
      <c r="L1069" s="177">
        <f>CHOOSE(Basis!$E$1,((AJ1069*(J1069*3600/Basis!$E$5)^AK1069*(((MID(C1069,9,3)*10)-244)/1000)*AL1069+AM1069*(J1069*3600/Basis!$E$5)^2)*0.0098)/Basis!$E$10,((AJ1069*(J1069/Basis!$E$5)^AK1069*(((MID(C1069,9,3)*10)-244)/1000)*AL1069+AM1069*(J1069/Basis!$E$5)^2)*0.0098)/Basis!$E$10)</f>
        <v>1.3421539888765679E-2</v>
      </c>
      <c r="M1069" s="85"/>
      <c r="N1069" s="110">
        <v>1.3620000000000001</v>
      </c>
      <c r="O1069" s="74"/>
      <c r="P1069" s="73">
        <v>1293</v>
      </c>
      <c r="Q1069" s="74"/>
      <c r="R1069" s="75"/>
      <c r="S1069" s="75"/>
      <c r="T1069" s="75"/>
      <c r="U1069" s="75"/>
      <c r="V1069" s="75"/>
      <c r="W1069" s="74"/>
      <c r="X1069" s="76"/>
      <c r="Y1069" s="76"/>
      <c r="Z1069" s="76"/>
      <c r="AA1069" s="76"/>
      <c r="AB1069" s="76"/>
      <c r="AC1069" s="74"/>
      <c r="AD1069" s="77"/>
      <c r="AE1069" s="77"/>
      <c r="AF1069" s="77"/>
      <c r="AG1069" s="77"/>
      <c r="AH1069" s="77"/>
      <c r="AI1069" s="68"/>
      <c r="AJ1069" s="213">
        <v>3.9689999999999994E-4</v>
      </c>
      <c r="AK1069" s="213">
        <v>1.7345999999999999</v>
      </c>
      <c r="AL1069" s="213">
        <v>2</v>
      </c>
      <c r="AM1069" s="213">
        <v>3.6734700000000002E-4</v>
      </c>
      <c r="AN1069" s="74"/>
      <c r="AO1069" s="73"/>
      <c r="AP1069" s="73"/>
      <c r="AQ1069" s="73"/>
      <c r="AR1069" s="73"/>
      <c r="AS1069" s="73"/>
      <c r="AT1069" s="74"/>
      <c r="AU1069" s="47"/>
      <c r="AV1069" s="48"/>
    </row>
    <row r="1070" spans="1:48" ht="12.75" customHeight="1" x14ac:dyDescent="0.25">
      <c r="A1070" s="72" t="s">
        <v>119</v>
      </c>
      <c r="B1070" s="43" t="s">
        <v>1154</v>
      </c>
      <c r="C1070" s="44" t="s">
        <v>1225</v>
      </c>
      <c r="D1070" s="45">
        <f>MROUND(MID($C1070,6,3)/Basis!$E$3,0.5)</f>
        <v>3.5</v>
      </c>
      <c r="E1070" s="45">
        <f>MROUND(MID($C1070,9,3)/Basis!$E$3,0.5)</f>
        <v>114</v>
      </c>
      <c r="F1070" s="199" t="s">
        <v>2950</v>
      </c>
      <c r="G1070" s="45">
        <f>ROUND(MID($C1070,12,2)/Basis!$E$3,1)</f>
        <v>5.5</v>
      </c>
      <c r="H1070" s="120">
        <f>ROUND($P1070*Basis!$E$2*((TaH-TrH)/LN(1/µ)/Basis!$E$7)^$N1070*$AA$4*Glycol,0)</f>
        <v>1045</v>
      </c>
      <c r="I1070" s="83">
        <f>ROUND(H1070/(MID($C1070,9,3)/Basis!$E$3/Basis!$E$9)*Basis!$E$11,0)</f>
        <v>110</v>
      </c>
      <c r="J1070" s="123">
        <f>IF(Basis!$E$1=1,ROUND(H1070/((TaH-TrH)*1.163)/3600,3),ROUND(H1070/(500*(TaH-TrH)),2))</f>
        <v>0.1</v>
      </c>
      <c r="K1070" s="84"/>
      <c r="L1070" s="177">
        <f>CHOOSE(Basis!$E$1,((AJ1070*(J1070*3600/Basis!$E$5)^AK1070*(((MID(C1070,9,3)*10)-244)/1000)*AL1070+AM1070*(J1070*3600/Basis!$E$5)^2)*0.0098)/Basis!$E$10,((AJ1070*(J1070/Basis!$E$5)^AK1070*(((MID(C1070,9,3)*10)-244)/1000)*AL1070+AM1070*(J1070/Basis!$E$5)^2)*0.0098)/Basis!$E$10)</f>
        <v>2.4420179144086433E-3</v>
      </c>
      <c r="M1070" s="85"/>
      <c r="N1070" s="109">
        <v>1.3620000000000001</v>
      </c>
      <c r="O1070" s="68"/>
      <c r="P1070" s="67">
        <v>480</v>
      </c>
      <c r="Q1070" s="68"/>
      <c r="R1070" s="69"/>
      <c r="S1070" s="69"/>
      <c r="T1070" s="69"/>
      <c r="U1070" s="69"/>
      <c r="V1070" s="69"/>
      <c r="W1070" s="68"/>
      <c r="X1070" s="70"/>
      <c r="Y1070" s="70"/>
      <c r="Z1070" s="70"/>
      <c r="AA1070" s="70"/>
      <c r="AB1070" s="70"/>
      <c r="AC1070" s="68"/>
      <c r="AD1070" s="71"/>
      <c r="AE1070" s="71"/>
      <c r="AF1070" s="71"/>
      <c r="AG1070" s="71"/>
      <c r="AH1070" s="71"/>
      <c r="AI1070" s="68"/>
      <c r="AJ1070" s="214">
        <v>6.0625777523108995E-4</v>
      </c>
      <c r="AK1070" s="214">
        <v>1.8894792857555001</v>
      </c>
      <c r="AL1070" s="214">
        <v>1</v>
      </c>
      <c r="AM1070" s="214">
        <v>3.0758017492711002E-4</v>
      </c>
      <c r="AN1070" s="68"/>
      <c r="AO1070" s="67"/>
      <c r="AP1070" s="67"/>
      <c r="AQ1070" s="67"/>
      <c r="AR1070" s="67"/>
      <c r="AS1070" s="67"/>
      <c r="AT1070" s="68"/>
      <c r="AU1070" s="49"/>
      <c r="AV1070" s="50"/>
    </row>
    <row r="1071" spans="1:48" ht="12.75" customHeight="1" x14ac:dyDescent="0.25">
      <c r="A1071" s="72" t="s">
        <v>119</v>
      </c>
      <c r="B1071" s="43" t="s">
        <v>1154</v>
      </c>
      <c r="C1071" s="44" t="s">
        <v>1226</v>
      </c>
      <c r="D1071" s="45">
        <f>MROUND(MID($C1071,6,3)/Basis!$E$3,0.5)</f>
        <v>3.5</v>
      </c>
      <c r="E1071" s="45">
        <f>MROUND(MID($C1071,9,3)/Basis!$E$3,0.5)</f>
        <v>114</v>
      </c>
      <c r="F1071" s="199" t="s">
        <v>2950</v>
      </c>
      <c r="G1071" s="45">
        <f>ROUND(MID($C1071,12,2)/Basis!$E$3,1)</f>
        <v>7.1</v>
      </c>
      <c r="H1071" s="120">
        <f>ROUND($P1071*Basis!$E$2*((TaH-TrH)/LN(1/µ)/Basis!$E$7)^$N1071*$AA$4*Glycol,0)</f>
        <v>1236</v>
      </c>
      <c r="I1071" s="83">
        <f>ROUND(H1071/(MID($C1071,9,3)/Basis!$E$3/Basis!$E$9)*Basis!$E$11,0)</f>
        <v>130</v>
      </c>
      <c r="J1071" s="123">
        <f>IF(Basis!$E$1=1,ROUND(H1071/((TaH-TrH)*1.163)/3600,3),ROUND(H1071/(500*(TaH-TrH)),2))</f>
        <v>0.12</v>
      </c>
      <c r="K1071" s="84"/>
      <c r="L1071" s="177">
        <f>CHOOSE(Basis!$E$1,((AJ1071*(J1071*3600/Basis!$E$5)^AK1071*(((MID(C1071,9,3)*10)-244)/1000)*AL1071+AM1071*(J1071*3600/Basis!$E$5)^2)*0.0098)/Basis!$E$10,((AJ1071*(J1071/Basis!$E$5)^AK1071*(((MID(C1071,9,3)*10)-244)/1000)*AL1071+AM1071*(J1071/Basis!$E$5)^2)*0.0098)/Basis!$E$10)</f>
        <v>7.1160818078122362E-3</v>
      </c>
      <c r="M1071" s="85"/>
      <c r="N1071" s="110">
        <v>1.3620000000000001</v>
      </c>
      <c r="O1071" s="74"/>
      <c r="P1071" s="73">
        <v>568</v>
      </c>
      <c r="Q1071" s="74"/>
      <c r="R1071" s="75"/>
      <c r="S1071" s="75"/>
      <c r="T1071" s="75"/>
      <c r="U1071" s="75"/>
      <c r="V1071" s="75"/>
      <c r="W1071" s="74"/>
      <c r="X1071" s="76"/>
      <c r="Y1071" s="76"/>
      <c r="Z1071" s="76"/>
      <c r="AA1071" s="76"/>
      <c r="AB1071" s="76"/>
      <c r="AC1071" s="74"/>
      <c r="AD1071" s="77"/>
      <c r="AE1071" s="77"/>
      <c r="AF1071" s="77"/>
      <c r="AG1071" s="77"/>
      <c r="AH1071" s="77"/>
      <c r="AI1071" s="68"/>
      <c r="AJ1071" s="213">
        <v>9.3669999999999995E-4</v>
      </c>
      <c r="AK1071" s="213">
        <v>1.789841</v>
      </c>
      <c r="AL1071" s="213">
        <v>2</v>
      </c>
      <c r="AM1071" s="213">
        <v>4.4559999999999999E-4</v>
      </c>
      <c r="AN1071" s="74"/>
      <c r="AO1071" s="73"/>
      <c r="AP1071" s="73"/>
      <c r="AQ1071" s="73"/>
      <c r="AR1071" s="73"/>
      <c r="AS1071" s="73"/>
      <c r="AT1071" s="74"/>
      <c r="AU1071" s="47"/>
      <c r="AV1071" s="48"/>
    </row>
    <row r="1072" spans="1:48" ht="12.75" customHeight="1" x14ac:dyDescent="0.25">
      <c r="A1072" s="72" t="s">
        <v>119</v>
      </c>
      <c r="B1072" s="43" t="s">
        <v>1154</v>
      </c>
      <c r="C1072" s="44" t="s">
        <v>1227</v>
      </c>
      <c r="D1072" s="45">
        <f>MROUND(MID($C1072,6,3)/Basis!$E$3,0.5)</f>
        <v>3.5</v>
      </c>
      <c r="E1072" s="45">
        <f>MROUND(MID($C1072,9,3)/Basis!$E$3,0.5)</f>
        <v>114</v>
      </c>
      <c r="F1072" s="199" t="s">
        <v>2950</v>
      </c>
      <c r="G1072" s="45">
        <f>ROUND(MID($C1072,12,2)/Basis!$E$3,1)</f>
        <v>10.199999999999999</v>
      </c>
      <c r="H1072" s="120">
        <f>ROUND($P1072*Basis!$E$2*((TaH-TrH)/LN(1/µ)/Basis!$E$7)^$N1072*$AA$4*Glycol,0)</f>
        <v>1628</v>
      </c>
      <c r="I1072" s="83">
        <f>ROUND(H1072/(MID($C1072,9,3)/Basis!$E$3/Basis!$E$9)*Basis!$E$11,0)</f>
        <v>171</v>
      </c>
      <c r="J1072" s="123">
        <f>IF(Basis!$E$1=1,ROUND(H1072/((TaH-TrH)*1.163)/3600,3),ROUND(H1072/(500*(TaH-TrH)),2))</f>
        <v>0.16</v>
      </c>
      <c r="K1072" s="84"/>
      <c r="L1072" s="177">
        <f>CHOOSE(Basis!$E$1,((AJ1072*(J1072*3600/Basis!$E$5)^AK1072*(((MID(C1072,9,3)*10)-244)/1000)*AL1072+AM1072*(J1072*3600/Basis!$E$5)^2)*0.0098)/Basis!$E$10,((AJ1072*(J1072/Basis!$E$5)^AK1072*(((MID(C1072,9,3)*10)-244)/1000)*AL1072+AM1072*(J1072/Basis!$E$5)^2)*0.0098)/Basis!$E$10)</f>
        <v>1.2021500306380961E-2</v>
      </c>
      <c r="M1072" s="85"/>
      <c r="N1072" s="109">
        <v>1.3620000000000001</v>
      </c>
      <c r="O1072" s="68"/>
      <c r="P1072" s="67">
        <v>748</v>
      </c>
      <c r="Q1072" s="68"/>
      <c r="R1072" s="69"/>
      <c r="S1072" s="69"/>
      <c r="T1072" s="69"/>
      <c r="U1072" s="69"/>
      <c r="V1072" s="69"/>
      <c r="W1072" s="68"/>
      <c r="X1072" s="70"/>
      <c r="Y1072" s="70"/>
      <c r="Z1072" s="70"/>
      <c r="AA1072" s="70"/>
      <c r="AB1072" s="70"/>
      <c r="AC1072" s="68"/>
      <c r="AD1072" s="71"/>
      <c r="AE1072" s="71"/>
      <c r="AF1072" s="71"/>
      <c r="AG1072" s="71"/>
      <c r="AH1072" s="71"/>
      <c r="AI1072" s="68"/>
      <c r="AJ1072" s="214">
        <v>9.3669999999999995E-4</v>
      </c>
      <c r="AK1072" s="214">
        <v>1.789841</v>
      </c>
      <c r="AL1072" s="214">
        <v>2</v>
      </c>
      <c r="AM1072" s="214">
        <v>4.4559999999999999E-4</v>
      </c>
      <c r="AN1072" s="68"/>
      <c r="AO1072" s="67"/>
      <c r="AP1072" s="67"/>
      <c r="AQ1072" s="67"/>
      <c r="AR1072" s="67"/>
      <c r="AS1072" s="67"/>
      <c r="AT1072" s="68"/>
      <c r="AU1072" s="49"/>
      <c r="AV1072" s="50"/>
    </row>
    <row r="1073" spans="1:48" ht="12.75" customHeight="1" x14ac:dyDescent="0.25">
      <c r="A1073" s="72" t="s">
        <v>119</v>
      </c>
      <c r="B1073" s="43" t="s">
        <v>1154</v>
      </c>
      <c r="C1073" s="44" t="s">
        <v>1228</v>
      </c>
      <c r="D1073" s="45">
        <f>MROUND(MID($C1073,6,3)/Basis!$E$3,0.5)</f>
        <v>3.5</v>
      </c>
      <c r="E1073" s="45">
        <f>MROUND(MID($C1073,9,3)/Basis!$E$3,0.5)</f>
        <v>114</v>
      </c>
      <c r="F1073" s="199" t="s">
        <v>2950</v>
      </c>
      <c r="G1073" s="45">
        <f>ROUND(MID($C1073,12,2)/Basis!$E$3,1)</f>
        <v>13.4</v>
      </c>
      <c r="H1073" s="120">
        <f>ROUND($P1073*Basis!$E$2*((TaH-TrH)/LN(1/µ)/Basis!$E$7)^$N1073*$AA$4*Glycol,0)</f>
        <v>2111</v>
      </c>
      <c r="I1073" s="83">
        <f>ROUND(H1073/(MID($C1073,9,3)/Basis!$E$3/Basis!$E$9)*Basis!$E$11,0)</f>
        <v>222</v>
      </c>
      <c r="J1073" s="123">
        <f>IF(Basis!$E$1=1,ROUND(H1073/((TaH-TrH)*1.163)/3600,3),ROUND(H1073/(500*(TaH-TrH)),2))</f>
        <v>0.21</v>
      </c>
      <c r="K1073" s="84"/>
      <c r="L1073" s="177">
        <f>CHOOSE(Basis!$E$1,((AJ1073*(J1073*3600/Basis!$E$5)^AK1073*(((MID(C1073,9,3)*10)-244)/1000)*AL1073+AM1073*(J1073*3600/Basis!$E$5)^2)*0.0098)/Basis!$E$10,((AJ1073*(J1073/Basis!$E$5)^AK1073*(((MID(C1073,9,3)*10)-244)/1000)*AL1073+AM1073*(J1073/Basis!$E$5)^2)*0.0098)/Basis!$E$10)</f>
        <v>3.5429820384609227E-2</v>
      </c>
      <c r="M1073" s="85"/>
      <c r="N1073" s="110">
        <v>1.3620000000000001</v>
      </c>
      <c r="O1073" s="74"/>
      <c r="P1073" s="73">
        <v>970</v>
      </c>
      <c r="Q1073" s="74"/>
      <c r="R1073" s="75"/>
      <c r="S1073" s="75"/>
      <c r="T1073" s="75"/>
      <c r="U1073" s="75"/>
      <c r="V1073" s="75"/>
      <c r="W1073" s="74"/>
      <c r="X1073" s="76"/>
      <c r="Y1073" s="76"/>
      <c r="Z1073" s="76"/>
      <c r="AA1073" s="76"/>
      <c r="AB1073" s="76"/>
      <c r="AC1073" s="74"/>
      <c r="AD1073" s="77"/>
      <c r="AE1073" s="77"/>
      <c r="AF1073" s="77"/>
      <c r="AG1073" s="77"/>
      <c r="AH1073" s="77"/>
      <c r="AI1073" s="68"/>
      <c r="AJ1073" s="213">
        <v>1.3162765859195E-2</v>
      </c>
      <c r="AK1073" s="213">
        <v>1.4286501188989</v>
      </c>
      <c r="AL1073" s="213">
        <v>1</v>
      </c>
      <c r="AM1073" s="213">
        <v>9.2091836734694004E-4</v>
      </c>
      <c r="AN1073" s="74"/>
      <c r="AO1073" s="73"/>
      <c r="AP1073" s="73"/>
      <c r="AQ1073" s="73"/>
      <c r="AR1073" s="73"/>
      <c r="AS1073" s="73"/>
      <c r="AT1073" s="74"/>
      <c r="AU1073" s="47"/>
      <c r="AV1073" s="48"/>
    </row>
    <row r="1074" spans="1:48" ht="12.75" customHeight="1" x14ac:dyDescent="0.25">
      <c r="A1074" s="72" t="s">
        <v>119</v>
      </c>
      <c r="B1074" s="43" t="s">
        <v>1154</v>
      </c>
      <c r="C1074" s="44" t="s">
        <v>1229</v>
      </c>
      <c r="D1074" s="45">
        <f>MROUND(MID($C1074,6,3)/Basis!$E$3,0.5)</f>
        <v>3.5</v>
      </c>
      <c r="E1074" s="45">
        <f>MROUND(MID($C1074,9,3)/Basis!$E$3,0.5)</f>
        <v>114</v>
      </c>
      <c r="F1074" s="199" t="s">
        <v>2950</v>
      </c>
      <c r="G1074" s="45">
        <f>ROUND(MID($C1074,12,2)/Basis!$E$3,1)</f>
        <v>16.5</v>
      </c>
      <c r="H1074" s="120">
        <f>ROUND($P1074*Basis!$E$2*((TaH-TrH)/LN(1/µ)/Basis!$E$7)^$N1074*$AA$4*Glycol,0)</f>
        <v>3050</v>
      </c>
      <c r="I1074" s="83">
        <f>ROUND(H1074/(MID($C1074,9,3)/Basis!$E$3/Basis!$E$9)*Basis!$E$11,0)</f>
        <v>321</v>
      </c>
      <c r="J1074" s="123">
        <f>IF(Basis!$E$1=1,ROUND(H1074/((TaH-TrH)*1.163)/3600,3),ROUND(H1074/(500*(TaH-TrH)),2))</f>
        <v>0.31</v>
      </c>
      <c r="K1074" s="84"/>
      <c r="L1074" s="177">
        <f>CHOOSE(Basis!$E$1,((AJ1074*(J1074*3600/Basis!$E$5)^AK1074*(((MID(C1074,9,3)*10)-244)/1000)*AL1074+AM1074*(J1074*3600/Basis!$E$5)^2)*0.0098)/Basis!$E$10,((AJ1074*(J1074/Basis!$E$5)^AK1074*(((MID(C1074,9,3)*10)-244)/1000)*AL1074+AM1074*(J1074/Basis!$E$5)^2)*0.0098)/Basis!$E$10)</f>
        <v>1.7003933174210711E-2</v>
      </c>
      <c r="M1074" s="85"/>
      <c r="N1074" s="109">
        <v>1.3620000000000001</v>
      </c>
      <c r="O1074" s="68"/>
      <c r="P1074" s="67">
        <v>1401</v>
      </c>
      <c r="Q1074" s="68"/>
      <c r="R1074" s="69"/>
      <c r="S1074" s="69"/>
      <c r="T1074" s="69"/>
      <c r="U1074" s="69"/>
      <c r="V1074" s="69"/>
      <c r="W1074" s="68"/>
      <c r="X1074" s="70"/>
      <c r="Y1074" s="70"/>
      <c r="Z1074" s="70"/>
      <c r="AA1074" s="70"/>
      <c r="AB1074" s="70"/>
      <c r="AC1074" s="68"/>
      <c r="AD1074" s="71"/>
      <c r="AE1074" s="71"/>
      <c r="AF1074" s="71"/>
      <c r="AG1074" s="71"/>
      <c r="AH1074" s="71"/>
      <c r="AI1074" s="68"/>
      <c r="AJ1074" s="214">
        <v>3.9689999999999994E-4</v>
      </c>
      <c r="AK1074" s="214">
        <v>1.7345999999999999</v>
      </c>
      <c r="AL1074" s="214">
        <v>2</v>
      </c>
      <c r="AM1074" s="214">
        <v>3.6734700000000002E-4</v>
      </c>
      <c r="AN1074" s="68"/>
      <c r="AO1074" s="67"/>
      <c r="AP1074" s="67"/>
      <c r="AQ1074" s="67"/>
      <c r="AR1074" s="67"/>
      <c r="AS1074" s="67"/>
      <c r="AT1074" s="68"/>
      <c r="AU1074" s="49"/>
      <c r="AV1074" s="50"/>
    </row>
    <row r="1075" spans="1:48" ht="12.75" customHeight="1" x14ac:dyDescent="0.25">
      <c r="A1075" s="72" t="s">
        <v>119</v>
      </c>
      <c r="B1075" s="43" t="s">
        <v>1154</v>
      </c>
      <c r="C1075" s="44" t="s">
        <v>1230</v>
      </c>
      <c r="D1075" s="45">
        <f>MROUND(MID($C1075,6,3)/Basis!$E$3,0.5)</f>
        <v>3.5</v>
      </c>
      <c r="E1075" s="45">
        <f>MROUND(MID($C1075,9,3)/Basis!$E$3,0.5)</f>
        <v>122</v>
      </c>
      <c r="F1075" s="199" t="s">
        <v>2950</v>
      </c>
      <c r="G1075" s="45">
        <f>ROUND(MID($C1075,12,2)/Basis!$E$3,1)</f>
        <v>5.5</v>
      </c>
      <c r="H1075" s="120">
        <f>ROUND($P1075*Basis!$E$2*((TaH-TrH)/LN(1/µ)/Basis!$E$7)^$N1075*$AA$4*Glycol,0)</f>
        <v>1125</v>
      </c>
      <c r="I1075" s="83">
        <f>ROUND(H1075/(MID($C1075,9,3)/Basis!$E$3/Basis!$E$9)*Basis!$E$11,0)</f>
        <v>111</v>
      </c>
      <c r="J1075" s="123">
        <f>IF(Basis!$E$1=1,ROUND(H1075/((TaH-TrH)*1.163)/3600,3),ROUND(H1075/(500*(TaH-TrH)),2))</f>
        <v>0.11</v>
      </c>
      <c r="K1075" s="84"/>
      <c r="L1075" s="177">
        <f>CHOOSE(Basis!$E$1,((AJ1075*(J1075*3600/Basis!$E$5)^AK1075*(((MID(C1075,9,3)*10)-244)/1000)*AL1075+AM1075*(J1075*3600/Basis!$E$5)^2)*0.0098)/Basis!$E$10,((AJ1075*(J1075/Basis!$E$5)^AK1075*(((MID(C1075,9,3)*10)-244)/1000)*AL1075+AM1075*(J1075/Basis!$E$5)^2)*0.0098)/Basis!$E$10)</f>
        <v>3.1038544353934982E-3</v>
      </c>
      <c r="M1075" s="85"/>
      <c r="N1075" s="110">
        <v>1.3620000000000001</v>
      </c>
      <c r="O1075" s="74"/>
      <c r="P1075" s="73">
        <v>517</v>
      </c>
      <c r="Q1075" s="74"/>
      <c r="R1075" s="75"/>
      <c r="S1075" s="75"/>
      <c r="T1075" s="75"/>
      <c r="U1075" s="75"/>
      <c r="V1075" s="75"/>
      <c r="W1075" s="74"/>
      <c r="X1075" s="76"/>
      <c r="Y1075" s="76"/>
      <c r="Z1075" s="76"/>
      <c r="AA1075" s="76"/>
      <c r="AB1075" s="76"/>
      <c r="AC1075" s="74"/>
      <c r="AD1075" s="77"/>
      <c r="AE1075" s="77"/>
      <c r="AF1075" s="77"/>
      <c r="AG1075" s="77"/>
      <c r="AH1075" s="77"/>
      <c r="AI1075" s="68"/>
      <c r="AJ1075" s="213">
        <v>6.0625777523108995E-4</v>
      </c>
      <c r="AK1075" s="213">
        <v>1.8894792857555001</v>
      </c>
      <c r="AL1075" s="213">
        <v>1</v>
      </c>
      <c r="AM1075" s="213">
        <v>3.0758017492711002E-4</v>
      </c>
      <c r="AN1075" s="74"/>
      <c r="AO1075" s="73"/>
      <c r="AP1075" s="73"/>
      <c r="AQ1075" s="73"/>
      <c r="AR1075" s="73"/>
      <c r="AS1075" s="73"/>
      <c r="AT1075" s="74"/>
      <c r="AU1075" s="47"/>
      <c r="AV1075" s="48"/>
    </row>
    <row r="1076" spans="1:48" ht="12.75" customHeight="1" x14ac:dyDescent="0.25">
      <c r="A1076" s="72" t="s">
        <v>119</v>
      </c>
      <c r="B1076" s="43" t="s">
        <v>1154</v>
      </c>
      <c r="C1076" s="44" t="s">
        <v>1231</v>
      </c>
      <c r="D1076" s="45">
        <f>MROUND(MID($C1076,6,3)/Basis!$E$3,0.5)</f>
        <v>3.5</v>
      </c>
      <c r="E1076" s="45">
        <f>MROUND(MID($C1076,9,3)/Basis!$E$3,0.5)</f>
        <v>122</v>
      </c>
      <c r="F1076" s="199" t="s">
        <v>2950</v>
      </c>
      <c r="G1076" s="45">
        <f>ROUND(MID($C1076,12,2)/Basis!$E$3,1)</f>
        <v>7.1</v>
      </c>
      <c r="H1076" s="120">
        <f>ROUND($P1076*Basis!$E$2*((TaH-TrH)/LN(1/µ)/Basis!$E$7)^$N1076*$AA$4*Glycol,0)</f>
        <v>1332</v>
      </c>
      <c r="I1076" s="83">
        <f>ROUND(H1076/(MID($C1076,9,3)/Basis!$E$3/Basis!$E$9)*Basis!$E$11,0)</f>
        <v>131</v>
      </c>
      <c r="J1076" s="123">
        <f>IF(Basis!$E$1=1,ROUND(H1076/((TaH-TrH)*1.163)/3600,3),ROUND(H1076/(500*(TaH-TrH)),2))</f>
        <v>0.13</v>
      </c>
      <c r="K1076" s="84"/>
      <c r="L1076" s="177">
        <f>CHOOSE(Basis!$E$1,((AJ1076*(J1076*3600/Basis!$E$5)^AK1076*(((MID(C1076,9,3)*10)-244)/1000)*AL1076+AM1076*(J1076*3600/Basis!$E$5)^2)*0.0098)/Basis!$E$10,((AJ1076*(J1076/Basis!$E$5)^AK1076*(((MID(C1076,9,3)*10)-244)/1000)*AL1076+AM1076*(J1076/Basis!$E$5)^2)*0.0098)/Basis!$E$10)</f>
        <v>8.7577262187083643E-3</v>
      </c>
      <c r="M1076" s="85"/>
      <c r="N1076" s="109">
        <v>1.3620000000000001</v>
      </c>
      <c r="O1076" s="68"/>
      <c r="P1076" s="67">
        <v>612</v>
      </c>
      <c r="Q1076" s="68"/>
      <c r="R1076" s="69"/>
      <c r="S1076" s="69"/>
      <c r="T1076" s="69"/>
      <c r="U1076" s="69"/>
      <c r="V1076" s="69"/>
      <c r="W1076" s="68"/>
      <c r="X1076" s="70"/>
      <c r="Y1076" s="70"/>
      <c r="Z1076" s="70"/>
      <c r="AA1076" s="70"/>
      <c r="AB1076" s="70"/>
      <c r="AC1076" s="68"/>
      <c r="AD1076" s="71"/>
      <c r="AE1076" s="71"/>
      <c r="AF1076" s="71"/>
      <c r="AG1076" s="71"/>
      <c r="AH1076" s="71"/>
      <c r="AI1076" s="68"/>
      <c r="AJ1076" s="214">
        <v>9.3669999999999995E-4</v>
      </c>
      <c r="AK1076" s="214">
        <v>1.789841</v>
      </c>
      <c r="AL1076" s="214">
        <v>2</v>
      </c>
      <c r="AM1076" s="214">
        <v>4.4559999999999999E-4</v>
      </c>
      <c r="AN1076" s="68"/>
      <c r="AO1076" s="67"/>
      <c r="AP1076" s="67"/>
      <c r="AQ1076" s="67"/>
      <c r="AR1076" s="67"/>
      <c r="AS1076" s="67"/>
      <c r="AT1076" s="68"/>
      <c r="AU1076" s="49"/>
      <c r="AV1076" s="50"/>
    </row>
    <row r="1077" spans="1:48" ht="12.75" customHeight="1" x14ac:dyDescent="0.25">
      <c r="A1077" s="72" t="s">
        <v>119</v>
      </c>
      <c r="B1077" s="43" t="s">
        <v>1154</v>
      </c>
      <c r="C1077" s="44" t="s">
        <v>1232</v>
      </c>
      <c r="D1077" s="45">
        <f>MROUND(MID($C1077,6,3)/Basis!$E$3,0.5)</f>
        <v>3.5</v>
      </c>
      <c r="E1077" s="45">
        <f>MROUND(MID($C1077,9,3)/Basis!$E$3,0.5)</f>
        <v>122</v>
      </c>
      <c r="F1077" s="199" t="s">
        <v>2950</v>
      </c>
      <c r="G1077" s="45">
        <f>ROUND(MID($C1077,12,2)/Basis!$E$3,1)</f>
        <v>10.199999999999999</v>
      </c>
      <c r="H1077" s="120">
        <f>ROUND($P1077*Basis!$E$2*((TaH-TrH)/LN(1/µ)/Basis!$E$7)^$N1077*$AA$4*Glycol,0)</f>
        <v>1752</v>
      </c>
      <c r="I1077" s="83">
        <f>ROUND(H1077/(MID($C1077,9,3)/Basis!$E$3/Basis!$E$9)*Basis!$E$11,0)</f>
        <v>172</v>
      </c>
      <c r="J1077" s="123">
        <f>IF(Basis!$E$1=1,ROUND(H1077/((TaH-TrH)*1.163)/3600,3),ROUND(H1077/(500*(TaH-TrH)),2))</f>
        <v>0.18</v>
      </c>
      <c r="K1077" s="84"/>
      <c r="L1077" s="177">
        <f>CHOOSE(Basis!$E$1,((AJ1077*(J1077*3600/Basis!$E$5)^AK1077*(((MID(C1077,9,3)*10)-244)/1000)*AL1077+AM1077*(J1077*3600/Basis!$E$5)^2)*0.0098)/Basis!$E$10,((AJ1077*(J1077/Basis!$E$5)^AK1077*(((MID(C1077,9,3)*10)-244)/1000)*AL1077+AM1077*(J1077/Basis!$E$5)^2)*0.0098)/Basis!$E$10)</f>
        <v>1.5841047489352472E-2</v>
      </c>
      <c r="M1077" s="85"/>
      <c r="N1077" s="110">
        <v>1.3620000000000001</v>
      </c>
      <c r="O1077" s="74"/>
      <c r="P1077" s="73">
        <v>805</v>
      </c>
      <c r="Q1077" s="74"/>
      <c r="R1077" s="75"/>
      <c r="S1077" s="75"/>
      <c r="T1077" s="75"/>
      <c r="U1077" s="75"/>
      <c r="V1077" s="75"/>
      <c r="W1077" s="74"/>
      <c r="X1077" s="76"/>
      <c r="Y1077" s="76"/>
      <c r="Z1077" s="76"/>
      <c r="AA1077" s="76"/>
      <c r="AB1077" s="76"/>
      <c r="AC1077" s="74"/>
      <c r="AD1077" s="77"/>
      <c r="AE1077" s="77"/>
      <c r="AF1077" s="77"/>
      <c r="AG1077" s="77"/>
      <c r="AH1077" s="77"/>
      <c r="AI1077" s="68"/>
      <c r="AJ1077" s="213">
        <v>9.3669999999999995E-4</v>
      </c>
      <c r="AK1077" s="213">
        <v>1.789841</v>
      </c>
      <c r="AL1077" s="213">
        <v>2</v>
      </c>
      <c r="AM1077" s="213">
        <v>4.4559999999999999E-4</v>
      </c>
      <c r="AN1077" s="74"/>
      <c r="AO1077" s="73"/>
      <c r="AP1077" s="73"/>
      <c r="AQ1077" s="73"/>
      <c r="AR1077" s="73"/>
      <c r="AS1077" s="73"/>
      <c r="AT1077" s="74"/>
      <c r="AU1077" s="47"/>
      <c r="AV1077" s="48"/>
    </row>
    <row r="1078" spans="1:48" ht="12.75" customHeight="1" x14ac:dyDescent="0.25">
      <c r="A1078" s="72" t="s">
        <v>119</v>
      </c>
      <c r="B1078" s="43" t="s">
        <v>1154</v>
      </c>
      <c r="C1078" s="44" t="s">
        <v>1233</v>
      </c>
      <c r="D1078" s="45">
        <f>MROUND(MID($C1078,6,3)/Basis!$E$3,0.5)</f>
        <v>3.5</v>
      </c>
      <c r="E1078" s="45">
        <f>MROUND(MID($C1078,9,3)/Basis!$E$3,0.5)</f>
        <v>122</v>
      </c>
      <c r="F1078" s="199" t="s">
        <v>2950</v>
      </c>
      <c r="G1078" s="45">
        <f>ROUND(MID($C1078,12,2)/Basis!$E$3,1)</f>
        <v>13.4</v>
      </c>
      <c r="H1078" s="120">
        <f>ROUND($P1078*Basis!$E$2*((TaH-TrH)/LN(1/µ)/Basis!$E$7)^$N1078*$AA$4*Glycol,0)</f>
        <v>2272</v>
      </c>
      <c r="I1078" s="83">
        <f>ROUND(H1078/(MID($C1078,9,3)/Basis!$E$3/Basis!$E$9)*Basis!$E$11,0)</f>
        <v>223</v>
      </c>
      <c r="J1078" s="123">
        <f>IF(Basis!$E$1=1,ROUND(H1078/((TaH-TrH)*1.163)/3600,3),ROUND(H1078/(500*(TaH-TrH)),2))</f>
        <v>0.23</v>
      </c>
      <c r="K1078" s="84"/>
      <c r="L1078" s="177">
        <f>CHOOSE(Basis!$E$1,((AJ1078*(J1078*3600/Basis!$E$5)^AK1078*(((MID(C1078,9,3)*10)-244)/1000)*AL1078+AM1078*(J1078*3600/Basis!$E$5)^2)*0.0098)/Basis!$E$10,((AJ1078*(J1078/Basis!$E$5)^AK1078*(((MID(C1078,9,3)*10)-244)/1000)*AL1078+AM1078*(J1078/Basis!$E$5)^2)*0.0098)/Basis!$E$10)</f>
        <v>4.3214107564623648E-2</v>
      </c>
      <c r="M1078" s="85"/>
      <c r="N1078" s="109">
        <v>1.3620000000000001</v>
      </c>
      <c r="O1078" s="68"/>
      <c r="P1078" s="67">
        <v>1044</v>
      </c>
      <c r="Q1078" s="68"/>
      <c r="R1078" s="69"/>
      <c r="S1078" s="69"/>
      <c r="T1078" s="69"/>
      <c r="U1078" s="69"/>
      <c r="V1078" s="69"/>
      <c r="W1078" s="68"/>
      <c r="X1078" s="70"/>
      <c r="Y1078" s="70"/>
      <c r="Z1078" s="70"/>
      <c r="AA1078" s="70"/>
      <c r="AB1078" s="70"/>
      <c r="AC1078" s="68"/>
      <c r="AD1078" s="71"/>
      <c r="AE1078" s="71"/>
      <c r="AF1078" s="71"/>
      <c r="AG1078" s="71"/>
      <c r="AH1078" s="71"/>
      <c r="AI1078" s="68"/>
      <c r="AJ1078" s="214">
        <v>1.3162765859195E-2</v>
      </c>
      <c r="AK1078" s="214">
        <v>1.4286501188989</v>
      </c>
      <c r="AL1078" s="214">
        <v>1</v>
      </c>
      <c r="AM1078" s="214">
        <v>9.2091836734694004E-4</v>
      </c>
      <c r="AN1078" s="68"/>
      <c r="AO1078" s="67"/>
      <c r="AP1078" s="67"/>
      <c r="AQ1078" s="67"/>
      <c r="AR1078" s="67"/>
      <c r="AS1078" s="67"/>
      <c r="AT1078" s="68"/>
      <c r="AU1078" s="49"/>
      <c r="AV1078" s="50"/>
    </row>
    <row r="1079" spans="1:48" ht="12.75" customHeight="1" x14ac:dyDescent="0.25">
      <c r="A1079" s="72" t="s">
        <v>119</v>
      </c>
      <c r="B1079" s="43" t="s">
        <v>1154</v>
      </c>
      <c r="C1079" s="44" t="s">
        <v>1234</v>
      </c>
      <c r="D1079" s="45">
        <f>MROUND(MID($C1079,6,3)/Basis!$E$3,0.5)</f>
        <v>3.5</v>
      </c>
      <c r="E1079" s="45">
        <f>MROUND(MID($C1079,9,3)/Basis!$E$3,0.5)</f>
        <v>122</v>
      </c>
      <c r="F1079" s="199" t="s">
        <v>2950</v>
      </c>
      <c r="G1079" s="45">
        <f>ROUND(MID($C1079,12,2)/Basis!$E$3,1)</f>
        <v>16.5</v>
      </c>
      <c r="H1079" s="120">
        <f>ROUND($P1079*Basis!$E$2*((TaH-TrH)/LN(1/µ)/Basis!$E$7)^$N1079*$AA$4*Glycol,0)</f>
        <v>3282</v>
      </c>
      <c r="I1079" s="83">
        <f>ROUND(H1079/(MID($C1079,9,3)/Basis!$E$3/Basis!$E$9)*Basis!$E$11,0)</f>
        <v>323</v>
      </c>
      <c r="J1079" s="123">
        <f>IF(Basis!$E$1=1,ROUND(H1079/((TaH-TrH)*1.163)/3600,3),ROUND(H1079/(500*(TaH-TrH)),2))</f>
        <v>0.33</v>
      </c>
      <c r="K1079" s="84"/>
      <c r="L1079" s="177">
        <f>CHOOSE(Basis!$E$1,((AJ1079*(J1079*3600/Basis!$E$5)^AK1079*(((MID(C1079,9,3)*10)-244)/1000)*AL1079+AM1079*(J1079*3600/Basis!$E$5)^2)*0.0098)/Basis!$E$10,((AJ1079*(J1079/Basis!$E$5)^AK1079*(((MID(C1079,9,3)*10)-244)/1000)*AL1079+AM1079*(J1079/Basis!$E$5)^2)*0.0098)/Basis!$E$10)</f>
        <v>1.9990066179031367E-2</v>
      </c>
      <c r="M1079" s="85"/>
      <c r="N1079" s="110">
        <v>1.3620000000000001</v>
      </c>
      <c r="O1079" s="74"/>
      <c r="P1079" s="73">
        <v>1508</v>
      </c>
      <c r="Q1079" s="74"/>
      <c r="R1079" s="75"/>
      <c r="S1079" s="75"/>
      <c r="T1079" s="75"/>
      <c r="U1079" s="75"/>
      <c r="V1079" s="75"/>
      <c r="W1079" s="74"/>
      <c r="X1079" s="76"/>
      <c r="Y1079" s="76"/>
      <c r="Z1079" s="76"/>
      <c r="AA1079" s="76"/>
      <c r="AB1079" s="76"/>
      <c r="AC1079" s="74"/>
      <c r="AD1079" s="77"/>
      <c r="AE1079" s="77"/>
      <c r="AF1079" s="77"/>
      <c r="AG1079" s="77"/>
      <c r="AH1079" s="77"/>
      <c r="AI1079" s="68"/>
      <c r="AJ1079" s="213">
        <v>3.9689999999999994E-4</v>
      </c>
      <c r="AK1079" s="213">
        <v>1.7345999999999999</v>
      </c>
      <c r="AL1079" s="213">
        <v>2</v>
      </c>
      <c r="AM1079" s="213">
        <v>3.6734700000000002E-4</v>
      </c>
      <c r="AN1079" s="74"/>
      <c r="AO1079" s="73"/>
      <c r="AP1079" s="73"/>
      <c r="AQ1079" s="73"/>
      <c r="AR1079" s="73"/>
      <c r="AS1079" s="73"/>
      <c r="AT1079" s="74"/>
      <c r="AU1079" s="47"/>
      <c r="AV1079" s="48"/>
    </row>
    <row r="1080" spans="1:48" ht="12.75" customHeight="1" x14ac:dyDescent="0.25">
      <c r="A1080" s="72" t="s">
        <v>119</v>
      </c>
      <c r="B1080" s="43" t="s">
        <v>1154</v>
      </c>
      <c r="C1080" s="44" t="s">
        <v>1235</v>
      </c>
      <c r="D1080" s="45">
        <f>MROUND(MID($C1080,6,3)/Basis!$E$3,0.5)</f>
        <v>3.5</v>
      </c>
      <c r="E1080" s="45">
        <f>MROUND(MID($C1080,9,3)/Basis!$E$3,0.5)</f>
        <v>130</v>
      </c>
      <c r="F1080" s="199" t="s">
        <v>2950</v>
      </c>
      <c r="G1080" s="45">
        <f>ROUND(MID($C1080,12,2)/Basis!$E$3,1)</f>
        <v>5.5</v>
      </c>
      <c r="H1080" s="120">
        <f>ROUND($P1080*Basis!$E$2*((TaH-TrH)/LN(1/µ)/Basis!$E$7)^$N1080*$AA$4*Glycol,0)</f>
        <v>1206</v>
      </c>
      <c r="I1080" s="83">
        <f>ROUND(H1080/(MID($C1080,9,3)/Basis!$E$3/Basis!$E$9)*Basis!$E$11,0)</f>
        <v>111</v>
      </c>
      <c r="J1080" s="123">
        <f>IF(Basis!$E$1=1,ROUND(H1080/((TaH-TrH)*1.163)/3600,3),ROUND(H1080/(500*(TaH-TrH)),2))</f>
        <v>0.12</v>
      </c>
      <c r="K1080" s="84"/>
      <c r="L1080" s="177">
        <f>CHOOSE(Basis!$E$1,((AJ1080*(J1080*3600/Basis!$E$5)^AK1080*(((MID(C1080,9,3)*10)-244)/1000)*AL1080+AM1080*(J1080*3600/Basis!$E$5)^2)*0.0098)/Basis!$E$10,((AJ1080*(J1080/Basis!$E$5)^AK1080*(((MID(C1080,9,3)*10)-244)/1000)*AL1080+AM1080*(J1080/Basis!$E$5)^2)*0.0098)/Basis!$E$10)</f>
        <v>3.8700232958542922E-3</v>
      </c>
      <c r="M1080" s="85"/>
      <c r="N1080" s="109">
        <v>1.3620000000000001</v>
      </c>
      <c r="O1080" s="68"/>
      <c r="P1080" s="67">
        <v>554</v>
      </c>
      <c r="Q1080" s="68"/>
      <c r="R1080" s="69"/>
      <c r="S1080" s="69"/>
      <c r="T1080" s="69"/>
      <c r="U1080" s="69"/>
      <c r="V1080" s="69"/>
      <c r="W1080" s="68"/>
      <c r="X1080" s="70"/>
      <c r="Y1080" s="70"/>
      <c r="Z1080" s="70"/>
      <c r="AA1080" s="70"/>
      <c r="AB1080" s="70"/>
      <c r="AC1080" s="68"/>
      <c r="AD1080" s="71"/>
      <c r="AE1080" s="71"/>
      <c r="AF1080" s="71"/>
      <c r="AG1080" s="71"/>
      <c r="AH1080" s="71"/>
      <c r="AI1080" s="68"/>
      <c r="AJ1080" s="214">
        <v>6.0625777523108995E-4</v>
      </c>
      <c r="AK1080" s="214">
        <v>1.8894792857555001</v>
      </c>
      <c r="AL1080" s="214">
        <v>1</v>
      </c>
      <c r="AM1080" s="214">
        <v>3.0758017492711002E-4</v>
      </c>
      <c r="AN1080" s="68"/>
      <c r="AO1080" s="67"/>
      <c r="AP1080" s="67"/>
      <c r="AQ1080" s="67"/>
      <c r="AR1080" s="67"/>
      <c r="AS1080" s="67"/>
      <c r="AT1080" s="68"/>
      <c r="AU1080" s="49"/>
      <c r="AV1080" s="50"/>
    </row>
    <row r="1081" spans="1:48" ht="12.75" customHeight="1" x14ac:dyDescent="0.25">
      <c r="A1081" s="72" t="s">
        <v>119</v>
      </c>
      <c r="B1081" s="43" t="s">
        <v>1154</v>
      </c>
      <c r="C1081" s="44" t="s">
        <v>1236</v>
      </c>
      <c r="D1081" s="45">
        <f>MROUND(MID($C1081,6,3)/Basis!$E$3,0.5)</f>
        <v>3.5</v>
      </c>
      <c r="E1081" s="45">
        <f>MROUND(MID($C1081,9,3)/Basis!$E$3,0.5)</f>
        <v>130</v>
      </c>
      <c r="F1081" s="199" t="s">
        <v>2950</v>
      </c>
      <c r="G1081" s="45">
        <f>ROUND(MID($C1081,12,2)/Basis!$E$3,1)</f>
        <v>7.1</v>
      </c>
      <c r="H1081" s="120">
        <f>ROUND($P1081*Basis!$E$2*((TaH-TrH)/LN(1/µ)/Basis!$E$7)^$N1081*$AA$4*Glycol,0)</f>
        <v>1428</v>
      </c>
      <c r="I1081" s="83">
        <f>ROUND(H1081/(MID($C1081,9,3)/Basis!$E$3/Basis!$E$9)*Basis!$E$11,0)</f>
        <v>132</v>
      </c>
      <c r="J1081" s="123">
        <f>IF(Basis!$E$1=1,ROUND(H1081/((TaH-TrH)*1.163)/3600,3),ROUND(H1081/(500*(TaH-TrH)),2))</f>
        <v>0.14000000000000001</v>
      </c>
      <c r="K1081" s="84"/>
      <c r="L1081" s="177">
        <f>CHOOSE(Basis!$E$1,((AJ1081*(J1081*3600/Basis!$E$5)^AK1081*(((MID(C1081,9,3)*10)-244)/1000)*AL1081+AM1081*(J1081*3600/Basis!$E$5)^2)*0.0098)/Basis!$E$10,((AJ1081*(J1081/Basis!$E$5)^AK1081*(((MID(C1081,9,3)*10)-244)/1000)*AL1081+AM1081*(J1081/Basis!$E$5)^2)*0.0098)/Basis!$E$10)</f>
        <v>1.06214016669113E-2</v>
      </c>
      <c r="M1081" s="85"/>
      <c r="N1081" s="110">
        <v>1.3620000000000001</v>
      </c>
      <c r="O1081" s="74"/>
      <c r="P1081" s="73">
        <v>656</v>
      </c>
      <c r="Q1081" s="74"/>
      <c r="R1081" s="75"/>
      <c r="S1081" s="75"/>
      <c r="T1081" s="75"/>
      <c r="U1081" s="75"/>
      <c r="V1081" s="75"/>
      <c r="W1081" s="74"/>
      <c r="X1081" s="76"/>
      <c r="Y1081" s="76"/>
      <c r="Z1081" s="76"/>
      <c r="AA1081" s="76"/>
      <c r="AB1081" s="76"/>
      <c r="AC1081" s="74"/>
      <c r="AD1081" s="77"/>
      <c r="AE1081" s="77"/>
      <c r="AF1081" s="77"/>
      <c r="AG1081" s="77"/>
      <c r="AH1081" s="77"/>
      <c r="AI1081" s="68"/>
      <c r="AJ1081" s="213">
        <v>9.3669999999999995E-4</v>
      </c>
      <c r="AK1081" s="213">
        <v>1.789841</v>
      </c>
      <c r="AL1081" s="213">
        <v>2</v>
      </c>
      <c r="AM1081" s="213">
        <v>4.4559999999999999E-4</v>
      </c>
      <c r="AN1081" s="74"/>
      <c r="AO1081" s="73"/>
      <c r="AP1081" s="73"/>
      <c r="AQ1081" s="73"/>
      <c r="AR1081" s="73"/>
      <c r="AS1081" s="73"/>
      <c r="AT1081" s="74"/>
      <c r="AU1081" s="47"/>
      <c r="AV1081" s="48"/>
    </row>
    <row r="1082" spans="1:48" ht="12.75" customHeight="1" x14ac:dyDescent="0.25">
      <c r="A1082" s="72" t="s">
        <v>119</v>
      </c>
      <c r="B1082" s="43" t="s">
        <v>1154</v>
      </c>
      <c r="C1082" s="44" t="s">
        <v>1237</v>
      </c>
      <c r="D1082" s="45">
        <f>MROUND(MID($C1082,6,3)/Basis!$E$3,0.5)</f>
        <v>3.5</v>
      </c>
      <c r="E1082" s="45">
        <f>MROUND(MID($C1082,9,3)/Basis!$E$3,0.5)</f>
        <v>130</v>
      </c>
      <c r="F1082" s="199" t="s">
        <v>2950</v>
      </c>
      <c r="G1082" s="45">
        <f>ROUND(MID($C1082,12,2)/Basis!$E$3,1)</f>
        <v>10.199999999999999</v>
      </c>
      <c r="H1082" s="120">
        <f>ROUND($P1082*Basis!$E$2*((TaH-TrH)/LN(1/µ)/Basis!$E$7)^$N1082*$AA$4*Glycol,0)</f>
        <v>1876</v>
      </c>
      <c r="I1082" s="83">
        <f>ROUND(H1082/(MID($C1082,9,3)/Basis!$E$3/Basis!$E$9)*Basis!$E$11,0)</f>
        <v>173</v>
      </c>
      <c r="J1082" s="123">
        <f>IF(Basis!$E$1=1,ROUND(H1082/((TaH-TrH)*1.163)/3600,3),ROUND(H1082/(500*(TaH-TrH)),2))</f>
        <v>0.19</v>
      </c>
      <c r="K1082" s="84"/>
      <c r="L1082" s="177">
        <f>CHOOSE(Basis!$E$1,((AJ1082*(J1082*3600/Basis!$E$5)^AK1082*(((MID(C1082,9,3)*10)-244)/1000)*AL1082+AM1082*(J1082*3600/Basis!$E$5)^2)*0.0098)/Basis!$E$10,((AJ1082*(J1082/Basis!$E$5)^AK1082*(((MID(C1082,9,3)*10)-244)/1000)*AL1082+AM1082*(J1082/Basis!$E$5)^2)*0.0098)/Basis!$E$10)</f>
        <v>1.8515470526693452E-2</v>
      </c>
      <c r="M1082" s="85"/>
      <c r="N1082" s="109">
        <v>1.3620000000000001</v>
      </c>
      <c r="O1082" s="68"/>
      <c r="P1082" s="67">
        <v>862</v>
      </c>
      <c r="Q1082" s="68"/>
      <c r="R1082" s="69"/>
      <c r="S1082" s="69"/>
      <c r="T1082" s="69"/>
      <c r="U1082" s="69"/>
      <c r="V1082" s="69"/>
      <c r="W1082" s="68"/>
      <c r="X1082" s="70"/>
      <c r="Y1082" s="70"/>
      <c r="Z1082" s="70"/>
      <c r="AA1082" s="70"/>
      <c r="AB1082" s="70"/>
      <c r="AC1082" s="68"/>
      <c r="AD1082" s="71"/>
      <c r="AE1082" s="71"/>
      <c r="AF1082" s="71"/>
      <c r="AG1082" s="71"/>
      <c r="AH1082" s="71"/>
      <c r="AI1082" s="68"/>
      <c r="AJ1082" s="214">
        <v>9.3669999999999995E-4</v>
      </c>
      <c r="AK1082" s="214">
        <v>1.789841</v>
      </c>
      <c r="AL1082" s="214">
        <v>2</v>
      </c>
      <c r="AM1082" s="214">
        <v>4.4559999999999999E-4</v>
      </c>
      <c r="AN1082" s="68"/>
      <c r="AO1082" s="67"/>
      <c r="AP1082" s="67"/>
      <c r="AQ1082" s="67"/>
      <c r="AR1082" s="67"/>
      <c r="AS1082" s="67"/>
      <c r="AT1082" s="68"/>
      <c r="AU1082" s="49"/>
      <c r="AV1082" s="50"/>
    </row>
    <row r="1083" spans="1:48" ht="12.75" customHeight="1" x14ac:dyDescent="0.25">
      <c r="A1083" s="72" t="s">
        <v>119</v>
      </c>
      <c r="B1083" s="43" t="s">
        <v>1154</v>
      </c>
      <c r="C1083" s="44" t="s">
        <v>1238</v>
      </c>
      <c r="D1083" s="45">
        <f>MROUND(MID($C1083,6,3)/Basis!$E$3,0.5)</f>
        <v>3.5</v>
      </c>
      <c r="E1083" s="45">
        <f>MROUND(MID($C1083,9,3)/Basis!$E$3,0.5)</f>
        <v>130</v>
      </c>
      <c r="F1083" s="199" t="s">
        <v>2950</v>
      </c>
      <c r="G1083" s="45">
        <f>ROUND(MID($C1083,12,2)/Basis!$E$3,1)</f>
        <v>13.4</v>
      </c>
      <c r="H1083" s="120">
        <f>ROUND($P1083*Basis!$E$2*((TaH-TrH)/LN(1/µ)/Basis!$E$7)^$N1083*$AA$4*Glycol,0)</f>
        <v>2436</v>
      </c>
      <c r="I1083" s="83">
        <f>ROUND(H1083/(MID($C1083,9,3)/Basis!$E$3/Basis!$E$9)*Basis!$E$11,0)</f>
        <v>225</v>
      </c>
      <c r="J1083" s="123">
        <f>IF(Basis!$E$1=1,ROUND(H1083/((TaH-TrH)*1.163)/3600,3),ROUND(H1083/(500*(TaH-TrH)),2))</f>
        <v>0.24</v>
      </c>
      <c r="K1083" s="84"/>
      <c r="L1083" s="177">
        <f>CHOOSE(Basis!$E$1,((AJ1083*(J1083*3600/Basis!$E$5)^AK1083*(((MID(C1083,9,3)*10)-244)/1000)*AL1083+AM1083*(J1083*3600/Basis!$E$5)^2)*0.0098)/Basis!$E$10,((AJ1083*(J1083/Basis!$E$5)^AK1083*(((MID(C1083,9,3)*10)-244)/1000)*AL1083+AM1083*(J1083/Basis!$E$5)^2)*0.0098)/Basis!$E$10)</f>
        <v>4.8742521695319931E-2</v>
      </c>
      <c r="M1083" s="85"/>
      <c r="N1083" s="110">
        <v>1.3620000000000001</v>
      </c>
      <c r="O1083" s="74"/>
      <c r="P1083" s="73">
        <v>1119</v>
      </c>
      <c r="Q1083" s="74"/>
      <c r="R1083" s="75"/>
      <c r="S1083" s="75"/>
      <c r="T1083" s="75"/>
      <c r="U1083" s="75"/>
      <c r="V1083" s="75"/>
      <c r="W1083" s="74"/>
      <c r="X1083" s="76"/>
      <c r="Y1083" s="76"/>
      <c r="Z1083" s="76"/>
      <c r="AA1083" s="76"/>
      <c r="AB1083" s="76"/>
      <c r="AC1083" s="74"/>
      <c r="AD1083" s="77"/>
      <c r="AE1083" s="77"/>
      <c r="AF1083" s="77"/>
      <c r="AG1083" s="77"/>
      <c r="AH1083" s="77"/>
      <c r="AI1083" s="68"/>
      <c r="AJ1083" s="213">
        <v>1.3162765859195E-2</v>
      </c>
      <c r="AK1083" s="213">
        <v>1.4286501188989</v>
      </c>
      <c r="AL1083" s="213">
        <v>1</v>
      </c>
      <c r="AM1083" s="213">
        <v>9.2091836734694004E-4</v>
      </c>
      <c r="AN1083" s="74"/>
      <c r="AO1083" s="73"/>
      <c r="AP1083" s="73"/>
      <c r="AQ1083" s="73"/>
      <c r="AR1083" s="73"/>
      <c r="AS1083" s="73"/>
      <c r="AT1083" s="74"/>
      <c r="AU1083" s="47"/>
      <c r="AV1083" s="48"/>
    </row>
    <row r="1084" spans="1:48" ht="12.75" customHeight="1" x14ac:dyDescent="0.25">
      <c r="A1084" s="72" t="s">
        <v>119</v>
      </c>
      <c r="B1084" s="43" t="s">
        <v>1154</v>
      </c>
      <c r="C1084" s="44" t="s">
        <v>1239</v>
      </c>
      <c r="D1084" s="45">
        <f>MROUND(MID($C1084,6,3)/Basis!$E$3,0.5)</f>
        <v>3.5</v>
      </c>
      <c r="E1084" s="45">
        <f>MROUND(MID($C1084,9,3)/Basis!$E$3,0.5)</f>
        <v>130</v>
      </c>
      <c r="F1084" s="199" t="s">
        <v>2950</v>
      </c>
      <c r="G1084" s="45">
        <f>ROUND(MID($C1084,12,2)/Basis!$E$3,1)</f>
        <v>16.5</v>
      </c>
      <c r="H1084" s="120">
        <f>ROUND($P1084*Basis!$E$2*((TaH-TrH)/LN(1/µ)/Basis!$E$7)^$N1084*$AA$4*Glycol,0)</f>
        <v>3518</v>
      </c>
      <c r="I1084" s="83">
        <f>ROUND(H1084/(MID($C1084,9,3)/Basis!$E$3/Basis!$E$9)*Basis!$E$11,0)</f>
        <v>325</v>
      </c>
      <c r="J1084" s="123">
        <f>IF(Basis!$E$1=1,ROUND(H1084/((TaH-TrH)*1.163)/3600,3),ROUND(H1084/(500*(TaH-TrH)),2))</f>
        <v>0.35</v>
      </c>
      <c r="K1084" s="84"/>
      <c r="L1084" s="177">
        <f>CHOOSE(Basis!$E$1,((AJ1084*(J1084*3600/Basis!$E$5)^AK1084*(((MID(C1084,9,3)*10)-244)/1000)*AL1084+AM1084*(J1084*3600/Basis!$E$5)^2)*0.0098)/Basis!$E$10,((AJ1084*(J1084/Basis!$E$5)^AK1084*(((MID(C1084,9,3)*10)-244)/1000)*AL1084+AM1084*(J1084/Basis!$E$5)^2)*0.0098)/Basis!$E$10)</f>
        <v>2.328271088862989E-2</v>
      </c>
      <c r="M1084" s="85"/>
      <c r="N1084" s="109">
        <v>1.3620000000000001</v>
      </c>
      <c r="O1084" s="68"/>
      <c r="P1084" s="67">
        <v>1616</v>
      </c>
      <c r="Q1084" s="68"/>
      <c r="R1084" s="69"/>
      <c r="S1084" s="69"/>
      <c r="T1084" s="69"/>
      <c r="U1084" s="69"/>
      <c r="V1084" s="69"/>
      <c r="W1084" s="68"/>
      <c r="X1084" s="70"/>
      <c r="Y1084" s="70"/>
      <c r="Z1084" s="70"/>
      <c r="AA1084" s="70"/>
      <c r="AB1084" s="70"/>
      <c r="AC1084" s="68"/>
      <c r="AD1084" s="71"/>
      <c r="AE1084" s="71"/>
      <c r="AF1084" s="71"/>
      <c r="AG1084" s="71"/>
      <c r="AH1084" s="71"/>
      <c r="AI1084" s="68"/>
      <c r="AJ1084" s="214">
        <v>3.9689999999999994E-4</v>
      </c>
      <c r="AK1084" s="214">
        <v>1.7345999999999999</v>
      </c>
      <c r="AL1084" s="214">
        <v>2</v>
      </c>
      <c r="AM1084" s="214">
        <v>3.6734700000000002E-4</v>
      </c>
      <c r="AN1084" s="68"/>
      <c r="AO1084" s="67"/>
      <c r="AP1084" s="67"/>
      <c r="AQ1084" s="67"/>
      <c r="AR1084" s="67"/>
      <c r="AS1084" s="67"/>
      <c r="AT1084" s="68"/>
      <c r="AU1084" s="49"/>
      <c r="AV1084" s="50"/>
    </row>
    <row r="1085" spans="1:48" ht="12.75" customHeight="1" x14ac:dyDescent="0.25">
      <c r="A1085" s="72" t="s">
        <v>119</v>
      </c>
      <c r="B1085" s="43" t="s">
        <v>1154</v>
      </c>
      <c r="C1085" s="44" t="s">
        <v>1240</v>
      </c>
      <c r="D1085" s="45">
        <f>MROUND(MID($C1085,6,3)/Basis!$E$3,0.5)</f>
        <v>3.5</v>
      </c>
      <c r="E1085" s="45">
        <f>MROUND(MID($C1085,9,3)/Basis!$E$3,0.5)</f>
        <v>138</v>
      </c>
      <c r="F1085" s="199" t="s">
        <v>2950</v>
      </c>
      <c r="G1085" s="45">
        <f>ROUND(MID($C1085,12,2)/Basis!$E$3,1)</f>
        <v>5.5</v>
      </c>
      <c r="H1085" s="120">
        <f>ROUND($P1085*Basis!$E$2*((TaH-TrH)/LN(1/µ)/Basis!$E$7)^$N1085*$AA$4*Glycol,0)</f>
        <v>1286</v>
      </c>
      <c r="I1085" s="83">
        <f>ROUND(H1085/(MID($C1085,9,3)/Basis!$E$3/Basis!$E$9)*Basis!$E$11,0)</f>
        <v>112</v>
      </c>
      <c r="J1085" s="123">
        <f>IF(Basis!$E$1=1,ROUND(H1085/((TaH-TrH)*1.163)/3600,3),ROUND(H1085/(500*(TaH-TrH)),2))</f>
        <v>0.13</v>
      </c>
      <c r="K1085" s="84"/>
      <c r="L1085" s="177">
        <f>CHOOSE(Basis!$E$1,((AJ1085*(J1085*3600/Basis!$E$5)^AK1085*(((MID(C1085,9,3)*10)-244)/1000)*AL1085+AM1085*(J1085*3600/Basis!$E$5)^2)*0.0098)/Basis!$E$10,((AJ1085*(J1085/Basis!$E$5)^AK1085*(((MID(C1085,9,3)*10)-244)/1000)*AL1085+AM1085*(J1085/Basis!$E$5)^2)*0.0098)/Basis!$E$10)</f>
        <v>4.7473745985966613E-3</v>
      </c>
      <c r="M1085" s="85"/>
      <c r="N1085" s="110">
        <v>1.3620000000000001</v>
      </c>
      <c r="O1085" s="74"/>
      <c r="P1085" s="73">
        <v>591</v>
      </c>
      <c r="Q1085" s="74"/>
      <c r="R1085" s="75"/>
      <c r="S1085" s="75"/>
      <c r="T1085" s="75"/>
      <c r="U1085" s="75"/>
      <c r="V1085" s="75"/>
      <c r="W1085" s="74"/>
      <c r="X1085" s="76"/>
      <c r="Y1085" s="76"/>
      <c r="Z1085" s="76"/>
      <c r="AA1085" s="76"/>
      <c r="AB1085" s="76"/>
      <c r="AC1085" s="74"/>
      <c r="AD1085" s="77"/>
      <c r="AE1085" s="77"/>
      <c r="AF1085" s="77"/>
      <c r="AG1085" s="77"/>
      <c r="AH1085" s="77"/>
      <c r="AI1085" s="68"/>
      <c r="AJ1085" s="213">
        <v>6.0625777523108995E-4</v>
      </c>
      <c r="AK1085" s="213">
        <v>1.8894792857555001</v>
      </c>
      <c r="AL1085" s="213">
        <v>1</v>
      </c>
      <c r="AM1085" s="213">
        <v>3.0758017492711002E-4</v>
      </c>
      <c r="AN1085" s="74"/>
      <c r="AO1085" s="73"/>
      <c r="AP1085" s="73"/>
      <c r="AQ1085" s="73"/>
      <c r="AR1085" s="73"/>
      <c r="AS1085" s="73"/>
      <c r="AT1085" s="74"/>
      <c r="AU1085" s="47"/>
      <c r="AV1085" s="48"/>
    </row>
    <row r="1086" spans="1:48" ht="12.75" customHeight="1" x14ac:dyDescent="0.25">
      <c r="A1086" s="72" t="s">
        <v>119</v>
      </c>
      <c r="B1086" s="43" t="s">
        <v>1154</v>
      </c>
      <c r="C1086" s="44" t="s">
        <v>1241</v>
      </c>
      <c r="D1086" s="45">
        <f>MROUND(MID($C1086,6,3)/Basis!$E$3,0.5)</f>
        <v>3.5</v>
      </c>
      <c r="E1086" s="45">
        <f>MROUND(MID($C1086,9,3)/Basis!$E$3,0.5)</f>
        <v>138</v>
      </c>
      <c r="F1086" s="199" t="s">
        <v>2950</v>
      </c>
      <c r="G1086" s="45">
        <f>ROUND(MID($C1086,12,2)/Basis!$E$3,1)</f>
        <v>7.1</v>
      </c>
      <c r="H1086" s="120">
        <f>ROUND($P1086*Basis!$E$2*((TaH-TrH)/LN(1/µ)/Basis!$E$7)^$N1086*$AA$4*Glycol,0)</f>
        <v>1524</v>
      </c>
      <c r="I1086" s="83">
        <f>ROUND(H1086/(MID($C1086,9,3)/Basis!$E$3/Basis!$E$9)*Basis!$E$11,0)</f>
        <v>133</v>
      </c>
      <c r="J1086" s="123">
        <f>IF(Basis!$E$1=1,ROUND(H1086/((TaH-TrH)*1.163)/3600,3),ROUND(H1086/(500*(TaH-TrH)),2))</f>
        <v>0.15</v>
      </c>
      <c r="K1086" s="84"/>
      <c r="L1086" s="177">
        <f>CHOOSE(Basis!$E$1,((AJ1086*(J1086*3600/Basis!$E$5)^AK1086*(((MID(C1086,9,3)*10)-244)/1000)*AL1086+AM1086*(J1086*3600/Basis!$E$5)^2)*0.0098)/Basis!$E$10,((AJ1086*(J1086/Basis!$E$5)^AK1086*(((MID(C1086,9,3)*10)-244)/1000)*AL1086+AM1086*(J1086/Basis!$E$5)^2)*0.0098)/Basis!$E$10)</f>
        <v>1.271916324294773E-2</v>
      </c>
      <c r="M1086" s="85"/>
      <c r="N1086" s="109">
        <v>1.3620000000000001</v>
      </c>
      <c r="O1086" s="68"/>
      <c r="P1086" s="67">
        <v>700</v>
      </c>
      <c r="Q1086" s="68"/>
      <c r="R1086" s="69"/>
      <c r="S1086" s="69"/>
      <c r="T1086" s="69"/>
      <c r="U1086" s="69"/>
      <c r="V1086" s="69"/>
      <c r="W1086" s="68"/>
      <c r="X1086" s="70"/>
      <c r="Y1086" s="70"/>
      <c r="Z1086" s="70"/>
      <c r="AA1086" s="70"/>
      <c r="AB1086" s="70"/>
      <c r="AC1086" s="68"/>
      <c r="AD1086" s="71"/>
      <c r="AE1086" s="71"/>
      <c r="AF1086" s="71"/>
      <c r="AG1086" s="71"/>
      <c r="AH1086" s="71"/>
      <c r="AI1086" s="68"/>
      <c r="AJ1086" s="214">
        <v>9.3669999999999995E-4</v>
      </c>
      <c r="AK1086" s="214">
        <v>1.789841</v>
      </c>
      <c r="AL1086" s="214">
        <v>2</v>
      </c>
      <c r="AM1086" s="214">
        <v>4.4559999999999999E-4</v>
      </c>
      <c r="AN1086" s="68"/>
      <c r="AO1086" s="67"/>
      <c r="AP1086" s="67"/>
      <c r="AQ1086" s="67"/>
      <c r="AR1086" s="67"/>
      <c r="AS1086" s="67"/>
      <c r="AT1086" s="68"/>
      <c r="AU1086" s="49"/>
      <c r="AV1086" s="50"/>
    </row>
    <row r="1087" spans="1:48" ht="12.75" customHeight="1" x14ac:dyDescent="0.25">
      <c r="A1087" s="72" t="s">
        <v>119</v>
      </c>
      <c r="B1087" s="43" t="s">
        <v>1154</v>
      </c>
      <c r="C1087" s="44" t="s">
        <v>1242</v>
      </c>
      <c r="D1087" s="45">
        <f>MROUND(MID($C1087,6,3)/Basis!$E$3,0.5)</f>
        <v>3.5</v>
      </c>
      <c r="E1087" s="45">
        <f>MROUND(MID($C1087,9,3)/Basis!$E$3,0.5)</f>
        <v>138</v>
      </c>
      <c r="F1087" s="199" t="s">
        <v>2950</v>
      </c>
      <c r="G1087" s="45">
        <f>ROUND(MID($C1087,12,2)/Basis!$E$3,1)</f>
        <v>10.199999999999999</v>
      </c>
      <c r="H1087" s="120">
        <f>ROUND($P1087*Basis!$E$2*((TaH-TrH)/LN(1/µ)/Basis!$E$7)^$N1087*$AA$4*Glycol,0)</f>
        <v>2003</v>
      </c>
      <c r="I1087" s="83">
        <f>ROUND(H1087/(MID($C1087,9,3)/Basis!$E$3/Basis!$E$9)*Basis!$E$11,0)</f>
        <v>174</v>
      </c>
      <c r="J1087" s="123">
        <f>IF(Basis!$E$1=1,ROUND(H1087/((TaH-TrH)*1.163)/3600,3),ROUND(H1087/(500*(TaH-TrH)),2))</f>
        <v>0.2</v>
      </c>
      <c r="K1087" s="84"/>
      <c r="L1087" s="177">
        <f>CHOOSE(Basis!$E$1,((AJ1087*(J1087*3600/Basis!$E$5)^AK1087*(((MID(C1087,9,3)*10)-244)/1000)*AL1087+AM1087*(J1087*3600/Basis!$E$5)^2)*0.0098)/Basis!$E$10,((AJ1087*(J1087/Basis!$E$5)^AK1087*(((MID(C1087,9,3)*10)-244)/1000)*AL1087+AM1087*(J1087/Basis!$E$5)^2)*0.0098)/Basis!$E$10)</f>
        <v>2.1461639542758704E-2</v>
      </c>
      <c r="M1087" s="85"/>
      <c r="N1087" s="110">
        <v>1.3620000000000001</v>
      </c>
      <c r="O1087" s="74"/>
      <c r="P1087" s="73">
        <v>920</v>
      </c>
      <c r="Q1087" s="74"/>
      <c r="R1087" s="75"/>
      <c r="S1087" s="75"/>
      <c r="T1087" s="75"/>
      <c r="U1087" s="75"/>
      <c r="V1087" s="75"/>
      <c r="W1087" s="74"/>
      <c r="X1087" s="76"/>
      <c r="Y1087" s="76"/>
      <c r="Z1087" s="76"/>
      <c r="AA1087" s="76"/>
      <c r="AB1087" s="76"/>
      <c r="AC1087" s="74"/>
      <c r="AD1087" s="77"/>
      <c r="AE1087" s="77"/>
      <c r="AF1087" s="77"/>
      <c r="AG1087" s="77"/>
      <c r="AH1087" s="77"/>
      <c r="AI1087" s="68"/>
      <c r="AJ1087" s="213">
        <v>9.3669999999999995E-4</v>
      </c>
      <c r="AK1087" s="213">
        <v>1.789841</v>
      </c>
      <c r="AL1087" s="213">
        <v>2</v>
      </c>
      <c r="AM1087" s="213">
        <v>4.4559999999999999E-4</v>
      </c>
      <c r="AN1087" s="74"/>
      <c r="AO1087" s="73"/>
      <c r="AP1087" s="73"/>
      <c r="AQ1087" s="73"/>
      <c r="AR1087" s="73"/>
      <c r="AS1087" s="73"/>
      <c r="AT1087" s="74"/>
      <c r="AU1087" s="47"/>
      <c r="AV1087" s="48"/>
    </row>
    <row r="1088" spans="1:48" ht="12.75" customHeight="1" x14ac:dyDescent="0.25">
      <c r="A1088" s="72" t="s">
        <v>119</v>
      </c>
      <c r="B1088" s="43" t="s">
        <v>1154</v>
      </c>
      <c r="C1088" s="44" t="s">
        <v>1243</v>
      </c>
      <c r="D1088" s="45">
        <f>MROUND(MID($C1088,6,3)/Basis!$E$3,0.5)</f>
        <v>3.5</v>
      </c>
      <c r="E1088" s="45">
        <f>MROUND(MID($C1088,9,3)/Basis!$E$3,0.5)</f>
        <v>138</v>
      </c>
      <c r="F1088" s="199" t="s">
        <v>2950</v>
      </c>
      <c r="G1088" s="45">
        <f>ROUND(MID($C1088,12,2)/Basis!$E$3,1)</f>
        <v>13.4</v>
      </c>
      <c r="H1088" s="120">
        <f>ROUND($P1088*Basis!$E$2*((TaH-TrH)/LN(1/µ)/Basis!$E$7)^$N1088*$AA$4*Glycol,0)</f>
        <v>2599</v>
      </c>
      <c r="I1088" s="83">
        <f>ROUND(H1088/(MID($C1088,9,3)/Basis!$E$3/Basis!$E$9)*Basis!$E$11,0)</f>
        <v>226</v>
      </c>
      <c r="J1088" s="123">
        <f>IF(Basis!$E$1=1,ROUND(H1088/((TaH-TrH)*1.163)/3600,3),ROUND(H1088/(500*(TaH-TrH)),2))</f>
        <v>0.26</v>
      </c>
      <c r="K1088" s="84"/>
      <c r="L1088" s="177">
        <f>CHOOSE(Basis!$E$1,((AJ1088*(J1088*3600/Basis!$E$5)^AK1088*(((MID(C1088,9,3)*10)-244)/1000)*AL1088+AM1088*(J1088*3600/Basis!$E$5)^2)*0.0098)/Basis!$E$10,((AJ1088*(J1088/Basis!$E$5)^AK1088*(((MID(C1088,9,3)*10)-244)/1000)*AL1088+AM1088*(J1088/Basis!$E$5)^2)*0.0098)/Basis!$E$10)</f>
        <v>5.8036899003522061E-2</v>
      </c>
      <c r="M1088" s="85"/>
      <c r="N1088" s="109">
        <v>1.3620000000000001</v>
      </c>
      <c r="O1088" s="68"/>
      <c r="P1088" s="67">
        <v>1194</v>
      </c>
      <c r="Q1088" s="68"/>
      <c r="R1088" s="69"/>
      <c r="S1088" s="69"/>
      <c r="T1088" s="69"/>
      <c r="U1088" s="69"/>
      <c r="V1088" s="69"/>
      <c r="W1088" s="68"/>
      <c r="X1088" s="70"/>
      <c r="Y1088" s="70"/>
      <c r="Z1088" s="70"/>
      <c r="AA1088" s="70"/>
      <c r="AB1088" s="70"/>
      <c r="AC1088" s="68"/>
      <c r="AD1088" s="71"/>
      <c r="AE1088" s="71"/>
      <c r="AF1088" s="71"/>
      <c r="AG1088" s="71"/>
      <c r="AH1088" s="71"/>
      <c r="AI1088" s="68"/>
      <c r="AJ1088" s="214">
        <v>1.3162765859195E-2</v>
      </c>
      <c r="AK1088" s="214">
        <v>1.4286501188989</v>
      </c>
      <c r="AL1088" s="214">
        <v>1</v>
      </c>
      <c r="AM1088" s="214">
        <v>9.2091836734694004E-4</v>
      </c>
      <c r="AN1088" s="68"/>
      <c r="AO1088" s="67"/>
      <c r="AP1088" s="67"/>
      <c r="AQ1088" s="67"/>
      <c r="AR1088" s="67"/>
      <c r="AS1088" s="67"/>
      <c r="AT1088" s="68"/>
      <c r="AU1088" s="49"/>
      <c r="AV1088" s="50"/>
    </row>
    <row r="1089" spans="1:48" ht="12.75" customHeight="1" x14ac:dyDescent="0.25">
      <c r="A1089" s="72" t="s">
        <v>119</v>
      </c>
      <c r="B1089" s="43" t="s">
        <v>1154</v>
      </c>
      <c r="C1089" s="44" t="s">
        <v>1244</v>
      </c>
      <c r="D1089" s="45">
        <f>MROUND(MID($C1089,6,3)/Basis!$E$3,0.5)</f>
        <v>3.5</v>
      </c>
      <c r="E1089" s="45">
        <f>MROUND(MID($C1089,9,3)/Basis!$E$3,0.5)</f>
        <v>138</v>
      </c>
      <c r="F1089" s="199" t="s">
        <v>2950</v>
      </c>
      <c r="G1089" s="45">
        <f>ROUND(MID($C1089,12,2)/Basis!$E$3,1)</f>
        <v>16.5</v>
      </c>
      <c r="H1089" s="120">
        <f>ROUND($P1089*Basis!$E$2*((TaH-TrH)/LN(1/µ)/Basis!$E$7)^$N1089*$AA$4*Glycol,0)</f>
        <v>3753</v>
      </c>
      <c r="I1089" s="83">
        <f>ROUND(H1089/(MID($C1089,9,3)/Basis!$E$3/Basis!$E$9)*Basis!$E$11,0)</f>
        <v>327</v>
      </c>
      <c r="J1089" s="123">
        <f>IF(Basis!$E$1=1,ROUND(H1089/((TaH-TrH)*1.163)/3600,3),ROUND(H1089/(500*(TaH-TrH)),2))</f>
        <v>0.38</v>
      </c>
      <c r="K1089" s="84"/>
      <c r="L1089" s="177">
        <f>CHOOSE(Basis!$E$1,((AJ1089*(J1089*3600/Basis!$E$5)^AK1089*(((MID(C1089,9,3)*10)-244)/1000)*AL1089+AM1089*(J1089*3600/Basis!$E$5)^2)*0.0098)/Basis!$E$10,((AJ1089*(J1089/Basis!$E$5)^AK1089*(((MID(C1089,9,3)*10)-244)/1000)*AL1089+AM1089*(J1089/Basis!$E$5)^2)*0.0098)/Basis!$E$10)</f>
        <v>2.8230192200837424E-2</v>
      </c>
      <c r="M1089" s="85"/>
      <c r="N1089" s="110">
        <v>1.3620000000000001</v>
      </c>
      <c r="O1089" s="74"/>
      <c r="P1089" s="73">
        <v>1724</v>
      </c>
      <c r="Q1089" s="74"/>
      <c r="R1089" s="75"/>
      <c r="S1089" s="75"/>
      <c r="T1089" s="75"/>
      <c r="U1089" s="75"/>
      <c r="V1089" s="75"/>
      <c r="W1089" s="74"/>
      <c r="X1089" s="76"/>
      <c r="Y1089" s="76"/>
      <c r="Z1089" s="76"/>
      <c r="AA1089" s="76"/>
      <c r="AB1089" s="76"/>
      <c r="AC1089" s="74"/>
      <c r="AD1089" s="77"/>
      <c r="AE1089" s="77"/>
      <c r="AF1089" s="77"/>
      <c r="AG1089" s="77"/>
      <c r="AH1089" s="77"/>
      <c r="AI1089" s="68"/>
      <c r="AJ1089" s="213">
        <v>3.9689999999999994E-4</v>
      </c>
      <c r="AK1089" s="213">
        <v>1.7345999999999999</v>
      </c>
      <c r="AL1089" s="213">
        <v>2</v>
      </c>
      <c r="AM1089" s="213">
        <v>3.6734700000000002E-4</v>
      </c>
      <c r="AN1089" s="74"/>
      <c r="AO1089" s="73"/>
      <c r="AP1089" s="73"/>
      <c r="AQ1089" s="73"/>
      <c r="AR1089" s="73"/>
      <c r="AS1089" s="73"/>
      <c r="AT1089" s="74"/>
      <c r="AU1089" s="47"/>
      <c r="AV1089" s="48"/>
    </row>
    <row r="1090" spans="1:48" ht="12.75" customHeight="1" x14ac:dyDescent="0.25">
      <c r="A1090" s="72" t="s">
        <v>119</v>
      </c>
      <c r="B1090" s="43" t="s">
        <v>1154</v>
      </c>
      <c r="C1090" s="44" t="s">
        <v>1245</v>
      </c>
      <c r="D1090" s="45">
        <f>MROUND(MID($C1090,6,3)/Basis!$E$3,0.5)</f>
        <v>3.5</v>
      </c>
      <c r="E1090" s="45">
        <f>MROUND(MID($C1090,9,3)/Basis!$E$3,0.5)</f>
        <v>145.5</v>
      </c>
      <c r="F1090" s="199" t="s">
        <v>2950</v>
      </c>
      <c r="G1090" s="45">
        <f>ROUND(MID($C1090,12,2)/Basis!$E$3,1)</f>
        <v>5.5</v>
      </c>
      <c r="H1090" s="120">
        <f>ROUND($P1090*Basis!$E$2*((TaH-TrH)/LN(1/µ)/Basis!$E$7)^$N1090*$AA$4*Glycol,0)</f>
        <v>1367</v>
      </c>
      <c r="I1090" s="83">
        <f>ROUND(H1090/(MID($C1090,9,3)/Basis!$E$3/Basis!$E$9)*Basis!$E$11,0)</f>
        <v>113</v>
      </c>
      <c r="J1090" s="123">
        <f>IF(Basis!$E$1=1,ROUND(H1090/((TaH-TrH)*1.163)/3600,3),ROUND(H1090/(500*(TaH-TrH)),2))</f>
        <v>0.14000000000000001</v>
      </c>
      <c r="K1090" s="84"/>
      <c r="L1090" s="177">
        <f>CHOOSE(Basis!$E$1,((AJ1090*(J1090*3600/Basis!$E$5)^AK1090*(((MID(C1090,9,3)*10)-244)/1000)*AL1090+AM1090*(J1090*3600/Basis!$E$5)^2)*0.0098)/Basis!$E$10,((AJ1090*(J1090/Basis!$E$5)^AK1090*(((MID(C1090,9,3)*10)-244)/1000)*AL1090+AM1090*(J1090/Basis!$E$5)^2)*0.0098)/Basis!$E$10)</f>
        <v>5.742701512491291E-3</v>
      </c>
      <c r="M1090" s="85"/>
      <c r="N1090" s="109">
        <v>1.3620000000000001</v>
      </c>
      <c r="O1090" s="68"/>
      <c r="P1090" s="67">
        <v>628</v>
      </c>
      <c r="Q1090" s="68"/>
      <c r="R1090" s="69"/>
      <c r="S1090" s="69"/>
      <c r="T1090" s="69"/>
      <c r="U1090" s="69"/>
      <c r="V1090" s="69"/>
      <c r="W1090" s="68"/>
      <c r="X1090" s="70"/>
      <c r="Y1090" s="70"/>
      <c r="Z1090" s="70"/>
      <c r="AA1090" s="70"/>
      <c r="AB1090" s="70"/>
      <c r="AC1090" s="68"/>
      <c r="AD1090" s="71"/>
      <c r="AE1090" s="71"/>
      <c r="AF1090" s="71"/>
      <c r="AG1090" s="71"/>
      <c r="AH1090" s="71"/>
      <c r="AI1090" s="68"/>
      <c r="AJ1090" s="214">
        <v>6.0625777523108995E-4</v>
      </c>
      <c r="AK1090" s="214">
        <v>1.8894792857555001</v>
      </c>
      <c r="AL1090" s="214">
        <v>1</v>
      </c>
      <c r="AM1090" s="214">
        <v>3.0758017492711002E-4</v>
      </c>
      <c r="AN1090" s="68"/>
      <c r="AO1090" s="67"/>
      <c r="AP1090" s="67"/>
      <c r="AQ1090" s="67"/>
      <c r="AR1090" s="67"/>
      <c r="AS1090" s="67"/>
      <c r="AT1090" s="68"/>
      <c r="AU1090" s="49"/>
      <c r="AV1090" s="50"/>
    </row>
    <row r="1091" spans="1:48" ht="12.75" customHeight="1" x14ac:dyDescent="0.25">
      <c r="A1091" s="72" t="s">
        <v>119</v>
      </c>
      <c r="B1091" s="43" t="s">
        <v>1154</v>
      </c>
      <c r="C1091" s="44" t="s">
        <v>1246</v>
      </c>
      <c r="D1091" s="45">
        <f>MROUND(MID($C1091,6,3)/Basis!$E$3,0.5)</f>
        <v>3.5</v>
      </c>
      <c r="E1091" s="45">
        <f>MROUND(MID($C1091,9,3)/Basis!$E$3,0.5)</f>
        <v>145.5</v>
      </c>
      <c r="F1091" s="199" t="s">
        <v>2950</v>
      </c>
      <c r="G1091" s="45">
        <f>ROUND(MID($C1091,12,2)/Basis!$E$3,1)</f>
        <v>7.1</v>
      </c>
      <c r="H1091" s="120">
        <f>ROUND($P1091*Basis!$E$2*((TaH-TrH)/LN(1/µ)/Basis!$E$7)^$N1091*$AA$4*Glycol,0)</f>
        <v>1619</v>
      </c>
      <c r="I1091" s="83">
        <f>ROUND(H1091/(MID($C1091,9,3)/Basis!$E$3/Basis!$E$9)*Basis!$E$11,0)</f>
        <v>133</v>
      </c>
      <c r="J1091" s="123">
        <f>IF(Basis!$E$1=1,ROUND(H1091/((TaH-TrH)*1.163)/3600,3),ROUND(H1091/(500*(TaH-TrH)),2))</f>
        <v>0.16</v>
      </c>
      <c r="K1091" s="84"/>
      <c r="L1091" s="177">
        <f>CHOOSE(Basis!$E$1,((AJ1091*(J1091*3600/Basis!$E$5)^AK1091*(((MID(C1091,9,3)*10)-244)/1000)*AL1091+AM1091*(J1091*3600/Basis!$E$5)^2)*0.0098)/Basis!$E$10,((AJ1091*(J1091/Basis!$E$5)^AK1091*(((MID(C1091,9,3)*10)-244)/1000)*AL1091+AM1091*(J1091/Basis!$E$5)^2)*0.0098)/Basis!$E$10)</f>
        <v>1.5062891991928614E-2</v>
      </c>
      <c r="M1091" s="85"/>
      <c r="N1091" s="110">
        <v>1.3620000000000001</v>
      </c>
      <c r="O1091" s="74"/>
      <c r="P1091" s="73">
        <v>744</v>
      </c>
      <c r="Q1091" s="74"/>
      <c r="R1091" s="75"/>
      <c r="S1091" s="75"/>
      <c r="T1091" s="75"/>
      <c r="U1091" s="75"/>
      <c r="V1091" s="75"/>
      <c r="W1091" s="74"/>
      <c r="X1091" s="76"/>
      <c r="Y1091" s="76"/>
      <c r="Z1091" s="76"/>
      <c r="AA1091" s="76"/>
      <c r="AB1091" s="76"/>
      <c r="AC1091" s="74"/>
      <c r="AD1091" s="77"/>
      <c r="AE1091" s="77"/>
      <c r="AF1091" s="77"/>
      <c r="AG1091" s="77"/>
      <c r="AH1091" s="77"/>
      <c r="AI1091" s="68"/>
      <c r="AJ1091" s="213">
        <v>9.3669999999999995E-4</v>
      </c>
      <c r="AK1091" s="213">
        <v>1.789841</v>
      </c>
      <c r="AL1091" s="213">
        <v>2</v>
      </c>
      <c r="AM1091" s="213">
        <v>4.4559999999999999E-4</v>
      </c>
      <c r="AN1091" s="74"/>
      <c r="AO1091" s="73"/>
      <c r="AP1091" s="73"/>
      <c r="AQ1091" s="73"/>
      <c r="AR1091" s="73"/>
      <c r="AS1091" s="73"/>
      <c r="AT1091" s="74"/>
      <c r="AU1091" s="47"/>
      <c r="AV1091" s="48"/>
    </row>
    <row r="1092" spans="1:48" ht="12.75" customHeight="1" x14ac:dyDescent="0.25">
      <c r="A1092" s="72" t="s">
        <v>119</v>
      </c>
      <c r="B1092" s="43" t="s">
        <v>1154</v>
      </c>
      <c r="C1092" s="44" t="s">
        <v>1247</v>
      </c>
      <c r="D1092" s="45">
        <f>MROUND(MID($C1092,6,3)/Basis!$E$3,0.5)</f>
        <v>3.5</v>
      </c>
      <c r="E1092" s="45">
        <f>MROUND(MID($C1092,9,3)/Basis!$E$3,0.5)</f>
        <v>145.5</v>
      </c>
      <c r="F1092" s="199" t="s">
        <v>2950</v>
      </c>
      <c r="G1092" s="45">
        <f>ROUND(MID($C1092,12,2)/Basis!$E$3,1)</f>
        <v>10.199999999999999</v>
      </c>
      <c r="H1092" s="120">
        <f>ROUND($P1092*Basis!$E$2*((TaH-TrH)/LN(1/µ)/Basis!$E$7)^$N1092*$AA$4*Glycol,0)</f>
        <v>2129</v>
      </c>
      <c r="I1092" s="83">
        <f>ROUND(H1092/(MID($C1092,9,3)/Basis!$E$3/Basis!$E$9)*Basis!$E$11,0)</f>
        <v>175</v>
      </c>
      <c r="J1092" s="123">
        <f>IF(Basis!$E$1=1,ROUND(H1092/((TaH-TrH)*1.163)/3600,3),ROUND(H1092/(500*(TaH-TrH)),2))</f>
        <v>0.21</v>
      </c>
      <c r="K1092" s="84"/>
      <c r="L1092" s="177">
        <f>CHOOSE(Basis!$E$1,((AJ1092*(J1092*3600/Basis!$E$5)^AK1092*(((MID(C1092,9,3)*10)-244)/1000)*AL1092+AM1092*(J1092*3600/Basis!$E$5)^2)*0.0098)/Basis!$E$10,((AJ1092*(J1092/Basis!$E$5)^AK1092*(((MID(C1092,9,3)*10)-244)/1000)*AL1092+AM1092*(J1092/Basis!$E$5)^2)*0.0098)/Basis!$E$10)</f>
        <v>2.4690954099790149E-2</v>
      </c>
      <c r="M1092" s="85"/>
      <c r="N1092" s="109">
        <v>1.3620000000000001</v>
      </c>
      <c r="O1092" s="68"/>
      <c r="P1092" s="67">
        <v>978</v>
      </c>
      <c r="Q1092" s="68"/>
      <c r="R1092" s="69"/>
      <c r="S1092" s="69"/>
      <c r="T1092" s="69"/>
      <c r="U1092" s="69"/>
      <c r="V1092" s="69"/>
      <c r="W1092" s="68"/>
      <c r="X1092" s="70"/>
      <c r="Y1092" s="70"/>
      <c r="Z1092" s="70"/>
      <c r="AA1092" s="70"/>
      <c r="AB1092" s="70"/>
      <c r="AC1092" s="68"/>
      <c r="AD1092" s="71"/>
      <c r="AE1092" s="71"/>
      <c r="AF1092" s="71"/>
      <c r="AG1092" s="71"/>
      <c r="AH1092" s="71"/>
      <c r="AI1092" s="68"/>
      <c r="AJ1092" s="214">
        <v>9.3669999999999995E-4</v>
      </c>
      <c r="AK1092" s="214">
        <v>1.789841</v>
      </c>
      <c r="AL1092" s="214">
        <v>2</v>
      </c>
      <c r="AM1092" s="214">
        <v>4.4559999999999999E-4</v>
      </c>
      <c r="AN1092" s="68"/>
      <c r="AO1092" s="67"/>
      <c r="AP1092" s="67"/>
      <c r="AQ1092" s="67"/>
      <c r="AR1092" s="67"/>
      <c r="AS1092" s="67"/>
      <c r="AT1092" s="68"/>
      <c r="AU1092" s="49"/>
      <c r="AV1092" s="50"/>
    </row>
    <row r="1093" spans="1:48" ht="12.75" customHeight="1" x14ac:dyDescent="0.25">
      <c r="A1093" s="72" t="s">
        <v>119</v>
      </c>
      <c r="B1093" s="43" t="s">
        <v>1154</v>
      </c>
      <c r="C1093" s="44" t="s">
        <v>1248</v>
      </c>
      <c r="D1093" s="45">
        <f>MROUND(MID($C1093,6,3)/Basis!$E$3,0.5)</f>
        <v>3.5</v>
      </c>
      <c r="E1093" s="45">
        <f>MROUND(MID($C1093,9,3)/Basis!$E$3,0.5)</f>
        <v>145.5</v>
      </c>
      <c r="F1093" s="199" t="s">
        <v>2950</v>
      </c>
      <c r="G1093" s="45">
        <f>ROUND(MID($C1093,12,2)/Basis!$E$3,1)</f>
        <v>13.4</v>
      </c>
      <c r="H1093" s="120">
        <f>ROUND($P1093*Basis!$E$2*((TaH-TrH)/LN(1/µ)/Basis!$E$7)^$N1093*$AA$4*Glycol,0)</f>
        <v>2760</v>
      </c>
      <c r="I1093" s="83">
        <f>ROUND(H1093/(MID($C1093,9,3)/Basis!$E$3/Basis!$E$9)*Basis!$E$11,0)</f>
        <v>227</v>
      </c>
      <c r="J1093" s="123">
        <f>IF(Basis!$E$1=1,ROUND(H1093/((TaH-TrH)*1.163)/3600,3),ROUND(H1093/(500*(TaH-TrH)),2))</f>
        <v>0.28000000000000003</v>
      </c>
      <c r="K1093" s="84"/>
      <c r="L1093" s="177">
        <f>CHOOSE(Basis!$E$1,((AJ1093*(J1093*3600/Basis!$E$5)^AK1093*(((MID(C1093,9,3)*10)-244)/1000)*AL1093+AM1093*(J1093*3600/Basis!$E$5)^2)*0.0098)/Basis!$E$10,((AJ1093*(J1093/Basis!$E$5)^AK1093*(((MID(C1093,9,3)*10)-244)/1000)*AL1093+AM1093*(J1093/Basis!$E$5)^2)*0.0098)/Basis!$E$10)</f>
        <v>6.8269495338176403E-2</v>
      </c>
      <c r="M1093" s="85"/>
      <c r="N1093" s="110">
        <v>1.3620000000000001</v>
      </c>
      <c r="O1093" s="74"/>
      <c r="P1093" s="73">
        <v>1268</v>
      </c>
      <c r="Q1093" s="74"/>
      <c r="R1093" s="75"/>
      <c r="S1093" s="75"/>
      <c r="T1093" s="75"/>
      <c r="U1093" s="75"/>
      <c r="V1093" s="75"/>
      <c r="W1093" s="74"/>
      <c r="X1093" s="76"/>
      <c r="Y1093" s="76"/>
      <c r="Z1093" s="76"/>
      <c r="AA1093" s="76"/>
      <c r="AB1093" s="76"/>
      <c r="AC1093" s="74"/>
      <c r="AD1093" s="77"/>
      <c r="AE1093" s="77"/>
      <c r="AF1093" s="77"/>
      <c r="AG1093" s="77"/>
      <c r="AH1093" s="77"/>
      <c r="AI1093" s="68"/>
      <c r="AJ1093" s="213">
        <v>1.3162765859195E-2</v>
      </c>
      <c r="AK1093" s="213">
        <v>1.4286501188989</v>
      </c>
      <c r="AL1093" s="213">
        <v>1</v>
      </c>
      <c r="AM1093" s="213">
        <v>9.2091836734694004E-4</v>
      </c>
      <c r="AN1093" s="74"/>
      <c r="AO1093" s="73"/>
      <c r="AP1093" s="73"/>
      <c r="AQ1093" s="73"/>
      <c r="AR1093" s="73"/>
      <c r="AS1093" s="73"/>
      <c r="AT1093" s="74"/>
      <c r="AU1093" s="47"/>
      <c r="AV1093" s="48"/>
    </row>
    <row r="1094" spans="1:48" ht="12.75" customHeight="1" x14ac:dyDescent="0.25">
      <c r="A1094" s="72" t="s">
        <v>119</v>
      </c>
      <c r="B1094" s="43" t="s">
        <v>1154</v>
      </c>
      <c r="C1094" s="44" t="s">
        <v>1249</v>
      </c>
      <c r="D1094" s="45">
        <f>MROUND(MID($C1094,6,3)/Basis!$E$3,0.5)</f>
        <v>3.5</v>
      </c>
      <c r="E1094" s="45">
        <f>MROUND(MID($C1094,9,3)/Basis!$E$3,0.5)</f>
        <v>145.5</v>
      </c>
      <c r="F1094" s="199" t="s">
        <v>2950</v>
      </c>
      <c r="G1094" s="45">
        <f>ROUND(MID($C1094,12,2)/Basis!$E$3,1)</f>
        <v>16.5</v>
      </c>
      <c r="H1094" s="120">
        <f>ROUND($P1094*Basis!$E$2*((TaH-TrH)/LN(1/µ)/Basis!$E$7)^$N1094*$AA$4*Glycol,0)</f>
        <v>3986</v>
      </c>
      <c r="I1094" s="83">
        <f>ROUND(H1094/(MID($C1094,9,3)/Basis!$E$3/Basis!$E$9)*Basis!$E$11,0)</f>
        <v>328</v>
      </c>
      <c r="J1094" s="123">
        <f>IF(Basis!$E$1=1,ROUND(H1094/((TaH-TrH)*1.163)/3600,3),ROUND(H1094/(500*(TaH-TrH)),2))</f>
        <v>0.4</v>
      </c>
      <c r="K1094" s="84"/>
      <c r="L1094" s="177">
        <f>CHOOSE(Basis!$E$1,((AJ1094*(J1094*3600/Basis!$E$5)^AK1094*(((MID(C1094,9,3)*10)-244)/1000)*AL1094+AM1094*(J1094*3600/Basis!$E$5)^2)*0.0098)/Basis!$E$10,((AJ1094*(J1094/Basis!$E$5)^AK1094*(((MID(C1094,9,3)*10)-244)/1000)*AL1094+AM1094*(J1094/Basis!$E$5)^2)*0.0098)/Basis!$E$10)</f>
        <v>3.2285779635339212E-2</v>
      </c>
      <c r="M1094" s="85"/>
      <c r="N1094" s="109">
        <v>1.3620000000000001</v>
      </c>
      <c r="O1094" s="68"/>
      <c r="P1094" s="67">
        <v>1831</v>
      </c>
      <c r="Q1094" s="68"/>
      <c r="R1094" s="69"/>
      <c r="S1094" s="69"/>
      <c r="T1094" s="69"/>
      <c r="U1094" s="69"/>
      <c r="V1094" s="69"/>
      <c r="W1094" s="68"/>
      <c r="X1094" s="70"/>
      <c r="Y1094" s="70"/>
      <c r="Z1094" s="70"/>
      <c r="AA1094" s="70"/>
      <c r="AB1094" s="70"/>
      <c r="AC1094" s="68"/>
      <c r="AD1094" s="71"/>
      <c r="AE1094" s="71"/>
      <c r="AF1094" s="71"/>
      <c r="AG1094" s="71"/>
      <c r="AH1094" s="71"/>
      <c r="AI1094" s="68"/>
      <c r="AJ1094" s="214">
        <v>3.9689999999999994E-4</v>
      </c>
      <c r="AK1094" s="214">
        <v>1.7345999999999999</v>
      </c>
      <c r="AL1094" s="214">
        <v>2</v>
      </c>
      <c r="AM1094" s="214">
        <v>3.6734700000000002E-4</v>
      </c>
      <c r="AN1094" s="68"/>
      <c r="AO1094" s="67"/>
      <c r="AP1094" s="67"/>
      <c r="AQ1094" s="67"/>
      <c r="AR1094" s="67"/>
      <c r="AS1094" s="67"/>
      <c r="AT1094" s="68"/>
      <c r="AU1094" s="49"/>
      <c r="AV1094" s="50"/>
    </row>
    <row r="1095" spans="1:48" ht="12.75" customHeight="1" x14ac:dyDescent="0.25">
      <c r="A1095" s="72" t="s">
        <v>119</v>
      </c>
      <c r="B1095" s="43" t="s">
        <v>1154</v>
      </c>
      <c r="C1095" s="44" t="s">
        <v>1250</v>
      </c>
      <c r="D1095" s="45">
        <f>MROUND(MID($C1095,6,3)/Basis!$E$3,0.5)</f>
        <v>3.5</v>
      </c>
      <c r="E1095" s="45">
        <f>MROUND(MID($C1095,9,3)/Basis!$E$3,0.5)</f>
        <v>153.5</v>
      </c>
      <c r="F1095" s="199" t="s">
        <v>2950</v>
      </c>
      <c r="G1095" s="45">
        <f>ROUND(MID($C1095,12,2)/Basis!$E$3,1)</f>
        <v>5.5</v>
      </c>
      <c r="H1095" s="120">
        <f>ROUND($P1095*Basis!$E$2*((TaH-TrH)/LN(1/µ)/Basis!$E$7)^$N1095*$AA$4*Glycol,0)</f>
        <v>1445</v>
      </c>
      <c r="I1095" s="83">
        <f>ROUND(H1095/(MID($C1095,9,3)/Basis!$E$3/Basis!$E$9)*Basis!$E$11,0)</f>
        <v>113</v>
      </c>
      <c r="J1095" s="123">
        <f>IF(Basis!$E$1=1,ROUND(H1095/((TaH-TrH)*1.163)/3600,3),ROUND(H1095/(500*(TaH-TrH)),2))</f>
        <v>0.14000000000000001</v>
      </c>
      <c r="K1095" s="84"/>
      <c r="L1095" s="177">
        <f>CHOOSE(Basis!$E$1,((AJ1095*(J1095*3600/Basis!$E$5)^AK1095*(((MID(C1095,9,3)*10)-244)/1000)*AL1095+AM1095*(J1095*3600/Basis!$E$5)^2)*0.0098)/Basis!$E$10,((AJ1095*(J1095/Basis!$E$5)^AK1095*(((MID(C1095,9,3)*10)-244)/1000)*AL1095+AM1095*(J1095/Basis!$E$5)^2)*0.0098)/Basis!$E$10)</f>
        <v>6.0161889028753305E-3</v>
      </c>
      <c r="M1095" s="85"/>
      <c r="N1095" s="110">
        <v>1.3620000000000001</v>
      </c>
      <c r="O1095" s="74"/>
      <c r="P1095" s="73">
        <v>664</v>
      </c>
      <c r="Q1095" s="74"/>
      <c r="R1095" s="75"/>
      <c r="S1095" s="75"/>
      <c r="T1095" s="75"/>
      <c r="U1095" s="75"/>
      <c r="V1095" s="75"/>
      <c r="W1095" s="74"/>
      <c r="X1095" s="76"/>
      <c r="Y1095" s="76"/>
      <c r="Z1095" s="76"/>
      <c r="AA1095" s="76"/>
      <c r="AB1095" s="76"/>
      <c r="AC1095" s="74"/>
      <c r="AD1095" s="77"/>
      <c r="AE1095" s="77"/>
      <c r="AF1095" s="77"/>
      <c r="AG1095" s="77"/>
      <c r="AH1095" s="77"/>
      <c r="AI1095" s="68"/>
      <c r="AJ1095" s="213">
        <v>6.0625777523108995E-4</v>
      </c>
      <c r="AK1095" s="213">
        <v>1.8894792857555001</v>
      </c>
      <c r="AL1095" s="213">
        <v>1</v>
      </c>
      <c r="AM1095" s="213">
        <v>3.0758017492711002E-4</v>
      </c>
      <c r="AN1095" s="74"/>
      <c r="AO1095" s="73"/>
      <c r="AP1095" s="73"/>
      <c r="AQ1095" s="73"/>
      <c r="AR1095" s="73"/>
      <c r="AS1095" s="73"/>
      <c r="AT1095" s="74"/>
      <c r="AU1095" s="47"/>
      <c r="AV1095" s="48"/>
    </row>
    <row r="1096" spans="1:48" ht="12.75" customHeight="1" x14ac:dyDescent="0.25">
      <c r="A1096" s="72" t="s">
        <v>119</v>
      </c>
      <c r="B1096" s="43" t="s">
        <v>1154</v>
      </c>
      <c r="C1096" s="44" t="s">
        <v>1251</v>
      </c>
      <c r="D1096" s="45">
        <f>MROUND(MID($C1096,6,3)/Basis!$E$3,0.5)</f>
        <v>3.5</v>
      </c>
      <c r="E1096" s="45">
        <f>MROUND(MID($C1096,9,3)/Basis!$E$3,0.5)</f>
        <v>153.5</v>
      </c>
      <c r="F1096" s="199" t="s">
        <v>2950</v>
      </c>
      <c r="G1096" s="45">
        <f>ROUND(MID($C1096,12,2)/Basis!$E$3,1)</f>
        <v>7.1</v>
      </c>
      <c r="H1096" s="120">
        <f>ROUND($P1096*Basis!$E$2*((TaH-TrH)/LN(1/µ)/Basis!$E$7)^$N1096*$AA$4*Glycol,0)</f>
        <v>1713</v>
      </c>
      <c r="I1096" s="83">
        <f>ROUND(H1096/(MID($C1096,9,3)/Basis!$E$3/Basis!$E$9)*Basis!$E$11,0)</f>
        <v>134</v>
      </c>
      <c r="J1096" s="123">
        <f>IF(Basis!$E$1=1,ROUND(H1096/((TaH-TrH)*1.163)/3600,3),ROUND(H1096/(500*(TaH-TrH)),2))</f>
        <v>0.17</v>
      </c>
      <c r="K1096" s="84"/>
      <c r="L1096" s="177">
        <f>CHOOSE(Basis!$E$1,((AJ1096*(J1096*3600/Basis!$E$5)^AK1096*(((MID(C1096,9,3)*10)-244)/1000)*AL1096+AM1096*(J1096*3600/Basis!$E$5)^2)*0.0098)/Basis!$E$10,((AJ1096*(J1096/Basis!$E$5)^AK1096*(((MID(C1096,9,3)*10)-244)/1000)*AL1096+AM1096*(J1096/Basis!$E$5)^2)*0.0098)/Basis!$E$10)</f>
        <v>1.7664308456763395E-2</v>
      </c>
      <c r="M1096" s="85"/>
      <c r="N1096" s="109">
        <v>1.3620000000000001</v>
      </c>
      <c r="O1096" s="68"/>
      <c r="P1096" s="67">
        <v>787</v>
      </c>
      <c r="Q1096" s="68"/>
      <c r="R1096" s="69"/>
      <c r="S1096" s="69"/>
      <c r="T1096" s="69"/>
      <c r="U1096" s="69"/>
      <c r="V1096" s="69"/>
      <c r="W1096" s="68"/>
      <c r="X1096" s="70"/>
      <c r="Y1096" s="70"/>
      <c r="Z1096" s="70"/>
      <c r="AA1096" s="70"/>
      <c r="AB1096" s="70"/>
      <c r="AC1096" s="68"/>
      <c r="AD1096" s="71"/>
      <c r="AE1096" s="71"/>
      <c r="AF1096" s="71"/>
      <c r="AG1096" s="71"/>
      <c r="AH1096" s="71"/>
      <c r="AI1096" s="68"/>
      <c r="AJ1096" s="214">
        <v>9.3669999999999995E-4</v>
      </c>
      <c r="AK1096" s="214">
        <v>1.789841</v>
      </c>
      <c r="AL1096" s="214">
        <v>2</v>
      </c>
      <c r="AM1096" s="214">
        <v>4.4559999999999999E-4</v>
      </c>
      <c r="AN1096" s="68"/>
      <c r="AO1096" s="67"/>
      <c r="AP1096" s="67"/>
      <c r="AQ1096" s="67"/>
      <c r="AR1096" s="67"/>
      <c r="AS1096" s="67"/>
      <c r="AT1096" s="68"/>
      <c r="AU1096" s="49"/>
      <c r="AV1096" s="50"/>
    </row>
    <row r="1097" spans="1:48" ht="12.75" customHeight="1" x14ac:dyDescent="0.25">
      <c r="A1097" s="72" t="s">
        <v>119</v>
      </c>
      <c r="B1097" s="43" t="s">
        <v>1154</v>
      </c>
      <c r="C1097" s="44" t="s">
        <v>1252</v>
      </c>
      <c r="D1097" s="45">
        <f>MROUND(MID($C1097,6,3)/Basis!$E$3,0.5)</f>
        <v>3.5</v>
      </c>
      <c r="E1097" s="45">
        <f>MROUND(MID($C1097,9,3)/Basis!$E$3,0.5)</f>
        <v>153.5</v>
      </c>
      <c r="F1097" s="199" t="s">
        <v>2950</v>
      </c>
      <c r="G1097" s="45">
        <f>ROUND(MID($C1097,12,2)/Basis!$E$3,1)</f>
        <v>10.199999999999999</v>
      </c>
      <c r="H1097" s="120">
        <f>ROUND($P1097*Basis!$E$2*((TaH-TrH)/LN(1/µ)/Basis!$E$7)^$N1097*$AA$4*Glycol,0)</f>
        <v>2253</v>
      </c>
      <c r="I1097" s="83">
        <f>ROUND(H1097/(MID($C1097,9,3)/Basis!$E$3/Basis!$E$9)*Basis!$E$11,0)</f>
        <v>176</v>
      </c>
      <c r="J1097" s="123">
        <f>IF(Basis!$E$1=1,ROUND(H1097/((TaH-TrH)*1.163)/3600,3),ROUND(H1097/(500*(TaH-TrH)),2))</f>
        <v>0.23</v>
      </c>
      <c r="K1097" s="84"/>
      <c r="L1097" s="177">
        <f>CHOOSE(Basis!$E$1,((AJ1097*(J1097*3600/Basis!$E$5)^AK1097*(((MID(C1097,9,3)*10)-244)/1000)*AL1097+AM1097*(J1097*3600/Basis!$E$5)^2)*0.0098)/Basis!$E$10,((AJ1097*(J1097/Basis!$E$5)^AK1097*(((MID(C1097,9,3)*10)-244)/1000)*AL1097+AM1097*(J1097/Basis!$E$5)^2)*0.0098)/Basis!$E$10)</f>
        <v>3.0588178157713818E-2</v>
      </c>
      <c r="M1097" s="85"/>
      <c r="N1097" s="110">
        <v>1.3620000000000001</v>
      </c>
      <c r="O1097" s="74"/>
      <c r="P1097" s="73">
        <v>1035</v>
      </c>
      <c r="Q1097" s="74"/>
      <c r="R1097" s="75"/>
      <c r="S1097" s="75"/>
      <c r="T1097" s="75"/>
      <c r="U1097" s="75"/>
      <c r="V1097" s="75"/>
      <c r="W1097" s="74"/>
      <c r="X1097" s="76"/>
      <c r="Y1097" s="76"/>
      <c r="Z1097" s="76"/>
      <c r="AA1097" s="76"/>
      <c r="AB1097" s="76"/>
      <c r="AC1097" s="74"/>
      <c r="AD1097" s="77"/>
      <c r="AE1097" s="77"/>
      <c r="AF1097" s="77"/>
      <c r="AG1097" s="77"/>
      <c r="AH1097" s="77"/>
      <c r="AI1097" s="68"/>
      <c r="AJ1097" s="213">
        <v>9.3669999999999995E-4</v>
      </c>
      <c r="AK1097" s="213">
        <v>1.789841</v>
      </c>
      <c r="AL1097" s="213">
        <v>2</v>
      </c>
      <c r="AM1097" s="213">
        <v>4.4559999999999999E-4</v>
      </c>
      <c r="AN1097" s="74"/>
      <c r="AO1097" s="73"/>
      <c r="AP1097" s="73"/>
      <c r="AQ1097" s="73"/>
      <c r="AR1097" s="73"/>
      <c r="AS1097" s="73"/>
      <c r="AT1097" s="74"/>
      <c r="AU1097" s="47"/>
      <c r="AV1097" s="48"/>
    </row>
    <row r="1098" spans="1:48" ht="12.75" customHeight="1" x14ac:dyDescent="0.25">
      <c r="A1098" s="72" t="s">
        <v>119</v>
      </c>
      <c r="B1098" s="43" t="s">
        <v>1154</v>
      </c>
      <c r="C1098" s="44" t="s">
        <v>1253</v>
      </c>
      <c r="D1098" s="45">
        <f>MROUND(MID($C1098,6,3)/Basis!$E$3,0.5)</f>
        <v>3.5</v>
      </c>
      <c r="E1098" s="45">
        <f>MROUND(MID($C1098,9,3)/Basis!$E$3,0.5)</f>
        <v>153.5</v>
      </c>
      <c r="F1098" s="199" t="s">
        <v>2950</v>
      </c>
      <c r="G1098" s="45">
        <f>ROUND(MID($C1098,12,2)/Basis!$E$3,1)</f>
        <v>13.4</v>
      </c>
      <c r="H1098" s="120">
        <f>ROUND($P1098*Basis!$E$2*((TaH-TrH)/LN(1/µ)/Basis!$E$7)^$N1098*$AA$4*Glycol,0)</f>
        <v>2923</v>
      </c>
      <c r="I1098" s="83">
        <f>ROUND(H1098/(MID($C1098,9,3)/Basis!$E$3/Basis!$E$9)*Basis!$E$11,0)</f>
        <v>228</v>
      </c>
      <c r="J1098" s="123">
        <f>IF(Basis!$E$1=1,ROUND(H1098/((TaH-TrH)*1.163)/3600,3),ROUND(H1098/(500*(TaH-TrH)),2))</f>
        <v>0.28999999999999998</v>
      </c>
      <c r="K1098" s="84"/>
      <c r="L1098" s="177">
        <f>CHOOSE(Basis!$E$1,((AJ1098*(J1098*3600/Basis!$E$5)^AK1098*(((MID(C1098,9,3)*10)-244)/1000)*AL1098+AM1098*(J1098*3600/Basis!$E$5)^2)*0.0098)/Basis!$E$10,((AJ1098*(J1098/Basis!$E$5)^AK1098*(((MID(C1098,9,3)*10)-244)/1000)*AL1098+AM1098*(J1098/Basis!$E$5)^2)*0.0098)/Basis!$E$10)</f>
        <v>7.5451533109183691E-2</v>
      </c>
      <c r="M1098" s="85"/>
      <c r="N1098" s="109">
        <v>1.3620000000000001</v>
      </c>
      <c r="O1098" s="68"/>
      <c r="P1098" s="67">
        <v>1343</v>
      </c>
      <c r="Q1098" s="68"/>
      <c r="R1098" s="69"/>
      <c r="S1098" s="69"/>
      <c r="T1098" s="69"/>
      <c r="U1098" s="69"/>
      <c r="V1098" s="69"/>
      <c r="W1098" s="68"/>
      <c r="X1098" s="70"/>
      <c r="Y1098" s="70"/>
      <c r="Z1098" s="70"/>
      <c r="AA1098" s="70"/>
      <c r="AB1098" s="70"/>
      <c r="AC1098" s="68"/>
      <c r="AD1098" s="71"/>
      <c r="AE1098" s="71"/>
      <c r="AF1098" s="71"/>
      <c r="AG1098" s="71"/>
      <c r="AH1098" s="71"/>
      <c r="AI1098" s="68"/>
      <c r="AJ1098" s="214">
        <v>1.3162765859195E-2</v>
      </c>
      <c r="AK1098" s="214">
        <v>1.4286501188989</v>
      </c>
      <c r="AL1098" s="214">
        <v>1</v>
      </c>
      <c r="AM1098" s="214">
        <v>9.2091836734694004E-4</v>
      </c>
      <c r="AN1098" s="68"/>
      <c r="AO1098" s="67"/>
      <c r="AP1098" s="67"/>
      <c r="AQ1098" s="67"/>
      <c r="AR1098" s="67"/>
      <c r="AS1098" s="67"/>
      <c r="AT1098" s="68"/>
      <c r="AU1098" s="49"/>
      <c r="AV1098" s="50"/>
    </row>
    <row r="1099" spans="1:48" ht="12.75" customHeight="1" x14ac:dyDescent="0.25">
      <c r="A1099" s="72" t="s">
        <v>119</v>
      </c>
      <c r="B1099" s="43" t="s">
        <v>1154</v>
      </c>
      <c r="C1099" s="44" t="s">
        <v>1254</v>
      </c>
      <c r="D1099" s="45">
        <f>MROUND(MID($C1099,6,3)/Basis!$E$3,0.5)</f>
        <v>3.5</v>
      </c>
      <c r="E1099" s="45">
        <f>MROUND(MID($C1099,9,3)/Basis!$E$3,0.5)</f>
        <v>153.5</v>
      </c>
      <c r="F1099" s="199" t="s">
        <v>2950</v>
      </c>
      <c r="G1099" s="45">
        <f>ROUND(MID($C1099,12,2)/Basis!$E$3,1)</f>
        <v>16.5</v>
      </c>
      <c r="H1099" s="120">
        <f>ROUND($P1099*Basis!$E$2*((TaH-TrH)/LN(1/µ)/Basis!$E$7)^$N1099*$AA$4*Glycol,0)</f>
        <v>4221</v>
      </c>
      <c r="I1099" s="83">
        <f>ROUND(H1099/(MID($C1099,9,3)/Basis!$E$3/Basis!$E$9)*Basis!$E$11,0)</f>
        <v>330</v>
      </c>
      <c r="J1099" s="123">
        <f>IF(Basis!$E$1=1,ROUND(H1099/((TaH-TrH)*1.163)/3600,3),ROUND(H1099/(500*(TaH-TrH)),2))</f>
        <v>0.42</v>
      </c>
      <c r="K1099" s="84"/>
      <c r="L1099" s="177">
        <f>CHOOSE(Basis!$E$1,((AJ1099*(J1099*3600/Basis!$E$5)^AK1099*(((MID(C1099,9,3)*10)-244)/1000)*AL1099+AM1099*(J1099*3600/Basis!$E$5)^2)*0.0098)/Basis!$E$10,((AJ1099*(J1099/Basis!$E$5)^AK1099*(((MID(C1099,9,3)*10)-244)/1000)*AL1099+AM1099*(J1099/Basis!$E$5)^2)*0.0098)/Basis!$E$10)</f>
        <v>3.6686766183585538E-2</v>
      </c>
      <c r="M1099" s="85"/>
      <c r="N1099" s="110">
        <v>1.3620000000000001</v>
      </c>
      <c r="O1099" s="74"/>
      <c r="P1099" s="73">
        <v>1939</v>
      </c>
      <c r="Q1099" s="74"/>
      <c r="R1099" s="75"/>
      <c r="S1099" s="75"/>
      <c r="T1099" s="75"/>
      <c r="U1099" s="75"/>
      <c r="V1099" s="75"/>
      <c r="W1099" s="74"/>
      <c r="X1099" s="76"/>
      <c r="Y1099" s="76"/>
      <c r="Z1099" s="76"/>
      <c r="AA1099" s="76"/>
      <c r="AB1099" s="76"/>
      <c r="AC1099" s="74"/>
      <c r="AD1099" s="77"/>
      <c r="AE1099" s="77"/>
      <c r="AF1099" s="77"/>
      <c r="AG1099" s="77"/>
      <c r="AH1099" s="77"/>
      <c r="AI1099" s="68"/>
      <c r="AJ1099" s="213">
        <v>3.9689999999999994E-4</v>
      </c>
      <c r="AK1099" s="213">
        <v>1.7345999999999999</v>
      </c>
      <c r="AL1099" s="213">
        <v>2</v>
      </c>
      <c r="AM1099" s="213">
        <v>3.6734700000000002E-4</v>
      </c>
      <c r="AN1099" s="74"/>
      <c r="AO1099" s="73"/>
      <c r="AP1099" s="73"/>
      <c r="AQ1099" s="73"/>
      <c r="AR1099" s="73"/>
      <c r="AS1099" s="73"/>
      <c r="AT1099" s="74"/>
      <c r="AU1099" s="47"/>
      <c r="AV1099" s="48"/>
    </row>
    <row r="1100" spans="1:48" ht="12.75" customHeight="1" x14ac:dyDescent="0.25">
      <c r="A1100" s="72" t="s">
        <v>119</v>
      </c>
      <c r="B1100" s="43" t="s">
        <v>1154</v>
      </c>
      <c r="C1100" s="44" t="s">
        <v>1255</v>
      </c>
      <c r="D1100" s="45">
        <f>MROUND(MID($C1100,6,3)/Basis!$E$3,0.5)</f>
        <v>3.5</v>
      </c>
      <c r="E1100" s="45">
        <f>MROUND(MID($C1100,9,3)/Basis!$E$3,0.5)</f>
        <v>161.5</v>
      </c>
      <c r="F1100" s="199" t="s">
        <v>2950</v>
      </c>
      <c r="G1100" s="45">
        <f>ROUND(MID($C1100,12,2)/Basis!$E$3,1)</f>
        <v>5.5</v>
      </c>
      <c r="H1100" s="120">
        <f>ROUND($P1100*Basis!$E$2*((TaH-TrH)/LN(1/µ)/Basis!$E$7)^$N1100*$AA$4*Glycol,0)</f>
        <v>1526</v>
      </c>
      <c r="I1100" s="83">
        <f>ROUND(H1100/(MID($C1100,9,3)/Basis!$E$3/Basis!$E$9)*Basis!$E$11,0)</f>
        <v>113</v>
      </c>
      <c r="J1100" s="123">
        <f>IF(Basis!$E$1=1,ROUND(H1100/((TaH-TrH)*1.163)/3600,3),ROUND(H1100/(500*(TaH-TrH)),2))</f>
        <v>0.15</v>
      </c>
      <c r="K1100" s="84"/>
      <c r="L1100" s="177">
        <f>CHOOSE(Basis!$E$1,((AJ1100*(J1100*3600/Basis!$E$5)^AK1100*(((MID(C1100,9,3)*10)-244)/1000)*AL1100+AM1100*(J1100*3600/Basis!$E$5)^2)*0.0098)/Basis!$E$10,((AJ1100*(J1100/Basis!$E$5)^AK1100*(((MID(C1100,9,3)*10)-244)/1000)*AL1100+AM1100*(J1100/Basis!$E$5)^2)*0.0098)/Basis!$E$10)</f>
        <v>7.174312193187999E-3</v>
      </c>
      <c r="M1100" s="85"/>
      <c r="N1100" s="109">
        <v>1.3620000000000001</v>
      </c>
      <c r="O1100" s="68"/>
      <c r="P1100" s="67">
        <v>701</v>
      </c>
      <c r="Q1100" s="68"/>
      <c r="R1100" s="69"/>
      <c r="S1100" s="69"/>
      <c r="T1100" s="69"/>
      <c r="U1100" s="69"/>
      <c r="V1100" s="69"/>
      <c r="W1100" s="68"/>
      <c r="X1100" s="70"/>
      <c r="Y1100" s="70"/>
      <c r="Z1100" s="70"/>
      <c r="AA1100" s="70"/>
      <c r="AB1100" s="70"/>
      <c r="AC1100" s="68"/>
      <c r="AD1100" s="71"/>
      <c r="AE1100" s="71"/>
      <c r="AF1100" s="71"/>
      <c r="AG1100" s="71"/>
      <c r="AH1100" s="71"/>
      <c r="AI1100" s="68"/>
      <c r="AJ1100" s="214">
        <v>6.0625777523108995E-4</v>
      </c>
      <c r="AK1100" s="214">
        <v>1.8894792857555001</v>
      </c>
      <c r="AL1100" s="214">
        <v>1</v>
      </c>
      <c r="AM1100" s="214">
        <v>3.0758017492711002E-4</v>
      </c>
      <c r="AN1100" s="68"/>
      <c r="AO1100" s="67"/>
      <c r="AP1100" s="67"/>
      <c r="AQ1100" s="67"/>
      <c r="AR1100" s="67"/>
      <c r="AS1100" s="67"/>
      <c r="AT1100" s="68"/>
      <c r="AU1100" s="49"/>
      <c r="AV1100" s="50"/>
    </row>
    <row r="1101" spans="1:48" ht="12.75" customHeight="1" x14ac:dyDescent="0.25">
      <c r="A1101" s="72" t="s">
        <v>119</v>
      </c>
      <c r="B1101" s="43" t="s">
        <v>1154</v>
      </c>
      <c r="C1101" s="44" t="s">
        <v>1256</v>
      </c>
      <c r="D1101" s="45">
        <f>MROUND(MID($C1101,6,3)/Basis!$E$3,0.5)</f>
        <v>3.5</v>
      </c>
      <c r="E1101" s="45">
        <f>MROUND(MID($C1101,9,3)/Basis!$E$3,0.5)</f>
        <v>161.5</v>
      </c>
      <c r="F1101" s="199" t="s">
        <v>2950</v>
      </c>
      <c r="G1101" s="45">
        <f>ROUND(MID($C1101,12,2)/Basis!$E$3,1)</f>
        <v>7.1</v>
      </c>
      <c r="H1101" s="120">
        <f>ROUND($P1101*Basis!$E$2*((TaH-TrH)/LN(1/µ)/Basis!$E$7)^$N1101*$AA$4*Glycol,0)</f>
        <v>1807</v>
      </c>
      <c r="I1101" s="83">
        <f>ROUND(H1101/(MID($C1101,9,3)/Basis!$E$3/Basis!$E$9)*Basis!$E$11,0)</f>
        <v>134</v>
      </c>
      <c r="J1101" s="123">
        <f>IF(Basis!$E$1=1,ROUND(H1101/((TaH-TrH)*1.163)/3600,3),ROUND(H1101/(500*(TaH-TrH)),2))</f>
        <v>0.18</v>
      </c>
      <c r="K1101" s="84"/>
      <c r="L1101" s="177">
        <f>CHOOSE(Basis!$E$1,((AJ1101*(J1101*3600/Basis!$E$5)^AK1101*(((MID(C1101,9,3)*10)-244)/1000)*AL1101+AM1101*(J1101*3600/Basis!$E$5)^2)*0.0098)/Basis!$E$10,((AJ1101*(J1101/Basis!$E$5)^AK1101*(((MID(C1101,9,3)*10)-244)/1000)*AL1101+AM1101*(J1101/Basis!$E$5)^2)*0.0098)/Basis!$E$10)</f>
        <v>2.053498441260164E-2</v>
      </c>
      <c r="M1101" s="85"/>
      <c r="N1101" s="110">
        <v>1.3620000000000001</v>
      </c>
      <c r="O1101" s="74"/>
      <c r="P1101" s="73">
        <v>830</v>
      </c>
      <c r="Q1101" s="74"/>
      <c r="R1101" s="75"/>
      <c r="S1101" s="75"/>
      <c r="T1101" s="75"/>
      <c r="U1101" s="75"/>
      <c r="V1101" s="75"/>
      <c r="W1101" s="74"/>
      <c r="X1101" s="76"/>
      <c r="Y1101" s="76"/>
      <c r="Z1101" s="76"/>
      <c r="AA1101" s="76"/>
      <c r="AB1101" s="76"/>
      <c r="AC1101" s="74"/>
      <c r="AD1101" s="77"/>
      <c r="AE1101" s="77"/>
      <c r="AF1101" s="77"/>
      <c r="AG1101" s="77"/>
      <c r="AH1101" s="77"/>
      <c r="AI1101" s="68"/>
      <c r="AJ1101" s="213">
        <v>9.3669999999999995E-4</v>
      </c>
      <c r="AK1101" s="213">
        <v>1.789841</v>
      </c>
      <c r="AL1101" s="213">
        <v>2</v>
      </c>
      <c r="AM1101" s="213">
        <v>4.4559999999999999E-4</v>
      </c>
      <c r="AN1101" s="74"/>
      <c r="AO1101" s="73"/>
      <c r="AP1101" s="73"/>
      <c r="AQ1101" s="73"/>
      <c r="AR1101" s="73"/>
      <c r="AS1101" s="73"/>
      <c r="AT1101" s="74"/>
      <c r="AU1101" s="47"/>
      <c r="AV1101" s="48"/>
    </row>
    <row r="1102" spans="1:48" ht="12.75" customHeight="1" x14ac:dyDescent="0.25">
      <c r="A1102" s="72" t="s">
        <v>119</v>
      </c>
      <c r="B1102" s="43" t="s">
        <v>1154</v>
      </c>
      <c r="C1102" s="44" t="s">
        <v>1257</v>
      </c>
      <c r="D1102" s="45">
        <f>MROUND(MID($C1102,6,3)/Basis!$E$3,0.5)</f>
        <v>3.5</v>
      </c>
      <c r="E1102" s="45">
        <f>MROUND(MID($C1102,9,3)/Basis!$E$3,0.5)</f>
        <v>161.5</v>
      </c>
      <c r="F1102" s="199" t="s">
        <v>2950</v>
      </c>
      <c r="G1102" s="45">
        <f>ROUND(MID($C1102,12,2)/Basis!$E$3,1)</f>
        <v>10.199999999999999</v>
      </c>
      <c r="H1102" s="120">
        <f>ROUND($P1102*Basis!$E$2*((TaH-TrH)/LN(1/µ)/Basis!$E$7)^$N1102*$AA$4*Glycol,0)</f>
        <v>2377</v>
      </c>
      <c r="I1102" s="83">
        <f>ROUND(H1102/(MID($C1102,9,3)/Basis!$E$3/Basis!$E$9)*Basis!$E$11,0)</f>
        <v>177</v>
      </c>
      <c r="J1102" s="123">
        <f>IF(Basis!$E$1=1,ROUND(H1102/((TaH-TrH)*1.163)/3600,3),ROUND(H1102/(500*(TaH-TrH)),2))</f>
        <v>0.24</v>
      </c>
      <c r="K1102" s="84"/>
      <c r="L1102" s="177">
        <f>CHOOSE(Basis!$E$1,((AJ1102*(J1102*3600/Basis!$E$5)^AK1102*(((MID(C1102,9,3)*10)-244)/1000)*AL1102+AM1102*(J1102*3600/Basis!$E$5)^2)*0.0098)/Basis!$E$10,((AJ1102*(J1102/Basis!$E$5)^AK1102*(((MID(C1102,9,3)*10)-244)/1000)*AL1102+AM1102*(J1102/Basis!$E$5)^2)*0.0098)/Basis!$E$10)</f>
        <v>3.4618864164439961E-2</v>
      </c>
      <c r="M1102" s="85"/>
      <c r="N1102" s="109">
        <v>1.3620000000000001</v>
      </c>
      <c r="O1102" s="68"/>
      <c r="P1102" s="67">
        <v>1092</v>
      </c>
      <c r="Q1102" s="68"/>
      <c r="R1102" s="69"/>
      <c r="S1102" s="69"/>
      <c r="T1102" s="69"/>
      <c r="U1102" s="69"/>
      <c r="V1102" s="69"/>
      <c r="W1102" s="68"/>
      <c r="X1102" s="70"/>
      <c r="Y1102" s="70"/>
      <c r="Z1102" s="70"/>
      <c r="AA1102" s="70"/>
      <c r="AB1102" s="70"/>
      <c r="AC1102" s="68"/>
      <c r="AD1102" s="71"/>
      <c r="AE1102" s="71"/>
      <c r="AF1102" s="71"/>
      <c r="AG1102" s="71"/>
      <c r="AH1102" s="71"/>
      <c r="AI1102" s="68"/>
      <c r="AJ1102" s="214">
        <v>9.3669999999999995E-4</v>
      </c>
      <c r="AK1102" s="214">
        <v>1.789841</v>
      </c>
      <c r="AL1102" s="214">
        <v>2</v>
      </c>
      <c r="AM1102" s="214">
        <v>4.4559999999999999E-4</v>
      </c>
      <c r="AN1102" s="68"/>
      <c r="AO1102" s="67"/>
      <c r="AP1102" s="67"/>
      <c r="AQ1102" s="67"/>
      <c r="AR1102" s="67"/>
      <c r="AS1102" s="67"/>
      <c r="AT1102" s="68"/>
      <c r="AU1102" s="49"/>
      <c r="AV1102" s="50"/>
    </row>
    <row r="1103" spans="1:48" ht="12.75" customHeight="1" x14ac:dyDescent="0.25">
      <c r="A1103" s="72" t="s">
        <v>119</v>
      </c>
      <c r="B1103" s="43" t="s">
        <v>1154</v>
      </c>
      <c r="C1103" s="44" t="s">
        <v>1258</v>
      </c>
      <c r="D1103" s="45">
        <f>MROUND(MID($C1103,6,3)/Basis!$E$3,0.5)</f>
        <v>3.5</v>
      </c>
      <c r="E1103" s="45">
        <f>MROUND(MID($C1103,9,3)/Basis!$E$3,0.5)</f>
        <v>161.5</v>
      </c>
      <c r="F1103" s="199" t="s">
        <v>2950</v>
      </c>
      <c r="G1103" s="45">
        <f>ROUND(MID($C1103,12,2)/Basis!$E$3,1)</f>
        <v>13.4</v>
      </c>
      <c r="H1103" s="120">
        <f>ROUND($P1103*Basis!$E$2*((TaH-TrH)/LN(1/µ)/Basis!$E$7)^$N1103*$AA$4*Glycol,0)</f>
        <v>3084</v>
      </c>
      <c r="I1103" s="83">
        <f>ROUND(H1103/(MID($C1103,9,3)/Basis!$E$3/Basis!$E$9)*Basis!$E$11,0)</f>
        <v>229</v>
      </c>
      <c r="J1103" s="123">
        <f>IF(Basis!$E$1=1,ROUND(H1103/((TaH-TrH)*1.163)/3600,3),ROUND(H1103/(500*(TaH-TrH)),2))</f>
        <v>0.31</v>
      </c>
      <c r="K1103" s="84"/>
      <c r="L1103" s="177">
        <f>CHOOSE(Basis!$E$1,((AJ1103*(J1103*3600/Basis!$E$5)^AK1103*(((MID(C1103,9,3)*10)-244)/1000)*AL1103+AM1103*(J1103*3600/Basis!$E$5)^2)*0.0098)/Basis!$E$10,((AJ1103*(J1103/Basis!$E$5)^AK1103*(((MID(C1103,9,3)*10)-244)/1000)*AL1103+AM1103*(J1103/Basis!$E$5)^2)*0.0098)/Basis!$E$10)</f>
        <v>8.7306254470901165E-2</v>
      </c>
      <c r="M1103" s="85"/>
      <c r="N1103" s="110">
        <v>1.3620000000000001</v>
      </c>
      <c r="O1103" s="74"/>
      <c r="P1103" s="73">
        <v>1417</v>
      </c>
      <c r="Q1103" s="74"/>
      <c r="R1103" s="75"/>
      <c r="S1103" s="75"/>
      <c r="T1103" s="75"/>
      <c r="U1103" s="75"/>
      <c r="V1103" s="75"/>
      <c r="W1103" s="74"/>
      <c r="X1103" s="76"/>
      <c r="Y1103" s="76"/>
      <c r="Z1103" s="76"/>
      <c r="AA1103" s="76"/>
      <c r="AB1103" s="76"/>
      <c r="AC1103" s="74"/>
      <c r="AD1103" s="77"/>
      <c r="AE1103" s="77"/>
      <c r="AF1103" s="77"/>
      <c r="AG1103" s="77"/>
      <c r="AH1103" s="77"/>
      <c r="AI1103" s="68"/>
      <c r="AJ1103" s="213">
        <v>1.3162765859195E-2</v>
      </c>
      <c r="AK1103" s="213">
        <v>1.4286501188989</v>
      </c>
      <c r="AL1103" s="213">
        <v>1</v>
      </c>
      <c r="AM1103" s="213">
        <v>9.2091836734694004E-4</v>
      </c>
      <c r="AN1103" s="74"/>
      <c r="AO1103" s="73"/>
      <c r="AP1103" s="73"/>
      <c r="AQ1103" s="73"/>
      <c r="AR1103" s="73"/>
      <c r="AS1103" s="73"/>
      <c r="AT1103" s="74"/>
      <c r="AU1103" s="47"/>
      <c r="AV1103" s="48"/>
    </row>
    <row r="1104" spans="1:48" ht="12.75" customHeight="1" x14ac:dyDescent="0.25">
      <c r="A1104" s="72" t="s">
        <v>119</v>
      </c>
      <c r="B1104" s="43" t="s">
        <v>1154</v>
      </c>
      <c r="C1104" s="44" t="s">
        <v>1259</v>
      </c>
      <c r="D1104" s="45">
        <f>MROUND(MID($C1104,6,3)/Basis!$E$3,0.5)</f>
        <v>3.5</v>
      </c>
      <c r="E1104" s="45">
        <f>MROUND(MID($C1104,9,3)/Basis!$E$3,0.5)</f>
        <v>161.5</v>
      </c>
      <c r="F1104" s="199" t="s">
        <v>2950</v>
      </c>
      <c r="G1104" s="45">
        <f>ROUND(MID($C1104,12,2)/Basis!$E$3,1)</f>
        <v>16.5</v>
      </c>
      <c r="H1104" s="120">
        <f>ROUND($P1104*Basis!$E$2*((TaH-TrH)/LN(1/µ)/Basis!$E$7)^$N1104*$AA$4*Glycol,0)</f>
        <v>4458</v>
      </c>
      <c r="I1104" s="83">
        <f>ROUND(H1104/(MID($C1104,9,3)/Basis!$E$3/Basis!$E$9)*Basis!$E$11,0)</f>
        <v>331</v>
      </c>
      <c r="J1104" s="123">
        <f>IF(Basis!$E$1=1,ROUND(H1104/((TaH-TrH)*1.163)/3600,3),ROUND(H1104/(500*(TaH-TrH)),2))</f>
        <v>0.45</v>
      </c>
      <c r="K1104" s="84"/>
      <c r="L1104" s="177">
        <f>CHOOSE(Basis!$E$1,((AJ1104*(J1104*3600/Basis!$E$5)^AK1104*(((MID(C1104,9,3)*10)-244)/1000)*AL1104+AM1104*(J1104*3600/Basis!$E$5)^2)*0.0098)/Basis!$E$10,((AJ1104*(J1104/Basis!$E$5)^AK1104*(((MID(C1104,9,3)*10)-244)/1000)*AL1104+AM1104*(J1104/Basis!$E$5)^2)*0.0098)/Basis!$E$10)</f>
        <v>4.3166580380268361E-2</v>
      </c>
      <c r="M1104" s="85"/>
      <c r="N1104" s="109">
        <v>1.3620000000000001</v>
      </c>
      <c r="O1104" s="68"/>
      <c r="P1104" s="67">
        <v>2048</v>
      </c>
      <c r="Q1104" s="68"/>
      <c r="R1104" s="69"/>
      <c r="S1104" s="69"/>
      <c r="T1104" s="69"/>
      <c r="U1104" s="69"/>
      <c r="V1104" s="69"/>
      <c r="W1104" s="68"/>
      <c r="X1104" s="70"/>
      <c r="Y1104" s="70"/>
      <c r="Z1104" s="70"/>
      <c r="AA1104" s="70"/>
      <c r="AB1104" s="70"/>
      <c r="AC1104" s="68"/>
      <c r="AD1104" s="71"/>
      <c r="AE1104" s="71"/>
      <c r="AF1104" s="71"/>
      <c r="AG1104" s="71"/>
      <c r="AH1104" s="71"/>
      <c r="AI1104" s="68"/>
      <c r="AJ1104" s="214">
        <v>3.9689999999999994E-4</v>
      </c>
      <c r="AK1104" s="214">
        <v>1.7345999999999999</v>
      </c>
      <c r="AL1104" s="214">
        <v>2</v>
      </c>
      <c r="AM1104" s="214">
        <v>3.6734700000000002E-4</v>
      </c>
      <c r="AN1104" s="68"/>
      <c r="AO1104" s="67"/>
      <c r="AP1104" s="67"/>
      <c r="AQ1104" s="67"/>
      <c r="AR1104" s="67"/>
      <c r="AS1104" s="67"/>
      <c r="AT1104" s="68"/>
      <c r="AU1104" s="49"/>
      <c r="AV1104" s="50"/>
    </row>
    <row r="1105" spans="1:48" ht="12.75" customHeight="1" x14ac:dyDescent="0.25">
      <c r="A1105" s="72" t="s">
        <v>119</v>
      </c>
      <c r="B1105" s="43" t="s">
        <v>1154</v>
      </c>
      <c r="C1105" s="44" t="s">
        <v>1260</v>
      </c>
      <c r="D1105" s="45">
        <f>MROUND(MID($C1105,6,3)/Basis!$E$3,0.5)</f>
        <v>3.5</v>
      </c>
      <c r="E1105" s="45">
        <f>MROUND(MID($C1105,9,3)/Basis!$E$3,0.5)</f>
        <v>169.5</v>
      </c>
      <c r="F1105" s="199" t="s">
        <v>2950</v>
      </c>
      <c r="G1105" s="45">
        <f>ROUND(MID($C1105,12,2)/Basis!$E$3,1)</f>
        <v>5.5</v>
      </c>
      <c r="H1105" s="120">
        <f>ROUND($P1105*Basis!$E$2*((TaH-TrH)/LN(1/µ)/Basis!$E$7)^$N1105*$AA$4*Glycol,0)</f>
        <v>1606</v>
      </c>
      <c r="I1105" s="83">
        <f>ROUND(H1105/(MID($C1105,9,3)/Basis!$E$3/Basis!$E$9)*Basis!$E$11,0)</f>
        <v>114</v>
      </c>
      <c r="J1105" s="123">
        <f>IF(Basis!$E$1=1,ROUND(H1105/((TaH-TrH)*1.163)/3600,3),ROUND(H1105/(500*(TaH-TrH)),2))</f>
        <v>0.16</v>
      </c>
      <c r="K1105" s="84"/>
      <c r="L1105" s="177">
        <f>CHOOSE(Basis!$E$1,((AJ1105*(J1105*3600/Basis!$E$5)^AK1105*(((MID(C1105,9,3)*10)-244)/1000)*AL1105+AM1105*(J1105*3600/Basis!$E$5)^2)*0.0098)/Basis!$E$10,((AJ1105*(J1105/Basis!$E$5)^AK1105*(((MID(C1105,9,3)*10)-244)/1000)*AL1105+AM1105*(J1105/Basis!$E$5)^2)*0.0098)/Basis!$E$10)</f>
        <v>8.4661709622694155E-3</v>
      </c>
      <c r="M1105" s="85"/>
      <c r="N1105" s="110">
        <v>1.3620000000000001</v>
      </c>
      <c r="O1105" s="74"/>
      <c r="P1105" s="73">
        <v>738</v>
      </c>
      <c r="Q1105" s="74"/>
      <c r="R1105" s="75"/>
      <c r="S1105" s="75"/>
      <c r="T1105" s="75"/>
      <c r="U1105" s="75"/>
      <c r="V1105" s="75"/>
      <c r="W1105" s="74"/>
      <c r="X1105" s="76"/>
      <c r="Y1105" s="76"/>
      <c r="Z1105" s="76"/>
      <c r="AA1105" s="76"/>
      <c r="AB1105" s="76"/>
      <c r="AC1105" s="74"/>
      <c r="AD1105" s="77"/>
      <c r="AE1105" s="77"/>
      <c r="AF1105" s="77"/>
      <c r="AG1105" s="77"/>
      <c r="AH1105" s="77"/>
      <c r="AI1105" s="68"/>
      <c r="AJ1105" s="213">
        <v>6.0625777523108995E-4</v>
      </c>
      <c r="AK1105" s="213">
        <v>1.8894792857555001</v>
      </c>
      <c r="AL1105" s="213">
        <v>1</v>
      </c>
      <c r="AM1105" s="213">
        <v>3.0758017492711002E-4</v>
      </c>
      <c r="AN1105" s="74"/>
      <c r="AO1105" s="73"/>
      <c r="AP1105" s="73"/>
      <c r="AQ1105" s="73"/>
      <c r="AR1105" s="73"/>
      <c r="AS1105" s="73"/>
      <c r="AT1105" s="74"/>
      <c r="AU1105" s="47"/>
      <c r="AV1105" s="48"/>
    </row>
    <row r="1106" spans="1:48" ht="12.75" customHeight="1" x14ac:dyDescent="0.25">
      <c r="A1106" s="72" t="s">
        <v>119</v>
      </c>
      <c r="B1106" s="43" t="s">
        <v>1154</v>
      </c>
      <c r="C1106" s="44" t="s">
        <v>1261</v>
      </c>
      <c r="D1106" s="45">
        <f>MROUND(MID($C1106,6,3)/Basis!$E$3,0.5)</f>
        <v>3.5</v>
      </c>
      <c r="E1106" s="45">
        <f>MROUND(MID($C1106,9,3)/Basis!$E$3,0.5)</f>
        <v>169.5</v>
      </c>
      <c r="F1106" s="199" t="s">
        <v>2950</v>
      </c>
      <c r="G1106" s="45">
        <f>ROUND(MID($C1106,12,2)/Basis!$E$3,1)</f>
        <v>7.1</v>
      </c>
      <c r="H1106" s="120">
        <f>ROUND($P1106*Basis!$E$2*((TaH-TrH)/LN(1/µ)/Basis!$E$7)^$N1106*$AA$4*Glycol,0)</f>
        <v>1905</v>
      </c>
      <c r="I1106" s="83">
        <f>ROUND(H1106/(MID($C1106,9,3)/Basis!$E$3/Basis!$E$9)*Basis!$E$11,0)</f>
        <v>135</v>
      </c>
      <c r="J1106" s="123">
        <f>IF(Basis!$E$1=1,ROUND(H1106/((TaH-TrH)*1.163)/3600,3),ROUND(H1106/(500*(TaH-TrH)),2))</f>
        <v>0.19</v>
      </c>
      <c r="K1106" s="84"/>
      <c r="L1106" s="177">
        <f>CHOOSE(Basis!$E$1,((AJ1106*(J1106*3600/Basis!$E$5)^AK1106*(((MID(C1106,9,3)*10)-244)/1000)*AL1106+AM1106*(J1106*3600/Basis!$E$5)^2)*0.0098)/Basis!$E$10,((AJ1106*(J1106/Basis!$E$5)^AK1106*(((MID(C1106,9,3)*10)-244)/1000)*AL1106+AM1106*(J1106/Basis!$E$5)^2)*0.0098)/Basis!$E$10)</f>
        <v>2.3686353123419886E-2</v>
      </c>
      <c r="M1106" s="85"/>
      <c r="N1106" s="109">
        <v>1.3620000000000001</v>
      </c>
      <c r="O1106" s="68"/>
      <c r="P1106" s="67">
        <v>875</v>
      </c>
      <c r="Q1106" s="68"/>
      <c r="R1106" s="69"/>
      <c r="S1106" s="69"/>
      <c r="T1106" s="69"/>
      <c r="U1106" s="69"/>
      <c r="V1106" s="69"/>
      <c r="W1106" s="68"/>
      <c r="X1106" s="70"/>
      <c r="Y1106" s="70"/>
      <c r="Z1106" s="70"/>
      <c r="AA1106" s="70"/>
      <c r="AB1106" s="70"/>
      <c r="AC1106" s="68"/>
      <c r="AD1106" s="71"/>
      <c r="AE1106" s="71"/>
      <c r="AF1106" s="71"/>
      <c r="AG1106" s="71"/>
      <c r="AH1106" s="71"/>
      <c r="AI1106" s="68"/>
      <c r="AJ1106" s="214">
        <v>9.3669999999999995E-4</v>
      </c>
      <c r="AK1106" s="214">
        <v>1.789841</v>
      </c>
      <c r="AL1106" s="214">
        <v>2</v>
      </c>
      <c r="AM1106" s="214">
        <v>4.4559999999999999E-4</v>
      </c>
      <c r="AN1106" s="68"/>
      <c r="AO1106" s="67"/>
      <c r="AP1106" s="67"/>
      <c r="AQ1106" s="67"/>
      <c r="AR1106" s="67"/>
      <c r="AS1106" s="67"/>
      <c r="AT1106" s="68"/>
      <c r="AU1106" s="49"/>
      <c r="AV1106" s="50"/>
    </row>
    <row r="1107" spans="1:48" ht="12.75" customHeight="1" x14ac:dyDescent="0.25">
      <c r="A1107" s="72" t="s">
        <v>119</v>
      </c>
      <c r="B1107" s="43" t="s">
        <v>1154</v>
      </c>
      <c r="C1107" s="44" t="s">
        <v>1262</v>
      </c>
      <c r="D1107" s="45">
        <f>MROUND(MID($C1107,6,3)/Basis!$E$3,0.5)</f>
        <v>3.5</v>
      </c>
      <c r="E1107" s="45">
        <f>MROUND(MID($C1107,9,3)/Basis!$E$3,0.5)</f>
        <v>169.5</v>
      </c>
      <c r="F1107" s="199" t="s">
        <v>2950</v>
      </c>
      <c r="G1107" s="45">
        <f>ROUND(MID($C1107,12,2)/Basis!$E$3,1)</f>
        <v>10.199999999999999</v>
      </c>
      <c r="H1107" s="120">
        <f>ROUND($P1107*Basis!$E$2*((TaH-TrH)/LN(1/µ)/Basis!$E$7)^$N1107*$AA$4*Glycol,0)</f>
        <v>2503</v>
      </c>
      <c r="I1107" s="83">
        <f>ROUND(H1107/(MID($C1107,9,3)/Basis!$E$3/Basis!$E$9)*Basis!$E$11,0)</f>
        <v>177</v>
      </c>
      <c r="J1107" s="123">
        <f>IF(Basis!$E$1=1,ROUND(H1107/((TaH-TrH)*1.163)/3600,3),ROUND(H1107/(500*(TaH-TrH)),2))</f>
        <v>0.25</v>
      </c>
      <c r="K1107" s="84"/>
      <c r="L1107" s="177">
        <f>CHOOSE(Basis!$E$1,((AJ1107*(J1107*3600/Basis!$E$5)^AK1107*(((MID(C1107,9,3)*10)-244)/1000)*AL1107+AM1107*(J1107*3600/Basis!$E$5)^2)*0.0098)/Basis!$E$10,((AJ1107*(J1107/Basis!$E$5)^AK1107*(((MID(C1107,9,3)*10)-244)/1000)*AL1107+AM1107*(J1107/Basis!$E$5)^2)*0.0098)/Basis!$E$10)</f>
        <v>3.8973240421139838E-2</v>
      </c>
      <c r="M1107" s="85"/>
      <c r="N1107" s="110">
        <v>1.3620000000000001</v>
      </c>
      <c r="O1107" s="74"/>
      <c r="P1107" s="73">
        <v>1150</v>
      </c>
      <c r="Q1107" s="74"/>
      <c r="R1107" s="75"/>
      <c r="S1107" s="75"/>
      <c r="T1107" s="75"/>
      <c r="U1107" s="75"/>
      <c r="V1107" s="75"/>
      <c r="W1107" s="74"/>
      <c r="X1107" s="76"/>
      <c r="Y1107" s="76"/>
      <c r="Z1107" s="76"/>
      <c r="AA1107" s="76"/>
      <c r="AB1107" s="76"/>
      <c r="AC1107" s="74"/>
      <c r="AD1107" s="77"/>
      <c r="AE1107" s="77"/>
      <c r="AF1107" s="77"/>
      <c r="AG1107" s="77"/>
      <c r="AH1107" s="77"/>
      <c r="AI1107" s="68"/>
      <c r="AJ1107" s="213">
        <v>9.3669999999999995E-4</v>
      </c>
      <c r="AK1107" s="213">
        <v>1.789841</v>
      </c>
      <c r="AL1107" s="213">
        <v>2</v>
      </c>
      <c r="AM1107" s="213">
        <v>4.4559999999999999E-4</v>
      </c>
      <c r="AN1107" s="74"/>
      <c r="AO1107" s="73"/>
      <c r="AP1107" s="73"/>
      <c r="AQ1107" s="73"/>
      <c r="AR1107" s="73"/>
      <c r="AS1107" s="73"/>
      <c r="AT1107" s="74"/>
      <c r="AU1107" s="47"/>
      <c r="AV1107" s="48"/>
    </row>
    <row r="1108" spans="1:48" ht="12.75" customHeight="1" x14ac:dyDescent="0.25">
      <c r="A1108" s="72" t="s">
        <v>119</v>
      </c>
      <c r="B1108" s="43" t="s">
        <v>1154</v>
      </c>
      <c r="C1108" s="44" t="s">
        <v>1263</v>
      </c>
      <c r="D1108" s="45">
        <f>MROUND(MID($C1108,6,3)/Basis!$E$3,0.5)</f>
        <v>3.5</v>
      </c>
      <c r="E1108" s="45">
        <f>MROUND(MID($C1108,9,3)/Basis!$E$3,0.5)</f>
        <v>169.5</v>
      </c>
      <c r="F1108" s="199" t="s">
        <v>2950</v>
      </c>
      <c r="G1108" s="45">
        <f>ROUND(MID($C1108,12,2)/Basis!$E$3,1)</f>
        <v>13.4</v>
      </c>
      <c r="H1108" s="120">
        <f>ROUND($P1108*Basis!$E$2*((TaH-TrH)/LN(1/µ)/Basis!$E$7)^$N1108*$AA$4*Glycol,0)</f>
        <v>3248</v>
      </c>
      <c r="I1108" s="83">
        <f>ROUND(H1108/(MID($C1108,9,3)/Basis!$E$3/Basis!$E$9)*Basis!$E$11,0)</f>
        <v>230</v>
      </c>
      <c r="J1108" s="123">
        <f>IF(Basis!$E$1=1,ROUND(H1108/((TaH-TrH)*1.163)/3600,3),ROUND(H1108/(500*(TaH-TrH)),2))</f>
        <v>0.32</v>
      </c>
      <c r="K1108" s="84"/>
      <c r="L1108" s="177">
        <f>CHOOSE(Basis!$E$1,((AJ1108*(J1108*3600/Basis!$E$5)^AK1108*(((MID(C1108,9,3)*10)-244)/1000)*AL1108+AM1108*(J1108*3600/Basis!$E$5)^2)*0.0098)/Basis!$E$10,((AJ1108*(J1108/Basis!$E$5)^AK1108*(((MID(C1108,9,3)*10)-244)/1000)*AL1108+AM1108*(J1108/Basis!$E$5)^2)*0.0098)/Basis!$E$10)</f>
        <v>9.5571672050870984E-2</v>
      </c>
      <c r="M1108" s="85"/>
      <c r="N1108" s="109">
        <v>1.3620000000000001</v>
      </c>
      <c r="O1108" s="68"/>
      <c r="P1108" s="67">
        <v>1492</v>
      </c>
      <c r="Q1108" s="68"/>
      <c r="R1108" s="69"/>
      <c r="S1108" s="69"/>
      <c r="T1108" s="69"/>
      <c r="U1108" s="69"/>
      <c r="V1108" s="69"/>
      <c r="W1108" s="68"/>
      <c r="X1108" s="70"/>
      <c r="Y1108" s="70"/>
      <c r="Z1108" s="70"/>
      <c r="AA1108" s="70"/>
      <c r="AB1108" s="70"/>
      <c r="AC1108" s="68"/>
      <c r="AD1108" s="71"/>
      <c r="AE1108" s="71"/>
      <c r="AF1108" s="71"/>
      <c r="AG1108" s="71"/>
      <c r="AH1108" s="71"/>
      <c r="AI1108" s="68"/>
      <c r="AJ1108" s="214">
        <v>1.3162765859195E-2</v>
      </c>
      <c r="AK1108" s="214">
        <v>1.4286501188989</v>
      </c>
      <c r="AL1108" s="214">
        <v>1</v>
      </c>
      <c r="AM1108" s="214">
        <v>9.2091836734694004E-4</v>
      </c>
      <c r="AN1108" s="68"/>
      <c r="AO1108" s="67"/>
      <c r="AP1108" s="67"/>
      <c r="AQ1108" s="67"/>
      <c r="AR1108" s="67"/>
      <c r="AS1108" s="67"/>
      <c r="AT1108" s="68"/>
      <c r="AU1108" s="49"/>
      <c r="AV1108" s="50"/>
    </row>
    <row r="1109" spans="1:48" ht="12.75" customHeight="1" x14ac:dyDescent="0.25">
      <c r="A1109" s="72" t="s">
        <v>119</v>
      </c>
      <c r="B1109" s="43" t="s">
        <v>1154</v>
      </c>
      <c r="C1109" s="44" t="s">
        <v>1264</v>
      </c>
      <c r="D1109" s="45">
        <f>MROUND(MID($C1109,6,3)/Basis!$E$3,0.5)</f>
        <v>3.5</v>
      </c>
      <c r="E1109" s="45">
        <f>MROUND(MID($C1109,9,3)/Basis!$E$3,0.5)</f>
        <v>169.5</v>
      </c>
      <c r="F1109" s="199" t="s">
        <v>2950</v>
      </c>
      <c r="G1109" s="45">
        <f>ROUND(MID($C1109,12,2)/Basis!$E$3,1)</f>
        <v>16.5</v>
      </c>
      <c r="H1109" s="120">
        <f>ROUND($P1109*Basis!$E$2*((TaH-TrH)/LN(1/µ)/Basis!$E$7)^$N1109*$AA$4*Glycol,0)</f>
        <v>4689</v>
      </c>
      <c r="I1109" s="83">
        <f>ROUND(H1109/(MID($C1109,9,3)/Basis!$E$3/Basis!$E$9)*Basis!$E$11,0)</f>
        <v>332</v>
      </c>
      <c r="J1109" s="123">
        <f>IF(Basis!$E$1=1,ROUND(H1109/((TaH-TrH)*1.163)/3600,3),ROUND(H1109/(500*(TaH-TrH)),2))</f>
        <v>0.47</v>
      </c>
      <c r="K1109" s="84"/>
      <c r="L1109" s="177">
        <f>CHOOSE(Basis!$E$1,((AJ1109*(J1109*3600/Basis!$E$5)^AK1109*(((MID(C1109,9,3)*10)-244)/1000)*AL1109+AM1109*(J1109*3600/Basis!$E$5)^2)*0.0098)/Basis!$E$10,((AJ1109*(J1109/Basis!$E$5)^AK1109*(((MID(C1109,9,3)*10)-244)/1000)*AL1109+AM1109*(J1109/Basis!$E$5)^2)*0.0098)/Basis!$E$10)</f>
        <v>4.841818442896767E-2</v>
      </c>
      <c r="M1109" s="85"/>
      <c r="N1109" s="110">
        <v>1.3620000000000001</v>
      </c>
      <c r="O1109" s="74"/>
      <c r="P1109" s="73">
        <v>2154</v>
      </c>
      <c r="Q1109" s="74"/>
      <c r="R1109" s="75"/>
      <c r="S1109" s="75"/>
      <c r="T1109" s="75"/>
      <c r="U1109" s="75"/>
      <c r="V1109" s="75"/>
      <c r="W1109" s="74"/>
      <c r="X1109" s="76"/>
      <c r="Y1109" s="76"/>
      <c r="Z1109" s="76"/>
      <c r="AA1109" s="76"/>
      <c r="AB1109" s="76"/>
      <c r="AC1109" s="74"/>
      <c r="AD1109" s="77"/>
      <c r="AE1109" s="77"/>
      <c r="AF1109" s="77"/>
      <c r="AG1109" s="77"/>
      <c r="AH1109" s="77"/>
      <c r="AI1109" s="68"/>
      <c r="AJ1109" s="213">
        <v>3.9689999999999994E-4</v>
      </c>
      <c r="AK1109" s="213">
        <v>1.7345999999999999</v>
      </c>
      <c r="AL1109" s="213">
        <v>2</v>
      </c>
      <c r="AM1109" s="213">
        <v>3.6734700000000002E-4</v>
      </c>
      <c r="AN1109" s="74"/>
      <c r="AO1109" s="73"/>
      <c r="AP1109" s="73"/>
      <c r="AQ1109" s="73"/>
      <c r="AR1109" s="73"/>
      <c r="AS1109" s="73"/>
      <c r="AT1109" s="74"/>
      <c r="AU1109" s="47"/>
      <c r="AV1109" s="48"/>
    </row>
    <row r="1110" spans="1:48" ht="12.75" customHeight="1" x14ac:dyDescent="0.25">
      <c r="A1110" s="72" t="s">
        <v>119</v>
      </c>
      <c r="B1110" s="43" t="s">
        <v>1154</v>
      </c>
      <c r="C1110" s="44" t="s">
        <v>1265</v>
      </c>
      <c r="D1110" s="45">
        <f>MROUND(MID($C1110,6,3)/Basis!$E$3,0.5)</f>
        <v>3.5</v>
      </c>
      <c r="E1110" s="45">
        <f>MROUND(MID($C1110,9,3)/Basis!$E$3,0.5)</f>
        <v>177</v>
      </c>
      <c r="F1110" s="199" t="s">
        <v>2950</v>
      </c>
      <c r="G1110" s="45">
        <f>ROUND(MID($C1110,12,2)/Basis!$E$3,1)</f>
        <v>5.5</v>
      </c>
      <c r="H1110" s="120">
        <f>ROUND($P1110*Basis!$E$2*((TaH-TrH)/LN(1/µ)/Basis!$E$7)^$N1110*$AA$4*Glycol,0)</f>
        <v>1689</v>
      </c>
      <c r="I1110" s="83">
        <f>ROUND(H1110/(MID($C1110,9,3)/Basis!$E$3/Basis!$E$9)*Basis!$E$11,0)</f>
        <v>114</v>
      </c>
      <c r="J1110" s="123">
        <f>IF(Basis!$E$1=1,ROUND(H1110/((TaH-TrH)*1.163)/3600,3),ROUND(H1110/(500*(TaH-TrH)),2))</f>
        <v>0.17</v>
      </c>
      <c r="K1110" s="84"/>
      <c r="L1110" s="177">
        <f>CHOOSE(Basis!$E$1,((AJ1110*(J1110*3600/Basis!$E$5)^AK1110*(((MID(C1110,9,3)*10)-244)/1000)*AL1110+AM1110*(J1110*3600/Basis!$E$5)^2)*0.0098)/Basis!$E$10,((AJ1110*(J1110/Basis!$E$5)^AK1110*(((MID(C1110,9,3)*10)-244)/1000)*AL1110+AM1110*(J1110/Basis!$E$5)^2)*0.0098)/Basis!$E$10)</f>
        <v>9.898395071802216E-3</v>
      </c>
      <c r="M1110" s="85"/>
      <c r="N1110" s="109">
        <v>1.3620000000000001</v>
      </c>
      <c r="O1110" s="68"/>
      <c r="P1110" s="67">
        <v>776</v>
      </c>
      <c r="Q1110" s="68"/>
      <c r="R1110" s="69"/>
      <c r="S1110" s="69"/>
      <c r="T1110" s="69"/>
      <c r="U1110" s="69"/>
      <c r="V1110" s="69"/>
      <c r="W1110" s="68"/>
      <c r="X1110" s="70"/>
      <c r="Y1110" s="70"/>
      <c r="Z1110" s="70"/>
      <c r="AA1110" s="70"/>
      <c r="AB1110" s="70"/>
      <c r="AC1110" s="68"/>
      <c r="AD1110" s="71"/>
      <c r="AE1110" s="71"/>
      <c r="AF1110" s="71"/>
      <c r="AG1110" s="71"/>
      <c r="AH1110" s="71"/>
      <c r="AI1110" s="68"/>
      <c r="AJ1110" s="214">
        <v>6.0625777523108995E-4</v>
      </c>
      <c r="AK1110" s="214">
        <v>1.8894792857555001</v>
      </c>
      <c r="AL1110" s="214">
        <v>1</v>
      </c>
      <c r="AM1110" s="214">
        <v>3.0758017492711002E-4</v>
      </c>
      <c r="AN1110" s="68"/>
      <c r="AO1110" s="67"/>
      <c r="AP1110" s="67"/>
      <c r="AQ1110" s="67"/>
      <c r="AR1110" s="67"/>
      <c r="AS1110" s="67"/>
      <c r="AT1110" s="68"/>
      <c r="AU1110" s="49"/>
      <c r="AV1110" s="50"/>
    </row>
    <row r="1111" spans="1:48" ht="12.75" customHeight="1" x14ac:dyDescent="0.25">
      <c r="A1111" s="72" t="s">
        <v>119</v>
      </c>
      <c r="B1111" s="43" t="s">
        <v>1154</v>
      </c>
      <c r="C1111" s="44" t="s">
        <v>1266</v>
      </c>
      <c r="D1111" s="45">
        <f>MROUND(MID($C1111,6,3)/Basis!$E$3,0.5)</f>
        <v>3.5</v>
      </c>
      <c r="E1111" s="45">
        <f>MROUND(MID($C1111,9,3)/Basis!$E$3,0.5)</f>
        <v>177</v>
      </c>
      <c r="F1111" s="199" t="s">
        <v>2950</v>
      </c>
      <c r="G1111" s="45">
        <f>ROUND(MID($C1111,12,2)/Basis!$E$3,1)</f>
        <v>7.1</v>
      </c>
      <c r="H1111" s="120">
        <f>ROUND($P1111*Basis!$E$2*((TaH-TrH)/LN(1/µ)/Basis!$E$7)^$N1111*$AA$4*Glycol,0)</f>
        <v>2000</v>
      </c>
      <c r="I1111" s="83">
        <f>ROUND(H1111/(MID($C1111,9,3)/Basis!$E$3/Basis!$E$9)*Basis!$E$11,0)</f>
        <v>135</v>
      </c>
      <c r="J1111" s="123">
        <f>IF(Basis!$E$1=1,ROUND(H1111/((TaH-TrH)*1.163)/3600,3),ROUND(H1111/(500*(TaH-TrH)),2))</f>
        <v>0.2</v>
      </c>
      <c r="K1111" s="84"/>
      <c r="L1111" s="177">
        <f>CHOOSE(Basis!$E$1,((AJ1111*(J1111*3600/Basis!$E$5)^AK1111*(((MID(C1111,9,3)*10)-244)/1000)*AL1111+AM1111*(J1111*3600/Basis!$E$5)^2)*0.0098)/Basis!$E$10,((AJ1111*(J1111/Basis!$E$5)^AK1111*(((MID(C1111,9,3)*10)-244)/1000)*AL1111+AM1111*(J1111/Basis!$E$5)^2)*0.0098)/Basis!$E$10)</f>
        <v>2.7129718376547686E-2</v>
      </c>
      <c r="M1111" s="85"/>
      <c r="N1111" s="110">
        <v>1.3620000000000001</v>
      </c>
      <c r="O1111" s="74"/>
      <c r="P1111" s="73">
        <v>919</v>
      </c>
      <c r="Q1111" s="74"/>
      <c r="R1111" s="75"/>
      <c r="S1111" s="75"/>
      <c r="T1111" s="75"/>
      <c r="U1111" s="75"/>
      <c r="V1111" s="75"/>
      <c r="W1111" s="74"/>
      <c r="X1111" s="76"/>
      <c r="Y1111" s="76"/>
      <c r="Z1111" s="76"/>
      <c r="AA1111" s="76"/>
      <c r="AB1111" s="76"/>
      <c r="AC1111" s="74"/>
      <c r="AD1111" s="77"/>
      <c r="AE1111" s="77"/>
      <c r="AF1111" s="77"/>
      <c r="AG1111" s="77"/>
      <c r="AH1111" s="77"/>
      <c r="AI1111" s="68"/>
      <c r="AJ1111" s="213">
        <v>9.3669999999999995E-4</v>
      </c>
      <c r="AK1111" s="213">
        <v>1.789841</v>
      </c>
      <c r="AL1111" s="213">
        <v>2</v>
      </c>
      <c r="AM1111" s="213">
        <v>4.4559999999999999E-4</v>
      </c>
      <c r="AN1111" s="74"/>
      <c r="AO1111" s="73"/>
      <c r="AP1111" s="73"/>
      <c r="AQ1111" s="73"/>
      <c r="AR1111" s="73"/>
      <c r="AS1111" s="73"/>
      <c r="AT1111" s="74"/>
      <c r="AU1111" s="47"/>
      <c r="AV1111" s="48"/>
    </row>
    <row r="1112" spans="1:48" ht="12.75" customHeight="1" x14ac:dyDescent="0.25">
      <c r="A1112" s="72" t="s">
        <v>119</v>
      </c>
      <c r="B1112" s="43" t="s">
        <v>1154</v>
      </c>
      <c r="C1112" s="44" t="s">
        <v>1267</v>
      </c>
      <c r="D1112" s="45">
        <f>MROUND(MID($C1112,6,3)/Basis!$E$3,0.5)</f>
        <v>3.5</v>
      </c>
      <c r="E1112" s="45">
        <f>MROUND(MID($C1112,9,3)/Basis!$E$3,0.5)</f>
        <v>177</v>
      </c>
      <c r="F1112" s="199" t="s">
        <v>2950</v>
      </c>
      <c r="G1112" s="45">
        <f>ROUND(MID($C1112,12,2)/Basis!$E$3,1)</f>
        <v>10.199999999999999</v>
      </c>
      <c r="H1112" s="120">
        <f>ROUND($P1112*Basis!$E$2*((TaH-TrH)/LN(1/µ)/Basis!$E$7)^$N1112*$AA$4*Glycol,0)</f>
        <v>2629</v>
      </c>
      <c r="I1112" s="83">
        <f>ROUND(H1112/(MID($C1112,9,3)/Basis!$E$3/Basis!$E$9)*Basis!$E$11,0)</f>
        <v>178</v>
      </c>
      <c r="J1112" s="123">
        <f>IF(Basis!$E$1=1,ROUND(H1112/((TaH-TrH)*1.163)/3600,3),ROUND(H1112/(500*(TaH-TrH)),2))</f>
        <v>0.26</v>
      </c>
      <c r="K1112" s="84"/>
      <c r="L1112" s="177">
        <f>CHOOSE(Basis!$E$1,((AJ1112*(J1112*3600/Basis!$E$5)^AK1112*(((MID(C1112,9,3)*10)-244)/1000)*AL1112+AM1112*(J1112*3600/Basis!$E$5)^2)*0.0098)/Basis!$E$10,((AJ1112*(J1112/Basis!$E$5)^AK1112*(((MID(C1112,9,3)*10)-244)/1000)*AL1112+AM1112*(J1112/Basis!$E$5)^2)*0.0098)/Basis!$E$10)</f>
        <v>4.3662173697369439E-2</v>
      </c>
      <c r="M1112" s="85"/>
      <c r="N1112" s="109">
        <v>1.3620000000000001</v>
      </c>
      <c r="O1112" s="68"/>
      <c r="P1112" s="67">
        <v>1208</v>
      </c>
      <c r="Q1112" s="68"/>
      <c r="R1112" s="69"/>
      <c r="S1112" s="69"/>
      <c r="T1112" s="69"/>
      <c r="U1112" s="69"/>
      <c r="V1112" s="69"/>
      <c r="W1112" s="68"/>
      <c r="X1112" s="70"/>
      <c r="Y1112" s="70"/>
      <c r="Z1112" s="70"/>
      <c r="AA1112" s="70"/>
      <c r="AB1112" s="70"/>
      <c r="AC1112" s="68"/>
      <c r="AD1112" s="71"/>
      <c r="AE1112" s="71"/>
      <c r="AF1112" s="71"/>
      <c r="AG1112" s="71"/>
      <c r="AH1112" s="71"/>
      <c r="AI1112" s="68"/>
      <c r="AJ1112" s="214">
        <v>9.3669999999999995E-4</v>
      </c>
      <c r="AK1112" s="214">
        <v>1.789841</v>
      </c>
      <c r="AL1112" s="214">
        <v>2</v>
      </c>
      <c r="AM1112" s="214">
        <v>4.4559999999999999E-4</v>
      </c>
      <c r="AN1112" s="68"/>
      <c r="AO1112" s="67"/>
      <c r="AP1112" s="67"/>
      <c r="AQ1112" s="67"/>
      <c r="AR1112" s="67"/>
      <c r="AS1112" s="67"/>
      <c r="AT1112" s="68"/>
      <c r="AU1112" s="49"/>
      <c r="AV1112" s="50"/>
    </row>
    <row r="1113" spans="1:48" ht="12.75" customHeight="1" x14ac:dyDescent="0.25">
      <c r="A1113" s="72" t="s">
        <v>119</v>
      </c>
      <c r="B1113" s="43" t="s">
        <v>1154</v>
      </c>
      <c r="C1113" s="44" t="s">
        <v>1268</v>
      </c>
      <c r="D1113" s="45">
        <f>MROUND(MID($C1113,6,3)/Basis!$E$3,0.5)</f>
        <v>3.5</v>
      </c>
      <c r="E1113" s="45">
        <f>MROUND(MID($C1113,9,3)/Basis!$E$3,0.5)</f>
        <v>177</v>
      </c>
      <c r="F1113" s="199" t="s">
        <v>2950</v>
      </c>
      <c r="G1113" s="45">
        <f>ROUND(MID($C1113,12,2)/Basis!$E$3,1)</f>
        <v>13.4</v>
      </c>
      <c r="H1113" s="120">
        <f>ROUND($P1113*Basis!$E$2*((TaH-TrH)/LN(1/µ)/Basis!$E$7)^$N1113*$AA$4*Glycol,0)</f>
        <v>3411</v>
      </c>
      <c r="I1113" s="83">
        <f>ROUND(H1113/(MID($C1113,9,3)/Basis!$E$3/Basis!$E$9)*Basis!$E$11,0)</f>
        <v>231</v>
      </c>
      <c r="J1113" s="123">
        <f>IF(Basis!$E$1=1,ROUND(H1113/((TaH-TrH)*1.163)/3600,3),ROUND(H1113/(500*(TaH-TrH)),2))</f>
        <v>0.34</v>
      </c>
      <c r="K1113" s="84"/>
      <c r="L1113" s="177">
        <f>CHOOSE(Basis!$E$1,((AJ1113*(J1113*3600/Basis!$E$5)^AK1113*(((MID(C1113,9,3)*10)-244)/1000)*AL1113+AM1113*(J1113*3600/Basis!$E$5)^2)*0.0098)/Basis!$E$10,((AJ1113*(J1113/Basis!$E$5)^AK1113*(((MID(C1113,9,3)*10)-244)/1000)*AL1113+AM1113*(J1113/Basis!$E$5)^2)*0.0098)/Basis!$E$10)</f>
        <v>0.10911332398040198</v>
      </c>
      <c r="M1113" s="85"/>
      <c r="N1113" s="110">
        <v>1.3620000000000001</v>
      </c>
      <c r="O1113" s="74"/>
      <c r="P1113" s="73">
        <v>1567</v>
      </c>
      <c r="Q1113" s="74"/>
      <c r="R1113" s="75"/>
      <c r="S1113" s="75"/>
      <c r="T1113" s="75"/>
      <c r="U1113" s="75"/>
      <c r="V1113" s="75"/>
      <c r="W1113" s="74"/>
      <c r="X1113" s="76"/>
      <c r="Y1113" s="76"/>
      <c r="Z1113" s="76"/>
      <c r="AA1113" s="76"/>
      <c r="AB1113" s="76"/>
      <c r="AC1113" s="74"/>
      <c r="AD1113" s="77"/>
      <c r="AE1113" s="77"/>
      <c r="AF1113" s="77"/>
      <c r="AG1113" s="77"/>
      <c r="AH1113" s="77"/>
      <c r="AI1113" s="68"/>
      <c r="AJ1113" s="213">
        <v>1.3162765859195E-2</v>
      </c>
      <c r="AK1113" s="213">
        <v>1.4286501188989</v>
      </c>
      <c r="AL1113" s="213">
        <v>1</v>
      </c>
      <c r="AM1113" s="213">
        <v>9.2091836734694004E-4</v>
      </c>
      <c r="AN1113" s="74"/>
      <c r="AO1113" s="73"/>
      <c r="AP1113" s="73"/>
      <c r="AQ1113" s="73"/>
      <c r="AR1113" s="73"/>
      <c r="AS1113" s="73"/>
      <c r="AT1113" s="74"/>
      <c r="AU1113" s="47"/>
      <c r="AV1113" s="48"/>
    </row>
    <row r="1114" spans="1:48" ht="12.75" customHeight="1" x14ac:dyDescent="0.25">
      <c r="A1114" s="72" t="s">
        <v>119</v>
      </c>
      <c r="B1114" s="43" t="s">
        <v>1154</v>
      </c>
      <c r="C1114" s="44" t="s">
        <v>1269</v>
      </c>
      <c r="D1114" s="45">
        <f>MROUND(MID($C1114,6,3)/Basis!$E$3,0.5)</f>
        <v>3.5</v>
      </c>
      <c r="E1114" s="45">
        <f>MROUND(MID($C1114,9,3)/Basis!$E$3,0.5)</f>
        <v>177</v>
      </c>
      <c r="F1114" s="199" t="s">
        <v>2950</v>
      </c>
      <c r="G1114" s="45">
        <f>ROUND(MID($C1114,12,2)/Basis!$E$3,1)</f>
        <v>16.5</v>
      </c>
      <c r="H1114" s="120">
        <f>ROUND($P1114*Basis!$E$2*((TaH-TrH)/LN(1/µ)/Basis!$E$7)^$N1114*$AA$4*Glycol,0)</f>
        <v>4924</v>
      </c>
      <c r="I1114" s="83">
        <f>ROUND(H1114/(MID($C1114,9,3)/Basis!$E$3/Basis!$E$9)*Basis!$E$11,0)</f>
        <v>334</v>
      </c>
      <c r="J1114" s="123">
        <f>IF(Basis!$E$1=1,ROUND(H1114/((TaH-TrH)*1.163)/3600,3),ROUND(H1114/(500*(TaH-TrH)),2))</f>
        <v>0.49</v>
      </c>
      <c r="K1114" s="84"/>
      <c r="L1114" s="177">
        <f>CHOOSE(Basis!$E$1,((AJ1114*(J1114*3600/Basis!$E$5)^AK1114*(((MID(C1114,9,3)*10)-244)/1000)*AL1114+AM1114*(J1114*3600/Basis!$E$5)^2)*0.0098)/Basis!$E$10,((AJ1114*(J1114/Basis!$E$5)^AK1114*(((MID(C1114,9,3)*10)-244)/1000)*AL1114+AM1114*(J1114/Basis!$E$5)^2)*0.0098)/Basis!$E$10)</f>
        <v>5.4052303613277335E-2</v>
      </c>
      <c r="M1114" s="85"/>
      <c r="N1114" s="109">
        <v>1.3620000000000001</v>
      </c>
      <c r="O1114" s="68"/>
      <c r="P1114" s="67">
        <v>2262</v>
      </c>
      <c r="Q1114" s="68"/>
      <c r="R1114" s="69"/>
      <c r="S1114" s="69"/>
      <c r="T1114" s="69"/>
      <c r="U1114" s="69"/>
      <c r="V1114" s="69"/>
      <c r="W1114" s="68"/>
      <c r="X1114" s="70"/>
      <c r="Y1114" s="70"/>
      <c r="Z1114" s="70"/>
      <c r="AA1114" s="70"/>
      <c r="AB1114" s="70"/>
      <c r="AC1114" s="68"/>
      <c r="AD1114" s="71"/>
      <c r="AE1114" s="71"/>
      <c r="AF1114" s="71"/>
      <c r="AG1114" s="71"/>
      <c r="AH1114" s="71"/>
      <c r="AI1114" s="68"/>
      <c r="AJ1114" s="214">
        <v>3.9689999999999994E-4</v>
      </c>
      <c r="AK1114" s="214">
        <v>1.7345999999999999</v>
      </c>
      <c r="AL1114" s="214">
        <v>2</v>
      </c>
      <c r="AM1114" s="214">
        <v>3.6734700000000002E-4</v>
      </c>
      <c r="AN1114" s="68"/>
      <c r="AO1114" s="67"/>
      <c r="AP1114" s="67"/>
      <c r="AQ1114" s="67"/>
      <c r="AR1114" s="67"/>
      <c r="AS1114" s="67"/>
      <c r="AT1114" s="68"/>
      <c r="AU1114" s="49"/>
      <c r="AV1114" s="50"/>
    </row>
    <row r="1115" spans="1:48" ht="12.75" customHeight="1" x14ac:dyDescent="0.25">
      <c r="A1115" s="72" t="s">
        <v>119</v>
      </c>
      <c r="B1115" s="43" t="s">
        <v>1154</v>
      </c>
      <c r="C1115" s="44" t="s">
        <v>1270</v>
      </c>
      <c r="D1115" s="45">
        <f>MROUND(MID($C1115,6,3)/Basis!$E$3,0.5)</f>
        <v>3.5</v>
      </c>
      <c r="E1115" s="45">
        <f>MROUND(MID($C1115,9,3)/Basis!$E$3,0.5)</f>
        <v>185</v>
      </c>
      <c r="F1115" s="199" t="s">
        <v>2950</v>
      </c>
      <c r="G1115" s="45">
        <f>ROUND(MID($C1115,12,2)/Basis!$E$3,1)</f>
        <v>5.5</v>
      </c>
      <c r="H1115" s="120">
        <f>ROUND($P1115*Basis!$E$2*((TaH-TrH)/LN(1/µ)/Basis!$E$7)^$N1115*$AA$4*Glycol,0)</f>
        <v>1770</v>
      </c>
      <c r="I1115" s="83">
        <f>ROUND(H1115/(MID($C1115,9,3)/Basis!$E$3/Basis!$E$9)*Basis!$E$11,0)</f>
        <v>115</v>
      </c>
      <c r="J1115" s="123">
        <f>IF(Basis!$E$1=1,ROUND(H1115/((TaH-TrH)*1.163)/3600,3),ROUND(H1115/(500*(TaH-TrH)),2))</f>
        <v>0.18</v>
      </c>
      <c r="K1115" s="84"/>
      <c r="L1115" s="177">
        <f>CHOOSE(Basis!$E$1,((AJ1115*(J1115*3600/Basis!$E$5)^AK1115*(((MID(C1115,9,3)*10)-244)/1000)*AL1115+AM1115*(J1115*3600/Basis!$E$5)^2)*0.0098)/Basis!$E$10,((AJ1115*(J1115/Basis!$E$5)^AK1115*(((MID(C1115,9,3)*10)-244)/1000)*AL1115+AM1115*(J1115/Basis!$E$5)^2)*0.0098)/Basis!$E$10)</f>
        <v>1.1477572954398052E-2</v>
      </c>
      <c r="M1115" s="85"/>
      <c r="N1115" s="110">
        <v>1.3620000000000001</v>
      </c>
      <c r="O1115" s="74"/>
      <c r="P1115" s="73">
        <v>813</v>
      </c>
      <c r="Q1115" s="74"/>
      <c r="R1115" s="75"/>
      <c r="S1115" s="75"/>
      <c r="T1115" s="75"/>
      <c r="U1115" s="75"/>
      <c r="V1115" s="75"/>
      <c r="W1115" s="74"/>
      <c r="X1115" s="76"/>
      <c r="Y1115" s="76"/>
      <c r="Z1115" s="76"/>
      <c r="AA1115" s="76"/>
      <c r="AB1115" s="76"/>
      <c r="AC1115" s="74"/>
      <c r="AD1115" s="77"/>
      <c r="AE1115" s="77"/>
      <c r="AF1115" s="77"/>
      <c r="AG1115" s="77"/>
      <c r="AH1115" s="77"/>
      <c r="AI1115" s="68"/>
      <c r="AJ1115" s="213">
        <v>6.0625777523108995E-4</v>
      </c>
      <c r="AK1115" s="213">
        <v>1.8894792857555001</v>
      </c>
      <c r="AL1115" s="213">
        <v>1</v>
      </c>
      <c r="AM1115" s="213">
        <v>3.0758017492711002E-4</v>
      </c>
      <c r="AN1115" s="74"/>
      <c r="AO1115" s="73"/>
      <c r="AP1115" s="73"/>
      <c r="AQ1115" s="73"/>
      <c r="AR1115" s="73"/>
      <c r="AS1115" s="73"/>
      <c r="AT1115" s="74"/>
      <c r="AU1115" s="47"/>
      <c r="AV1115" s="48"/>
    </row>
    <row r="1116" spans="1:48" ht="12.75" customHeight="1" x14ac:dyDescent="0.25">
      <c r="A1116" s="72" t="s">
        <v>119</v>
      </c>
      <c r="B1116" s="43" t="s">
        <v>1154</v>
      </c>
      <c r="C1116" s="44" t="s">
        <v>1271</v>
      </c>
      <c r="D1116" s="45">
        <f>MROUND(MID($C1116,6,3)/Basis!$E$3,0.5)</f>
        <v>3.5</v>
      </c>
      <c r="E1116" s="45">
        <f>MROUND(MID($C1116,9,3)/Basis!$E$3,0.5)</f>
        <v>185</v>
      </c>
      <c r="F1116" s="199" t="s">
        <v>2950</v>
      </c>
      <c r="G1116" s="45">
        <f>ROUND(MID($C1116,12,2)/Basis!$E$3,1)</f>
        <v>7.1</v>
      </c>
      <c r="H1116" s="120">
        <f>ROUND($P1116*Basis!$E$2*((TaH-TrH)/LN(1/µ)/Basis!$E$7)^$N1116*$AA$4*Glycol,0)</f>
        <v>2094</v>
      </c>
      <c r="I1116" s="83">
        <f>ROUND(H1116/(MID($C1116,9,3)/Basis!$E$3/Basis!$E$9)*Basis!$E$11,0)</f>
        <v>136</v>
      </c>
      <c r="J1116" s="123">
        <f>IF(Basis!$E$1=1,ROUND(H1116/((TaH-TrH)*1.163)/3600,3),ROUND(H1116/(500*(TaH-TrH)),2))</f>
        <v>0.21</v>
      </c>
      <c r="K1116" s="84"/>
      <c r="L1116" s="177">
        <f>CHOOSE(Basis!$E$1,((AJ1116*(J1116*3600/Basis!$E$5)^AK1116*(((MID(C1116,9,3)*10)-244)/1000)*AL1116+AM1116*(J1116*3600/Basis!$E$5)^2)*0.0098)/Basis!$E$10,((AJ1116*(J1116/Basis!$E$5)^AK1116*(((MID(C1116,9,3)*10)-244)/1000)*AL1116+AM1116*(J1116/Basis!$E$5)^2)*0.0098)/Basis!$E$10)</f>
        <v>3.0876262495827287E-2</v>
      </c>
      <c r="M1116" s="85"/>
      <c r="N1116" s="109">
        <v>1.3620000000000001</v>
      </c>
      <c r="O1116" s="68"/>
      <c r="P1116" s="67">
        <v>962</v>
      </c>
      <c r="Q1116" s="68"/>
      <c r="R1116" s="69"/>
      <c r="S1116" s="69"/>
      <c r="T1116" s="69"/>
      <c r="U1116" s="69"/>
      <c r="V1116" s="69"/>
      <c r="W1116" s="68"/>
      <c r="X1116" s="70"/>
      <c r="Y1116" s="70"/>
      <c r="Z1116" s="70"/>
      <c r="AA1116" s="70"/>
      <c r="AB1116" s="70"/>
      <c r="AC1116" s="68"/>
      <c r="AD1116" s="71"/>
      <c r="AE1116" s="71"/>
      <c r="AF1116" s="71"/>
      <c r="AG1116" s="71"/>
      <c r="AH1116" s="71"/>
      <c r="AI1116" s="68"/>
      <c r="AJ1116" s="214">
        <v>9.3669999999999995E-4</v>
      </c>
      <c r="AK1116" s="214">
        <v>1.789841</v>
      </c>
      <c r="AL1116" s="214">
        <v>2</v>
      </c>
      <c r="AM1116" s="214">
        <v>4.4559999999999999E-4</v>
      </c>
      <c r="AN1116" s="68"/>
      <c r="AO1116" s="67"/>
      <c r="AP1116" s="67"/>
      <c r="AQ1116" s="67"/>
      <c r="AR1116" s="67"/>
      <c r="AS1116" s="67"/>
      <c r="AT1116" s="68"/>
      <c r="AU1116" s="49"/>
      <c r="AV1116" s="50"/>
    </row>
    <row r="1117" spans="1:48" ht="12.75" customHeight="1" x14ac:dyDescent="0.25">
      <c r="A1117" s="72" t="s">
        <v>119</v>
      </c>
      <c r="B1117" s="43" t="s">
        <v>1154</v>
      </c>
      <c r="C1117" s="44" t="s">
        <v>1272</v>
      </c>
      <c r="D1117" s="45">
        <f>MROUND(MID($C1117,6,3)/Basis!$E$3,0.5)</f>
        <v>3.5</v>
      </c>
      <c r="E1117" s="45">
        <f>MROUND(MID($C1117,9,3)/Basis!$E$3,0.5)</f>
        <v>185</v>
      </c>
      <c r="F1117" s="199" t="s">
        <v>2950</v>
      </c>
      <c r="G1117" s="45">
        <f>ROUND(MID($C1117,12,2)/Basis!$E$3,1)</f>
        <v>10.199999999999999</v>
      </c>
      <c r="H1117" s="120">
        <f>ROUND($P1117*Basis!$E$2*((TaH-TrH)/LN(1/µ)/Basis!$E$7)^$N1117*$AA$4*Glycol,0)</f>
        <v>2754</v>
      </c>
      <c r="I1117" s="83">
        <f>ROUND(H1117/(MID($C1117,9,3)/Basis!$E$3/Basis!$E$9)*Basis!$E$11,0)</f>
        <v>179</v>
      </c>
      <c r="J1117" s="123">
        <f>IF(Basis!$E$1=1,ROUND(H1117/((TaH-TrH)*1.163)/3600,3),ROUND(H1117/(500*(TaH-TrH)),2))</f>
        <v>0.28000000000000003</v>
      </c>
      <c r="K1117" s="84"/>
      <c r="L1117" s="177">
        <f>CHOOSE(Basis!$E$1,((AJ1117*(J1117*3600/Basis!$E$5)^AK1117*(((MID(C1117,9,3)*10)-244)/1000)*AL1117+AM1117*(J1117*3600/Basis!$E$5)^2)*0.0098)/Basis!$E$10,((AJ1117*(J1117/Basis!$E$5)^AK1117*(((MID(C1117,9,3)*10)-244)/1000)*AL1117+AM1117*(J1117/Basis!$E$5)^2)*0.0098)/Basis!$E$10)</f>
        <v>5.2016500052193847E-2</v>
      </c>
      <c r="M1117" s="85"/>
      <c r="N1117" s="110">
        <v>1.3620000000000001</v>
      </c>
      <c r="O1117" s="74"/>
      <c r="P1117" s="73">
        <v>1265</v>
      </c>
      <c r="Q1117" s="74"/>
      <c r="R1117" s="75"/>
      <c r="S1117" s="75"/>
      <c r="T1117" s="75"/>
      <c r="U1117" s="75"/>
      <c r="V1117" s="75"/>
      <c r="W1117" s="74"/>
      <c r="X1117" s="76"/>
      <c r="Y1117" s="76"/>
      <c r="Z1117" s="76"/>
      <c r="AA1117" s="76"/>
      <c r="AB1117" s="76"/>
      <c r="AC1117" s="74"/>
      <c r="AD1117" s="77"/>
      <c r="AE1117" s="77"/>
      <c r="AF1117" s="77"/>
      <c r="AG1117" s="77"/>
      <c r="AH1117" s="77"/>
      <c r="AI1117" s="68"/>
      <c r="AJ1117" s="213">
        <v>9.3669999999999995E-4</v>
      </c>
      <c r="AK1117" s="213">
        <v>1.789841</v>
      </c>
      <c r="AL1117" s="213">
        <v>2</v>
      </c>
      <c r="AM1117" s="213">
        <v>4.4559999999999999E-4</v>
      </c>
      <c r="AN1117" s="74"/>
      <c r="AO1117" s="73"/>
      <c r="AP1117" s="73"/>
      <c r="AQ1117" s="73"/>
      <c r="AR1117" s="73"/>
      <c r="AS1117" s="73"/>
      <c r="AT1117" s="74"/>
      <c r="AU1117" s="47"/>
      <c r="AV1117" s="48"/>
    </row>
    <row r="1118" spans="1:48" ht="12.75" customHeight="1" x14ac:dyDescent="0.25">
      <c r="A1118" s="72" t="s">
        <v>119</v>
      </c>
      <c r="B1118" s="43" t="s">
        <v>1154</v>
      </c>
      <c r="C1118" s="44" t="s">
        <v>1273</v>
      </c>
      <c r="D1118" s="45">
        <f>MROUND(MID($C1118,6,3)/Basis!$E$3,0.5)</f>
        <v>3.5</v>
      </c>
      <c r="E1118" s="45">
        <f>MROUND(MID($C1118,9,3)/Basis!$E$3,0.5)</f>
        <v>185</v>
      </c>
      <c r="F1118" s="199" t="s">
        <v>2950</v>
      </c>
      <c r="G1118" s="45">
        <f>ROUND(MID($C1118,12,2)/Basis!$E$3,1)</f>
        <v>13.4</v>
      </c>
      <c r="H1118" s="120">
        <f>ROUND($P1118*Basis!$E$2*((TaH-TrH)/LN(1/µ)/Basis!$E$7)^$N1118*$AA$4*Glycol,0)</f>
        <v>3572</v>
      </c>
      <c r="I1118" s="83">
        <f>ROUND(H1118/(MID($C1118,9,3)/Basis!$E$3/Basis!$E$9)*Basis!$E$11,0)</f>
        <v>232</v>
      </c>
      <c r="J1118" s="123">
        <f>IF(Basis!$E$1=1,ROUND(H1118/((TaH-TrH)*1.163)/3600,3),ROUND(H1118/(500*(TaH-TrH)),2))</f>
        <v>0.36</v>
      </c>
      <c r="K1118" s="84"/>
      <c r="L1118" s="177">
        <f>CHOOSE(Basis!$E$1,((AJ1118*(J1118*3600/Basis!$E$5)^AK1118*(((MID(C1118,9,3)*10)-244)/1000)*AL1118+AM1118*(J1118*3600/Basis!$E$5)^2)*0.0098)/Basis!$E$10,((AJ1118*(J1118/Basis!$E$5)^AK1118*(((MID(C1118,9,3)*10)-244)/1000)*AL1118+AM1118*(J1118/Basis!$E$5)^2)*0.0098)/Basis!$E$10)</f>
        <v>0.12369233934859829</v>
      </c>
      <c r="M1118" s="85"/>
      <c r="N1118" s="109">
        <v>1.3620000000000001</v>
      </c>
      <c r="O1118" s="68"/>
      <c r="P1118" s="67">
        <v>1641</v>
      </c>
      <c r="Q1118" s="68"/>
      <c r="R1118" s="69"/>
      <c r="S1118" s="69"/>
      <c r="T1118" s="69"/>
      <c r="U1118" s="69"/>
      <c r="V1118" s="69"/>
      <c r="W1118" s="68"/>
      <c r="X1118" s="70"/>
      <c r="Y1118" s="70"/>
      <c r="Z1118" s="70"/>
      <c r="AA1118" s="70"/>
      <c r="AB1118" s="70"/>
      <c r="AC1118" s="68"/>
      <c r="AD1118" s="71"/>
      <c r="AE1118" s="71"/>
      <c r="AF1118" s="71"/>
      <c r="AG1118" s="71"/>
      <c r="AH1118" s="71"/>
      <c r="AI1118" s="68"/>
      <c r="AJ1118" s="214">
        <v>1.3162765859195E-2</v>
      </c>
      <c r="AK1118" s="214">
        <v>1.4286501188989</v>
      </c>
      <c r="AL1118" s="214">
        <v>1</v>
      </c>
      <c r="AM1118" s="214">
        <v>9.2091836734694004E-4</v>
      </c>
      <c r="AN1118" s="68"/>
      <c r="AO1118" s="67"/>
      <c r="AP1118" s="67"/>
      <c r="AQ1118" s="67"/>
      <c r="AR1118" s="67"/>
      <c r="AS1118" s="67"/>
      <c r="AT1118" s="68"/>
      <c r="AU1118" s="49"/>
      <c r="AV1118" s="50"/>
    </row>
    <row r="1119" spans="1:48" ht="12.75" customHeight="1" x14ac:dyDescent="0.25">
      <c r="A1119" s="72" t="s">
        <v>119</v>
      </c>
      <c r="B1119" s="43" t="s">
        <v>1154</v>
      </c>
      <c r="C1119" s="44" t="s">
        <v>1274</v>
      </c>
      <c r="D1119" s="45">
        <f>MROUND(MID($C1119,6,3)/Basis!$E$3,0.5)</f>
        <v>3.5</v>
      </c>
      <c r="E1119" s="45">
        <f>MROUND(MID($C1119,9,3)/Basis!$E$3,0.5)</f>
        <v>185</v>
      </c>
      <c r="F1119" s="199" t="s">
        <v>2950</v>
      </c>
      <c r="G1119" s="45">
        <f>ROUND(MID($C1119,12,2)/Basis!$E$3,1)</f>
        <v>16.5</v>
      </c>
      <c r="H1119" s="120">
        <f>ROUND($P1119*Basis!$E$2*((TaH-TrH)/LN(1/µ)/Basis!$E$7)^$N1119*$AA$4*Glycol,0)</f>
        <v>5161</v>
      </c>
      <c r="I1119" s="83">
        <f>ROUND(H1119/(MID($C1119,9,3)/Basis!$E$3/Basis!$E$9)*Basis!$E$11,0)</f>
        <v>335</v>
      </c>
      <c r="J1119" s="123">
        <f>IF(Basis!$E$1=1,ROUND(H1119/((TaH-TrH)*1.163)/3600,3),ROUND(H1119/(500*(TaH-TrH)),2))</f>
        <v>0.52</v>
      </c>
      <c r="K1119" s="84"/>
      <c r="L1119" s="177">
        <f>CHOOSE(Basis!$E$1,((AJ1119*(J1119*3600/Basis!$E$5)^AK1119*(((MID(C1119,9,3)*10)-244)/1000)*AL1119+AM1119*(J1119*3600/Basis!$E$5)^2)*0.0098)/Basis!$E$10,((AJ1119*(J1119/Basis!$E$5)^AK1119*(((MID(C1119,9,3)*10)-244)/1000)*AL1119+AM1119*(J1119/Basis!$E$5)^2)*0.0098)/Basis!$E$10)</f>
        <v>6.2224057650154062E-2</v>
      </c>
      <c r="M1119" s="85"/>
      <c r="N1119" s="110">
        <v>1.3620000000000001</v>
      </c>
      <c r="O1119" s="74"/>
      <c r="P1119" s="73">
        <v>2371</v>
      </c>
      <c r="Q1119" s="74"/>
      <c r="R1119" s="75"/>
      <c r="S1119" s="75"/>
      <c r="T1119" s="75"/>
      <c r="U1119" s="75"/>
      <c r="V1119" s="75"/>
      <c r="W1119" s="74"/>
      <c r="X1119" s="76"/>
      <c r="Y1119" s="76"/>
      <c r="Z1119" s="76"/>
      <c r="AA1119" s="76"/>
      <c r="AB1119" s="76"/>
      <c r="AC1119" s="74"/>
      <c r="AD1119" s="77"/>
      <c r="AE1119" s="77"/>
      <c r="AF1119" s="77"/>
      <c r="AG1119" s="77"/>
      <c r="AH1119" s="77"/>
      <c r="AI1119" s="68"/>
      <c r="AJ1119" s="213">
        <v>3.9689999999999994E-4</v>
      </c>
      <c r="AK1119" s="213">
        <v>1.7345999999999999</v>
      </c>
      <c r="AL1119" s="213">
        <v>2</v>
      </c>
      <c r="AM1119" s="213">
        <v>3.6734700000000002E-4</v>
      </c>
      <c r="AN1119" s="74"/>
      <c r="AO1119" s="73"/>
      <c r="AP1119" s="73"/>
      <c r="AQ1119" s="73"/>
      <c r="AR1119" s="73"/>
      <c r="AS1119" s="73"/>
      <c r="AT1119" s="74"/>
      <c r="AU1119" s="47"/>
      <c r="AV1119" s="48"/>
    </row>
    <row r="1120" spans="1:48" ht="12.75" customHeight="1" x14ac:dyDescent="0.25">
      <c r="A1120" s="72" t="s">
        <v>119</v>
      </c>
      <c r="B1120" s="43" t="s">
        <v>1154</v>
      </c>
      <c r="C1120" s="44" t="s">
        <v>1275</v>
      </c>
      <c r="D1120" s="45">
        <f>MROUND(MID($C1120,6,3)/Basis!$E$3,0.5)</f>
        <v>3.5</v>
      </c>
      <c r="E1120" s="45">
        <f>MROUND(MID($C1120,9,3)/Basis!$E$3,0.5)</f>
        <v>193</v>
      </c>
      <c r="F1120" s="199" t="s">
        <v>2950</v>
      </c>
      <c r="G1120" s="45">
        <f>ROUND(MID($C1120,12,2)/Basis!$E$3,1)</f>
        <v>5.5</v>
      </c>
      <c r="H1120" s="120">
        <f>ROUND($P1120*Basis!$E$2*((TaH-TrH)/LN(1/µ)/Basis!$E$7)^$N1120*$AA$4*Glycol,0)</f>
        <v>1848</v>
      </c>
      <c r="I1120" s="83">
        <f>ROUND(H1120/(MID($C1120,9,3)/Basis!$E$3/Basis!$E$9)*Basis!$E$11,0)</f>
        <v>115</v>
      </c>
      <c r="J1120" s="123">
        <f>IF(Basis!$E$1=1,ROUND(H1120/((TaH-TrH)*1.163)/3600,3),ROUND(H1120/(500*(TaH-TrH)),2))</f>
        <v>0.18</v>
      </c>
      <c r="K1120" s="84"/>
      <c r="L1120" s="177">
        <f>CHOOSE(Basis!$E$1,((AJ1120*(J1120*3600/Basis!$E$5)^AK1120*(((MID(C1120,9,3)*10)-244)/1000)*AL1120+AM1120*(J1120*3600/Basis!$E$5)^2)*0.0098)/Basis!$E$10,((AJ1120*(J1120/Basis!$E$5)^AK1120*(((MID(C1120,9,3)*10)-244)/1000)*AL1120+AM1120*(J1120/Basis!$E$5)^2)*0.0098)/Basis!$E$10)</f>
        <v>1.1917280098012201E-2</v>
      </c>
      <c r="M1120" s="85"/>
      <c r="N1120" s="109">
        <v>1.3620000000000001</v>
      </c>
      <c r="O1120" s="68"/>
      <c r="P1120" s="67">
        <v>849</v>
      </c>
      <c r="Q1120" s="68"/>
      <c r="R1120" s="69"/>
      <c r="S1120" s="69"/>
      <c r="T1120" s="69"/>
      <c r="U1120" s="69"/>
      <c r="V1120" s="69"/>
      <c r="W1120" s="68"/>
      <c r="X1120" s="70"/>
      <c r="Y1120" s="70"/>
      <c r="Z1120" s="70"/>
      <c r="AA1120" s="70"/>
      <c r="AB1120" s="70"/>
      <c r="AC1120" s="68"/>
      <c r="AD1120" s="71"/>
      <c r="AE1120" s="71"/>
      <c r="AF1120" s="71"/>
      <c r="AG1120" s="71"/>
      <c r="AH1120" s="71"/>
      <c r="AI1120" s="68"/>
      <c r="AJ1120" s="214">
        <v>6.0625777523108995E-4</v>
      </c>
      <c r="AK1120" s="214">
        <v>1.8894792857555001</v>
      </c>
      <c r="AL1120" s="214">
        <v>1</v>
      </c>
      <c r="AM1120" s="214">
        <v>3.0758017492711002E-4</v>
      </c>
      <c r="AN1120" s="68"/>
      <c r="AO1120" s="67"/>
      <c r="AP1120" s="67"/>
      <c r="AQ1120" s="67"/>
      <c r="AR1120" s="67"/>
      <c r="AS1120" s="67"/>
      <c r="AT1120" s="68"/>
      <c r="AU1120" s="49"/>
      <c r="AV1120" s="50"/>
    </row>
    <row r="1121" spans="1:48" ht="12.75" customHeight="1" x14ac:dyDescent="0.25">
      <c r="A1121" s="72" t="s">
        <v>119</v>
      </c>
      <c r="B1121" s="43" t="s">
        <v>1154</v>
      </c>
      <c r="C1121" s="44" t="s">
        <v>1276</v>
      </c>
      <c r="D1121" s="45">
        <f>MROUND(MID($C1121,6,3)/Basis!$E$3,0.5)</f>
        <v>3.5</v>
      </c>
      <c r="E1121" s="45">
        <f>MROUND(MID($C1121,9,3)/Basis!$E$3,0.5)</f>
        <v>193</v>
      </c>
      <c r="F1121" s="199" t="s">
        <v>2950</v>
      </c>
      <c r="G1121" s="45">
        <f>ROUND(MID($C1121,12,2)/Basis!$E$3,1)</f>
        <v>7.1</v>
      </c>
      <c r="H1121" s="120">
        <f>ROUND($P1121*Basis!$E$2*((TaH-TrH)/LN(1/µ)/Basis!$E$7)^$N1121*$AA$4*Glycol,0)</f>
        <v>2190</v>
      </c>
      <c r="I1121" s="83">
        <f>ROUND(H1121/(MID($C1121,9,3)/Basis!$E$3/Basis!$E$9)*Basis!$E$11,0)</f>
        <v>136</v>
      </c>
      <c r="J1121" s="123">
        <f>IF(Basis!$E$1=1,ROUND(H1121/((TaH-TrH)*1.163)/3600,3),ROUND(H1121/(500*(TaH-TrH)),2))</f>
        <v>0.22</v>
      </c>
      <c r="K1121" s="84"/>
      <c r="L1121" s="177">
        <f>CHOOSE(Basis!$E$1,((AJ1121*(J1121*3600/Basis!$E$5)^AK1121*(((MID(C1121,9,3)*10)-244)/1000)*AL1121+AM1121*(J1121*3600/Basis!$E$5)^2)*0.0098)/Basis!$E$10,((AJ1121*(J1121/Basis!$E$5)^AK1121*(((MID(C1121,9,3)*10)-244)/1000)*AL1121+AM1121*(J1121/Basis!$E$5)^2)*0.0098)/Basis!$E$10)</f>
        <v>3.4937053492975927E-2</v>
      </c>
      <c r="M1121" s="85"/>
      <c r="N1121" s="110">
        <v>1.3620000000000001</v>
      </c>
      <c r="O1121" s="74"/>
      <c r="P1121" s="73">
        <v>1006</v>
      </c>
      <c r="Q1121" s="74"/>
      <c r="R1121" s="75"/>
      <c r="S1121" s="75"/>
      <c r="T1121" s="75"/>
      <c r="U1121" s="75"/>
      <c r="V1121" s="75"/>
      <c r="W1121" s="74"/>
      <c r="X1121" s="76"/>
      <c r="Y1121" s="76"/>
      <c r="Z1121" s="76"/>
      <c r="AA1121" s="76"/>
      <c r="AB1121" s="76"/>
      <c r="AC1121" s="74"/>
      <c r="AD1121" s="77"/>
      <c r="AE1121" s="77"/>
      <c r="AF1121" s="77"/>
      <c r="AG1121" s="77"/>
      <c r="AH1121" s="77"/>
      <c r="AI1121" s="68"/>
      <c r="AJ1121" s="213">
        <v>9.3669999999999995E-4</v>
      </c>
      <c r="AK1121" s="213">
        <v>1.789841</v>
      </c>
      <c r="AL1121" s="213">
        <v>2</v>
      </c>
      <c r="AM1121" s="213">
        <v>4.4559999999999999E-4</v>
      </c>
      <c r="AN1121" s="74"/>
      <c r="AO1121" s="73"/>
      <c r="AP1121" s="73"/>
      <c r="AQ1121" s="73"/>
      <c r="AR1121" s="73"/>
      <c r="AS1121" s="73"/>
      <c r="AT1121" s="74"/>
      <c r="AU1121" s="47"/>
      <c r="AV1121" s="48"/>
    </row>
    <row r="1122" spans="1:48" ht="12.75" customHeight="1" x14ac:dyDescent="0.25">
      <c r="A1122" s="72" t="s">
        <v>119</v>
      </c>
      <c r="B1122" s="43" t="s">
        <v>1154</v>
      </c>
      <c r="C1122" s="44" t="s">
        <v>1277</v>
      </c>
      <c r="D1122" s="45">
        <f>MROUND(MID($C1122,6,3)/Basis!$E$3,0.5)</f>
        <v>3.5</v>
      </c>
      <c r="E1122" s="45">
        <f>MROUND(MID($C1122,9,3)/Basis!$E$3,0.5)</f>
        <v>193</v>
      </c>
      <c r="F1122" s="199" t="s">
        <v>2950</v>
      </c>
      <c r="G1122" s="45">
        <f>ROUND(MID($C1122,12,2)/Basis!$E$3,1)</f>
        <v>10.199999999999999</v>
      </c>
      <c r="H1122" s="120">
        <f>ROUND($P1122*Basis!$E$2*((TaH-TrH)/LN(1/µ)/Basis!$E$7)^$N1122*$AA$4*Glycol,0)</f>
        <v>2878</v>
      </c>
      <c r="I1122" s="83">
        <f>ROUND(H1122/(MID($C1122,9,3)/Basis!$E$3/Basis!$E$9)*Basis!$E$11,0)</f>
        <v>179</v>
      </c>
      <c r="J1122" s="123">
        <f>IF(Basis!$E$1=1,ROUND(H1122/((TaH-TrH)*1.163)/3600,3),ROUND(H1122/(500*(TaH-TrH)),2))</f>
        <v>0.28999999999999998</v>
      </c>
      <c r="K1122" s="84"/>
      <c r="L1122" s="177">
        <f>CHOOSE(Basis!$E$1,((AJ1122*(J1122*3600/Basis!$E$5)^AK1122*(((MID(C1122,9,3)*10)-244)/1000)*AL1122+AM1122*(J1122*3600/Basis!$E$5)^2)*0.0098)/Basis!$E$10,((AJ1122*(J1122/Basis!$E$5)^AK1122*(((MID(C1122,9,3)*10)-244)/1000)*AL1122+AM1122*(J1122/Basis!$E$5)^2)*0.0098)/Basis!$E$10)</f>
        <v>5.7639162828946655E-2</v>
      </c>
      <c r="M1122" s="85"/>
      <c r="N1122" s="109">
        <v>1.3620000000000001</v>
      </c>
      <c r="O1122" s="68"/>
      <c r="P1122" s="67">
        <v>1322</v>
      </c>
      <c r="Q1122" s="68"/>
      <c r="R1122" s="69"/>
      <c r="S1122" s="69"/>
      <c r="T1122" s="69"/>
      <c r="U1122" s="69"/>
      <c r="V1122" s="69"/>
      <c r="W1122" s="68"/>
      <c r="X1122" s="70"/>
      <c r="Y1122" s="70"/>
      <c r="Z1122" s="70"/>
      <c r="AA1122" s="70"/>
      <c r="AB1122" s="70"/>
      <c r="AC1122" s="68"/>
      <c r="AD1122" s="71"/>
      <c r="AE1122" s="71"/>
      <c r="AF1122" s="71"/>
      <c r="AG1122" s="71"/>
      <c r="AH1122" s="71"/>
      <c r="AI1122" s="68"/>
      <c r="AJ1122" s="214">
        <v>9.3669999999999995E-4</v>
      </c>
      <c r="AK1122" s="214">
        <v>1.789841</v>
      </c>
      <c r="AL1122" s="214">
        <v>2</v>
      </c>
      <c r="AM1122" s="214">
        <v>4.4559999999999999E-4</v>
      </c>
      <c r="AN1122" s="68"/>
      <c r="AO1122" s="67"/>
      <c r="AP1122" s="67"/>
      <c r="AQ1122" s="67"/>
      <c r="AR1122" s="67"/>
      <c r="AS1122" s="67"/>
      <c r="AT1122" s="68"/>
      <c r="AU1122" s="49"/>
      <c r="AV1122" s="50"/>
    </row>
    <row r="1123" spans="1:48" ht="12.75" customHeight="1" x14ac:dyDescent="0.25">
      <c r="A1123" s="72" t="s">
        <v>119</v>
      </c>
      <c r="B1123" s="43" t="s">
        <v>1154</v>
      </c>
      <c r="C1123" s="44" t="s">
        <v>1278</v>
      </c>
      <c r="D1123" s="45">
        <f>MROUND(MID($C1123,6,3)/Basis!$E$3,0.5)</f>
        <v>3.5</v>
      </c>
      <c r="E1123" s="45">
        <f>MROUND(MID($C1123,9,3)/Basis!$E$3,0.5)</f>
        <v>193</v>
      </c>
      <c r="F1123" s="199" t="s">
        <v>2950</v>
      </c>
      <c r="G1123" s="45">
        <f>ROUND(MID($C1123,12,2)/Basis!$E$3,1)</f>
        <v>13.4</v>
      </c>
      <c r="H1123" s="120">
        <f>ROUND($P1123*Basis!$E$2*((TaH-TrH)/LN(1/µ)/Basis!$E$7)^$N1123*$AA$4*Glycol,0)</f>
        <v>3735</v>
      </c>
      <c r="I1123" s="83">
        <f>ROUND(H1123/(MID($C1123,9,3)/Basis!$E$3/Basis!$E$9)*Basis!$E$11,0)</f>
        <v>232</v>
      </c>
      <c r="J1123" s="123">
        <f>IF(Basis!$E$1=1,ROUND(H1123/((TaH-TrH)*1.163)/3600,3),ROUND(H1123/(500*(TaH-TrH)),2))</f>
        <v>0.37</v>
      </c>
      <c r="K1123" s="84"/>
      <c r="L1123" s="177">
        <f>CHOOSE(Basis!$E$1,((AJ1123*(J1123*3600/Basis!$E$5)^AK1123*(((MID(C1123,9,3)*10)-244)/1000)*AL1123+AM1123*(J1123*3600/Basis!$E$5)^2)*0.0098)/Basis!$E$10,((AJ1123*(J1123/Basis!$E$5)^AK1123*(((MID(C1123,9,3)*10)-244)/1000)*AL1123+AM1123*(J1123/Basis!$E$5)^2)*0.0098)/Basis!$E$10)</f>
        <v>0.13379413506815996</v>
      </c>
      <c r="M1123" s="85"/>
      <c r="N1123" s="110">
        <v>1.3620000000000001</v>
      </c>
      <c r="O1123" s="74"/>
      <c r="P1123" s="73">
        <v>1716</v>
      </c>
      <c r="Q1123" s="74"/>
      <c r="R1123" s="75"/>
      <c r="S1123" s="75"/>
      <c r="T1123" s="75"/>
      <c r="U1123" s="75"/>
      <c r="V1123" s="75"/>
      <c r="W1123" s="74"/>
      <c r="X1123" s="76"/>
      <c r="Y1123" s="76"/>
      <c r="Z1123" s="76"/>
      <c r="AA1123" s="76"/>
      <c r="AB1123" s="76"/>
      <c r="AC1123" s="74"/>
      <c r="AD1123" s="77"/>
      <c r="AE1123" s="77"/>
      <c r="AF1123" s="77"/>
      <c r="AG1123" s="77"/>
      <c r="AH1123" s="77"/>
      <c r="AI1123" s="68"/>
      <c r="AJ1123" s="213">
        <v>1.3162765859195E-2</v>
      </c>
      <c r="AK1123" s="213">
        <v>1.4286501188989</v>
      </c>
      <c r="AL1123" s="213">
        <v>1</v>
      </c>
      <c r="AM1123" s="213">
        <v>9.2091836734694004E-4</v>
      </c>
      <c r="AN1123" s="74"/>
      <c r="AO1123" s="73"/>
      <c r="AP1123" s="73"/>
      <c r="AQ1123" s="73"/>
      <c r="AR1123" s="73"/>
      <c r="AS1123" s="73"/>
      <c r="AT1123" s="74"/>
      <c r="AU1123" s="47"/>
      <c r="AV1123" s="48"/>
    </row>
    <row r="1124" spans="1:48" ht="12.75" customHeight="1" x14ac:dyDescent="0.25">
      <c r="A1124" s="72" t="s">
        <v>119</v>
      </c>
      <c r="B1124" s="43" t="s">
        <v>1154</v>
      </c>
      <c r="C1124" s="44" t="s">
        <v>1279</v>
      </c>
      <c r="D1124" s="45">
        <f>MROUND(MID($C1124,6,3)/Basis!$E$3,0.5)</f>
        <v>3.5</v>
      </c>
      <c r="E1124" s="45">
        <f>MROUND(MID($C1124,9,3)/Basis!$E$3,0.5)</f>
        <v>193</v>
      </c>
      <c r="F1124" s="199" t="s">
        <v>2950</v>
      </c>
      <c r="G1124" s="45">
        <f>ROUND(MID($C1124,12,2)/Basis!$E$3,1)</f>
        <v>16.5</v>
      </c>
      <c r="H1124" s="120">
        <f>ROUND($P1124*Basis!$E$2*((TaH-TrH)/LN(1/µ)/Basis!$E$7)^$N1124*$AA$4*Glycol,0)</f>
        <v>5394</v>
      </c>
      <c r="I1124" s="83">
        <f>ROUND(H1124/(MID($C1124,9,3)/Basis!$E$3/Basis!$E$9)*Basis!$E$11,0)</f>
        <v>336</v>
      </c>
      <c r="J1124" s="123">
        <f>IF(Basis!$E$1=1,ROUND(H1124/((TaH-TrH)*1.163)/3600,3),ROUND(H1124/(500*(TaH-TrH)),2))</f>
        <v>0.54</v>
      </c>
      <c r="K1124" s="84"/>
      <c r="L1124" s="177">
        <f>CHOOSE(Basis!$E$1,((AJ1124*(J1124*3600/Basis!$E$5)^AK1124*(((MID(C1124,9,3)*10)-244)/1000)*AL1124+AM1124*(J1124*3600/Basis!$E$5)^2)*0.0098)/Basis!$E$10,((AJ1124*(J1124/Basis!$E$5)^AK1124*(((MID(C1124,9,3)*10)-244)/1000)*AL1124+AM1124*(J1124/Basis!$E$5)^2)*0.0098)/Basis!$E$10)</f>
        <v>6.8792789447555791E-2</v>
      </c>
      <c r="M1124" s="85"/>
      <c r="N1124" s="109">
        <v>1.3620000000000001</v>
      </c>
      <c r="O1124" s="68"/>
      <c r="P1124" s="67">
        <v>2478</v>
      </c>
      <c r="Q1124" s="68"/>
      <c r="R1124" s="69"/>
      <c r="S1124" s="69"/>
      <c r="T1124" s="69"/>
      <c r="U1124" s="69"/>
      <c r="V1124" s="69"/>
      <c r="W1124" s="68"/>
      <c r="X1124" s="70"/>
      <c r="Y1124" s="70"/>
      <c r="Z1124" s="70"/>
      <c r="AA1124" s="70"/>
      <c r="AB1124" s="70"/>
      <c r="AC1124" s="68"/>
      <c r="AD1124" s="71"/>
      <c r="AE1124" s="71"/>
      <c r="AF1124" s="71"/>
      <c r="AG1124" s="71"/>
      <c r="AH1124" s="71"/>
      <c r="AI1124" s="68"/>
      <c r="AJ1124" s="214">
        <v>3.9689999999999994E-4</v>
      </c>
      <c r="AK1124" s="214">
        <v>1.7345999999999999</v>
      </c>
      <c r="AL1124" s="214">
        <v>2</v>
      </c>
      <c r="AM1124" s="214">
        <v>3.6734700000000002E-4</v>
      </c>
      <c r="AN1124" s="68"/>
      <c r="AO1124" s="67"/>
      <c r="AP1124" s="67"/>
      <c r="AQ1124" s="67"/>
      <c r="AR1124" s="67"/>
      <c r="AS1124" s="67"/>
      <c r="AT1124" s="68"/>
      <c r="AU1124" s="49"/>
      <c r="AV1124" s="50"/>
    </row>
    <row r="1125" spans="1:48" ht="12.75" customHeight="1" x14ac:dyDescent="0.25">
      <c r="A1125" s="72" t="s">
        <v>119</v>
      </c>
      <c r="B1125" s="43" t="s">
        <v>1154</v>
      </c>
      <c r="C1125" s="44" t="s">
        <v>1280</v>
      </c>
      <c r="D1125" s="45">
        <f>MROUND(MID($C1125,6,3)/Basis!$E$3,0.5)</f>
        <v>4.5</v>
      </c>
      <c r="E1125" s="45">
        <f>MROUND(MID($C1125,9,3)/Basis!$E$3,0.5)</f>
        <v>27.5</v>
      </c>
      <c r="F1125" s="199" t="s">
        <v>2950</v>
      </c>
      <c r="G1125" s="45">
        <f>ROUND(MID($C1125,12,2)/Basis!$E$3,1)</f>
        <v>5.5</v>
      </c>
      <c r="H1125" s="120">
        <f>ROUND($P1125*Basis!$E$2*((TaH-TrH)/LN(1/µ)/Basis!$E$7)^$N1125*$AA$4*Glycol,0)</f>
        <v>183</v>
      </c>
      <c r="I1125" s="83">
        <f>ROUND(H1125/(MID($C1125,9,3)/Basis!$E$3/Basis!$E$9)*Basis!$E$11,0)</f>
        <v>80</v>
      </c>
      <c r="J1125" s="123">
        <f>IF(Basis!$E$1=1,ROUND(H1125/((TaH-TrH)*1.163)/3600,3),ROUND(H1125/(500*(TaH-TrH)),2))</f>
        <v>0.02</v>
      </c>
      <c r="K1125" s="84"/>
      <c r="L1125" s="177">
        <f>CHOOSE(Basis!$E$1,((AJ1125*(J1125*3600/Basis!$E$5)^AK1125*(((MID(C1125,9,3)*10)-244)/1000)*AL1125+AM1125*(J1125*3600/Basis!$E$5)^2)*0.0098)/Basis!$E$10,((AJ1125*(J1125/Basis!$E$5)^AK1125*(((MID(C1125,9,3)*10)-244)/1000)*AL1125+AM1125*(J1125/Basis!$E$5)^2)*0.0098)/Basis!$E$10)</f>
        <v>3.6530731506149515E-5</v>
      </c>
      <c r="M1125" s="85"/>
      <c r="N1125" s="110">
        <v>1.3620000000000001</v>
      </c>
      <c r="O1125" s="74"/>
      <c r="P1125" s="73">
        <v>84</v>
      </c>
      <c r="Q1125" s="74"/>
      <c r="R1125" s="75"/>
      <c r="S1125" s="75"/>
      <c r="T1125" s="75"/>
      <c r="U1125" s="75"/>
      <c r="V1125" s="75"/>
      <c r="W1125" s="74"/>
      <c r="X1125" s="76"/>
      <c r="Y1125" s="76"/>
      <c r="Z1125" s="76"/>
      <c r="AA1125" s="76"/>
      <c r="AB1125" s="76"/>
      <c r="AC1125" s="74"/>
      <c r="AD1125" s="77"/>
      <c r="AE1125" s="77"/>
      <c r="AF1125" s="77"/>
      <c r="AG1125" s="77"/>
      <c r="AH1125" s="77"/>
      <c r="AI1125" s="68"/>
      <c r="AJ1125" s="213">
        <v>6.0625777523108995E-4</v>
      </c>
      <c r="AK1125" s="213">
        <v>1.8894792857555001</v>
      </c>
      <c r="AL1125" s="213">
        <v>1</v>
      </c>
      <c r="AM1125" s="213">
        <v>3.0758017492711002E-4</v>
      </c>
      <c r="AN1125" s="74"/>
      <c r="AO1125" s="73"/>
      <c r="AP1125" s="73"/>
      <c r="AQ1125" s="73"/>
      <c r="AR1125" s="73"/>
      <c r="AS1125" s="73"/>
      <c r="AT1125" s="74"/>
      <c r="AU1125" s="47"/>
      <c r="AV1125" s="48"/>
    </row>
    <row r="1126" spans="1:48" ht="12.75" customHeight="1" x14ac:dyDescent="0.25">
      <c r="A1126" s="72" t="s">
        <v>119</v>
      </c>
      <c r="B1126" s="43" t="s">
        <v>1154</v>
      </c>
      <c r="C1126" s="44" t="s">
        <v>1281</v>
      </c>
      <c r="D1126" s="45">
        <f>MROUND(MID($C1126,6,3)/Basis!$E$3,0.5)</f>
        <v>4.5</v>
      </c>
      <c r="E1126" s="45">
        <f>MROUND(MID($C1126,9,3)/Basis!$E$3,0.5)</f>
        <v>27.5</v>
      </c>
      <c r="F1126" s="199" t="s">
        <v>2950</v>
      </c>
      <c r="G1126" s="45">
        <f>ROUND(MID($C1126,12,2)/Basis!$E$3,1)</f>
        <v>7.1</v>
      </c>
      <c r="H1126" s="120">
        <f>ROUND($P1126*Basis!$E$2*((TaH-TrH)/LN(1/µ)/Basis!$E$7)^$N1126*$AA$4*Glycol,0)</f>
        <v>220</v>
      </c>
      <c r="I1126" s="83">
        <f>ROUND(H1126/(MID($C1126,9,3)/Basis!$E$3/Basis!$E$9)*Basis!$E$11,0)</f>
        <v>96</v>
      </c>
      <c r="J1126" s="123">
        <f>IF(Basis!$E$1=1,ROUND(H1126/((TaH-TrH)*1.163)/3600,3),ROUND(H1126/(500*(TaH-TrH)),2))</f>
        <v>0.02</v>
      </c>
      <c r="K1126" s="84"/>
      <c r="L1126" s="177">
        <f>CHOOSE(Basis!$E$1,((AJ1126*(J1126*3600/Basis!$E$5)^AK1126*(((MID(C1126,9,3)*10)-244)/1000)*AL1126+AM1126*(J1126*3600/Basis!$E$5)^2)*0.0098)/Basis!$E$10,((AJ1126*(J1126/Basis!$E$5)^AK1126*(((MID(C1126,9,3)*10)-244)/1000)*AL1126+AM1126*(J1126/Basis!$E$5)^2)*0.0098)/Basis!$E$10)</f>
        <v>7.1997114590058981E-5</v>
      </c>
      <c r="M1126" s="85"/>
      <c r="N1126" s="109">
        <v>1.3620000000000001</v>
      </c>
      <c r="O1126" s="68"/>
      <c r="P1126" s="67">
        <v>101</v>
      </c>
      <c r="Q1126" s="68"/>
      <c r="R1126" s="69"/>
      <c r="S1126" s="69"/>
      <c r="T1126" s="69"/>
      <c r="U1126" s="69"/>
      <c r="V1126" s="69"/>
      <c r="W1126" s="68"/>
      <c r="X1126" s="70"/>
      <c r="Y1126" s="70"/>
      <c r="Z1126" s="70"/>
      <c r="AA1126" s="70"/>
      <c r="AB1126" s="70"/>
      <c r="AC1126" s="68"/>
      <c r="AD1126" s="71"/>
      <c r="AE1126" s="71"/>
      <c r="AF1126" s="71"/>
      <c r="AG1126" s="71"/>
      <c r="AH1126" s="71"/>
      <c r="AI1126" s="68"/>
      <c r="AJ1126" s="214">
        <v>9.3669999999999995E-4</v>
      </c>
      <c r="AK1126" s="214">
        <v>1.789841</v>
      </c>
      <c r="AL1126" s="214">
        <v>2</v>
      </c>
      <c r="AM1126" s="214">
        <v>4.4559999999999999E-4</v>
      </c>
      <c r="AN1126" s="68"/>
      <c r="AO1126" s="67"/>
      <c r="AP1126" s="67"/>
      <c r="AQ1126" s="67"/>
      <c r="AR1126" s="67"/>
      <c r="AS1126" s="67"/>
      <c r="AT1126" s="68"/>
      <c r="AU1126" s="49"/>
      <c r="AV1126" s="50"/>
    </row>
    <row r="1127" spans="1:48" ht="12.75" customHeight="1" x14ac:dyDescent="0.25">
      <c r="A1127" s="72" t="s">
        <v>119</v>
      </c>
      <c r="B1127" s="43" t="s">
        <v>1154</v>
      </c>
      <c r="C1127" s="44" t="s">
        <v>1282</v>
      </c>
      <c r="D1127" s="45">
        <f>MROUND(MID($C1127,6,3)/Basis!$E$3,0.5)</f>
        <v>4.5</v>
      </c>
      <c r="E1127" s="45">
        <f>MROUND(MID($C1127,9,3)/Basis!$E$3,0.5)</f>
        <v>27.5</v>
      </c>
      <c r="F1127" s="199" t="s">
        <v>2950</v>
      </c>
      <c r="G1127" s="45">
        <f>ROUND(MID($C1127,12,2)/Basis!$E$3,1)</f>
        <v>10.199999999999999</v>
      </c>
      <c r="H1127" s="120">
        <f>ROUND($P1127*Basis!$E$2*((TaH-TrH)/LN(1/µ)/Basis!$E$7)^$N1127*$AA$4*Glycol,0)</f>
        <v>296</v>
      </c>
      <c r="I1127" s="83">
        <f>ROUND(H1127/(MID($C1127,9,3)/Basis!$E$3/Basis!$E$9)*Basis!$E$11,0)</f>
        <v>129</v>
      </c>
      <c r="J1127" s="123">
        <f>IF(Basis!$E$1=1,ROUND(H1127/((TaH-TrH)*1.163)/3600,3),ROUND(H1127/(500*(TaH-TrH)),2))</f>
        <v>0.03</v>
      </c>
      <c r="K1127" s="84"/>
      <c r="L1127" s="177">
        <f>CHOOSE(Basis!$E$1,((AJ1127*(J1127*3600/Basis!$E$5)^AK1127*(((MID(C1127,9,3)*10)-244)/1000)*AL1127+AM1127*(J1127*3600/Basis!$E$5)^2)*0.0098)/Basis!$E$10,((AJ1127*(J1127/Basis!$E$5)^AK1127*(((MID(C1127,9,3)*10)-244)/1000)*AL1127+AM1127*(J1127/Basis!$E$5)^2)*0.0098)/Basis!$E$10)</f>
        <v>1.5428675326642808E-4</v>
      </c>
      <c r="M1127" s="85"/>
      <c r="N1127" s="110">
        <v>1.3620000000000001</v>
      </c>
      <c r="O1127" s="74"/>
      <c r="P1127" s="73">
        <v>136</v>
      </c>
      <c r="Q1127" s="74"/>
      <c r="R1127" s="75"/>
      <c r="S1127" s="75"/>
      <c r="T1127" s="75"/>
      <c r="U1127" s="75"/>
      <c r="V1127" s="75"/>
      <c r="W1127" s="74"/>
      <c r="X1127" s="76"/>
      <c r="Y1127" s="76"/>
      <c r="Z1127" s="76"/>
      <c r="AA1127" s="76"/>
      <c r="AB1127" s="76"/>
      <c r="AC1127" s="74"/>
      <c r="AD1127" s="77"/>
      <c r="AE1127" s="77"/>
      <c r="AF1127" s="77"/>
      <c r="AG1127" s="77"/>
      <c r="AH1127" s="77"/>
      <c r="AI1127" s="68"/>
      <c r="AJ1127" s="213">
        <v>9.3669999999999995E-4</v>
      </c>
      <c r="AK1127" s="213">
        <v>1.789841</v>
      </c>
      <c r="AL1127" s="213">
        <v>2</v>
      </c>
      <c r="AM1127" s="213">
        <v>4.4559999999999999E-4</v>
      </c>
      <c r="AN1127" s="74"/>
      <c r="AO1127" s="73"/>
      <c r="AP1127" s="73"/>
      <c r="AQ1127" s="73"/>
      <c r="AR1127" s="73"/>
      <c r="AS1127" s="73"/>
      <c r="AT1127" s="74"/>
      <c r="AU1127" s="47"/>
      <c r="AV1127" s="48"/>
    </row>
    <row r="1128" spans="1:48" ht="12.75" customHeight="1" x14ac:dyDescent="0.25">
      <c r="A1128" s="72" t="s">
        <v>119</v>
      </c>
      <c r="B1128" s="43" t="s">
        <v>1154</v>
      </c>
      <c r="C1128" s="44" t="s">
        <v>1283</v>
      </c>
      <c r="D1128" s="45">
        <f>MROUND(MID($C1128,6,3)/Basis!$E$3,0.5)</f>
        <v>4.5</v>
      </c>
      <c r="E1128" s="45">
        <f>MROUND(MID($C1128,9,3)/Basis!$E$3,0.5)</f>
        <v>27.5</v>
      </c>
      <c r="F1128" s="199" t="s">
        <v>2950</v>
      </c>
      <c r="G1128" s="45">
        <f>ROUND(MID($C1128,12,2)/Basis!$E$3,1)</f>
        <v>13.4</v>
      </c>
      <c r="H1128" s="120">
        <f>ROUND($P1128*Basis!$E$2*((TaH-TrH)/LN(1/µ)/Basis!$E$7)^$N1128*$AA$4*Glycol,0)</f>
        <v>385</v>
      </c>
      <c r="I1128" s="83">
        <f>ROUND(H1128/(MID($C1128,9,3)/Basis!$E$3/Basis!$E$9)*Basis!$E$11,0)</f>
        <v>168</v>
      </c>
      <c r="J1128" s="123">
        <f>IF(Basis!$E$1=1,ROUND(H1128/((TaH-TrH)*1.163)/3600,3),ROUND(H1128/(500*(TaH-TrH)),2))</f>
        <v>0.04</v>
      </c>
      <c r="K1128" s="84"/>
      <c r="L1128" s="177">
        <f>CHOOSE(Basis!$E$1,((AJ1128*(J1128*3600/Basis!$E$5)^AK1128*(((MID(C1128,9,3)*10)-244)/1000)*AL1128+AM1128*(J1128*3600/Basis!$E$5)^2)*0.0098)/Basis!$E$10,((AJ1128*(J1128/Basis!$E$5)^AK1128*(((MID(C1128,9,3)*10)-244)/1000)*AL1128+AM1128*(J1128/Basis!$E$5)^2)*0.0098)/Basis!$E$10)</f>
        <v>7.0766354753420686E-4</v>
      </c>
      <c r="M1128" s="85"/>
      <c r="N1128" s="109">
        <v>1.3620000000000001</v>
      </c>
      <c r="O1128" s="68"/>
      <c r="P1128" s="67">
        <v>177</v>
      </c>
      <c r="Q1128" s="68"/>
      <c r="R1128" s="69"/>
      <c r="S1128" s="69"/>
      <c r="T1128" s="69"/>
      <c r="U1128" s="69"/>
      <c r="V1128" s="69"/>
      <c r="W1128" s="68"/>
      <c r="X1128" s="70"/>
      <c r="Y1128" s="70"/>
      <c r="Z1128" s="70"/>
      <c r="AA1128" s="70"/>
      <c r="AB1128" s="70"/>
      <c r="AC1128" s="68"/>
      <c r="AD1128" s="71"/>
      <c r="AE1128" s="71"/>
      <c r="AF1128" s="71"/>
      <c r="AG1128" s="71"/>
      <c r="AH1128" s="71"/>
      <c r="AI1128" s="68"/>
      <c r="AJ1128" s="214">
        <v>1.3162765859195E-2</v>
      </c>
      <c r="AK1128" s="214">
        <v>1.4286501188989</v>
      </c>
      <c r="AL1128" s="214">
        <v>1</v>
      </c>
      <c r="AM1128" s="214">
        <v>9.2091836734694004E-4</v>
      </c>
      <c r="AN1128" s="68"/>
      <c r="AO1128" s="67"/>
      <c r="AP1128" s="67"/>
      <c r="AQ1128" s="67"/>
      <c r="AR1128" s="67"/>
      <c r="AS1128" s="67"/>
      <c r="AT1128" s="68"/>
      <c r="AU1128" s="49"/>
      <c r="AV1128" s="50"/>
    </row>
    <row r="1129" spans="1:48" ht="12.75" customHeight="1" x14ac:dyDescent="0.25">
      <c r="A1129" s="72" t="s">
        <v>119</v>
      </c>
      <c r="B1129" s="43" t="s">
        <v>1154</v>
      </c>
      <c r="C1129" s="44" t="s">
        <v>1284</v>
      </c>
      <c r="D1129" s="45">
        <f>MROUND(MID($C1129,6,3)/Basis!$E$3,0.5)</f>
        <v>4.5</v>
      </c>
      <c r="E1129" s="45">
        <f>MROUND(MID($C1129,9,3)/Basis!$E$3,0.5)</f>
        <v>27.5</v>
      </c>
      <c r="F1129" s="199" t="s">
        <v>2950</v>
      </c>
      <c r="G1129" s="45">
        <f>ROUND(MID($C1129,12,2)/Basis!$E$3,1)</f>
        <v>16.5</v>
      </c>
      <c r="H1129" s="120">
        <f>ROUND($P1129*Basis!$E$2*((TaH-TrH)/LN(1/µ)/Basis!$E$7)^$N1129*$AA$4*Glycol,0)</f>
        <v>538</v>
      </c>
      <c r="I1129" s="83">
        <f>ROUND(H1129/(MID($C1129,9,3)/Basis!$E$3/Basis!$E$9)*Basis!$E$11,0)</f>
        <v>234</v>
      </c>
      <c r="J1129" s="123">
        <f>IF(Basis!$E$1=1,ROUND(H1129/((TaH-TrH)*1.163)/3600,3),ROUND(H1129/(500*(TaH-TrH)),2))</f>
        <v>0.05</v>
      </c>
      <c r="K1129" s="84"/>
      <c r="L1129" s="177">
        <f>CHOOSE(Basis!$E$1,((AJ1129*(J1129*3600/Basis!$E$5)^AK1129*(((MID(C1129,9,3)*10)-244)/1000)*AL1129+AM1129*(J1129*3600/Basis!$E$5)^2)*0.0098)/Basis!$E$10,((AJ1129*(J1129/Basis!$E$5)^AK1129*(((MID(C1129,9,3)*10)-244)/1000)*AL1129+AM1129*(J1129/Basis!$E$5)^2)*0.0098)/Basis!$E$10)</f>
        <v>2.3499475113617521E-4</v>
      </c>
      <c r="M1129" s="85"/>
      <c r="N1129" s="110">
        <v>1.3620000000000001</v>
      </c>
      <c r="O1129" s="74"/>
      <c r="P1129" s="73">
        <v>247</v>
      </c>
      <c r="Q1129" s="74"/>
      <c r="R1129" s="75"/>
      <c r="S1129" s="75"/>
      <c r="T1129" s="75"/>
      <c r="U1129" s="75"/>
      <c r="V1129" s="75"/>
      <c r="W1129" s="74"/>
      <c r="X1129" s="76"/>
      <c r="Y1129" s="76"/>
      <c r="Z1129" s="76"/>
      <c r="AA1129" s="76"/>
      <c r="AB1129" s="76"/>
      <c r="AC1129" s="74"/>
      <c r="AD1129" s="77"/>
      <c r="AE1129" s="77"/>
      <c r="AF1129" s="77"/>
      <c r="AG1129" s="77"/>
      <c r="AH1129" s="77"/>
      <c r="AI1129" s="68"/>
      <c r="AJ1129" s="213">
        <v>3.9689999999999994E-4</v>
      </c>
      <c r="AK1129" s="213">
        <v>1.7345999999999999</v>
      </c>
      <c r="AL1129" s="213">
        <v>2</v>
      </c>
      <c r="AM1129" s="213">
        <v>3.6734700000000002E-4</v>
      </c>
      <c r="AN1129" s="74"/>
      <c r="AO1129" s="73"/>
      <c r="AP1129" s="73"/>
      <c r="AQ1129" s="73"/>
      <c r="AR1129" s="73"/>
      <c r="AS1129" s="73"/>
      <c r="AT1129" s="74"/>
      <c r="AU1129" s="47"/>
      <c r="AV1129" s="48"/>
    </row>
    <row r="1130" spans="1:48" ht="12.75" customHeight="1" x14ac:dyDescent="0.25">
      <c r="A1130" s="72" t="s">
        <v>119</v>
      </c>
      <c r="B1130" s="43" t="s">
        <v>1154</v>
      </c>
      <c r="C1130" s="44" t="s">
        <v>1285</v>
      </c>
      <c r="D1130" s="45">
        <f>MROUND(MID($C1130,6,3)/Basis!$E$3,0.5)</f>
        <v>4.5</v>
      </c>
      <c r="E1130" s="45">
        <f>MROUND(MID($C1130,9,3)/Basis!$E$3,0.5)</f>
        <v>31.5</v>
      </c>
      <c r="F1130" s="199" t="s">
        <v>2950</v>
      </c>
      <c r="G1130" s="45">
        <f>ROUND(MID($C1130,12,2)/Basis!$E$3,1)</f>
        <v>5.5</v>
      </c>
      <c r="H1130" s="120">
        <f>ROUND($P1130*Basis!$E$2*((TaH-TrH)/LN(1/µ)/Basis!$E$7)^$N1130*$AA$4*Glycol,0)</f>
        <v>231</v>
      </c>
      <c r="I1130" s="83">
        <f>ROUND(H1130/(MID($C1130,9,3)/Basis!$E$3/Basis!$E$9)*Basis!$E$11,0)</f>
        <v>88</v>
      </c>
      <c r="J1130" s="123">
        <f>IF(Basis!$E$1=1,ROUND(H1130/((TaH-TrH)*1.163)/3600,3),ROUND(H1130/(500*(TaH-TrH)),2))</f>
        <v>0.02</v>
      </c>
      <c r="K1130" s="84"/>
      <c r="L1130" s="177">
        <f>CHOOSE(Basis!$E$1,((AJ1130*(J1130*3600/Basis!$E$5)^AK1130*(((MID(C1130,9,3)*10)-244)/1000)*AL1130+AM1130*(J1130*3600/Basis!$E$5)^2)*0.0098)/Basis!$E$10,((AJ1130*(J1130/Basis!$E$5)^AK1130*(((MID(C1130,9,3)*10)-244)/1000)*AL1130+AM1130*(J1130/Basis!$E$5)^2)*0.0098)/Basis!$E$10)</f>
        <v>3.9991018102758168E-5</v>
      </c>
      <c r="M1130" s="85"/>
      <c r="N1130" s="109">
        <v>1.3620000000000001</v>
      </c>
      <c r="O1130" s="68"/>
      <c r="P1130" s="67">
        <v>106</v>
      </c>
      <c r="Q1130" s="68"/>
      <c r="R1130" s="69"/>
      <c r="S1130" s="69"/>
      <c r="T1130" s="69"/>
      <c r="U1130" s="69"/>
      <c r="V1130" s="69"/>
      <c r="W1130" s="68"/>
      <c r="X1130" s="70"/>
      <c r="Y1130" s="70"/>
      <c r="Z1130" s="70"/>
      <c r="AA1130" s="70"/>
      <c r="AB1130" s="70"/>
      <c r="AC1130" s="68"/>
      <c r="AD1130" s="71"/>
      <c r="AE1130" s="71"/>
      <c r="AF1130" s="71"/>
      <c r="AG1130" s="71"/>
      <c r="AH1130" s="71"/>
      <c r="AI1130" s="68"/>
      <c r="AJ1130" s="214">
        <v>6.0625777523108995E-4</v>
      </c>
      <c r="AK1130" s="214">
        <v>1.8894792857555001</v>
      </c>
      <c r="AL1130" s="214">
        <v>1</v>
      </c>
      <c r="AM1130" s="214">
        <v>3.0758017492711002E-4</v>
      </c>
      <c r="AN1130" s="68"/>
      <c r="AO1130" s="67"/>
      <c r="AP1130" s="67"/>
      <c r="AQ1130" s="67"/>
      <c r="AR1130" s="67"/>
      <c r="AS1130" s="67"/>
      <c r="AT1130" s="68"/>
      <c r="AU1130" s="49"/>
      <c r="AV1130" s="50"/>
    </row>
    <row r="1131" spans="1:48" ht="12.75" customHeight="1" x14ac:dyDescent="0.25">
      <c r="A1131" s="72" t="s">
        <v>119</v>
      </c>
      <c r="B1131" s="43" t="s">
        <v>1154</v>
      </c>
      <c r="C1131" s="44" t="s">
        <v>1286</v>
      </c>
      <c r="D1131" s="45">
        <f>MROUND(MID($C1131,6,3)/Basis!$E$3,0.5)</f>
        <v>4.5</v>
      </c>
      <c r="E1131" s="45">
        <f>MROUND(MID($C1131,9,3)/Basis!$E$3,0.5)</f>
        <v>31.5</v>
      </c>
      <c r="F1131" s="199" t="s">
        <v>2950</v>
      </c>
      <c r="G1131" s="45">
        <f>ROUND(MID($C1131,12,2)/Basis!$E$3,1)</f>
        <v>7.1</v>
      </c>
      <c r="H1131" s="120">
        <f>ROUND($P1131*Basis!$E$2*((TaH-TrH)/LN(1/µ)/Basis!$E$7)^$N1131*$AA$4*Glycol,0)</f>
        <v>272</v>
      </c>
      <c r="I1131" s="83">
        <f>ROUND(H1131/(MID($C1131,9,3)/Basis!$E$3/Basis!$E$9)*Basis!$E$11,0)</f>
        <v>104</v>
      </c>
      <c r="J1131" s="123">
        <f>IF(Basis!$E$1=1,ROUND(H1131/((TaH-TrH)*1.163)/3600,3),ROUND(H1131/(500*(TaH-TrH)),2))</f>
        <v>0.03</v>
      </c>
      <c r="K1131" s="84"/>
      <c r="L1131" s="177">
        <f>CHOOSE(Basis!$E$1,((AJ1131*(J1131*3600/Basis!$E$5)^AK1131*(((MID(C1131,9,3)*10)-244)/1000)*AL1131+AM1131*(J1131*3600/Basis!$E$5)^2)*0.0098)/Basis!$E$10,((AJ1131*(J1131/Basis!$E$5)^AK1131*(((MID(C1131,9,3)*10)-244)/1000)*AL1131+AM1131*(J1131/Basis!$E$5)^2)*0.0098)/Basis!$E$10)</f>
        <v>1.7328748109926535E-4</v>
      </c>
      <c r="M1131" s="85"/>
      <c r="N1131" s="110">
        <v>1.3620000000000001</v>
      </c>
      <c r="O1131" s="74"/>
      <c r="P1131" s="73">
        <v>125</v>
      </c>
      <c r="Q1131" s="74"/>
      <c r="R1131" s="75"/>
      <c r="S1131" s="75"/>
      <c r="T1131" s="75"/>
      <c r="U1131" s="75"/>
      <c r="V1131" s="75"/>
      <c r="W1131" s="74"/>
      <c r="X1131" s="76"/>
      <c r="Y1131" s="76"/>
      <c r="Z1131" s="76"/>
      <c r="AA1131" s="76"/>
      <c r="AB1131" s="76"/>
      <c r="AC1131" s="74"/>
      <c r="AD1131" s="77"/>
      <c r="AE1131" s="77"/>
      <c r="AF1131" s="77"/>
      <c r="AG1131" s="77"/>
      <c r="AH1131" s="77"/>
      <c r="AI1131" s="68"/>
      <c r="AJ1131" s="213">
        <v>9.3669999999999995E-4</v>
      </c>
      <c r="AK1131" s="213">
        <v>1.789841</v>
      </c>
      <c r="AL1131" s="213">
        <v>2</v>
      </c>
      <c r="AM1131" s="213">
        <v>4.4559999999999999E-4</v>
      </c>
      <c r="AN1131" s="74"/>
      <c r="AO1131" s="73"/>
      <c r="AP1131" s="73"/>
      <c r="AQ1131" s="73"/>
      <c r="AR1131" s="73"/>
      <c r="AS1131" s="73"/>
      <c r="AT1131" s="74"/>
      <c r="AU1131" s="47"/>
      <c r="AV1131" s="48"/>
    </row>
    <row r="1132" spans="1:48" ht="12.75" customHeight="1" x14ac:dyDescent="0.25">
      <c r="A1132" s="72" t="s">
        <v>119</v>
      </c>
      <c r="B1132" s="43" t="s">
        <v>1154</v>
      </c>
      <c r="C1132" s="44" t="s">
        <v>1287</v>
      </c>
      <c r="D1132" s="45">
        <f>MROUND(MID($C1132,6,3)/Basis!$E$3,0.5)</f>
        <v>4.5</v>
      </c>
      <c r="E1132" s="45">
        <f>MROUND(MID($C1132,9,3)/Basis!$E$3,0.5)</f>
        <v>31.5</v>
      </c>
      <c r="F1132" s="199" t="s">
        <v>2950</v>
      </c>
      <c r="G1132" s="45">
        <f>ROUND(MID($C1132,12,2)/Basis!$E$3,1)</f>
        <v>10.199999999999999</v>
      </c>
      <c r="H1132" s="120">
        <f>ROUND($P1132*Basis!$E$2*((TaH-TrH)/LN(1/µ)/Basis!$E$7)^$N1132*$AA$4*Glycol,0)</f>
        <v>370</v>
      </c>
      <c r="I1132" s="83">
        <f>ROUND(H1132/(MID($C1132,9,3)/Basis!$E$3/Basis!$E$9)*Basis!$E$11,0)</f>
        <v>141</v>
      </c>
      <c r="J1132" s="123">
        <f>IF(Basis!$E$1=1,ROUND(H1132/((TaH-TrH)*1.163)/3600,3),ROUND(H1132/(500*(TaH-TrH)),2))</f>
        <v>0.04</v>
      </c>
      <c r="K1132" s="84"/>
      <c r="L1132" s="177">
        <f>CHOOSE(Basis!$E$1,((AJ1132*(J1132*3600/Basis!$E$5)^AK1132*(((MID(C1132,9,3)*10)-244)/1000)*AL1132+AM1132*(J1132*3600/Basis!$E$5)^2)*0.0098)/Basis!$E$10,((AJ1132*(J1132/Basis!$E$5)^AK1132*(((MID(C1132,9,3)*10)-244)/1000)*AL1132+AM1132*(J1132/Basis!$E$5)^2)*0.0098)/Basis!$E$10)</f>
        <v>2.9704817212180439E-4</v>
      </c>
      <c r="M1132" s="85"/>
      <c r="N1132" s="109">
        <v>1.3620000000000001</v>
      </c>
      <c r="O1132" s="68"/>
      <c r="P1132" s="67">
        <v>170</v>
      </c>
      <c r="Q1132" s="68"/>
      <c r="R1132" s="69"/>
      <c r="S1132" s="69"/>
      <c r="T1132" s="69"/>
      <c r="U1132" s="69"/>
      <c r="V1132" s="69"/>
      <c r="W1132" s="68"/>
      <c r="X1132" s="70"/>
      <c r="Y1132" s="70"/>
      <c r="Z1132" s="70"/>
      <c r="AA1132" s="70"/>
      <c r="AB1132" s="70"/>
      <c r="AC1132" s="68"/>
      <c r="AD1132" s="71"/>
      <c r="AE1132" s="71"/>
      <c r="AF1132" s="71"/>
      <c r="AG1132" s="71"/>
      <c r="AH1132" s="71"/>
      <c r="AI1132" s="68"/>
      <c r="AJ1132" s="214">
        <v>9.3669999999999995E-4</v>
      </c>
      <c r="AK1132" s="214">
        <v>1.789841</v>
      </c>
      <c r="AL1132" s="214">
        <v>2</v>
      </c>
      <c r="AM1132" s="214">
        <v>4.4559999999999999E-4</v>
      </c>
      <c r="AN1132" s="68"/>
      <c r="AO1132" s="67"/>
      <c r="AP1132" s="67"/>
      <c r="AQ1132" s="67"/>
      <c r="AR1132" s="67"/>
      <c r="AS1132" s="67"/>
      <c r="AT1132" s="68"/>
      <c r="AU1132" s="49"/>
      <c r="AV1132" s="50"/>
    </row>
    <row r="1133" spans="1:48" ht="12.75" customHeight="1" x14ac:dyDescent="0.25">
      <c r="A1133" s="72" t="s">
        <v>119</v>
      </c>
      <c r="B1133" s="43" t="s">
        <v>1154</v>
      </c>
      <c r="C1133" s="44" t="s">
        <v>1288</v>
      </c>
      <c r="D1133" s="45">
        <f>MROUND(MID($C1133,6,3)/Basis!$E$3,0.5)</f>
        <v>4.5</v>
      </c>
      <c r="E1133" s="45">
        <f>MROUND(MID($C1133,9,3)/Basis!$E$3,0.5)</f>
        <v>31.5</v>
      </c>
      <c r="F1133" s="199" t="s">
        <v>2950</v>
      </c>
      <c r="G1133" s="45">
        <f>ROUND(MID($C1133,12,2)/Basis!$E$3,1)</f>
        <v>13.4</v>
      </c>
      <c r="H1133" s="120">
        <f>ROUND($P1133*Basis!$E$2*((TaH-TrH)/LN(1/µ)/Basis!$E$7)^$N1133*$AA$4*Glycol,0)</f>
        <v>479</v>
      </c>
      <c r="I1133" s="83">
        <f>ROUND(H1133/(MID($C1133,9,3)/Basis!$E$3/Basis!$E$9)*Basis!$E$11,0)</f>
        <v>182</v>
      </c>
      <c r="J1133" s="123">
        <f>IF(Basis!$E$1=1,ROUND(H1133/((TaH-TrH)*1.163)/3600,3),ROUND(H1133/(500*(TaH-TrH)),2))</f>
        <v>0.05</v>
      </c>
      <c r="K1133" s="84"/>
      <c r="L1133" s="177">
        <f>CHOOSE(Basis!$E$1,((AJ1133*(J1133*3600/Basis!$E$5)^AK1133*(((MID(C1133,9,3)*10)-244)/1000)*AL1133+AM1133*(J1133*3600/Basis!$E$5)^2)*0.0098)/Basis!$E$10,((AJ1133*(J1133/Basis!$E$5)^AK1133*(((MID(C1133,9,3)*10)-244)/1000)*AL1133+AM1133*(J1133/Basis!$E$5)^2)*0.0098)/Basis!$E$10)</f>
        <v>1.1583436254364126E-3</v>
      </c>
      <c r="M1133" s="85"/>
      <c r="N1133" s="110">
        <v>1.3620000000000001</v>
      </c>
      <c r="O1133" s="74"/>
      <c r="P1133" s="73">
        <v>220</v>
      </c>
      <c r="Q1133" s="74"/>
      <c r="R1133" s="75"/>
      <c r="S1133" s="75"/>
      <c r="T1133" s="75"/>
      <c r="U1133" s="75"/>
      <c r="V1133" s="75"/>
      <c r="W1133" s="74"/>
      <c r="X1133" s="76"/>
      <c r="Y1133" s="76"/>
      <c r="Z1133" s="76"/>
      <c r="AA1133" s="76"/>
      <c r="AB1133" s="76"/>
      <c r="AC1133" s="74"/>
      <c r="AD1133" s="77"/>
      <c r="AE1133" s="77"/>
      <c r="AF1133" s="77"/>
      <c r="AG1133" s="77"/>
      <c r="AH1133" s="77"/>
      <c r="AI1133" s="68"/>
      <c r="AJ1133" s="213">
        <v>1.3162765859195E-2</v>
      </c>
      <c r="AK1133" s="213">
        <v>1.4286501188989</v>
      </c>
      <c r="AL1133" s="213">
        <v>1</v>
      </c>
      <c r="AM1133" s="213">
        <v>9.2091836734694004E-4</v>
      </c>
      <c r="AN1133" s="74"/>
      <c r="AO1133" s="73"/>
      <c r="AP1133" s="73"/>
      <c r="AQ1133" s="73"/>
      <c r="AR1133" s="73"/>
      <c r="AS1133" s="73"/>
      <c r="AT1133" s="74"/>
      <c r="AU1133" s="47"/>
      <c r="AV1133" s="48"/>
    </row>
    <row r="1134" spans="1:48" ht="12.75" customHeight="1" x14ac:dyDescent="0.25">
      <c r="A1134" s="72" t="s">
        <v>119</v>
      </c>
      <c r="B1134" s="43" t="s">
        <v>1154</v>
      </c>
      <c r="C1134" s="44" t="s">
        <v>1289</v>
      </c>
      <c r="D1134" s="45">
        <f>MROUND(MID($C1134,6,3)/Basis!$E$3,0.5)</f>
        <v>4.5</v>
      </c>
      <c r="E1134" s="45">
        <f>MROUND(MID($C1134,9,3)/Basis!$E$3,0.5)</f>
        <v>31.5</v>
      </c>
      <c r="F1134" s="199" t="s">
        <v>2950</v>
      </c>
      <c r="G1134" s="45">
        <f>ROUND(MID($C1134,12,2)/Basis!$E$3,1)</f>
        <v>16.5</v>
      </c>
      <c r="H1134" s="120">
        <f>ROUND($P1134*Basis!$E$2*((TaH-TrH)/LN(1/µ)/Basis!$E$7)^$N1134*$AA$4*Glycol,0)</f>
        <v>673</v>
      </c>
      <c r="I1134" s="83">
        <f>ROUND(H1134/(MID($C1134,9,3)/Basis!$E$3/Basis!$E$9)*Basis!$E$11,0)</f>
        <v>256</v>
      </c>
      <c r="J1134" s="123">
        <f>IF(Basis!$E$1=1,ROUND(H1134/((TaH-TrH)*1.163)/3600,3),ROUND(H1134/(500*(TaH-TrH)),2))</f>
        <v>7.0000000000000007E-2</v>
      </c>
      <c r="K1134" s="84"/>
      <c r="L1134" s="177">
        <f>CHOOSE(Basis!$E$1,((AJ1134*(J1134*3600/Basis!$E$5)^AK1134*(((MID(C1134,9,3)*10)-244)/1000)*AL1134+AM1134*(J1134*3600/Basis!$E$5)^2)*0.0098)/Basis!$E$10,((AJ1134*(J1134/Basis!$E$5)^AK1134*(((MID(C1134,9,3)*10)-244)/1000)*AL1134+AM1134*(J1134/Basis!$E$5)^2)*0.0098)/Basis!$E$10)</f>
        <v>4.7866406593698575E-4</v>
      </c>
      <c r="M1134" s="85"/>
      <c r="N1134" s="109">
        <v>1.3620000000000001</v>
      </c>
      <c r="O1134" s="68"/>
      <c r="P1134" s="67">
        <v>309</v>
      </c>
      <c r="Q1134" s="68"/>
      <c r="R1134" s="69"/>
      <c r="S1134" s="69"/>
      <c r="T1134" s="69"/>
      <c r="U1134" s="69"/>
      <c r="V1134" s="69"/>
      <c r="W1134" s="68"/>
      <c r="X1134" s="70"/>
      <c r="Y1134" s="70"/>
      <c r="Z1134" s="70"/>
      <c r="AA1134" s="70"/>
      <c r="AB1134" s="70"/>
      <c r="AC1134" s="68"/>
      <c r="AD1134" s="71"/>
      <c r="AE1134" s="71"/>
      <c r="AF1134" s="71"/>
      <c r="AG1134" s="71"/>
      <c r="AH1134" s="71"/>
      <c r="AI1134" s="68"/>
      <c r="AJ1134" s="214">
        <v>3.9689999999999994E-4</v>
      </c>
      <c r="AK1134" s="214">
        <v>1.7345999999999999</v>
      </c>
      <c r="AL1134" s="214">
        <v>2</v>
      </c>
      <c r="AM1134" s="214">
        <v>3.6734700000000002E-4</v>
      </c>
      <c r="AN1134" s="68"/>
      <c r="AO1134" s="67"/>
      <c r="AP1134" s="67"/>
      <c r="AQ1134" s="67"/>
      <c r="AR1134" s="67"/>
      <c r="AS1134" s="67"/>
      <c r="AT1134" s="68"/>
      <c r="AU1134" s="49"/>
      <c r="AV1134" s="50"/>
    </row>
    <row r="1135" spans="1:48" ht="12.75" customHeight="1" x14ac:dyDescent="0.25">
      <c r="A1135" s="72" t="s">
        <v>119</v>
      </c>
      <c r="B1135" s="43" t="s">
        <v>1154</v>
      </c>
      <c r="C1135" s="44" t="s">
        <v>1290</v>
      </c>
      <c r="D1135" s="45">
        <f>MROUND(MID($C1135,6,3)/Basis!$E$3,0.5)</f>
        <v>4.5</v>
      </c>
      <c r="E1135" s="45">
        <f>MROUND(MID($C1135,9,3)/Basis!$E$3,0.5)</f>
        <v>35.5</v>
      </c>
      <c r="F1135" s="199" t="s">
        <v>2950</v>
      </c>
      <c r="G1135" s="45">
        <f>ROUND(MID($C1135,12,2)/Basis!$E$3,1)</f>
        <v>5.5</v>
      </c>
      <c r="H1135" s="120">
        <f>ROUND($P1135*Basis!$E$2*((TaH-TrH)/LN(1/µ)/Basis!$E$7)^$N1135*$AA$4*Glycol,0)</f>
        <v>276</v>
      </c>
      <c r="I1135" s="83">
        <f>ROUND(H1135/(MID($C1135,9,3)/Basis!$E$3/Basis!$E$9)*Basis!$E$11,0)</f>
        <v>93</v>
      </c>
      <c r="J1135" s="123">
        <f>IF(Basis!$E$1=1,ROUND(H1135/((TaH-TrH)*1.163)/3600,3),ROUND(H1135/(500*(TaH-TrH)),2))</f>
        <v>0.03</v>
      </c>
      <c r="K1135" s="84"/>
      <c r="L1135" s="177">
        <f>CHOOSE(Basis!$E$1,((AJ1135*(J1135*3600/Basis!$E$5)^AK1135*(((MID(C1135,9,3)*10)-244)/1000)*AL1135+AM1135*(J1135*3600/Basis!$E$5)^2)*0.0098)/Basis!$E$10,((AJ1135*(J1135/Basis!$E$5)^AK1135*(((MID(C1135,9,3)*10)-244)/1000)*AL1135+AM1135*(J1135/Basis!$E$5)^2)*0.0098)/Basis!$E$10)</f>
        <v>9.5527224344030734E-5</v>
      </c>
      <c r="M1135" s="85"/>
      <c r="N1135" s="110">
        <v>1.3620000000000001</v>
      </c>
      <c r="O1135" s="74"/>
      <c r="P1135" s="73">
        <v>127</v>
      </c>
      <c r="Q1135" s="74"/>
      <c r="R1135" s="75"/>
      <c r="S1135" s="75"/>
      <c r="T1135" s="75"/>
      <c r="U1135" s="75"/>
      <c r="V1135" s="75"/>
      <c r="W1135" s="74"/>
      <c r="X1135" s="76"/>
      <c r="Y1135" s="76"/>
      <c r="Z1135" s="76"/>
      <c r="AA1135" s="76"/>
      <c r="AB1135" s="76"/>
      <c r="AC1135" s="74"/>
      <c r="AD1135" s="77"/>
      <c r="AE1135" s="77"/>
      <c r="AF1135" s="77"/>
      <c r="AG1135" s="77"/>
      <c r="AH1135" s="77"/>
      <c r="AI1135" s="68"/>
      <c r="AJ1135" s="213">
        <v>6.0625777523108995E-4</v>
      </c>
      <c r="AK1135" s="213">
        <v>1.8894792857555001</v>
      </c>
      <c r="AL1135" s="213">
        <v>1</v>
      </c>
      <c r="AM1135" s="213">
        <v>3.0758017492711002E-4</v>
      </c>
      <c r="AN1135" s="74"/>
      <c r="AO1135" s="73"/>
      <c r="AP1135" s="73"/>
      <c r="AQ1135" s="73"/>
      <c r="AR1135" s="73"/>
      <c r="AS1135" s="73"/>
      <c r="AT1135" s="74"/>
      <c r="AU1135" s="47"/>
      <c r="AV1135" s="48"/>
    </row>
    <row r="1136" spans="1:48" ht="12.75" customHeight="1" x14ac:dyDescent="0.25">
      <c r="A1136" s="72" t="s">
        <v>119</v>
      </c>
      <c r="B1136" s="43" t="s">
        <v>1154</v>
      </c>
      <c r="C1136" s="44" t="s">
        <v>1291</v>
      </c>
      <c r="D1136" s="45">
        <f>MROUND(MID($C1136,6,3)/Basis!$E$3,0.5)</f>
        <v>4.5</v>
      </c>
      <c r="E1136" s="45">
        <f>MROUND(MID($C1136,9,3)/Basis!$E$3,0.5)</f>
        <v>35.5</v>
      </c>
      <c r="F1136" s="199" t="s">
        <v>2950</v>
      </c>
      <c r="G1136" s="45">
        <f>ROUND(MID($C1136,12,2)/Basis!$E$3,1)</f>
        <v>7.1</v>
      </c>
      <c r="H1136" s="120">
        <f>ROUND($P1136*Basis!$E$2*((TaH-TrH)/LN(1/µ)/Basis!$E$7)^$N1136*$AA$4*Glycol,0)</f>
        <v>327</v>
      </c>
      <c r="I1136" s="83">
        <f>ROUND(H1136/(MID($C1136,9,3)/Basis!$E$3/Basis!$E$9)*Basis!$E$11,0)</f>
        <v>111</v>
      </c>
      <c r="J1136" s="123">
        <f>IF(Basis!$E$1=1,ROUND(H1136/((TaH-TrH)*1.163)/3600,3),ROUND(H1136/(500*(TaH-TrH)),2))</f>
        <v>0.03</v>
      </c>
      <c r="K1136" s="84"/>
      <c r="L1136" s="177">
        <f>CHOOSE(Basis!$E$1,((AJ1136*(J1136*3600/Basis!$E$5)^AK1136*(((MID(C1136,9,3)*10)-244)/1000)*AL1136+AM1136*(J1136*3600/Basis!$E$5)^2)*0.0098)/Basis!$E$10,((AJ1136*(J1136/Basis!$E$5)^AK1136*(((MID(C1136,9,3)*10)-244)/1000)*AL1136+AM1136*(J1136/Basis!$E$5)^2)*0.0098)/Basis!$E$10)</f>
        <v>1.9228820893210253E-4</v>
      </c>
      <c r="M1136" s="85"/>
      <c r="N1136" s="109">
        <v>1.3620000000000001</v>
      </c>
      <c r="O1136" s="68"/>
      <c r="P1136" s="67">
        <v>150</v>
      </c>
      <c r="Q1136" s="68"/>
      <c r="R1136" s="69"/>
      <c r="S1136" s="69"/>
      <c r="T1136" s="69"/>
      <c r="U1136" s="69"/>
      <c r="V1136" s="69"/>
      <c r="W1136" s="68"/>
      <c r="X1136" s="70"/>
      <c r="Y1136" s="70"/>
      <c r="Z1136" s="70"/>
      <c r="AA1136" s="70"/>
      <c r="AB1136" s="70"/>
      <c r="AC1136" s="68"/>
      <c r="AD1136" s="71"/>
      <c r="AE1136" s="71"/>
      <c r="AF1136" s="71"/>
      <c r="AG1136" s="71"/>
      <c r="AH1136" s="71"/>
      <c r="AI1136" s="68"/>
      <c r="AJ1136" s="214">
        <v>9.3669999999999995E-4</v>
      </c>
      <c r="AK1136" s="214">
        <v>1.789841</v>
      </c>
      <c r="AL1136" s="214">
        <v>2</v>
      </c>
      <c r="AM1136" s="214">
        <v>4.4559999999999999E-4</v>
      </c>
      <c r="AN1136" s="68"/>
      <c r="AO1136" s="67"/>
      <c r="AP1136" s="67"/>
      <c r="AQ1136" s="67"/>
      <c r="AR1136" s="67"/>
      <c r="AS1136" s="67"/>
      <c r="AT1136" s="68"/>
      <c r="AU1136" s="49"/>
      <c r="AV1136" s="50"/>
    </row>
    <row r="1137" spans="1:48" ht="12.75" customHeight="1" x14ac:dyDescent="0.25">
      <c r="A1137" s="72" t="s">
        <v>119</v>
      </c>
      <c r="B1137" s="43" t="s">
        <v>1154</v>
      </c>
      <c r="C1137" s="44" t="s">
        <v>1292</v>
      </c>
      <c r="D1137" s="45">
        <f>MROUND(MID($C1137,6,3)/Basis!$E$3,0.5)</f>
        <v>4.5</v>
      </c>
      <c r="E1137" s="45">
        <f>MROUND(MID($C1137,9,3)/Basis!$E$3,0.5)</f>
        <v>35.5</v>
      </c>
      <c r="F1137" s="199" t="s">
        <v>2950</v>
      </c>
      <c r="G1137" s="45">
        <f>ROUND(MID($C1137,12,2)/Basis!$E$3,1)</f>
        <v>10.199999999999999</v>
      </c>
      <c r="H1137" s="120">
        <f>ROUND($P1137*Basis!$E$2*((TaH-TrH)/LN(1/µ)/Basis!$E$7)^$N1137*$AA$4*Glycol,0)</f>
        <v>444</v>
      </c>
      <c r="I1137" s="83">
        <f>ROUND(H1137/(MID($C1137,9,3)/Basis!$E$3/Basis!$E$9)*Basis!$E$11,0)</f>
        <v>150</v>
      </c>
      <c r="J1137" s="123">
        <f>IF(Basis!$E$1=1,ROUND(H1137/((TaH-TrH)*1.163)/3600,3),ROUND(H1137/(500*(TaH-TrH)),2))</f>
        <v>0.04</v>
      </c>
      <c r="K1137" s="84"/>
      <c r="L1137" s="177">
        <f>CHOOSE(Basis!$E$1,((AJ1137*(J1137*3600/Basis!$E$5)^AK1137*(((MID(C1137,9,3)*10)-244)/1000)*AL1137+AM1137*(J1137*3600/Basis!$E$5)^2)*0.0098)/Basis!$E$10,((AJ1137*(J1137/Basis!$E$5)^AK1137*(((MID(C1137,9,3)*10)-244)/1000)*AL1137+AM1137*(J1137/Basis!$E$5)^2)*0.0098)/Basis!$E$10)</f>
        <v>3.2884550624484989E-4</v>
      </c>
      <c r="M1137" s="85"/>
      <c r="N1137" s="110">
        <v>1.3620000000000001</v>
      </c>
      <c r="O1137" s="74"/>
      <c r="P1137" s="73">
        <v>204</v>
      </c>
      <c r="Q1137" s="74"/>
      <c r="R1137" s="75"/>
      <c r="S1137" s="75"/>
      <c r="T1137" s="75"/>
      <c r="U1137" s="75"/>
      <c r="V1137" s="75"/>
      <c r="W1137" s="74"/>
      <c r="X1137" s="76"/>
      <c r="Y1137" s="76"/>
      <c r="Z1137" s="76"/>
      <c r="AA1137" s="76"/>
      <c r="AB1137" s="76"/>
      <c r="AC1137" s="74"/>
      <c r="AD1137" s="77"/>
      <c r="AE1137" s="77"/>
      <c r="AF1137" s="77"/>
      <c r="AG1137" s="77"/>
      <c r="AH1137" s="77"/>
      <c r="AI1137" s="68"/>
      <c r="AJ1137" s="213">
        <v>9.3669999999999995E-4</v>
      </c>
      <c r="AK1137" s="213">
        <v>1.789841</v>
      </c>
      <c r="AL1137" s="213">
        <v>2</v>
      </c>
      <c r="AM1137" s="213">
        <v>4.4559999999999999E-4</v>
      </c>
      <c r="AN1137" s="74"/>
      <c r="AO1137" s="73"/>
      <c r="AP1137" s="73"/>
      <c r="AQ1137" s="73"/>
      <c r="AR1137" s="73"/>
      <c r="AS1137" s="73"/>
      <c r="AT1137" s="74"/>
      <c r="AU1137" s="47"/>
      <c r="AV1137" s="48"/>
    </row>
    <row r="1138" spans="1:48" ht="12.75" customHeight="1" x14ac:dyDescent="0.25">
      <c r="A1138" s="72" t="s">
        <v>119</v>
      </c>
      <c r="B1138" s="43" t="s">
        <v>1154</v>
      </c>
      <c r="C1138" s="44" t="s">
        <v>1293</v>
      </c>
      <c r="D1138" s="45">
        <f>MROUND(MID($C1138,6,3)/Basis!$E$3,0.5)</f>
        <v>4.5</v>
      </c>
      <c r="E1138" s="45">
        <f>MROUND(MID($C1138,9,3)/Basis!$E$3,0.5)</f>
        <v>35.5</v>
      </c>
      <c r="F1138" s="199" t="s">
        <v>2950</v>
      </c>
      <c r="G1138" s="45">
        <f>ROUND(MID($C1138,12,2)/Basis!$E$3,1)</f>
        <v>13.4</v>
      </c>
      <c r="H1138" s="120">
        <f>ROUND($P1138*Basis!$E$2*((TaH-TrH)/LN(1/µ)/Basis!$E$7)^$N1138*$AA$4*Glycol,0)</f>
        <v>575</v>
      </c>
      <c r="I1138" s="83">
        <f>ROUND(H1138/(MID($C1138,9,3)/Basis!$E$3/Basis!$E$9)*Basis!$E$11,0)</f>
        <v>195</v>
      </c>
      <c r="J1138" s="123">
        <f>IF(Basis!$E$1=1,ROUND(H1138/((TaH-TrH)*1.163)/3600,3),ROUND(H1138/(500*(TaH-TrH)),2))</f>
        <v>0.06</v>
      </c>
      <c r="K1138" s="84"/>
      <c r="L1138" s="177">
        <f>CHOOSE(Basis!$E$1,((AJ1138*(J1138*3600/Basis!$E$5)^AK1138*(((MID(C1138,9,3)*10)-244)/1000)*AL1138+AM1138*(J1138*3600/Basis!$E$5)^2)*0.0098)/Basis!$E$10,((AJ1138*(J1138/Basis!$E$5)^AK1138*(((MID(C1138,9,3)*10)-244)/1000)*AL1138+AM1138*(J1138/Basis!$E$5)^2)*0.0098)/Basis!$E$10)</f>
        <v>1.7380214812680107E-3</v>
      </c>
      <c r="M1138" s="85"/>
      <c r="N1138" s="109">
        <v>1.3620000000000001</v>
      </c>
      <c r="O1138" s="68"/>
      <c r="P1138" s="67">
        <v>264</v>
      </c>
      <c r="Q1138" s="68"/>
      <c r="R1138" s="69"/>
      <c r="S1138" s="69"/>
      <c r="T1138" s="69"/>
      <c r="U1138" s="69"/>
      <c r="V1138" s="69"/>
      <c r="W1138" s="68"/>
      <c r="X1138" s="70"/>
      <c r="Y1138" s="70"/>
      <c r="Z1138" s="70"/>
      <c r="AA1138" s="70"/>
      <c r="AB1138" s="70"/>
      <c r="AC1138" s="68"/>
      <c r="AD1138" s="71"/>
      <c r="AE1138" s="71"/>
      <c r="AF1138" s="71"/>
      <c r="AG1138" s="71"/>
      <c r="AH1138" s="71"/>
      <c r="AI1138" s="68"/>
      <c r="AJ1138" s="214">
        <v>1.3162765859195E-2</v>
      </c>
      <c r="AK1138" s="214">
        <v>1.4286501188989</v>
      </c>
      <c r="AL1138" s="214">
        <v>1</v>
      </c>
      <c r="AM1138" s="214">
        <v>9.2091836734694004E-4</v>
      </c>
      <c r="AN1138" s="68"/>
      <c r="AO1138" s="67"/>
      <c r="AP1138" s="67"/>
      <c r="AQ1138" s="67"/>
      <c r="AR1138" s="67"/>
      <c r="AS1138" s="67"/>
      <c r="AT1138" s="68"/>
      <c r="AU1138" s="49"/>
      <c r="AV1138" s="50"/>
    </row>
    <row r="1139" spans="1:48" ht="12.75" customHeight="1" x14ac:dyDescent="0.25">
      <c r="A1139" s="72" t="s">
        <v>119</v>
      </c>
      <c r="B1139" s="43" t="s">
        <v>1154</v>
      </c>
      <c r="C1139" s="44" t="s">
        <v>1294</v>
      </c>
      <c r="D1139" s="45">
        <f>MROUND(MID($C1139,6,3)/Basis!$E$3,0.5)</f>
        <v>4.5</v>
      </c>
      <c r="E1139" s="45">
        <f>MROUND(MID($C1139,9,3)/Basis!$E$3,0.5)</f>
        <v>35.5</v>
      </c>
      <c r="F1139" s="199" t="s">
        <v>2950</v>
      </c>
      <c r="G1139" s="45">
        <f>ROUND(MID($C1139,12,2)/Basis!$E$3,1)</f>
        <v>16.5</v>
      </c>
      <c r="H1139" s="120">
        <f>ROUND($P1139*Basis!$E$2*((TaH-TrH)/LN(1/µ)/Basis!$E$7)^$N1139*$AA$4*Glycol,0)</f>
        <v>810</v>
      </c>
      <c r="I1139" s="83">
        <f>ROUND(H1139/(MID($C1139,9,3)/Basis!$E$3/Basis!$E$9)*Basis!$E$11,0)</f>
        <v>274</v>
      </c>
      <c r="J1139" s="123">
        <f>IF(Basis!$E$1=1,ROUND(H1139/((TaH-TrH)*1.163)/3600,3),ROUND(H1139/(500*(TaH-TrH)),2))</f>
        <v>0.08</v>
      </c>
      <c r="K1139" s="84"/>
      <c r="L1139" s="177">
        <f>CHOOSE(Basis!$E$1,((AJ1139*(J1139*3600/Basis!$E$5)^AK1139*(((MID(C1139,9,3)*10)-244)/1000)*AL1139+AM1139*(J1139*3600/Basis!$E$5)^2)*0.0098)/Basis!$E$10,((AJ1139*(J1139/Basis!$E$5)^AK1139*(((MID(C1139,9,3)*10)-244)/1000)*AL1139+AM1139*(J1139/Basis!$E$5)^2)*0.0098)/Basis!$E$10)</f>
        <v>6.5692441986960146E-4</v>
      </c>
      <c r="M1139" s="85"/>
      <c r="N1139" s="110">
        <v>1.3620000000000001</v>
      </c>
      <c r="O1139" s="74"/>
      <c r="P1139" s="73">
        <v>372</v>
      </c>
      <c r="Q1139" s="74"/>
      <c r="R1139" s="75"/>
      <c r="S1139" s="75"/>
      <c r="T1139" s="75"/>
      <c r="U1139" s="75"/>
      <c r="V1139" s="75"/>
      <c r="W1139" s="74"/>
      <c r="X1139" s="76"/>
      <c r="Y1139" s="76"/>
      <c r="Z1139" s="76"/>
      <c r="AA1139" s="76"/>
      <c r="AB1139" s="76"/>
      <c r="AC1139" s="74"/>
      <c r="AD1139" s="77"/>
      <c r="AE1139" s="77"/>
      <c r="AF1139" s="77"/>
      <c r="AG1139" s="77"/>
      <c r="AH1139" s="77"/>
      <c r="AI1139" s="68"/>
      <c r="AJ1139" s="213">
        <v>3.9689999999999994E-4</v>
      </c>
      <c r="AK1139" s="213">
        <v>1.7345999999999999</v>
      </c>
      <c r="AL1139" s="213">
        <v>2</v>
      </c>
      <c r="AM1139" s="213">
        <v>3.6734700000000002E-4</v>
      </c>
      <c r="AN1139" s="74"/>
      <c r="AO1139" s="73"/>
      <c r="AP1139" s="73"/>
      <c r="AQ1139" s="73"/>
      <c r="AR1139" s="73"/>
      <c r="AS1139" s="73"/>
      <c r="AT1139" s="74"/>
      <c r="AU1139" s="47"/>
      <c r="AV1139" s="48"/>
    </row>
    <row r="1140" spans="1:48" ht="12.75" customHeight="1" x14ac:dyDescent="0.25">
      <c r="A1140" s="72" t="s">
        <v>119</v>
      </c>
      <c r="B1140" s="43" t="s">
        <v>1154</v>
      </c>
      <c r="C1140" s="44" t="s">
        <v>1295</v>
      </c>
      <c r="D1140" s="45">
        <f>MROUND(MID($C1140,6,3)/Basis!$E$3,0.5)</f>
        <v>4.5</v>
      </c>
      <c r="E1140" s="45">
        <f>MROUND(MID($C1140,9,3)/Basis!$E$3,0.5)</f>
        <v>39.5</v>
      </c>
      <c r="F1140" s="199" t="s">
        <v>2950</v>
      </c>
      <c r="G1140" s="45">
        <f>ROUND(MID($C1140,12,2)/Basis!$E$3,1)</f>
        <v>5.5</v>
      </c>
      <c r="H1140" s="120">
        <f>ROUND($P1140*Basis!$E$2*((TaH-TrH)/LN(1/µ)/Basis!$E$7)^$N1140*$AA$4*Glycol,0)</f>
        <v>322</v>
      </c>
      <c r="I1140" s="83">
        <f>ROUND(H1140/(MID($C1140,9,3)/Basis!$E$3/Basis!$E$9)*Basis!$E$11,0)</f>
        <v>98</v>
      </c>
      <c r="J1140" s="123">
        <f>IF(Basis!$E$1=1,ROUND(H1140/((TaH-TrH)*1.163)/3600,3),ROUND(H1140/(500*(TaH-TrH)),2))</f>
        <v>0.03</v>
      </c>
      <c r="K1140" s="84"/>
      <c r="L1140" s="177">
        <f>CHOOSE(Basis!$E$1,((AJ1140*(J1140*3600/Basis!$E$5)^AK1140*(((MID(C1140,9,3)*10)-244)/1000)*AL1140+AM1140*(J1140*3600/Basis!$E$5)^2)*0.0098)/Basis!$E$10,((AJ1140*(J1140/Basis!$E$5)^AK1140*(((MID(C1140,9,3)*10)-244)/1000)*AL1140+AM1140*(J1140/Basis!$E$5)^2)*0.0098)/Basis!$E$10)</f>
        <v>1.0297167845018914E-4</v>
      </c>
      <c r="M1140" s="85"/>
      <c r="N1140" s="109">
        <v>1.3620000000000001</v>
      </c>
      <c r="O1140" s="68"/>
      <c r="P1140" s="67">
        <v>148</v>
      </c>
      <c r="Q1140" s="68"/>
      <c r="R1140" s="69"/>
      <c r="S1140" s="69"/>
      <c r="T1140" s="69"/>
      <c r="U1140" s="69"/>
      <c r="V1140" s="69"/>
      <c r="W1140" s="68"/>
      <c r="X1140" s="70"/>
      <c r="Y1140" s="70"/>
      <c r="Z1140" s="70"/>
      <c r="AA1140" s="70"/>
      <c r="AB1140" s="70"/>
      <c r="AC1140" s="68"/>
      <c r="AD1140" s="71"/>
      <c r="AE1140" s="71"/>
      <c r="AF1140" s="71"/>
      <c r="AG1140" s="71"/>
      <c r="AH1140" s="71"/>
      <c r="AI1140" s="68"/>
      <c r="AJ1140" s="214">
        <v>6.0625777523108995E-4</v>
      </c>
      <c r="AK1140" s="214">
        <v>1.8894792857555001</v>
      </c>
      <c r="AL1140" s="214">
        <v>1</v>
      </c>
      <c r="AM1140" s="214">
        <v>3.0758017492711002E-4</v>
      </c>
      <c r="AN1140" s="68"/>
      <c r="AO1140" s="67"/>
      <c r="AP1140" s="67"/>
      <c r="AQ1140" s="67"/>
      <c r="AR1140" s="67"/>
      <c r="AS1140" s="67"/>
      <c r="AT1140" s="68"/>
      <c r="AU1140" s="49"/>
      <c r="AV1140" s="50"/>
    </row>
    <row r="1141" spans="1:48" ht="12.75" customHeight="1" x14ac:dyDescent="0.25">
      <c r="A1141" s="72" t="s">
        <v>119</v>
      </c>
      <c r="B1141" s="43" t="s">
        <v>1154</v>
      </c>
      <c r="C1141" s="44" t="s">
        <v>1296</v>
      </c>
      <c r="D1141" s="45">
        <f>MROUND(MID($C1141,6,3)/Basis!$E$3,0.5)</f>
        <v>4.5</v>
      </c>
      <c r="E1141" s="45">
        <f>MROUND(MID($C1141,9,3)/Basis!$E$3,0.5)</f>
        <v>39.5</v>
      </c>
      <c r="F1141" s="199" t="s">
        <v>2950</v>
      </c>
      <c r="G1141" s="45">
        <f>ROUND(MID($C1141,12,2)/Basis!$E$3,1)</f>
        <v>7.1</v>
      </c>
      <c r="H1141" s="120">
        <f>ROUND($P1141*Basis!$E$2*((TaH-TrH)/LN(1/µ)/Basis!$E$7)^$N1141*$AA$4*Glycol,0)</f>
        <v>383</v>
      </c>
      <c r="I1141" s="83">
        <f>ROUND(H1141/(MID($C1141,9,3)/Basis!$E$3/Basis!$E$9)*Basis!$E$11,0)</f>
        <v>117</v>
      </c>
      <c r="J1141" s="123">
        <f>IF(Basis!$E$1=1,ROUND(H1141/((TaH-TrH)*1.163)/3600,3),ROUND(H1141/(500*(TaH-TrH)),2))</f>
        <v>0.04</v>
      </c>
      <c r="K1141" s="84"/>
      <c r="L1141" s="177">
        <f>CHOOSE(Basis!$E$1,((AJ1141*(J1141*3600/Basis!$E$5)^AK1141*(((MID(C1141,9,3)*10)-244)/1000)*AL1141+AM1141*(J1141*3600/Basis!$E$5)^2)*0.0098)/Basis!$E$10,((AJ1141*(J1141/Basis!$E$5)^AK1141*(((MID(C1141,9,3)*10)-244)/1000)*AL1141+AM1141*(J1141/Basis!$E$5)^2)*0.0098)/Basis!$E$10)</f>
        <v>3.6064284036789527E-4</v>
      </c>
      <c r="M1141" s="85"/>
      <c r="N1141" s="110">
        <v>1.3620000000000001</v>
      </c>
      <c r="O1141" s="74"/>
      <c r="P1141" s="73">
        <v>176</v>
      </c>
      <c r="Q1141" s="74"/>
      <c r="R1141" s="75"/>
      <c r="S1141" s="75"/>
      <c r="T1141" s="75"/>
      <c r="U1141" s="75"/>
      <c r="V1141" s="75"/>
      <c r="W1141" s="74"/>
      <c r="X1141" s="76"/>
      <c r="Y1141" s="76"/>
      <c r="Z1141" s="76"/>
      <c r="AA1141" s="76"/>
      <c r="AB1141" s="76"/>
      <c r="AC1141" s="74"/>
      <c r="AD1141" s="77"/>
      <c r="AE1141" s="77"/>
      <c r="AF1141" s="77"/>
      <c r="AG1141" s="77"/>
      <c r="AH1141" s="77"/>
      <c r="AI1141" s="68"/>
      <c r="AJ1141" s="213">
        <v>9.3669999999999995E-4</v>
      </c>
      <c r="AK1141" s="213">
        <v>1.789841</v>
      </c>
      <c r="AL1141" s="213">
        <v>2</v>
      </c>
      <c r="AM1141" s="213">
        <v>4.4559999999999999E-4</v>
      </c>
      <c r="AN1141" s="74"/>
      <c r="AO1141" s="73"/>
      <c r="AP1141" s="73"/>
      <c r="AQ1141" s="73"/>
      <c r="AR1141" s="73"/>
      <c r="AS1141" s="73"/>
      <c r="AT1141" s="74"/>
      <c r="AU1141" s="47"/>
      <c r="AV1141" s="48"/>
    </row>
    <row r="1142" spans="1:48" ht="12.75" customHeight="1" x14ac:dyDescent="0.25">
      <c r="A1142" s="72" t="s">
        <v>119</v>
      </c>
      <c r="B1142" s="43" t="s">
        <v>1154</v>
      </c>
      <c r="C1142" s="44" t="s">
        <v>1297</v>
      </c>
      <c r="D1142" s="45">
        <f>MROUND(MID($C1142,6,3)/Basis!$E$3,0.5)</f>
        <v>4.5</v>
      </c>
      <c r="E1142" s="45">
        <f>MROUND(MID($C1142,9,3)/Basis!$E$3,0.5)</f>
        <v>39.5</v>
      </c>
      <c r="F1142" s="199" t="s">
        <v>2950</v>
      </c>
      <c r="G1142" s="45">
        <f>ROUND(MID($C1142,12,2)/Basis!$E$3,1)</f>
        <v>10.199999999999999</v>
      </c>
      <c r="H1142" s="120">
        <f>ROUND($P1142*Basis!$E$2*((TaH-TrH)/LN(1/µ)/Basis!$E$7)^$N1142*$AA$4*Glycol,0)</f>
        <v>518</v>
      </c>
      <c r="I1142" s="83">
        <f>ROUND(H1142/(MID($C1142,9,3)/Basis!$E$3/Basis!$E$9)*Basis!$E$11,0)</f>
        <v>158</v>
      </c>
      <c r="J1142" s="123">
        <f>IF(Basis!$E$1=1,ROUND(H1142/((TaH-TrH)*1.163)/3600,3),ROUND(H1142/(500*(TaH-TrH)),2))</f>
        <v>0.05</v>
      </c>
      <c r="K1142" s="84"/>
      <c r="L1142" s="177">
        <f>CHOOSE(Basis!$E$1,((AJ1142*(J1142*3600/Basis!$E$5)^AK1142*(((MID(C1142,9,3)*10)-244)/1000)*AL1142+AM1142*(J1142*3600/Basis!$E$5)^2)*0.0098)/Basis!$E$10,((AJ1142*(J1142/Basis!$E$5)^AK1142*(((MID(C1142,9,3)*10)-244)/1000)*AL1142+AM1142*(J1142/Basis!$E$5)^2)*0.0098)/Basis!$E$10)</f>
        <v>5.4629679436788228E-4</v>
      </c>
      <c r="M1142" s="85"/>
      <c r="N1142" s="109">
        <v>1.3620000000000001</v>
      </c>
      <c r="O1142" s="68"/>
      <c r="P1142" s="67">
        <v>238</v>
      </c>
      <c r="Q1142" s="68"/>
      <c r="R1142" s="69"/>
      <c r="S1142" s="69"/>
      <c r="T1142" s="69"/>
      <c r="U1142" s="69"/>
      <c r="V1142" s="69"/>
      <c r="W1142" s="68"/>
      <c r="X1142" s="70"/>
      <c r="Y1142" s="70"/>
      <c r="Z1142" s="70"/>
      <c r="AA1142" s="70"/>
      <c r="AB1142" s="70"/>
      <c r="AC1142" s="68"/>
      <c r="AD1142" s="71"/>
      <c r="AE1142" s="71"/>
      <c r="AF1142" s="71"/>
      <c r="AG1142" s="71"/>
      <c r="AH1142" s="71"/>
      <c r="AI1142" s="68"/>
      <c r="AJ1142" s="214">
        <v>9.3669999999999995E-4</v>
      </c>
      <c r="AK1142" s="214">
        <v>1.789841</v>
      </c>
      <c r="AL1142" s="214">
        <v>2</v>
      </c>
      <c r="AM1142" s="214">
        <v>4.4559999999999999E-4</v>
      </c>
      <c r="AN1142" s="68"/>
      <c r="AO1142" s="67"/>
      <c r="AP1142" s="67"/>
      <c r="AQ1142" s="67"/>
      <c r="AR1142" s="67"/>
      <c r="AS1142" s="67"/>
      <c r="AT1142" s="68"/>
      <c r="AU1142" s="49"/>
      <c r="AV1142" s="50"/>
    </row>
    <row r="1143" spans="1:48" ht="12.75" customHeight="1" x14ac:dyDescent="0.25">
      <c r="A1143" s="72" t="s">
        <v>119</v>
      </c>
      <c r="B1143" s="43" t="s">
        <v>1154</v>
      </c>
      <c r="C1143" s="44" t="s">
        <v>1298</v>
      </c>
      <c r="D1143" s="45">
        <f>MROUND(MID($C1143,6,3)/Basis!$E$3,0.5)</f>
        <v>4.5</v>
      </c>
      <c r="E1143" s="45">
        <f>MROUND(MID($C1143,9,3)/Basis!$E$3,0.5)</f>
        <v>39.5</v>
      </c>
      <c r="F1143" s="199" t="s">
        <v>2950</v>
      </c>
      <c r="G1143" s="45">
        <f>ROUND(MID($C1143,12,2)/Basis!$E$3,1)</f>
        <v>13.4</v>
      </c>
      <c r="H1143" s="120">
        <f>ROUND($P1143*Basis!$E$2*((TaH-TrH)/LN(1/µ)/Basis!$E$7)^$N1143*$AA$4*Glycol,0)</f>
        <v>668</v>
      </c>
      <c r="I1143" s="83">
        <f>ROUND(H1143/(MID($C1143,9,3)/Basis!$E$3/Basis!$E$9)*Basis!$E$11,0)</f>
        <v>204</v>
      </c>
      <c r="J1143" s="123">
        <f>IF(Basis!$E$1=1,ROUND(H1143/((TaH-TrH)*1.163)/3600,3),ROUND(H1143/(500*(TaH-TrH)),2))</f>
        <v>7.0000000000000007E-2</v>
      </c>
      <c r="K1143" s="84"/>
      <c r="L1143" s="177">
        <f>CHOOSE(Basis!$E$1,((AJ1143*(J1143*3600/Basis!$E$5)^AK1143*(((MID(C1143,9,3)*10)-244)/1000)*AL1143+AM1143*(J1143*3600/Basis!$E$5)^2)*0.0098)/Basis!$E$10,((AJ1143*(J1143/Basis!$E$5)^AK1143*(((MID(C1143,9,3)*10)-244)/1000)*AL1143+AM1143*(J1143/Basis!$E$5)^2)*0.0098)/Basis!$E$10)</f>
        <v>2.4543388498274648E-3</v>
      </c>
      <c r="M1143" s="85"/>
      <c r="N1143" s="110">
        <v>1.3620000000000001</v>
      </c>
      <c r="O1143" s="74"/>
      <c r="P1143" s="73">
        <v>307</v>
      </c>
      <c r="Q1143" s="74"/>
      <c r="R1143" s="75"/>
      <c r="S1143" s="75"/>
      <c r="T1143" s="75"/>
      <c r="U1143" s="75"/>
      <c r="V1143" s="75"/>
      <c r="W1143" s="74"/>
      <c r="X1143" s="76"/>
      <c r="Y1143" s="76"/>
      <c r="Z1143" s="76"/>
      <c r="AA1143" s="76"/>
      <c r="AB1143" s="76"/>
      <c r="AC1143" s="74"/>
      <c r="AD1143" s="77"/>
      <c r="AE1143" s="77"/>
      <c r="AF1143" s="77"/>
      <c r="AG1143" s="77"/>
      <c r="AH1143" s="77"/>
      <c r="AI1143" s="68"/>
      <c r="AJ1143" s="213">
        <v>1.3162765859195E-2</v>
      </c>
      <c r="AK1143" s="213">
        <v>1.4286501188989</v>
      </c>
      <c r="AL1143" s="213">
        <v>1</v>
      </c>
      <c r="AM1143" s="213">
        <v>9.2091836734694004E-4</v>
      </c>
      <c r="AN1143" s="74"/>
      <c r="AO1143" s="73"/>
      <c r="AP1143" s="73"/>
      <c r="AQ1143" s="73"/>
      <c r="AR1143" s="73"/>
      <c r="AS1143" s="73"/>
      <c r="AT1143" s="74"/>
      <c r="AU1143" s="47"/>
      <c r="AV1143" s="48"/>
    </row>
    <row r="1144" spans="1:48" ht="12.75" customHeight="1" x14ac:dyDescent="0.25">
      <c r="A1144" s="72" t="s">
        <v>119</v>
      </c>
      <c r="B1144" s="43" t="s">
        <v>1154</v>
      </c>
      <c r="C1144" s="44" t="s">
        <v>1299</v>
      </c>
      <c r="D1144" s="45">
        <f>MROUND(MID($C1144,6,3)/Basis!$E$3,0.5)</f>
        <v>4.5</v>
      </c>
      <c r="E1144" s="45">
        <f>MROUND(MID($C1144,9,3)/Basis!$E$3,0.5)</f>
        <v>39.5</v>
      </c>
      <c r="F1144" s="199" t="s">
        <v>2950</v>
      </c>
      <c r="G1144" s="45">
        <f>ROUND(MID($C1144,12,2)/Basis!$E$3,1)</f>
        <v>16.5</v>
      </c>
      <c r="H1144" s="120">
        <f>ROUND($P1144*Basis!$E$2*((TaH-TrH)/LN(1/µ)/Basis!$E$7)^$N1144*$AA$4*Glycol,0)</f>
        <v>945</v>
      </c>
      <c r="I1144" s="83">
        <f>ROUND(H1144/(MID($C1144,9,3)/Basis!$E$3/Basis!$E$9)*Basis!$E$11,0)</f>
        <v>288</v>
      </c>
      <c r="J1144" s="123">
        <f>IF(Basis!$E$1=1,ROUND(H1144/((TaH-TrH)*1.163)/3600,3),ROUND(H1144/(500*(TaH-TrH)),2))</f>
        <v>0.09</v>
      </c>
      <c r="K1144" s="84"/>
      <c r="L1144" s="177">
        <f>CHOOSE(Basis!$E$1,((AJ1144*(J1144*3600/Basis!$E$5)^AK1144*(((MID(C1144,9,3)*10)-244)/1000)*AL1144+AM1144*(J1144*3600/Basis!$E$5)^2)*0.0098)/Basis!$E$10,((AJ1144*(J1144/Basis!$E$5)^AK1144*(((MID(C1144,9,3)*10)-244)/1000)*AL1144+AM1144*(J1144/Basis!$E$5)^2)*0.0098)/Basis!$E$10)</f>
        <v>8.6996679648226503E-4</v>
      </c>
      <c r="M1144" s="85"/>
      <c r="N1144" s="109">
        <v>1.3620000000000001</v>
      </c>
      <c r="O1144" s="68"/>
      <c r="P1144" s="67">
        <v>434</v>
      </c>
      <c r="Q1144" s="68"/>
      <c r="R1144" s="69"/>
      <c r="S1144" s="69"/>
      <c r="T1144" s="69"/>
      <c r="U1144" s="69"/>
      <c r="V1144" s="69"/>
      <c r="W1144" s="68"/>
      <c r="X1144" s="70"/>
      <c r="Y1144" s="70"/>
      <c r="Z1144" s="70"/>
      <c r="AA1144" s="70"/>
      <c r="AB1144" s="70"/>
      <c r="AC1144" s="68"/>
      <c r="AD1144" s="71"/>
      <c r="AE1144" s="71"/>
      <c r="AF1144" s="71"/>
      <c r="AG1144" s="71"/>
      <c r="AH1144" s="71"/>
      <c r="AI1144" s="68"/>
      <c r="AJ1144" s="214">
        <v>3.9689999999999994E-4</v>
      </c>
      <c r="AK1144" s="214">
        <v>1.7345999999999999</v>
      </c>
      <c r="AL1144" s="214">
        <v>2</v>
      </c>
      <c r="AM1144" s="214">
        <v>3.6734700000000002E-4</v>
      </c>
      <c r="AN1144" s="68"/>
      <c r="AO1144" s="67"/>
      <c r="AP1144" s="67"/>
      <c r="AQ1144" s="67"/>
      <c r="AR1144" s="67"/>
      <c r="AS1144" s="67"/>
      <c r="AT1144" s="68"/>
      <c r="AU1144" s="49"/>
      <c r="AV1144" s="50"/>
    </row>
    <row r="1145" spans="1:48" ht="12.75" customHeight="1" x14ac:dyDescent="0.25">
      <c r="A1145" s="72" t="s">
        <v>119</v>
      </c>
      <c r="B1145" s="43" t="s">
        <v>1154</v>
      </c>
      <c r="C1145" s="44" t="s">
        <v>1300</v>
      </c>
      <c r="D1145" s="45">
        <f>MROUND(MID($C1145,6,3)/Basis!$E$3,0.5)</f>
        <v>4.5</v>
      </c>
      <c r="E1145" s="45">
        <f>MROUND(MID($C1145,9,3)/Basis!$E$3,0.5)</f>
        <v>43.5</v>
      </c>
      <c r="F1145" s="199" t="s">
        <v>2950</v>
      </c>
      <c r="G1145" s="45">
        <f>ROUND(MID($C1145,12,2)/Basis!$E$3,1)</f>
        <v>5.5</v>
      </c>
      <c r="H1145" s="120">
        <f>ROUND($P1145*Basis!$E$2*((TaH-TrH)/LN(1/µ)/Basis!$E$7)^$N1145*$AA$4*Glycol,0)</f>
        <v>370</v>
      </c>
      <c r="I1145" s="83">
        <f>ROUND(H1145/(MID($C1145,9,3)/Basis!$E$3/Basis!$E$9)*Basis!$E$11,0)</f>
        <v>103</v>
      </c>
      <c r="J1145" s="123">
        <f>IF(Basis!$E$1=1,ROUND(H1145/((TaH-TrH)*1.163)/3600,3),ROUND(H1145/(500*(TaH-TrH)),2))</f>
        <v>0.04</v>
      </c>
      <c r="K1145" s="84"/>
      <c r="L1145" s="177">
        <f>CHOOSE(Basis!$E$1,((AJ1145*(J1145*3600/Basis!$E$5)^AK1145*(((MID(C1145,9,3)*10)-244)/1000)*AL1145+AM1145*(J1145*3600/Basis!$E$5)^2)*0.0098)/Basis!$E$10,((AJ1145*(J1145/Basis!$E$5)^AK1145*(((MID(C1145,9,3)*10)-244)/1000)*AL1145+AM1145*(J1145/Basis!$E$5)^2)*0.0098)/Basis!$E$10)</f>
        <v>1.9275003273053882E-4</v>
      </c>
      <c r="M1145" s="85"/>
      <c r="N1145" s="110">
        <v>1.3620000000000001</v>
      </c>
      <c r="O1145" s="74"/>
      <c r="P1145" s="73">
        <v>170</v>
      </c>
      <c r="Q1145" s="74"/>
      <c r="R1145" s="75"/>
      <c r="S1145" s="75"/>
      <c r="T1145" s="75"/>
      <c r="U1145" s="75"/>
      <c r="V1145" s="75"/>
      <c r="W1145" s="74"/>
      <c r="X1145" s="76"/>
      <c r="Y1145" s="76"/>
      <c r="Z1145" s="76"/>
      <c r="AA1145" s="76"/>
      <c r="AB1145" s="76"/>
      <c r="AC1145" s="74"/>
      <c r="AD1145" s="77"/>
      <c r="AE1145" s="77"/>
      <c r="AF1145" s="77"/>
      <c r="AG1145" s="77"/>
      <c r="AH1145" s="77"/>
      <c r="AI1145" s="68"/>
      <c r="AJ1145" s="213">
        <v>6.0625777523108995E-4</v>
      </c>
      <c r="AK1145" s="213">
        <v>1.8894792857555001</v>
      </c>
      <c r="AL1145" s="213">
        <v>1</v>
      </c>
      <c r="AM1145" s="213">
        <v>3.0758017492711002E-4</v>
      </c>
      <c r="AN1145" s="74"/>
      <c r="AO1145" s="73"/>
      <c r="AP1145" s="73"/>
      <c r="AQ1145" s="73"/>
      <c r="AR1145" s="73"/>
      <c r="AS1145" s="73"/>
      <c r="AT1145" s="74"/>
      <c r="AU1145" s="47"/>
      <c r="AV1145" s="48"/>
    </row>
    <row r="1146" spans="1:48" ht="12.75" customHeight="1" x14ac:dyDescent="0.25">
      <c r="A1146" s="72" t="s">
        <v>119</v>
      </c>
      <c r="B1146" s="43" t="s">
        <v>1154</v>
      </c>
      <c r="C1146" s="44" t="s">
        <v>1301</v>
      </c>
      <c r="D1146" s="45">
        <f>MROUND(MID($C1146,6,3)/Basis!$E$3,0.5)</f>
        <v>4.5</v>
      </c>
      <c r="E1146" s="45">
        <f>MROUND(MID($C1146,9,3)/Basis!$E$3,0.5)</f>
        <v>43.5</v>
      </c>
      <c r="F1146" s="199" t="s">
        <v>2950</v>
      </c>
      <c r="G1146" s="45">
        <f>ROUND(MID($C1146,12,2)/Basis!$E$3,1)</f>
        <v>7.1</v>
      </c>
      <c r="H1146" s="120">
        <f>ROUND($P1146*Basis!$E$2*((TaH-TrH)/LN(1/µ)/Basis!$E$7)^$N1146*$AA$4*Glycol,0)</f>
        <v>438</v>
      </c>
      <c r="I1146" s="83">
        <f>ROUND(H1146/(MID($C1146,9,3)/Basis!$E$3/Basis!$E$9)*Basis!$E$11,0)</f>
        <v>121</v>
      </c>
      <c r="J1146" s="123">
        <f>IF(Basis!$E$1=1,ROUND(H1146/((TaH-TrH)*1.163)/3600,3),ROUND(H1146/(500*(TaH-TrH)),2))</f>
        <v>0.04</v>
      </c>
      <c r="K1146" s="84"/>
      <c r="L1146" s="177">
        <f>CHOOSE(Basis!$E$1,((AJ1146*(J1146*3600/Basis!$E$5)^AK1146*(((MID(C1146,9,3)*10)-244)/1000)*AL1146+AM1146*(J1146*3600/Basis!$E$5)^2)*0.0098)/Basis!$E$10,((AJ1146*(J1146/Basis!$E$5)^AK1146*(((MID(C1146,9,3)*10)-244)/1000)*AL1146+AM1146*(J1146/Basis!$E$5)^2)*0.0098)/Basis!$E$10)</f>
        <v>3.9244017449094072E-4</v>
      </c>
      <c r="M1146" s="85"/>
      <c r="N1146" s="109">
        <v>1.3620000000000001</v>
      </c>
      <c r="O1146" s="68"/>
      <c r="P1146" s="67">
        <v>201</v>
      </c>
      <c r="Q1146" s="68"/>
      <c r="R1146" s="69"/>
      <c r="S1146" s="69"/>
      <c r="T1146" s="69"/>
      <c r="U1146" s="69"/>
      <c r="V1146" s="69"/>
      <c r="W1146" s="68"/>
      <c r="X1146" s="70"/>
      <c r="Y1146" s="70"/>
      <c r="Z1146" s="70"/>
      <c r="AA1146" s="70"/>
      <c r="AB1146" s="70"/>
      <c r="AC1146" s="68"/>
      <c r="AD1146" s="71"/>
      <c r="AE1146" s="71"/>
      <c r="AF1146" s="71"/>
      <c r="AG1146" s="71"/>
      <c r="AH1146" s="71"/>
      <c r="AI1146" s="68"/>
      <c r="AJ1146" s="214">
        <v>9.3669999999999995E-4</v>
      </c>
      <c r="AK1146" s="214">
        <v>1.789841</v>
      </c>
      <c r="AL1146" s="214">
        <v>2</v>
      </c>
      <c r="AM1146" s="214">
        <v>4.4559999999999999E-4</v>
      </c>
      <c r="AN1146" s="68"/>
      <c r="AO1146" s="67"/>
      <c r="AP1146" s="67"/>
      <c r="AQ1146" s="67"/>
      <c r="AR1146" s="67"/>
      <c r="AS1146" s="67"/>
      <c r="AT1146" s="68"/>
      <c r="AU1146" s="49"/>
      <c r="AV1146" s="50"/>
    </row>
    <row r="1147" spans="1:48" ht="12.75" customHeight="1" x14ac:dyDescent="0.25">
      <c r="A1147" s="72" t="s">
        <v>119</v>
      </c>
      <c r="B1147" s="43" t="s">
        <v>1154</v>
      </c>
      <c r="C1147" s="44" t="s">
        <v>1302</v>
      </c>
      <c r="D1147" s="45">
        <f>MROUND(MID($C1147,6,3)/Basis!$E$3,0.5)</f>
        <v>4.5</v>
      </c>
      <c r="E1147" s="45">
        <f>MROUND(MID($C1147,9,3)/Basis!$E$3,0.5)</f>
        <v>43.5</v>
      </c>
      <c r="F1147" s="199" t="s">
        <v>2950</v>
      </c>
      <c r="G1147" s="45">
        <f>ROUND(MID($C1147,12,2)/Basis!$E$3,1)</f>
        <v>10.199999999999999</v>
      </c>
      <c r="H1147" s="120">
        <f>ROUND($P1147*Basis!$E$2*((TaH-TrH)/LN(1/µ)/Basis!$E$7)^$N1147*$AA$4*Glycol,0)</f>
        <v>590</v>
      </c>
      <c r="I1147" s="83">
        <f>ROUND(H1147/(MID($C1147,9,3)/Basis!$E$3/Basis!$E$9)*Basis!$E$11,0)</f>
        <v>163</v>
      </c>
      <c r="J1147" s="123">
        <f>IF(Basis!$E$1=1,ROUND(H1147/((TaH-TrH)*1.163)/3600,3),ROUND(H1147/(500*(TaH-TrH)),2))</f>
        <v>0.06</v>
      </c>
      <c r="K1147" s="84"/>
      <c r="L1147" s="177">
        <f>CHOOSE(Basis!$E$1,((AJ1147*(J1147*3600/Basis!$E$5)^AK1147*(((MID(C1147,9,3)*10)-244)/1000)*AL1147+AM1147*(J1147*3600/Basis!$E$5)^2)*0.0098)/Basis!$E$10,((AJ1147*(J1147/Basis!$E$5)^AK1147*(((MID(C1147,9,3)*10)-244)/1000)*AL1147+AM1147*(J1147/Basis!$E$5)^2)*0.0098)/Basis!$E$10)</f>
        <v>8.3296663876038007E-4</v>
      </c>
      <c r="M1147" s="85"/>
      <c r="N1147" s="110">
        <v>1.3620000000000001</v>
      </c>
      <c r="O1147" s="74"/>
      <c r="P1147" s="73">
        <v>271</v>
      </c>
      <c r="Q1147" s="74"/>
      <c r="R1147" s="75"/>
      <c r="S1147" s="75"/>
      <c r="T1147" s="75"/>
      <c r="U1147" s="75"/>
      <c r="V1147" s="75"/>
      <c r="W1147" s="74"/>
      <c r="X1147" s="76"/>
      <c r="Y1147" s="76"/>
      <c r="Z1147" s="76"/>
      <c r="AA1147" s="76"/>
      <c r="AB1147" s="76"/>
      <c r="AC1147" s="74"/>
      <c r="AD1147" s="77"/>
      <c r="AE1147" s="77"/>
      <c r="AF1147" s="77"/>
      <c r="AG1147" s="77"/>
      <c r="AH1147" s="77"/>
      <c r="AI1147" s="68"/>
      <c r="AJ1147" s="213">
        <v>9.3669999999999995E-4</v>
      </c>
      <c r="AK1147" s="213">
        <v>1.789841</v>
      </c>
      <c r="AL1147" s="213">
        <v>2</v>
      </c>
      <c r="AM1147" s="213">
        <v>4.4559999999999999E-4</v>
      </c>
      <c r="AN1147" s="74"/>
      <c r="AO1147" s="73"/>
      <c r="AP1147" s="73"/>
      <c r="AQ1147" s="73"/>
      <c r="AR1147" s="73"/>
      <c r="AS1147" s="73"/>
      <c r="AT1147" s="74"/>
      <c r="AU1147" s="47"/>
      <c r="AV1147" s="48"/>
    </row>
    <row r="1148" spans="1:48" ht="12.75" customHeight="1" x14ac:dyDescent="0.25">
      <c r="A1148" s="72" t="s">
        <v>119</v>
      </c>
      <c r="B1148" s="43" t="s">
        <v>1154</v>
      </c>
      <c r="C1148" s="44" t="s">
        <v>1303</v>
      </c>
      <c r="D1148" s="45">
        <f>MROUND(MID($C1148,6,3)/Basis!$E$3,0.5)</f>
        <v>4.5</v>
      </c>
      <c r="E1148" s="45">
        <f>MROUND(MID($C1148,9,3)/Basis!$E$3,0.5)</f>
        <v>43.5</v>
      </c>
      <c r="F1148" s="199" t="s">
        <v>2950</v>
      </c>
      <c r="G1148" s="45">
        <f>ROUND(MID($C1148,12,2)/Basis!$E$3,1)</f>
        <v>13.4</v>
      </c>
      <c r="H1148" s="120">
        <f>ROUND($P1148*Basis!$E$2*((TaH-TrH)/LN(1/µ)/Basis!$E$7)^$N1148*$AA$4*Glycol,0)</f>
        <v>766</v>
      </c>
      <c r="I1148" s="83">
        <f>ROUND(H1148/(MID($C1148,9,3)/Basis!$E$3/Basis!$E$9)*Basis!$E$11,0)</f>
        <v>212</v>
      </c>
      <c r="J1148" s="123">
        <f>IF(Basis!$E$1=1,ROUND(H1148/((TaH-TrH)*1.163)/3600,3),ROUND(H1148/(500*(TaH-TrH)),2))</f>
        <v>0.08</v>
      </c>
      <c r="K1148" s="84"/>
      <c r="L1148" s="177">
        <f>CHOOSE(Basis!$E$1,((AJ1148*(J1148*3600/Basis!$E$5)^AK1148*(((MID(C1148,9,3)*10)-244)/1000)*AL1148+AM1148*(J1148*3600/Basis!$E$5)^2)*0.0098)/Basis!$E$10,((AJ1148*(J1148/Basis!$E$5)^AK1148*(((MID(C1148,9,3)*10)-244)/1000)*AL1148+AM1148*(J1148/Basis!$E$5)^2)*0.0098)/Basis!$E$10)</f>
        <v>3.314261428107158E-3</v>
      </c>
      <c r="M1148" s="85"/>
      <c r="N1148" s="109">
        <v>1.3620000000000001</v>
      </c>
      <c r="O1148" s="68"/>
      <c r="P1148" s="67">
        <v>352</v>
      </c>
      <c r="Q1148" s="68"/>
      <c r="R1148" s="69"/>
      <c r="S1148" s="69"/>
      <c r="T1148" s="69"/>
      <c r="U1148" s="69"/>
      <c r="V1148" s="69"/>
      <c r="W1148" s="68"/>
      <c r="X1148" s="70"/>
      <c r="Y1148" s="70"/>
      <c r="Z1148" s="70"/>
      <c r="AA1148" s="70"/>
      <c r="AB1148" s="70"/>
      <c r="AC1148" s="68"/>
      <c r="AD1148" s="71"/>
      <c r="AE1148" s="71"/>
      <c r="AF1148" s="71"/>
      <c r="AG1148" s="71"/>
      <c r="AH1148" s="71"/>
      <c r="AI1148" s="68"/>
      <c r="AJ1148" s="214">
        <v>1.3162765859195E-2</v>
      </c>
      <c r="AK1148" s="214">
        <v>1.4286501188989</v>
      </c>
      <c r="AL1148" s="214">
        <v>1</v>
      </c>
      <c r="AM1148" s="214">
        <v>9.2091836734694004E-4</v>
      </c>
      <c r="AN1148" s="68"/>
      <c r="AO1148" s="67"/>
      <c r="AP1148" s="67"/>
      <c r="AQ1148" s="67"/>
      <c r="AR1148" s="67"/>
      <c r="AS1148" s="67"/>
      <c r="AT1148" s="68"/>
      <c r="AU1148" s="49"/>
      <c r="AV1148" s="50"/>
    </row>
    <row r="1149" spans="1:48" ht="12.75" customHeight="1" x14ac:dyDescent="0.25">
      <c r="A1149" s="72" t="s">
        <v>119</v>
      </c>
      <c r="B1149" s="43" t="s">
        <v>1154</v>
      </c>
      <c r="C1149" s="44" t="s">
        <v>1304</v>
      </c>
      <c r="D1149" s="45">
        <f>MROUND(MID($C1149,6,3)/Basis!$E$3,0.5)</f>
        <v>4.5</v>
      </c>
      <c r="E1149" s="45">
        <f>MROUND(MID($C1149,9,3)/Basis!$E$3,0.5)</f>
        <v>43.5</v>
      </c>
      <c r="F1149" s="199" t="s">
        <v>2950</v>
      </c>
      <c r="G1149" s="45">
        <f>ROUND(MID($C1149,12,2)/Basis!$E$3,1)</f>
        <v>16.5</v>
      </c>
      <c r="H1149" s="120">
        <f>ROUND($P1149*Basis!$E$2*((TaH-TrH)/LN(1/µ)/Basis!$E$7)^$N1149*$AA$4*Glycol,0)</f>
        <v>1077</v>
      </c>
      <c r="I1149" s="83">
        <f>ROUND(H1149/(MID($C1149,9,3)/Basis!$E$3/Basis!$E$9)*Basis!$E$11,0)</f>
        <v>298</v>
      </c>
      <c r="J1149" s="123">
        <f>IF(Basis!$E$1=1,ROUND(H1149/((TaH-TrH)*1.163)/3600,3),ROUND(H1149/(500*(TaH-TrH)),2))</f>
        <v>0.11</v>
      </c>
      <c r="K1149" s="84"/>
      <c r="L1149" s="177">
        <f>CHOOSE(Basis!$E$1,((AJ1149*(J1149*3600/Basis!$E$5)^AK1149*(((MID(C1149,9,3)*10)-244)/1000)*AL1149+AM1149*(J1149*3600/Basis!$E$5)^2)*0.0098)/Basis!$E$10,((AJ1149*(J1149/Basis!$E$5)^AK1149*(((MID(C1149,9,3)*10)-244)/1000)*AL1149+AM1149*(J1149/Basis!$E$5)^2)*0.0098)/Basis!$E$10)</f>
        <v>1.3400221912258218E-3</v>
      </c>
      <c r="M1149" s="85"/>
      <c r="N1149" s="110">
        <v>1.3620000000000001</v>
      </c>
      <c r="O1149" s="74"/>
      <c r="P1149" s="73">
        <v>495</v>
      </c>
      <c r="Q1149" s="74"/>
      <c r="R1149" s="75"/>
      <c r="S1149" s="75"/>
      <c r="T1149" s="75"/>
      <c r="U1149" s="75"/>
      <c r="V1149" s="75"/>
      <c r="W1149" s="74"/>
      <c r="X1149" s="76"/>
      <c r="Y1149" s="76"/>
      <c r="Z1149" s="76"/>
      <c r="AA1149" s="76"/>
      <c r="AB1149" s="76"/>
      <c r="AC1149" s="74"/>
      <c r="AD1149" s="77"/>
      <c r="AE1149" s="77"/>
      <c r="AF1149" s="77"/>
      <c r="AG1149" s="77"/>
      <c r="AH1149" s="77"/>
      <c r="AI1149" s="68"/>
      <c r="AJ1149" s="213">
        <v>3.9689999999999994E-4</v>
      </c>
      <c r="AK1149" s="213">
        <v>1.7345999999999999</v>
      </c>
      <c r="AL1149" s="213">
        <v>2</v>
      </c>
      <c r="AM1149" s="213">
        <v>3.6734700000000002E-4</v>
      </c>
      <c r="AN1149" s="74"/>
      <c r="AO1149" s="73"/>
      <c r="AP1149" s="73"/>
      <c r="AQ1149" s="73"/>
      <c r="AR1149" s="73"/>
      <c r="AS1149" s="73"/>
      <c r="AT1149" s="74"/>
      <c r="AU1149" s="47"/>
      <c r="AV1149" s="48"/>
    </row>
    <row r="1150" spans="1:48" ht="12.75" customHeight="1" x14ac:dyDescent="0.25">
      <c r="A1150" s="72" t="s">
        <v>119</v>
      </c>
      <c r="B1150" s="43" t="s">
        <v>1154</v>
      </c>
      <c r="C1150" s="44" t="s">
        <v>1305</v>
      </c>
      <c r="D1150" s="45">
        <f>MROUND(MID($C1150,6,3)/Basis!$E$3,0.5)</f>
        <v>4.5</v>
      </c>
      <c r="E1150" s="45">
        <f>MROUND(MID($C1150,9,3)/Basis!$E$3,0.5)</f>
        <v>47</v>
      </c>
      <c r="F1150" s="199" t="s">
        <v>2950</v>
      </c>
      <c r="G1150" s="45">
        <f>ROUND(MID($C1150,12,2)/Basis!$E$3,1)</f>
        <v>5.5</v>
      </c>
      <c r="H1150" s="120">
        <f>ROUND($P1150*Basis!$E$2*((TaH-TrH)/LN(1/µ)/Basis!$E$7)^$N1150*$AA$4*Glycol,0)</f>
        <v>416</v>
      </c>
      <c r="I1150" s="83">
        <f>ROUND(H1150/(MID($C1150,9,3)/Basis!$E$3/Basis!$E$9)*Basis!$E$11,0)</f>
        <v>106</v>
      </c>
      <c r="J1150" s="123">
        <f>IF(Basis!$E$1=1,ROUND(H1150/((TaH-TrH)*1.163)/3600,3),ROUND(H1150/(500*(TaH-TrH)),2))</f>
        <v>0.04</v>
      </c>
      <c r="K1150" s="84"/>
      <c r="L1150" s="177">
        <f>CHOOSE(Basis!$E$1,((AJ1150*(J1150*3600/Basis!$E$5)^AK1150*(((MID(C1150,9,3)*10)-244)/1000)*AL1150+AM1150*(J1150*3600/Basis!$E$5)^2)*0.0098)/Basis!$E$10,((AJ1150*(J1150/Basis!$E$5)^AK1150*(((MID(C1150,9,3)*10)-244)/1000)*AL1150+AM1150*(J1150/Basis!$E$5)^2)*0.0098)/Basis!$E$10)</f>
        <v>2.0557044560765128E-4</v>
      </c>
      <c r="M1150" s="85"/>
      <c r="N1150" s="109">
        <v>1.3620000000000001</v>
      </c>
      <c r="O1150" s="68"/>
      <c r="P1150" s="67">
        <v>191</v>
      </c>
      <c r="Q1150" s="68"/>
      <c r="R1150" s="69"/>
      <c r="S1150" s="69"/>
      <c r="T1150" s="69"/>
      <c r="U1150" s="69"/>
      <c r="V1150" s="69"/>
      <c r="W1150" s="68"/>
      <c r="X1150" s="70"/>
      <c r="Y1150" s="70"/>
      <c r="Z1150" s="70"/>
      <c r="AA1150" s="70"/>
      <c r="AB1150" s="70"/>
      <c r="AC1150" s="68"/>
      <c r="AD1150" s="71"/>
      <c r="AE1150" s="71"/>
      <c r="AF1150" s="71"/>
      <c r="AG1150" s="71"/>
      <c r="AH1150" s="71"/>
      <c r="AI1150" s="68"/>
      <c r="AJ1150" s="214">
        <v>6.0625777523108995E-4</v>
      </c>
      <c r="AK1150" s="214">
        <v>1.8894792857555001</v>
      </c>
      <c r="AL1150" s="214">
        <v>1</v>
      </c>
      <c r="AM1150" s="214">
        <v>3.0758017492711002E-4</v>
      </c>
      <c r="AN1150" s="68"/>
      <c r="AO1150" s="67"/>
      <c r="AP1150" s="67"/>
      <c r="AQ1150" s="67"/>
      <c r="AR1150" s="67"/>
      <c r="AS1150" s="67"/>
      <c r="AT1150" s="68"/>
      <c r="AU1150" s="49"/>
      <c r="AV1150" s="50"/>
    </row>
    <row r="1151" spans="1:48" ht="12.75" customHeight="1" x14ac:dyDescent="0.25">
      <c r="A1151" s="72" t="s">
        <v>119</v>
      </c>
      <c r="B1151" s="43" t="s">
        <v>1154</v>
      </c>
      <c r="C1151" s="44" t="s">
        <v>1306</v>
      </c>
      <c r="D1151" s="45">
        <f>MROUND(MID($C1151,6,3)/Basis!$E$3,0.5)</f>
        <v>4.5</v>
      </c>
      <c r="E1151" s="45">
        <f>MROUND(MID($C1151,9,3)/Basis!$E$3,0.5)</f>
        <v>47</v>
      </c>
      <c r="F1151" s="199" t="s">
        <v>2950</v>
      </c>
      <c r="G1151" s="45">
        <f>ROUND(MID($C1151,12,2)/Basis!$E$3,1)</f>
        <v>7.1</v>
      </c>
      <c r="H1151" s="120">
        <f>ROUND($P1151*Basis!$E$2*((TaH-TrH)/LN(1/µ)/Basis!$E$7)^$N1151*$AA$4*Glycol,0)</f>
        <v>492</v>
      </c>
      <c r="I1151" s="83">
        <f>ROUND(H1151/(MID($C1151,9,3)/Basis!$E$3/Basis!$E$9)*Basis!$E$11,0)</f>
        <v>125</v>
      </c>
      <c r="J1151" s="123">
        <f>IF(Basis!$E$1=1,ROUND(H1151/((TaH-TrH)*1.163)/3600,3),ROUND(H1151/(500*(TaH-TrH)),2))</f>
        <v>0.05</v>
      </c>
      <c r="K1151" s="84"/>
      <c r="L1151" s="177">
        <f>CHOOSE(Basis!$E$1,((AJ1151*(J1151*3600/Basis!$E$5)^AK1151*(((MID(C1151,9,3)*10)-244)/1000)*AL1151+AM1151*(J1151*3600/Basis!$E$5)^2)*0.0098)/Basis!$E$10,((AJ1151*(J1151/Basis!$E$5)^AK1151*(((MID(C1151,9,3)*10)-244)/1000)*AL1151+AM1151*(J1151/Basis!$E$5)^2)*0.0098)/Basis!$E$10)</f>
        <v>6.4111117680743792E-4</v>
      </c>
      <c r="M1151" s="85"/>
      <c r="N1151" s="110">
        <v>1.3620000000000001</v>
      </c>
      <c r="O1151" s="74"/>
      <c r="P1151" s="73">
        <v>226</v>
      </c>
      <c r="Q1151" s="74"/>
      <c r="R1151" s="75"/>
      <c r="S1151" s="75"/>
      <c r="T1151" s="75"/>
      <c r="U1151" s="75"/>
      <c r="V1151" s="75"/>
      <c r="W1151" s="74"/>
      <c r="X1151" s="76"/>
      <c r="Y1151" s="76"/>
      <c r="Z1151" s="76"/>
      <c r="AA1151" s="76"/>
      <c r="AB1151" s="76"/>
      <c r="AC1151" s="74"/>
      <c r="AD1151" s="77"/>
      <c r="AE1151" s="77"/>
      <c r="AF1151" s="77"/>
      <c r="AG1151" s="77"/>
      <c r="AH1151" s="77"/>
      <c r="AI1151" s="68"/>
      <c r="AJ1151" s="213">
        <v>9.3669999999999995E-4</v>
      </c>
      <c r="AK1151" s="213">
        <v>1.789841</v>
      </c>
      <c r="AL1151" s="213">
        <v>2</v>
      </c>
      <c r="AM1151" s="213">
        <v>4.4559999999999999E-4</v>
      </c>
      <c r="AN1151" s="74"/>
      <c r="AO1151" s="73"/>
      <c r="AP1151" s="73"/>
      <c r="AQ1151" s="73"/>
      <c r="AR1151" s="73"/>
      <c r="AS1151" s="73"/>
      <c r="AT1151" s="74"/>
      <c r="AU1151" s="47"/>
      <c r="AV1151" s="48"/>
    </row>
    <row r="1152" spans="1:48" ht="12.75" customHeight="1" x14ac:dyDescent="0.25">
      <c r="A1152" s="72" t="s">
        <v>119</v>
      </c>
      <c r="B1152" s="43" t="s">
        <v>1154</v>
      </c>
      <c r="C1152" s="44" t="s">
        <v>1307</v>
      </c>
      <c r="D1152" s="45">
        <f>MROUND(MID($C1152,6,3)/Basis!$E$3,0.5)</f>
        <v>4.5</v>
      </c>
      <c r="E1152" s="45">
        <f>MROUND(MID($C1152,9,3)/Basis!$E$3,0.5)</f>
        <v>47</v>
      </c>
      <c r="F1152" s="199" t="s">
        <v>2950</v>
      </c>
      <c r="G1152" s="45">
        <f>ROUND(MID($C1152,12,2)/Basis!$E$3,1)</f>
        <v>10.199999999999999</v>
      </c>
      <c r="H1152" s="120">
        <f>ROUND($P1152*Basis!$E$2*((TaH-TrH)/LN(1/µ)/Basis!$E$7)^$N1152*$AA$4*Glycol,0)</f>
        <v>664</v>
      </c>
      <c r="I1152" s="83">
        <f>ROUND(H1152/(MID($C1152,9,3)/Basis!$E$3/Basis!$E$9)*Basis!$E$11,0)</f>
        <v>169</v>
      </c>
      <c r="J1152" s="123">
        <f>IF(Basis!$E$1=1,ROUND(H1152/((TaH-TrH)*1.163)/3600,3),ROUND(H1152/(500*(TaH-TrH)),2))</f>
        <v>7.0000000000000007E-2</v>
      </c>
      <c r="K1152" s="84"/>
      <c r="L1152" s="177">
        <f>CHOOSE(Basis!$E$1,((AJ1152*(J1152*3600/Basis!$E$5)^AK1152*(((MID(C1152,9,3)*10)-244)/1000)*AL1152+AM1152*(J1152*3600/Basis!$E$5)^2)*0.0098)/Basis!$E$10,((AJ1152*(J1152/Basis!$E$5)^AK1152*(((MID(C1152,9,3)*10)-244)/1000)*AL1152+AM1152*(J1152/Basis!$E$5)^2)*0.0098)/Basis!$E$10)</f>
        <v>1.1959334881430684E-3</v>
      </c>
      <c r="M1152" s="85"/>
      <c r="N1152" s="109">
        <v>1.3620000000000001</v>
      </c>
      <c r="O1152" s="68"/>
      <c r="P1152" s="67">
        <v>305</v>
      </c>
      <c r="Q1152" s="68"/>
      <c r="R1152" s="69"/>
      <c r="S1152" s="69"/>
      <c r="T1152" s="69"/>
      <c r="U1152" s="69"/>
      <c r="V1152" s="69"/>
      <c r="W1152" s="68"/>
      <c r="X1152" s="70"/>
      <c r="Y1152" s="70"/>
      <c r="Z1152" s="70"/>
      <c r="AA1152" s="70"/>
      <c r="AB1152" s="70"/>
      <c r="AC1152" s="68"/>
      <c r="AD1152" s="71"/>
      <c r="AE1152" s="71"/>
      <c r="AF1152" s="71"/>
      <c r="AG1152" s="71"/>
      <c r="AH1152" s="71"/>
      <c r="AI1152" s="68"/>
      <c r="AJ1152" s="214">
        <v>9.3669999999999995E-4</v>
      </c>
      <c r="AK1152" s="214">
        <v>1.789841</v>
      </c>
      <c r="AL1152" s="214">
        <v>2</v>
      </c>
      <c r="AM1152" s="214">
        <v>4.4559999999999999E-4</v>
      </c>
      <c r="AN1152" s="68"/>
      <c r="AO1152" s="67"/>
      <c r="AP1152" s="67"/>
      <c r="AQ1152" s="67"/>
      <c r="AR1152" s="67"/>
      <c r="AS1152" s="67"/>
      <c r="AT1152" s="68"/>
      <c r="AU1152" s="49"/>
      <c r="AV1152" s="50"/>
    </row>
    <row r="1153" spans="1:48" ht="12.75" customHeight="1" x14ac:dyDescent="0.25">
      <c r="A1153" s="72" t="s">
        <v>119</v>
      </c>
      <c r="B1153" s="43" t="s">
        <v>1154</v>
      </c>
      <c r="C1153" s="44" t="s">
        <v>1308</v>
      </c>
      <c r="D1153" s="45">
        <f>MROUND(MID($C1153,6,3)/Basis!$E$3,0.5)</f>
        <v>4.5</v>
      </c>
      <c r="E1153" s="45">
        <f>MROUND(MID($C1153,9,3)/Basis!$E$3,0.5)</f>
        <v>47</v>
      </c>
      <c r="F1153" s="199" t="s">
        <v>2950</v>
      </c>
      <c r="G1153" s="45">
        <f>ROUND(MID($C1153,12,2)/Basis!$E$3,1)</f>
        <v>13.4</v>
      </c>
      <c r="H1153" s="120">
        <f>ROUND($P1153*Basis!$E$2*((TaH-TrH)/LN(1/µ)/Basis!$E$7)^$N1153*$AA$4*Glycol,0)</f>
        <v>864</v>
      </c>
      <c r="I1153" s="83">
        <f>ROUND(H1153/(MID($C1153,9,3)/Basis!$E$3/Basis!$E$9)*Basis!$E$11,0)</f>
        <v>219</v>
      </c>
      <c r="J1153" s="123">
        <f>IF(Basis!$E$1=1,ROUND(H1153/((TaH-TrH)*1.163)/3600,3),ROUND(H1153/(500*(TaH-TrH)),2))</f>
        <v>0.09</v>
      </c>
      <c r="K1153" s="84"/>
      <c r="L1153" s="177">
        <f>CHOOSE(Basis!$E$1,((AJ1153*(J1153*3600/Basis!$E$5)^AK1153*(((MID(C1153,9,3)*10)-244)/1000)*AL1153+AM1153*(J1153*3600/Basis!$E$5)^2)*0.0098)/Basis!$E$10,((AJ1153*(J1153/Basis!$E$5)^AK1153*(((MID(C1153,9,3)*10)-244)/1000)*AL1153+AM1153*(J1153/Basis!$E$5)^2)*0.0098)/Basis!$E$10)</f>
        <v>4.3242218731004978E-3</v>
      </c>
      <c r="M1153" s="85"/>
      <c r="N1153" s="110">
        <v>1.3620000000000001</v>
      </c>
      <c r="O1153" s="74"/>
      <c r="P1153" s="73">
        <v>397</v>
      </c>
      <c r="Q1153" s="74"/>
      <c r="R1153" s="75"/>
      <c r="S1153" s="75"/>
      <c r="T1153" s="75"/>
      <c r="U1153" s="75"/>
      <c r="V1153" s="75"/>
      <c r="W1153" s="74"/>
      <c r="X1153" s="76"/>
      <c r="Y1153" s="76"/>
      <c r="Z1153" s="76"/>
      <c r="AA1153" s="76"/>
      <c r="AB1153" s="76"/>
      <c r="AC1153" s="74"/>
      <c r="AD1153" s="77"/>
      <c r="AE1153" s="77"/>
      <c r="AF1153" s="77"/>
      <c r="AG1153" s="77"/>
      <c r="AH1153" s="77"/>
      <c r="AI1153" s="68"/>
      <c r="AJ1153" s="213">
        <v>1.3162765859195E-2</v>
      </c>
      <c r="AK1153" s="213">
        <v>1.4286501188989</v>
      </c>
      <c r="AL1153" s="213">
        <v>1</v>
      </c>
      <c r="AM1153" s="213">
        <v>9.2091836734694004E-4</v>
      </c>
      <c r="AN1153" s="74"/>
      <c r="AO1153" s="73"/>
      <c r="AP1153" s="73"/>
      <c r="AQ1153" s="73"/>
      <c r="AR1153" s="73"/>
      <c r="AS1153" s="73"/>
      <c r="AT1153" s="74"/>
      <c r="AU1153" s="47"/>
      <c r="AV1153" s="48"/>
    </row>
    <row r="1154" spans="1:48" ht="12.75" customHeight="1" x14ac:dyDescent="0.25">
      <c r="A1154" s="72" t="s">
        <v>119</v>
      </c>
      <c r="B1154" s="43" t="s">
        <v>1154</v>
      </c>
      <c r="C1154" s="44" t="s">
        <v>1309</v>
      </c>
      <c r="D1154" s="45">
        <f>MROUND(MID($C1154,6,3)/Basis!$E$3,0.5)</f>
        <v>4.5</v>
      </c>
      <c r="E1154" s="45">
        <f>MROUND(MID($C1154,9,3)/Basis!$E$3,0.5)</f>
        <v>47</v>
      </c>
      <c r="F1154" s="199" t="s">
        <v>2950</v>
      </c>
      <c r="G1154" s="45">
        <f>ROUND(MID($C1154,12,2)/Basis!$E$3,1)</f>
        <v>16.5</v>
      </c>
      <c r="H1154" s="120">
        <f>ROUND($P1154*Basis!$E$2*((TaH-TrH)/LN(1/µ)/Basis!$E$7)^$N1154*$AA$4*Glycol,0)</f>
        <v>1212</v>
      </c>
      <c r="I1154" s="83">
        <f>ROUND(H1154/(MID($C1154,9,3)/Basis!$E$3/Basis!$E$9)*Basis!$E$11,0)</f>
        <v>308</v>
      </c>
      <c r="J1154" s="123">
        <f>IF(Basis!$E$1=1,ROUND(H1154/((TaH-TrH)*1.163)/3600,3),ROUND(H1154/(500*(TaH-TrH)),2))</f>
        <v>0.12</v>
      </c>
      <c r="K1154" s="84"/>
      <c r="L1154" s="177">
        <f>CHOOSE(Basis!$E$1,((AJ1154*(J1154*3600/Basis!$E$5)^AK1154*(((MID(C1154,9,3)*10)-244)/1000)*AL1154+AM1154*(J1154*3600/Basis!$E$5)^2)*0.0098)/Basis!$E$10,((AJ1154*(J1154/Basis!$E$5)^AK1154*(((MID(C1154,9,3)*10)-244)/1000)*AL1154+AM1154*(J1154/Basis!$E$5)^2)*0.0098)/Basis!$E$10)</f>
        <v>1.6588952538128387E-3</v>
      </c>
      <c r="M1154" s="85"/>
      <c r="N1154" s="109">
        <v>1.3620000000000001</v>
      </c>
      <c r="O1154" s="68"/>
      <c r="P1154" s="67">
        <v>557</v>
      </c>
      <c r="Q1154" s="68"/>
      <c r="R1154" s="69"/>
      <c r="S1154" s="69"/>
      <c r="T1154" s="69"/>
      <c r="U1154" s="69"/>
      <c r="V1154" s="69"/>
      <c r="W1154" s="68"/>
      <c r="X1154" s="70"/>
      <c r="Y1154" s="70"/>
      <c r="Z1154" s="70"/>
      <c r="AA1154" s="70"/>
      <c r="AB1154" s="70"/>
      <c r="AC1154" s="68"/>
      <c r="AD1154" s="71"/>
      <c r="AE1154" s="71"/>
      <c r="AF1154" s="71"/>
      <c r="AG1154" s="71"/>
      <c r="AH1154" s="71"/>
      <c r="AI1154" s="68"/>
      <c r="AJ1154" s="214">
        <v>3.9689999999999994E-4</v>
      </c>
      <c r="AK1154" s="214">
        <v>1.7345999999999999</v>
      </c>
      <c r="AL1154" s="214">
        <v>2</v>
      </c>
      <c r="AM1154" s="214">
        <v>3.6734700000000002E-4</v>
      </c>
      <c r="AN1154" s="68"/>
      <c r="AO1154" s="67"/>
      <c r="AP1154" s="67"/>
      <c r="AQ1154" s="67"/>
      <c r="AR1154" s="67"/>
      <c r="AS1154" s="67"/>
      <c r="AT1154" s="68"/>
      <c r="AU1154" s="49"/>
      <c r="AV1154" s="50"/>
    </row>
    <row r="1155" spans="1:48" ht="12.75" customHeight="1" x14ac:dyDescent="0.25">
      <c r="A1155" s="72" t="s">
        <v>119</v>
      </c>
      <c r="B1155" s="43" t="s">
        <v>1154</v>
      </c>
      <c r="C1155" s="44" t="s">
        <v>1310</v>
      </c>
      <c r="D1155" s="45">
        <f>MROUND(MID($C1155,6,3)/Basis!$E$3,0.5)</f>
        <v>4.5</v>
      </c>
      <c r="E1155" s="45">
        <f>MROUND(MID($C1155,9,3)/Basis!$E$3,0.5)</f>
        <v>51</v>
      </c>
      <c r="F1155" s="199" t="s">
        <v>2950</v>
      </c>
      <c r="G1155" s="45">
        <f>ROUND(MID($C1155,12,2)/Basis!$E$3,1)</f>
        <v>5.5</v>
      </c>
      <c r="H1155" s="120">
        <f>ROUND($P1155*Basis!$E$2*((TaH-TrH)/LN(1/µ)/Basis!$E$7)^$N1155*$AA$4*Glycol,0)</f>
        <v>459</v>
      </c>
      <c r="I1155" s="83">
        <f>ROUND(H1155/(MID($C1155,9,3)/Basis!$E$3/Basis!$E$9)*Basis!$E$11,0)</f>
        <v>108</v>
      </c>
      <c r="J1155" s="123">
        <f>IF(Basis!$E$1=1,ROUND(H1155/((TaH-TrH)*1.163)/3600,3),ROUND(H1155/(500*(TaH-TrH)),2))</f>
        <v>0.05</v>
      </c>
      <c r="K1155" s="84"/>
      <c r="L1155" s="177">
        <f>CHOOSE(Basis!$E$1,((AJ1155*(J1155*3600/Basis!$E$5)^AK1155*(((MID(C1155,9,3)*10)-244)/1000)*AL1155+AM1155*(J1155*3600/Basis!$E$5)^2)*0.0098)/Basis!$E$10,((AJ1155*(J1155/Basis!$E$5)^AK1155*(((MID(C1155,9,3)*10)-244)/1000)*AL1155+AM1155*(J1155/Basis!$E$5)^2)*0.0098)/Basis!$E$10)</f>
        <v>3.3608260293853566E-4</v>
      </c>
      <c r="M1155" s="85"/>
      <c r="N1155" s="110">
        <v>1.3620000000000001</v>
      </c>
      <c r="O1155" s="74"/>
      <c r="P1155" s="73">
        <v>211</v>
      </c>
      <c r="Q1155" s="74"/>
      <c r="R1155" s="75"/>
      <c r="S1155" s="75"/>
      <c r="T1155" s="75"/>
      <c r="U1155" s="75"/>
      <c r="V1155" s="75"/>
      <c r="W1155" s="74"/>
      <c r="X1155" s="76"/>
      <c r="Y1155" s="76"/>
      <c r="Z1155" s="76"/>
      <c r="AA1155" s="76"/>
      <c r="AB1155" s="76"/>
      <c r="AC1155" s="74"/>
      <c r="AD1155" s="77"/>
      <c r="AE1155" s="77"/>
      <c r="AF1155" s="77"/>
      <c r="AG1155" s="77"/>
      <c r="AH1155" s="77"/>
      <c r="AI1155" s="68"/>
      <c r="AJ1155" s="213">
        <v>6.0625777523108995E-4</v>
      </c>
      <c r="AK1155" s="213">
        <v>1.8894792857555001</v>
      </c>
      <c r="AL1155" s="213">
        <v>1</v>
      </c>
      <c r="AM1155" s="213">
        <v>3.0758017492711002E-4</v>
      </c>
      <c r="AN1155" s="74"/>
      <c r="AO1155" s="73"/>
      <c r="AP1155" s="73"/>
      <c r="AQ1155" s="73"/>
      <c r="AR1155" s="73"/>
      <c r="AS1155" s="73"/>
      <c r="AT1155" s="74"/>
      <c r="AU1155" s="47"/>
      <c r="AV1155" s="48"/>
    </row>
    <row r="1156" spans="1:48" ht="12.75" customHeight="1" x14ac:dyDescent="0.25">
      <c r="A1156" s="72" t="s">
        <v>119</v>
      </c>
      <c r="B1156" s="43" t="s">
        <v>1154</v>
      </c>
      <c r="C1156" s="44" t="s">
        <v>1311</v>
      </c>
      <c r="D1156" s="45">
        <f>MROUND(MID($C1156,6,3)/Basis!$E$3,0.5)</f>
        <v>4.5</v>
      </c>
      <c r="E1156" s="45">
        <f>MROUND(MID($C1156,9,3)/Basis!$E$3,0.5)</f>
        <v>51</v>
      </c>
      <c r="F1156" s="199" t="s">
        <v>2950</v>
      </c>
      <c r="G1156" s="45">
        <f>ROUND(MID($C1156,12,2)/Basis!$E$3,1)</f>
        <v>7.1</v>
      </c>
      <c r="H1156" s="120">
        <f>ROUND($P1156*Basis!$E$2*((TaH-TrH)/LN(1/µ)/Basis!$E$7)^$N1156*$AA$4*Glycol,0)</f>
        <v>546</v>
      </c>
      <c r="I1156" s="83">
        <f>ROUND(H1156/(MID($C1156,9,3)/Basis!$E$3/Basis!$E$9)*Basis!$E$11,0)</f>
        <v>128</v>
      </c>
      <c r="J1156" s="123">
        <f>IF(Basis!$E$1=1,ROUND(H1156/((TaH-TrH)*1.163)/3600,3),ROUND(H1156/(500*(TaH-TrH)),2))</f>
        <v>0.05</v>
      </c>
      <c r="K1156" s="84"/>
      <c r="L1156" s="177">
        <f>CHOOSE(Basis!$E$1,((AJ1156*(J1156*3600/Basis!$E$5)^AK1156*(((MID(C1156,9,3)*10)-244)/1000)*AL1156+AM1156*(J1156*3600/Basis!$E$5)^2)*0.0098)/Basis!$E$10,((AJ1156*(J1156/Basis!$E$5)^AK1156*(((MID(C1156,9,3)*10)-244)/1000)*AL1156+AM1156*(J1156/Basis!$E$5)^2)*0.0098)/Basis!$E$10)</f>
        <v>6.8851836802721574E-4</v>
      </c>
      <c r="M1156" s="85"/>
      <c r="N1156" s="109">
        <v>1.3620000000000001</v>
      </c>
      <c r="O1156" s="68"/>
      <c r="P1156" s="67">
        <v>251</v>
      </c>
      <c r="Q1156" s="68"/>
      <c r="R1156" s="69"/>
      <c r="S1156" s="69"/>
      <c r="T1156" s="69"/>
      <c r="U1156" s="69"/>
      <c r="V1156" s="69"/>
      <c r="W1156" s="68"/>
      <c r="X1156" s="70"/>
      <c r="Y1156" s="70"/>
      <c r="Z1156" s="70"/>
      <c r="AA1156" s="70"/>
      <c r="AB1156" s="70"/>
      <c r="AC1156" s="68"/>
      <c r="AD1156" s="71"/>
      <c r="AE1156" s="71"/>
      <c r="AF1156" s="71"/>
      <c r="AG1156" s="71"/>
      <c r="AH1156" s="71"/>
      <c r="AI1156" s="68"/>
      <c r="AJ1156" s="214">
        <v>9.3669999999999995E-4</v>
      </c>
      <c r="AK1156" s="214">
        <v>1.789841</v>
      </c>
      <c r="AL1156" s="214">
        <v>2</v>
      </c>
      <c r="AM1156" s="214">
        <v>4.4559999999999999E-4</v>
      </c>
      <c r="AN1156" s="68"/>
      <c r="AO1156" s="67"/>
      <c r="AP1156" s="67"/>
      <c r="AQ1156" s="67"/>
      <c r="AR1156" s="67"/>
      <c r="AS1156" s="67"/>
      <c r="AT1156" s="68"/>
      <c r="AU1156" s="49"/>
      <c r="AV1156" s="50"/>
    </row>
    <row r="1157" spans="1:48" ht="12.75" customHeight="1" x14ac:dyDescent="0.25">
      <c r="A1157" s="72" t="s">
        <v>119</v>
      </c>
      <c r="B1157" s="43" t="s">
        <v>1154</v>
      </c>
      <c r="C1157" s="44" t="s">
        <v>1312</v>
      </c>
      <c r="D1157" s="45">
        <f>MROUND(MID($C1157,6,3)/Basis!$E$3,0.5)</f>
        <v>4.5</v>
      </c>
      <c r="E1157" s="45">
        <f>MROUND(MID($C1157,9,3)/Basis!$E$3,0.5)</f>
        <v>51</v>
      </c>
      <c r="F1157" s="199" t="s">
        <v>2950</v>
      </c>
      <c r="G1157" s="45">
        <f>ROUND(MID($C1157,12,2)/Basis!$E$3,1)</f>
        <v>10.199999999999999</v>
      </c>
      <c r="H1157" s="120">
        <f>ROUND($P1157*Basis!$E$2*((TaH-TrH)/LN(1/µ)/Basis!$E$7)^$N1157*$AA$4*Glycol,0)</f>
        <v>738</v>
      </c>
      <c r="I1157" s="83">
        <f>ROUND(H1157/(MID($C1157,9,3)/Basis!$E$3/Basis!$E$9)*Basis!$E$11,0)</f>
        <v>173</v>
      </c>
      <c r="J1157" s="123">
        <f>IF(Basis!$E$1=1,ROUND(H1157/((TaH-TrH)*1.163)/3600,3),ROUND(H1157/(500*(TaH-TrH)),2))</f>
        <v>7.0000000000000007E-2</v>
      </c>
      <c r="K1157" s="84"/>
      <c r="L1157" s="177">
        <f>CHOOSE(Basis!$E$1,((AJ1157*(J1157*3600/Basis!$E$5)^AK1157*(((MID(C1157,9,3)*10)-244)/1000)*AL1157+AM1157*(J1157*3600/Basis!$E$5)^2)*0.0098)/Basis!$E$10,((AJ1157*(J1157/Basis!$E$5)^AK1157*(((MID(C1157,9,3)*10)-244)/1000)*AL1157+AM1157*(J1157/Basis!$E$5)^2)*0.0098)/Basis!$E$10)</f>
        <v>1.2825080245238425E-3</v>
      </c>
      <c r="M1157" s="85"/>
      <c r="N1157" s="110">
        <v>1.3620000000000001</v>
      </c>
      <c r="O1157" s="74"/>
      <c r="P1157" s="73">
        <v>339</v>
      </c>
      <c r="Q1157" s="74"/>
      <c r="R1157" s="75"/>
      <c r="S1157" s="75"/>
      <c r="T1157" s="75"/>
      <c r="U1157" s="75"/>
      <c r="V1157" s="75"/>
      <c r="W1157" s="74"/>
      <c r="X1157" s="76"/>
      <c r="Y1157" s="76"/>
      <c r="Z1157" s="76"/>
      <c r="AA1157" s="76"/>
      <c r="AB1157" s="76"/>
      <c r="AC1157" s="74"/>
      <c r="AD1157" s="77"/>
      <c r="AE1157" s="77"/>
      <c r="AF1157" s="77"/>
      <c r="AG1157" s="77"/>
      <c r="AH1157" s="77"/>
      <c r="AI1157" s="68"/>
      <c r="AJ1157" s="213">
        <v>9.3669999999999995E-4</v>
      </c>
      <c r="AK1157" s="213">
        <v>1.789841</v>
      </c>
      <c r="AL1157" s="213">
        <v>2</v>
      </c>
      <c r="AM1157" s="213">
        <v>4.4559999999999999E-4</v>
      </c>
      <c r="AN1157" s="74"/>
      <c r="AO1157" s="73"/>
      <c r="AP1157" s="73"/>
      <c r="AQ1157" s="73"/>
      <c r="AR1157" s="73"/>
      <c r="AS1157" s="73"/>
      <c r="AT1157" s="74"/>
      <c r="AU1157" s="47"/>
      <c r="AV1157" s="48"/>
    </row>
    <row r="1158" spans="1:48" ht="12.75" customHeight="1" x14ac:dyDescent="0.25">
      <c r="A1158" s="72" t="s">
        <v>119</v>
      </c>
      <c r="B1158" s="43" t="s">
        <v>1154</v>
      </c>
      <c r="C1158" s="44" t="s">
        <v>1313</v>
      </c>
      <c r="D1158" s="45">
        <f>MROUND(MID($C1158,6,3)/Basis!$E$3,0.5)</f>
        <v>4.5</v>
      </c>
      <c r="E1158" s="45">
        <f>MROUND(MID($C1158,9,3)/Basis!$E$3,0.5)</f>
        <v>51</v>
      </c>
      <c r="F1158" s="199" t="s">
        <v>2950</v>
      </c>
      <c r="G1158" s="45">
        <f>ROUND(MID($C1158,12,2)/Basis!$E$3,1)</f>
        <v>13.4</v>
      </c>
      <c r="H1158" s="120">
        <f>ROUND($P1158*Basis!$E$2*((TaH-TrH)/LN(1/µ)/Basis!$E$7)^$N1158*$AA$4*Glycol,0)</f>
        <v>958</v>
      </c>
      <c r="I1158" s="83">
        <f>ROUND(H1158/(MID($C1158,9,3)/Basis!$E$3/Basis!$E$9)*Basis!$E$11,0)</f>
        <v>225</v>
      </c>
      <c r="J1158" s="123">
        <f>IF(Basis!$E$1=1,ROUND(H1158/((TaH-TrH)*1.163)/3600,3),ROUND(H1158/(500*(TaH-TrH)),2))</f>
        <v>0.1</v>
      </c>
      <c r="K1158" s="84"/>
      <c r="L1158" s="177">
        <f>CHOOSE(Basis!$E$1,((AJ1158*(J1158*3600/Basis!$E$5)^AK1158*(((MID(C1158,9,3)*10)-244)/1000)*AL1158+AM1158*(J1158*3600/Basis!$E$5)^2)*0.0098)/Basis!$E$10,((AJ1158*(J1158/Basis!$E$5)^AK1158*(((MID(C1158,9,3)*10)-244)/1000)*AL1158+AM1158*(J1158/Basis!$E$5)^2)*0.0098)/Basis!$E$10)</f>
        <v>5.4902190428237239E-3</v>
      </c>
      <c r="M1158" s="85"/>
      <c r="N1158" s="109">
        <v>1.3620000000000001</v>
      </c>
      <c r="O1158" s="68"/>
      <c r="P1158" s="67">
        <v>440</v>
      </c>
      <c r="Q1158" s="68"/>
      <c r="R1158" s="69"/>
      <c r="S1158" s="69"/>
      <c r="T1158" s="69"/>
      <c r="U1158" s="69"/>
      <c r="V1158" s="69"/>
      <c r="W1158" s="68"/>
      <c r="X1158" s="70"/>
      <c r="Y1158" s="70"/>
      <c r="Z1158" s="70"/>
      <c r="AA1158" s="70"/>
      <c r="AB1158" s="70"/>
      <c r="AC1158" s="68"/>
      <c r="AD1158" s="71"/>
      <c r="AE1158" s="71"/>
      <c r="AF1158" s="71"/>
      <c r="AG1158" s="71"/>
      <c r="AH1158" s="71"/>
      <c r="AI1158" s="68"/>
      <c r="AJ1158" s="214">
        <v>1.3162765859195E-2</v>
      </c>
      <c r="AK1158" s="214">
        <v>1.4286501188989</v>
      </c>
      <c r="AL1158" s="214">
        <v>1</v>
      </c>
      <c r="AM1158" s="214">
        <v>9.2091836734694004E-4</v>
      </c>
      <c r="AN1158" s="68"/>
      <c r="AO1158" s="67"/>
      <c r="AP1158" s="67"/>
      <c r="AQ1158" s="67"/>
      <c r="AR1158" s="67"/>
      <c r="AS1158" s="67"/>
      <c r="AT1158" s="68"/>
      <c r="AU1158" s="49"/>
      <c r="AV1158" s="50"/>
    </row>
    <row r="1159" spans="1:48" ht="12.75" customHeight="1" x14ac:dyDescent="0.25">
      <c r="A1159" s="72" t="s">
        <v>119</v>
      </c>
      <c r="B1159" s="43" t="s">
        <v>1154</v>
      </c>
      <c r="C1159" s="44" t="s">
        <v>1314</v>
      </c>
      <c r="D1159" s="45">
        <f>MROUND(MID($C1159,6,3)/Basis!$E$3,0.5)</f>
        <v>4.5</v>
      </c>
      <c r="E1159" s="45">
        <f>MROUND(MID($C1159,9,3)/Basis!$E$3,0.5)</f>
        <v>51</v>
      </c>
      <c r="F1159" s="199" t="s">
        <v>2950</v>
      </c>
      <c r="G1159" s="45">
        <f>ROUND(MID($C1159,12,2)/Basis!$E$3,1)</f>
        <v>16.5</v>
      </c>
      <c r="H1159" s="120">
        <f>ROUND($P1159*Basis!$E$2*((TaH-TrH)/LN(1/µ)/Basis!$E$7)^$N1159*$AA$4*Glycol,0)</f>
        <v>1347</v>
      </c>
      <c r="I1159" s="83">
        <f>ROUND(H1159/(MID($C1159,9,3)/Basis!$E$3/Basis!$E$9)*Basis!$E$11,0)</f>
        <v>316</v>
      </c>
      <c r="J1159" s="123">
        <f>IF(Basis!$E$1=1,ROUND(H1159/((TaH-TrH)*1.163)/3600,3),ROUND(H1159/(500*(TaH-TrH)),2))</f>
        <v>0.13</v>
      </c>
      <c r="K1159" s="84"/>
      <c r="L1159" s="177">
        <f>CHOOSE(Basis!$E$1,((AJ1159*(J1159*3600/Basis!$E$5)^AK1159*(((MID(C1159,9,3)*10)-244)/1000)*AL1159+AM1159*(J1159*3600/Basis!$E$5)^2)*0.0098)/Basis!$E$10,((AJ1159*(J1159/Basis!$E$5)^AK1159*(((MID(C1159,9,3)*10)-244)/1000)*AL1159+AM1159*(J1159/Basis!$E$5)^2)*0.0098)/Basis!$E$10)</f>
        <v>2.0201250040785606E-3</v>
      </c>
      <c r="M1159" s="85"/>
      <c r="N1159" s="110">
        <v>1.3620000000000001</v>
      </c>
      <c r="O1159" s="74"/>
      <c r="P1159" s="73">
        <v>619</v>
      </c>
      <c r="Q1159" s="74"/>
      <c r="R1159" s="75"/>
      <c r="S1159" s="75"/>
      <c r="T1159" s="75"/>
      <c r="U1159" s="75"/>
      <c r="V1159" s="75"/>
      <c r="W1159" s="74"/>
      <c r="X1159" s="76"/>
      <c r="Y1159" s="76"/>
      <c r="Z1159" s="76"/>
      <c r="AA1159" s="76"/>
      <c r="AB1159" s="76"/>
      <c r="AC1159" s="74"/>
      <c r="AD1159" s="77"/>
      <c r="AE1159" s="77"/>
      <c r="AF1159" s="77"/>
      <c r="AG1159" s="77"/>
      <c r="AH1159" s="77"/>
      <c r="AI1159" s="68"/>
      <c r="AJ1159" s="213">
        <v>3.9689999999999994E-4</v>
      </c>
      <c r="AK1159" s="213">
        <v>1.7345999999999999</v>
      </c>
      <c r="AL1159" s="213">
        <v>2</v>
      </c>
      <c r="AM1159" s="213">
        <v>3.6734700000000002E-4</v>
      </c>
      <c r="AN1159" s="74"/>
      <c r="AO1159" s="73"/>
      <c r="AP1159" s="73"/>
      <c r="AQ1159" s="73"/>
      <c r="AR1159" s="73"/>
      <c r="AS1159" s="73"/>
      <c r="AT1159" s="74"/>
      <c r="AU1159" s="47"/>
      <c r="AV1159" s="48"/>
    </row>
    <row r="1160" spans="1:48" ht="12.75" customHeight="1" x14ac:dyDescent="0.25">
      <c r="A1160" s="72" t="s">
        <v>119</v>
      </c>
      <c r="B1160" s="43" t="s">
        <v>1154</v>
      </c>
      <c r="C1160" s="44" t="s">
        <v>1315</v>
      </c>
      <c r="D1160" s="45">
        <f>MROUND(MID($C1160,6,3)/Basis!$E$3,0.5)</f>
        <v>4.5</v>
      </c>
      <c r="E1160" s="45">
        <f>MROUND(MID($C1160,9,3)/Basis!$E$3,0.5)</f>
        <v>59</v>
      </c>
      <c r="F1160" s="199" t="s">
        <v>2950</v>
      </c>
      <c r="G1160" s="45">
        <f>ROUND(MID($C1160,12,2)/Basis!$E$3,1)</f>
        <v>5.5</v>
      </c>
      <c r="H1160" s="120">
        <f>ROUND($P1160*Basis!$E$2*((TaH-TrH)/LN(1/µ)/Basis!$E$7)^$N1160*$AA$4*Glycol,0)</f>
        <v>553</v>
      </c>
      <c r="I1160" s="83">
        <f>ROUND(H1160/(MID($C1160,9,3)/Basis!$E$3/Basis!$E$9)*Basis!$E$11,0)</f>
        <v>112</v>
      </c>
      <c r="J1160" s="123">
        <f>IF(Basis!$E$1=1,ROUND(H1160/((TaH-TrH)*1.163)/3600,3),ROUND(H1160/(500*(TaH-TrH)),2))</f>
        <v>0.06</v>
      </c>
      <c r="K1160" s="84"/>
      <c r="L1160" s="177">
        <f>CHOOSE(Basis!$E$1,((AJ1160*(J1160*3600/Basis!$E$5)^AK1160*(((MID(C1160,9,3)*10)-244)/1000)*AL1160+AM1160*(J1160*3600/Basis!$E$5)^2)*0.0098)/Basis!$E$10,((AJ1160*(J1160/Basis!$E$5)^AK1160*(((MID(C1160,9,3)*10)-244)/1000)*AL1160+AM1160*(J1160/Basis!$E$5)^2)*0.0098)/Basis!$E$10)</f>
        <v>5.3319398366045154E-4</v>
      </c>
      <c r="M1160" s="85"/>
      <c r="N1160" s="109">
        <v>1.3620000000000001</v>
      </c>
      <c r="O1160" s="68"/>
      <c r="P1160" s="67">
        <v>254</v>
      </c>
      <c r="Q1160" s="68"/>
      <c r="R1160" s="69"/>
      <c r="S1160" s="69"/>
      <c r="T1160" s="69"/>
      <c r="U1160" s="69"/>
      <c r="V1160" s="69"/>
      <c r="W1160" s="68"/>
      <c r="X1160" s="70"/>
      <c r="Y1160" s="70"/>
      <c r="Z1160" s="70"/>
      <c r="AA1160" s="70"/>
      <c r="AB1160" s="70"/>
      <c r="AC1160" s="68"/>
      <c r="AD1160" s="71"/>
      <c r="AE1160" s="71"/>
      <c r="AF1160" s="71"/>
      <c r="AG1160" s="71"/>
      <c r="AH1160" s="71"/>
      <c r="AI1160" s="68"/>
      <c r="AJ1160" s="214">
        <v>6.0625777523108995E-4</v>
      </c>
      <c r="AK1160" s="214">
        <v>1.8894792857555001</v>
      </c>
      <c r="AL1160" s="214">
        <v>1</v>
      </c>
      <c r="AM1160" s="214">
        <v>3.0758017492711002E-4</v>
      </c>
      <c r="AN1160" s="68"/>
      <c r="AO1160" s="67"/>
      <c r="AP1160" s="67"/>
      <c r="AQ1160" s="67"/>
      <c r="AR1160" s="67"/>
      <c r="AS1160" s="67"/>
      <c r="AT1160" s="68"/>
      <c r="AU1160" s="49"/>
      <c r="AV1160" s="50"/>
    </row>
    <row r="1161" spans="1:48" ht="12.75" customHeight="1" x14ac:dyDescent="0.25">
      <c r="A1161" s="72" t="s">
        <v>119</v>
      </c>
      <c r="B1161" s="43" t="s">
        <v>1154</v>
      </c>
      <c r="C1161" s="44" t="s">
        <v>1316</v>
      </c>
      <c r="D1161" s="45">
        <f>MROUND(MID($C1161,6,3)/Basis!$E$3,0.5)</f>
        <v>4.5</v>
      </c>
      <c r="E1161" s="45">
        <f>MROUND(MID($C1161,9,3)/Basis!$E$3,0.5)</f>
        <v>59</v>
      </c>
      <c r="F1161" s="199" t="s">
        <v>2950</v>
      </c>
      <c r="G1161" s="45">
        <f>ROUND(MID($C1161,12,2)/Basis!$E$3,1)</f>
        <v>7.1</v>
      </c>
      <c r="H1161" s="120">
        <f>ROUND($P1161*Basis!$E$2*((TaH-TrH)/LN(1/µ)/Basis!$E$7)^$N1161*$AA$4*Glycol,0)</f>
        <v>655</v>
      </c>
      <c r="I1161" s="83">
        <f>ROUND(H1161/(MID($C1161,9,3)/Basis!$E$3/Basis!$E$9)*Basis!$E$11,0)</f>
        <v>133</v>
      </c>
      <c r="J1161" s="123">
        <f>IF(Basis!$E$1=1,ROUND(H1161/((TaH-TrH)*1.163)/3600,3),ROUND(H1161/(500*(TaH-TrH)),2))</f>
        <v>7.0000000000000007E-2</v>
      </c>
      <c r="K1161" s="84"/>
      <c r="L1161" s="177">
        <f>CHOOSE(Basis!$E$1,((AJ1161*(J1161*3600/Basis!$E$5)^AK1161*(((MID(C1161,9,3)*10)-244)/1000)*AL1161+AM1161*(J1161*3600/Basis!$E$5)^2)*0.0098)/Basis!$E$10,((AJ1161*(J1161/Basis!$E$5)^AK1161*(((MID(C1161,9,3)*10)-244)/1000)*AL1161+AM1161*(J1161/Basis!$E$5)^2)*0.0098)/Basis!$E$10)</f>
        <v>1.4556570972853902E-3</v>
      </c>
      <c r="M1161" s="85"/>
      <c r="N1161" s="110">
        <v>1.3620000000000001</v>
      </c>
      <c r="O1161" s="74"/>
      <c r="P1161" s="73">
        <v>301</v>
      </c>
      <c r="Q1161" s="74"/>
      <c r="R1161" s="75"/>
      <c r="S1161" s="75"/>
      <c r="T1161" s="75"/>
      <c r="U1161" s="75"/>
      <c r="V1161" s="75"/>
      <c r="W1161" s="74"/>
      <c r="X1161" s="76"/>
      <c r="Y1161" s="76"/>
      <c r="Z1161" s="76"/>
      <c r="AA1161" s="76"/>
      <c r="AB1161" s="76"/>
      <c r="AC1161" s="74"/>
      <c r="AD1161" s="77"/>
      <c r="AE1161" s="77"/>
      <c r="AF1161" s="77"/>
      <c r="AG1161" s="77"/>
      <c r="AH1161" s="77"/>
      <c r="AI1161" s="68"/>
      <c r="AJ1161" s="213">
        <v>9.3669999999999995E-4</v>
      </c>
      <c r="AK1161" s="213">
        <v>1.789841</v>
      </c>
      <c r="AL1161" s="213">
        <v>2</v>
      </c>
      <c r="AM1161" s="213">
        <v>4.4559999999999999E-4</v>
      </c>
      <c r="AN1161" s="74"/>
      <c r="AO1161" s="73"/>
      <c r="AP1161" s="73"/>
      <c r="AQ1161" s="73"/>
      <c r="AR1161" s="73"/>
      <c r="AS1161" s="73"/>
      <c r="AT1161" s="74"/>
      <c r="AU1161" s="47"/>
      <c r="AV1161" s="48"/>
    </row>
    <row r="1162" spans="1:48" ht="12.75" customHeight="1" x14ac:dyDescent="0.25">
      <c r="A1162" s="72" t="s">
        <v>119</v>
      </c>
      <c r="B1162" s="43" t="s">
        <v>1154</v>
      </c>
      <c r="C1162" s="44" t="s">
        <v>1317</v>
      </c>
      <c r="D1162" s="45">
        <f>MROUND(MID($C1162,6,3)/Basis!$E$3,0.5)</f>
        <v>4.5</v>
      </c>
      <c r="E1162" s="45">
        <f>MROUND(MID($C1162,9,3)/Basis!$E$3,0.5)</f>
        <v>59</v>
      </c>
      <c r="F1162" s="199" t="s">
        <v>2950</v>
      </c>
      <c r="G1162" s="45">
        <f>ROUND(MID($C1162,12,2)/Basis!$E$3,1)</f>
        <v>10.199999999999999</v>
      </c>
      <c r="H1162" s="120">
        <f>ROUND($P1162*Basis!$E$2*((TaH-TrH)/LN(1/µ)/Basis!$E$7)^$N1162*$AA$4*Glycol,0)</f>
        <v>886</v>
      </c>
      <c r="I1162" s="83">
        <f>ROUND(H1162/(MID($C1162,9,3)/Basis!$E$3/Basis!$E$9)*Basis!$E$11,0)</f>
        <v>180</v>
      </c>
      <c r="J1162" s="123">
        <f>IF(Basis!$E$1=1,ROUND(H1162/((TaH-TrH)*1.163)/3600,3),ROUND(H1162/(500*(TaH-TrH)),2))</f>
        <v>0.09</v>
      </c>
      <c r="K1162" s="84"/>
      <c r="L1162" s="177">
        <f>CHOOSE(Basis!$E$1,((AJ1162*(J1162*3600/Basis!$E$5)^AK1162*(((MID(C1162,9,3)*10)-244)/1000)*AL1162+AM1162*(J1162*3600/Basis!$E$5)^2)*0.0098)/Basis!$E$10,((AJ1162*(J1162/Basis!$E$5)^AK1162*(((MID(C1162,9,3)*10)-244)/1000)*AL1162+AM1162*(J1162/Basis!$E$5)^2)*0.0098)/Basis!$E$10)</f>
        <v>2.3138171221949331E-3</v>
      </c>
      <c r="M1162" s="85"/>
      <c r="N1162" s="109">
        <v>1.3620000000000001</v>
      </c>
      <c r="O1162" s="68"/>
      <c r="P1162" s="67">
        <v>407</v>
      </c>
      <c r="Q1162" s="68"/>
      <c r="R1162" s="69"/>
      <c r="S1162" s="69"/>
      <c r="T1162" s="69"/>
      <c r="U1162" s="69"/>
      <c r="V1162" s="69"/>
      <c r="W1162" s="68"/>
      <c r="X1162" s="70"/>
      <c r="Y1162" s="70"/>
      <c r="Z1162" s="70"/>
      <c r="AA1162" s="70"/>
      <c r="AB1162" s="70"/>
      <c r="AC1162" s="68"/>
      <c r="AD1162" s="71"/>
      <c r="AE1162" s="71"/>
      <c r="AF1162" s="71"/>
      <c r="AG1162" s="71"/>
      <c r="AH1162" s="71"/>
      <c r="AI1162" s="68"/>
      <c r="AJ1162" s="214">
        <v>9.3669999999999995E-4</v>
      </c>
      <c r="AK1162" s="214">
        <v>1.789841</v>
      </c>
      <c r="AL1162" s="214">
        <v>2</v>
      </c>
      <c r="AM1162" s="214">
        <v>4.4559999999999999E-4</v>
      </c>
      <c r="AN1162" s="68"/>
      <c r="AO1162" s="67"/>
      <c r="AP1162" s="67"/>
      <c r="AQ1162" s="67"/>
      <c r="AR1162" s="67"/>
      <c r="AS1162" s="67"/>
      <c r="AT1162" s="68"/>
      <c r="AU1162" s="49"/>
      <c r="AV1162" s="50"/>
    </row>
    <row r="1163" spans="1:48" ht="12.75" customHeight="1" x14ac:dyDescent="0.25">
      <c r="A1163" s="72" t="s">
        <v>119</v>
      </c>
      <c r="B1163" s="43" t="s">
        <v>1154</v>
      </c>
      <c r="C1163" s="44" t="s">
        <v>1318</v>
      </c>
      <c r="D1163" s="45">
        <f>MROUND(MID($C1163,6,3)/Basis!$E$3,0.5)</f>
        <v>4.5</v>
      </c>
      <c r="E1163" s="45">
        <f>MROUND(MID($C1163,9,3)/Basis!$E$3,0.5)</f>
        <v>59</v>
      </c>
      <c r="F1163" s="199" t="s">
        <v>2950</v>
      </c>
      <c r="G1163" s="45">
        <f>ROUND(MID($C1163,12,2)/Basis!$E$3,1)</f>
        <v>13.4</v>
      </c>
      <c r="H1163" s="120">
        <f>ROUND($P1163*Basis!$E$2*((TaH-TrH)/LN(1/µ)/Basis!$E$7)^$N1163*$AA$4*Glycol,0)</f>
        <v>1149</v>
      </c>
      <c r="I1163" s="83">
        <f>ROUND(H1163/(MID($C1163,9,3)/Basis!$E$3/Basis!$E$9)*Basis!$E$11,0)</f>
        <v>233</v>
      </c>
      <c r="J1163" s="123">
        <f>IF(Basis!$E$1=1,ROUND(H1163/((TaH-TrH)*1.163)/3600,3),ROUND(H1163/(500*(TaH-TrH)),2))</f>
        <v>0.11</v>
      </c>
      <c r="K1163" s="84"/>
      <c r="L1163" s="177">
        <f>CHOOSE(Basis!$E$1,((AJ1163*(J1163*3600/Basis!$E$5)^AK1163*(((MID(C1163,9,3)*10)-244)/1000)*AL1163+AM1163*(J1163*3600/Basis!$E$5)^2)*0.0098)/Basis!$E$10,((AJ1163*(J1163/Basis!$E$5)^AK1163*(((MID(C1163,9,3)*10)-244)/1000)*AL1163+AM1163*(J1163/Basis!$E$5)^2)*0.0098)/Basis!$E$10)</f>
        <v>7.2450857191429345E-3</v>
      </c>
      <c r="M1163" s="85"/>
      <c r="N1163" s="110">
        <v>1.3620000000000001</v>
      </c>
      <c r="O1163" s="74"/>
      <c r="P1163" s="73">
        <v>528</v>
      </c>
      <c r="Q1163" s="74"/>
      <c r="R1163" s="75"/>
      <c r="S1163" s="75"/>
      <c r="T1163" s="75"/>
      <c r="U1163" s="75"/>
      <c r="V1163" s="75"/>
      <c r="W1163" s="74"/>
      <c r="X1163" s="76"/>
      <c r="Y1163" s="76"/>
      <c r="Z1163" s="76"/>
      <c r="AA1163" s="76"/>
      <c r="AB1163" s="76"/>
      <c r="AC1163" s="74"/>
      <c r="AD1163" s="77"/>
      <c r="AE1163" s="77"/>
      <c r="AF1163" s="77"/>
      <c r="AG1163" s="77"/>
      <c r="AH1163" s="77"/>
      <c r="AI1163" s="68"/>
      <c r="AJ1163" s="213">
        <v>1.3162765859195E-2</v>
      </c>
      <c r="AK1163" s="213">
        <v>1.4286501188989</v>
      </c>
      <c r="AL1163" s="213">
        <v>1</v>
      </c>
      <c r="AM1163" s="213">
        <v>9.2091836734694004E-4</v>
      </c>
      <c r="AN1163" s="74"/>
      <c r="AO1163" s="73"/>
      <c r="AP1163" s="73"/>
      <c r="AQ1163" s="73"/>
      <c r="AR1163" s="73"/>
      <c r="AS1163" s="73"/>
      <c r="AT1163" s="74"/>
      <c r="AU1163" s="47"/>
      <c r="AV1163" s="48"/>
    </row>
    <row r="1164" spans="1:48" ht="12.75" customHeight="1" x14ac:dyDescent="0.25">
      <c r="A1164" s="72" t="s">
        <v>119</v>
      </c>
      <c r="B1164" s="43" t="s">
        <v>1154</v>
      </c>
      <c r="C1164" s="44" t="s">
        <v>1319</v>
      </c>
      <c r="D1164" s="45">
        <f>MROUND(MID($C1164,6,3)/Basis!$E$3,0.5)</f>
        <v>4.5</v>
      </c>
      <c r="E1164" s="45">
        <f>MROUND(MID($C1164,9,3)/Basis!$E$3,0.5)</f>
        <v>59</v>
      </c>
      <c r="F1164" s="199" t="s">
        <v>2950</v>
      </c>
      <c r="G1164" s="45">
        <f>ROUND(MID($C1164,12,2)/Basis!$E$3,1)</f>
        <v>16.5</v>
      </c>
      <c r="H1164" s="120">
        <f>ROUND($P1164*Basis!$E$2*((TaH-TrH)/LN(1/µ)/Basis!$E$7)^$N1164*$AA$4*Glycol,0)</f>
        <v>1617</v>
      </c>
      <c r="I1164" s="83">
        <f>ROUND(H1164/(MID($C1164,9,3)/Basis!$E$3/Basis!$E$9)*Basis!$E$11,0)</f>
        <v>329</v>
      </c>
      <c r="J1164" s="123">
        <f>IF(Basis!$E$1=1,ROUND(H1164/((TaH-TrH)*1.163)/3600,3),ROUND(H1164/(500*(TaH-TrH)),2))</f>
        <v>0.16</v>
      </c>
      <c r="K1164" s="84"/>
      <c r="L1164" s="177">
        <f>CHOOSE(Basis!$E$1,((AJ1164*(J1164*3600/Basis!$E$5)^AK1164*(((MID(C1164,9,3)*10)-244)/1000)*AL1164+AM1164*(J1164*3600/Basis!$E$5)^2)*0.0098)/Basis!$E$10,((AJ1164*(J1164/Basis!$E$5)^AK1164*(((MID(C1164,9,3)*10)-244)/1000)*AL1164+AM1164*(J1164/Basis!$E$5)^2)*0.0098)/Basis!$E$10)</f>
        <v>3.2452242883399527E-3</v>
      </c>
      <c r="M1164" s="85"/>
      <c r="N1164" s="109">
        <v>1.3620000000000001</v>
      </c>
      <c r="O1164" s="68"/>
      <c r="P1164" s="67">
        <v>743</v>
      </c>
      <c r="Q1164" s="68"/>
      <c r="R1164" s="69"/>
      <c r="S1164" s="69"/>
      <c r="T1164" s="69"/>
      <c r="U1164" s="69"/>
      <c r="V1164" s="69"/>
      <c r="W1164" s="68"/>
      <c r="X1164" s="70"/>
      <c r="Y1164" s="70"/>
      <c r="Z1164" s="70"/>
      <c r="AA1164" s="70"/>
      <c r="AB1164" s="70"/>
      <c r="AC1164" s="68"/>
      <c r="AD1164" s="71"/>
      <c r="AE1164" s="71"/>
      <c r="AF1164" s="71"/>
      <c r="AG1164" s="71"/>
      <c r="AH1164" s="71"/>
      <c r="AI1164" s="68"/>
      <c r="AJ1164" s="214">
        <v>3.9689999999999994E-4</v>
      </c>
      <c r="AK1164" s="214">
        <v>1.7345999999999999</v>
      </c>
      <c r="AL1164" s="214">
        <v>2</v>
      </c>
      <c r="AM1164" s="214">
        <v>3.6734700000000002E-4</v>
      </c>
      <c r="AN1164" s="68"/>
      <c r="AO1164" s="67"/>
      <c r="AP1164" s="67"/>
      <c r="AQ1164" s="67"/>
      <c r="AR1164" s="67"/>
      <c r="AS1164" s="67"/>
      <c r="AT1164" s="68"/>
      <c r="AU1164" s="49"/>
      <c r="AV1164" s="50"/>
    </row>
    <row r="1165" spans="1:48" ht="12.75" customHeight="1" x14ac:dyDescent="0.25">
      <c r="A1165" s="72" t="s">
        <v>119</v>
      </c>
      <c r="B1165" s="43" t="s">
        <v>1154</v>
      </c>
      <c r="C1165" s="44" t="s">
        <v>1320</v>
      </c>
      <c r="D1165" s="45">
        <f>MROUND(MID($C1165,6,3)/Basis!$E$3,0.5)</f>
        <v>4.5</v>
      </c>
      <c r="E1165" s="45">
        <f>MROUND(MID($C1165,9,3)/Basis!$E$3,0.5)</f>
        <v>67</v>
      </c>
      <c r="F1165" s="199" t="s">
        <v>2950</v>
      </c>
      <c r="G1165" s="45">
        <f>ROUND(MID($C1165,12,2)/Basis!$E$3,1)</f>
        <v>5.5</v>
      </c>
      <c r="H1165" s="120">
        <f>ROUND($P1165*Basis!$E$2*((TaH-TrH)/LN(1/µ)/Basis!$E$7)^$N1165*$AA$4*Glycol,0)</f>
        <v>646</v>
      </c>
      <c r="I1165" s="83">
        <f>ROUND(H1165/(MID($C1165,9,3)/Basis!$E$3/Basis!$E$9)*Basis!$E$11,0)</f>
        <v>116</v>
      </c>
      <c r="J1165" s="123">
        <f>IF(Basis!$E$1=1,ROUND(H1165/((TaH-TrH)*1.163)/3600,3),ROUND(H1165/(500*(TaH-TrH)),2))</f>
        <v>0.06</v>
      </c>
      <c r="K1165" s="84"/>
      <c r="L1165" s="177">
        <f>CHOOSE(Basis!$E$1,((AJ1165*(J1165*3600/Basis!$E$5)^AK1165*(((MID(C1165,9,3)*10)-244)/1000)*AL1165+AM1165*(J1165*3600/Basis!$E$5)^2)*0.0098)/Basis!$E$10,((AJ1165*(J1165/Basis!$E$5)^AK1165*(((MID(C1165,9,3)*10)-244)/1000)*AL1165+AM1165*(J1165/Basis!$E$5)^2)*0.0098)/Basis!$E$10)</f>
        <v>5.8835760818750976E-4</v>
      </c>
      <c r="M1165" s="85"/>
      <c r="N1165" s="110">
        <v>1.3620000000000001</v>
      </c>
      <c r="O1165" s="74"/>
      <c r="P1165" s="73">
        <v>297</v>
      </c>
      <c r="Q1165" s="74"/>
      <c r="R1165" s="75"/>
      <c r="S1165" s="75"/>
      <c r="T1165" s="75"/>
      <c r="U1165" s="75"/>
      <c r="V1165" s="75"/>
      <c r="W1165" s="74"/>
      <c r="X1165" s="76"/>
      <c r="Y1165" s="76"/>
      <c r="Z1165" s="76"/>
      <c r="AA1165" s="76"/>
      <c r="AB1165" s="76"/>
      <c r="AC1165" s="74"/>
      <c r="AD1165" s="77"/>
      <c r="AE1165" s="77"/>
      <c r="AF1165" s="77"/>
      <c r="AG1165" s="77"/>
      <c r="AH1165" s="77"/>
      <c r="AI1165" s="68"/>
      <c r="AJ1165" s="213">
        <v>6.0625777523108995E-4</v>
      </c>
      <c r="AK1165" s="213">
        <v>1.8894792857555001</v>
      </c>
      <c r="AL1165" s="213">
        <v>1</v>
      </c>
      <c r="AM1165" s="213">
        <v>3.0758017492711002E-4</v>
      </c>
      <c r="AN1165" s="74"/>
      <c r="AO1165" s="73"/>
      <c r="AP1165" s="73"/>
      <c r="AQ1165" s="73"/>
      <c r="AR1165" s="73"/>
      <c r="AS1165" s="73"/>
      <c r="AT1165" s="74"/>
      <c r="AU1165" s="47"/>
      <c r="AV1165" s="48"/>
    </row>
    <row r="1166" spans="1:48" ht="12.75" customHeight="1" x14ac:dyDescent="0.25">
      <c r="A1166" s="72" t="s">
        <v>119</v>
      </c>
      <c r="B1166" s="43" t="s">
        <v>1154</v>
      </c>
      <c r="C1166" s="44" t="s">
        <v>1321</v>
      </c>
      <c r="D1166" s="45">
        <f>MROUND(MID($C1166,6,3)/Basis!$E$3,0.5)</f>
        <v>4.5</v>
      </c>
      <c r="E1166" s="45">
        <f>MROUND(MID($C1166,9,3)/Basis!$E$3,0.5)</f>
        <v>67</v>
      </c>
      <c r="F1166" s="199" t="s">
        <v>2950</v>
      </c>
      <c r="G1166" s="45">
        <f>ROUND(MID($C1166,12,2)/Basis!$E$3,1)</f>
        <v>7.1</v>
      </c>
      <c r="H1166" s="120">
        <f>ROUND($P1166*Basis!$E$2*((TaH-TrH)/LN(1/µ)/Basis!$E$7)^$N1166*$AA$4*Glycol,0)</f>
        <v>766</v>
      </c>
      <c r="I1166" s="83">
        <f>ROUND(H1166/(MID($C1166,9,3)/Basis!$E$3/Basis!$E$9)*Basis!$E$11,0)</f>
        <v>137</v>
      </c>
      <c r="J1166" s="123">
        <f>IF(Basis!$E$1=1,ROUND(H1166/((TaH-TrH)*1.163)/3600,3),ROUND(H1166/(500*(TaH-TrH)),2))</f>
        <v>0.08</v>
      </c>
      <c r="K1166" s="84"/>
      <c r="L1166" s="177">
        <f>CHOOSE(Basis!$E$1,((AJ1166*(J1166*3600/Basis!$E$5)^AK1166*(((MID(C1166,9,3)*10)-244)/1000)*AL1166+AM1166*(J1166*3600/Basis!$E$5)^2)*0.0098)/Basis!$E$10,((AJ1166*(J1166/Basis!$E$5)^AK1166*(((MID(C1166,9,3)*10)-244)/1000)*AL1166+AM1166*(J1166/Basis!$E$5)^2)*0.0098)/Basis!$E$10)</f>
        <v>2.0818599275946826E-3</v>
      </c>
      <c r="M1166" s="85"/>
      <c r="N1166" s="109">
        <v>1.3620000000000001</v>
      </c>
      <c r="O1166" s="68"/>
      <c r="P1166" s="67">
        <v>352</v>
      </c>
      <c r="Q1166" s="68"/>
      <c r="R1166" s="69"/>
      <c r="S1166" s="69"/>
      <c r="T1166" s="69"/>
      <c r="U1166" s="69"/>
      <c r="V1166" s="69"/>
      <c r="W1166" s="68"/>
      <c r="X1166" s="70"/>
      <c r="Y1166" s="70"/>
      <c r="Z1166" s="70"/>
      <c r="AA1166" s="70"/>
      <c r="AB1166" s="70"/>
      <c r="AC1166" s="68"/>
      <c r="AD1166" s="71"/>
      <c r="AE1166" s="71"/>
      <c r="AF1166" s="71"/>
      <c r="AG1166" s="71"/>
      <c r="AH1166" s="71"/>
      <c r="AI1166" s="68"/>
      <c r="AJ1166" s="214">
        <v>9.3669999999999995E-4</v>
      </c>
      <c r="AK1166" s="214">
        <v>1.789841</v>
      </c>
      <c r="AL1166" s="214">
        <v>2</v>
      </c>
      <c r="AM1166" s="214">
        <v>4.4559999999999999E-4</v>
      </c>
      <c r="AN1166" s="68"/>
      <c r="AO1166" s="67"/>
      <c r="AP1166" s="67"/>
      <c r="AQ1166" s="67"/>
      <c r="AR1166" s="67"/>
      <c r="AS1166" s="67"/>
      <c r="AT1166" s="68"/>
      <c r="AU1166" s="49"/>
      <c r="AV1166" s="50"/>
    </row>
    <row r="1167" spans="1:48" ht="12.75" customHeight="1" x14ac:dyDescent="0.25">
      <c r="A1167" s="72" t="s">
        <v>119</v>
      </c>
      <c r="B1167" s="43" t="s">
        <v>1154</v>
      </c>
      <c r="C1167" s="44" t="s">
        <v>1322</v>
      </c>
      <c r="D1167" s="45">
        <f>MROUND(MID($C1167,6,3)/Basis!$E$3,0.5)</f>
        <v>4.5</v>
      </c>
      <c r="E1167" s="45">
        <f>MROUND(MID($C1167,9,3)/Basis!$E$3,0.5)</f>
        <v>67</v>
      </c>
      <c r="F1167" s="199" t="s">
        <v>2950</v>
      </c>
      <c r="G1167" s="45">
        <f>ROUND(MID($C1167,12,2)/Basis!$E$3,1)</f>
        <v>10.199999999999999</v>
      </c>
      <c r="H1167" s="120">
        <f>ROUND($P1167*Basis!$E$2*((TaH-TrH)/LN(1/µ)/Basis!$E$7)^$N1167*$AA$4*Glycol,0)</f>
        <v>1032</v>
      </c>
      <c r="I1167" s="83">
        <f>ROUND(H1167/(MID($C1167,9,3)/Basis!$E$3/Basis!$E$9)*Basis!$E$11,0)</f>
        <v>185</v>
      </c>
      <c r="J1167" s="123">
        <f>IF(Basis!$E$1=1,ROUND(H1167/((TaH-TrH)*1.163)/3600,3),ROUND(H1167/(500*(TaH-TrH)),2))</f>
        <v>0.1</v>
      </c>
      <c r="K1167" s="84"/>
      <c r="L1167" s="177">
        <f>CHOOSE(Basis!$E$1,((AJ1167*(J1167*3600/Basis!$E$5)^AK1167*(((MID(C1167,9,3)*10)-244)/1000)*AL1167+AM1167*(J1167*3600/Basis!$E$5)^2)*0.0098)/Basis!$E$10,((AJ1167*(J1167/Basis!$E$5)^AK1167*(((MID(C1167,9,3)*10)-244)/1000)*AL1167+AM1167*(J1167/Basis!$E$5)^2)*0.0098)/Basis!$E$10)</f>
        <v>3.1383134735798002E-3</v>
      </c>
      <c r="M1167" s="85"/>
      <c r="N1167" s="110">
        <v>1.3620000000000001</v>
      </c>
      <c r="O1167" s="74"/>
      <c r="P1167" s="73">
        <v>474</v>
      </c>
      <c r="Q1167" s="74"/>
      <c r="R1167" s="75"/>
      <c r="S1167" s="75"/>
      <c r="T1167" s="75"/>
      <c r="U1167" s="75"/>
      <c r="V1167" s="75"/>
      <c r="W1167" s="74"/>
      <c r="X1167" s="76"/>
      <c r="Y1167" s="76"/>
      <c r="Z1167" s="76"/>
      <c r="AA1167" s="76"/>
      <c r="AB1167" s="76"/>
      <c r="AC1167" s="74"/>
      <c r="AD1167" s="77"/>
      <c r="AE1167" s="77"/>
      <c r="AF1167" s="77"/>
      <c r="AG1167" s="77"/>
      <c r="AH1167" s="77"/>
      <c r="AI1167" s="68"/>
      <c r="AJ1167" s="213">
        <v>9.3669999999999995E-4</v>
      </c>
      <c r="AK1167" s="213">
        <v>1.789841</v>
      </c>
      <c r="AL1167" s="213">
        <v>2</v>
      </c>
      <c r="AM1167" s="213">
        <v>4.4559999999999999E-4</v>
      </c>
      <c r="AN1167" s="74"/>
      <c r="AO1167" s="73"/>
      <c r="AP1167" s="73"/>
      <c r="AQ1167" s="73"/>
      <c r="AR1167" s="73"/>
      <c r="AS1167" s="73"/>
      <c r="AT1167" s="74"/>
      <c r="AU1167" s="47"/>
      <c r="AV1167" s="48"/>
    </row>
    <row r="1168" spans="1:48" ht="12.75" customHeight="1" x14ac:dyDescent="0.25">
      <c r="A1168" s="72" t="s">
        <v>119</v>
      </c>
      <c r="B1168" s="43" t="s">
        <v>1154</v>
      </c>
      <c r="C1168" s="44" t="s">
        <v>1323</v>
      </c>
      <c r="D1168" s="45">
        <f>MROUND(MID($C1168,6,3)/Basis!$E$3,0.5)</f>
        <v>4.5</v>
      </c>
      <c r="E1168" s="45">
        <f>MROUND(MID($C1168,9,3)/Basis!$E$3,0.5)</f>
        <v>67</v>
      </c>
      <c r="F1168" s="199" t="s">
        <v>2950</v>
      </c>
      <c r="G1168" s="45">
        <f>ROUND(MID($C1168,12,2)/Basis!$E$3,1)</f>
        <v>13.4</v>
      </c>
      <c r="H1168" s="120">
        <f>ROUND($P1168*Basis!$E$2*((TaH-TrH)/LN(1/µ)/Basis!$E$7)^$N1168*$AA$4*Glycol,0)</f>
        <v>1343</v>
      </c>
      <c r="I1168" s="83">
        <f>ROUND(H1168/(MID($C1168,9,3)/Basis!$E$3/Basis!$E$9)*Basis!$E$11,0)</f>
        <v>241</v>
      </c>
      <c r="J1168" s="123">
        <f>IF(Basis!$E$1=1,ROUND(H1168/((TaH-TrH)*1.163)/3600,3),ROUND(H1168/(500*(TaH-TrH)),2))</f>
        <v>0.13</v>
      </c>
      <c r="K1168" s="84"/>
      <c r="L1168" s="177">
        <f>CHOOSE(Basis!$E$1,((AJ1168*(J1168*3600/Basis!$E$5)^AK1168*(((MID(C1168,9,3)*10)-244)/1000)*AL1168+AM1168*(J1168*3600/Basis!$E$5)^2)*0.0098)/Basis!$E$10,((AJ1168*(J1168/Basis!$E$5)^AK1168*(((MID(C1168,9,3)*10)-244)/1000)*AL1168+AM1168*(J1168/Basis!$E$5)^2)*0.0098)/Basis!$E$10)</f>
        <v>1.0521654314964966E-2</v>
      </c>
      <c r="M1168" s="85"/>
      <c r="N1168" s="109">
        <v>1.3620000000000001</v>
      </c>
      <c r="O1168" s="68"/>
      <c r="P1168" s="67">
        <v>617</v>
      </c>
      <c r="Q1168" s="68"/>
      <c r="R1168" s="69"/>
      <c r="S1168" s="69"/>
      <c r="T1168" s="69"/>
      <c r="U1168" s="69"/>
      <c r="V1168" s="69"/>
      <c r="W1168" s="68"/>
      <c r="X1168" s="70"/>
      <c r="Y1168" s="70"/>
      <c r="Z1168" s="70"/>
      <c r="AA1168" s="70"/>
      <c r="AB1168" s="70"/>
      <c r="AC1168" s="68"/>
      <c r="AD1168" s="71"/>
      <c r="AE1168" s="71"/>
      <c r="AF1168" s="71"/>
      <c r="AG1168" s="71"/>
      <c r="AH1168" s="71"/>
      <c r="AI1168" s="68"/>
      <c r="AJ1168" s="214">
        <v>1.3162765859195E-2</v>
      </c>
      <c r="AK1168" s="214">
        <v>1.4286501188989</v>
      </c>
      <c r="AL1168" s="214">
        <v>1</v>
      </c>
      <c r="AM1168" s="214">
        <v>9.2091836734694004E-4</v>
      </c>
      <c r="AN1168" s="68"/>
      <c r="AO1168" s="67"/>
      <c r="AP1168" s="67"/>
      <c r="AQ1168" s="67"/>
      <c r="AR1168" s="67"/>
      <c r="AS1168" s="67"/>
      <c r="AT1168" s="68"/>
      <c r="AU1168" s="49"/>
      <c r="AV1168" s="50"/>
    </row>
    <row r="1169" spans="1:48" ht="12.75" customHeight="1" x14ac:dyDescent="0.25">
      <c r="A1169" s="72" t="s">
        <v>119</v>
      </c>
      <c r="B1169" s="43" t="s">
        <v>1154</v>
      </c>
      <c r="C1169" s="44" t="s">
        <v>1324</v>
      </c>
      <c r="D1169" s="45">
        <f>MROUND(MID($C1169,6,3)/Basis!$E$3,0.5)</f>
        <v>4.5</v>
      </c>
      <c r="E1169" s="45">
        <f>MROUND(MID($C1169,9,3)/Basis!$E$3,0.5)</f>
        <v>67</v>
      </c>
      <c r="F1169" s="199" t="s">
        <v>2950</v>
      </c>
      <c r="G1169" s="45">
        <f>ROUND(MID($C1169,12,2)/Basis!$E$3,1)</f>
        <v>16.5</v>
      </c>
      <c r="H1169" s="120">
        <f>ROUND($P1169*Basis!$E$2*((TaH-TrH)/LN(1/µ)/Basis!$E$7)^$N1169*$AA$4*Glycol,0)</f>
        <v>1885</v>
      </c>
      <c r="I1169" s="83">
        <f>ROUND(H1169/(MID($C1169,9,3)/Basis!$E$3/Basis!$E$9)*Basis!$E$11,0)</f>
        <v>338</v>
      </c>
      <c r="J1169" s="123">
        <f>IF(Basis!$E$1=1,ROUND(H1169/((TaH-TrH)*1.163)/3600,3),ROUND(H1169/(500*(TaH-TrH)),2))</f>
        <v>0.19</v>
      </c>
      <c r="K1169" s="84"/>
      <c r="L1169" s="177">
        <f>CHOOSE(Basis!$E$1,((AJ1169*(J1169*3600/Basis!$E$5)^AK1169*(((MID(C1169,9,3)*10)-244)/1000)*AL1169+AM1169*(J1169*3600/Basis!$E$5)^2)*0.0098)/Basis!$E$10,((AJ1169*(J1169/Basis!$E$5)^AK1169*(((MID(C1169,9,3)*10)-244)/1000)*AL1169+AM1169*(J1169/Basis!$E$5)^2)*0.0098)/Basis!$E$10)</f>
        <v>4.827890482435474E-3</v>
      </c>
      <c r="M1169" s="85"/>
      <c r="N1169" s="110">
        <v>1.3620000000000001</v>
      </c>
      <c r="O1169" s="74"/>
      <c r="P1169" s="73">
        <v>866</v>
      </c>
      <c r="Q1169" s="74"/>
      <c r="R1169" s="75"/>
      <c r="S1169" s="75"/>
      <c r="T1169" s="75"/>
      <c r="U1169" s="75"/>
      <c r="V1169" s="75"/>
      <c r="W1169" s="74"/>
      <c r="X1169" s="76"/>
      <c r="Y1169" s="76"/>
      <c r="Z1169" s="76"/>
      <c r="AA1169" s="76"/>
      <c r="AB1169" s="76"/>
      <c r="AC1169" s="74"/>
      <c r="AD1169" s="77"/>
      <c r="AE1169" s="77"/>
      <c r="AF1169" s="77"/>
      <c r="AG1169" s="77"/>
      <c r="AH1169" s="77"/>
      <c r="AI1169" s="68"/>
      <c r="AJ1169" s="213">
        <v>3.9689999999999994E-4</v>
      </c>
      <c r="AK1169" s="213">
        <v>1.7345999999999999</v>
      </c>
      <c r="AL1169" s="213">
        <v>2</v>
      </c>
      <c r="AM1169" s="213">
        <v>3.6734700000000002E-4</v>
      </c>
      <c r="AN1169" s="74"/>
      <c r="AO1169" s="73"/>
      <c r="AP1169" s="73"/>
      <c r="AQ1169" s="73"/>
      <c r="AR1169" s="73"/>
      <c r="AS1169" s="73"/>
      <c r="AT1169" s="74"/>
      <c r="AU1169" s="47"/>
      <c r="AV1169" s="48"/>
    </row>
    <row r="1170" spans="1:48" ht="12.75" customHeight="1" x14ac:dyDescent="0.25">
      <c r="A1170" s="72" t="s">
        <v>119</v>
      </c>
      <c r="B1170" s="43" t="s">
        <v>1154</v>
      </c>
      <c r="C1170" s="44" t="s">
        <v>1325</v>
      </c>
      <c r="D1170" s="45">
        <f>MROUND(MID($C1170,6,3)/Basis!$E$3,0.5)</f>
        <v>4.5</v>
      </c>
      <c r="E1170" s="45">
        <f>MROUND(MID($C1170,9,3)/Basis!$E$3,0.5)</f>
        <v>75</v>
      </c>
      <c r="F1170" s="199" t="s">
        <v>2950</v>
      </c>
      <c r="G1170" s="45">
        <f>ROUND(MID($C1170,12,2)/Basis!$E$3,1)</f>
        <v>5.5</v>
      </c>
      <c r="H1170" s="120">
        <f>ROUND($P1170*Basis!$E$2*((TaH-TrH)/LN(1/µ)/Basis!$E$7)^$N1170*$AA$4*Glycol,0)</f>
        <v>738</v>
      </c>
      <c r="I1170" s="83">
        <f>ROUND(H1170/(MID($C1170,9,3)/Basis!$E$3/Basis!$E$9)*Basis!$E$11,0)</f>
        <v>118</v>
      </c>
      <c r="J1170" s="123">
        <f>IF(Basis!$E$1=1,ROUND(H1170/((TaH-TrH)*1.163)/3600,3),ROUND(H1170/(500*(TaH-TrH)),2))</f>
        <v>7.0000000000000007E-2</v>
      </c>
      <c r="K1170" s="84"/>
      <c r="L1170" s="177">
        <f>CHOOSE(Basis!$E$1,((AJ1170*(J1170*3600/Basis!$E$5)^AK1170*(((MID(C1170,9,3)*10)-244)/1000)*AL1170+AM1170*(J1170*3600/Basis!$E$5)^2)*0.0098)/Basis!$E$10,((AJ1170*(J1170/Basis!$E$5)^AK1170*(((MID(C1170,9,3)*10)-244)/1000)*AL1170+AM1170*(J1170/Basis!$E$5)^2)*0.0098)/Basis!$E$10)</f>
        <v>8.654019104349925E-4</v>
      </c>
      <c r="M1170" s="85"/>
      <c r="N1170" s="109">
        <v>1.3620000000000001</v>
      </c>
      <c r="O1170" s="68"/>
      <c r="P1170" s="67">
        <v>339</v>
      </c>
      <c r="Q1170" s="68"/>
      <c r="R1170" s="69"/>
      <c r="S1170" s="69"/>
      <c r="T1170" s="69"/>
      <c r="U1170" s="69"/>
      <c r="V1170" s="69"/>
      <c r="W1170" s="68"/>
      <c r="X1170" s="70"/>
      <c r="Y1170" s="70"/>
      <c r="Z1170" s="70"/>
      <c r="AA1170" s="70"/>
      <c r="AB1170" s="70"/>
      <c r="AC1170" s="68"/>
      <c r="AD1170" s="71"/>
      <c r="AE1170" s="71"/>
      <c r="AF1170" s="71"/>
      <c r="AG1170" s="71"/>
      <c r="AH1170" s="71"/>
      <c r="AI1170" s="68"/>
      <c r="AJ1170" s="214">
        <v>6.0625777523108995E-4</v>
      </c>
      <c r="AK1170" s="214">
        <v>1.8894792857555001</v>
      </c>
      <c r="AL1170" s="214">
        <v>1</v>
      </c>
      <c r="AM1170" s="214">
        <v>3.0758017492711002E-4</v>
      </c>
      <c r="AN1170" s="68"/>
      <c r="AO1170" s="67"/>
      <c r="AP1170" s="67"/>
      <c r="AQ1170" s="67"/>
      <c r="AR1170" s="67"/>
      <c r="AS1170" s="67"/>
      <c r="AT1170" s="68"/>
      <c r="AU1170" s="49"/>
      <c r="AV1170" s="50"/>
    </row>
    <row r="1171" spans="1:48" ht="12.75" customHeight="1" x14ac:dyDescent="0.25">
      <c r="A1171" s="72" t="s">
        <v>119</v>
      </c>
      <c r="B1171" s="43" t="s">
        <v>1154</v>
      </c>
      <c r="C1171" s="44" t="s">
        <v>1326</v>
      </c>
      <c r="D1171" s="45">
        <f>MROUND(MID($C1171,6,3)/Basis!$E$3,0.5)</f>
        <v>4.5</v>
      </c>
      <c r="E1171" s="45">
        <f>MROUND(MID($C1171,9,3)/Basis!$E$3,0.5)</f>
        <v>75</v>
      </c>
      <c r="F1171" s="199" t="s">
        <v>2950</v>
      </c>
      <c r="G1171" s="45">
        <f>ROUND(MID($C1171,12,2)/Basis!$E$3,1)</f>
        <v>7.1</v>
      </c>
      <c r="H1171" s="120">
        <f>ROUND($P1171*Basis!$E$2*((TaH-TrH)/LN(1/µ)/Basis!$E$7)^$N1171*$AA$4*Glycol,0)</f>
        <v>875</v>
      </c>
      <c r="I1171" s="83">
        <f>ROUND(H1171/(MID($C1171,9,3)/Basis!$E$3/Basis!$E$9)*Basis!$E$11,0)</f>
        <v>140</v>
      </c>
      <c r="J1171" s="123">
        <f>IF(Basis!$E$1=1,ROUND(H1171/((TaH-TrH)*1.163)/3600,3),ROUND(H1171/(500*(TaH-TrH)),2))</f>
        <v>0.09</v>
      </c>
      <c r="K1171" s="84"/>
      <c r="L1171" s="177">
        <f>CHOOSE(Basis!$E$1,((AJ1171*(J1171*3600/Basis!$E$5)^AK1171*(((MID(C1171,9,3)*10)-244)/1000)*AL1171+AM1171*(J1171*3600/Basis!$E$5)^2)*0.0098)/Basis!$E$10,((AJ1171*(J1171/Basis!$E$5)^AK1171*(((MID(C1171,9,3)*10)-244)/1000)*AL1171+AM1171*(J1171/Basis!$E$5)^2)*0.0098)/Basis!$E$10)</f>
        <v>2.856819100875417E-3</v>
      </c>
      <c r="M1171" s="85"/>
      <c r="N1171" s="110">
        <v>1.3620000000000001</v>
      </c>
      <c r="O1171" s="74"/>
      <c r="P1171" s="73">
        <v>402</v>
      </c>
      <c r="Q1171" s="74"/>
      <c r="R1171" s="75"/>
      <c r="S1171" s="75"/>
      <c r="T1171" s="75"/>
      <c r="U1171" s="75"/>
      <c r="V1171" s="75"/>
      <c r="W1171" s="74"/>
      <c r="X1171" s="76"/>
      <c r="Y1171" s="76"/>
      <c r="Z1171" s="76"/>
      <c r="AA1171" s="76"/>
      <c r="AB1171" s="76"/>
      <c r="AC1171" s="74"/>
      <c r="AD1171" s="77"/>
      <c r="AE1171" s="77"/>
      <c r="AF1171" s="77"/>
      <c r="AG1171" s="77"/>
      <c r="AH1171" s="77"/>
      <c r="AI1171" s="68"/>
      <c r="AJ1171" s="213">
        <v>9.3669999999999995E-4</v>
      </c>
      <c r="AK1171" s="213">
        <v>1.789841</v>
      </c>
      <c r="AL1171" s="213">
        <v>2</v>
      </c>
      <c r="AM1171" s="213">
        <v>4.4559999999999999E-4</v>
      </c>
      <c r="AN1171" s="74"/>
      <c r="AO1171" s="73"/>
      <c r="AP1171" s="73"/>
      <c r="AQ1171" s="73"/>
      <c r="AR1171" s="73"/>
      <c r="AS1171" s="73"/>
      <c r="AT1171" s="74"/>
      <c r="AU1171" s="47"/>
      <c r="AV1171" s="48"/>
    </row>
    <row r="1172" spans="1:48" ht="12.75" customHeight="1" x14ac:dyDescent="0.25">
      <c r="A1172" s="72" t="s">
        <v>119</v>
      </c>
      <c r="B1172" s="43" t="s">
        <v>1154</v>
      </c>
      <c r="C1172" s="44" t="s">
        <v>1327</v>
      </c>
      <c r="D1172" s="45">
        <f>MROUND(MID($C1172,6,3)/Basis!$E$3,0.5)</f>
        <v>4.5</v>
      </c>
      <c r="E1172" s="45">
        <f>MROUND(MID($C1172,9,3)/Basis!$E$3,0.5)</f>
        <v>75</v>
      </c>
      <c r="F1172" s="199" t="s">
        <v>2950</v>
      </c>
      <c r="G1172" s="45">
        <f>ROUND(MID($C1172,12,2)/Basis!$E$3,1)</f>
        <v>10.199999999999999</v>
      </c>
      <c r="H1172" s="120">
        <f>ROUND($P1172*Basis!$E$2*((TaH-TrH)/LN(1/µ)/Basis!$E$7)^$N1172*$AA$4*Glycol,0)</f>
        <v>1180</v>
      </c>
      <c r="I1172" s="83">
        <f>ROUND(H1172/(MID($C1172,9,3)/Basis!$E$3/Basis!$E$9)*Basis!$E$11,0)</f>
        <v>189</v>
      </c>
      <c r="J1172" s="123">
        <f>IF(Basis!$E$1=1,ROUND(H1172/((TaH-TrH)*1.163)/3600,3),ROUND(H1172/(500*(TaH-TrH)),2))</f>
        <v>0.12</v>
      </c>
      <c r="K1172" s="84"/>
      <c r="L1172" s="177">
        <f>CHOOSE(Basis!$E$1,((AJ1172*(J1172*3600/Basis!$E$5)^AK1172*(((MID(C1172,9,3)*10)-244)/1000)*AL1172+AM1172*(J1172*3600/Basis!$E$5)^2)*0.0098)/Basis!$E$10,((AJ1172*(J1172/Basis!$E$5)^AK1172*(((MID(C1172,9,3)*10)-244)/1000)*AL1172+AM1172*(J1172/Basis!$E$5)^2)*0.0098)/Basis!$E$10)</f>
        <v>4.844324707573836E-3</v>
      </c>
      <c r="M1172" s="85"/>
      <c r="N1172" s="109">
        <v>1.3620000000000001</v>
      </c>
      <c r="O1172" s="68"/>
      <c r="P1172" s="67">
        <v>542</v>
      </c>
      <c r="Q1172" s="68"/>
      <c r="R1172" s="69"/>
      <c r="S1172" s="69"/>
      <c r="T1172" s="69"/>
      <c r="U1172" s="69"/>
      <c r="V1172" s="69"/>
      <c r="W1172" s="68"/>
      <c r="X1172" s="70"/>
      <c r="Y1172" s="70"/>
      <c r="Z1172" s="70"/>
      <c r="AA1172" s="70"/>
      <c r="AB1172" s="70"/>
      <c r="AC1172" s="68"/>
      <c r="AD1172" s="71"/>
      <c r="AE1172" s="71"/>
      <c r="AF1172" s="71"/>
      <c r="AG1172" s="71"/>
      <c r="AH1172" s="71"/>
      <c r="AI1172" s="68"/>
      <c r="AJ1172" s="214">
        <v>9.3669999999999995E-4</v>
      </c>
      <c r="AK1172" s="214">
        <v>1.789841</v>
      </c>
      <c r="AL1172" s="214">
        <v>2</v>
      </c>
      <c r="AM1172" s="214">
        <v>4.4559999999999999E-4</v>
      </c>
      <c r="AN1172" s="68"/>
      <c r="AO1172" s="67"/>
      <c r="AP1172" s="67"/>
      <c r="AQ1172" s="67"/>
      <c r="AR1172" s="67"/>
      <c r="AS1172" s="67"/>
      <c r="AT1172" s="68"/>
      <c r="AU1172" s="49"/>
      <c r="AV1172" s="50"/>
    </row>
    <row r="1173" spans="1:48" ht="12.75" customHeight="1" x14ac:dyDescent="0.25">
      <c r="A1173" s="72" t="s">
        <v>119</v>
      </c>
      <c r="B1173" s="43" t="s">
        <v>1154</v>
      </c>
      <c r="C1173" s="44" t="s">
        <v>1328</v>
      </c>
      <c r="D1173" s="45">
        <f>MROUND(MID($C1173,6,3)/Basis!$E$3,0.5)</f>
        <v>4.5</v>
      </c>
      <c r="E1173" s="45">
        <f>MROUND(MID($C1173,9,3)/Basis!$E$3,0.5)</f>
        <v>75</v>
      </c>
      <c r="F1173" s="199" t="s">
        <v>2950</v>
      </c>
      <c r="G1173" s="45">
        <f>ROUND(MID($C1173,12,2)/Basis!$E$3,1)</f>
        <v>13.4</v>
      </c>
      <c r="H1173" s="120">
        <f>ROUND($P1173*Basis!$E$2*((TaH-TrH)/LN(1/µ)/Basis!$E$7)^$N1173*$AA$4*Glycol,0)</f>
        <v>1532</v>
      </c>
      <c r="I1173" s="83">
        <f>ROUND(H1173/(MID($C1173,9,3)/Basis!$E$3/Basis!$E$9)*Basis!$E$11,0)</f>
        <v>246</v>
      </c>
      <c r="J1173" s="123">
        <f>IF(Basis!$E$1=1,ROUND(H1173/((TaH-TrH)*1.163)/3600,3),ROUND(H1173/(500*(TaH-TrH)),2))</f>
        <v>0.15</v>
      </c>
      <c r="K1173" s="84"/>
      <c r="L1173" s="177">
        <f>CHOOSE(Basis!$E$1,((AJ1173*(J1173*3600/Basis!$E$5)^AK1173*(((MID(C1173,9,3)*10)-244)/1000)*AL1173+AM1173*(J1173*3600/Basis!$E$5)^2)*0.0098)/Basis!$E$10,((AJ1173*(J1173/Basis!$E$5)^AK1173*(((MID(C1173,9,3)*10)-244)/1000)*AL1173+AM1173*(J1173/Basis!$E$5)^2)*0.0098)/Basis!$E$10)</f>
        <v>1.451349935109562E-2</v>
      </c>
      <c r="M1173" s="85"/>
      <c r="N1173" s="110">
        <v>1.3620000000000001</v>
      </c>
      <c r="O1173" s="74"/>
      <c r="P1173" s="73">
        <v>704</v>
      </c>
      <c r="Q1173" s="74"/>
      <c r="R1173" s="75"/>
      <c r="S1173" s="75"/>
      <c r="T1173" s="75"/>
      <c r="U1173" s="75"/>
      <c r="V1173" s="75"/>
      <c r="W1173" s="74"/>
      <c r="X1173" s="76"/>
      <c r="Y1173" s="76"/>
      <c r="Z1173" s="76"/>
      <c r="AA1173" s="76"/>
      <c r="AB1173" s="76"/>
      <c r="AC1173" s="74"/>
      <c r="AD1173" s="77"/>
      <c r="AE1173" s="77"/>
      <c r="AF1173" s="77"/>
      <c r="AG1173" s="77"/>
      <c r="AH1173" s="77"/>
      <c r="AI1173" s="68"/>
      <c r="AJ1173" s="213">
        <v>1.3162765859195E-2</v>
      </c>
      <c r="AK1173" s="213">
        <v>1.4286501188989</v>
      </c>
      <c r="AL1173" s="213">
        <v>1</v>
      </c>
      <c r="AM1173" s="213">
        <v>9.2091836734694004E-4</v>
      </c>
      <c r="AN1173" s="74"/>
      <c r="AO1173" s="73"/>
      <c r="AP1173" s="73"/>
      <c r="AQ1173" s="73"/>
      <c r="AR1173" s="73"/>
      <c r="AS1173" s="73"/>
      <c r="AT1173" s="74"/>
      <c r="AU1173" s="47"/>
      <c r="AV1173" s="48"/>
    </row>
    <row r="1174" spans="1:48" ht="12.75" customHeight="1" x14ac:dyDescent="0.25">
      <c r="A1174" s="72" t="s">
        <v>119</v>
      </c>
      <c r="B1174" s="43" t="s">
        <v>1154</v>
      </c>
      <c r="C1174" s="44" t="s">
        <v>1329</v>
      </c>
      <c r="D1174" s="45">
        <f>MROUND(MID($C1174,6,3)/Basis!$E$3,0.5)</f>
        <v>4.5</v>
      </c>
      <c r="E1174" s="45">
        <f>MROUND(MID($C1174,9,3)/Basis!$E$3,0.5)</f>
        <v>75</v>
      </c>
      <c r="F1174" s="199" t="s">
        <v>2950</v>
      </c>
      <c r="G1174" s="45">
        <f>ROUND(MID($C1174,12,2)/Basis!$E$3,1)</f>
        <v>16.5</v>
      </c>
      <c r="H1174" s="120">
        <f>ROUND($P1174*Basis!$E$2*((TaH-TrH)/LN(1/µ)/Basis!$E$7)^$N1174*$AA$4*Glycol,0)</f>
        <v>2155</v>
      </c>
      <c r="I1174" s="83">
        <f>ROUND(H1174/(MID($C1174,9,3)/Basis!$E$3/Basis!$E$9)*Basis!$E$11,0)</f>
        <v>346</v>
      </c>
      <c r="J1174" s="123">
        <f>IF(Basis!$E$1=1,ROUND(H1174/((TaH-TrH)*1.163)/3600,3),ROUND(H1174/(500*(TaH-TrH)),2))</f>
        <v>0.22</v>
      </c>
      <c r="K1174" s="84"/>
      <c r="L1174" s="177">
        <f>CHOOSE(Basis!$E$1,((AJ1174*(J1174*3600/Basis!$E$5)^AK1174*(((MID(C1174,9,3)*10)-244)/1000)*AL1174+AM1174*(J1174*3600/Basis!$E$5)^2)*0.0098)/Basis!$E$10,((AJ1174*(J1174/Basis!$E$5)^AK1174*(((MID(C1174,9,3)*10)-244)/1000)*AL1174+AM1174*(J1174/Basis!$E$5)^2)*0.0098)/Basis!$E$10)</f>
        <v>6.7992619176713513E-3</v>
      </c>
      <c r="M1174" s="85"/>
      <c r="N1174" s="109">
        <v>1.3620000000000001</v>
      </c>
      <c r="O1174" s="68"/>
      <c r="P1174" s="67">
        <v>990</v>
      </c>
      <c r="Q1174" s="68"/>
      <c r="R1174" s="69"/>
      <c r="S1174" s="69"/>
      <c r="T1174" s="69"/>
      <c r="U1174" s="69"/>
      <c r="V1174" s="69"/>
      <c r="W1174" s="68"/>
      <c r="X1174" s="70"/>
      <c r="Y1174" s="70"/>
      <c r="Z1174" s="70"/>
      <c r="AA1174" s="70"/>
      <c r="AB1174" s="70"/>
      <c r="AC1174" s="68"/>
      <c r="AD1174" s="71"/>
      <c r="AE1174" s="71"/>
      <c r="AF1174" s="71"/>
      <c r="AG1174" s="71"/>
      <c r="AH1174" s="71"/>
      <c r="AI1174" s="68"/>
      <c r="AJ1174" s="214">
        <v>3.9689999999999994E-4</v>
      </c>
      <c r="AK1174" s="214">
        <v>1.7345999999999999</v>
      </c>
      <c r="AL1174" s="214">
        <v>2</v>
      </c>
      <c r="AM1174" s="214">
        <v>3.6734700000000002E-4</v>
      </c>
      <c r="AN1174" s="68"/>
      <c r="AO1174" s="67"/>
      <c r="AP1174" s="67"/>
      <c r="AQ1174" s="67"/>
      <c r="AR1174" s="67"/>
      <c r="AS1174" s="67"/>
      <c r="AT1174" s="68"/>
      <c r="AU1174" s="49"/>
      <c r="AV1174" s="50"/>
    </row>
    <row r="1175" spans="1:48" ht="12.75" customHeight="1" x14ac:dyDescent="0.25">
      <c r="A1175" s="72" t="s">
        <v>119</v>
      </c>
      <c r="B1175" s="43" t="s">
        <v>1154</v>
      </c>
      <c r="C1175" s="44" t="s">
        <v>1330</v>
      </c>
      <c r="D1175" s="45">
        <f>MROUND(MID($C1175,6,3)/Basis!$E$3,0.5)</f>
        <v>4.5</v>
      </c>
      <c r="E1175" s="45">
        <f>MROUND(MID($C1175,9,3)/Basis!$E$3,0.5)</f>
        <v>82.5</v>
      </c>
      <c r="F1175" s="199" t="s">
        <v>2950</v>
      </c>
      <c r="G1175" s="45">
        <f>ROUND(MID($C1175,12,2)/Basis!$E$3,1)</f>
        <v>5.5</v>
      </c>
      <c r="H1175" s="120">
        <f>ROUND($P1175*Basis!$E$2*((TaH-TrH)/LN(1/µ)/Basis!$E$7)^$N1175*$AA$4*Glycol,0)</f>
        <v>829</v>
      </c>
      <c r="I1175" s="83">
        <f>ROUND(H1175/(MID($C1175,9,3)/Basis!$E$3/Basis!$E$9)*Basis!$E$11,0)</f>
        <v>120</v>
      </c>
      <c r="J1175" s="123">
        <f>IF(Basis!$E$1=1,ROUND(H1175/((TaH-TrH)*1.163)/3600,3),ROUND(H1175/(500*(TaH-TrH)),2))</f>
        <v>0.08</v>
      </c>
      <c r="K1175" s="84"/>
      <c r="L1175" s="177">
        <f>CHOOSE(Basis!$E$1,((AJ1175*(J1175*3600/Basis!$E$5)^AK1175*(((MID(C1175,9,3)*10)-244)/1000)*AL1175+AM1175*(J1175*3600/Basis!$E$5)^2)*0.0098)/Basis!$E$10,((AJ1175*(J1175/Basis!$E$5)^AK1175*(((MID(C1175,9,3)*10)-244)/1000)*AL1175+AM1175*(J1175/Basis!$E$5)^2)*0.0098)/Basis!$E$10)</f>
        <v>1.2136258309627722E-3</v>
      </c>
      <c r="M1175" s="85"/>
      <c r="N1175" s="110">
        <v>1.3620000000000001</v>
      </c>
      <c r="O1175" s="74"/>
      <c r="P1175" s="73">
        <v>381</v>
      </c>
      <c r="Q1175" s="74"/>
      <c r="R1175" s="75"/>
      <c r="S1175" s="75"/>
      <c r="T1175" s="75"/>
      <c r="U1175" s="75"/>
      <c r="V1175" s="75"/>
      <c r="W1175" s="74"/>
      <c r="X1175" s="76"/>
      <c r="Y1175" s="76"/>
      <c r="Z1175" s="76"/>
      <c r="AA1175" s="76"/>
      <c r="AB1175" s="76"/>
      <c r="AC1175" s="74"/>
      <c r="AD1175" s="77"/>
      <c r="AE1175" s="77"/>
      <c r="AF1175" s="77"/>
      <c r="AG1175" s="77"/>
      <c r="AH1175" s="77"/>
      <c r="AI1175" s="68"/>
      <c r="AJ1175" s="213">
        <v>6.0625777523108995E-4</v>
      </c>
      <c r="AK1175" s="213">
        <v>1.8894792857555001</v>
      </c>
      <c r="AL1175" s="213">
        <v>1</v>
      </c>
      <c r="AM1175" s="213">
        <v>3.0758017492711002E-4</v>
      </c>
      <c r="AN1175" s="74"/>
      <c r="AO1175" s="73"/>
      <c r="AP1175" s="73"/>
      <c r="AQ1175" s="73"/>
      <c r="AR1175" s="73"/>
      <c r="AS1175" s="73"/>
      <c r="AT1175" s="74"/>
      <c r="AU1175" s="47"/>
      <c r="AV1175" s="48"/>
    </row>
    <row r="1176" spans="1:48" ht="12.75" customHeight="1" x14ac:dyDescent="0.25">
      <c r="A1176" s="72" t="s">
        <v>119</v>
      </c>
      <c r="B1176" s="43" t="s">
        <v>1154</v>
      </c>
      <c r="C1176" s="44" t="s">
        <v>1331</v>
      </c>
      <c r="D1176" s="45">
        <f>MROUND(MID($C1176,6,3)/Basis!$E$3,0.5)</f>
        <v>4.5</v>
      </c>
      <c r="E1176" s="45">
        <f>MROUND(MID($C1176,9,3)/Basis!$E$3,0.5)</f>
        <v>82.5</v>
      </c>
      <c r="F1176" s="199" t="s">
        <v>2950</v>
      </c>
      <c r="G1176" s="45">
        <f>ROUND(MID($C1176,12,2)/Basis!$E$3,1)</f>
        <v>7.1</v>
      </c>
      <c r="H1176" s="120">
        <f>ROUND($P1176*Basis!$E$2*((TaH-TrH)/LN(1/µ)/Basis!$E$7)^$N1176*$AA$4*Glycol,0)</f>
        <v>984</v>
      </c>
      <c r="I1176" s="83">
        <f>ROUND(H1176/(MID($C1176,9,3)/Basis!$E$3/Basis!$E$9)*Basis!$E$11,0)</f>
        <v>143</v>
      </c>
      <c r="J1176" s="123">
        <f>IF(Basis!$E$1=1,ROUND(H1176/((TaH-TrH)*1.163)/3600,3),ROUND(H1176/(500*(TaH-TrH)),2))</f>
        <v>0.1</v>
      </c>
      <c r="K1176" s="84"/>
      <c r="L1176" s="177">
        <f>CHOOSE(Basis!$E$1,((AJ1176*(J1176*3600/Basis!$E$5)^AK1176*(((MID(C1176,9,3)*10)-244)/1000)*AL1176+AM1176*(J1176*3600/Basis!$E$5)^2)*0.0098)/Basis!$E$10,((AJ1176*(J1176/Basis!$E$5)^AK1176*(((MID(C1176,9,3)*10)-244)/1000)*AL1176+AM1176*(J1176/Basis!$E$5)^2)*0.0098)/Basis!$E$10)</f>
        <v>3.7940057149518742E-3</v>
      </c>
      <c r="M1176" s="85"/>
      <c r="N1176" s="109">
        <v>1.3620000000000001</v>
      </c>
      <c r="O1176" s="68"/>
      <c r="P1176" s="67">
        <v>452</v>
      </c>
      <c r="Q1176" s="68"/>
      <c r="R1176" s="69"/>
      <c r="S1176" s="69"/>
      <c r="T1176" s="69"/>
      <c r="U1176" s="69"/>
      <c r="V1176" s="69"/>
      <c r="W1176" s="68"/>
      <c r="X1176" s="70"/>
      <c r="Y1176" s="70"/>
      <c r="Z1176" s="70"/>
      <c r="AA1176" s="70"/>
      <c r="AB1176" s="70"/>
      <c r="AC1176" s="68"/>
      <c r="AD1176" s="71"/>
      <c r="AE1176" s="71"/>
      <c r="AF1176" s="71"/>
      <c r="AG1176" s="71"/>
      <c r="AH1176" s="71"/>
      <c r="AI1176" s="68"/>
      <c r="AJ1176" s="214">
        <v>9.3669999999999995E-4</v>
      </c>
      <c r="AK1176" s="214">
        <v>1.789841</v>
      </c>
      <c r="AL1176" s="214">
        <v>2</v>
      </c>
      <c r="AM1176" s="214">
        <v>4.4559999999999999E-4</v>
      </c>
      <c r="AN1176" s="68"/>
      <c r="AO1176" s="67"/>
      <c r="AP1176" s="67"/>
      <c r="AQ1176" s="67"/>
      <c r="AR1176" s="67"/>
      <c r="AS1176" s="67"/>
      <c r="AT1176" s="68"/>
      <c r="AU1176" s="49"/>
      <c r="AV1176" s="50"/>
    </row>
    <row r="1177" spans="1:48" ht="12.75" customHeight="1" x14ac:dyDescent="0.25">
      <c r="A1177" s="72" t="s">
        <v>119</v>
      </c>
      <c r="B1177" s="43" t="s">
        <v>1154</v>
      </c>
      <c r="C1177" s="44" t="s">
        <v>1332</v>
      </c>
      <c r="D1177" s="45">
        <f>MROUND(MID($C1177,6,3)/Basis!$E$3,0.5)</f>
        <v>4.5</v>
      </c>
      <c r="E1177" s="45">
        <f>MROUND(MID($C1177,9,3)/Basis!$E$3,0.5)</f>
        <v>82.5</v>
      </c>
      <c r="F1177" s="199" t="s">
        <v>2950</v>
      </c>
      <c r="G1177" s="45">
        <f>ROUND(MID($C1177,12,2)/Basis!$E$3,1)</f>
        <v>10.199999999999999</v>
      </c>
      <c r="H1177" s="120">
        <f>ROUND($P1177*Basis!$E$2*((TaH-TrH)/LN(1/µ)/Basis!$E$7)^$N1177*$AA$4*Glycol,0)</f>
        <v>1328</v>
      </c>
      <c r="I1177" s="83">
        <f>ROUND(H1177/(MID($C1177,9,3)/Basis!$E$3/Basis!$E$9)*Basis!$E$11,0)</f>
        <v>193</v>
      </c>
      <c r="J1177" s="123">
        <f>IF(Basis!$E$1=1,ROUND(H1177/((TaH-TrH)*1.163)/3600,3),ROUND(H1177/(500*(TaH-TrH)),2))</f>
        <v>0.13</v>
      </c>
      <c r="K1177" s="84"/>
      <c r="L1177" s="177">
        <f>CHOOSE(Basis!$E$1,((AJ1177*(J1177*3600/Basis!$E$5)^AK1177*(((MID(C1177,9,3)*10)-244)/1000)*AL1177+AM1177*(J1177*3600/Basis!$E$5)^2)*0.0098)/Basis!$E$10,((AJ1177*(J1177/Basis!$E$5)^AK1177*(((MID(C1177,9,3)*10)-244)/1000)*AL1177+AM1177*(J1177/Basis!$E$5)^2)*0.0098)/Basis!$E$10)</f>
        <v>6.1360410505070491E-3</v>
      </c>
      <c r="M1177" s="85"/>
      <c r="N1177" s="110">
        <v>1.3620000000000001</v>
      </c>
      <c r="O1177" s="74"/>
      <c r="P1177" s="73">
        <v>610</v>
      </c>
      <c r="Q1177" s="74"/>
      <c r="R1177" s="75"/>
      <c r="S1177" s="75"/>
      <c r="T1177" s="75"/>
      <c r="U1177" s="75"/>
      <c r="V1177" s="75"/>
      <c r="W1177" s="74"/>
      <c r="X1177" s="76"/>
      <c r="Y1177" s="76"/>
      <c r="Z1177" s="76"/>
      <c r="AA1177" s="76"/>
      <c r="AB1177" s="76"/>
      <c r="AC1177" s="74"/>
      <c r="AD1177" s="77"/>
      <c r="AE1177" s="77"/>
      <c r="AF1177" s="77"/>
      <c r="AG1177" s="77"/>
      <c r="AH1177" s="77"/>
      <c r="AI1177" s="68"/>
      <c r="AJ1177" s="213">
        <v>9.3669999999999995E-4</v>
      </c>
      <c r="AK1177" s="213">
        <v>1.789841</v>
      </c>
      <c r="AL1177" s="213">
        <v>2</v>
      </c>
      <c r="AM1177" s="213">
        <v>4.4559999999999999E-4</v>
      </c>
      <c r="AN1177" s="74"/>
      <c r="AO1177" s="73"/>
      <c r="AP1177" s="73"/>
      <c r="AQ1177" s="73"/>
      <c r="AR1177" s="73"/>
      <c r="AS1177" s="73"/>
      <c r="AT1177" s="74"/>
      <c r="AU1177" s="47"/>
      <c r="AV1177" s="48"/>
    </row>
    <row r="1178" spans="1:48" ht="12.75" customHeight="1" x14ac:dyDescent="0.25">
      <c r="A1178" s="72" t="s">
        <v>119</v>
      </c>
      <c r="B1178" s="43" t="s">
        <v>1154</v>
      </c>
      <c r="C1178" s="44" t="s">
        <v>1333</v>
      </c>
      <c r="D1178" s="45">
        <f>MROUND(MID($C1178,6,3)/Basis!$E$3,0.5)</f>
        <v>4.5</v>
      </c>
      <c r="E1178" s="45">
        <f>MROUND(MID($C1178,9,3)/Basis!$E$3,0.5)</f>
        <v>82.5</v>
      </c>
      <c r="F1178" s="199" t="s">
        <v>2950</v>
      </c>
      <c r="G1178" s="45">
        <f>ROUND(MID($C1178,12,2)/Basis!$E$3,1)</f>
        <v>13.4</v>
      </c>
      <c r="H1178" s="120">
        <f>ROUND($P1178*Basis!$E$2*((TaH-TrH)/LN(1/µ)/Basis!$E$7)^$N1178*$AA$4*Glycol,0)</f>
        <v>1724</v>
      </c>
      <c r="I1178" s="83">
        <f>ROUND(H1178/(MID($C1178,9,3)/Basis!$E$3/Basis!$E$9)*Basis!$E$11,0)</f>
        <v>250</v>
      </c>
      <c r="J1178" s="123">
        <f>IF(Basis!$E$1=1,ROUND(H1178/((TaH-TrH)*1.163)/3600,3),ROUND(H1178/(500*(TaH-TrH)),2))</f>
        <v>0.17</v>
      </c>
      <c r="K1178" s="84"/>
      <c r="L1178" s="177">
        <f>CHOOSE(Basis!$E$1,((AJ1178*(J1178*3600/Basis!$E$5)^AK1178*(((MID(C1178,9,3)*10)-244)/1000)*AL1178+AM1178*(J1178*3600/Basis!$E$5)^2)*0.0098)/Basis!$E$10,((AJ1178*(J1178/Basis!$E$5)^AK1178*(((MID(C1178,9,3)*10)-244)/1000)*AL1178+AM1178*(J1178/Basis!$E$5)^2)*0.0098)/Basis!$E$10)</f>
        <v>1.9256336302272421E-2</v>
      </c>
      <c r="M1178" s="85"/>
      <c r="N1178" s="109">
        <v>1.3620000000000001</v>
      </c>
      <c r="O1178" s="68"/>
      <c r="P1178" s="67">
        <v>792</v>
      </c>
      <c r="Q1178" s="68"/>
      <c r="R1178" s="69"/>
      <c r="S1178" s="69"/>
      <c r="T1178" s="69"/>
      <c r="U1178" s="69"/>
      <c r="V1178" s="69"/>
      <c r="W1178" s="68"/>
      <c r="X1178" s="70"/>
      <c r="Y1178" s="70"/>
      <c r="Z1178" s="70"/>
      <c r="AA1178" s="70"/>
      <c r="AB1178" s="70"/>
      <c r="AC1178" s="68"/>
      <c r="AD1178" s="71"/>
      <c r="AE1178" s="71"/>
      <c r="AF1178" s="71"/>
      <c r="AG1178" s="71"/>
      <c r="AH1178" s="71"/>
      <c r="AI1178" s="68"/>
      <c r="AJ1178" s="214">
        <v>1.3162765859195E-2</v>
      </c>
      <c r="AK1178" s="214">
        <v>1.4286501188989</v>
      </c>
      <c r="AL1178" s="214">
        <v>1</v>
      </c>
      <c r="AM1178" s="214">
        <v>9.2091836734694004E-4</v>
      </c>
      <c r="AN1178" s="68"/>
      <c r="AO1178" s="67"/>
      <c r="AP1178" s="67"/>
      <c r="AQ1178" s="67"/>
      <c r="AR1178" s="67"/>
      <c r="AS1178" s="67"/>
      <c r="AT1178" s="68"/>
      <c r="AU1178" s="49"/>
      <c r="AV1178" s="50"/>
    </row>
    <row r="1179" spans="1:48" ht="12.75" customHeight="1" x14ac:dyDescent="0.25">
      <c r="A1179" s="72" t="s">
        <v>119</v>
      </c>
      <c r="B1179" s="43" t="s">
        <v>1154</v>
      </c>
      <c r="C1179" s="44" t="s">
        <v>1334</v>
      </c>
      <c r="D1179" s="45">
        <f>MROUND(MID($C1179,6,3)/Basis!$E$3,0.5)</f>
        <v>4.5</v>
      </c>
      <c r="E1179" s="45">
        <f>MROUND(MID($C1179,9,3)/Basis!$E$3,0.5)</f>
        <v>82.5</v>
      </c>
      <c r="F1179" s="199" t="s">
        <v>2950</v>
      </c>
      <c r="G1179" s="45">
        <f>ROUND(MID($C1179,12,2)/Basis!$E$3,1)</f>
        <v>16.5</v>
      </c>
      <c r="H1179" s="120">
        <f>ROUND($P1179*Basis!$E$2*((TaH-TrH)/LN(1/µ)/Basis!$E$7)^$N1179*$AA$4*Glycol,0)</f>
        <v>2425</v>
      </c>
      <c r="I1179" s="83">
        <f>ROUND(H1179/(MID($C1179,9,3)/Basis!$E$3/Basis!$E$9)*Basis!$E$11,0)</f>
        <v>352</v>
      </c>
      <c r="J1179" s="123">
        <f>IF(Basis!$E$1=1,ROUND(H1179/((TaH-TrH)*1.163)/3600,3),ROUND(H1179/(500*(TaH-TrH)),2))</f>
        <v>0.24</v>
      </c>
      <c r="K1179" s="84"/>
      <c r="L1179" s="177">
        <f>CHOOSE(Basis!$E$1,((AJ1179*(J1179*3600/Basis!$E$5)^AK1179*(((MID(C1179,9,3)*10)-244)/1000)*AL1179+AM1179*(J1179*3600/Basis!$E$5)^2)*0.0098)/Basis!$E$10,((AJ1179*(J1179/Basis!$E$5)^AK1179*(((MID(C1179,9,3)*10)-244)/1000)*AL1179+AM1179*(J1179/Basis!$E$5)^2)*0.0098)/Basis!$E$10)</f>
        <v>8.5221949459902916E-3</v>
      </c>
      <c r="M1179" s="85"/>
      <c r="N1179" s="110">
        <v>1.3620000000000001</v>
      </c>
      <c r="O1179" s="74"/>
      <c r="P1179" s="73">
        <v>1114</v>
      </c>
      <c r="Q1179" s="74"/>
      <c r="R1179" s="75"/>
      <c r="S1179" s="75"/>
      <c r="T1179" s="75"/>
      <c r="U1179" s="75"/>
      <c r="V1179" s="75"/>
      <c r="W1179" s="74"/>
      <c r="X1179" s="76"/>
      <c r="Y1179" s="76"/>
      <c r="Z1179" s="76"/>
      <c r="AA1179" s="76"/>
      <c r="AB1179" s="76"/>
      <c r="AC1179" s="74"/>
      <c r="AD1179" s="77"/>
      <c r="AE1179" s="77"/>
      <c r="AF1179" s="77"/>
      <c r="AG1179" s="77"/>
      <c r="AH1179" s="77"/>
      <c r="AI1179" s="68"/>
      <c r="AJ1179" s="213">
        <v>3.9689999999999994E-4</v>
      </c>
      <c r="AK1179" s="213">
        <v>1.7345999999999999</v>
      </c>
      <c r="AL1179" s="213">
        <v>2</v>
      </c>
      <c r="AM1179" s="213">
        <v>3.6734700000000002E-4</v>
      </c>
      <c r="AN1179" s="74"/>
      <c r="AO1179" s="73"/>
      <c r="AP1179" s="73"/>
      <c r="AQ1179" s="73"/>
      <c r="AR1179" s="73"/>
      <c r="AS1179" s="73"/>
      <c r="AT1179" s="74"/>
      <c r="AU1179" s="47"/>
      <c r="AV1179" s="48"/>
    </row>
    <row r="1180" spans="1:48" ht="12.75" customHeight="1" x14ac:dyDescent="0.25">
      <c r="A1180" s="72" t="s">
        <v>119</v>
      </c>
      <c r="B1180" s="43" t="s">
        <v>1154</v>
      </c>
      <c r="C1180" s="44" t="s">
        <v>1335</v>
      </c>
      <c r="D1180" s="45">
        <f>MROUND(MID($C1180,6,3)/Basis!$E$3,0.5)</f>
        <v>4.5</v>
      </c>
      <c r="E1180" s="45">
        <f>MROUND(MID($C1180,9,3)/Basis!$E$3,0.5)</f>
        <v>90.5</v>
      </c>
      <c r="F1180" s="199" t="s">
        <v>2950</v>
      </c>
      <c r="G1180" s="45">
        <f>ROUND(MID($C1180,12,2)/Basis!$E$3,1)</f>
        <v>5.5</v>
      </c>
      <c r="H1180" s="120">
        <f>ROUND($P1180*Basis!$E$2*((TaH-TrH)/LN(1/µ)/Basis!$E$7)^$N1180*$AA$4*Glycol,0)</f>
        <v>923</v>
      </c>
      <c r="I1180" s="83">
        <f>ROUND(H1180/(MID($C1180,9,3)/Basis!$E$3/Basis!$E$9)*Basis!$E$11,0)</f>
        <v>122</v>
      </c>
      <c r="J1180" s="123">
        <f>IF(Basis!$E$1=1,ROUND(H1180/((TaH-TrH)*1.163)/3600,3),ROUND(H1180/(500*(TaH-TrH)),2))</f>
        <v>0.09</v>
      </c>
      <c r="K1180" s="84"/>
      <c r="L1180" s="177">
        <f>CHOOSE(Basis!$E$1,((AJ1180*(J1180*3600/Basis!$E$5)^AK1180*(((MID(C1180,9,3)*10)-244)/1000)*AL1180+AM1180*(J1180*3600/Basis!$E$5)^2)*0.0098)/Basis!$E$10,((AJ1180*(J1180/Basis!$E$5)^AK1180*(((MID(C1180,9,3)*10)-244)/1000)*AL1180+AM1180*(J1180/Basis!$E$5)^2)*0.0098)/Basis!$E$10)</f>
        <v>1.6402437312511696E-3</v>
      </c>
      <c r="M1180" s="85"/>
      <c r="N1180" s="109">
        <v>1.3620000000000001</v>
      </c>
      <c r="O1180" s="68"/>
      <c r="P1180" s="67">
        <v>424</v>
      </c>
      <c r="Q1180" s="68"/>
      <c r="R1180" s="69"/>
      <c r="S1180" s="69"/>
      <c r="T1180" s="69"/>
      <c r="U1180" s="69"/>
      <c r="V1180" s="69"/>
      <c r="W1180" s="68"/>
      <c r="X1180" s="70"/>
      <c r="Y1180" s="70"/>
      <c r="Z1180" s="70"/>
      <c r="AA1180" s="70"/>
      <c r="AB1180" s="70"/>
      <c r="AC1180" s="68"/>
      <c r="AD1180" s="71"/>
      <c r="AE1180" s="71"/>
      <c r="AF1180" s="71"/>
      <c r="AG1180" s="71"/>
      <c r="AH1180" s="71"/>
      <c r="AI1180" s="68"/>
      <c r="AJ1180" s="214">
        <v>6.0625777523108995E-4</v>
      </c>
      <c r="AK1180" s="214">
        <v>1.8894792857555001</v>
      </c>
      <c r="AL1180" s="214">
        <v>1</v>
      </c>
      <c r="AM1180" s="214">
        <v>3.0758017492711002E-4</v>
      </c>
      <c r="AN1180" s="68"/>
      <c r="AO1180" s="67"/>
      <c r="AP1180" s="67"/>
      <c r="AQ1180" s="67"/>
      <c r="AR1180" s="67"/>
      <c r="AS1180" s="67"/>
      <c r="AT1180" s="68"/>
      <c r="AU1180" s="49"/>
      <c r="AV1180" s="50"/>
    </row>
    <row r="1181" spans="1:48" ht="12.75" customHeight="1" x14ac:dyDescent="0.25">
      <c r="A1181" s="72" t="s">
        <v>119</v>
      </c>
      <c r="B1181" s="43" t="s">
        <v>1154</v>
      </c>
      <c r="C1181" s="44" t="s">
        <v>1336</v>
      </c>
      <c r="D1181" s="45">
        <f>MROUND(MID($C1181,6,3)/Basis!$E$3,0.5)</f>
        <v>4.5</v>
      </c>
      <c r="E1181" s="45">
        <f>MROUND(MID($C1181,9,3)/Basis!$E$3,0.5)</f>
        <v>90.5</v>
      </c>
      <c r="F1181" s="199" t="s">
        <v>2950</v>
      </c>
      <c r="G1181" s="45">
        <f>ROUND(MID($C1181,12,2)/Basis!$E$3,1)</f>
        <v>7.1</v>
      </c>
      <c r="H1181" s="120">
        <f>ROUND($P1181*Basis!$E$2*((TaH-TrH)/LN(1/µ)/Basis!$E$7)^$N1181*$AA$4*Glycol,0)</f>
        <v>1093</v>
      </c>
      <c r="I1181" s="83">
        <f>ROUND(H1181/(MID($C1181,9,3)/Basis!$E$3/Basis!$E$9)*Basis!$E$11,0)</f>
        <v>145</v>
      </c>
      <c r="J1181" s="123">
        <f>IF(Basis!$E$1=1,ROUND(H1181/((TaH-TrH)*1.163)/3600,3),ROUND(H1181/(500*(TaH-TrH)),2))</f>
        <v>0.11</v>
      </c>
      <c r="K1181" s="84"/>
      <c r="L1181" s="177">
        <f>CHOOSE(Basis!$E$1,((AJ1181*(J1181*3600/Basis!$E$5)^AK1181*(((MID(C1181,9,3)*10)-244)/1000)*AL1181+AM1181*(J1181*3600/Basis!$E$5)^2)*0.0098)/Basis!$E$10,((AJ1181*(J1181/Basis!$E$5)^AK1181*(((MID(C1181,9,3)*10)-244)/1000)*AL1181+AM1181*(J1181/Basis!$E$5)^2)*0.0098)/Basis!$E$10)</f>
        <v>4.9065695832513105E-3</v>
      </c>
      <c r="M1181" s="85"/>
      <c r="N1181" s="110">
        <v>1.3620000000000001</v>
      </c>
      <c r="O1181" s="74"/>
      <c r="P1181" s="73">
        <v>502</v>
      </c>
      <c r="Q1181" s="74"/>
      <c r="R1181" s="75"/>
      <c r="S1181" s="75"/>
      <c r="T1181" s="75"/>
      <c r="U1181" s="75"/>
      <c r="V1181" s="75"/>
      <c r="W1181" s="74"/>
      <c r="X1181" s="76"/>
      <c r="Y1181" s="76"/>
      <c r="Z1181" s="76"/>
      <c r="AA1181" s="76"/>
      <c r="AB1181" s="76"/>
      <c r="AC1181" s="74"/>
      <c r="AD1181" s="77"/>
      <c r="AE1181" s="77"/>
      <c r="AF1181" s="77"/>
      <c r="AG1181" s="77"/>
      <c r="AH1181" s="77"/>
      <c r="AI1181" s="68"/>
      <c r="AJ1181" s="213">
        <v>9.3669999999999995E-4</v>
      </c>
      <c r="AK1181" s="213">
        <v>1.789841</v>
      </c>
      <c r="AL1181" s="213">
        <v>2</v>
      </c>
      <c r="AM1181" s="213">
        <v>4.4559999999999999E-4</v>
      </c>
      <c r="AN1181" s="74"/>
      <c r="AO1181" s="73"/>
      <c r="AP1181" s="73"/>
      <c r="AQ1181" s="73"/>
      <c r="AR1181" s="73"/>
      <c r="AS1181" s="73"/>
      <c r="AT1181" s="74"/>
      <c r="AU1181" s="47"/>
      <c r="AV1181" s="48"/>
    </row>
    <row r="1182" spans="1:48" ht="12.75" customHeight="1" x14ac:dyDescent="0.25">
      <c r="A1182" s="72" t="s">
        <v>119</v>
      </c>
      <c r="B1182" s="43" t="s">
        <v>1154</v>
      </c>
      <c r="C1182" s="44" t="s">
        <v>1337</v>
      </c>
      <c r="D1182" s="45">
        <f>MROUND(MID($C1182,6,3)/Basis!$E$3,0.5)</f>
        <v>4.5</v>
      </c>
      <c r="E1182" s="45">
        <f>MROUND(MID($C1182,9,3)/Basis!$E$3,0.5)</f>
        <v>90.5</v>
      </c>
      <c r="F1182" s="199" t="s">
        <v>2950</v>
      </c>
      <c r="G1182" s="45">
        <f>ROUND(MID($C1182,12,2)/Basis!$E$3,1)</f>
        <v>10.199999999999999</v>
      </c>
      <c r="H1182" s="120">
        <f>ROUND($P1182*Basis!$E$2*((TaH-TrH)/LN(1/µ)/Basis!$E$7)^$N1182*$AA$4*Glycol,0)</f>
        <v>1476</v>
      </c>
      <c r="I1182" s="83">
        <f>ROUND(H1182/(MID($C1182,9,3)/Basis!$E$3/Basis!$E$9)*Basis!$E$11,0)</f>
        <v>196</v>
      </c>
      <c r="J1182" s="123">
        <f>IF(Basis!$E$1=1,ROUND(H1182/((TaH-TrH)*1.163)/3600,3),ROUND(H1182/(500*(TaH-TrH)),2))</f>
        <v>0.15</v>
      </c>
      <c r="K1182" s="84"/>
      <c r="L1182" s="177">
        <f>CHOOSE(Basis!$E$1,((AJ1182*(J1182*3600/Basis!$E$5)^AK1182*(((MID(C1182,9,3)*10)-244)/1000)*AL1182+AM1182*(J1182*3600/Basis!$E$5)^2)*0.0098)/Basis!$E$10,((AJ1182*(J1182/Basis!$E$5)^AK1182*(((MID(C1182,9,3)*10)-244)/1000)*AL1182+AM1182*(J1182/Basis!$E$5)^2)*0.0098)/Basis!$E$10)</f>
        <v>8.6547612585876066E-3</v>
      </c>
      <c r="M1182" s="85"/>
      <c r="N1182" s="109">
        <v>1.3620000000000001</v>
      </c>
      <c r="O1182" s="68"/>
      <c r="P1182" s="67">
        <v>678</v>
      </c>
      <c r="Q1182" s="68"/>
      <c r="R1182" s="69"/>
      <c r="S1182" s="69"/>
      <c r="T1182" s="69"/>
      <c r="U1182" s="69"/>
      <c r="V1182" s="69"/>
      <c r="W1182" s="68"/>
      <c r="X1182" s="70"/>
      <c r="Y1182" s="70"/>
      <c r="Z1182" s="70"/>
      <c r="AA1182" s="70"/>
      <c r="AB1182" s="70"/>
      <c r="AC1182" s="68"/>
      <c r="AD1182" s="71"/>
      <c r="AE1182" s="71"/>
      <c r="AF1182" s="71"/>
      <c r="AG1182" s="71"/>
      <c r="AH1182" s="71"/>
      <c r="AI1182" s="68"/>
      <c r="AJ1182" s="214">
        <v>9.3669999999999995E-4</v>
      </c>
      <c r="AK1182" s="214">
        <v>1.789841</v>
      </c>
      <c r="AL1182" s="214">
        <v>2</v>
      </c>
      <c r="AM1182" s="214">
        <v>4.4559999999999999E-4</v>
      </c>
      <c r="AN1182" s="68"/>
      <c r="AO1182" s="67"/>
      <c r="AP1182" s="67"/>
      <c r="AQ1182" s="67"/>
      <c r="AR1182" s="67"/>
      <c r="AS1182" s="67"/>
      <c r="AT1182" s="68"/>
      <c r="AU1182" s="49"/>
      <c r="AV1182" s="50"/>
    </row>
    <row r="1183" spans="1:48" ht="12.75" customHeight="1" x14ac:dyDescent="0.25">
      <c r="A1183" s="72" t="s">
        <v>119</v>
      </c>
      <c r="B1183" s="43" t="s">
        <v>1154</v>
      </c>
      <c r="C1183" s="44" t="s">
        <v>1338</v>
      </c>
      <c r="D1183" s="45">
        <f>MROUND(MID($C1183,6,3)/Basis!$E$3,0.5)</f>
        <v>4.5</v>
      </c>
      <c r="E1183" s="45">
        <f>MROUND(MID($C1183,9,3)/Basis!$E$3,0.5)</f>
        <v>90.5</v>
      </c>
      <c r="F1183" s="199" t="s">
        <v>2950</v>
      </c>
      <c r="G1183" s="45">
        <f>ROUND(MID($C1183,12,2)/Basis!$E$3,1)</f>
        <v>13.4</v>
      </c>
      <c r="H1183" s="120">
        <f>ROUND($P1183*Basis!$E$2*((TaH-TrH)/LN(1/µ)/Basis!$E$7)^$N1183*$AA$4*Glycol,0)</f>
        <v>1918</v>
      </c>
      <c r="I1183" s="83">
        <f>ROUND(H1183/(MID($C1183,9,3)/Basis!$E$3/Basis!$E$9)*Basis!$E$11,0)</f>
        <v>254</v>
      </c>
      <c r="J1183" s="123">
        <f>IF(Basis!$E$1=1,ROUND(H1183/((TaH-TrH)*1.163)/3600,3),ROUND(H1183/(500*(TaH-TrH)),2))</f>
        <v>0.19</v>
      </c>
      <c r="K1183" s="84"/>
      <c r="L1183" s="177">
        <f>CHOOSE(Basis!$E$1,((AJ1183*(J1183*3600/Basis!$E$5)^AK1183*(((MID(C1183,9,3)*10)-244)/1000)*AL1183+AM1183*(J1183*3600/Basis!$E$5)^2)*0.0098)/Basis!$E$10,((AJ1183*(J1183/Basis!$E$5)^AK1183*(((MID(C1183,9,3)*10)-244)/1000)*AL1183+AM1183*(J1183/Basis!$E$5)^2)*0.0098)/Basis!$E$10)</f>
        <v>2.4783352838335927E-2</v>
      </c>
      <c r="M1183" s="85"/>
      <c r="N1183" s="110">
        <v>1.3620000000000001</v>
      </c>
      <c r="O1183" s="74"/>
      <c r="P1183" s="73">
        <v>881</v>
      </c>
      <c r="Q1183" s="74"/>
      <c r="R1183" s="75"/>
      <c r="S1183" s="75"/>
      <c r="T1183" s="75"/>
      <c r="U1183" s="75"/>
      <c r="V1183" s="75"/>
      <c r="W1183" s="74"/>
      <c r="X1183" s="76"/>
      <c r="Y1183" s="76"/>
      <c r="Z1183" s="76"/>
      <c r="AA1183" s="76"/>
      <c r="AB1183" s="76"/>
      <c r="AC1183" s="74"/>
      <c r="AD1183" s="77"/>
      <c r="AE1183" s="77"/>
      <c r="AF1183" s="77"/>
      <c r="AG1183" s="77"/>
      <c r="AH1183" s="77"/>
      <c r="AI1183" s="68"/>
      <c r="AJ1183" s="213">
        <v>1.3162765859195E-2</v>
      </c>
      <c r="AK1183" s="213">
        <v>1.4286501188989</v>
      </c>
      <c r="AL1183" s="213">
        <v>1</v>
      </c>
      <c r="AM1183" s="213">
        <v>9.2091836734694004E-4</v>
      </c>
      <c r="AN1183" s="74"/>
      <c r="AO1183" s="73"/>
      <c r="AP1183" s="73"/>
      <c r="AQ1183" s="73"/>
      <c r="AR1183" s="73"/>
      <c r="AS1183" s="73"/>
      <c r="AT1183" s="74"/>
      <c r="AU1183" s="47"/>
      <c r="AV1183" s="48"/>
    </row>
    <row r="1184" spans="1:48" ht="12.75" customHeight="1" x14ac:dyDescent="0.25">
      <c r="A1184" s="72" t="s">
        <v>119</v>
      </c>
      <c r="B1184" s="43" t="s">
        <v>1154</v>
      </c>
      <c r="C1184" s="44" t="s">
        <v>1339</v>
      </c>
      <c r="D1184" s="45">
        <f>MROUND(MID($C1184,6,3)/Basis!$E$3,0.5)</f>
        <v>4.5</v>
      </c>
      <c r="E1184" s="45">
        <f>MROUND(MID($C1184,9,3)/Basis!$E$3,0.5)</f>
        <v>90.5</v>
      </c>
      <c r="F1184" s="199" t="s">
        <v>2950</v>
      </c>
      <c r="G1184" s="45">
        <f>ROUND(MID($C1184,12,2)/Basis!$E$3,1)</f>
        <v>16.5</v>
      </c>
      <c r="H1184" s="120">
        <f>ROUND($P1184*Basis!$E$2*((TaH-TrH)/LN(1/µ)/Basis!$E$7)^$N1184*$AA$4*Glycol,0)</f>
        <v>2695</v>
      </c>
      <c r="I1184" s="83">
        <f>ROUND(H1184/(MID($C1184,9,3)/Basis!$E$3/Basis!$E$9)*Basis!$E$11,0)</f>
        <v>357</v>
      </c>
      <c r="J1184" s="123">
        <f>IF(Basis!$E$1=1,ROUND(H1184/((TaH-TrH)*1.163)/3600,3),ROUND(H1184/(500*(TaH-TrH)),2))</f>
        <v>0.27</v>
      </c>
      <c r="K1184" s="84"/>
      <c r="L1184" s="177">
        <f>CHOOSE(Basis!$E$1,((AJ1184*(J1184*3600/Basis!$E$5)^AK1184*(((MID(C1184,9,3)*10)-244)/1000)*AL1184+AM1184*(J1184*3600/Basis!$E$5)^2)*0.0098)/Basis!$E$10,((AJ1184*(J1184/Basis!$E$5)^AK1184*(((MID(C1184,9,3)*10)-244)/1000)*AL1184+AM1184*(J1184/Basis!$E$5)^2)*0.0098)/Basis!$E$10)</f>
        <v>1.1247715104250568E-2</v>
      </c>
      <c r="M1184" s="85"/>
      <c r="N1184" s="109">
        <v>1.3620000000000001</v>
      </c>
      <c r="O1184" s="68"/>
      <c r="P1184" s="67">
        <v>1238</v>
      </c>
      <c r="Q1184" s="68"/>
      <c r="R1184" s="69"/>
      <c r="S1184" s="69"/>
      <c r="T1184" s="69"/>
      <c r="U1184" s="69"/>
      <c r="V1184" s="69"/>
      <c r="W1184" s="68"/>
      <c r="X1184" s="70"/>
      <c r="Y1184" s="70"/>
      <c r="Z1184" s="70"/>
      <c r="AA1184" s="70"/>
      <c r="AB1184" s="70"/>
      <c r="AC1184" s="68"/>
      <c r="AD1184" s="71"/>
      <c r="AE1184" s="71"/>
      <c r="AF1184" s="71"/>
      <c r="AG1184" s="71"/>
      <c r="AH1184" s="71"/>
      <c r="AI1184" s="68"/>
      <c r="AJ1184" s="214">
        <v>3.9689999999999994E-4</v>
      </c>
      <c r="AK1184" s="214">
        <v>1.7345999999999999</v>
      </c>
      <c r="AL1184" s="214">
        <v>2</v>
      </c>
      <c r="AM1184" s="214">
        <v>3.6734700000000002E-4</v>
      </c>
      <c r="AN1184" s="68"/>
      <c r="AO1184" s="67"/>
      <c r="AP1184" s="67"/>
      <c r="AQ1184" s="67"/>
      <c r="AR1184" s="67"/>
      <c r="AS1184" s="67"/>
      <c r="AT1184" s="68"/>
      <c r="AU1184" s="49"/>
      <c r="AV1184" s="50"/>
    </row>
    <row r="1185" spans="1:48" ht="12.75" customHeight="1" x14ac:dyDescent="0.25">
      <c r="A1185" s="72" t="s">
        <v>119</v>
      </c>
      <c r="B1185" s="43" t="s">
        <v>1154</v>
      </c>
      <c r="C1185" s="44" t="s">
        <v>1340</v>
      </c>
      <c r="D1185" s="45">
        <f>MROUND(MID($C1185,6,3)/Basis!$E$3,0.5)</f>
        <v>4.5</v>
      </c>
      <c r="E1185" s="45">
        <f>MROUND(MID($C1185,9,3)/Basis!$E$3,0.5)</f>
        <v>98.5</v>
      </c>
      <c r="F1185" s="199" t="s">
        <v>2950</v>
      </c>
      <c r="G1185" s="45">
        <f>ROUND(MID($C1185,12,2)/Basis!$E$3,1)</f>
        <v>5.5</v>
      </c>
      <c r="H1185" s="120">
        <f>ROUND($P1185*Basis!$E$2*((TaH-TrH)/LN(1/µ)/Basis!$E$7)^$N1185*$AA$4*Glycol,0)</f>
        <v>1014</v>
      </c>
      <c r="I1185" s="83">
        <f>ROUND(H1185/(MID($C1185,9,3)/Basis!$E$3/Basis!$E$9)*Basis!$E$11,0)</f>
        <v>124</v>
      </c>
      <c r="J1185" s="123">
        <f>IF(Basis!$E$1=1,ROUND(H1185/((TaH-TrH)*1.163)/3600,3),ROUND(H1185/(500*(TaH-TrH)),2))</f>
        <v>0.1</v>
      </c>
      <c r="K1185" s="84"/>
      <c r="L1185" s="177">
        <f>CHOOSE(Basis!$E$1,((AJ1185*(J1185*3600/Basis!$E$5)^AK1185*(((MID(C1185,9,3)*10)-244)/1000)*AL1185+AM1185*(J1185*3600/Basis!$E$5)^2)*0.0098)/Basis!$E$10,((AJ1185*(J1185/Basis!$E$5)^AK1185*(((MID(C1185,9,3)*10)-244)/1000)*AL1185+AM1185*(J1185/Basis!$E$5)^2)*0.0098)/Basis!$E$10)</f>
        <v>2.1523760019435388E-3</v>
      </c>
      <c r="M1185" s="85"/>
      <c r="N1185" s="110">
        <v>1.3620000000000001</v>
      </c>
      <c r="O1185" s="74"/>
      <c r="P1185" s="73">
        <v>466</v>
      </c>
      <c r="Q1185" s="74"/>
      <c r="R1185" s="75"/>
      <c r="S1185" s="75"/>
      <c r="T1185" s="75"/>
      <c r="U1185" s="75"/>
      <c r="V1185" s="75"/>
      <c r="W1185" s="74"/>
      <c r="X1185" s="76"/>
      <c r="Y1185" s="76"/>
      <c r="Z1185" s="76"/>
      <c r="AA1185" s="76"/>
      <c r="AB1185" s="76"/>
      <c r="AC1185" s="74"/>
      <c r="AD1185" s="77"/>
      <c r="AE1185" s="77"/>
      <c r="AF1185" s="77"/>
      <c r="AG1185" s="77"/>
      <c r="AH1185" s="77"/>
      <c r="AI1185" s="68"/>
      <c r="AJ1185" s="213">
        <v>6.0625777523108995E-4</v>
      </c>
      <c r="AK1185" s="213">
        <v>1.8894792857555001</v>
      </c>
      <c r="AL1185" s="213">
        <v>1</v>
      </c>
      <c r="AM1185" s="213">
        <v>3.0758017492711002E-4</v>
      </c>
      <c r="AN1185" s="74"/>
      <c r="AO1185" s="73"/>
      <c r="AP1185" s="73"/>
      <c r="AQ1185" s="73"/>
      <c r="AR1185" s="73"/>
      <c r="AS1185" s="73"/>
      <c r="AT1185" s="74"/>
      <c r="AU1185" s="47"/>
      <c r="AV1185" s="48"/>
    </row>
    <row r="1186" spans="1:48" ht="12.75" customHeight="1" x14ac:dyDescent="0.25">
      <c r="A1186" s="72" t="s">
        <v>119</v>
      </c>
      <c r="B1186" s="43" t="s">
        <v>1154</v>
      </c>
      <c r="C1186" s="44" t="s">
        <v>1341</v>
      </c>
      <c r="D1186" s="45">
        <f>MROUND(MID($C1186,6,3)/Basis!$E$3,0.5)</f>
        <v>4.5</v>
      </c>
      <c r="E1186" s="45">
        <f>MROUND(MID($C1186,9,3)/Basis!$E$3,0.5)</f>
        <v>98.5</v>
      </c>
      <c r="F1186" s="199" t="s">
        <v>2950</v>
      </c>
      <c r="G1186" s="45">
        <f>ROUND(MID($C1186,12,2)/Basis!$E$3,1)</f>
        <v>7.1</v>
      </c>
      <c r="H1186" s="120">
        <f>ROUND($P1186*Basis!$E$2*((TaH-TrH)/LN(1/µ)/Basis!$E$7)^$N1186*$AA$4*Glycol,0)</f>
        <v>1202</v>
      </c>
      <c r="I1186" s="83">
        <f>ROUND(H1186/(MID($C1186,9,3)/Basis!$E$3/Basis!$E$9)*Basis!$E$11,0)</f>
        <v>147</v>
      </c>
      <c r="J1186" s="123">
        <f>IF(Basis!$E$1=1,ROUND(H1186/((TaH-TrH)*1.163)/3600,3),ROUND(H1186/(500*(TaH-TrH)),2))</f>
        <v>0.12</v>
      </c>
      <c r="K1186" s="84"/>
      <c r="L1186" s="177">
        <f>CHOOSE(Basis!$E$1,((AJ1186*(J1186*3600/Basis!$E$5)^AK1186*(((MID(C1186,9,3)*10)-244)/1000)*AL1186+AM1186*(J1186*3600/Basis!$E$5)^2)*0.0098)/Basis!$E$10,((AJ1186*(J1186/Basis!$E$5)^AK1186*(((MID(C1186,9,3)*10)-244)/1000)*AL1186+AM1186*(J1186/Basis!$E$5)^2)*0.0098)/Basis!$E$10)</f>
        <v>6.2073789677168758E-3</v>
      </c>
      <c r="M1186" s="85"/>
      <c r="N1186" s="109">
        <v>1.3620000000000001</v>
      </c>
      <c r="O1186" s="68"/>
      <c r="P1186" s="67">
        <v>552</v>
      </c>
      <c r="Q1186" s="68"/>
      <c r="R1186" s="69"/>
      <c r="S1186" s="69"/>
      <c r="T1186" s="69"/>
      <c r="U1186" s="69"/>
      <c r="V1186" s="69"/>
      <c r="W1186" s="68"/>
      <c r="X1186" s="70"/>
      <c r="Y1186" s="70"/>
      <c r="Z1186" s="70"/>
      <c r="AA1186" s="70"/>
      <c r="AB1186" s="70"/>
      <c r="AC1186" s="68"/>
      <c r="AD1186" s="71"/>
      <c r="AE1186" s="71"/>
      <c r="AF1186" s="71"/>
      <c r="AG1186" s="71"/>
      <c r="AH1186" s="71"/>
      <c r="AI1186" s="68"/>
      <c r="AJ1186" s="214">
        <v>9.3669999999999995E-4</v>
      </c>
      <c r="AK1186" s="214">
        <v>1.789841</v>
      </c>
      <c r="AL1186" s="214">
        <v>2</v>
      </c>
      <c r="AM1186" s="214">
        <v>4.4559999999999999E-4</v>
      </c>
      <c r="AN1186" s="68"/>
      <c r="AO1186" s="67"/>
      <c r="AP1186" s="67"/>
      <c r="AQ1186" s="67"/>
      <c r="AR1186" s="67"/>
      <c r="AS1186" s="67"/>
      <c r="AT1186" s="68"/>
      <c r="AU1186" s="49"/>
      <c r="AV1186" s="50"/>
    </row>
    <row r="1187" spans="1:48" ht="12.75" customHeight="1" x14ac:dyDescent="0.25">
      <c r="A1187" s="72" t="s">
        <v>119</v>
      </c>
      <c r="B1187" s="43" t="s">
        <v>1154</v>
      </c>
      <c r="C1187" s="44" t="s">
        <v>1342</v>
      </c>
      <c r="D1187" s="45">
        <f>MROUND(MID($C1187,6,3)/Basis!$E$3,0.5)</f>
        <v>4.5</v>
      </c>
      <c r="E1187" s="45">
        <f>MROUND(MID($C1187,9,3)/Basis!$E$3,0.5)</f>
        <v>98.5</v>
      </c>
      <c r="F1187" s="199" t="s">
        <v>2950</v>
      </c>
      <c r="G1187" s="45">
        <f>ROUND(MID($C1187,12,2)/Basis!$E$3,1)</f>
        <v>10.199999999999999</v>
      </c>
      <c r="H1187" s="120">
        <f>ROUND($P1187*Basis!$E$2*((TaH-TrH)/LN(1/µ)/Basis!$E$7)^$N1187*$AA$4*Glycol,0)</f>
        <v>1624</v>
      </c>
      <c r="I1187" s="83">
        <f>ROUND(H1187/(MID($C1187,9,3)/Basis!$E$3/Basis!$E$9)*Basis!$E$11,0)</f>
        <v>198</v>
      </c>
      <c r="J1187" s="123">
        <f>IF(Basis!$E$1=1,ROUND(H1187/((TaH-TrH)*1.163)/3600,3),ROUND(H1187/(500*(TaH-TrH)),2))</f>
        <v>0.16</v>
      </c>
      <c r="K1187" s="84"/>
      <c r="L1187" s="177">
        <f>CHOOSE(Basis!$E$1,((AJ1187*(J1187*3600/Basis!$E$5)^AK1187*(((MID(C1187,9,3)*10)-244)/1000)*AL1187+AM1187*(J1187*3600/Basis!$E$5)^2)*0.0098)/Basis!$E$10,((AJ1187*(J1187/Basis!$E$5)^AK1187*(((MID(C1187,9,3)*10)-244)/1000)*AL1187+AM1187*(J1187/Basis!$E$5)^2)*0.0098)/Basis!$E$10)</f>
        <v>1.0500804463607131E-2</v>
      </c>
      <c r="M1187" s="85"/>
      <c r="N1187" s="110">
        <v>1.3620000000000001</v>
      </c>
      <c r="O1187" s="74"/>
      <c r="P1187" s="73">
        <v>746</v>
      </c>
      <c r="Q1187" s="74"/>
      <c r="R1187" s="75"/>
      <c r="S1187" s="75"/>
      <c r="T1187" s="75"/>
      <c r="U1187" s="75"/>
      <c r="V1187" s="75"/>
      <c r="W1187" s="74"/>
      <c r="X1187" s="76"/>
      <c r="Y1187" s="76"/>
      <c r="Z1187" s="76"/>
      <c r="AA1187" s="76"/>
      <c r="AB1187" s="76"/>
      <c r="AC1187" s="74"/>
      <c r="AD1187" s="77"/>
      <c r="AE1187" s="77"/>
      <c r="AF1187" s="77"/>
      <c r="AG1187" s="77"/>
      <c r="AH1187" s="77"/>
      <c r="AI1187" s="68"/>
      <c r="AJ1187" s="213">
        <v>9.3669999999999995E-4</v>
      </c>
      <c r="AK1187" s="213">
        <v>1.789841</v>
      </c>
      <c r="AL1187" s="213">
        <v>2</v>
      </c>
      <c r="AM1187" s="213">
        <v>4.4559999999999999E-4</v>
      </c>
      <c r="AN1187" s="74"/>
      <c r="AO1187" s="73"/>
      <c r="AP1187" s="73"/>
      <c r="AQ1187" s="73"/>
      <c r="AR1187" s="73"/>
      <c r="AS1187" s="73"/>
      <c r="AT1187" s="74"/>
      <c r="AU1187" s="47"/>
      <c r="AV1187" s="48"/>
    </row>
    <row r="1188" spans="1:48" ht="12.75" customHeight="1" x14ac:dyDescent="0.25">
      <c r="A1188" s="72" t="s">
        <v>119</v>
      </c>
      <c r="B1188" s="43" t="s">
        <v>1154</v>
      </c>
      <c r="C1188" s="44" t="s">
        <v>1343</v>
      </c>
      <c r="D1188" s="45">
        <f>MROUND(MID($C1188,6,3)/Basis!$E$3,0.5)</f>
        <v>4.5</v>
      </c>
      <c r="E1188" s="45">
        <f>MROUND(MID($C1188,9,3)/Basis!$E$3,0.5)</f>
        <v>98.5</v>
      </c>
      <c r="F1188" s="199" t="s">
        <v>2950</v>
      </c>
      <c r="G1188" s="45">
        <f>ROUND(MID($C1188,12,2)/Basis!$E$3,1)</f>
        <v>13.4</v>
      </c>
      <c r="H1188" s="120">
        <f>ROUND($P1188*Basis!$E$2*((TaH-TrH)/LN(1/µ)/Basis!$E$7)^$N1188*$AA$4*Glycol,0)</f>
        <v>2107</v>
      </c>
      <c r="I1188" s="83">
        <f>ROUND(H1188/(MID($C1188,9,3)/Basis!$E$3/Basis!$E$9)*Basis!$E$11,0)</f>
        <v>257</v>
      </c>
      <c r="J1188" s="123">
        <f>IF(Basis!$E$1=1,ROUND(H1188/((TaH-TrH)*1.163)/3600,3),ROUND(H1188/(500*(TaH-TrH)),2))</f>
        <v>0.21</v>
      </c>
      <c r="K1188" s="84"/>
      <c r="L1188" s="177">
        <f>CHOOSE(Basis!$E$1,((AJ1188*(J1188*3600/Basis!$E$5)^AK1188*(((MID(C1188,9,3)*10)-244)/1000)*AL1188+AM1188*(J1188*3600/Basis!$E$5)^2)*0.0098)/Basis!$E$10,((AJ1188*(J1188/Basis!$E$5)^AK1188*(((MID(C1188,9,3)*10)-244)/1000)*AL1188+AM1188*(J1188/Basis!$E$5)^2)*0.0098)/Basis!$E$10)</f>
        <v>3.1125647458029513E-2</v>
      </c>
      <c r="M1188" s="85"/>
      <c r="N1188" s="109">
        <v>1.3620000000000001</v>
      </c>
      <c r="O1188" s="68"/>
      <c r="P1188" s="67">
        <v>968</v>
      </c>
      <c r="Q1188" s="68"/>
      <c r="R1188" s="69"/>
      <c r="S1188" s="69"/>
      <c r="T1188" s="69"/>
      <c r="U1188" s="69"/>
      <c r="V1188" s="69"/>
      <c r="W1188" s="68"/>
      <c r="X1188" s="70"/>
      <c r="Y1188" s="70"/>
      <c r="Z1188" s="70"/>
      <c r="AA1188" s="70"/>
      <c r="AB1188" s="70"/>
      <c r="AC1188" s="68"/>
      <c r="AD1188" s="71"/>
      <c r="AE1188" s="71"/>
      <c r="AF1188" s="71"/>
      <c r="AG1188" s="71"/>
      <c r="AH1188" s="71"/>
      <c r="AI1188" s="68"/>
      <c r="AJ1188" s="214">
        <v>1.3162765859195E-2</v>
      </c>
      <c r="AK1188" s="214">
        <v>1.4286501188989</v>
      </c>
      <c r="AL1188" s="214">
        <v>1</v>
      </c>
      <c r="AM1188" s="214">
        <v>9.2091836734694004E-4</v>
      </c>
      <c r="AN1188" s="68"/>
      <c r="AO1188" s="67"/>
      <c r="AP1188" s="67"/>
      <c r="AQ1188" s="67"/>
      <c r="AR1188" s="67"/>
      <c r="AS1188" s="67"/>
      <c r="AT1188" s="68"/>
      <c r="AU1188" s="49"/>
      <c r="AV1188" s="50"/>
    </row>
    <row r="1189" spans="1:48" ht="12.75" customHeight="1" x14ac:dyDescent="0.25">
      <c r="A1189" s="72" t="s">
        <v>119</v>
      </c>
      <c r="B1189" s="43" t="s">
        <v>1154</v>
      </c>
      <c r="C1189" s="44" t="s">
        <v>1344</v>
      </c>
      <c r="D1189" s="45">
        <f>MROUND(MID($C1189,6,3)/Basis!$E$3,0.5)</f>
        <v>4.5</v>
      </c>
      <c r="E1189" s="45">
        <f>MROUND(MID($C1189,9,3)/Basis!$E$3,0.5)</f>
        <v>98.5</v>
      </c>
      <c r="F1189" s="199" t="s">
        <v>2950</v>
      </c>
      <c r="G1189" s="45">
        <f>ROUND(MID($C1189,12,2)/Basis!$E$3,1)</f>
        <v>16.5</v>
      </c>
      <c r="H1189" s="120">
        <f>ROUND($P1189*Basis!$E$2*((TaH-TrH)/LN(1/µ)/Basis!$E$7)^$N1189*$AA$4*Glycol,0)</f>
        <v>2965</v>
      </c>
      <c r="I1189" s="83">
        <f>ROUND(H1189/(MID($C1189,9,3)/Basis!$E$3/Basis!$E$9)*Basis!$E$11,0)</f>
        <v>361</v>
      </c>
      <c r="J1189" s="123">
        <f>IF(Basis!$E$1=1,ROUND(H1189/((TaH-TrH)*1.163)/3600,3),ROUND(H1189/(500*(TaH-TrH)),2))</f>
        <v>0.3</v>
      </c>
      <c r="K1189" s="84"/>
      <c r="L1189" s="177">
        <f>CHOOSE(Basis!$E$1,((AJ1189*(J1189*3600/Basis!$E$5)^AK1189*(((MID(C1189,9,3)*10)-244)/1000)*AL1189+AM1189*(J1189*3600/Basis!$E$5)^2)*0.0098)/Basis!$E$10,((AJ1189*(J1189/Basis!$E$5)^AK1189*(((MID(C1189,9,3)*10)-244)/1000)*AL1189+AM1189*(J1189/Basis!$E$5)^2)*0.0098)/Basis!$E$10)</f>
        <v>1.4442966848542106E-2</v>
      </c>
      <c r="M1189" s="85"/>
      <c r="N1189" s="110">
        <v>1.3620000000000001</v>
      </c>
      <c r="O1189" s="74"/>
      <c r="P1189" s="73">
        <v>1362</v>
      </c>
      <c r="Q1189" s="74"/>
      <c r="R1189" s="75"/>
      <c r="S1189" s="75"/>
      <c r="T1189" s="75"/>
      <c r="U1189" s="75"/>
      <c r="V1189" s="75"/>
      <c r="W1189" s="74"/>
      <c r="X1189" s="76"/>
      <c r="Y1189" s="76"/>
      <c r="Z1189" s="76"/>
      <c r="AA1189" s="76"/>
      <c r="AB1189" s="76"/>
      <c r="AC1189" s="74"/>
      <c r="AD1189" s="77"/>
      <c r="AE1189" s="77"/>
      <c r="AF1189" s="77"/>
      <c r="AG1189" s="77"/>
      <c r="AH1189" s="77"/>
      <c r="AI1189" s="68"/>
      <c r="AJ1189" s="213">
        <v>3.9689999999999994E-4</v>
      </c>
      <c r="AK1189" s="213">
        <v>1.7345999999999999</v>
      </c>
      <c r="AL1189" s="213">
        <v>2</v>
      </c>
      <c r="AM1189" s="213">
        <v>3.6734700000000002E-4</v>
      </c>
      <c r="AN1189" s="74"/>
      <c r="AO1189" s="73"/>
      <c r="AP1189" s="73"/>
      <c r="AQ1189" s="73"/>
      <c r="AR1189" s="73"/>
      <c r="AS1189" s="73"/>
      <c r="AT1189" s="74"/>
      <c r="AU1189" s="47"/>
      <c r="AV1189" s="48"/>
    </row>
    <row r="1190" spans="1:48" ht="12.75" customHeight="1" x14ac:dyDescent="0.25">
      <c r="A1190" s="72" t="s">
        <v>119</v>
      </c>
      <c r="B1190" s="43" t="s">
        <v>1154</v>
      </c>
      <c r="C1190" s="44" t="s">
        <v>1345</v>
      </c>
      <c r="D1190" s="45">
        <f>MROUND(MID($C1190,6,3)/Basis!$E$3,0.5)</f>
        <v>4.5</v>
      </c>
      <c r="E1190" s="45">
        <f>MROUND(MID($C1190,9,3)/Basis!$E$3,0.5)</f>
        <v>106.5</v>
      </c>
      <c r="F1190" s="199" t="s">
        <v>2950</v>
      </c>
      <c r="G1190" s="45">
        <f>ROUND(MID($C1190,12,2)/Basis!$E$3,1)</f>
        <v>5.5</v>
      </c>
      <c r="H1190" s="120">
        <f>ROUND($P1190*Basis!$E$2*((TaH-TrH)/LN(1/µ)/Basis!$E$7)^$N1190*$AA$4*Glycol,0)</f>
        <v>1106</v>
      </c>
      <c r="I1190" s="83">
        <f>ROUND(H1190/(MID($C1190,9,3)/Basis!$E$3/Basis!$E$9)*Basis!$E$11,0)</f>
        <v>125</v>
      </c>
      <c r="J1190" s="123">
        <f>IF(Basis!$E$1=1,ROUND(H1190/((TaH-TrH)*1.163)/3600,3),ROUND(H1190/(500*(TaH-TrH)),2))</f>
        <v>0.11</v>
      </c>
      <c r="K1190" s="84"/>
      <c r="L1190" s="177">
        <f>CHOOSE(Basis!$E$1,((AJ1190*(J1190*3600/Basis!$E$5)^AK1190*(((MID(C1190,9,3)*10)-244)/1000)*AL1190+AM1190*(J1190*3600/Basis!$E$5)^2)*0.0098)/Basis!$E$10,((AJ1190*(J1190/Basis!$E$5)^AK1190*(((MID(C1190,9,3)*10)-244)/1000)*AL1190+AM1190*(J1190/Basis!$E$5)^2)*0.0098)/Basis!$E$10)</f>
        <v>2.7570600739833195E-3</v>
      </c>
      <c r="M1190" s="85"/>
      <c r="N1190" s="109">
        <v>1.3620000000000001</v>
      </c>
      <c r="O1190" s="68"/>
      <c r="P1190" s="67">
        <v>508</v>
      </c>
      <c r="Q1190" s="68"/>
      <c r="R1190" s="69"/>
      <c r="S1190" s="69"/>
      <c r="T1190" s="69"/>
      <c r="U1190" s="69"/>
      <c r="V1190" s="69"/>
      <c r="W1190" s="68"/>
      <c r="X1190" s="70"/>
      <c r="Y1190" s="70"/>
      <c r="Z1190" s="70"/>
      <c r="AA1190" s="70"/>
      <c r="AB1190" s="70"/>
      <c r="AC1190" s="68"/>
      <c r="AD1190" s="71"/>
      <c r="AE1190" s="71"/>
      <c r="AF1190" s="71"/>
      <c r="AG1190" s="71"/>
      <c r="AH1190" s="71"/>
      <c r="AI1190" s="68"/>
      <c r="AJ1190" s="214">
        <v>6.0625777523108995E-4</v>
      </c>
      <c r="AK1190" s="214">
        <v>1.8894792857555001</v>
      </c>
      <c r="AL1190" s="214">
        <v>1</v>
      </c>
      <c r="AM1190" s="214">
        <v>3.0758017492711002E-4</v>
      </c>
      <c r="AN1190" s="68"/>
      <c r="AO1190" s="67"/>
      <c r="AP1190" s="67"/>
      <c r="AQ1190" s="67"/>
      <c r="AR1190" s="67"/>
      <c r="AS1190" s="67"/>
      <c r="AT1190" s="68"/>
      <c r="AU1190" s="49"/>
      <c r="AV1190" s="50"/>
    </row>
    <row r="1191" spans="1:48" ht="12.75" customHeight="1" x14ac:dyDescent="0.25">
      <c r="A1191" s="72" t="s">
        <v>119</v>
      </c>
      <c r="B1191" s="43" t="s">
        <v>1154</v>
      </c>
      <c r="C1191" s="44" t="s">
        <v>1346</v>
      </c>
      <c r="D1191" s="45">
        <f>MROUND(MID($C1191,6,3)/Basis!$E$3,0.5)</f>
        <v>4.5</v>
      </c>
      <c r="E1191" s="45">
        <f>MROUND(MID($C1191,9,3)/Basis!$E$3,0.5)</f>
        <v>106.5</v>
      </c>
      <c r="F1191" s="199" t="s">
        <v>2950</v>
      </c>
      <c r="G1191" s="45">
        <f>ROUND(MID($C1191,12,2)/Basis!$E$3,1)</f>
        <v>7.1</v>
      </c>
      <c r="H1191" s="120">
        <f>ROUND($P1191*Basis!$E$2*((TaH-TrH)/LN(1/µ)/Basis!$E$7)^$N1191*$AA$4*Glycol,0)</f>
        <v>1313</v>
      </c>
      <c r="I1191" s="83">
        <f>ROUND(H1191/(MID($C1191,9,3)/Basis!$E$3/Basis!$E$9)*Basis!$E$11,0)</f>
        <v>148</v>
      </c>
      <c r="J1191" s="123">
        <f>IF(Basis!$E$1=1,ROUND(H1191/((TaH-TrH)*1.163)/3600,3),ROUND(H1191/(500*(TaH-TrH)),2))</f>
        <v>0.13</v>
      </c>
      <c r="K1191" s="84"/>
      <c r="L1191" s="177">
        <f>CHOOSE(Basis!$E$1,((AJ1191*(J1191*3600/Basis!$E$5)^AK1191*(((MID(C1191,9,3)*10)-244)/1000)*AL1191+AM1191*(J1191*3600/Basis!$E$5)^2)*0.0098)/Basis!$E$10,((AJ1191*(J1191/Basis!$E$5)^AK1191*(((MID(C1191,9,3)*10)-244)/1000)*AL1191+AM1191*(J1191/Basis!$E$5)^2)*0.0098)/Basis!$E$10)</f>
        <v>7.7090521514278382E-3</v>
      </c>
      <c r="M1191" s="85"/>
      <c r="N1191" s="110">
        <v>1.3620000000000001</v>
      </c>
      <c r="O1191" s="74"/>
      <c r="P1191" s="73">
        <v>603</v>
      </c>
      <c r="Q1191" s="74"/>
      <c r="R1191" s="75"/>
      <c r="S1191" s="75"/>
      <c r="T1191" s="75"/>
      <c r="U1191" s="75"/>
      <c r="V1191" s="75"/>
      <c r="W1191" s="74"/>
      <c r="X1191" s="76"/>
      <c r="Y1191" s="76"/>
      <c r="Z1191" s="76"/>
      <c r="AA1191" s="76"/>
      <c r="AB1191" s="76"/>
      <c r="AC1191" s="74"/>
      <c r="AD1191" s="77"/>
      <c r="AE1191" s="77"/>
      <c r="AF1191" s="77"/>
      <c r="AG1191" s="77"/>
      <c r="AH1191" s="77"/>
      <c r="AI1191" s="68"/>
      <c r="AJ1191" s="213">
        <v>9.3669999999999995E-4</v>
      </c>
      <c r="AK1191" s="213">
        <v>1.789841</v>
      </c>
      <c r="AL1191" s="213">
        <v>2</v>
      </c>
      <c r="AM1191" s="213">
        <v>4.4559999999999999E-4</v>
      </c>
      <c r="AN1191" s="74"/>
      <c r="AO1191" s="73"/>
      <c r="AP1191" s="73"/>
      <c r="AQ1191" s="73"/>
      <c r="AR1191" s="73"/>
      <c r="AS1191" s="73"/>
      <c r="AT1191" s="74"/>
      <c r="AU1191" s="47"/>
      <c r="AV1191" s="48"/>
    </row>
    <row r="1192" spans="1:48" ht="12.75" customHeight="1" x14ac:dyDescent="0.25">
      <c r="A1192" s="72" t="s">
        <v>119</v>
      </c>
      <c r="B1192" s="43" t="s">
        <v>1154</v>
      </c>
      <c r="C1192" s="44" t="s">
        <v>1347</v>
      </c>
      <c r="D1192" s="45">
        <f>MROUND(MID($C1192,6,3)/Basis!$E$3,0.5)</f>
        <v>4.5</v>
      </c>
      <c r="E1192" s="45">
        <f>MROUND(MID($C1192,9,3)/Basis!$E$3,0.5)</f>
        <v>106.5</v>
      </c>
      <c r="F1192" s="199" t="s">
        <v>2950</v>
      </c>
      <c r="G1192" s="45">
        <f>ROUND(MID($C1192,12,2)/Basis!$E$3,1)</f>
        <v>10.199999999999999</v>
      </c>
      <c r="H1192" s="120">
        <f>ROUND($P1192*Basis!$E$2*((TaH-TrH)/LN(1/µ)/Basis!$E$7)^$N1192*$AA$4*Glycol,0)</f>
        <v>1772</v>
      </c>
      <c r="I1192" s="83">
        <f>ROUND(H1192/(MID($C1192,9,3)/Basis!$E$3/Basis!$E$9)*Basis!$E$11,0)</f>
        <v>200</v>
      </c>
      <c r="J1192" s="123">
        <f>IF(Basis!$E$1=1,ROUND(H1192/((TaH-TrH)*1.163)/3600,3),ROUND(H1192/(500*(TaH-TrH)),2))</f>
        <v>0.18</v>
      </c>
      <c r="K1192" s="84"/>
      <c r="L1192" s="177">
        <f>CHOOSE(Basis!$E$1,((AJ1192*(J1192*3600/Basis!$E$5)^AK1192*(((MID(C1192,9,3)*10)-244)/1000)*AL1192+AM1192*(J1192*3600/Basis!$E$5)^2)*0.0098)/Basis!$E$10,((AJ1192*(J1192/Basis!$E$5)^AK1192*(((MID(C1192,9,3)*10)-244)/1000)*AL1192+AM1192*(J1192/Basis!$E$5)^2)*0.0098)/Basis!$E$10)</f>
        <v>1.3963472720052808E-2</v>
      </c>
      <c r="M1192" s="85"/>
      <c r="N1192" s="109">
        <v>1.3620000000000001</v>
      </c>
      <c r="O1192" s="68"/>
      <c r="P1192" s="67">
        <v>814</v>
      </c>
      <c r="Q1192" s="68"/>
      <c r="R1192" s="69"/>
      <c r="S1192" s="69"/>
      <c r="T1192" s="69"/>
      <c r="U1192" s="69"/>
      <c r="V1192" s="69"/>
      <c r="W1192" s="68"/>
      <c r="X1192" s="70"/>
      <c r="Y1192" s="70"/>
      <c r="Z1192" s="70"/>
      <c r="AA1192" s="70"/>
      <c r="AB1192" s="70"/>
      <c r="AC1192" s="68"/>
      <c r="AD1192" s="71"/>
      <c r="AE1192" s="71"/>
      <c r="AF1192" s="71"/>
      <c r="AG1192" s="71"/>
      <c r="AH1192" s="71"/>
      <c r="AI1192" s="68"/>
      <c r="AJ1192" s="214">
        <v>9.3669999999999995E-4</v>
      </c>
      <c r="AK1192" s="214">
        <v>1.789841</v>
      </c>
      <c r="AL1192" s="214">
        <v>2</v>
      </c>
      <c r="AM1192" s="214">
        <v>4.4559999999999999E-4</v>
      </c>
      <c r="AN1192" s="68"/>
      <c r="AO1192" s="67"/>
      <c r="AP1192" s="67"/>
      <c r="AQ1192" s="67"/>
      <c r="AR1192" s="67"/>
      <c r="AS1192" s="67"/>
      <c r="AT1192" s="68"/>
      <c r="AU1192" s="49"/>
      <c r="AV1192" s="50"/>
    </row>
    <row r="1193" spans="1:48" ht="12.75" customHeight="1" x14ac:dyDescent="0.25">
      <c r="A1193" s="72" t="s">
        <v>119</v>
      </c>
      <c r="B1193" s="43" t="s">
        <v>1154</v>
      </c>
      <c r="C1193" s="44" t="s">
        <v>1348</v>
      </c>
      <c r="D1193" s="45">
        <f>MROUND(MID($C1193,6,3)/Basis!$E$3,0.5)</f>
        <v>4.5</v>
      </c>
      <c r="E1193" s="45">
        <f>MROUND(MID($C1193,9,3)/Basis!$E$3,0.5)</f>
        <v>106.5</v>
      </c>
      <c r="F1193" s="199" t="s">
        <v>2950</v>
      </c>
      <c r="G1193" s="45">
        <f>ROUND(MID($C1193,12,2)/Basis!$E$3,1)</f>
        <v>13.4</v>
      </c>
      <c r="H1193" s="120">
        <f>ROUND($P1193*Basis!$E$2*((TaH-TrH)/LN(1/µ)/Basis!$E$7)^$N1193*$AA$4*Glycol,0)</f>
        <v>2301</v>
      </c>
      <c r="I1193" s="83">
        <f>ROUND(H1193/(MID($C1193,9,3)/Basis!$E$3/Basis!$E$9)*Basis!$E$11,0)</f>
        <v>260</v>
      </c>
      <c r="J1193" s="123">
        <f>IF(Basis!$E$1=1,ROUND(H1193/((TaH-TrH)*1.163)/3600,3),ROUND(H1193/(500*(TaH-TrH)),2))</f>
        <v>0.23</v>
      </c>
      <c r="K1193" s="84"/>
      <c r="L1193" s="177">
        <f>CHOOSE(Basis!$E$1,((AJ1193*(J1193*3600/Basis!$E$5)^AK1193*(((MID(C1193,9,3)*10)-244)/1000)*AL1193+AM1193*(J1193*3600/Basis!$E$5)^2)*0.0098)/Basis!$E$10,((AJ1193*(J1193/Basis!$E$5)^AK1193*(((MID(C1193,9,3)*10)-244)/1000)*AL1193+AM1193*(J1193/Basis!$E$5)^2)*0.0098)/Basis!$E$10)</f>
        <v>3.8312555798670413E-2</v>
      </c>
      <c r="M1193" s="85"/>
      <c r="N1193" s="110">
        <v>1.3620000000000001</v>
      </c>
      <c r="O1193" s="74"/>
      <c r="P1193" s="73">
        <v>1057</v>
      </c>
      <c r="Q1193" s="74"/>
      <c r="R1193" s="75"/>
      <c r="S1193" s="75"/>
      <c r="T1193" s="75"/>
      <c r="U1193" s="75"/>
      <c r="V1193" s="75"/>
      <c r="W1193" s="74"/>
      <c r="X1193" s="76"/>
      <c r="Y1193" s="76"/>
      <c r="Z1193" s="76"/>
      <c r="AA1193" s="76"/>
      <c r="AB1193" s="76"/>
      <c r="AC1193" s="74"/>
      <c r="AD1193" s="77"/>
      <c r="AE1193" s="77"/>
      <c r="AF1193" s="77"/>
      <c r="AG1193" s="77"/>
      <c r="AH1193" s="77"/>
      <c r="AI1193" s="68"/>
      <c r="AJ1193" s="213">
        <v>1.3162765859195E-2</v>
      </c>
      <c r="AK1193" s="213">
        <v>1.4286501188989</v>
      </c>
      <c r="AL1193" s="213">
        <v>1</v>
      </c>
      <c r="AM1193" s="213">
        <v>9.2091836734694004E-4</v>
      </c>
      <c r="AN1193" s="74"/>
      <c r="AO1193" s="73"/>
      <c r="AP1193" s="73"/>
      <c r="AQ1193" s="73"/>
      <c r="AR1193" s="73"/>
      <c r="AS1193" s="73"/>
      <c r="AT1193" s="74"/>
      <c r="AU1193" s="47"/>
      <c r="AV1193" s="48"/>
    </row>
    <row r="1194" spans="1:48" ht="12.75" customHeight="1" x14ac:dyDescent="0.25">
      <c r="A1194" s="72" t="s">
        <v>119</v>
      </c>
      <c r="B1194" s="43" t="s">
        <v>1154</v>
      </c>
      <c r="C1194" s="44" t="s">
        <v>1349</v>
      </c>
      <c r="D1194" s="45">
        <f>MROUND(MID($C1194,6,3)/Basis!$E$3,0.5)</f>
        <v>4.5</v>
      </c>
      <c r="E1194" s="45">
        <f>MROUND(MID($C1194,9,3)/Basis!$E$3,0.5)</f>
        <v>106.5</v>
      </c>
      <c r="F1194" s="199" t="s">
        <v>2950</v>
      </c>
      <c r="G1194" s="45">
        <f>ROUND(MID($C1194,12,2)/Basis!$E$3,1)</f>
        <v>16.5</v>
      </c>
      <c r="H1194" s="120">
        <f>ROUND($P1194*Basis!$E$2*((TaH-TrH)/LN(1/µ)/Basis!$E$7)^$N1194*$AA$4*Glycol,0)</f>
        <v>3232</v>
      </c>
      <c r="I1194" s="83">
        <f>ROUND(H1194/(MID($C1194,9,3)/Basis!$E$3/Basis!$E$9)*Basis!$E$11,0)</f>
        <v>365</v>
      </c>
      <c r="J1194" s="123">
        <f>IF(Basis!$E$1=1,ROUND(H1194/((TaH-TrH)*1.163)/3600,3),ROUND(H1194/(500*(TaH-TrH)),2))</f>
        <v>0.32</v>
      </c>
      <c r="K1194" s="84"/>
      <c r="L1194" s="177">
        <f>CHOOSE(Basis!$E$1,((AJ1194*(J1194*3600/Basis!$E$5)^AK1194*(((MID(C1194,9,3)*10)-244)/1000)*AL1194+AM1194*(J1194*3600/Basis!$E$5)^2)*0.0098)/Basis!$E$10,((AJ1194*(J1194/Basis!$E$5)^AK1194*(((MID(C1194,9,3)*10)-244)/1000)*AL1194+AM1194*(J1194/Basis!$E$5)^2)*0.0098)/Basis!$E$10)</f>
        <v>1.7140713505082301E-2</v>
      </c>
      <c r="M1194" s="85"/>
      <c r="N1194" s="109">
        <v>1.3620000000000001</v>
      </c>
      <c r="O1194" s="68"/>
      <c r="P1194" s="67">
        <v>1485</v>
      </c>
      <c r="Q1194" s="68"/>
      <c r="R1194" s="69"/>
      <c r="S1194" s="69"/>
      <c r="T1194" s="69"/>
      <c r="U1194" s="69"/>
      <c r="V1194" s="69"/>
      <c r="W1194" s="68"/>
      <c r="X1194" s="70"/>
      <c r="Y1194" s="70"/>
      <c r="Z1194" s="70"/>
      <c r="AA1194" s="70"/>
      <c r="AB1194" s="70"/>
      <c r="AC1194" s="68"/>
      <c r="AD1194" s="71"/>
      <c r="AE1194" s="71"/>
      <c r="AF1194" s="71"/>
      <c r="AG1194" s="71"/>
      <c r="AH1194" s="71"/>
      <c r="AI1194" s="68"/>
      <c r="AJ1194" s="214">
        <v>3.9689999999999994E-4</v>
      </c>
      <c r="AK1194" s="214">
        <v>1.7345999999999999</v>
      </c>
      <c r="AL1194" s="214">
        <v>2</v>
      </c>
      <c r="AM1194" s="214">
        <v>3.6734700000000002E-4</v>
      </c>
      <c r="AN1194" s="68"/>
      <c r="AO1194" s="67"/>
      <c r="AP1194" s="67"/>
      <c r="AQ1194" s="67"/>
      <c r="AR1194" s="67"/>
      <c r="AS1194" s="67"/>
      <c r="AT1194" s="68"/>
      <c r="AU1194" s="49"/>
      <c r="AV1194" s="50"/>
    </row>
    <row r="1195" spans="1:48" ht="12.75" customHeight="1" x14ac:dyDescent="0.25">
      <c r="A1195" s="72" t="s">
        <v>119</v>
      </c>
      <c r="B1195" s="43" t="s">
        <v>1154</v>
      </c>
      <c r="C1195" s="44" t="s">
        <v>1350</v>
      </c>
      <c r="D1195" s="45">
        <f>MROUND(MID($C1195,6,3)/Basis!$E$3,0.5)</f>
        <v>4.5</v>
      </c>
      <c r="E1195" s="45">
        <f>MROUND(MID($C1195,9,3)/Basis!$E$3,0.5)</f>
        <v>114</v>
      </c>
      <c r="F1195" s="199" t="s">
        <v>2950</v>
      </c>
      <c r="G1195" s="45">
        <f>ROUND(MID($C1195,12,2)/Basis!$E$3,1)</f>
        <v>5.5</v>
      </c>
      <c r="H1195" s="120">
        <f>ROUND($P1195*Basis!$E$2*((TaH-TrH)/LN(1/µ)/Basis!$E$7)^$N1195*$AA$4*Glycol,0)</f>
        <v>1199</v>
      </c>
      <c r="I1195" s="83">
        <f>ROUND(H1195/(MID($C1195,9,3)/Basis!$E$3/Basis!$E$9)*Basis!$E$11,0)</f>
        <v>126</v>
      </c>
      <c r="J1195" s="123">
        <f>IF(Basis!$E$1=1,ROUND(H1195/((TaH-TrH)*1.163)/3600,3),ROUND(H1195/(500*(TaH-TrH)),2))</f>
        <v>0.12</v>
      </c>
      <c r="K1195" s="84"/>
      <c r="L1195" s="177">
        <f>CHOOSE(Basis!$E$1,((AJ1195*(J1195*3600/Basis!$E$5)^AK1195*(((MID(C1195,9,3)*10)-244)/1000)*AL1195+AM1195*(J1195*3600/Basis!$E$5)^2)*0.0098)/Basis!$E$10,((AJ1195*(J1195/Basis!$E$5)^AK1195*(((MID(C1195,9,3)*10)-244)/1000)*AL1195+AM1195*(J1195/Basis!$E$5)^2)*0.0098)/Basis!$E$10)</f>
        <v>3.461259210863168E-3</v>
      </c>
      <c r="M1195" s="85"/>
      <c r="N1195" s="110">
        <v>1.3620000000000001</v>
      </c>
      <c r="O1195" s="74"/>
      <c r="P1195" s="73">
        <v>551</v>
      </c>
      <c r="Q1195" s="74"/>
      <c r="R1195" s="75"/>
      <c r="S1195" s="75"/>
      <c r="T1195" s="75"/>
      <c r="U1195" s="75"/>
      <c r="V1195" s="75"/>
      <c r="W1195" s="74"/>
      <c r="X1195" s="76"/>
      <c r="Y1195" s="76"/>
      <c r="Z1195" s="76"/>
      <c r="AA1195" s="76"/>
      <c r="AB1195" s="76"/>
      <c r="AC1195" s="74"/>
      <c r="AD1195" s="77"/>
      <c r="AE1195" s="77"/>
      <c r="AF1195" s="77"/>
      <c r="AG1195" s="77"/>
      <c r="AH1195" s="77"/>
      <c r="AI1195" s="68"/>
      <c r="AJ1195" s="213">
        <v>6.0625777523108995E-4</v>
      </c>
      <c r="AK1195" s="213">
        <v>1.8894792857555001</v>
      </c>
      <c r="AL1195" s="213">
        <v>1</v>
      </c>
      <c r="AM1195" s="213">
        <v>3.0758017492711002E-4</v>
      </c>
      <c r="AN1195" s="74"/>
      <c r="AO1195" s="73"/>
      <c r="AP1195" s="73"/>
      <c r="AQ1195" s="73"/>
      <c r="AR1195" s="73"/>
      <c r="AS1195" s="73"/>
      <c r="AT1195" s="74"/>
      <c r="AU1195" s="47"/>
      <c r="AV1195" s="48"/>
    </row>
    <row r="1196" spans="1:48" ht="12.75" customHeight="1" x14ac:dyDescent="0.25">
      <c r="A1196" s="72" t="s">
        <v>119</v>
      </c>
      <c r="B1196" s="43" t="s">
        <v>1154</v>
      </c>
      <c r="C1196" s="44" t="s">
        <v>1351</v>
      </c>
      <c r="D1196" s="45">
        <f>MROUND(MID($C1196,6,3)/Basis!$E$3,0.5)</f>
        <v>4.5</v>
      </c>
      <c r="E1196" s="45">
        <f>MROUND(MID($C1196,9,3)/Basis!$E$3,0.5)</f>
        <v>114</v>
      </c>
      <c r="F1196" s="199" t="s">
        <v>2950</v>
      </c>
      <c r="G1196" s="45">
        <f>ROUND(MID($C1196,12,2)/Basis!$E$3,1)</f>
        <v>7.1</v>
      </c>
      <c r="H1196" s="120">
        <f>ROUND($P1196*Basis!$E$2*((TaH-TrH)/LN(1/µ)/Basis!$E$7)^$N1196*$AA$4*Glycol,0)</f>
        <v>1421</v>
      </c>
      <c r="I1196" s="83">
        <f>ROUND(H1196/(MID($C1196,9,3)/Basis!$E$3/Basis!$E$9)*Basis!$E$11,0)</f>
        <v>149</v>
      </c>
      <c r="J1196" s="123">
        <f>IF(Basis!$E$1=1,ROUND(H1196/((TaH-TrH)*1.163)/3600,3),ROUND(H1196/(500*(TaH-TrH)),2))</f>
        <v>0.14000000000000001</v>
      </c>
      <c r="K1196" s="84"/>
      <c r="L1196" s="177">
        <f>CHOOSE(Basis!$E$1,((AJ1196*(J1196*3600/Basis!$E$5)^AK1196*(((MID(C1196,9,3)*10)-244)/1000)*AL1196+AM1196*(J1196*3600/Basis!$E$5)^2)*0.0098)/Basis!$E$10,((AJ1196*(J1196/Basis!$E$5)^AK1196*(((MID(C1196,9,3)*10)-244)/1000)*AL1196+AM1196*(J1196/Basis!$E$5)^2)*0.0098)/Basis!$E$10)</f>
        <v>9.4239830824165583E-3</v>
      </c>
      <c r="M1196" s="85"/>
      <c r="N1196" s="109">
        <v>1.3620000000000001</v>
      </c>
      <c r="O1196" s="68"/>
      <c r="P1196" s="67">
        <v>653</v>
      </c>
      <c r="Q1196" s="68"/>
      <c r="R1196" s="69"/>
      <c r="S1196" s="69"/>
      <c r="T1196" s="69"/>
      <c r="U1196" s="69"/>
      <c r="V1196" s="69"/>
      <c r="W1196" s="68"/>
      <c r="X1196" s="70"/>
      <c r="Y1196" s="70"/>
      <c r="Z1196" s="70"/>
      <c r="AA1196" s="70"/>
      <c r="AB1196" s="70"/>
      <c r="AC1196" s="68"/>
      <c r="AD1196" s="71"/>
      <c r="AE1196" s="71"/>
      <c r="AF1196" s="71"/>
      <c r="AG1196" s="71"/>
      <c r="AH1196" s="71"/>
      <c r="AI1196" s="68"/>
      <c r="AJ1196" s="214">
        <v>9.3669999999999995E-4</v>
      </c>
      <c r="AK1196" s="214">
        <v>1.789841</v>
      </c>
      <c r="AL1196" s="214">
        <v>2</v>
      </c>
      <c r="AM1196" s="214">
        <v>4.4559999999999999E-4</v>
      </c>
      <c r="AN1196" s="68"/>
      <c r="AO1196" s="67"/>
      <c r="AP1196" s="67"/>
      <c r="AQ1196" s="67"/>
      <c r="AR1196" s="67"/>
      <c r="AS1196" s="67"/>
      <c r="AT1196" s="68"/>
      <c r="AU1196" s="49"/>
      <c r="AV1196" s="50"/>
    </row>
    <row r="1197" spans="1:48" ht="12.75" customHeight="1" x14ac:dyDescent="0.25">
      <c r="A1197" s="72" t="s">
        <v>119</v>
      </c>
      <c r="B1197" s="43" t="s">
        <v>1154</v>
      </c>
      <c r="C1197" s="44" t="s">
        <v>1352</v>
      </c>
      <c r="D1197" s="45">
        <f>MROUND(MID($C1197,6,3)/Basis!$E$3,0.5)</f>
        <v>4.5</v>
      </c>
      <c r="E1197" s="45">
        <f>MROUND(MID($C1197,9,3)/Basis!$E$3,0.5)</f>
        <v>114</v>
      </c>
      <c r="F1197" s="199" t="s">
        <v>2950</v>
      </c>
      <c r="G1197" s="45">
        <f>ROUND(MID($C1197,12,2)/Basis!$E$3,1)</f>
        <v>10.199999999999999</v>
      </c>
      <c r="H1197" s="120">
        <f>ROUND($P1197*Basis!$E$2*((TaH-TrH)/LN(1/µ)/Basis!$E$7)^$N1197*$AA$4*Glycol,0)</f>
        <v>1920</v>
      </c>
      <c r="I1197" s="83">
        <f>ROUND(H1197/(MID($C1197,9,3)/Basis!$E$3/Basis!$E$9)*Basis!$E$11,0)</f>
        <v>202</v>
      </c>
      <c r="J1197" s="123">
        <f>IF(Basis!$E$1=1,ROUND(H1197/((TaH-TrH)*1.163)/3600,3),ROUND(H1197/(500*(TaH-TrH)),2))</f>
        <v>0.19</v>
      </c>
      <c r="K1197" s="84"/>
      <c r="L1197" s="177">
        <f>CHOOSE(Basis!$E$1,((AJ1197*(J1197*3600/Basis!$E$5)^AK1197*(((MID(C1197,9,3)*10)-244)/1000)*AL1197+AM1197*(J1197*3600/Basis!$E$5)^2)*0.0098)/Basis!$E$10,((AJ1197*(J1197/Basis!$E$5)^AK1197*(((MID(C1197,9,3)*10)-244)/1000)*AL1197+AM1197*(J1197/Basis!$E$5)^2)*0.0098)/Basis!$E$10)</f>
        <v>1.6447117488002878E-2</v>
      </c>
      <c r="M1197" s="85"/>
      <c r="N1197" s="110">
        <v>1.3620000000000001</v>
      </c>
      <c r="O1197" s="74"/>
      <c r="P1197" s="73">
        <v>882</v>
      </c>
      <c r="Q1197" s="74"/>
      <c r="R1197" s="75"/>
      <c r="S1197" s="75"/>
      <c r="T1197" s="75"/>
      <c r="U1197" s="75"/>
      <c r="V1197" s="75"/>
      <c r="W1197" s="74"/>
      <c r="X1197" s="76"/>
      <c r="Y1197" s="76"/>
      <c r="Z1197" s="76"/>
      <c r="AA1197" s="76"/>
      <c r="AB1197" s="76"/>
      <c r="AC1197" s="74"/>
      <c r="AD1197" s="77"/>
      <c r="AE1197" s="77"/>
      <c r="AF1197" s="77"/>
      <c r="AG1197" s="77"/>
      <c r="AH1197" s="77"/>
      <c r="AI1197" s="68"/>
      <c r="AJ1197" s="213">
        <v>9.3669999999999995E-4</v>
      </c>
      <c r="AK1197" s="213">
        <v>1.789841</v>
      </c>
      <c r="AL1197" s="213">
        <v>2</v>
      </c>
      <c r="AM1197" s="213">
        <v>4.4559999999999999E-4</v>
      </c>
      <c r="AN1197" s="74"/>
      <c r="AO1197" s="73"/>
      <c r="AP1197" s="73"/>
      <c r="AQ1197" s="73"/>
      <c r="AR1197" s="73"/>
      <c r="AS1197" s="73"/>
      <c r="AT1197" s="74"/>
      <c r="AU1197" s="47"/>
      <c r="AV1197" s="48"/>
    </row>
    <row r="1198" spans="1:48" ht="12.75" customHeight="1" x14ac:dyDescent="0.25">
      <c r="A1198" s="72" t="s">
        <v>119</v>
      </c>
      <c r="B1198" s="43" t="s">
        <v>1154</v>
      </c>
      <c r="C1198" s="44" t="s">
        <v>1353</v>
      </c>
      <c r="D1198" s="45">
        <f>MROUND(MID($C1198,6,3)/Basis!$E$3,0.5)</f>
        <v>4.5</v>
      </c>
      <c r="E1198" s="45">
        <f>MROUND(MID($C1198,9,3)/Basis!$E$3,0.5)</f>
        <v>114</v>
      </c>
      <c r="F1198" s="199" t="s">
        <v>2950</v>
      </c>
      <c r="G1198" s="45">
        <f>ROUND(MID($C1198,12,2)/Basis!$E$3,1)</f>
        <v>13.4</v>
      </c>
      <c r="H1198" s="120">
        <f>ROUND($P1198*Basis!$E$2*((TaH-TrH)/LN(1/µ)/Basis!$E$7)^$N1198*$AA$4*Glycol,0)</f>
        <v>2492</v>
      </c>
      <c r="I1198" s="83">
        <f>ROUND(H1198/(MID($C1198,9,3)/Basis!$E$3/Basis!$E$9)*Basis!$E$11,0)</f>
        <v>262</v>
      </c>
      <c r="J1198" s="123">
        <f>IF(Basis!$E$1=1,ROUND(H1198/((TaH-TrH)*1.163)/3600,3),ROUND(H1198/(500*(TaH-TrH)),2))</f>
        <v>0.25</v>
      </c>
      <c r="K1198" s="84"/>
      <c r="L1198" s="177">
        <f>CHOOSE(Basis!$E$1,((AJ1198*(J1198*3600/Basis!$E$5)^AK1198*(((MID(C1198,9,3)*10)-244)/1000)*AL1198+AM1198*(J1198*3600/Basis!$E$5)^2)*0.0098)/Basis!$E$10,((AJ1198*(J1198/Basis!$E$5)^AK1198*(((MID(C1198,9,3)*10)-244)/1000)*AL1198+AM1198*(J1198/Basis!$E$5)^2)*0.0098)/Basis!$E$10)</f>
        <v>4.6371900992355393E-2</v>
      </c>
      <c r="M1198" s="85"/>
      <c r="N1198" s="109">
        <v>1.3620000000000001</v>
      </c>
      <c r="O1198" s="68"/>
      <c r="P1198" s="67">
        <v>1145</v>
      </c>
      <c r="Q1198" s="68"/>
      <c r="R1198" s="69"/>
      <c r="S1198" s="69"/>
      <c r="T1198" s="69"/>
      <c r="U1198" s="69"/>
      <c r="V1198" s="69"/>
      <c r="W1198" s="68"/>
      <c r="X1198" s="70"/>
      <c r="Y1198" s="70"/>
      <c r="Z1198" s="70"/>
      <c r="AA1198" s="70"/>
      <c r="AB1198" s="70"/>
      <c r="AC1198" s="68"/>
      <c r="AD1198" s="71"/>
      <c r="AE1198" s="71"/>
      <c r="AF1198" s="71"/>
      <c r="AG1198" s="71"/>
      <c r="AH1198" s="71"/>
      <c r="AI1198" s="68"/>
      <c r="AJ1198" s="214">
        <v>1.3162765859195E-2</v>
      </c>
      <c r="AK1198" s="214">
        <v>1.4286501188989</v>
      </c>
      <c r="AL1198" s="214">
        <v>1</v>
      </c>
      <c r="AM1198" s="214">
        <v>9.2091836734694004E-4</v>
      </c>
      <c r="AN1198" s="68"/>
      <c r="AO1198" s="67"/>
      <c r="AP1198" s="67"/>
      <c r="AQ1198" s="67"/>
      <c r="AR1198" s="67"/>
      <c r="AS1198" s="67"/>
      <c r="AT1198" s="68"/>
      <c r="AU1198" s="49"/>
      <c r="AV1198" s="50"/>
    </row>
    <row r="1199" spans="1:48" ht="12.75" customHeight="1" x14ac:dyDescent="0.25">
      <c r="A1199" s="72" t="s">
        <v>119</v>
      </c>
      <c r="B1199" s="43" t="s">
        <v>1154</v>
      </c>
      <c r="C1199" s="44" t="s">
        <v>1354</v>
      </c>
      <c r="D1199" s="45">
        <f>MROUND(MID($C1199,6,3)/Basis!$E$3,0.5)</f>
        <v>4.5</v>
      </c>
      <c r="E1199" s="45">
        <f>MROUND(MID($C1199,9,3)/Basis!$E$3,0.5)</f>
        <v>114</v>
      </c>
      <c r="F1199" s="199" t="s">
        <v>2950</v>
      </c>
      <c r="G1199" s="45">
        <f>ROUND(MID($C1199,12,2)/Basis!$E$3,1)</f>
        <v>16.5</v>
      </c>
      <c r="H1199" s="120">
        <f>ROUND($P1199*Basis!$E$2*((TaH-TrH)/LN(1/µ)/Basis!$E$7)^$N1199*$AA$4*Glycol,0)</f>
        <v>3502</v>
      </c>
      <c r="I1199" s="83">
        <f>ROUND(H1199/(MID($C1199,9,3)/Basis!$E$3/Basis!$E$9)*Basis!$E$11,0)</f>
        <v>368</v>
      </c>
      <c r="J1199" s="123">
        <f>IF(Basis!$E$1=1,ROUND(H1199/((TaH-TrH)*1.163)/3600,3),ROUND(H1199/(500*(TaH-TrH)),2))</f>
        <v>0.35</v>
      </c>
      <c r="K1199" s="84"/>
      <c r="L1199" s="177">
        <f>CHOOSE(Basis!$E$1,((AJ1199*(J1199*3600/Basis!$E$5)^AK1199*(((MID(C1199,9,3)*10)-244)/1000)*AL1199+AM1199*(J1199*3600/Basis!$E$5)^2)*0.0098)/Basis!$E$10,((AJ1199*(J1199/Basis!$E$5)^AK1199*(((MID(C1199,9,3)*10)-244)/1000)*AL1199+AM1199*(J1199/Basis!$E$5)^2)*0.0098)/Basis!$E$10)</f>
        <v>2.1228711195632955E-2</v>
      </c>
      <c r="M1199" s="85"/>
      <c r="N1199" s="110">
        <v>1.3620000000000001</v>
      </c>
      <c r="O1199" s="74"/>
      <c r="P1199" s="73">
        <v>1609</v>
      </c>
      <c r="Q1199" s="74"/>
      <c r="R1199" s="75"/>
      <c r="S1199" s="75"/>
      <c r="T1199" s="75"/>
      <c r="U1199" s="75"/>
      <c r="V1199" s="75"/>
      <c r="W1199" s="74"/>
      <c r="X1199" s="76"/>
      <c r="Y1199" s="76"/>
      <c r="Z1199" s="76"/>
      <c r="AA1199" s="76"/>
      <c r="AB1199" s="76"/>
      <c r="AC1199" s="74"/>
      <c r="AD1199" s="77"/>
      <c r="AE1199" s="77"/>
      <c r="AF1199" s="77"/>
      <c r="AG1199" s="77"/>
      <c r="AH1199" s="77"/>
      <c r="AI1199" s="68"/>
      <c r="AJ1199" s="213">
        <v>3.9689999999999994E-4</v>
      </c>
      <c r="AK1199" s="213">
        <v>1.7345999999999999</v>
      </c>
      <c r="AL1199" s="213">
        <v>2</v>
      </c>
      <c r="AM1199" s="213">
        <v>3.6734700000000002E-4</v>
      </c>
      <c r="AN1199" s="74"/>
      <c r="AO1199" s="73"/>
      <c r="AP1199" s="73"/>
      <c r="AQ1199" s="73"/>
      <c r="AR1199" s="73"/>
      <c r="AS1199" s="73"/>
      <c r="AT1199" s="74"/>
      <c r="AU1199" s="47"/>
      <c r="AV1199" s="48"/>
    </row>
    <row r="1200" spans="1:48" ht="12.75" customHeight="1" x14ac:dyDescent="0.25">
      <c r="A1200" s="72" t="s">
        <v>119</v>
      </c>
      <c r="B1200" s="43" t="s">
        <v>1154</v>
      </c>
      <c r="C1200" s="44" t="s">
        <v>1355</v>
      </c>
      <c r="D1200" s="45">
        <f>MROUND(MID($C1200,6,3)/Basis!$E$3,0.5)</f>
        <v>4.5</v>
      </c>
      <c r="E1200" s="45">
        <f>MROUND(MID($C1200,9,3)/Basis!$E$3,0.5)</f>
        <v>122</v>
      </c>
      <c r="F1200" s="199" t="s">
        <v>2950</v>
      </c>
      <c r="G1200" s="45">
        <f>ROUND(MID($C1200,12,2)/Basis!$E$3,1)</f>
        <v>5.5</v>
      </c>
      <c r="H1200" s="120">
        <f>ROUND($P1200*Basis!$E$2*((TaH-TrH)/LN(1/µ)/Basis!$E$7)^$N1200*$AA$4*Glycol,0)</f>
        <v>1293</v>
      </c>
      <c r="I1200" s="83">
        <f>ROUND(H1200/(MID($C1200,9,3)/Basis!$E$3/Basis!$E$9)*Basis!$E$11,0)</f>
        <v>127</v>
      </c>
      <c r="J1200" s="123">
        <f>IF(Basis!$E$1=1,ROUND(H1200/((TaH-TrH)*1.163)/3600,3),ROUND(H1200/(500*(TaH-TrH)),2))</f>
        <v>0.13</v>
      </c>
      <c r="K1200" s="84"/>
      <c r="L1200" s="177">
        <f>CHOOSE(Basis!$E$1,((AJ1200*(J1200*3600/Basis!$E$5)^AK1200*(((MID(C1200,9,3)*10)-244)/1000)*AL1200+AM1200*(J1200*3600/Basis!$E$5)^2)*0.0098)/Basis!$E$10,((AJ1200*(J1200/Basis!$E$5)^AK1200*(((MID(C1200,9,3)*10)-244)/1000)*AL1200+AM1200*(J1200/Basis!$E$5)^2)*0.0098)/Basis!$E$10)</f>
        <v>4.2718696835887414E-3</v>
      </c>
      <c r="M1200" s="85"/>
      <c r="N1200" s="109">
        <v>1.3620000000000001</v>
      </c>
      <c r="O1200" s="68"/>
      <c r="P1200" s="67">
        <v>594</v>
      </c>
      <c r="Q1200" s="68"/>
      <c r="R1200" s="69"/>
      <c r="S1200" s="69"/>
      <c r="T1200" s="69"/>
      <c r="U1200" s="69"/>
      <c r="V1200" s="69"/>
      <c r="W1200" s="68"/>
      <c r="X1200" s="70"/>
      <c r="Y1200" s="70"/>
      <c r="Z1200" s="70"/>
      <c r="AA1200" s="70"/>
      <c r="AB1200" s="70"/>
      <c r="AC1200" s="68"/>
      <c r="AD1200" s="71"/>
      <c r="AE1200" s="71"/>
      <c r="AF1200" s="71"/>
      <c r="AG1200" s="71"/>
      <c r="AH1200" s="71"/>
      <c r="AI1200" s="68"/>
      <c r="AJ1200" s="214">
        <v>6.0625777523108995E-4</v>
      </c>
      <c r="AK1200" s="214">
        <v>1.8894792857555001</v>
      </c>
      <c r="AL1200" s="214">
        <v>1</v>
      </c>
      <c r="AM1200" s="214">
        <v>3.0758017492711002E-4</v>
      </c>
      <c r="AN1200" s="68"/>
      <c r="AO1200" s="67"/>
      <c r="AP1200" s="67"/>
      <c r="AQ1200" s="67"/>
      <c r="AR1200" s="67"/>
      <c r="AS1200" s="67"/>
      <c r="AT1200" s="68"/>
      <c r="AU1200" s="49"/>
      <c r="AV1200" s="50"/>
    </row>
    <row r="1201" spans="1:48" ht="12.75" customHeight="1" x14ac:dyDescent="0.25">
      <c r="A1201" s="72" t="s">
        <v>119</v>
      </c>
      <c r="B1201" s="43" t="s">
        <v>1154</v>
      </c>
      <c r="C1201" s="44" t="s">
        <v>1356</v>
      </c>
      <c r="D1201" s="45">
        <f>MROUND(MID($C1201,6,3)/Basis!$E$3,0.5)</f>
        <v>4.5</v>
      </c>
      <c r="E1201" s="45">
        <f>MROUND(MID($C1201,9,3)/Basis!$E$3,0.5)</f>
        <v>122</v>
      </c>
      <c r="F1201" s="199" t="s">
        <v>2950</v>
      </c>
      <c r="G1201" s="45">
        <f>ROUND(MID($C1201,12,2)/Basis!$E$3,1)</f>
        <v>7.1</v>
      </c>
      <c r="H1201" s="120">
        <f>ROUND($P1201*Basis!$E$2*((TaH-TrH)/LN(1/µ)/Basis!$E$7)^$N1201*$AA$4*Glycol,0)</f>
        <v>1530</v>
      </c>
      <c r="I1201" s="83">
        <f>ROUND(H1201/(MID($C1201,9,3)/Basis!$E$3/Basis!$E$9)*Basis!$E$11,0)</f>
        <v>150</v>
      </c>
      <c r="J1201" s="123">
        <f>IF(Basis!$E$1=1,ROUND(H1201/((TaH-TrH)*1.163)/3600,3),ROUND(H1201/(500*(TaH-TrH)),2))</f>
        <v>0.15</v>
      </c>
      <c r="K1201" s="84"/>
      <c r="L1201" s="177">
        <f>CHOOSE(Basis!$E$1,((AJ1201*(J1201*3600/Basis!$E$5)^AK1201*(((MID(C1201,9,3)*10)-244)/1000)*AL1201+AM1201*(J1201*3600/Basis!$E$5)^2)*0.0098)/Basis!$E$10,((AJ1201*(J1201/Basis!$E$5)^AK1201*(((MID(C1201,9,3)*10)-244)/1000)*AL1201+AM1201*(J1201/Basis!$E$5)^2)*0.0098)/Basis!$E$10)</f>
        <v>1.1364362581494356E-2</v>
      </c>
      <c r="M1201" s="85"/>
      <c r="N1201" s="110">
        <v>1.3620000000000001</v>
      </c>
      <c r="O1201" s="74"/>
      <c r="P1201" s="73">
        <v>703</v>
      </c>
      <c r="Q1201" s="74"/>
      <c r="R1201" s="75"/>
      <c r="S1201" s="75"/>
      <c r="T1201" s="75"/>
      <c r="U1201" s="75"/>
      <c r="V1201" s="75"/>
      <c r="W1201" s="74"/>
      <c r="X1201" s="76"/>
      <c r="Y1201" s="76"/>
      <c r="Z1201" s="76"/>
      <c r="AA1201" s="76"/>
      <c r="AB1201" s="76"/>
      <c r="AC1201" s="74"/>
      <c r="AD1201" s="77"/>
      <c r="AE1201" s="77"/>
      <c r="AF1201" s="77"/>
      <c r="AG1201" s="77"/>
      <c r="AH1201" s="77"/>
      <c r="AI1201" s="68"/>
      <c r="AJ1201" s="213">
        <v>9.3669999999999995E-4</v>
      </c>
      <c r="AK1201" s="213">
        <v>1.789841</v>
      </c>
      <c r="AL1201" s="213">
        <v>2</v>
      </c>
      <c r="AM1201" s="213">
        <v>4.4559999999999999E-4</v>
      </c>
      <c r="AN1201" s="74"/>
      <c r="AO1201" s="73"/>
      <c r="AP1201" s="73"/>
      <c r="AQ1201" s="73"/>
      <c r="AR1201" s="73"/>
      <c r="AS1201" s="73"/>
      <c r="AT1201" s="74"/>
      <c r="AU1201" s="47"/>
      <c r="AV1201" s="48"/>
    </row>
    <row r="1202" spans="1:48" ht="12.75" customHeight="1" x14ac:dyDescent="0.25">
      <c r="A1202" s="72" t="s">
        <v>119</v>
      </c>
      <c r="B1202" s="43" t="s">
        <v>1154</v>
      </c>
      <c r="C1202" s="44" t="s">
        <v>1357</v>
      </c>
      <c r="D1202" s="45">
        <f>MROUND(MID($C1202,6,3)/Basis!$E$3,0.5)</f>
        <v>4.5</v>
      </c>
      <c r="E1202" s="45">
        <f>MROUND(MID($C1202,9,3)/Basis!$E$3,0.5)</f>
        <v>122</v>
      </c>
      <c r="F1202" s="199" t="s">
        <v>2950</v>
      </c>
      <c r="G1202" s="45">
        <f>ROUND(MID($C1202,12,2)/Basis!$E$3,1)</f>
        <v>10.199999999999999</v>
      </c>
      <c r="H1202" s="120">
        <f>ROUND($P1202*Basis!$E$2*((TaH-TrH)/LN(1/µ)/Basis!$E$7)^$N1202*$AA$4*Glycol,0)</f>
        <v>2066</v>
      </c>
      <c r="I1202" s="83">
        <f>ROUND(H1202/(MID($C1202,9,3)/Basis!$E$3/Basis!$E$9)*Basis!$E$11,0)</f>
        <v>203</v>
      </c>
      <c r="J1202" s="123">
        <f>IF(Basis!$E$1=1,ROUND(H1202/((TaH-TrH)*1.163)/3600,3),ROUND(H1202/(500*(TaH-TrH)),2))</f>
        <v>0.21</v>
      </c>
      <c r="K1202" s="84"/>
      <c r="L1202" s="177">
        <f>CHOOSE(Basis!$E$1,((AJ1202*(J1202*3600/Basis!$E$5)^AK1202*(((MID(C1202,9,3)*10)-244)/1000)*AL1202+AM1202*(J1202*3600/Basis!$E$5)^2)*0.0098)/Basis!$E$10,((AJ1202*(J1202/Basis!$E$5)^AK1202*(((MID(C1202,9,3)*10)-244)/1000)*AL1202+AM1202*(J1202/Basis!$E$5)^2)*0.0098)/Basis!$E$10)</f>
        <v>2.097976906216787E-2</v>
      </c>
      <c r="M1202" s="85"/>
      <c r="N1202" s="109">
        <v>1.3620000000000001</v>
      </c>
      <c r="O1202" s="68"/>
      <c r="P1202" s="67">
        <v>949</v>
      </c>
      <c r="Q1202" s="68"/>
      <c r="R1202" s="69"/>
      <c r="S1202" s="69"/>
      <c r="T1202" s="69"/>
      <c r="U1202" s="69"/>
      <c r="V1202" s="69"/>
      <c r="W1202" s="68"/>
      <c r="X1202" s="70"/>
      <c r="Y1202" s="70"/>
      <c r="Z1202" s="70"/>
      <c r="AA1202" s="70"/>
      <c r="AB1202" s="70"/>
      <c r="AC1202" s="68"/>
      <c r="AD1202" s="71"/>
      <c r="AE1202" s="71"/>
      <c r="AF1202" s="71"/>
      <c r="AG1202" s="71"/>
      <c r="AH1202" s="71"/>
      <c r="AI1202" s="68"/>
      <c r="AJ1202" s="214">
        <v>9.3669999999999995E-4</v>
      </c>
      <c r="AK1202" s="214">
        <v>1.789841</v>
      </c>
      <c r="AL1202" s="214">
        <v>2</v>
      </c>
      <c r="AM1202" s="214">
        <v>4.4559999999999999E-4</v>
      </c>
      <c r="AN1202" s="68"/>
      <c r="AO1202" s="67"/>
      <c r="AP1202" s="67"/>
      <c r="AQ1202" s="67"/>
      <c r="AR1202" s="67"/>
      <c r="AS1202" s="67"/>
      <c r="AT1202" s="68"/>
      <c r="AU1202" s="49"/>
      <c r="AV1202" s="50"/>
    </row>
    <row r="1203" spans="1:48" ht="12.75" customHeight="1" x14ac:dyDescent="0.25">
      <c r="A1203" s="72" t="s">
        <v>119</v>
      </c>
      <c r="B1203" s="43" t="s">
        <v>1154</v>
      </c>
      <c r="C1203" s="44" t="s">
        <v>1358</v>
      </c>
      <c r="D1203" s="45">
        <f>MROUND(MID($C1203,6,3)/Basis!$E$3,0.5)</f>
        <v>4.5</v>
      </c>
      <c r="E1203" s="45">
        <f>MROUND(MID($C1203,9,3)/Basis!$E$3,0.5)</f>
        <v>122</v>
      </c>
      <c r="F1203" s="199" t="s">
        <v>2950</v>
      </c>
      <c r="G1203" s="45">
        <f>ROUND(MID($C1203,12,2)/Basis!$E$3,1)</f>
        <v>13.4</v>
      </c>
      <c r="H1203" s="120">
        <f>ROUND($P1203*Basis!$E$2*((TaH-TrH)/LN(1/µ)/Basis!$E$7)^$N1203*$AA$4*Glycol,0)</f>
        <v>2684</v>
      </c>
      <c r="I1203" s="83">
        <f>ROUND(H1203/(MID($C1203,9,3)/Basis!$E$3/Basis!$E$9)*Basis!$E$11,0)</f>
        <v>264</v>
      </c>
      <c r="J1203" s="123">
        <f>IF(Basis!$E$1=1,ROUND(H1203/((TaH-TrH)*1.163)/3600,3),ROUND(H1203/(500*(TaH-TrH)),2))</f>
        <v>0.27</v>
      </c>
      <c r="K1203" s="84"/>
      <c r="L1203" s="177">
        <f>CHOOSE(Basis!$E$1,((AJ1203*(J1203*3600/Basis!$E$5)^AK1203*(((MID(C1203,9,3)*10)-244)/1000)*AL1203+AM1203*(J1203*3600/Basis!$E$5)^2)*0.0098)/Basis!$E$10,((AJ1203*(J1203/Basis!$E$5)^AK1203*(((MID(C1203,9,3)*10)-244)/1000)*AL1203+AM1203*(J1203/Basis!$E$5)^2)*0.0098)/Basis!$E$10)</f>
        <v>5.533019060675512E-2</v>
      </c>
      <c r="M1203" s="85"/>
      <c r="N1203" s="110">
        <v>1.3620000000000001</v>
      </c>
      <c r="O1203" s="74"/>
      <c r="P1203" s="73">
        <v>1233</v>
      </c>
      <c r="Q1203" s="74"/>
      <c r="R1203" s="75"/>
      <c r="S1203" s="75"/>
      <c r="T1203" s="75"/>
      <c r="U1203" s="75"/>
      <c r="V1203" s="75"/>
      <c r="W1203" s="74"/>
      <c r="X1203" s="76"/>
      <c r="Y1203" s="76"/>
      <c r="Z1203" s="76"/>
      <c r="AA1203" s="76"/>
      <c r="AB1203" s="76"/>
      <c r="AC1203" s="74"/>
      <c r="AD1203" s="77"/>
      <c r="AE1203" s="77"/>
      <c r="AF1203" s="77"/>
      <c r="AG1203" s="77"/>
      <c r="AH1203" s="77"/>
      <c r="AI1203" s="68"/>
      <c r="AJ1203" s="213">
        <v>1.3162765859195E-2</v>
      </c>
      <c r="AK1203" s="213">
        <v>1.4286501188989</v>
      </c>
      <c r="AL1203" s="213">
        <v>1</v>
      </c>
      <c r="AM1203" s="213">
        <v>9.2091836734694004E-4</v>
      </c>
      <c r="AN1203" s="74"/>
      <c r="AO1203" s="73"/>
      <c r="AP1203" s="73"/>
      <c r="AQ1203" s="73"/>
      <c r="AR1203" s="73"/>
      <c r="AS1203" s="73"/>
      <c r="AT1203" s="74"/>
      <c r="AU1203" s="47"/>
      <c r="AV1203" s="48"/>
    </row>
    <row r="1204" spans="1:48" ht="12.75" customHeight="1" x14ac:dyDescent="0.25">
      <c r="A1204" s="72" t="s">
        <v>119</v>
      </c>
      <c r="B1204" s="43" t="s">
        <v>1154</v>
      </c>
      <c r="C1204" s="44" t="s">
        <v>1359</v>
      </c>
      <c r="D1204" s="45">
        <f>MROUND(MID($C1204,6,3)/Basis!$E$3,0.5)</f>
        <v>4.5</v>
      </c>
      <c r="E1204" s="45">
        <f>MROUND(MID($C1204,9,3)/Basis!$E$3,0.5)</f>
        <v>122</v>
      </c>
      <c r="F1204" s="199" t="s">
        <v>2950</v>
      </c>
      <c r="G1204" s="45">
        <f>ROUND(MID($C1204,12,2)/Basis!$E$3,1)</f>
        <v>16.5</v>
      </c>
      <c r="H1204" s="120">
        <f>ROUND($P1204*Basis!$E$2*((TaH-TrH)/LN(1/µ)/Basis!$E$7)^$N1204*$AA$4*Glycol,0)</f>
        <v>3770</v>
      </c>
      <c r="I1204" s="83">
        <f>ROUND(H1204/(MID($C1204,9,3)/Basis!$E$3/Basis!$E$9)*Basis!$E$11,0)</f>
        <v>371</v>
      </c>
      <c r="J1204" s="123">
        <f>IF(Basis!$E$1=1,ROUND(H1204/((TaH-TrH)*1.163)/3600,3),ROUND(H1204/(500*(TaH-TrH)),2))</f>
        <v>0.38</v>
      </c>
      <c r="K1204" s="84"/>
      <c r="L1204" s="177">
        <f>CHOOSE(Basis!$E$1,((AJ1204*(J1204*3600/Basis!$E$5)^AK1204*(((MID(C1204,9,3)*10)-244)/1000)*AL1204+AM1204*(J1204*3600/Basis!$E$5)^2)*0.0098)/Basis!$E$10,((AJ1204*(J1204/Basis!$E$5)^AK1204*(((MID(C1204,9,3)*10)-244)/1000)*AL1204+AM1204*(J1204/Basis!$E$5)^2)*0.0098)/Basis!$E$10)</f>
        <v>2.5861260327404403E-2</v>
      </c>
      <c r="M1204" s="85"/>
      <c r="N1204" s="109">
        <v>1.3620000000000001</v>
      </c>
      <c r="O1204" s="68"/>
      <c r="P1204" s="67">
        <v>1732</v>
      </c>
      <c r="Q1204" s="68"/>
      <c r="R1204" s="69"/>
      <c r="S1204" s="69"/>
      <c r="T1204" s="69"/>
      <c r="U1204" s="69"/>
      <c r="V1204" s="69"/>
      <c r="W1204" s="68"/>
      <c r="X1204" s="70"/>
      <c r="Y1204" s="70"/>
      <c r="Z1204" s="70"/>
      <c r="AA1204" s="70"/>
      <c r="AB1204" s="70"/>
      <c r="AC1204" s="68"/>
      <c r="AD1204" s="71"/>
      <c r="AE1204" s="71"/>
      <c r="AF1204" s="71"/>
      <c r="AG1204" s="71"/>
      <c r="AH1204" s="71"/>
      <c r="AI1204" s="68"/>
      <c r="AJ1204" s="214">
        <v>3.9689999999999994E-4</v>
      </c>
      <c r="AK1204" s="214">
        <v>1.7345999999999999</v>
      </c>
      <c r="AL1204" s="214">
        <v>2</v>
      </c>
      <c r="AM1204" s="214">
        <v>3.6734700000000002E-4</v>
      </c>
      <c r="AN1204" s="68"/>
      <c r="AO1204" s="67"/>
      <c r="AP1204" s="67"/>
      <c r="AQ1204" s="67"/>
      <c r="AR1204" s="67"/>
      <c r="AS1204" s="67"/>
      <c r="AT1204" s="68"/>
      <c r="AU1204" s="49"/>
      <c r="AV1204" s="50"/>
    </row>
    <row r="1205" spans="1:48" ht="12.75" customHeight="1" x14ac:dyDescent="0.25">
      <c r="A1205" s="72" t="s">
        <v>119</v>
      </c>
      <c r="B1205" s="43" t="s">
        <v>1154</v>
      </c>
      <c r="C1205" s="44" t="s">
        <v>1360</v>
      </c>
      <c r="D1205" s="45">
        <f>MROUND(MID($C1205,6,3)/Basis!$E$3,0.5)</f>
        <v>4.5</v>
      </c>
      <c r="E1205" s="45">
        <f>MROUND(MID($C1205,9,3)/Basis!$E$3,0.5)</f>
        <v>130</v>
      </c>
      <c r="F1205" s="199" t="s">
        <v>2950</v>
      </c>
      <c r="G1205" s="45">
        <f>ROUND(MID($C1205,12,2)/Basis!$E$3,1)</f>
        <v>5.5</v>
      </c>
      <c r="H1205" s="120">
        <f>ROUND($P1205*Basis!$E$2*((TaH-TrH)/LN(1/µ)/Basis!$E$7)^$N1205*$AA$4*Glycol,0)</f>
        <v>1382</v>
      </c>
      <c r="I1205" s="83">
        <f>ROUND(H1205/(MID($C1205,9,3)/Basis!$E$3/Basis!$E$9)*Basis!$E$11,0)</f>
        <v>128</v>
      </c>
      <c r="J1205" s="123">
        <f>IF(Basis!$E$1=1,ROUND(H1205/((TaH-TrH)*1.163)/3600,3),ROUND(H1205/(500*(TaH-TrH)),2))</f>
        <v>0.14000000000000001</v>
      </c>
      <c r="K1205" s="84"/>
      <c r="L1205" s="177">
        <f>CHOOSE(Basis!$E$1,((AJ1205*(J1205*3600/Basis!$E$5)^AK1205*(((MID(C1205,9,3)*10)-244)/1000)*AL1205+AM1205*(J1205*3600/Basis!$E$5)^2)*0.0098)/Basis!$E$10,((AJ1205*(J1205/Basis!$E$5)^AK1205*(((MID(C1205,9,3)*10)-244)/1000)*AL1205+AM1205*(J1205/Basis!$E$5)^2)*0.0098)/Basis!$E$10)</f>
        <v>5.1957267317232127E-3</v>
      </c>
      <c r="M1205" s="85"/>
      <c r="N1205" s="110">
        <v>1.3620000000000001</v>
      </c>
      <c r="O1205" s="74"/>
      <c r="P1205" s="73">
        <v>635</v>
      </c>
      <c r="Q1205" s="74"/>
      <c r="R1205" s="75"/>
      <c r="S1205" s="75"/>
      <c r="T1205" s="75"/>
      <c r="U1205" s="75"/>
      <c r="V1205" s="75"/>
      <c r="W1205" s="74"/>
      <c r="X1205" s="76"/>
      <c r="Y1205" s="76"/>
      <c r="Z1205" s="76"/>
      <c r="AA1205" s="76"/>
      <c r="AB1205" s="76"/>
      <c r="AC1205" s="74"/>
      <c r="AD1205" s="77"/>
      <c r="AE1205" s="77"/>
      <c r="AF1205" s="77"/>
      <c r="AG1205" s="77"/>
      <c r="AH1205" s="77"/>
      <c r="AI1205" s="68"/>
      <c r="AJ1205" s="213">
        <v>6.0625777523108995E-4</v>
      </c>
      <c r="AK1205" s="213">
        <v>1.8894792857555001</v>
      </c>
      <c r="AL1205" s="213">
        <v>1</v>
      </c>
      <c r="AM1205" s="213">
        <v>3.0758017492711002E-4</v>
      </c>
      <c r="AN1205" s="74"/>
      <c r="AO1205" s="73"/>
      <c r="AP1205" s="73"/>
      <c r="AQ1205" s="73"/>
      <c r="AR1205" s="73"/>
      <c r="AS1205" s="73"/>
      <c r="AT1205" s="74"/>
      <c r="AU1205" s="47"/>
      <c r="AV1205" s="48"/>
    </row>
    <row r="1206" spans="1:48" ht="12.75" customHeight="1" x14ac:dyDescent="0.25">
      <c r="A1206" s="72" t="s">
        <v>119</v>
      </c>
      <c r="B1206" s="43" t="s">
        <v>1154</v>
      </c>
      <c r="C1206" s="44" t="s">
        <v>1361</v>
      </c>
      <c r="D1206" s="45">
        <f>MROUND(MID($C1206,6,3)/Basis!$E$3,0.5)</f>
        <v>4.5</v>
      </c>
      <c r="E1206" s="45">
        <f>MROUND(MID($C1206,9,3)/Basis!$E$3,0.5)</f>
        <v>130</v>
      </c>
      <c r="F1206" s="199" t="s">
        <v>2950</v>
      </c>
      <c r="G1206" s="45">
        <f>ROUND(MID($C1206,12,2)/Basis!$E$3,1)</f>
        <v>7.1</v>
      </c>
      <c r="H1206" s="120">
        <f>ROUND($P1206*Basis!$E$2*((TaH-TrH)/LN(1/µ)/Basis!$E$7)^$N1206*$AA$4*Glycol,0)</f>
        <v>1641</v>
      </c>
      <c r="I1206" s="83">
        <f>ROUND(H1206/(MID($C1206,9,3)/Basis!$E$3/Basis!$E$9)*Basis!$E$11,0)</f>
        <v>152</v>
      </c>
      <c r="J1206" s="123">
        <f>IF(Basis!$E$1=1,ROUND(H1206/((TaH-TrH)*1.163)/3600,3),ROUND(H1206/(500*(TaH-TrH)),2))</f>
        <v>0.16</v>
      </c>
      <c r="K1206" s="84"/>
      <c r="L1206" s="177">
        <f>CHOOSE(Basis!$E$1,((AJ1206*(J1206*3600/Basis!$E$5)^AK1206*(((MID(C1206,9,3)*10)-244)/1000)*AL1206+AM1206*(J1206*3600/Basis!$E$5)^2)*0.0098)/Basis!$E$10,((AJ1206*(J1206/Basis!$E$5)^AK1206*(((MID(C1206,9,3)*10)-244)/1000)*AL1206+AM1206*(J1206/Basis!$E$5)^2)*0.0098)/Basis!$E$10)</f>
        <v>1.3542196149154785E-2</v>
      </c>
      <c r="M1206" s="85"/>
      <c r="N1206" s="109">
        <v>1.3620000000000001</v>
      </c>
      <c r="O1206" s="68"/>
      <c r="P1206" s="67">
        <v>754</v>
      </c>
      <c r="Q1206" s="68"/>
      <c r="R1206" s="69"/>
      <c r="S1206" s="69"/>
      <c r="T1206" s="69"/>
      <c r="U1206" s="69"/>
      <c r="V1206" s="69"/>
      <c r="W1206" s="68"/>
      <c r="X1206" s="70"/>
      <c r="Y1206" s="70"/>
      <c r="Z1206" s="70"/>
      <c r="AA1206" s="70"/>
      <c r="AB1206" s="70"/>
      <c r="AC1206" s="68"/>
      <c r="AD1206" s="71"/>
      <c r="AE1206" s="71"/>
      <c r="AF1206" s="71"/>
      <c r="AG1206" s="71"/>
      <c r="AH1206" s="71"/>
      <c r="AI1206" s="68"/>
      <c r="AJ1206" s="214">
        <v>9.3669999999999995E-4</v>
      </c>
      <c r="AK1206" s="214">
        <v>1.789841</v>
      </c>
      <c r="AL1206" s="214">
        <v>2</v>
      </c>
      <c r="AM1206" s="214">
        <v>4.4559999999999999E-4</v>
      </c>
      <c r="AN1206" s="68"/>
      <c r="AO1206" s="67"/>
      <c r="AP1206" s="67"/>
      <c r="AQ1206" s="67"/>
      <c r="AR1206" s="67"/>
      <c r="AS1206" s="67"/>
      <c r="AT1206" s="68"/>
      <c r="AU1206" s="49"/>
      <c r="AV1206" s="50"/>
    </row>
    <row r="1207" spans="1:48" ht="12.75" customHeight="1" x14ac:dyDescent="0.25">
      <c r="A1207" s="72" t="s">
        <v>119</v>
      </c>
      <c r="B1207" s="43" t="s">
        <v>1154</v>
      </c>
      <c r="C1207" s="44" t="s">
        <v>1362</v>
      </c>
      <c r="D1207" s="45">
        <f>MROUND(MID($C1207,6,3)/Basis!$E$3,0.5)</f>
        <v>4.5</v>
      </c>
      <c r="E1207" s="45">
        <f>MROUND(MID($C1207,9,3)/Basis!$E$3,0.5)</f>
        <v>130</v>
      </c>
      <c r="F1207" s="199" t="s">
        <v>2950</v>
      </c>
      <c r="G1207" s="45">
        <f>ROUND(MID($C1207,12,2)/Basis!$E$3,1)</f>
        <v>10.199999999999999</v>
      </c>
      <c r="H1207" s="120">
        <f>ROUND($P1207*Basis!$E$2*((TaH-TrH)/LN(1/µ)/Basis!$E$7)^$N1207*$AA$4*Glycol,0)</f>
        <v>2214</v>
      </c>
      <c r="I1207" s="83">
        <f>ROUND(H1207/(MID($C1207,9,3)/Basis!$E$3/Basis!$E$9)*Basis!$E$11,0)</f>
        <v>204</v>
      </c>
      <c r="J1207" s="123">
        <f>IF(Basis!$E$1=1,ROUND(H1207/((TaH-TrH)*1.163)/3600,3),ROUND(H1207/(500*(TaH-TrH)),2))</f>
        <v>0.22</v>
      </c>
      <c r="K1207" s="84"/>
      <c r="L1207" s="177">
        <f>CHOOSE(Basis!$E$1,((AJ1207*(J1207*3600/Basis!$E$5)^AK1207*(((MID(C1207,9,3)*10)-244)/1000)*AL1207+AM1207*(J1207*3600/Basis!$E$5)^2)*0.0098)/Basis!$E$10,((AJ1207*(J1207/Basis!$E$5)^AK1207*(((MID(C1207,9,3)*10)-244)/1000)*AL1207+AM1207*(J1207/Basis!$E$5)^2)*0.0098)/Basis!$E$10)</f>
        <v>2.4181266581482338E-2</v>
      </c>
      <c r="M1207" s="85"/>
      <c r="N1207" s="110">
        <v>1.3620000000000001</v>
      </c>
      <c r="O1207" s="74"/>
      <c r="P1207" s="73">
        <v>1017</v>
      </c>
      <c r="Q1207" s="74"/>
      <c r="R1207" s="75"/>
      <c r="S1207" s="75"/>
      <c r="T1207" s="75"/>
      <c r="U1207" s="75"/>
      <c r="V1207" s="75"/>
      <c r="W1207" s="74"/>
      <c r="X1207" s="76"/>
      <c r="Y1207" s="76"/>
      <c r="Z1207" s="76"/>
      <c r="AA1207" s="76"/>
      <c r="AB1207" s="76"/>
      <c r="AC1207" s="74"/>
      <c r="AD1207" s="77"/>
      <c r="AE1207" s="77"/>
      <c r="AF1207" s="77"/>
      <c r="AG1207" s="77"/>
      <c r="AH1207" s="77"/>
      <c r="AI1207" s="68"/>
      <c r="AJ1207" s="213">
        <v>9.3669999999999995E-4</v>
      </c>
      <c r="AK1207" s="213">
        <v>1.789841</v>
      </c>
      <c r="AL1207" s="213">
        <v>2</v>
      </c>
      <c r="AM1207" s="213">
        <v>4.4559999999999999E-4</v>
      </c>
      <c r="AN1207" s="74"/>
      <c r="AO1207" s="73"/>
      <c r="AP1207" s="73"/>
      <c r="AQ1207" s="73"/>
      <c r="AR1207" s="73"/>
      <c r="AS1207" s="73"/>
      <c r="AT1207" s="74"/>
      <c r="AU1207" s="47"/>
      <c r="AV1207" s="48"/>
    </row>
    <row r="1208" spans="1:48" ht="12.75" customHeight="1" x14ac:dyDescent="0.25">
      <c r="A1208" s="72" t="s">
        <v>119</v>
      </c>
      <c r="B1208" s="43" t="s">
        <v>1154</v>
      </c>
      <c r="C1208" s="44" t="s">
        <v>1363</v>
      </c>
      <c r="D1208" s="45">
        <f>MROUND(MID($C1208,6,3)/Basis!$E$3,0.5)</f>
        <v>4.5</v>
      </c>
      <c r="E1208" s="45">
        <f>MROUND(MID($C1208,9,3)/Basis!$E$3,0.5)</f>
        <v>130</v>
      </c>
      <c r="F1208" s="199" t="s">
        <v>2950</v>
      </c>
      <c r="G1208" s="45">
        <f>ROUND(MID($C1208,12,2)/Basis!$E$3,1)</f>
        <v>13.4</v>
      </c>
      <c r="H1208" s="120">
        <f>ROUND($P1208*Basis!$E$2*((TaH-TrH)/LN(1/µ)/Basis!$E$7)^$N1208*$AA$4*Glycol,0)</f>
        <v>2875</v>
      </c>
      <c r="I1208" s="83">
        <f>ROUND(H1208/(MID($C1208,9,3)/Basis!$E$3/Basis!$E$9)*Basis!$E$11,0)</f>
        <v>266</v>
      </c>
      <c r="J1208" s="123">
        <f>IF(Basis!$E$1=1,ROUND(H1208/((TaH-TrH)*1.163)/3600,3),ROUND(H1208/(500*(TaH-TrH)),2))</f>
        <v>0.28999999999999998</v>
      </c>
      <c r="K1208" s="84"/>
      <c r="L1208" s="177">
        <f>CHOOSE(Basis!$E$1,((AJ1208*(J1208*3600/Basis!$E$5)^AK1208*(((MID(C1208,9,3)*10)-244)/1000)*AL1208+AM1208*(J1208*3600/Basis!$E$5)^2)*0.0098)/Basis!$E$10,((AJ1208*(J1208/Basis!$E$5)^AK1208*(((MID(C1208,9,3)*10)-244)/1000)*AL1208+AM1208*(J1208/Basis!$E$5)^2)*0.0098)/Basis!$E$10)</f>
        <v>6.5212774798842243E-2</v>
      </c>
      <c r="M1208" s="85"/>
      <c r="N1208" s="109">
        <v>1.3620000000000001</v>
      </c>
      <c r="O1208" s="68"/>
      <c r="P1208" s="67">
        <v>1321</v>
      </c>
      <c r="Q1208" s="68"/>
      <c r="R1208" s="69"/>
      <c r="S1208" s="69"/>
      <c r="T1208" s="69"/>
      <c r="U1208" s="69"/>
      <c r="V1208" s="69"/>
      <c r="W1208" s="68"/>
      <c r="X1208" s="70"/>
      <c r="Y1208" s="70"/>
      <c r="Z1208" s="70"/>
      <c r="AA1208" s="70"/>
      <c r="AB1208" s="70"/>
      <c r="AC1208" s="68"/>
      <c r="AD1208" s="71"/>
      <c r="AE1208" s="71"/>
      <c r="AF1208" s="71"/>
      <c r="AG1208" s="71"/>
      <c r="AH1208" s="71"/>
      <c r="AI1208" s="68"/>
      <c r="AJ1208" s="214">
        <v>1.3162765859195E-2</v>
      </c>
      <c r="AK1208" s="214">
        <v>1.4286501188989</v>
      </c>
      <c r="AL1208" s="214">
        <v>1</v>
      </c>
      <c r="AM1208" s="214">
        <v>9.2091836734694004E-4</v>
      </c>
      <c r="AN1208" s="68"/>
      <c r="AO1208" s="67"/>
      <c r="AP1208" s="67"/>
      <c r="AQ1208" s="67"/>
      <c r="AR1208" s="67"/>
      <c r="AS1208" s="67"/>
      <c r="AT1208" s="68"/>
      <c r="AU1208" s="49"/>
      <c r="AV1208" s="50"/>
    </row>
    <row r="1209" spans="1:48" ht="12.75" customHeight="1" x14ac:dyDescent="0.25">
      <c r="A1209" s="72" t="s">
        <v>119</v>
      </c>
      <c r="B1209" s="43" t="s">
        <v>1154</v>
      </c>
      <c r="C1209" s="44" t="s">
        <v>1364</v>
      </c>
      <c r="D1209" s="45">
        <f>MROUND(MID($C1209,6,3)/Basis!$E$3,0.5)</f>
        <v>4.5</v>
      </c>
      <c r="E1209" s="45">
        <f>MROUND(MID($C1209,9,3)/Basis!$E$3,0.5)</f>
        <v>130</v>
      </c>
      <c r="F1209" s="199" t="s">
        <v>2950</v>
      </c>
      <c r="G1209" s="45">
        <f>ROUND(MID($C1209,12,2)/Basis!$E$3,1)</f>
        <v>16.5</v>
      </c>
      <c r="H1209" s="120">
        <f>ROUND($P1209*Basis!$E$2*((TaH-TrH)/LN(1/µ)/Basis!$E$7)^$N1209*$AA$4*Glycol,0)</f>
        <v>4042</v>
      </c>
      <c r="I1209" s="83">
        <f>ROUND(H1209/(MID($C1209,9,3)/Basis!$E$3/Basis!$E$9)*Basis!$E$11,0)</f>
        <v>373</v>
      </c>
      <c r="J1209" s="123">
        <f>IF(Basis!$E$1=1,ROUND(H1209/((TaH-TrH)*1.163)/3600,3),ROUND(H1209/(500*(TaH-TrH)),2))</f>
        <v>0.4</v>
      </c>
      <c r="K1209" s="84"/>
      <c r="L1209" s="177">
        <f>CHOOSE(Basis!$E$1,((AJ1209*(J1209*3600/Basis!$E$5)^AK1209*(((MID(C1209,9,3)*10)-244)/1000)*AL1209+AM1209*(J1209*3600/Basis!$E$5)^2)*0.0098)/Basis!$E$10,((AJ1209*(J1209/Basis!$E$5)^AK1209*(((MID(C1209,9,3)*10)-244)/1000)*AL1209+AM1209*(J1209/Basis!$E$5)^2)*0.0098)/Basis!$E$10)</f>
        <v>2.969641503984817E-2</v>
      </c>
      <c r="M1209" s="85"/>
      <c r="N1209" s="110">
        <v>1.3620000000000001</v>
      </c>
      <c r="O1209" s="74"/>
      <c r="P1209" s="73">
        <v>1857</v>
      </c>
      <c r="Q1209" s="74"/>
      <c r="R1209" s="75"/>
      <c r="S1209" s="75"/>
      <c r="T1209" s="75"/>
      <c r="U1209" s="75"/>
      <c r="V1209" s="75"/>
      <c r="W1209" s="74"/>
      <c r="X1209" s="76"/>
      <c r="Y1209" s="76"/>
      <c r="Z1209" s="76"/>
      <c r="AA1209" s="76"/>
      <c r="AB1209" s="76"/>
      <c r="AC1209" s="74"/>
      <c r="AD1209" s="77"/>
      <c r="AE1209" s="77"/>
      <c r="AF1209" s="77"/>
      <c r="AG1209" s="77"/>
      <c r="AH1209" s="77"/>
      <c r="AI1209" s="68"/>
      <c r="AJ1209" s="213">
        <v>3.9689999999999994E-4</v>
      </c>
      <c r="AK1209" s="213">
        <v>1.7345999999999999</v>
      </c>
      <c r="AL1209" s="213">
        <v>2</v>
      </c>
      <c r="AM1209" s="213">
        <v>3.6734700000000002E-4</v>
      </c>
      <c r="AN1209" s="74"/>
      <c r="AO1209" s="73"/>
      <c r="AP1209" s="73"/>
      <c r="AQ1209" s="73"/>
      <c r="AR1209" s="73"/>
      <c r="AS1209" s="73"/>
      <c r="AT1209" s="74"/>
      <c r="AU1209" s="47"/>
      <c r="AV1209" s="48"/>
    </row>
    <row r="1210" spans="1:48" ht="12.75" customHeight="1" x14ac:dyDescent="0.25">
      <c r="A1210" s="72" t="s">
        <v>119</v>
      </c>
      <c r="B1210" s="43" t="s">
        <v>1154</v>
      </c>
      <c r="C1210" s="44" t="s">
        <v>1365</v>
      </c>
      <c r="D1210" s="45">
        <f>MROUND(MID($C1210,6,3)/Basis!$E$3,0.5)</f>
        <v>4.5</v>
      </c>
      <c r="E1210" s="45">
        <f>MROUND(MID($C1210,9,3)/Basis!$E$3,0.5)</f>
        <v>138</v>
      </c>
      <c r="F1210" s="199" t="s">
        <v>2950</v>
      </c>
      <c r="G1210" s="45">
        <f>ROUND(MID($C1210,12,2)/Basis!$E$3,1)</f>
        <v>5.5</v>
      </c>
      <c r="H1210" s="120">
        <f>ROUND($P1210*Basis!$E$2*((TaH-TrH)/LN(1/µ)/Basis!$E$7)^$N1210*$AA$4*Glycol,0)</f>
        <v>1476</v>
      </c>
      <c r="I1210" s="83">
        <f>ROUND(H1210/(MID($C1210,9,3)/Basis!$E$3/Basis!$E$9)*Basis!$E$11,0)</f>
        <v>129</v>
      </c>
      <c r="J1210" s="123">
        <f>IF(Basis!$E$1=1,ROUND(H1210/((TaH-TrH)*1.163)/3600,3),ROUND(H1210/(500*(TaH-TrH)),2))</f>
        <v>0.15</v>
      </c>
      <c r="K1210" s="84"/>
      <c r="L1210" s="177">
        <f>CHOOSE(Basis!$E$1,((AJ1210*(J1210*3600/Basis!$E$5)^AK1210*(((MID(C1210,9,3)*10)-244)/1000)*AL1210+AM1210*(J1210*3600/Basis!$E$5)^2)*0.0098)/Basis!$E$10,((AJ1210*(J1210/Basis!$E$5)^AK1210*(((MID(C1210,9,3)*10)-244)/1000)*AL1210+AM1210*(J1210/Basis!$E$5)^2)*0.0098)/Basis!$E$10)</f>
        <v>6.2396095908025407E-3</v>
      </c>
      <c r="M1210" s="85"/>
      <c r="N1210" s="109">
        <v>1.3620000000000001</v>
      </c>
      <c r="O1210" s="68"/>
      <c r="P1210" s="67">
        <v>678</v>
      </c>
      <c r="Q1210" s="68"/>
      <c r="R1210" s="69"/>
      <c r="S1210" s="69"/>
      <c r="T1210" s="69"/>
      <c r="U1210" s="69"/>
      <c r="V1210" s="69"/>
      <c r="W1210" s="68"/>
      <c r="X1210" s="70"/>
      <c r="Y1210" s="70"/>
      <c r="Z1210" s="70"/>
      <c r="AA1210" s="70"/>
      <c r="AB1210" s="70"/>
      <c r="AC1210" s="68"/>
      <c r="AD1210" s="71"/>
      <c r="AE1210" s="71"/>
      <c r="AF1210" s="71"/>
      <c r="AG1210" s="71"/>
      <c r="AH1210" s="71"/>
      <c r="AI1210" s="68"/>
      <c r="AJ1210" s="214">
        <v>6.0625777523108995E-4</v>
      </c>
      <c r="AK1210" s="214">
        <v>1.8894792857555001</v>
      </c>
      <c r="AL1210" s="214">
        <v>1</v>
      </c>
      <c r="AM1210" s="214">
        <v>3.0758017492711002E-4</v>
      </c>
      <c r="AN1210" s="68"/>
      <c r="AO1210" s="67"/>
      <c r="AP1210" s="67"/>
      <c r="AQ1210" s="67"/>
      <c r="AR1210" s="67"/>
      <c r="AS1210" s="67"/>
      <c r="AT1210" s="68"/>
      <c r="AU1210" s="49"/>
      <c r="AV1210" s="50"/>
    </row>
    <row r="1211" spans="1:48" ht="12.75" customHeight="1" x14ac:dyDescent="0.25">
      <c r="A1211" s="72" t="s">
        <v>119</v>
      </c>
      <c r="B1211" s="43" t="s">
        <v>1154</v>
      </c>
      <c r="C1211" s="44" t="s">
        <v>1366</v>
      </c>
      <c r="D1211" s="45">
        <f>MROUND(MID($C1211,6,3)/Basis!$E$3,0.5)</f>
        <v>4.5</v>
      </c>
      <c r="E1211" s="45">
        <f>MROUND(MID($C1211,9,3)/Basis!$E$3,0.5)</f>
        <v>138</v>
      </c>
      <c r="F1211" s="199" t="s">
        <v>2950</v>
      </c>
      <c r="G1211" s="45">
        <f>ROUND(MID($C1211,12,2)/Basis!$E$3,1)</f>
        <v>7.1</v>
      </c>
      <c r="H1211" s="120">
        <f>ROUND($P1211*Basis!$E$2*((TaH-TrH)/LN(1/µ)/Basis!$E$7)^$N1211*$AA$4*Glycol,0)</f>
        <v>1748</v>
      </c>
      <c r="I1211" s="83">
        <f>ROUND(H1211/(MID($C1211,9,3)/Basis!$E$3/Basis!$E$9)*Basis!$E$11,0)</f>
        <v>152</v>
      </c>
      <c r="J1211" s="123">
        <f>IF(Basis!$E$1=1,ROUND(H1211/((TaH-TrH)*1.163)/3600,3),ROUND(H1211/(500*(TaH-TrH)),2))</f>
        <v>0.17</v>
      </c>
      <c r="K1211" s="84"/>
      <c r="L1211" s="177">
        <f>CHOOSE(Basis!$E$1,((AJ1211*(J1211*3600/Basis!$E$5)^AK1211*(((MID(C1211,9,3)*10)-244)/1000)*AL1211+AM1211*(J1211*3600/Basis!$E$5)^2)*0.0098)/Basis!$E$10,((AJ1211*(J1211/Basis!$E$5)^AK1211*(((MID(C1211,9,3)*10)-244)/1000)*AL1211+AM1211*(J1211/Basis!$E$5)^2)*0.0098)/Basis!$E$10)</f>
        <v>1.5969319110980523E-2</v>
      </c>
      <c r="M1211" s="85"/>
      <c r="N1211" s="110">
        <v>1.3620000000000001</v>
      </c>
      <c r="O1211" s="74"/>
      <c r="P1211" s="73">
        <v>803</v>
      </c>
      <c r="Q1211" s="74"/>
      <c r="R1211" s="75"/>
      <c r="S1211" s="75"/>
      <c r="T1211" s="75"/>
      <c r="U1211" s="75"/>
      <c r="V1211" s="75"/>
      <c r="W1211" s="74"/>
      <c r="X1211" s="76"/>
      <c r="Y1211" s="76"/>
      <c r="Z1211" s="76"/>
      <c r="AA1211" s="76"/>
      <c r="AB1211" s="76"/>
      <c r="AC1211" s="74"/>
      <c r="AD1211" s="77"/>
      <c r="AE1211" s="77"/>
      <c r="AF1211" s="77"/>
      <c r="AG1211" s="77"/>
      <c r="AH1211" s="77"/>
      <c r="AI1211" s="68"/>
      <c r="AJ1211" s="213">
        <v>9.3669999999999995E-4</v>
      </c>
      <c r="AK1211" s="213">
        <v>1.789841</v>
      </c>
      <c r="AL1211" s="213">
        <v>2</v>
      </c>
      <c r="AM1211" s="213">
        <v>4.4559999999999999E-4</v>
      </c>
      <c r="AN1211" s="74"/>
      <c r="AO1211" s="73"/>
      <c r="AP1211" s="73"/>
      <c r="AQ1211" s="73"/>
      <c r="AR1211" s="73"/>
      <c r="AS1211" s="73"/>
      <c r="AT1211" s="74"/>
      <c r="AU1211" s="47"/>
      <c r="AV1211" s="48"/>
    </row>
    <row r="1212" spans="1:48" ht="12.75" customHeight="1" x14ac:dyDescent="0.25">
      <c r="A1212" s="72" t="s">
        <v>119</v>
      </c>
      <c r="B1212" s="43" t="s">
        <v>1154</v>
      </c>
      <c r="C1212" s="44" t="s">
        <v>1367</v>
      </c>
      <c r="D1212" s="45">
        <f>MROUND(MID($C1212,6,3)/Basis!$E$3,0.5)</f>
        <v>4.5</v>
      </c>
      <c r="E1212" s="45">
        <f>MROUND(MID($C1212,9,3)/Basis!$E$3,0.5)</f>
        <v>138</v>
      </c>
      <c r="F1212" s="199" t="s">
        <v>2950</v>
      </c>
      <c r="G1212" s="45">
        <f>ROUND(MID($C1212,12,2)/Basis!$E$3,1)</f>
        <v>10.199999999999999</v>
      </c>
      <c r="H1212" s="120">
        <f>ROUND($P1212*Basis!$E$2*((TaH-TrH)/LN(1/µ)/Basis!$E$7)^$N1212*$AA$4*Glycol,0)</f>
        <v>2362</v>
      </c>
      <c r="I1212" s="83">
        <f>ROUND(H1212/(MID($C1212,9,3)/Basis!$E$3/Basis!$E$9)*Basis!$E$11,0)</f>
        <v>206</v>
      </c>
      <c r="J1212" s="123">
        <f>IF(Basis!$E$1=1,ROUND(H1212/((TaH-TrH)*1.163)/3600,3),ROUND(H1212/(500*(TaH-TrH)),2))</f>
        <v>0.24</v>
      </c>
      <c r="K1212" s="84"/>
      <c r="L1212" s="177">
        <f>CHOOSE(Basis!$E$1,((AJ1212*(J1212*3600/Basis!$E$5)^AK1212*(((MID(C1212,9,3)*10)-244)/1000)*AL1212+AM1212*(J1212*3600/Basis!$E$5)^2)*0.0098)/Basis!$E$10,((AJ1212*(J1212/Basis!$E$5)^AK1212*(((MID(C1212,9,3)*10)-244)/1000)*AL1212+AM1212*(J1212/Basis!$E$5)^2)*0.0098)/Basis!$E$10)</f>
        <v>2.9905739003736054E-2</v>
      </c>
      <c r="M1212" s="85"/>
      <c r="N1212" s="109">
        <v>1.3620000000000001</v>
      </c>
      <c r="O1212" s="68"/>
      <c r="P1212" s="67">
        <v>1085</v>
      </c>
      <c r="Q1212" s="68"/>
      <c r="R1212" s="69"/>
      <c r="S1212" s="69"/>
      <c r="T1212" s="69"/>
      <c r="U1212" s="69"/>
      <c r="V1212" s="69"/>
      <c r="W1212" s="68"/>
      <c r="X1212" s="70"/>
      <c r="Y1212" s="70"/>
      <c r="Z1212" s="70"/>
      <c r="AA1212" s="70"/>
      <c r="AB1212" s="70"/>
      <c r="AC1212" s="68"/>
      <c r="AD1212" s="71"/>
      <c r="AE1212" s="71"/>
      <c r="AF1212" s="71"/>
      <c r="AG1212" s="71"/>
      <c r="AH1212" s="71"/>
      <c r="AI1212" s="68"/>
      <c r="AJ1212" s="214">
        <v>9.3669999999999995E-4</v>
      </c>
      <c r="AK1212" s="214">
        <v>1.789841</v>
      </c>
      <c r="AL1212" s="214">
        <v>2</v>
      </c>
      <c r="AM1212" s="214">
        <v>4.4559999999999999E-4</v>
      </c>
      <c r="AN1212" s="68"/>
      <c r="AO1212" s="67"/>
      <c r="AP1212" s="67"/>
      <c r="AQ1212" s="67"/>
      <c r="AR1212" s="67"/>
      <c r="AS1212" s="67"/>
      <c r="AT1212" s="68"/>
      <c r="AU1212" s="49"/>
      <c r="AV1212" s="50"/>
    </row>
    <row r="1213" spans="1:48" ht="12.75" customHeight="1" x14ac:dyDescent="0.25">
      <c r="A1213" s="72" t="s">
        <v>119</v>
      </c>
      <c r="B1213" s="43" t="s">
        <v>1154</v>
      </c>
      <c r="C1213" s="44" t="s">
        <v>1368</v>
      </c>
      <c r="D1213" s="45">
        <f>MROUND(MID($C1213,6,3)/Basis!$E$3,0.5)</f>
        <v>4.5</v>
      </c>
      <c r="E1213" s="45">
        <f>MROUND(MID($C1213,9,3)/Basis!$E$3,0.5)</f>
        <v>138</v>
      </c>
      <c r="F1213" s="199" t="s">
        <v>2950</v>
      </c>
      <c r="G1213" s="45">
        <f>ROUND(MID($C1213,12,2)/Basis!$E$3,1)</f>
        <v>13.4</v>
      </c>
      <c r="H1213" s="120">
        <f>ROUND($P1213*Basis!$E$2*((TaH-TrH)/LN(1/µ)/Basis!$E$7)^$N1213*$AA$4*Glycol,0)</f>
        <v>3065</v>
      </c>
      <c r="I1213" s="83">
        <f>ROUND(H1213/(MID($C1213,9,3)/Basis!$E$3/Basis!$E$9)*Basis!$E$11,0)</f>
        <v>267</v>
      </c>
      <c r="J1213" s="123">
        <f>IF(Basis!$E$1=1,ROUND(H1213/((TaH-TrH)*1.163)/3600,3),ROUND(H1213/(500*(TaH-TrH)),2))</f>
        <v>0.31</v>
      </c>
      <c r="K1213" s="84"/>
      <c r="L1213" s="177">
        <f>CHOOSE(Basis!$E$1,((AJ1213*(J1213*3600/Basis!$E$5)^AK1213*(((MID(C1213,9,3)*10)-244)/1000)*AL1213+AM1213*(J1213*3600/Basis!$E$5)^2)*0.0098)/Basis!$E$10,((AJ1213*(J1213/Basis!$E$5)^AK1213*(((MID(C1213,9,3)*10)-244)/1000)*AL1213+AM1213*(J1213/Basis!$E$5)^2)*0.0098)/Basis!$E$10)</f>
        <v>7.6043975543995085E-2</v>
      </c>
      <c r="M1213" s="85"/>
      <c r="N1213" s="110">
        <v>1.3620000000000001</v>
      </c>
      <c r="O1213" s="74"/>
      <c r="P1213" s="73">
        <v>1408</v>
      </c>
      <c r="Q1213" s="74"/>
      <c r="R1213" s="75"/>
      <c r="S1213" s="75"/>
      <c r="T1213" s="75"/>
      <c r="U1213" s="75"/>
      <c r="V1213" s="75"/>
      <c r="W1213" s="74"/>
      <c r="X1213" s="76"/>
      <c r="Y1213" s="76"/>
      <c r="Z1213" s="76"/>
      <c r="AA1213" s="76"/>
      <c r="AB1213" s="76"/>
      <c r="AC1213" s="74"/>
      <c r="AD1213" s="77"/>
      <c r="AE1213" s="77"/>
      <c r="AF1213" s="77"/>
      <c r="AG1213" s="77"/>
      <c r="AH1213" s="77"/>
      <c r="AI1213" s="68"/>
      <c r="AJ1213" s="213">
        <v>1.3162765859195E-2</v>
      </c>
      <c r="AK1213" s="213">
        <v>1.4286501188989</v>
      </c>
      <c r="AL1213" s="213">
        <v>1</v>
      </c>
      <c r="AM1213" s="213">
        <v>9.2091836734694004E-4</v>
      </c>
      <c r="AN1213" s="74"/>
      <c r="AO1213" s="73"/>
      <c r="AP1213" s="73"/>
      <c r="AQ1213" s="73"/>
      <c r="AR1213" s="73"/>
      <c r="AS1213" s="73"/>
      <c r="AT1213" s="74"/>
      <c r="AU1213" s="47"/>
      <c r="AV1213" s="48"/>
    </row>
    <row r="1214" spans="1:48" ht="12.75" customHeight="1" x14ac:dyDescent="0.25">
      <c r="A1214" s="72" t="s">
        <v>119</v>
      </c>
      <c r="B1214" s="43" t="s">
        <v>1154</v>
      </c>
      <c r="C1214" s="44" t="s">
        <v>1369</v>
      </c>
      <c r="D1214" s="45">
        <f>MROUND(MID($C1214,6,3)/Basis!$E$3,0.5)</f>
        <v>4.5</v>
      </c>
      <c r="E1214" s="45">
        <f>MROUND(MID($C1214,9,3)/Basis!$E$3,0.5)</f>
        <v>138</v>
      </c>
      <c r="F1214" s="199" t="s">
        <v>2950</v>
      </c>
      <c r="G1214" s="45">
        <f>ROUND(MID($C1214,12,2)/Basis!$E$3,1)</f>
        <v>16.5</v>
      </c>
      <c r="H1214" s="120">
        <f>ROUND($P1214*Basis!$E$2*((TaH-TrH)/LN(1/µ)/Basis!$E$7)^$N1214*$AA$4*Glycol,0)</f>
        <v>4312</v>
      </c>
      <c r="I1214" s="83">
        <f>ROUND(H1214/(MID($C1214,9,3)/Basis!$E$3/Basis!$E$9)*Basis!$E$11,0)</f>
        <v>376</v>
      </c>
      <c r="J1214" s="123">
        <f>IF(Basis!$E$1=1,ROUND(H1214/((TaH-TrH)*1.163)/3600,3),ROUND(H1214/(500*(TaH-TrH)),2))</f>
        <v>0.43</v>
      </c>
      <c r="K1214" s="84"/>
      <c r="L1214" s="177">
        <f>CHOOSE(Basis!$E$1,((AJ1214*(J1214*3600/Basis!$E$5)^AK1214*(((MID(C1214,9,3)*10)-244)/1000)*AL1214+AM1214*(J1214*3600/Basis!$E$5)^2)*0.0098)/Basis!$E$10,((AJ1214*(J1214/Basis!$E$5)^AK1214*(((MID(C1214,9,3)*10)-244)/1000)*AL1214+AM1214*(J1214/Basis!$E$5)^2)*0.0098)/Basis!$E$10)</f>
        <v>3.535102756050814E-2</v>
      </c>
      <c r="M1214" s="85"/>
      <c r="N1214" s="109">
        <v>1.3620000000000001</v>
      </c>
      <c r="O1214" s="68"/>
      <c r="P1214" s="67">
        <v>1981</v>
      </c>
      <c r="Q1214" s="68"/>
      <c r="R1214" s="69"/>
      <c r="S1214" s="69"/>
      <c r="T1214" s="69"/>
      <c r="U1214" s="69"/>
      <c r="V1214" s="69"/>
      <c r="W1214" s="68"/>
      <c r="X1214" s="70"/>
      <c r="Y1214" s="70"/>
      <c r="Z1214" s="70"/>
      <c r="AA1214" s="70"/>
      <c r="AB1214" s="70"/>
      <c r="AC1214" s="68"/>
      <c r="AD1214" s="71"/>
      <c r="AE1214" s="71"/>
      <c r="AF1214" s="71"/>
      <c r="AG1214" s="71"/>
      <c r="AH1214" s="71"/>
      <c r="AI1214" s="68"/>
      <c r="AJ1214" s="214">
        <v>3.9689999999999994E-4</v>
      </c>
      <c r="AK1214" s="214">
        <v>1.7345999999999999</v>
      </c>
      <c r="AL1214" s="214">
        <v>2</v>
      </c>
      <c r="AM1214" s="214">
        <v>3.6734700000000002E-4</v>
      </c>
      <c r="AN1214" s="68"/>
      <c r="AO1214" s="67"/>
      <c r="AP1214" s="67"/>
      <c r="AQ1214" s="67"/>
      <c r="AR1214" s="67"/>
      <c r="AS1214" s="67"/>
      <c r="AT1214" s="68"/>
      <c r="AU1214" s="49"/>
      <c r="AV1214" s="50"/>
    </row>
    <row r="1215" spans="1:48" ht="12.75" customHeight="1" x14ac:dyDescent="0.25">
      <c r="A1215" s="72" t="s">
        <v>119</v>
      </c>
      <c r="B1215" s="43" t="s">
        <v>1154</v>
      </c>
      <c r="C1215" s="44" t="s">
        <v>1370</v>
      </c>
      <c r="D1215" s="45">
        <f>MROUND(MID($C1215,6,3)/Basis!$E$3,0.5)</f>
        <v>4.5</v>
      </c>
      <c r="E1215" s="45">
        <f>MROUND(MID($C1215,9,3)/Basis!$E$3,0.5)</f>
        <v>145.5</v>
      </c>
      <c r="F1215" s="199" t="s">
        <v>2950</v>
      </c>
      <c r="G1215" s="45">
        <f>ROUND(MID($C1215,12,2)/Basis!$E$3,1)</f>
        <v>5.5</v>
      </c>
      <c r="H1215" s="120">
        <f>ROUND($P1215*Basis!$E$2*((TaH-TrH)/LN(1/µ)/Basis!$E$7)^$N1215*$AA$4*Glycol,0)</f>
        <v>1569</v>
      </c>
      <c r="I1215" s="83">
        <f>ROUND(H1215/(MID($C1215,9,3)/Basis!$E$3/Basis!$E$9)*Basis!$E$11,0)</f>
        <v>129</v>
      </c>
      <c r="J1215" s="123">
        <f>IF(Basis!$E$1=1,ROUND(H1215/((TaH-TrH)*1.163)/3600,3),ROUND(H1215/(500*(TaH-TrH)),2))</f>
        <v>0.16</v>
      </c>
      <c r="K1215" s="84"/>
      <c r="L1215" s="177">
        <f>CHOOSE(Basis!$E$1,((AJ1215*(J1215*3600/Basis!$E$5)^AK1215*(((MID(C1215,9,3)*10)-244)/1000)*AL1215+AM1215*(J1215*3600/Basis!$E$5)^2)*0.0098)/Basis!$E$10,((AJ1215*(J1215/Basis!$E$5)^AK1215*(((MID(C1215,9,3)*10)-244)/1000)*AL1215+AM1215*(J1215/Basis!$E$5)^2)*0.0098)/Basis!$E$10)</f>
        <v>7.4102457867915869E-3</v>
      </c>
      <c r="M1215" s="85"/>
      <c r="N1215" s="110">
        <v>1.3620000000000001</v>
      </c>
      <c r="O1215" s="74"/>
      <c r="P1215" s="73">
        <v>721</v>
      </c>
      <c r="Q1215" s="74"/>
      <c r="R1215" s="75"/>
      <c r="S1215" s="75"/>
      <c r="T1215" s="75"/>
      <c r="U1215" s="75"/>
      <c r="V1215" s="75"/>
      <c r="W1215" s="74"/>
      <c r="X1215" s="76"/>
      <c r="Y1215" s="76"/>
      <c r="Z1215" s="76"/>
      <c r="AA1215" s="76"/>
      <c r="AB1215" s="76"/>
      <c r="AC1215" s="74"/>
      <c r="AD1215" s="77"/>
      <c r="AE1215" s="77"/>
      <c r="AF1215" s="77"/>
      <c r="AG1215" s="77"/>
      <c r="AH1215" s="77"/>
      <c r="AI1215" s="68"/>
      <c r="AJ1215" s="213">
        <v>6.0625777523108995E-4</v>
      </c>
      <c r="AK1215" s="213">
        <v>1.8894792857555001</v>
      </c>
      <c r="AL1215" s="213">
        <v>1</v>
      </c>
      <c r="AM1215" s="213">
        <v>3.0758017492711002E-4</v>
      </c>
      <c r="AN1215" s="74"/>
      <c r="AO1215" s="73"/>
      <c r="AP1215" s="73"/>
      <c r="AQ1215" s="73"/>
      <c r="AR1215" s="73"/>
      <c r="AS1215" s="73"/>
      <c r="AT1215" s="74"/>
      <c r="AU1215" s="47"/>
      <c r="AV1215" s="48"/>
    </row>
    <row r="1216" spans="1:48" ht="12.75" customHeight="1" x14ac:dyDescent="0.25">
      <c r="A1216" s="72" t="s">
        <v>119</v>
      </c>
      <c r="B1216" s="43" t="s">
        <v>1154</v>
      </c>
      <c r="C1216" s="44" t="s">
        <v>1371</v>
      </c>
      <c r="D1216" s="45">
        <f>MROUND(MID($C1216,6,3)/Basis!$E$3,0.5)</f>
        <v>4.5</v>
      </c>
      <c r="E1216" s="45">
        <f>MROUND(MID($C1216,9,3)/Basis!$E$3,0.5)</f>
        <v>145.5</v>
      </c>
      <c r="F1216" s="199" t="s">
        <v>2950</v>
      </c>
      <c r="G1216" s="45">
        <f>ROUND(MID($C1216,12,2)/Basis!$E$3,1)</f>
        <v>7.1</v>
      </c>
      <c r="H1216" s="120">
        <f>ROUND($P1216*Basis!$E$2*((TaH-TrH)/LN(1/µ)/Basis!$E$7)^$N1216*$AA$4*Glycol,0)</f>
        <v>1861</v>
      </c>
      <c r="I1216" s="83">
        <f>ROUND(H1216/(MID($C1216,9,3)/Basis!$E$3/Basis!$E$9)*Basis!$E$11,0)</f>
        <v>153</v>
      </c>
      <c r="J1216" s="123">
        <f>IF(Basis!$E$1=1,ROUND(H1216/((TaH-TrH)*1.163)/3600,3),ROUND(H1216/(500*(TaH-TrH)),2))</f>
        <v>0.19</v>
      </c>
      <c r="K1216" s="84"/>
      <c r="L1216" s="177">
        <f>CHOOSE(Basis!$E$1,((AJ1216*(J1216*3600/Basis!$E$5)^AK1216*(((MID(C1216,9,3)*10)-244)/1000)*AL1216+AM1216*(J1216*3600/Basis!$E$5)^2)*0.0098)/Basis!$E$10,((AJ1216*(J1216/Basis!$E$5)^AK1216*(((MID(C1216,9,3)*10)-244)/1000)*AL1216+AM1216*(J1216/Basis!$E$5)^2)*0.0098)/Basis!$E$10)</f>
        <v>2.0583823565384025E-2</v>
      </c>
      <c r="M1216" s="85"/>
      <c r="N1216" s="109">
        <v>1.3620000000000001</v>
      </c>
      <c r="O1216" s="68"/>
      <c r="P1216" s="67">
        <v>855</v>
      </c>
      <c r="Q1216" s="68"/>
      <c r="R1216" s="69"/>
      <c r="S1216" s="69"/>
      <c r="T1216" s="69"/>
      <c r="U1216" s="69"/>
      <c r="V1216" s="69"/>
      <c r="W1216" s="68"/>
      <c r="X1216" s="70"/>
      <c r="Y1216" s="70"/>
      <c r="Z1216" s="70"/>
      <c r="AA1216" s="70"/>
      <c r="AB1216" s="70"/>
      <c r="AC1216" s="68"/>
      <c r="AD1216" s="71"/>
      <c r="AE1216" s="71"/>
      <c r="AF1216" s="71"/>
      <c r="AG1216" s="71"/>
      <c r="AH1216" s="71"/>
      <c r="AI1216" s="68"/>
      <c r="AJ1216" s="214">
        <v>9.3669999999999995E-4</v>
      </c>
      <c r="AK1216" s="214">
        <v>1.789841</v>
      </c>
      <c r="AL1216" s="214">
        <v>2</v>
      </c>
      <c r="AM1216" s="214">
        <v>4.4559999999999999E-4</v>
      </c>
      <c r="AN1216" s="68"/>
      <c r="AO1216" s="67"/>
      <c r="AP1216" s="67"/>
      <c r="AQ1216" s="67"/>
      <c r="AR1216" s="67"/>
      <c r="AS1216" s="67"/>
      <c r="AT1216" s="68"/>
      <c r="AU1216" s="49"/>
      <c r="AV1216" s="50"/>
    </row>
    <row r="1217" spans="1:48" ht="12.75" customHeight="1" x14ac:dyDescent="0.25">
      <c r="A1217" s="72" t="s">
        <v>119</v>
      </c>
      <c r="B1217" s="43" t="s">
        <v>1154</v>
      </c>
      <c r="C1217" s="44" t="s">
        <v>1372</v>
      </c>
      <c r="D1217" s="45">
        <f>MROUND(MID($C1217,6,3)/Basis!$E$3,0.5)</f>
        <v>4.5</v>
      </c>
      <c r="E1217" s="45">
        <f>MROUND(MID($C1217,9,3)/Basis!$E$3,0.5)</f>
        <v>145.5</v>
      </c>
      <c r="F1217" s="199" t="s">
        <v>2950</v>
      </c>
      <c r="G1217" s="45">
        <f>ROUND(MID($C1217,12,2)/Basis!$E$3,1)</f>
        <v>10.199999999999999</v>
      </c>
      <c r="H1217" s="120">
        <f>ROUND($P1217*Basis!$E$2*((TaH-TrH)/LN(1/µ)/Basis!$E$7)^$N1217*$AA$4*Glycol,0)</f>
        <v>2508</v>
      </c>
      <c r="I1217" s="83">
        <f>ROUND(H1217/(MID($C1217,9,3)/Basis!$E$3/Basis!$E$9)*Basis!$E$11,0)</f>
        <v>207</v>
      </c>
      <c r="J1217" s="123">
        <f>IF(Basis!$E$1=1,ROUND(H1217/((TaH-TrH)*1.163)/3600,3),ROUND(H1217/(500*(TaH-TrH)),2))</f>
        <v>0.25</v>
      </c>
      <c r="K1217" s="84"/>
      <c r="L1217" s="177">
        <f>CHOOSE(Basis!$E$1,((AJ1217*(J1217*3600/Basis!$E$5)^AK1217*(((MID(C1217,9,3)*10)-244)/1000)*AL1217+AM1217*(J1217*3600/Basis!$E$5)^2)*0.0098)/Basis!$E$10,((AJ1217*(J1217/Basis!$E$5)^AK1217*(((MID(C1217,9,3)*10)-244)/1000)*AL1217+AM1217*(J1217/Basis!$E$5)^2)*0.0098)/Basis!$E$10)</f>
        <v>3.3902858808346814E-2</v>
      </c>
      <c r="M1217" s="85"/>
      <c r="N1217" s="110">
        <v>1.3620000000000001</v>
      </c>
      <c r="O1217" s="74"/>
      <c r="P1217" s="73">
        <v>1152</v>
      </c>
      <c r="Q1217" s="74"/>
      <c r="R1217" s="75"/>
      <c r="S1217" s="75"/>
      <c r="T1217" s="75"/>
      <c r="U1217" s="75"/>
      <c r="V1217" s="75"/>
      <c r="W1217" s="74"/>
      <c r="X1217" s="76"/>
      <c r="Y1217" s="76"/>
      <c r="Z1217" s="76"/>
      <c r="AA1217" s="76"/>
      <c r="AB1217" s="76"/>
      <c r="AC1217" s="74"/>
      <c r="AD1217" s="77"/>
      <c r="AE1217" s="77"/>
      <c r="AF1217" s="77"/>
      <c r="AG1217" s="77"/>
      <c r="AH1217" s="77"/>
      <c r="AI1217" s="68"/>
      <c r="AJ1217" s="213">
        <v>9.3669999999999995E-4</v>
      </c>
      <c r="AK1217" s="213">
        <v>1.789841</v>
      </c>
      <c r="AL1217" s="213">
        <v>2</v>
      </c>
      <c r="AM1217" s="213">
        <v>4.4559999999999999E-4</v>
      </c>
      <c r="AN1217" s="74"/>
      <c r="AO1217" s="73"/>
      <c r="AP1217" s="73"/>
      <c r="AQ1217" s="73"/>
      <c r="AR1217" s="73"/>
      <c r="AS1217" s="73"/>
      <c r="AT1217" s="74"/>
      <c r="AU1217" s="47"/>
      <c r="AV1217" s="48"/>
    </row>
    <row r="1218" spans="1:48" ht="12.75" customHeight="1" x14ac:dyDescent="0.25">
      <c r="A1218" s="72" t="s">
        <v>119</v>
      </c>
      <c r="B1218" s="43" t="s">
        <v>1154</v>
      </c>
      <c r="C1218" s="44" t="s">
        <v>1373</v>
      </c>
      <c r="D1218" s="45">
        <f>MROUND(MID($C1218,6,3)/Basis!$E$3,0.5)</f>
        <v>4.5</v>
      </c>
      <c r="E1218" s="45">
        <f>MROUND(MID($C1218,9,3)/Basis!$E$3,0.5)</f>
        <v>145.5</v>
      </c>
      <c r="F1218" s="199" t="s">
        <v>2950</v>
      </c>
      <c r="G1218" s="45">
        <f>ROUND(MID($C1218,12,2)/Basis!$E$3,1)</f>
        <v>13.4</v>
      </c>
      <c r="H1218" s="120">
        <f>ROUND($P1218*Basis!$E$2*((TaH-TrH)/LN(1/µ)/Basis!$E$7)^$N1218*$AA$4*Glycol,0)</f>
        <v>3261</v>
      </c>
      <c r="I1218" s="83">
        <f>ROUND(H1218/(MID($C1218,9,3)/Basis!$E$3/Basis!$E$9)*Basis!$E$11,0)</f>
        <v>269</v>
      </c>
      <c r="J1218" s="123">
        <f>IF(Basis!$E$1=1,ROUND(H1218/((TaH-TrH)*1.163)/3600,3),ROUND(H1218/(500*(TaH-TrH)),2))</f>
        <v>0.33</v>
      </c>
      <c r="K1218" s="84"/>
      <c r="L1218" s="177">
        <f>CHOOSE(Basis!$E$1,((AJ1218*(J1218*3600/Basis!$E$5)^AK1218*(((MID(C1218,9,3)*10)-244)/1000)*AL1218+AM1218*(J1218*3600/Basis!$E$5)^2)*0.0098)/Basis!$E$10,((AJ1218*(J1218/Basis!$E$5)^AK1218*(((MID(C1218,9,3)*10)-244)/1000)*AL1218+AM1218*(J1218/Basis!$E$5)^2)*0.0098)/Basis!$E$10)</f>
        <v>8.7847193804484539E-2</v>
      </c>
      <c r="M1218" s="85"/>
      <c r="N1218" s="109">
        <v>1.3620000000000001</v>
      </c>
      <c r="O1218" s="68"/>
      <c r="P1218" s="67">
        <v>1498</v>
      </c>
      <c r="Q1218" s="68"/>
      <c r="R1218" s="69"/>
      <c r="S1218" s="69"/>
      <c r="T1218" s="69"/>
      <c r="U1218" s="69"/>
      <c r="V1218" s="69"/>
      <c r="W1218" s="68"/>
      <c r="X1218" s="70"/>
      <c r="Y1218" s="70"/>
      <c r="Z1218" s="70"/>
      <c r="AA1218" s="70"/>
      <c r="AB1218" s="70"/>
      <c r="AC1218" s="68"/>
      <c r="AD1218" s="71"/>
      <c r="AE1218" s="71"/>
      <c r="AF1218" s="71"/>
      <c r="AG1218" s="71"/>
      <c r="AH1218" s="71"/>
      <c r="AI1218" s="68"/>
      <c r="AJ1218" s="214">
        <v>1.3162765859195E-2</v>
      </c>
      <c r="AK1218" s="214">
        <v>1.4286501188989</v>
      </c>
      <c r="AL1218" s="214">
        <v>1</v>
      </c>
      <c r="AM1218" s="214">
        <v>9.2091836734694004E-4</v>
      </c>
      <c r="AN1218" s="68"/>
      <c r="AO1218" s="67"/>
      <c r="AP1218" s="67"/>
      <c r="AQ1218" s="67"/>
      <c r="AR1218" s="67"/>
      <c r="AS1218" s="67"/>
      <c r="AT1218" s="68"/>
      <c r="AU1218" s="49"/>
      <c r="AV1218" s="50"/>
    </row>
    <row r="1219" spans="1:48" ht="12.75" customHeight="1" x14ac:dyDescent="0.25">
      <c r="A1219" s="72" t="s">
        <v>119</v>
      </c>
      <c r="B1219" s="43" t="s">
        <v>1154</v>
      </c>
      <c r="C1219" s="44" t="s">
        <v>1374</v>
      </c>
      <c r="D1219" s="45">
        <f>MROUND(MID($C1219,6,3)/Basis!$E$3,0.5)</f>
        <v>4.5</v>
      </c>
      <c r="E1219" s="45">
        <f>MROUND(MID($C1219,9,3)/Basis!$E$3,0.5)</f>
        <v>145.5</v>
      </c>
      <c r="F1219" s="199" t="s">
        <v>2950</v>
      </c>
      <c r="G1219" s="45">
        <f>ROUND(MID($C1219,12,2)/Basis!$E$3,1)</f>
        <v>16.5</v>
      </c>
      <c r="H1219" s="120">
        <f>ROUND($P1219*Basis!$E$2*((TaH-TrH)/LN(1/µ)/Basis!$E$7)^$N1219*$AA$4*Glycol,0)</f>
        <v>4580</v>
      </c>
      <c r="I1219" s="83">
        <f>ROUND(H1219/(MID($C1219,9,3)/Basis!$E$3/Basis!$E$9)*Basis!$E$11,0)</f>
        <v>377</v>
      </c>
      <c r="J1219" s="123">
        <f>IF(Basis!$E$1=1,ROUND(H1219/((TaH-TrH)*1.163)/3600,3),ROUND(H1219/(500*(TaH-TrH)),2))</f>
        <v>0.46</v>
      </c>
      <c r="K1219" s="84"/>
      <c r="L1219" s="177">
        <f>CHOOSE(Basis!$E$1,((AJ1219*(J1219*3600/Basis!$E$5)^AK1219*(((MID(C1219,9,3)*10)-244)/1000)*AL1219+AM1219*(J1219*3600/Basis!$E$5)^2)*0.0098)/Basis!$E$10,((AJ1219*(J1219/Basis!$E$5)^AK1219*(((MID(C1219,9,3)*10)-244)/1000)*AL1219+AM1219*(J1219/Basis!$E$5)^2)*0.0098)/Basis!$E$10)</f>
        <v>4.1620578800947848E-2</v>
      </c>
      <c r="M1219" s="85"/>
      <c r="N1219" s="110">
        <v>1.3620000000000001</v>
      </c>
      <c r="O1219" s="74"/>
      <c r="P1219" s="73">
        <v>2104</v>
      </c>
      <c r="Q1219" s="74"/>
      <c r="R1219" s="75"/>
      <c r="S1219" s="75"/>
      <c r="T1219" s="75"/>
      <c r="U1219" s="75"/>
      <c r="V1219" s="75"/>
      <c r="W1219" s="74"/>
      <c r="X1219" s="76"/>
      <c r="Y1219" s="76"/>
      <c r="Z1219" s="76"/>
      <c r="AA1219" s="76"/>
      <c r="AB1219" s="76"/>
      <c r="AC1219" s="74"/>
      <c r="AD1219" s="77"/>
      <c r="AE1219" s="77"/>
      <c r="AF1219" s="77"/>
      <c r="AG1219" s="77"/>
      <c r="AH1219" s="77"/>
      <c r="AI1219" s="68"/>
      <c r="AJ1219" s="213">
        <v>3.9689999999999994E-4</v>
      </c>
      <c r="AK1219" s="213">
        <v>1.7345999999999999</v>
      </c>
      <c r="AL1219" s="213">
        <v>2</v>
      </c>
      <c r="AM1219" s="213">
        <v>3.6734700000000002E-4</v>
      </c>
      <c r="AN1219" s="74"/>
      <c r="AO1219" s="73"/>
      <c r="AP1219" s="73"/>
      <c r="AQ1219" s="73"/>
      <c r="AR1219" s="73"/>
      <c r="AS1219" s="73"/>
      <c r="AT1219" s="74"/>
      <c r="AU1219" s="47"/>
      <c r="AV1219" s="48"/>
    </row>
    <row r="1220" spans="1:48" ht="12.75" customHeight="1" x14ac:dyDescent="0.25">
      <c r="A1220" s="72" t="s">
        <v>119</v>
      </c>
      <c r="B1220" s="43" t="s">
        <v>1154</v>
      </c>
      <c r="C1220" s="44" t="s">
        <v>1375</v>
      </c>
      <c r="D1220" s="45">
        <f>MROUND(MID($C1220,6,3)/Basis!$E$3,0.5)</f>
        <v>4.5</v>
      </c>
      <c r="E1220" s="45">
        <f>MROUND(MID($C1220,9,3)/Basis!$E$3,0.5)</f>
        <v>153.5</v>
      </c>
      <c r="F1220" s="199" t="s">
        <v>2950</v>
      </c>
      <c r="G1220" s="45">
        <f>ROUND(MID($C1220,12,2)/Basis!$E$3,1)</f>
        <v>5.5</v>
      </c>
      <c r="H1220" s="120">
        <f>ROUND($P1220*Basis!$E$2*((TaH-TrH)/LN(1/µ)/Basis!$E$7)^$N1220*$AA$4*Glycol,0)</f>
        <v>1659</v>
      </c>
      <c r="I1220" s="83">
        <f>ROUND(H1220/(MID($C1220,9,3)/Basis!$E$3/Basis!$E$9)*Basis!$E$11,0)</f>
        <v>130</v>
      </c>
      <c r="J1220" s="123">
        <f>IF(Basis!$E$1=1,ROUND(H1220/((TaH-TrH)*1.163)/3600,3),ROUND(H1220/(500*(TaH-TrH)),2))</f>
        <v>0.17</v>
      </c>
      <c r="K1220" s="84"/>
      <c r="L1220" s="177">
        <f>CHOOSE(Basis!$E$1,((AJ1220*(J1220*3600/Basis!$E$5)^AK1220*(((MID(C1220,9,3)*10)-244)/1000)*AL1220+AM1220*(J1220*3600/Basis!$E$5)^2)*0.0098)/Basis!$E$10,((AJ1220*(J1220/Basis!$E$5)^AK1220*(((MID(C1220,9,3)*10)-244)/1000)*AL1220+AM1220*(J1220/Basis!$E$5)^2)*0.0098)/Basis!$E$10)</f>
        <v>8.7143148449316896E-3</v>
      </c>
      <c r="M1220" s="85"/>
      <c r="N1220" s="109">
        <v>1.3620000000000001</v>
      </c>
      <c r="O1220" s="68"/>
      <c r="P1220" s="67">
        <v>762</v>
      </c>
      <c r="Q1220" s="68"/>
      <c r="R1220" s="69"/>
      <c r="S1220" s="69"/>
      <c r="T1220" s="69"/>
      <c r="U1220" s="69"/>
      <c r="V1220" s="69"/>
      <c r="W1220" s="68"/>
      <c r="X1220" s="70"/>
      <c r="Y1220" s="70"/>
      <c r="Z1220" s="70"/>
      <c r="AA1220" s="70"/>
      <c r="AB1220" s="70"/>
      <c r="AC1220" s="68"/>
      <c r="AD1220" s="71"/>
      <c r="AE1220" s="71"/>
      <c r="AF1220" s="71"/>
      <c r="AG1220" s="71"/>
      <c r="AH1220" s="71"/>
      <c r="AI1220" s="68"/>
      <c r="AJ1220" s="214">
        <v>6.0625777523108995E-4</v>
      </c>
      <c r="AK1220" s="214">
        <v>1.8894792857555001</v>
      </c>
      <c r="AL1220" s="214">
        <v>1</v>
      </c>
      <c r="AM1220" s="214">
        <v>3.0758017492711002E-4</v>
      </c>
      <c r="AN1220" s="68"/>
      <c r="AO1220" s="67"/>
      <c r="AP1220" s="67"/>
      <c r="AQ1220" s="67"/>
      <c r="AR1220" s="67"/>
      <c r="AS1220" s="67"/>
      <c r="AT1220" s="68"/>
      <c r="AU1220" s="49"/>
      <c r="AV1220" s="50"/>
    </row>
    <row r="1221" spans="1:48" ht="12.75" customHeight="1" x14ac:dyDescent="0.25">
      <c r="A1221" s="72" t="s">
        <v>119</v>
      </c>
      <c r="B1221" s="43" t="s">
        <v>1154</v>
      </c>
      <c r="C1221" s="44" t="s">
        <v>1376</v>
      </c>
      <c r="D1221" s="45">
        <f>MROUND(MID($C1221,6,3)/Basis!$E$3,0.5)</f>
        <v>4.5</v>
      </c>
      <c r="E1221" s="45">
        <f>MROUND(MID($C1221,9,3)/Basis!$E$3,0.5)</f>
        <v>153.5</v>
      </c>
      <c r="F1221" s="199" t="s">
        <v>2950</v>
      </c>
      <c r="G1221" s="45">
        <f>ROUND(MID($C1221,12,2)/Basis!$E$3,1)</f>
        <v>7.1</v>
      </c>
      <c r="H1221" s="120">
        <f>ROUND($P1221*Basis!$E$2*((TaH-TrH)/LN(1/µ)/Basis!$E$7)^$N1221*$AA$4*Glycol,0)</f>
        <v>1968</v>
      </c>
      <c r="I1221" s="83">
        <f>ROUND(H1221/(MID($C1221,9,3)/Basis!$E$3/Basis!$E$9)*Basis!$E$11,0)</f>
        <v>154</v>
      </c>
      <c r="J1221" s="123">
        <f>IF(Basis!$E$1=1,ROUND(H1221/((TaH-TrH)*1.163)/3600,3),ROUND(H1221/(500*(TaH-TrH)),2))</f>
        <v>0.2</v>
      </c>
      <c r="K1221" s="84"/>
      <c r="L1221" s="177">
        <f>CHOOSE(Basis!$E$1,((AJ1221*(J1221*3600/Basis!$E$5)^AK1221*(((MID(C1221,9,3)*10)-244)/1000)*AL1221+AM1221*(J1221*3600/Basis!$E$5)^2)*0.0098)/Basis!$E$10,((AJ1221*(J1221/Basis!$E$5)^AK1221*(((MID(C1221,9,3)*10)-244)/1000)*AL1221+AM1221*(J1221/Basis!$E$5)^2)*0.0098)/Basis!$E$10)</f>
        <v>2.3728871076274298E-2</v>
      </c>
      <c r="M1221" s="85"/>
      <c r="N1221" s="110">
        <v>1.3620000000000001</v>
      </c>
      <c r="O1221" s="74"/>
      <c r="P1221" s="73">
        <v>904</v>
      </c>
      <c r="Q1221" s="74"/>
      <c r="R1221" s="75"/>
      <c r="S1221" s="75"/>
      <c r="T1221" s="75"/>
      <c r="U1221" s="75"/>
      <c r="V1221" s="75"/>
      <c r="W1221" s="74"/>
      <c r="X1221" s="76"/>
      <c r="Y1221" s="76"/>
      <c r="Z1221" s="76"/>
      <c r="AA1221" s="76"/>
      <c r="AB1221" s="76"/>
      <c r="AC1221" s="74"/>
      <c r="AD1221" s="77"/>
      <c r="AE1221" s="77"/>
      <c r="AF1221" s="77"/>
      <c r="AG1221" s="77"/>
      <c r="AH1221" s="77"/>
      <c r="AI1221" s="68"/>
      <c r="AJ1221" s="213">
        <v>9.3669999999999995E-4</v>
      </c>
      <c r="AK1221" s="213">
        <v>1.789841</v>
      </c>
      <c r="AL1221" s="213">
        <v>2</v>
      </c>
      <c r="AM1221" s="213">
        <v>4.4559999999999999E-4</v>
      </c>
      <c r="AN1221" s="74"/>
      <c r="AO1221" s="73"/>
      <c r="AP1221" s="73"/>
      <c r="AQ1221" s="73"/>
      <c r="AR1221" s="73"/>
      <c r="AS1221" s="73"/>
      <c r="AT1221" s="74"/>
      <c r="AU1221" s="47"/>
      <c r="AV1221" s="48"/>
    </row>
    <row r="1222" spans="1:48" ht="12.75" customHeight="1" x14ac:dyDescent="0.25">
      <c r="A1222" s="72" t="s">
        <v>119</v>
      </c>
      <c r="B1222" s="43" t="s">
        <v>1154</v>
      </c>
      <c r="C1222" s="44" t="s">
        <v>1377</v>
      </c>
      <c r="D1222" s="45">
        <f>MROUND(MID($C1222,6,3)/Basis!$E$3,0.5)</f>
        <v>4.5</v>
      </c>
      <c r="E1222" s="45">
        <f>MROUND(MID($C1222,9,3)/Basis!$E$3,0.5)</f>
        <v>153.5</v>
      </c>
      <c r="F1222" s="199" t="s">
        <v>2950</v>
      </c>
      <c r="G1222" s="45">
        <f>ROUND(MID($C1222,12,2)/Basis!$E$3,1)</f>
        <v>10.199999999999999</v>
      </c>
      <c r="H1222" s="120">
        <f>ROUND($P1222*Basis!$E$2*((TaH-TrH)/LN(1/µ)/Basis!$E$7)^$N1222*$AA$4*Glycol,0)</f>
        <v>2656</v>
      </c>
      <c r="I1222" s="83">
        <f>ROUND(H1222/(MID($C1222,9,3)/Basis!$E$3/Basis!$E$9)*Basis!$E$11,0)</f>
        <v>208</v>
      </c>
      <c r="J1222" s="123">
        <f>IF(Basis!$E$1=1,ROUND(H1222/((TaH-TrH)*1.163)/3600,3),ROUND(H1222/(500*(TaH-TrH)),2))</f>
        <v>0.27</v>
      </c>
      <c r="K1222" s="84"/>
      <c r="L1222" s="177">
        <f>CHOOSE(Basis!$E$1,((AJ1222*(J1222*3600/Basis!$E$5)^AK1222*(((MID(C1222,9,3)*10)-244)/1000)*AL1222+AM1222*(J1222*3600/Basis!$E$5)^2)*0.0098)/Basis!$E$10,((AJ1222*(J1222/Basis!$E$5)^AK1222*(((MID(C1222,9,3)*10)-244)/1000)*AL1222+AM1222*(J1222/Basis!$E$5)^2)*0.0098)/Basis!$E$10)</f>
        <v>4.0937490148395678E-2</v>
      </c>
      <c r="M1222" s="85"/>
      <c r="N1222" s="109">
        <v>1.3620000000000001</v>
      </c>
      <c r="O1222" s="68"/>
      <c r="P1222" s="67">
        <v>1220</v>
      </c>
      <c r="Q1222" s="68"/>
      <c r="R1222" s="69"/>
      <c r="S1222" s="69"/>
      <c r="T1222" s="69"/>
      <c r="U1222" s="69"/>
      <c r="V1222" s="69"/>
      <c r="W1222" s="68"/>
      <c r="X1222" s="70"/>
      <c r="Y1222" s="70"/>
      <c r="Z1222" s="70"/>
      <c r="AA1222" s="70"/>
      <c r="AB1222" s="70"/>
      <c r="AC1222" s="68"/>
      <c r="AD1222" s="71"/>
      <c r="AE1222" s="71"/>
      <c r="AF1222" s="71"/>
      <c r="AG1222" s="71"/>
      <c r="AH1222" s="71"/>
      <c r="AI1222" s="68"/>
      <c r="AJ1222" s="214">
        <v>9.3669999999999995E-4</v>
      </c>
      <c r="AK1222" s="214">
        <v>1.789841</v>
      </c>
      <c r="AL1222" s="214">
        <v>2</v>
      </c>
      <c r="AM1222" s="214">
        <v>4.4559999999999999E-4</v>
      </c>
      <c r="AN1222" s="68"/>
      <c r="AO1222" s="67"/>
      <c r="AP1222" s="67"/>
      <c r="AQ1222" s="67"/>
      <c r="AR1222" s="67"/>
      <c r="AS1222" s="67"/>
      <c r="AT1222" s="68"/>
      <c r="AU1222" s="49"/>
      <c r="AV1222" s="50"/>
    </row>
    <row r="1223" spans="1:48" ht="12.75" customHeight="1" x14ac:dyDescent="0.25">
      <c r="A1223" s="72" t="s">
        <v>119</v>
      </c>
      <c r="B1223" s="43" t="s">
        <v>1154</v>
      </c>
      <c r="C1223" s="44" t="s">
        <v>1378</v>
      </c>
      <c r="D1223" s="45">
        <f>MROUND(MID($C1223,6,3)/Basis!$E$3,0.5)</f>
        <v>4.5</v>
      </c>
      <c r="E1223" s="45">
        <f>MROUND(MID($C1223,9,3)/Basis!$E$3,0.5)</f>
        <v>153.5</v>
      </c>
      <c r="F1223" s="199" t="s">
        <v>2950</v>
      </c>
      <c r="G1223" s="45">
        <f>ROUND(MID($C1223,12,2)/Basis!$E$3,1)</f>
        <v>13.4</v>
      </c>
      <c r="H1223" s="120">
        <f>ROUND($P1223*Basis!$E$2*((TaH-TrH)/LN(1/µ)/Basis!$E$7)^$N1223*$AA$4*Glycol,0)</f>
        <v>3450</v>
      </c>
      <c r="I1223" s="83">
        <f>ROUND(H1223/(MID($C1223,9,3)/Basis!$E$3/Basis!$E$9)*Basis!$E$11,0)</f>
        <v>270</v>
      </c>
      <c r="J1223" s="123">
        <f>IF(Basis!$E$1=1,ROUND(H1223/((TaH-TrH)*1.163)/3600,3),ROUND(H1223/(500*(TaH-TrH)),2))</f>
        <v>0.35</v>
      </c>
      <c r="K1223" s="84"/>
      <c r="L1223" s="177">
        <f>CHOOSE(Basis!$E$1,((AJ1223*(J1223*3600/Basis!$E$5)^AK1223*(((MID(C1223,9,3)*10)-244)/1000)*AL1223+AM1223*(J1223*3600/Basis!$E$5)^2)*0.0098)/Basis!$E$10,((AJ1223*(J1223/Basis!$E$5)^AK1223*(((MID(C1223,9,3)*10)-244)/1000)*AL1223+AM1223*(J1223/Basis!$E$5)^2)*0.0098)/Basis!$E$10)</f>
        <v>0.10064499954519618</v>
      </c>
      <c r="M1223" s="85"/>
      <c r="N1223" s="110">
        <v>1.3620000000000001</v>
      </c>
      <c r="O1223" s="74"/>
      <c r="P1223" s="73">
        <v>1585</v>
      </c>
      <c r="Q1223" s="74"/>
      <c r="R1223" s="75"/>
      <c r="S1223" s="75"/>
      <c r="T1223" s="75"/>
      <c r="U1223" s="75"/>
      <c r="V1223" s="75"/>
      <c r="W1223" s="74"/>
      <c r="X1223" s="76"/>
      <c r="Y1223" s="76"/>
      <c r="Z1223" s="76"/>
      <c r="AA1223" s="76"/>
      <c r="AB1223" s="76"/>
      <c r="AC1223" s="74"/>
      <c r="AD1223" s="77"/>
      <c r="AE1223" s="77"/>
      <c r="AF1223" s="77"/>
      <c r="AG1223" s="77"/>
      <c r="AH1223" s="77"/>
      <c r="AI1223" s="68"/>
      <c r="AJ1223" s="213">
        <v>1.3162765859195E-2</v>
      </c>
      <c r="AK1223" s="213">
        <v>1.4286501188989</v>
      </c>
      <c r="AL1223" s="213">
        <v>1</v>
      </c>
      <c r="AM1223" s="213">
        <v>9.2091836734694004E-4</v>
      </c>
      <c r="AN1223" s="74"/>
      <c r="AO1223" s="73"/>
      <c r="AP1223" s="73"/>
      <c r="AQ1223" s="73"/>
      <c r="AR1223" s="73"/>
      <c r="AS1223" s="73"/>
      <c r="AT1223" s="74"/>
      <c r="AU1223" s="47"/>
      <c r="AV1223" s="48"/>
    </row>
    <row r="1224" spans="1:48" ht="12.75" customHeight="1" x14ac:dyDescent="0.25">
      <c r="A1224" s="72" t="s">
        <v>119</v>
      </c>
      <c r="B1224" s="43" t="s">
        <v>1154</v>
      </c>
      <c r="C1224" s="44" t="s">
        <v>1379</v>
      </c>
      <c r="D1224" s="45">
        <f>MROUND(MID($C1224,6,3)/Basis!$E$3,0.5)</f>
        <v>4.5</v>
      </c>
      <c r="E1224" s="45">
        <f>MROUND(MID($C1224,9,3)/Basis!$E$3,0.5)</f>
        <v>153.5</v>
      </c>
      <c r="F1224" s="199" t="s">
        <v>2950</v>
      </c>
      <c r="G1224" s="45">
        <f>ROUND(MID($C1224,12,2)/Basis!$E$3,1)</f>
        <v>16.5</v>
      </c>
      <c r="H1224" s="120">
        <f>ROUND($P1224*Basis!$E$2*((TaH-TrH)/LN(1/µ)/Basis!$E$7)^$N1224*$AA$4*Glycol,0)</f>
        <v>4850</v>
      </c>
      <c r="I1224" s="83">
        <f>ROUND(H1224/(MID($C1224,9,3)/Basis!$E$3/Basis!$E$9)*Basis!$E$11,0)</f>
        <v>379</v>
      </c>
      <c r="J1224" s="123">
        <f>IF(Basis!$E$1=1,ROUND(H1224/((TaH-TrH)*1.163)/3600,3),ROUND(H1224/(500*(TaH-TrH)),2))</f>
        <v>0.49</v>
      </c>
      <c r="K1224" s="84"/>
      <c r="L1224" s="177">
        <f>CHOOSE(Basis!$E$1,((AJ1224*(J1224*3600/Basis!$E$5)^AK1224*(((MID(C1224,9,3)*10)-244)/1000)*AL1224+AM1224*(J1224*3600/Basis!$E$5)^2)*0.0098)/Basis!$E$10,((AJ1224*(J1224/Basis!$E$5)^AK1224*(((MID(C1224,9,3)*10)-244)/1000)*AL1224+AM1224*(J1224/Basis!$E$5)^2)*0.0098)/Basis!$E$10)</f>
        <v>4.8529427211814559E-2</v>
      </c>
      <c r="M1224" s="85"/>
      <c r="N1224" s="109">
        <v>1.3620000000000001</v>
      </c>
      <c r="O1224" s="68"/>
      <c r="P1224" s="67">
        <v>2228</v>
      </c>
      <c r="Q1224" s="68"/>
      <c r="R1224" s="69"/>
      <c r="S1224" s="69"/>
      <c r="T1224" s="69"/>
      <c r="U1224" s="69"/>
      <c r="V1224" s="69"/>
      <c r="W1224" s="68"/>
      <c r="X1224" s="70"/>
      <c r="Y1224" s="70"/>
      <c r="Z1224" s="70"/>
      <c r="AA1224" s="70"/>
      <c r="AB1224" s="70"/>
      <c r="AC1224" s="68"/>
      <c r="AD1224" s="71"/>
      <c r="AE1224" s="71"/>
      <c r="AF1224" s="71"/>
      <c r="AG1224" s="71"/>
      <c r="AH1224" s="71"/>
      <c r="AI1224" s="68"/>
      <c r="AJ1224" s="214">
        <v>3.9689999999999994E-4</v>
      </c>
      <c r="AK1224" s="214">
        <v>1.7345999999999999</v>
      </c>
      <c r="AL1224" s="214">
        <v>2</v>
      </c>
      <c r="AM1224" s="214">
        <v>3.6734700000000002E-4</v>
      </c>
      <c r="AN1224" s="68"/>
      <c r="AO1224" s="67"/>
      <c r="AP1224" s="67"/>
      <c r="AQ1224" s="67"/>
      <c r="AR1224" s="67"/>
      <c r="AS1224" s="67"/>
      <c r="AT1224" s="68"/>
      <c r="AU1224" s="49"/>
      <c r="AV1224" s="50"/>
    </row>
    <row r="1225" spans="1:48" ht="12.75" customHeight="1" x14ac:dyDescent="0.25">
      <c r="A1225" s="72" t="s">
        <v>119</v>
      </c>
      <c r="B1225" s="43" t="s">
        <v>1154</v>
      </c>
      <c r="C1225" s="44" t="s">
        <v>1380</v>
      </c>
      <c r="D1225" s="45">
        <f>MROUND(MID($C1225,6,3)/Basis!$E$3,0.5)</f>
        <v>4.5</v>
      </c>
      <c r="E1225" s="45">
        <f>MROUND(MID($C1225,9,3)/Basis!$E$3,0.5)</f>
        <v>161.5</v>
      </c>
      <c r="F1225" s="199" t="s">
        <v>2950</v>
      </c>
      <c r="G1225" s="45">
        <f>ROUND(MID($C1225,12,2)/Basis!$E$3,1)</f>
        <v>5.5</v>
      </c>
      <c r="H1225" s="120">
        <f>ROUND($P1225*Basis!$E$2*((TaH-TrH)/LN(1/µ)/Basis!$E$7)^$N1225*$AA$4*Glycol,0)</f>
        <v>1752</v>
      </c>
      <c r="I1225" s="83">
        <f>ROUND(H1225/(MID($C1225,9,3)/Basis!$E$3/Basis!$E$9)*Basis!$E$11,0)</f>
        <v>130</v>
      </c>
      <c r="J1225" s="123">
        <f>IF(Basis!$E$1=1,ROUND(H1225/((TaH-TrH)*1.163)/3600,3),ROUND(H1225/(500*(TaH-TrH)),2))</f>
        <v>0.18</v>
      </c>
      <c r="K1225" s="84"/>
      <c r="L1225" s="177">
        <f>CHOOSE(Basis!$E$1,((AJ1225*(J1225*3600/Basis!$E$5)^AK1225*(((MID(C1225,9,3)*10)-244)/1000)*AL1225+AM1225*(J1225*3600/Basis!$E$5)^2)*0.0098)/Basis!$E$10,((AJ1225*(J1225/Basis!$E$5)^AK1225*(((MID(C1225,9,3)*10)-244)/1000)*AL1225+AM1225*(J1225/Basis!$E$5)^2)*0.0098)/Basis!$E$10)</f>
        <v>1.0158451523555595E-2</v>
      </c>
      <c r="M1225" s="85"/>
      <c r="N1225" s="110">
        <v>1.3620000000000001</v>
      </c>
      <c r="O1225" s="74"/>
      <c r="P1225" s="73">
        <v>805</v>
      </c>
      <c r="Q1225" s="74"/>
      <c r="R1225" s="75"/>
      <c r="S1225" s="75"/>
      <c r="T1225" s="75"/>
      <c r="U1225" s="75"/>
      <c r="V1225" s="75"/>
      <c r="W1225" s="74"/>
      <c r="X1225" s="76"/>
      <c r="Y1225" s="76"/>
      <c r="Z1225" s="76"/>
      <c r="AA1225" s="76"/>
      <c r="AB1225" s="76"/>
      <c r="AC1225" s="74"/>
      <c r="AD1225" s="77"/>
      <c r="AE1225" s="77"/>
      <c r="AF1225" s="77"/>
      <c r="AG1225" s="77"/>
      <c r="AH1225" s="77"/>
      <c r="AI1225" s="68"/>
      <c r="AJ1225" s="213">
        <v>6.0625777523108995E-4</v>
      </c>
      <c r="AK1225" s="213">
        <v>1.8894792857555001</v>
      </c>
      <c r="AL1225" s="213">
        <v>1</v>
      </c>
      <c r="AM1225" s="213">
        <v>3.0758017492711002E-4</v>
      </c>
      <c r="AN1225" s="74"/>
      <c r="AO1225" s="73"/>
      <c r="AP1225" s="73"/>
      <c r="AQ1225" s="73"/>
      <c r="AR1225" s="73"/>
      <c r="AS1225" s="73"/>
      <c r="AT1225" s="74"/>
      <c r="AU1225" s="47"/>
      <c r="AV1225" s="48"/>
    </row>
    <row r="1226" spans="1:48" ht="12.75" customHeight="1" x14ac:dyDescent="0.25">
      <c r="A1226" s="72" t="s">
        <v>119</v>
      </c>
      <c r="B1226" s="43" t="s">
        <v>1154</v>
      </c>
      <c r="C1226" s="44" t="s">
        <v>1381</v>
      </c>
      <c r="D1226" s="45">
        <f>MROUND(MID($C1226,6,3)/Basis!$E$3,0.5)</f>
        <v>4.5</v>
      </c>
      <c r="E1226" s="45">
        <f>MROUND(MID($C1226,9,3)/Basis!$E$3,0.5)</f>
        <v>161.5</v>
      </c>
      <c r="F1226" s="199" t="s">
        <v>2950</v>
      </c>
      <c r="G1226" s="45">
        <f>ROUND(MID($C1226,12,2)/Basis!$E$3,1)</f>
        <v>7.1</v>
      </c>
      <c r="H1226" s="120">
        <f>ROUND($P1226*Basis!$E$2*((TaH-TrH)/LN(1/µ)/Basis!$E$7)^$N1226*$AA$4*Glycol,0)</f>
        <v>2077</v>
      </c>
      <c r="I1226" s="83">
        <f>ROUND(H1226/(MID($C1226,9,3)/Basis!$E$3/Basis!$E$9)*Basis!$E$11,0)</f>
        <v>154</v>
      </c>
      <c r="J1226" s="123">
        <f>IF(Basis!$E$1=1,ROUND(H1226/((TaH-TrH)*1.163)/3600,3),ROUND(H1226/(500*(TaH-TrH)),2))</f>
        <v>0.21</v>
      </c>
      <c r="K1226" s="84"/>
      <c r="L1226" s="177">
        <f>CHOOSE(Basis!$E$1,((AJ1226*(J1226*3600/Basis!$E$5)^AK1226*(((MID(C1226,9,3)*10)-244)/1000)*AL1226+AM1226*(J1226*3600/Basis!$E$5)^2)*0.0098)/Basis!$E$10,((AJ1226*(J1226/Basis!$E$5)^AK1226*(((MID(C1226,9,3)*10)-244)/1000)*AL1226+AM1226*(J1226/Basis!$E$5)^2)*0.0098)/Basis!$E$10)</f>
        <v>2.7165077458205001E-2</v>
      </c>
      <c r="M1226" s="85"/>
      <c r="N1226" s="109">
        <v>1.3620000000000001</v>
      </c>
      <c r="O1226" s="68"/>
      <c r="P1226" s="67">
        <v>954</v>
      </c>
      <c r="Q1226" s="68"/>
      <c r="R1226" s="69"/>
      <c r="S1226" s="69"/>
      <c r="T1226" s="69"/>
      <c r="U1226" s="69"/>
      <c r="V1226" s="69"/>
      <c r="W1226" s="68"/>
      <c r="X1226" s="70"/>
      <c r="Y1226" s="70"/>
      <c r="Z1226" s="70"/>
      <c r="AA1226" s="70"/>
      <c r="AB1226" s="70"/>
      <c r="AC1226" s="68"/>
      <c r="AD1226" s="71"/>
      <c r="AE1226" s="71"/>
      <c r="AF1226" s="71"/>
      <c r="AG1226" s="71"/>
      <c r="AH1226" s="71"/>
      <c r="AI1226" s="68"/>
      <c r="AJ1226" s="214">
        <v>9.3669999999999995E-4</v>
      </c>
      <c r="AK1226" s="214">
        <v>1.789841</v>
      </c>
      <c r="AL1226" s="214">
        <v>2</v>
      </c>
      <c r="AM1226" s="214">
        <v>4.4559999999999999E-4</v>
      </c>
      <c r="AN1226" s="68"/>
      <c r="AO1226" s="67"/>
      <c r="AP1226" s="67"/>
      <c r="AQ1226" s="67"/>
      <c r="AR1226" s="67"/>
      <c r="AS1226" s="67"/>
      <c r="AT1226" s="68"/>
      <c r="AU1226" s="49"/>
      <c r="AV1226" s="50"/>
    </row>
    <row r="1227" spans="1:48" ht="12.75" customHeight="1" x14ac:dyDescent="0.25">
      <c r="A1227" s="72" t="s">
        <v>119</v>
      </c>
      <c r="B1227" s="43" t="s">
        <v>1154</v>
      </c>
      <c r="C1227" s="44" t="s">
        <v>1382</v>
      </c>
      <c r="D1227" s="45">
        <f>MROUND(MID($C1227,6,3)/Basis!$E$3,0.5)</f>
        <v>4.5</v>
      </c>
      <c r="E1227" s="45">
        <f>MROUND(MID($C1227,9,3)/Basis!$E$3,0.5)</f>
        <v>161.5</v>
      </c>
      <c r="F1227" s="199" t="s">
        <v>2950</v>
      </c>
      <c r="G1227" s="45">
        <f>ROUND(MID($C1227,12,2)/Basis!$E$3,1)</f>
        <v>10.199999999999999</v>
      </c>
      <c r="H1227" s="120">
        <f>ROUND($P1227*Basis!$E$2*((TaH-TrH)/LN(1/µ)/Basis!$E$7)^$N1227*$AA$4*Glycol,0)</f>
        <v>2804</v>
      </c>
      <c r="I1227" s="83">
        <f>ROUND(H1227/(MID($C1227,9,3)/Basis!$E$3/Basis!$E$9)*Basis!$E$11,0)</f>
        <v>208</v>
      </c>
      <c r="J1227" s="123">
        <f>IF(Basis!$E$1=1,ROUND(H1227/((TaH-TrH)*1.163)/3600,3),ROUND(H1227/(500*(TaH-TrH)),2))</f>
        <v>0.28000000000000003</v>
      </c>
      <c r="K1227" s="84"/>
      <c r="L1227" s="177">
        <f>CHOOSE(Basis!$E$1,((AJ1227*(J1227*3600/Basis!$E$5)^AK1227*(((MID(C1227,9,3)*10)-244)/1000)*AL1227+AM1227*(J1227*3600/Basis!$E$5)^2)*0.0098)/Basis!$E$10,((AJ1227*(J1227/Basis!$E$5)^AK1227*(((MID(C1227,9,3)*10)-244)/1000)*AL1227+AM1227*(J1227/Basis!$E$5)^2)*0.0098)/Basis!$E$10)</f>
        <v>4.5805906875348072E-2</v>
      </c>
      <c r="M1227" s="85"/>
      <c r="N1227" s="110">
        <v>1.3620000000000001</v>
      </c>
      <c r="O1227" s="74"/>
      <c r="P1227" s="73">
        <v>1288</v>
      </c>
      <c r="Q1227" s="74"/>
      <c r="R1227" s="75"/>
      <c r="S1227" s="75"/>
      <c r="T1227" s="75"/>
      <c r="U1227" s="75"/>
      <c r="V1227" s="75"/>
      <c r="W1227" s="74"/>
      <c r="X1227" s="76"/>
      <c r="Y1227" s="76"/>
      <c r="Z1227" s="76"/>
      <c r="AA1227" s="76"/>
      <c r="AB1227" s="76"/>
      <c r="AC1227" s="74"/>
      <c r="AD1227" s="77"/>
      <c r="AE1227" s="77"/>
      <c r="AF1227" s="77"/>
      <c r="AG1227" s="77"/>
      <c r="AH1227" s="77"/>
      <c r="AI1227" s="68"/>
      <c r="AJ1227" s="213">
        <v>9.3669999999999995E-4</v>
      </c>
      <c r="AK1227" s="213">
        <v>1.789841</v>
      </c>
      <c r="AL1227" s="213">
        <v>2</v>
      </c>
      <c r="AM1227" s="213">
        <v>4.4559999999999999E-4</v>
      </c>
      <c r="AN1227" s="74"/>
      <c r="AO1227" s="73"/>
      <c r="AP1227" s="73"/>
      <c r="AQ1227" s="73"/>
      <c r="AR1227" s="73"/>
      <c r="AS1227" s="73"/>
      <c r="AT1227" s="74"/>
      <c r="AU1227" s="47"/>
      <c r="AV1227" s="48"/>
    </row>
    <row r="1228" spans="1:48" ht="12.75" customHeight="1" x14ac:dyDescent="0.25">
      <c r="A1228" s="72" t="s">
        <v>119</v>
      </c>
      <c r="B1228" s="43" t="s">
        <v>1154</v>
      </c>
      <c r="C1228" s="44" t="s">
        <v>1383</v>
      </c>
      <c r="D1228" s="45">
        <f>MROUND(MID($C1228,6,3)/Basis!$E$3,0.5)</f>
        <v>4.5</v>
      </c>
      <c r="E1228" s="45">
        <f>MROUND(MID($C1228,9,3)/Basis!$E$3,0.5)</f>
        <v>161.5</v>
      </c>
      <c r="F1228" s="199" t="s">
        <v>2950</v>
      </c>
      <c r="G1228" s="45">
        <f>ROUND(MID($C1228,12,2)/Basis!$E$3,1)</f>
        <v>13.4</v>
      </c>
      <c r="H1228" s="120">
        <f>ROUND($P1228*Basis!$E$2*((TaH-TrH)/LN(1/µ)/Basis!$E$7)^$N1228*$AA$4*Glycol,0)</f>
        <v>3642</v>
      </c>
      <c r="I1228" s="83">
        <f>ROUND(H1228/(MID($C1228,9,3)/Basis!$E$3/Basis!$E$9)*Basis!$E$11,0)</f>
        <v>271</v>
      </c>
      <c r="J1228" s="123">
        <f>IF(Basis!$E$1=1,ROUND(H1228/((TaH-TrH)*1.163)/3600,3),ROUND(H1228/(500*(TaH-TrH)),2))</f>
        <v>0.36</v>
      </c>
      <c r="K1228" s="84"/>
      <c r="L1228" s="177">
        <f>CHOOSE(Basis!$E$1,((AJ1228*(J1228*3600/Basis!$E$5)^AK1228*(((MID(C1228,9,3)*10)-244)/1000)*AL1228+AM1228*(J1228*3600/Basis!$E$5)^2)*0.0098)/Basis!$E$10,((AJ1228*(J1228/Basis!$E$5)^AK1228*(((MID(C1228,9,3)*10)-244)/1000)*AL1228+AM1228*(J1228/Basis!$E$5)^2)*0.0098)/Basis!$E$10)</f>
        <v>0.10974780646972079</v>
      </c>
      <c r="M1228" s="85"/>
      <c r="N1228" s="109">
        <v>1.3620000000000001</v>
      </c>
      <c r="O1228" s="68"/>
      <c r="P1228" s="67">
        <v>1673</v>
      </c>
      <c r="Q1228" s="68"/>
      <c r="R1228" s="69"/>
      <c r="S1228" s="69"/>
      <c r="T1228" s="69"/>
      <c r="U1228" s="69"/>
      <c r="V1228" s="69"/>
      <c r="W1228" s="68"/>
      <c r="X1228" s="70"/>
      <c r="Y1228" s="70"/>
      <c r="Z1228" s="70"/>
      <c r="AA1228" s="70"/>
      <c r="AB1228" s="70"/>
      <c r="AC1228" s="68"/>
      <c r="AD1228" s="71"/>
      <c r="AE1228" s="71"/>
      <c r="AF1228" s="71"/>
      <c r="AG1228" s="71"/>
      <c r="AH1228" s="71"/>
      <c r="AI1228" s="68"/>
      <c r="AJ1228" s="214">
        <v>1.3162765859195E-2</v>
      </c>
      <c r="AK1228" s="214">
        <v>1.4286501188989</v>
      </c>
      <c r="AL1228" s="214">
        <v>1</v>
      </c>
      <c r="AM1228" s="214">
        <v>9.2091836734694004E-4</v>
      </c>
      <c r="AN1228" s="68"/>
      <c r="AO1228" s="67"/>
      <c r="AP1228" s="67"/>
      <c r="AQ1228" s="67"/>
      <c r="AR1228" s="67"/>
      <c r="AS1228" s="67"/>
      <c r="AT1228" s="68"/>
      <c r="AU1228" s="49"/>
      <c r="AV1228" s="50"/>
    </row>
    <row r="1229" spans="1:48" ht="12.75" customHeight="1" x14ac:dyDescent="0.25">
      <c r="A1229" s="72" t="s">
        <v>119</v>
      </c>
      <c r="B1229" s="43" t="s">
        <v>1154</v>
      </c>
      <c r="C1229" s="44" t="s">
        <v>1384</v>
      </c>
      <c r="D1229" s="45">
        <f>MROUND(MID($C1229,6,3)/Basis!$E$3,0.5)</f>
        <v>4.5</v>
      </c>
      <c r="E1229" s="45">
        <f>MROUND(MID($C1229,9,3)/Basis!$E$3,0.5)</f>
        <v>161.5</v>
      </c>
      <c r="F1229" s="199" t="s">
        <v>2950</v>
      </c>
      <c r="G1229" s="45">
        <f>ROUND(MID($C1229,12,2)/Basis!$E$3,1)</f>
        <v>16.5</v>
      </c>
      <c r="H1229" s="120">
        <f>ROUND($P1229*Basis!$E$2*((TaH-TrH)/LN(1/µ)/Basis!$E$7)^$N1229*$AA$4*Glycol,0)</f>
        <v>5117</v>
      </c>
      <c r="I1229" s="83">
        <f>ROUND(H1229/(MID($C1229,9,3)/Basis!$E$3/Basis!$E$9)*Basis!$E$11,0)</f>
        <v>380</v>
      </c>
      <c r="J1229" s="123">
        <f>IF(Basis!$E$1=1,ROUND(H1229/((TaH-TrH)*1.163)/3600,3),ROUND(H1229/(500*(TaH-TrH)),2))</f>
        <v>0.51</v>
      </c>
      <c r="K1229" s="84"/>
      <c r="L1229" s="177">
        <f>CHOOSE(Basis!$E$1,((AJ1229*(J1229*3600/Basis!$E$5)^AK1229*(((MID(C1229,9,3)*10)-244)/1000)*AL1229+AM1229*(J1229*3600/Basis!$E$5)^2)*0.0098)/Basis!$E$10,((AJ1229*(J1229/Basis!$E$5)^AK1229*(((MID(C1229,9,3)*10)-244)/1000)*AL1229+AM1229*(J1229/Basis!$E$5)^2)*0.0098)/Basis!$E$10)</f>
        <v>5.4160087118632155E-2</v>
      </c>
      <c r="M1229" s="85"/>
      <c r="N1229" s="110">
        <v>1.3620000000000001</v>
      </c>
      <c r="O1229" s="74"/>
      <c r="P1229" s="73">
        <v>2351</v>
      </c>
      <c r="Q1229" s="74"/>
      <c r="R1229" s="75"/>
      <c r="S1229" s="75"/>
      <c r="T1229" s="75"/>
      <c r="U1229" s="75"/>
      <c r="V1229" s="75"/>
      <c r="W1229" s="74"/>
      <c r="X1229" s="76"/>
      <c r="Y1229" s="76"/>
      <c r="Z1229" s="76"/>
      <c r="AA1229" s="76"/>
      <c r="AB1229" s="76"/>
      <c r="AC1229" s="74"/>
      <c r="AD1229" s="77"/>
      <c r="AE1229" s="77"/>
      <c r="AF1229" s="77"/>
      <c r="AG1229" s="77"/>
      <c r="AH1229" s="77"/>
      <c r="AI1229" s="68"/>
      <c r="AJ1229" s="213">
        <v>3.9689999999999994E-4</v>
      </c>
      <c r="AK1229" s="213">
        <v>1.7345999999999999</v>
      </c>
      <c r="AL1229" s="213">
        <v>2</v>
      </c>
      <c r="AM1229" s="213">
        <v>3.6734700000000002E-4</v>
      </c>
      <c r="AN1229" s="74"/>
      <c r="AO1229" s="73"/>
      <c r="AP1229" s="73"/>
      <c r="AQ1229" s="73"/>
      <c r="AR1229" s="73"/>
      <c r="AS1229" s="73"/>
      <c r="AT1229" s="74"/>
      <c r="AU1229" s="47"/>
      <c r="AV1229" s="48"/>
    </row>
    <row r="1230" spans="1:48" ht="12.75" customHeight="1" x14ac:dyDescent="0.25">
      <c r="A1230" s="72" t="s">
        <v>119</v>
      </c>
      <c r="B1230" s="43" t="s">
        <v>1154</v>
      </c>
      <c r="C1230" s="44" t="s">
        <v>1385</v>
      </c>
      <c r="D1230" s="45">
        <f>MROUND(MID($C1230,6,3)/Basis!$E$3,0.5)</f>
        <v>4.5</v>
      </c>
      <c r="E1230" s="45">
        <f>MROUND(MID($C1230,9,3)/Basis!$E$3,0.5)</f>
        <v>169.5</v>
      </c>
      <c r="F1230" s="199" t="s">
        <v>2950</v>
      </c>
      <c r="G1230" s="45">
        <f>ROUND(MID($C1230,12,2)/Basis!$E$3,1)</f>
        <v>5.5</v>
      </c>
      <c r="H1230" s="120">
        <f>ROUND($P1230*Basis!$E$2*((TaH-TrH)/LN(1/µ)/Basis!$E$7)^$N1230*$AA$4*Glycol,0)</f>
        <v>1846</v>
      </c>
      <c r="I1230" s="83">
        <f>ROUND(H1230/(MID($C1230,9,3)/Basis!$E$3/Basis!$E$9)*Basis!$E$11,0)</f>
        <v>131</v>
      </c>
      <c r="J1230" s="123">
        <f>IF(Basis!$E$1=1,ROUND(H1230/((TaH-TrH)*1.163)/3600,3),ROUND(H1230/(500*(TaH-TrH)),2))</f>
        <v>0.18</v>
      </c>
      <c r="K1230" s="84"/>
      <c r="L1230" s="177">
        <f>CHOOSE(Basis!$E$1,((AJ1230*(J1230*3600/Basis!$E$5)^AK1230*(((MID(C1230,9,3)*10)-244)/1000)*AL1230+AM1230*(J1230*3600/Basis!$E$5)^2)*0.0098)/Basis!$E$10,((AJ1230*(J1230/Basis!$E$5)^AK1230*(((MID(C1230,9,3)*10)-244)/1000)*AL1230+AM1230*(J1230/Basis!$E$5)^2)*0.0098)/Basis!$E$10)</f>
        <v>1.0598158667169748E-2</v>
      </c>
      <c r="M1230" s="85"/>
      <c r="N1230" s="109">
        <v>1.3620000000000001</v>
      </c>
      <c r="O1230" s="68"/>
      <c r="P1230" s="67">
        <v>848</v>
      </c>
      <c r="Q1230" s="68"/>
      <c r="R1230" s="69"/>
      <c r="S1230" s="69"/>
      <c r="T1230" s="69"/>
      <c r="U1230" s="69"/>
      <c r="V1230" s="69"/>
      <c r="W1230" s="68"/>
      <c r="X1230" s="70"/>
      <c r="Y1230" s="70"/>
      <c r="Z1230" s="70"/>
      <c r="AA1230" s="70"/>
      <c r="AB1230" s="70"/>
      <c r="AC1230" s="68"/>
      <c r="AD1230" s="71"/>
      <c r="AE1230" s="71"/>
      <c r="AF1230" s="71"/>
      <c r="AG1230" s="71"/>
      <c r="AH1230" s="71"/>
      <c r="AI1230" s="68"/>
      <c r="AJ1230" s="214">
        <v>6.0625777523108995E-4</v>
      </c>
      <c r="AK1230" s="214">
        <v>1.8894792857555001</v>
      </c>
      <c r="AL1230" s="214">
        <v>1</v>
      </c>
      <c r="AM1230" s="214">
        <v>3.0758017492711002E-4</v>
      </c>
      <c r="AN1230" s="68"/>
      <c r="AO1230" s="67"/>
      <c r="AP1230" s="67"/>
      <c r="AQ1230" s="67"/>
      <c r="AR1230" s="67"/>
      <c r="AS1230" s="67"/>
      <c r="AT1230" s="68"/>
      <c r="AU1230" s="49"/>
      <c r="AV1230" s="50"/>
    </row>
    <row r="1231" spans="1:48" ht="12.75" customHeight="1" x14ac:dyDescent="0.25">
      <c r="A1231" s="72" t="s">
        <v>119</v>
      </c>
      <c r="B1231" s="43" t="s">
        <v>1154</v>
      </c>
      <c r="C1231" s="44" t="s">
        <v>1386</v>
      </c>
      <c r="D1231" s="45">
        <f>MROUND(MID($C1231,6,3)/Basis!$E$3,0.5)</f>
        <v>4.5</v>
      </c>
      <c r="E1231" s="45">
        <f>MROUND(MID($C1231,9,3)/Basis!$E$3,0.5)</f>
        <v>169.5</v>
      </c>
      <c r="F1231" s="199" t="s">
        <v>2950</v>
      </c>
      <c r="G1231" s="45">
        <f>ROUND(MID($C1231,12,2)/Basis!$E$3,1)</f>
        <v>7.1</v>
      </c>
      <c r="H1231" s="120">
        <f>ROUND($P1231*Basis!$E$2*((TaH-TrH)/LN(1/µ)/Basis!$E$7)^$N1231*$AA$4*Glycol,0)</f>
        <v>2188</v>
      </c>
      <c r="I1231" s="83">
        <f>ROUND(H1231/(MID($C1231,9,3)/Basis!$E$3/Basis!$E$9)*Basis!$E$11,0)</f>
        <v>155</v>
      </c>
      <c r="J1231" s="123">
        <f>IF(Basis!$E$1=1,ROUND(H1231/((TaH-TrH)*1.163)/3600,3),ROUND(H1231/(500*(TaH-TrH)),2))</f>
        <v>0.22</v>
      </c>
      <c r="K1231" s="84"/>
      <c r="L1231" s="177">
        <f>CHOOSE(Basis!$E$1,((AJ1231*(J1231*3600/Basis!$E$5)^AK1231*(((MID(C1231,9,3)*10)-244)/1000)*AL1231+AM1231*(J1231*3600/Basis!$E$5)^2)*0.0098)/Basis!$E$10,((AJ1231*(J1231/Basis!$E$5)^AK1231*(((MID(C1231,9,3)*10)-244)/1000)*AL1231+AM1231*(J1231/Basis!$E$5)^2)*0.0098)/Basis!$E$10)</f>
        <v>3.0903633401165843E-2</v>
      </c>
      <c r="M1231" s="85"/>
      <c r="N1231" s="110">
        <v>1.3620000000000001</v>
      </c>
      <c r="O1231" s="74"/>
      <c r="P1231" s="73">
        <v>1005</v>
      </c>
      <c r="Q1231" s="74"/>
      <c r="R1231" s="75"/>
      <c r="S1231" s="75"/>
      <c r="T1231" s="75"/>
      <c r="U1231" s="75"/>
      <c r="V1231" s="75"/>
      <c r="W1231" s="74"/>
      <c r="X1231" s="76"/>
      <c r="Y1231" s="76"/>
      <c r="Z1231" s="76"/>
      <c r="AA1231" s="76"/>
      <c r="AB1231" s="76"/>
      <c r="AC1231" s="74"/>
      <c r="AD1231" s="77"/>
      <c r="AE1231" s="77"/>
      <c r="AF1231" s="77"/>
      <c r="AG1231" s="77"/>
      <c r="AH1231" s="77"/>
      <c r="AI1231" s="68"/>
      <c r="AJ1231" s="213">
        <v>9.3669999999999995E-4</v>
      </c>
      <c r="AK1231" s="213">
        <v>1.789841</v>
      </c>
      <c r="AL1231" s="213">
        <v>2</v>
      </c>
      <c r="AM1231" s="213">
        <v>4.4559999999999999E-4</v>
      </c>
      <c r="AN1231" s="74"/>
      <c r="AO1231" s="73"/>
      <c r="AP1231" s="73"/>
      <c r="AQ1231" s="73"/>
      <c r="AR1231" s="73"/>
      <c r="AS1231" s="73"/>
      <c r="AT1231" s="74"/>
      <c r="AU1231" s="47"/>
      <c r="AV1231" s="48"/>
    </row>
    <row r="1232" spans="1:48" ht="12.75" customHeight="1" x14ac:dyDescent="0.25">
      <c r="A1232" s="72" t="s">
        <v>119</v>
      </c>
      <c r="B1232" s="43" t="s">
        <v>1154</v>
      </c>
      <c r="C1232" s="44" t="s">
        <v>1387</v>
      </c>
      <c r="D1232" s="45">
        <f>MROUND(MID($C1232,6,3)/Basis!$E$3,0.5)</f>
        <v>4.5</v>
      </c>
      <c r="E1232" s="45">
        <f>MROUND(MID($C1232,9,3)/Basis!$E$3,0.5)</f>
        <v>169.5</v>
      </c>
      <c r="F1232" s="199" t="s">
        <v>2950</v>
      </c>
      <c r="G1232" s="45">
        <f>ROUND(MID($C1232,12,2)/Basis!$E$3,1)</f>
        <v>10.199999999999999</v>
      </c>
      <c r="H1232" s="120">
        <f>ROUND($P1232*Basis!$E$2*((TaH-TrH)/LN(1/µ)/Basis!$E$7)^$N1232*$AA$4*Glycol,0)</f>
        <v>2952</v>
      </c>
      <c r="I1232" s="83">
        <f>ROUND(H1232/(MID($C1232,9,3)/Basis!$E$3/Basis!$E$9)*Basis!$E$11,0)</f>
        <v>209</v>
      </c>
      <c r="J1232" s="123">
        <f>IF(Basis!$E$1=1,ROUND(H1232/((TaH-TrH)*1.163)/3600,3),ROUND(H1232/(500*(TaH-TrH)),2))</f>
        <v>0.3</v>
      </c>
      <c r="K1232" s="84"/>
      <c r="L1232" s="177">
        <f>CHOOSE(Basis!$E$1,((AJ1232*(J1232*3600/Basis!$E$5)^AK1232*(((MID(C1232,9,3)*10)-244)/1000)*AL1232+AM1232*(J1232*3600/Basis!$E$5)^2)*0.0098)/Basis!$E$10,((AJ1232*(J1232/Basis!$E$5)^AK1232*(((MID(C1232,9,3)*10)-244)/1000)*AL1232+AM1232*(J1232/Basis!$E$5)^2)*0.0098)/Basis!$E$10)</f>
        <v>5.4266046820822374E-2</v>
      </c>
      <c r="M1232" s="85"/>
      <c r="N1232" s="109">
        <v>1.3620000000000001</v>
      </c>
      <c r="O1232" s="68"/>
      <c r="P1232" s="67">
        <v>1356</v>
      </c>
      <c r="Q1232" s="68"/>
      <c r="R1232" s="69"/>
      <c r="S1232" s="69"/>
      <c r="T1232" s="69"/>
      <c r="U1232" s="69"/>
      <c r="V1232" s="69"/>
      <c r="W1232" s="68"/>
      <c r="X1232" s="70"/>
      <c r="Y1232" s="70"/>
      <c r="Z1232" s="70"/>
      <c r="AA1232" s="70"/>
      <c r="AB1232" s="70"/>
      <c r="AC1232" s="68"/>
      <c r="AD1232" s="71"/>
      <c r="AE1232" s="71"/>
      <c r="AF1232" s="71"/>
      <c r="AG1232" s="71"/>
      <c r="AH1232" s="71"/>
      <c r="AI1232" s="68"/>
      <c r="AJ1232" s="214">
        <v>9.3669999999999995E-4</v>
      </c>
      <c r="AK1232" s="214">
        <v>1.789841</v>
      </c>
      <c r="AL1232" s="214">
        <v>2</v>
      </c>
      <c r="AM1232" s="214">
        <v>4.4559999999999999E-4</v>
      </c>
      <c r="AN1232" s="68"/>
      <c r="AO1232" s="67"/>
      <c r="AP1232" s="67"/>
      <c r="AQ1232" s="67"/>
      <c r="AR1232" s="67"/>
      <c r="AS1232" s="67"/>
      <c r="AT1232" s="68"/>
      <c r="AU1232" s="49"/>
      <c r="AV1232" s="50"/>
    </row>
    <row r="1233" spans="1:48" ht="12.75" customHeight="1" x14ac:dyDescent="0.25">
      <c r="A1233" s="72" t="s">
        <v>119</v>
      </c>
      <c r="B1233" s="43" t="s">
        <v>1154</v>
      </c>
      <c r="C1233" s="44" t="s">
        <v>1388</v>
      </c>
      <c r="D1233" s="45">
        <f>MROUND(MID($C1233,6,3)/Basis!$E$3,0.5)</f>
        <v>4.5</v>
      </c>
      <c r="E1233" s="45">
        <f>MROUND(MID($C1233,9,3)/Basis!$E$3,0.5)</f>
        <v>169.5</v>
      </c>
      <c r="F1233" s="199" t="s">
        <v>2950</v>
      </c>
      <c r="G1233" s="45">
        <f>ROUND(MID($C1233,12,2)/Basis!$E$3,1)</f>
        <v>13.4</v>
      </c>
      <c r="H1233" s="120">
        <f>ROUND($P1233*Basis!$E$2*((TaH-TrH)/LN(1/µ)/Basis!$E$7)^$N1233*$AA$4*Glycol,0)</f>
        <v>3835</v>
      </c>
      <c r="I1233" s="83">
        <f>ROUND(H1233/(MID($C1233,9,3)/Basis!$E$3/Basis!$E$9)*Basis!$E$11,0)</f>
        <v>272</v>
      </c>
      <c r="J1233" s="123">
        <f>IF(Basis!$E$1=1,ROUND(H1233/((TaH-TrH)*1.163)/3600,3),ROUND(H1233/(500*(TaH-TrH)),2))</f>
        <v>0.38</v>
      </c>
      <c r="K1233" s="84"/>
      <c r="L1233" s="177">
        <f>CHOOSE(Basis!$E$1,((AJ1233*(J1233*3600/Basis!$E$5)^AK1233*(((MID(C1233,9,3)*10)-244)/1000)*AL1233+AM1233*(J1233*3600/Basis!$E$5)^2)*0.0098)/Basis!$E$10,((AJ1233*(J1233/Basis!$E$5)^AK1233*(((MID(C1233,9,3)*10)-244)/1000)*AL1233+AM1233*(J1233/Basis!$E$5)^2)*0.0098)/Basis!$E$10)</f>
        <v>0.12426481501936365</v>
      </c>
      <c r="M1233" s="85"/>
      <c r="N1233" s="110">
        <v>1.3620000000000001</v>
      </c>
      <c r="O1233" s="74"/>
      <c r="P1233" s="73">
        <v>1762</v>
      </c>
      <c r="Q1233" s="74"/>
      <c r="R1233" s="75"/>
      <c r="S1233" s="75"/>
      <c r="T1233" s="75"/>
      <c r="U1233" s="75"/>
      <c r="V1233" s="75"/>
      <c r="W1233" s="74"/>
      <c r="X1233" s="76"/>
      <c r="Y1233" s="76"/>
      <c r="Z1233" s="76"/>
      <c r="AA1233" s="76"/>
      <c r="AB1233" s="76"/>
      <c r="AC1233" s="74"/>
      <c r="AD1233" s="77"/>
      <c r="AE1233" s="77"/>
      <c r="AF1233" s="77"/>
      <c r="AG1233" s="77"/>
      <c r="AH1233" s="77"/>
      <c r="AI1233" s="68"/>
      <c r="AJ1233" s="213">
        <v>1.3162765859195E-2</v>
      </c>
      <c r="AK1233" s="213">
        <v>1.4286501188989</v>
      </c>
      <c r="AL1233" s="213">
        <v>1</v>
      </c>
      <c r="AM1233" s="213">
        <v>9.2091836734694004E-4</v>
      </c>
      <c r="AN1233" s="74"/>
      <c r="AO1233" s="73"/>
      <c r="AP1233" s="73"/>
      <c r="AQ1233" s="73"/>
      <c r="AR1233" s="73"/>
      <c r="AS1233" s="73"/>
      <c r="AT1233" s="74"/>
      <c r="AU1233" s="47"/>
      <c r="AV1233" s="48"/>
    </row>
    <row r="1234" spans="1:48" ht="12.75" customHeight="1" x14ac:dyDescent="0.25">
      <c r="A1234" s="72" t="s">
        <v>119</v>
      </c>
      <c r="B1234" s="43" t="s">
        <v>1154</v>
      </c>
      <c r="C1234" s="44" t="s">
        <v>1389</v>
      </c>
      <c r="D1234" s="45">
        <f>MROUND(MID($C1234,6,3)/Basis!$E$3,0.5)</f>
        <v>4.5</v>
      </c>
      <c r="E1234" s="45">
        <f>MROUND(MID($C1234,9,3)/Basis!$E$3,0.5)</f>
        <v>169.5</v>
      </c>
      <c r="F1234" s="199" t="s">
        <v>2950</v>
      </c>
      <c r="G1234" s="45">
        <f>ROUND(MID($C1234,12,2)/Basis!$E$3,1)</f>
        <v>16.5</v>
      </c>
      <c r="H1234" s="120">
        <f>ROUND($P1234*Basis!$E$2*((TaH-TrH)/LN(1/µ)/Basis!$E$7)^$N1234*$AA$4*Glycol,0)</f>
        <v>5387</v>
      </c>
      <c r="I1234" s="83">
        <f>ROUND(H1234/(MID($C1234,9,3)/Basis!$E$3/Basis!$E$9)*Basis!$E$11,0)</f>
        <v>382</v>
      </c>
      <c r="J1234" s="123">
        <f>IF(Basis!$E$1=1,ROUND(H1234/((TaH-TrH)*1.163)/3600,3),ROUND(H1234/(500*(TaH-TrH)),2))</f>
        <v>0.54</v>
      </c>
      <c r="K1234" s="84"/>
      <c r="L1234" s="177">
        <f>CHOOSE(Basis!$E$1,((AJ1234*(J1234*3600/Basis!$E$5)^AK1234*(((MID(C1234,9,3)*10)-244)/1000)*AL1234+AM1234*(J1234*3600/Basis!$E$5)^2)*0.0098)/Basis!$E$10,((AJ1234*(J1234/Basis!$E$5)^AK1234*(((MID(C1234,9,3)*10)-244)/1000)*AL1234+AM1234*(J1234/Basis!$E$5)^2)*0.0098)/Basis!$E$10)</f>
        <v>6.2256046312428183E-2</v>
      </c>
      <c r="M1234" s="85"/>
      <c r="N1234" s="109">
        <v>1.3620000000000001</v>
      </c>
      <c r="O1234" s="68"/>
      <c r="P1234" s="67">
        <v>2475</v>
      </c>
      <c r="Q1234" s="68"/>
      <c r="R1234" s="69"/>
      <c r="S1234" s="69"/>
      <c r="T1234" s="69"/>
      <c r="U1234" s="69"/>
      <c r="V1234" s="69"/>
      <c r="W1234" s="68"/>
      <c r="X1234" s="70"/>
      <c r="Y1234" s="70"/>
      <c r="Z1234" s="70"/>
      <c r="AA1234" s="70"/>
      <c r="AB1234" s="70"/>
      <c r="AC1234" s="68"/>
      <c r="AD1234" s="71"/>
      <c r="AE1234" s="71"/>
      <c r="AF1234" s="71"/>
      <c r="AG1234" s="71"/>
      <c r="AH1234" s="71"/>
      <c r="AI1234" s="68"/>
      <c r="AJ1234" s="214">
        <v>3.9689999999999994E-4</v>
      </c>
      <c r="AK1234" s="214">
        <v>1.7345999999999999</v>
      </c>
      <c r="AL1234" s="214">
        <v>2</v>
      </c>
      <c r="AM1234" s="214">
        <v>3.6734700000000002E-4</v>
      </c>
      <c r="AN1234" s="68"/>
      <c r="AO1234" s="67"/>
      <c r="AP1234" s="67"/>
      <c r="AQ1234" s="67"/>
      <c r="AR1234" s="67"/>
      <c r="AS1234" s="67"/>
      <c r="AT1234" s="68"/>
      <c r="AU1234" s="49"/>
      <c r="AV1234" s="50"/>
    </row>
    <row r="1235" spans="1:48" ht="12.75" customHeight="1" x14ac:dyDescent="0.25">
      <c r="A1235" s="72" t="s">
        <v>119</v>
      </c>
      <c r="B1235" s="43" t="s">
        <v>1154</v>
      </c>
      <c r="C1235" s="44" t="s">
        <v>1390</v>
      </c>
      <c r="D1235" s="45">
        <f>MROUND(MID($C1235,6,3)/Basis!$E$3,0.5)</f>
        <v>4.5</v>
      </c>
      <c r="E1235" s="45">
        <f>MROUND(MID($C1235,9,3)/Basis!$E$3,0.5)</f>
        <v>177</v>
      </c>
      <c r="F1235" s="199" t="s">
        <v>2950</v>
      </c>
      <c r="G1235" s="45">
        <f>ROUND(MID($C1235,12,2)/Basis!$E$3,1)</f>
        <v>5.5</v>
      </c>
      <c r="H1235" s="120">
        <f>ROUND($P1235*Basis!$E$2*((TaH-TrH)/LN(1/µ)/Basis!$E$7)^$N1235*$AA$4*Glycol,0)</f>
        <v>1935</v>
      </c>
      <c r="I1235" s="83">
        <f>ROUND(H1235/(MID($C1235,9,3)/Basis!$E$3/Basis!$E$9)*Basis!$E$11,0)</f>
        <v>131</v>
      </c>
      <c r="J1235" s="123">
        <f>IF(Basis!$E$1=1,ROUND(H1235/((TaH-TrH)*1.163)/3600,3),ROUND(H1235/(500*(TaH-TrH)),2))</f>
        <v>0.19</v>
      </c>
      <c r="K1235" s="84"/>
      <c r="L1235" s="177">
        <f>CHOOSE(Basis!$E$1,((AJ1235*(J1235*3600/Basis!$E$5)^AK1235*(((MID(C1235,9,3)*10)-244)/1000)*AL1235+AM1235*(J1235*3600/Basis!$E$5)^2)*0.0098)/Basis!$E$10,((AJ1235*(J1235/Basis!$E$5)^AK1235*(((MID(C1235,9,3)*10)-244)/1000)*AL1235+AM1235*(J1235/Basis!$E$5)^2)*0.0098)/Basis!$E$10)</f>
        <v>1.2236250456490634E-2</v>
      </c>
      <c r="M1235" s="85"/>
      <c r="N1235" s="110">
        <v>1.3620000000000001</v>
      </c>
      <c r="O1235" s="74"/>
      <c r="P1235" s="73">
        <v>889</v>
      </c>
      <c r="Q1235" s="74"/>
      <c r="R1235" s="75"/>
      <c r="S1235" s="75"/>
      <c r="T1235" s="75"/>
      <c r="U1235" s="75"/>
      <c r="V1235" s="75"/>
      <c r="W1235" s="74"/>
      <c r="X1235" s="76"/>
      <c r="Y1235" s="76"/>
      <c r="Z1235" s="76"/>
      <c r="AA1235" s="76"/>
      <c r="AB1235" s="76"/>
      <c r="AC1235" s="74"/>
      <c r="AD1235" s="77"/>
      <c r="AE1235" s="77"/>
      <c r="AF1235" s="77"/>
      <c r="AG1235" s="77"/>
      <c r="AH1235" s="77"/>
      <c r="AI1235" s="68"/>
      <c r="AJ1235" s="213">
        <v>6.0625777523108995E-4</v>
      </c>
      <c r="AK1235" s="213">
        <v>1.8894792857555001</v>
      </c>
      <c r="AL1235" s="213">
        <v>1</v>
      </c>
      <c r="AM1235" s="213">
        <v>3.0758017492711002E-4</v>
      </c>
      <c r="AN1235" s="74"/>
      <c r="AO1235" s="73"/>
      <c r="AP1235" s="73"/>
      <c r="AQ1235" s="73"/>
      <c r="AR1235" s="73"/>
      <c r="AS1235" s="73"/>
      <c r="AT1235" s="74"/>
      <c r="AU1235" s="47"/>
      <c r="AV1235" s="48"/>
    </row>
    <row r="1236" spans="1:48" ht="12.75" customHeight="1" x14ac:dyDescent="0.25">
      <c r="A1236" s="72" t="s">
        <v>119</v>
      </c>
      <c r="B1236" s="43" t="s">
        <v>1154</v>
      </c>
      <c r="C1236" s="44" t="s">
        <v>1391</v>
      </c>
      <c r="D1236" s="45">
        <f>MROUND(MID($C1236,6,3)/Basis!$E$3,0.5)</f>
        <v>4.5</v>
      </c>
      <c r="E1236" s="45">
        <f>MROUND(MID($C1236,9,3)/Basis!$E$3,0.5)</f>
        <v>177</v>
      </c>
      <c r="F1236" s="199" t="s">
        <v>2950</v>
      </c>
      <c r="G1236" s="45">
        <f>ROUND(MID($C1236,12,2)/Basis!$E$3,1)</f>
        <v>7.1</v>
      </c>
      <c r="H1236" s="120">
        <f>ROUND($P1236*Basis!$E$2*((TaH-TrH)/LN(1/µ)/Basis!$E$7)^$N1236*$AA$4*Glycol,0)</f>
        <v>2294</v>
      </c>
      <c r="I1236" s="83">
        <f>ROUND(H1236/(MID($C1236,9,3)/Basis!$E$3/Basis!$E$9)*Basis!$E$11,0)</f>
        <v>155</v>
      </c>
      <c r="J1236" s="123">
        <f>IF(Basis!$E$1=1,ROUND(H1236/((TaH-TrH)*1.163)/3600,3),ROUND(H1236/(500*(TaH-TrH)),2))</f>
        <v>0.23</v>
      </c>
      <c r="K1236" s="84"/>
      <c r="L1236" s="177">
        <f>CHOOSE(Basis!$E$1,((AJ1236*(J1236*3600/Basis!$E$5)^AK1236*(((MID(C1236,9,3)*10)-244)/1000)*AL1236+AM1236*(J1236*3600/Basis!$E$5)^2)*0.0098)/Basis!$E$10,((AJ1236*(J1236/Basis!$E$5)^AK1236*(((MID(C1236,9,3)*10)-244)/1000)*AL1236+AM1236*(J1236/Basis!$E$5)^2)*0.0098)/Basis!$E$10)</f>
        <v>3.4955614821626423E-2</v>
      </c>
      <c r="M1236" s="85"/>
      <c r="N1236" s="109">
        <v>1.3620000000000001</v>
      </c>
      <c r="O1236" s="68"/>
      <c r="P1236" s="67">
        <v>1054</v>
      </c>
      <c r="Q1236" s="68"/>
      <c r="R1236" s="69"/>
      <c r="S1236" s="69"/>
      <c r="T1236" s="69"/>
      <c r="U1236" s="69"/>
      <c r="V1236" s="69"/>
      <c r="W1236" s="68"/>
      <c r="X1236" s="70"/>
      <c r="Y1236" s="70"/>
      <c r="Z1236" s="70"/>
      <c r="AA1236" s="70"/>
      <c r="AB1236" s="70"/>
      <c r="AC1236" s="68"/>
      <c r="AD1236" s="71"/>
      <c r="AE1236" s="71"/>
      <c r="AF1236" s="71"/>
      <c r="AG1236" s="71"/>
      <c r="AH1236" s="71"/>
      <c r="AI1236" s="68"/>
      <c r="AJ1236" s="214">
        <v>9.3669999999999995E-4</v>
      </c>
      <c r="AK1236" s="214">
        <v>1.789841</v>
      </c>
      <c r="AL1236" s="214">
        <v>2</v>
      </c>
      <c r="AM1236" s="214">
        <v>4.4559999999999999E-4</v>
      </c>
      <c r="AN1236" s="68"/>
      <c r="AO1236" s="67"/>
      <c r="AP1236" s="67"/>
      <c r="AQ1236" s="67"/>
      <c r="AR1236" s="67"/>
      <c r="AS1236" s="67"/>
      <c r="AT1236" s="68"/>
      <c r="AU1236" s="49"/>
      <c r="AV1236" s="50"/>
    </row>
    <row r="1237" spans="1:48" ht="12.75" customHeight="1" x14ac:dyDescent="0.25">
      <c r="A1237" s="72" t="s">
        <v>119</v>
      </c>
      <c r="B1237" s="43" t="s">
        <v>1154</v>
      </c>
      <c r="C1237" s="44" t="s">
        <v>1392</v>
      </c>
      <c r="D1237" s="45">
        <f>MROUND(MID($C1237,6,3)/Basis!$E$3,0.5)</f>
        <v>4.5</v>
      </c>
      <c r="E1237" s="45">
        <f>MROUND(MID($C1237,9,3)/Basis!$E$3,0.5)</f>
        <v>177</v>
      </c>
      <c r="F1237" s="199" t="s">
        <v>2950</v>
      </c>
      <c r="G1237" s="45">
        <f>ROUND(MID($C1237,12,2)/Basis!$E$3,1)</f>
        <v>10.199999999999999</v>
      </c>
      <c r="H1237" s="120">
        <f>ROUND($P1237*Basis!$E$2*((TaH-TrH)/LN(1/µ)/Basis!$E$7)^$N1237*$AA$4*Glycol,0)</f>
        <v>3100</v>
      </c>
      <c r="I1237" s="83">
        <f>ROUND(H1237/(MID($C1237,9,3)/Basis!$E$3/Basis!$E$9)*Basis!$E$11,0)</f>
        <v>210</v>
      </c>
      <c r="J1237" s="123">
        <f>IF(Basis!$E$1=1,ROUND(H1237/((TaH-TrH)*1.163)/3600,3),ROUND(H1237/(500*(TaH-TrH)),2))</f>
        <v>0.31</v>
      </c>
      <c r="K1237" s="84"/>
      <c r="L1237" s="177">
        <f>CHOOSE(Basis!$E$1,((AJ1237*(J1237*3600/Basis!$E$5)^AK1237*(((MID(C1237,9,3)*10)-244)/1000)*AL1237+AM1237*(J1237*3600/Basis!$E$5)^2)*0.0098)/Basis!$E$10,((AJ1237*(J1237/Basis!$E$5)^AK1237*(((MID(C1237,9,3)*10)-244)/1000)*AL1237+AM1237*(J1237/Basis!$E$5)^2)*0.0098)/Basis!$E$10)</f>
        <v>6.007962913768488E-2</v>
      </c>
      <c r="M1237" s="85"/>
      <c r="N1237" s="110">
        <v>1.3620000000000001</v>
      </c>
      <c r="O1237" s="74"/>
      <c r="P1237" s="73">
        <v>1424</v>
      </c>
      <c r="Q1237" s="74"/>
      <c r="R1237" s="75"/>
      <c r="S1237" s="75"/>
      <c r="T1237" s="75"/>
      <c r="U1237" s="75"/>
      <c r="V1237" s="75"/>
      <c r="W1237" s="74"/>
      <c r="X1237" s="76"/>
      <c r="Y1237" s="76"/>
      <c r="Z1237" s="76"/>
      <c r="AA1237" s="76"/>
      <c r="AB1237" s="76"/>
      <c r="AC1237" s="74"/>
      <c r="AD1237" s="77"/>
      <c r="AE1237" s="77"/>
      <c r="AF1237" s="77"/>
      <c r="AG1237" s="77"/>
      <c r="AH1237" s="77"/>
      <c r="AI1237" s="68"/>
      <c r="AJ1237" s="213">
        <v>9.3669999999999995E-4</v>
      </c>
      <c r="AK1237" s="213">
        <v>1.789841</v>
      </c>
      <c r="AL1237" s="213">
        <v>2</v>
      </c>
      <c r="AM1237" s="213">
        <v>4.4559999999999999E-4</v>
      </c>
      <c r="AN1237" s="74"/>
      <c r="AO1237" s="73"/>
      <c r="AP1237" s="73"/>
      <c r="AQ1237" s="73"/>
      <c r="AR1237" s="73"/>
      <c r="AS1237" s="73"/>
      <c r="AT1237" s="74"/>
      <c r="AU1237" s="47"/>
      <c r="AV1237" s="48"/>
    </row>
    <row r="1238" spans="1:48" ht="12.75" customHeight="1" x14ac:dyDescent="0.25">
      <c r="A1238" s="72" t="s">
        <v>119</v>
      </c>
      <c r="B1238" s="43" t="s">
        <v>1154</v>
      </c>
      <c r="C1238" s="44" t="s">
        <v>1393</v>
      </c>
      <c r="D1238" s="45">
        <f>MROUND(MID($C1238,6,3)/Basis!$E$3,0.5)</f>
        <v>4.5</v>
      </c>
      <c r="E1238" s="45">
        <f>MROUND(MID($C1238,9,3)/Basis!$E$3,0.5)</f>
        <v>177</v>
      </c>
      <c r="F1238" s="199" t="s">
        <v>2950</v>
      </c>
      <c r="G1238" s="45">
        <f>ROUND(MID($C1238,12,2)/Basis!$E$3,1)</f>
        <v>13.4</v>
      </c>
      <c r="H1238" s="120">
        <f>ROUND($P1238*Basis!$E$2*((TaH-TrH)/LN(1/µ)/Basis!$E$7)^$N1238*$AA$4*Glycol,0)</f>
        <v>4025</v>
      </c>
      <c r="I1238" s="83">
        <f>ROUND(H1238/(MID($C1238,9,3)/Basis!$E$3/Basis!$E$9)*Basis!$E$11,0)</f>
        <v>273</v>
      </c>
      <c r="J1238" s="123">
        <f>IF(Basis!$E$1=1,ROUND(H1238/((TaH-TrH)*1.163)/3600,3),ROUND(H1238/(500*(TaH-TrH)),2))</f>
        <v>0.4</v>
      </c>
      <c r="K1238" s="84"/>
      <c r="L1238" s="177">
        <f>CHOOSE(Basis!$E$1,((AJ1238*(J1238*3600/Basis!$E$5)^AK1238*(((MID(C1238,9,3)*10)-244)/1000)*AL1238+AM1238*(J1238*3600/Basis!$E$5)^2)*0.0098)/Basis!$E$10,((AJ1238*(J1238/Basis!$E$5)^AK1238*(((MID(C1238,9,3)*10)-244)/1000)*AL1238+AM1238*(J1238/Basis!$E$5)^2)*0.0098)/Basis!$E$10)</f>
        <v>0.13983393582960615</v>
      </c>
      <c r="M1238" s="85"/>
      <c r="N1238" s="109">
        <v>1.3620000000000001</v>
      </c>
      <c r="O1238" s="68"/>
      <c r="P1238" s="67">
        <v>1849</v>
      </c>
      <c r="Q1238" s="68"/>
      <c r="R1238" s="69"/>
      <c r="S1238" s="69"/>
      <c r="T1238" s="69"/>
      <c r="U1238" s="69"/>
      <c r="V1238" s="69"/>
      <c r="W1238" s="68"/>
      <c r="X1238" s="70"/>
      <c r="Y1238" s="70"/>
      <c r="Z1238" s="70"/>
      <c r="AA1238" s="70"/>
      <c r="AB1238" s="70"/>
      <c r="AC1238" s="68"/>
      <c r="AD1238" s="71"/>
      <c r="AE1238" s="71"/>
      <c r="AF1238" s="71"/>
      <c r="AG1238" s="71"/>
      <c r="AH1238" s="71"/>
      <c r="AI1238" s="68"/>
      <c r="AJ1238" s="214">
        <v>1.3162765859195E-2</v>
      </c>
      <c r="AK1238" s="214">
        <v>1.4286501188989</v>
      </c>
      <c r="AL1238" s="214">
        <v>1</v>
      </c>
      <c r="AM1238" s="214">
        <v>9.2091836734694004E-4</v>
      </c>
      <c r="AN1238" s="68"/>
      <c r="AO1238" s="67"/>
      <c r="AP1238" s="67"/>
      <c r="AQ1238" s="67"/>
      <c r="AR1238" s="67"/>
      <c r="AS1238" s="67"/>
      <c r="AT1238" s="68"/>
      <c r="AU1238" s="49"/>
      <c r="AV1238" s="50"/>
    </row>
    <row r="1239" spans="1:48" ht="12.75" customHeight="1" x14ac:dyDescent="0.25">
      <c r="A1239" s="72" t="s">
        <v>119</v>
      </c>
      <c r="B1239" s="43" t="s">
        <v>1154</v>
      </c>
      <c r="C1239" s="44" t="s">
        <v>1394</v>
      </c>
      <c r="D1239" s="45">
        <f>MROUND(MID($C1239,6,3)/Basis!$E$3,0.5)</f>
        <v>4.5</v>
      </c>
      <c r="E1239" s="45">
        <f>MROUND(MID($C1239,9,3)/Basis!$E$3,0.5)</f>
        <v>177</v>
      </c>
      <c r="F1239" s="199" t="s">
        <v>2950</v>
      </c>
      <c r="G1239" s="45">
        <f>ROUND(MID($C1239,12,2)/Basis!$E$3,1)</f>
        <v>16.5</v>
      </c>
      <c r="H1239" s="120">
        <f>ROUND($P1239*Basis!$E$2*((TaH-TrH)/LN(1/µ)/Basis!$E$7)^$N1239*$AA$4*Glycol,0)</f>
        <v>5659</v>
      </c>
      <c r="I1239" s="83">
        <f>ROUND(H1239/(MID($C1239,9,3)/Basis!$E$3/Basis!$E$9)*Basis!$E$11,0)</f>
        <v>383</v>
      </c>
      <c r="J1239" s="123">
        <f>IF(Basis!$E$1=1,ROUND(H1239/((TaH-TrH)*1.163)/3600,3),ROUND(H1239/(500*(TaH-TrH)),2))</f>
        <v>0.56999999999999995</v>
      </c>
      <c r="K1239" s="84"/>
      <c r="L1239" s="177">
        <f>CHOOSE(Basis!$E$1,((AJ1239*(J1239*3600/Basis!$E$5)^AK1239*(((MID(C1239,9,3)*10)-244)/1000)*AL1239+AM1239*(J1239*3600/Basis!$E$5)^2)*0.0098)/Basis!$E$10,((AJ1239*(J1239/Basis!$E$5)^AK1239*(((MID(C1239,9,3)*10)-244)/1000)*AL1239+AM1239*(J1239/Basis!$E$5)^2)*0.0098)/Basis!$E$10)</f>
        <v>7.1057242040485954E-2</v>
      </c>
      <c r="M1239" s="85"/>
      <c r="N1239" s="110">
        <v>1.3620000000000001</v>
      </c>
      <c r="O1239" s="74"/>
      <c r="P1239" s="73">
        <v>2600</v>
      </c>
      <c r="Q1239" s="74"/>
      <c r="R1239" s="75"/>
      <c r="S1239" s="75"/>
      <c r="T1239" s="75"/>
      <c r="U1239" s="75"/>
      <c r="V1239" s="75"/>
      <c r="W1239" s="74"/>
      <c r="X1239" s="76"/>
      <c r="Y1239" s="76"/>
      <c r="Z1239" s="76"/>
      <c r="AA1239" s="76"/>
      <c r="AB1239" s="76"/>
      <c r="AC1239" s="74"/>
      <c r="AD1239" s="77"/>
      <c r="AE1239" s="77"/>
      <c r="AF1239" s="77"/>
      <c r="AG1239" s="77"/>
      <c r="AH1239" s="77"/>
      <c r="AI1239" s="68"/>
      <c r="AJ1239" s="213">
        <v>3.9689999999999994E-4</v>
      </c>
      <c r="AK1239" s="213">
        <v>1.7345999999999999</v>
      </c>
      <c r="AL1239" s="213">
        <v>2</v>
      </c>
      <c r="AM1239" s="213">
        <v>3.6734700000000002E-4</v>
      </c>
      <c r="AN1239" s="74"/>
      <c r="AO1239" s="73"/>
      <c r="AP1239" s="73"/>
      <c r="AQ1239" s="73"/>
      <c r="AR1239" s="73"/>
      <c r="AS1239" s="73"/>
      <c r="AT1239" s="74"/>
      <c r="AU1239" s="47"/>
      <c r="AV1239" s="48"/>
    </row>
    <row r="1240" spans="1:48" ht="12.75" customHeight="1" x14ac:dyDescent="0.25">
      <c r="A1240" s="72" t="s">
        <v>119</v>
      </c>
      <c r="B1240" s="43" t="s">
        <v>1154</v>
      </c>
      <c r="C1240" s="44" t="s">
        <v>1395</v>
      </c>
      <c r="D1240" s="45">
        <f>MROUND(MID($C1240,6,3)/Basis!$E$3,0.5)</f>
        <v>4.5</v>
      </c>
      <c r="E1240" s="45">
        <f>MROUND(MID($C1240,9,3)/Basis!$E$3,0.5)</f>
        <v>185</v>
      </c>
      <c r="F1240" s="199" t="s">
        <v>2950</v>
      </c>
      <c r="G1240" s="45">
        <f>ROUND(MID($C1240,12,2)/Basis!$E$3,1)</f>
        <v>5.5</v>
      </c>
      <c r="H1240" s="120">
        <f>ROUND($P1240*Basis!$E$2*((TaH-TrH)/LN(1/µ)/Basis!$E$7)^$N1240*$AA$4*Glycol,0)</f>
        <v>2029</v>
      </c>
      <c r="I1240" s="83">
        <f>ROUND(H1240/(MID($C1240,9,3)/Basis!$E$3/Basis!$E$9)*Basis!$E$11,0)</f>
        <v>132</v>
      </c>
      <c r="J1240" s="123">
        <f>IF(Basis!$E$1=1,ROUND(H1240/((TaH-TrH)*1.163)/3600,3),ROUND(H1240/(500*(TaH-TrH)),2))</f>
        <v>0.2</v>
      </c>
      <c r="K1240" s="84"/>
      <c r="L1240" s="177">
        <f>CHOOSE(Basis!$E$1,((AJ1240*(J1240*3600/Basis!$E$5)^AK1240*(((MID(C1240,9,3)*10)-244)/1000)*AL1240+AM1240*(J1240*3600/Basis!$E$5)^2)*0.0098)/Basis!$E$10,((AJ1240*(J1240/Basis!$E$5)^AK1240*(((MID(C1240,9,3)*10)-244)/1000)*AL1240+AM1240*(J1240/Basis!$E$5)^2)*0.0098)/Basis!$E$10)</f>
        <v>1.4029823455205514E-2</v>
      </c>
      <c r="M1240" s="85"/>
      <c r="N1240" s="109">
        <v>1.3620000000000001</v>
      </c>
      <c r="O1240" s="68"/>
      <c r="P1240" s="67">
        <v>932</v>
      </c>
      <c r="Q1240" s="68"/>
      <c r="R1240" s="69"/>
      <c r="S1240" s="69"/>
      <c r="T1240" s="69"/>
      <c r="U1240" s="69"/>
      <c r="V1240" s="69"/>
      <c r="W1240" s="68"/>
      <c r="X1240" s="70"/>
      <c r="Y1240" s="70"/>
      <c r="Z1240" s="70"/>
      <c r="AA1240" s="70"/>
      <c r="AB1240" s="70"/>
      <c r="AC1240" s="68"/>
      <c r="AD1240" s="71"/>
      <c r="AE1240" s="71"/>
      <c r="AF1240" s="71"/>
      <c r="AG1240" s="71"/>
      <c r="AH1240" s="71"/>
      <c r="AI1240" s="68"/>
      <c r="AJ1240" s="214">
        <v>6.0625777523108995E-4</v>
      </c>
      <c r="AK1240" s="214">
        <v>1.8894792857555001</v>
      </c>
      <c r="AL1240" s="214">
        <v>1</v>
      </c>
      <c r="AM1240" s="214">
        <v>3.0758017492711002E-4</v>
      </c>
      <c r="AN1240" s="68"/>
      <c r="AO1240" s="67"/>
      <c r="AP1240" s="67"/>
      <c r="AQ1240" s="67"/>
      <c r="AR1240" s="67"/>
      <c r="AS1240" s="67"/>
      <c r="AT1240" s="68"/>
      <c r="AU1240" s="49"/>
      <c r="AV1240" s="50"/>
    </row>
    <row r="1241" spans="1:48" ht="12.75" customHeight="1" x14ac:dyDescent="0.25">
      <c r="A1241" s="72" t="s">
        <v>119</v>
      </c>
      <c r="B1241" s="43" t="s">
        <v>1154</v>
      </c>
      <c r="C1241" s="44" t="s">
        <v>1396</v>
      </c>
      <c r="D1241" s="45">
        <f>MROUND(MID($C1241,6,3)/Basis!$E$3,0.5)</f>
        <v>4.5</v>
      </c>
      <c r="E1241" s="45">
        <f>MROUND(MID($C1241,9,3)/Basis!$E$3,0.5)</f>
        <v>185</v>
      </c>
      <c r="F1241" s="199" t="s">
        <v>2950</v>
      </c>
      <c r="G1241" s="45">
        <f>ROUND(MID($C1241,12,2)/Basis!$E$3,1)</f>
        <v>7.1</v>
      </c>
      <c r="H1241" s="120">
        <f>ROUND($P1241*Basis!$E$2*((TaH-TrH)/LN(1/µ)/Basis!$E$7)^$N1241*$AA$4*Glycol,0)</f>
        <v>2407</v>
      </c>
      <c r="I1241" s="83">
        <f>ROUND(H1241/(MID($C1241,9,3)/Basis!$E$3/Basis!$E$9)*Basis!$E$11,0)</f>
        <v>156</v>
      </c>
      <c r="J1241" s="123">
        <f>IF(Basis!$E$1=1,ROUND(H1241/((TaH-TrH)*1.163)/3600,3),ROUND(H1241/(500*(TaH-TrH)),2))</f>
        <v>0.24</v>
      </c>
      <c r="K1241" s="84"/>
      <c r="L1241" s="177">
        <f>CHOOSE(Basis!$E$1,((AJ1241*(J1241*3600/Basis!$E$5)^AK1241*(((MID(C1241,9,3)*10)-244)/1000)*AL1241+AM1241*(J1241*3600/Basis!$E$5)^2)*0.0098)/Basis!$E$10,((AJ1241*(J1241/Basis!$E$5)^AK1241*(((MID(C1241,9,3)*10)-244)/1000)*AL1241+AM1241*(J1241/Basis!$E$5)^2)*0.0098)/Basis!$E$10)</f>
        <v>3.9331989325143875E-2</v>
      </c>
      <c r="M1241" s="85"/>
      <c r="N1241" s="110">
        <v>1.3620000000000001</v>
      </c>
      <c r="O1241" s="74"/>
      <c r="P1241" s="73">
        <v>1106</v>
      </c>
      <c r="Q1241" s="74"/>
      <c r="R1241" s="75"/>
      <c r="S1241" s="75"/>
      <c r="T1241" s="75"/>
      <c r="U1241" s="75"/>
      <c r="V1241" s="75"/>
      <c r="W1241" s="74"/>
      <c r="X1241" s="76"/>
      <c r="Y1241" s="76"/>
      <c r="Z1241" s="76"/>
      <c r="AA1241" s="76"/>
      <c r="AB1241" s="76"/>
      <c r="AC1241" s="74"/>
      <c r="AD1241" s="77"/>
      <c r="AE1241" s="77"/>
      <c r="AF1241" s="77"/>
      <c r="AG1241" s="77"/>
      <c r="AH1241" s="77"/>
      <c r="AI1241" s="68"/>
      <c r="AJ1241" s="213">
        <v>9.3669999999999995E-4</v>
      </c>
      <c r="AK1241" s="213">
        <v>1.789841</v>
      </c>
      <c r="AL1241" s="213">
        <v>2</v>
      </c>
      <c r="AM1241" s="213">
        <v>4.4559999999999999E-4</v>
      </c>
      <c r="AN1241" s="74"/>
      <c r="AO1241" s="73"/>
      <c r="AP1241" s="73"/>
      <c r="AQ1241" s="73"/>
      <c r="AR1241" s="73"/>
      <c r="AS1241" s="73"/>
      <c r="AT1241" s="74"/>
      <c r="AU1241" s="47"/>
      <c r="AV1241" s="48"/>
    </row>
    <row r="1242" spans="1:48" ht="12.75" customHeight="1" x14ac:dyDescent="0.25">
      <c r="A1242" s="72" t="s">
        <v>119</v>
      </c>
      <c r="B1242" s="43" t="s">
        <v>1154</v>
      </c>
      <c r="C1242" s="44" t="s">
        <v>1397</v>
      </c>
      <c r="D1242" s="45">
        <f>MROUND(MID($C1242,6,3)/Basis!$E$3,0.5)</f>
        <v>4.5</v>
      </c>
      <c r="E1242" s="45">
        <f>MROUND(MID($C1242,9,3)/Basis!$E$3,0.5)</f>
        <v>185</v>
      </c>
      <c r="F1242" s="199" t="s">
        <v>2950</v>
      </c>
      <c r="G1242" s="45">
        <f>ROUND(MID($C1242,12,2)/Basis!$E$3,1)</f>
        <v>10.199999999999999</v>
      </c>
      <c r="H1242" s="120">
        <f>ROUND($P1242*Basis!$E$2*((TaH-TrH)/LN(1/µ)/Basis!$E$7)^$N1242*$AA$4*Glycol,0)</f>
        <v>3245</v>
      </c>
      <c r="I1242" s="83">
        <f>ROUND(H1242/(MID($C1242,9,3)/Basis!$E$3/Basis!$E$9)*Basis!$E$11,0)</f>
        <v>210</v>
      </c>
      <c r="J1242" s="123">
        <f>IF(Basis!$E$1=1,ROUND(H1242/((TaH-TrH)*1.163)/3600,3),ROUND(H1242/(500*(TaH-TrH)),2))</f>
        <v>0.32</v>
      </c>
      <c r="K1242" s="84"/>
      <c r="L1242" s="177">
        <f>CHOOSE(Basis!$E$1,((AJ1242*(J1242*3600/Basis!$E$5)^AK1242*(((MID(C1242,9,3)*10)-244)/1000)*AL1242+AM1242*(J1242*3600/Basis!$E$5)^2)*0.0098)/Basis!$E$10,((AJ1242*(J1242/Basis!$E$5)^AK1242*(((MID(C1242,9,3)*10)-244)/1000)*AL1242+AM1242*(J1242/Basis!$E$5)^2)*0.0098)/Basis!$E$10)</f>
        <v>6.6272814161117147E-2</v>
      </c>
      <c r="M1242" s="85"/>
      <c r="N1242" s="109">
        <v>1.3620000000000001</v>
      </c>
      <c r="O1242" s="68"/>
      <c r="P1242" s="67">
        <v>1491</v>
      </c>
      <c r="Q1242" s="68"/>
      <c r="R1242" s="69"/>
      <c r="S1242" s="69"/>
      <c r="T1242" s="69"/>
      <c r="U1242" s="69"/>
      <c r="V1242" s="69"/>
      <c r="W1242" s="68"/>
      <c r="X1242" s="70"/>
      <c r="Y1242" s="70"/>
      <c r="Z1242" s="70"/>
      <c r="AA1242" s="70"/>
      <c r="AB1242" s="70"/>
      <c r="AC1242" s="68"/>
      <c r="AD1242" s="71"/>
      <c r="AE1242" s="71"/>
      <c r="AF1242" s="71"/>
      <c r="AG1242" s="71"/>
      <c r="AH1242" s="71"/>
      <c r="AI1242" s="68"/>
      <c r="AJ1242" s="214">
        <v>9.3669999999999995E-4</v>
      </c>
      <c r="AK1242" s="214">
        <v>1.789841</v>
      </c>
      <c r="AL1242" s="214">
        <v>2</v>
      </c>
      <c r="AM1242" s="214">
        <v>4.4559999999999999E-4</v>
      </c>
      <c r="AN1242" s="68"/>
      <c r="AO1242" s="67"/>
      <c r="AP1242" s="67"/>
      <c r="AQ1242" s="67"/>
      <c r="AR1242" s="67"/>
      <c r="AS1242" s="67"/>
      <c r="AT1242" s="68"/>
      <c r="AU1242" s="49"/>
      <c r="AV1242" s="50"/>
    </row>
    <row r="1243" spans="1:48" ht="12.75" customHeight="1" x14ac:dyDescent="0.25">
      <c r="A1243" s="72" t="s">
        <v>119</v>
      </c>
      <c r="B1243" s="43" t="s">
        <v>1154</v>
      </c>
      <c r="C1243" s="44" t="s">
        <v>1398</v>
      </c>
      <c r="D1243" s="45">
        <f>MROUND(MID($C1243,6,3)/Basis!$E$3,0.5)</f>
        <v>4.5</v>
      </c>
      <c r="E1243" s="45">
        <f>MROUND(MID($C1243,9,3)/Basis!$E$3,0.5)</f>
        <v>185</v>
      </c>
      <c r="F1243" s="199" t="s">
        <v>2950</v>
      </c>
      <c r="G1243" s="45">
        <f>ROUND(MID($C1243,12,2)/Basis!$E$3,1)</f>
        <v>13.4</v>
      </c>
      <c r="H1243" s="120">
        <f>ROUND($P1243*Basis!$E$2*((TaH-TrH)/LN(1/µ)/Basis!$E$7)^$N1243*$AA$4*Glycol,0)</f>
        <v>4218</v>
      </c>
      <c r="I1243" s="83">
        <f>ROUND(H1243/(MID($C1243,9,3)/Basis!$E$3/Basis!$E$9)*Basis!$E$11,0)</f>
        <v>274</v>
      </c>
      <c r="J1243" s="123">
        <f>IF(Basis!$E$1=1,ROUND(H1243/((TaH-TrH)*1.163)/3600,3),ROUND(H1243/(500*(TaH-TrH)),2))</f>
        <v>0.42</v>
      </c>
      <c r="K1243" s="84"/>
      <c r="L1243" s="177">
        <f>CHOOSE(Basis!$E$1,((AJ1243*(J1243*3600/Basis!$E$5)^AK1243*(((MID(C1243,9,3)*10)-244)/1000)*AL1243+AM1243*(J1243*3600/Basis!$E$5)^2)*0.0098)/Basis!$E$10,((AJ1243*(J1243/Basis!$E$5)^AK1243*(((MID(C1243,9,3)*10)-244)/1000)*AL1243+AM1243*(J1243/Basis!$E$5)^2)*0.0098)/Basis!$E$10)</f>
        <v>0.15647524283932615</v>
      </c>
      <c r="M1243" s="85"/>
      <c r="N1243" s="110">
        <v>1.3620000000000001</v>
      </c>
      <c r="O1243" s="74"/>
      <c r="P1243" s="73">
        <v>1938</v>
      </c>
      <c r="Q1243" s="74"/>
      <c r="R1243" s="75"/>
      <c r="S1243" s="75"/>
      <c r="T1243" s="75"/>
      <c r="U1243" s="75"/>
      <c r="V1243" s="75"/>
      <c r="W1243" s="74"/>
      <c r="X1243" s="76"/>
      <c r="Y1243" s="76"/>
      <c r="Z1243" s="76"/>
      <c r="AA1243" s="76"/>
      <c r="AB1243" s="76"/>
      <c r="AC1243" s="74"/>
      <c r="AD1243" s="77"/>
      <c r="AE1243" s="77"/>
      <c r="AF1243" s="77"/>
      <c r="AG1243" s="77"/>
      <c r="AH1243" s="77"/>
      <c r="AI1243" s="68"/>
      <c r="AJ1243" s="213">
        <v>1.3162765859195E-2</v>
      </c>
      <c r="AK1243" s="213">
        <v>1.4286501188989</v>
      </c>
      <c r="AL1243" s="213">
        <v>1</v>
      </c>
      <c r="AM1243" s="213">
        <v>9.2091836734694004E-4</v>
      </c>
      <c r="AN1243" s="74"/>
      <c r="AO1243" s="73"/>
      <c r="AP1243" s="73"/>
      <c r="AQ1243" s="73"/>
      <c r="AR1243" s="73"/>
      <c r="AS1243" s="73"/>
      <c r="AT1243" s="74"/>
      <c r="AU1243" s="47"/>
      <c r="AV1243" s="48"/>
    </row>
    <row r="1244" spans="1:48" ht="12.75" customHeight="1" x14ac:dyDescent="0.25">
      <c r="A1244" s="72" t="s">
        <v>119</v>
      </c>
      <c r="B1244" s="43" t="s">
        <v>1154</v>
      </c>
      <c r="C1244" s="44" t="s">
        <v>1399</v>
      </c>
      <c r="D1244" s="45">
        <f>MROUND(MID($C1244,6,3)/Basis!$E$3,0.5)</f>
        <v>4.5</v>
      </c>
      <c r="E1244" s="45">
        <f>MROUND(MID($C1244,9,3)/Basis!$E$3,0.5)</f>
        <v>185</v>
      </c>
      <c r="F1244" s="199" t="s">
        <v>2950</v>
      </c>
      <c r="G1244" s="45">
        <f>ROUND(MID($C1244,12,2)/Basis!$E$3,1)</f>
        <v>16.5</v>
      </c>
      <c r="H1244" s="120">
        <f>ROUND($P1244*Basis!$E$2*((TaH-TrH)/LN(1/µ)/Basis!$E$7)^$N1244*$AA$4*Glycol,0)</f>
        <v>5927</v>
      </c>
      <c r="I1244" s="83">
        <f>ROUND(H1244/(MID($C1244,9,3)/Basis!$E$3/Basis!$E$9)*Basis!$E$11,0)</f>
        <v>384</v>
      </c>
      <c r="J1244" s="123">
        <f>IF(Basis!$E$1=1,ROUND(H1244/((TaH-TrH)*1.163)/3600,3),ROUND(H1244/(500*(TaH-TrH)),2))</f>
        <v>0.59</v>
      </c>
      <c r="K1244" s="84"/>
      <c r="L1244" s="177">
        <f>CHOOSE(Basis!$E$1,((AJ1244*(J1244*3600/Basis!$E$5)^AK1244*(((MID(C1244,9,3)*10)-244)/1000)*AL1244+AM1244*(J1244*3600/Basis!$E$5)^2)*0.0098)/Basis!$E$10,((AJ1244*(J1244/Basis!$E$5)^AK1244*(((MID(C1244,9,3)*10)-244)/1000)*AL1244+AM1244*(J1244/Basis!$E$5)^2)*0.0098)/Basis!$E$10)</f>
        <v>7.8174761962661932E-2</v>
      </c>
      <c r="M1244" s="85"/>
      <c r="N1244" s="109">
        <v>1.3620000000000001</v>
      </c>
      <c r="O1244" s="68"/>
      <c r="P1244" s="67">
        <v>2723</v>
      </c>
      <c r="Q1244" s="68"/>
      <c r="R1244" s="69"/>
      <c r="S1244" s="69"/>
      <c r="T1244" s="69"/>
      <c r="U1244" s="69"/>
      <c r="V1244" s="69"/>
      <c r="W1244" s="68"/>
      <c r="X1244" s="70"/>
      <c r="Y1244" s="70"/>
      <c r="Z1244" s="70"/>
      <c r="AA1244" s="70"/>
      <c r="AB1244" s="70"/>
      <c r="AC1244" s="68"/>
      <c r="AD1244" s="71"/>
      <c r="AE1244" s="71"/>
      <c r="AF1244" s="71"/>
      <c r="AG1244" s="71"/>
      <c r="AH1244" s="71"/>
      <c r="AI1244" s="68"/>
      <c r="AJ1244" s="214">
        <v>3.9689999999999994E-4</v>
      </c>
      <c r="AK1244" s="214">
        <v>1.7345999999999999</v>
      </c>
      <c r="AL1244" s="214">
        <v>2</v>
      </c>
      <c r="AM1244" s="214">
        <v>3.6734700000000002E-4</v>
      </c>
      <c r="AN1244" s="68"/>
      <c r="AO1244" s="67"/>
      <c r="AP1244" s="67"/>
      <c r="AQ1244" s="67"/>
      <c r="AR1244" s="67"/>
      <c r="AS1244" s="67"/>
      <c r="AT1244" s="68"/>
      <c r="AU1244" s="49"/>
      <c r="AV1244" s="50"/>
    </row>
    <row r="1245" spans="1:48" ht="12.75" customHeight="1" x14ac:dyDescent="0.25">
      <c r="A1245" s="72" t="s">
        <v>119</v>
      </c>
      <c r="B1245" s="43" t="s">
        <v>1154</v>
      </c>
      <c r="C1245" s="44" t="s">
        <v>1400</v>
      </c>
      <c r="D1245" s="45">
        <f>MROUND(MID($C1245,6,3)/Basis!$E$3,0.5)</f>
        <v>4.5</v>
      </c>
      <c r="E1245" s="45">
        <f>MROUND(MID($C1245,9,3)/Basis!$E$3,0.5)</f>
        <v>193</v>
      </c>
      <c r="F1245" s="199" t="s">
        <v>2950</v>
      </c>
      <c r="G1245" s="45">
        <f>ROUND(MID($C1245,12,2)/Basis!$E$3,1)</f>
        <v>5.5</v>
      </c>
      <c r="H1245" s="120">
        <f>ROUND($P1245*Basis!$E$2*((TaH-TrH)/LN(1/µ)/Basis!$E$7)^$N1245*$AA$4*Glycol,0)</f>
        <v>2122</v>
      </c>
      <c r="I1245" s="83">
        <f>ROUND(H1245/(MID($C1245,9,3)/Basis!$E$3/Basis!$E$9)*Basis!$E$11,0)</f>
        <v>132</v>
      </c>
      <c r="J1245" s="123">
        <f>IF(Basis!$E$1=1,ROUND(H1245/((TaH-TrH)*1.163)/3600,3),ROUND(H1245/(500*(TaH-TrH)),2))</f>
        <v>0.21</v>
      </c>
      <c r="K1245" s="84"/>
      <c r="L1245" s="177">
        <f>CHOOSE(Basis!$E$1,((AJ1245*(J1245*3600/Basis!$E$5)^AK1245*(((MID(C1245,9,3)*10)-244)/1000)*AL1245+AM1245*(J1245*3600/Basis!$E$5)^2)*0.0098)/Basis!$E$10,((AJ1245*(J1245/Basis!$E$5)^AK1245*(((MID(C1245,9,3)*10)-244)/1000)*AL1245+AM1245*(J1245/Basis!$E$5)^2)*0.0098)/Basis!$E$10)</f>
        <v>1.5985381110641808E-2</v>
      </c>
      <c r="M1245" s="85"/>
      <c r="N1245" s="110">
        <v>1.3620000000000001</v>
      </c>
      <c r="O1245" s="74"/>
      <c r="P1245" s="73">
        <v>975</v>
      </c>
      <c r="Q1245" s="74"/>
      <c r="R1245" s="75"/>
      <c r="S1245" s="75"/>
      <c r="T1245" s="75"/>
      <c r="U1245" s="75"/>
      <c r="V1245" s="75"/>
      <c r="W1245" s="74"/>
      <c r="X1245" s="76"/>
      <c r="Y1245" s="76"/>
      <c r="Z1245" s="76"/>
      <c r="AA1245" s="76"/>
      <c r="AB1245" s="76"/>
      <c r="AC1245" s="74"/>
      <c r="AD1245" s="77"/>
      <c r="AE1245" s="77"/>
      <c r="AF1245" s="77"/>
      <c r="AG1245" s="77"/>
      <c r="AH1245" s="77"/>
      <c r="AI1245" s="68"/>
      <c r="AJ1245" s="213">
        <v>6.0625777523108995E-4</v>
      </c>
      <c r="AK1245" s="213">
        <v>1.8894792857555001</v>
      </c>
      <c r="AL1245" s="213">
        <v>1</v>
      </c>
      <c r="AM1245" s="213">
        <v>3.0758017492711002E-4</v>
      </c>
      <c r="AN1245" s="74"/>
      <c r="AO1245" s="73"/>
      <c r="AP1245" s="73"/>
      <c r="AQ1245" s="73"/>
      <c r="AR1245" s="73"/>
      <c r="AS1245" s="73"/>
      <c r="AT1245" s="74"/>
      <c r="AU1245" s="47"/>
      <c r="AV1245" s="48"/>
    </row>
    <row r="1246" spans="1:48" ht="12.75" customHeight="1" x14ac:dyDescent="0.25">
      <c r="A1246" s="72" t="s">
        <v>119</v>
      </c>
      <c r="B1246" s="43" t="s">
        <v>1154</v>
      </c>
      <c r="C1246" s="44" t="s">
        <v>1401</v>
      </c>
      <c r="D1246" s="45">
        <f>MROUND(MID($C1246,6,3)/Basis!$E$3,0.5)</f>
        <v>4.5</v>
      </c>
      <c r="E1246" s="45">
        <f>MROUND(MID($C1246,9,3)/Basis!$E$3,0.5)</f>
        <v>193</v>
      </c>
      <c r="F1246" s="199" t="s">
        <v>2950</v>
      </c>
      <c r="G1246" s="45">
        <f>ROUND(MID($C1246,12,2)/Basis!$E$3,1)</f>
        <v>7.1</v>
      </c>
      <c r="H1246" s="120">
        <f>ROUND($P1246*Basis!$E$2*((TaH-TrH)/LN(1/µ)/Basis!$E$7)^$N1246*$AA$4*Glycol,0)</f>
        <v>2514</v>
      </c>
      <c r="I1246" s="83">
        <f>ROUND(H1246/(MID($C1246,9,3)/Basis!$E$3/Basis!$E$9)*Basis!$E$11,0)</f>
        <v>156</v>
      </c>
      <c r="J1246" s="123">
        <f>IF(Basis!$E$1=1,ROUND(H1246/((TaH-TrH)*1.163)/3600,3),ROUND(H1246/(500*(TaH-TrH)),2))</f>
        <v>0.25</v>
      </c>
      <c r="K1246" s="84"/>
      <c r="L1246" s="177">
        <f>CHOOSE(Basis!$E$1,((AJ1246*(J1246*3600/Basis!$E$5)^AK1246*(((MID(C1246,9,3)*10)-244)/1000)*AL1246+AM1246*(J1246*3600/Basis!$E$5)^2)*0.0098)/Basis!$E$10,((AJ1246*(J1246/Basis!$E$5)^AK1246*(((MID(C1246,9,3)*10)-244)/1000)*AL1246+AM1246*(J1246/Basis!$E$5)^2)*0.0098)/Basis!$E$10)</f>
        <v>4.404362203393284E-2</v>
      </c>
      <c r="M1246" s="85"/>
      <c r="N1246" s="109">
        <v>1.3620000000000001</v>
      </c>
      <c r="O1246" s="68"/>
      <c r="P1246" s="67">
        <v>1155</v>
      </c>
      <c r="Q1246" s="68"/>
      <c r="R1246" s="69"/>
      <c r="S1246" s="69"/>
      <c r="T1246" s="69"/>
      <c r="U1246" s="69"/>
      <c r="V1246" s="69"/>
      <c r="W1246" s="68"/>
      <c r="X1246" s="70"/>
      <c r="Y1246" s="70"/>
      <c r="Z1246" s="70"/>
      <c r="AA1246" s="70"/>
      <c r="AB1246" s="70"/>
      <c r="AC1246" s="68"/>
      <c r="AD1246" s="71"/>
      <c r="AE1246" s="71"/>
      <c r="AF1246" s="71"/>
      <c r="AG1246" s="71"/>
      <c r="AH1246" s="71"/>
      <c r="AI1246" s="68"/>
      <c r="AJ1246" s="214">
        <v>9.3669999999999995E-4</v>
      </c>
      <c r="AK1246" s="214">
        <v>1.789841</v>
      </c>
      <c r="AL1246" s="214">
        <v>2</v>
      </c>
      <c r="AM1246" s="214">
        <v>4.4559999999999999E-4</v>
      </c>
      <c r="AN1246" s="68"/>
      <c r="AO1246" s="67"/>
      <c r="AP1246" s="67"/>
      <c r="AQ1246" s="67"/>
      <c r="AR1246" s="67"/>
      <c r="AS1246" s="67"/>
      <c r="AT1246" s="68"/>
      <c r="AU1246" s="49"/>
      <c r="AV1246" s="50"/>
    </row>
    <row r="1247" spans="1:48" ht="12.75" customHeight="1" x14ac:dyDescent="0.25">
      <c r="A1247" s="72" t="s">
        <v>119</v>
      </c>
      <c r="B1247" s="43" t="s">
        <v>1154</v>
      </c>
      <c r="C1247" s="44" t="s">
        <v>1402</v>
      </c>
      <c r="D1247" s="45">
        <f>MROUND(MID($C1247,6,3)/Basis!$E$3,0.5)</f>
        <v>4.5</v>
      </c>
      <c r="E1247" s="45">
        <f>MROUND(MID($C1247,9,3)/Basis!$E$3,0.5)</f>
        <v>193</v>
      </c>
      <c r="F1247" s="199" t="s">
        <v>2950</v>
      </c>
      <c r="G1247" s="45">
        <f>ROUND(MID($C1247,12,2)/Basis!$E$3,1)</f>
        <v>10.199999999999999</v>
      </c>
      <c r="H1247" s="120">
        <f>ROUND($P1247*Basis!$E$2*((TaH-TrH)/LN(1/µ)/Basis!$E$7)^$N1247*$AA$4*Glycol,0)</f>
        <v>3396</v>
      </c>
      <c r="I1247" s="83">
        <f>ROUND(H1247/(MID($C1247,9,3)/Basis!$E$3/Basis!$E$9)*Basis!$E$11,0)</f>
        <v>211</v>
      </c>
      <c r="J1247" s="123">
        <f>IF(Basis!$E$1=1,ROUND(H1247/((TaH-TrH)*1.163)/3600,3),ROUND(H1247/(500*(TaH-TrH)),2))</f>
        <v>0.34</v>
      </c>
      <c r="K1247" s="84"/>
      <c r="L1247" s="177">
        <f>CHOOSE(Basis!$E$1,((AJ1247*(J1247*3600/Basis!$E$5)^AK1247*(((MID(C1247,9,3)*10)-244)/1000)*AL1247+AM1247*(J1247*3600/Basis!$E$5)^2)*0.0098)/Basis!$E$10,((AJ1247*(J1247/Basis!$E$5)^AK1247*(((MID(C1247,9,3)*10)-244)/1000)*AL1247+AM1247*(J1247/Basis!$E$5)^2)*0.0098)/Basis!$E$10)</f>
        <v>7.690906210928887E-2</v>
      </c>
      <c r="M1247" s="85"/>
      <c r="N1247" s="110">
        <v>1.3620000000000001</v>
      </c>
      <c r="O1247" s="74"/>
      <c r="P1247" s="73">
        <v>1560</v>
      </c>
      <c r="Q1247" s="74"/>
      <c r="R1247" s="75"/>
      <c r="S1247" s="75"/>
      <c r="T1247" s="75"/>
      <c r="U1247" s="75"/>
      <c r="V1247" s="75"/>
      <c r="W1247" s="74"/>
      <c r="X1247" s="76"/>
      <c r="Y1247" s="76"/>
      <c r="Z1247" s="76"/>
      <c r="AA1247" s="76"/>
      <c r="AB1247" s="76"/>
      <c r="AC1247" s="74"/>
      <c r="AD1247" s="77"/>
      <c r="AE1247" s="77"/>
      <c r="AF1247" s="77"/>
      <c r="AG1247" s="77"/>
      <c r="AH1247" s="77"/>
      <c r="AI1247" s="68"/>
      <c r="AJ1247" s="213">
        <v>9.3669999999999995E-4</v>
      </c>
      <c r="AK1247" s="213">
        <v>1.789841</v>
      </c>
      <c r="AL1247" s="213">
        <v>2</v>
      </c>
      <c r="AM1247" s="213">
        <v>4.4559999999999999E-4</v>
      </c>
      <c r="AN1247" s="74"/>
      <c r="AO1247" s="73"/>
      <c r="AP1247" s="73"/>
      <c r="AQ1247" s="73"/>
      <c r="AR1247" s="73"/>
      <c r="AS1247" s="73"/>
      <c r="AT1247" s="74"/>
      <c r="AU1247" s="47"/>
      <c r="AV1247" s="48"/>
    </row>
    <row r="1248" spans="1:48" ht="12.75" customHeight="1" x14ac:dyDescent="0.25">
      <c r="A1248" s="72" t="s">
        <v>119</v>
      </c>
      <c r="B1248" s="43" t="s">
        <v>1154</v>
      </c>
      <c r="C1248" s="44" t="s">
        <v>1403</v>
      </c>
      <c r="D1248" s="45">
        <f>MROUND(MID($C1248,6,3)/Basis!$E$3,0.5)</f>
        <v>4.5</v>
      </c>
      <c r="E1248" s="45">
        <f>MROUND(MID($C1248,9,3)/Basis!$E$3,0.5)</f>
        <v>193</v>
      </c>
      <c r="F1248" s="199" t="s">
        <v>2950</v>
      </c>
      <c r="G1248" s="45">
        <f>ROUND(MID($C1248,12,2)/Basis!$E$3,1)</f>
        <v>13.4</v>
      </c>
      <c r="H1248" s="120">
        <f>ROUND($P1248*Basis!$E$2*((TaH-TrH)/LN(1/µ)/Basis!$E$7)^$N1248*$AA$4*Glycol,0)</f>
        <v>4408</v>
      </c>
      <c r="I1248" s="83">
        <f>ROUND(H1248/(MID($C1248,9,3)/Basis!$E$3/Basis!$E$9)*Basis!$E$11,0)</f>
        <v>274</v>
      </c>
      <c r="J1248" s="123">
        <f>IF(Basis!$E$1=1,ROUND(H1248/((TaH-TrH)*1.163)/3600,3),ROUND(H1248/(500*(TaH-TrH)),2))</f>
        <v>0.44</v>
      </c>
      <c r="K1248" s="84"/>
      <c r="L1248" s="177">
        <f>CHOOSE(Basis!$E$1,((AJ1248*(J1248*3600/Basis!$E$5)^AK1248*(((MID(C1248,9,3)*10)-244)/1000)*AL1248+AM1248*(J1248*3600/Basis!$E$5)^2)*0.0098)/Basis!$E$10,((AJ1248*(J1248/Basis!$E$5)^AK1248*(((MID(C1248,9,3)*10)-244)/1000)*AL1248+AM1248*(J1248/Basis!$E$5)^2)*0.0098)/Basis!$E$10)</f>
        <v>0.17420825894357761</v>
      </c>
      <c r="M1248" s="85"/>
      <c r="N1248" s="109">
        <v>1.3620000000000001</v>
      </c>
      <c r="O1248" s="68"/>
      <c r="P1248" s="67">
        <v>2025</v>
      </c>
      <c r="Q1248" s="68"/>
      <c r="R1248" s="69"/>
      <c r="S1248" s="69"/>
      <c r="T1248" s="69"/>
      <c r="U1248" s="69"/>
      <c r="V1248" s="69"/>
      <c r="W1248" s="68"/>
      <c r="X1248" s="70"/>
      <c r="Y1248" s="70"/>
      <c r="Z1248" s="70"/>
      <c r="AA1248" s="70"/>
      <c r="AB1248" s="70"/>
      <c r="AC1248" s="68"/>
      <c r="AD1248" s="71"/>
      <c r="AE1248" s="71"/>
      <c r="AF1248" s="71"/>
      <c r="AG1248" s="71"/>
      <c r="AH1248" s="71"/>
      <c r="AI1248" s="68"/>
      <c r="AJ1248" s="214">
        <v>1.3162765859195E-2</v>
      </c>
      <c r="AK1248" s="214">
        <v>1.4286501188989</v>
      </c>
      <c r="AL1248" s="214">
        <v>1</v>
      </c>
      <c r="AM1248" s="214">
        <v>9.2091836734694004E-4</v>
      </c>
      <c r="AN1248" s="68"/>
      <c r="AO1248" s="67"/>
      <c r="AP1248" s="67"/>
      <c r="AQ1248" s="67"/>
      <c r="AR1248" s="67"/>
      <c r="AS1248" s="67"/>
      <c r="AT1248" s="68"/>
      <c r="AU1248" s="49"/>
      <c r="AV1248" s="50"/>
    </row>
    <row r="1249" spans="1:48" ht="12.75" customHeight="1" x14ac:dyDescent="0.25">
      <c r="A1249" s="72" t="s">
        <v>119</v>
      </c>
      <c r="B1249" s="43" t="s">
        <v>1154</v>
      </c>
      <c r="C1249" s="44" t="s">
        <v>1404</v>
      </c>
      <c r="D1249" s="45">
        <f>MROUND(MID($C1249,6,3)/Basis!$E$3,0.5)</f>
        <v>4.5</v>
      </c>
      <c r="E1249" s="45">
        <f>MROUND(MID($C1249,9,3)/Basis!$E$3,0.5)</f>
        <v>193</v>
      </c>
      <c r="F1249" s="199" t="s">
        <v>2950</v>
      </c>
      <c r="G1249" s="45">
        <f>ROUND(MID($C1249,12,2)/Basis!$E$3,1)</f>
        <v>16.5</v>
      </c>
      <c r="H1249" s="120">
        <f>ROUND($P1249*Basis!$E$2*((TaH-TrH)/LN(1/µ)/Basis!$E$7)^$N1249*$AA$4*Glycol,0)</f>
        <v>6197</v>
      </c>
      <c r="I1249" s="83">
        <f>ROUND(H1249/(MID($C1249,9,3)/Basis!$E$3/Basis!$E$9)*Basis!$E$11,0)</f>
        <v>385</v>
      </c>
      <c r="J1249" s="123">
        <f>IF(Basis!$E$1=1,ROUND(H1249/((TaH-TrH)*1.163)/3600,3),ROUND(H1249/(500*(TaH-TrH)),2))</f>
        <v>0.62</v>
      </c>
      <c r="K1249" s="84"/>
      <c r="L1249" s="177">
        <f>CHOOSE(Basis!$E$1,((AJ1249*(J1249*3600/Basis!$E$5)^AK1249*(((MID(C1249,9,3)*10)-244)/1000)*AL1249+AM1249*(J1249*3600/Basis!$E$5)^2)*0.0098)/Basis!$E$10,((AJ1249*(J1249/Basis!$E$5)^AK1249*(((MID(C1249,9,3)*10)-244)/1000)*AL1249+AM1249*(J1249/Basis!$E$5)^2)*0.0098)/Basis!$E$10)</f>
        <v>8.8278370037200043E-2</v>
      </c>
      <c r="M1249" s="85"/>
      <c r="N1249" s="110">
        <v>1.3620000000000001</v>
      </c>
      <c r="O1249" s="74"/>
      <c r="P1249" s="73">
        <v>2847</v>
      </c>
      <c r="Q1249" s="74"/>
      <c r="R1249" s="75"/>
      <c r="S1249" s="75"/>
      <c r="T1249" s="75"/>
      <c r="U1249" s="75"/>
      <c r="V1249" s="75"/>
      <c r="W1249" s="74"/>
      <c r="X1249" s="76"/>
      <c r="Y1249" s="76"/>
      <c r="Z1249" s="76"/>
      <c r="AA1249" s="76"/>
      <c r="AB1249" s="76"/>
      <c r="AC1249" s="74"/>
      <c r="AD1249" s="77"/>
      <c r="AE1249" s="77"/>
      <c r="AF1249" s="77"/>
      <c r="AG1249" s="77"/>
      <c r="AH1249" s="77"/>
      <c r="AI1249" s="68"/>
      <c r="AJ1249" s="213">
        <v>3.9689999999999994E-4</v>
      </c>
      <c r="AK1249" s="213">
        <v>1.7345999999999999</v>
      </c>
      <c r="AL1249" s="213">
        <v>2</v>
      </c>
      <c r="AM1249" s="213">
        <v>3.6734700000000002E-4</v>
      </c>
      <c r="AN1249" s="74"/>
      <c r="AO1249" s="73"/>
      <c r="AP1249" s="73"/>
      <c r="AQ1249" s="73"/>
      <c r="AR1249" s="73"/>
      <c r="AS1249" s="73"/>
      <c r="AT1249" s="74"/>
      <c r="AU1249" s="47"/>
      <c r="AV1249" s="48"/>
    </row>
    <row r="1250" spans="1:48" ht="12.75" customHeight="1" x14ac:dyDescent="0.25">
      <c r="A1250" s="72" t="s">
        <v>119</v>
      </c>
      <c r="B1250" s="43" t="s">
        <v>1154</v>
      </c>
      <c r="C1250" s="44" t="s">
        <v>1405</v>
      </c>
      <c r="D1250" s="45">
        <f>MROUND(MID($C1250,6,3)/Basis!$E$3,0.5)</f>
        <v>5.5</v>
      </c>
      <c r="E1250" s="45">
        <f>MROUND(MID($C1250,9,3)/Basis!$E$3,0.5)</f>
        <v>27.5</v>
      </c>
      <c r="F1250" s="199" t="s">
        <v>2950</v>
      </c>
      <c r="G1250" s="45">
        <f>ROUND(MID($C1250,12,2)/Basis!$E$3,1)</f>
        <v>5.5</v>
      </c>
      <c r="H1250" s="120">
        <f>ROUND($P1250*Basis!$E$2*((TaH-TrH)/LN(1/µ)/Basis!$E$7)^$N1250*$AA$4*Glycol,0)</f>
        <v>209</v>
      </c>
      <c r="I1250" s="83">
        <f>ROUND(H1250/(MID($C1250,9,3)/Basis!$E$3/Basis!$E$9)*Basis!$E$11,0)</f>
        <v>91</v>
      </c>
      <c r="J1250" s="123">
        <f>IF(Basis!$E$1=1,ROUND(H1250/((TaH-TrH)*1.163)/3600,3),ROUND(H1250/(500*(TaH-TrH)),2))</f>
        <v>0.02</v>
      </c>
      <c r="K1250" s="84"/>
      <c r="L1250" s="177">
        <f>CHOOSE(Basis!$E$1,((AJ1250*(J1250*3600/Basis!$E$5)^AK1250*(((MID(C1250,9,3)*10)-244)/1000)*AL1250+AM1250*(J1250*3600/Basis!$E$5)^2)*0.0098)/Basis!$E$10,((AJ1250*(J1250/Basis!$E$5)^AK1250*(((MID(C1250,9,3)*10)-244)/1000)*AL1250+AM1250*(J1250/Basis!$E$5)^2)*0.0098)/Basis!$E$10)</f>
        <v>7.1997114590058981E-5</v>
      </c>
      <c r="M1250" s="85"/>
      <c r="N1250" s="109">
        <v>1.3620000000000001</v>
      </c>
      <c r="O1250" s="68"/>
      <c r="P1250" s="67">
        <v>96</v>
      </c>
      <c r="Q1250" s="68"/>
      <c r="R1250" s="69"/>
      <c r="S1250" s="69"/>
      <c r="T1250" s="69"/>
      <c r="U1250" s="69"/>
      <c r="V1250" s="69"/>
      <c r="W1250" s="68"/>
      <c r="X1250" s="70"/>
      <c r="Y1250" s="70"/>
      <c r="Z1250" s="70"/>
      <c r="AA1250" s="70"/>
      <c r="AB1250" s="70"/>
      <c r="AC1250" s="68"/>
      <c r="AD1250" s="71"/>
      <c r="AE1250" s="71"/>
      <c r="AF1250" s="71"/>
      <c r="AG1250" s="71"/>
      <c r="AH1250" s="71"/>
      <c r="AI1250" s="68"/>
      <c r="AJ1250" s="214">
        <v>9.3669999999999995E-4</v>
      </c>
      <c r="AK1250" s="214">
        <v>1.789841</v>
      </c>
      <c r="AL1250" s="214">
        <v>2</v>
      </c>
      <c r="AM1250" s="214">
        <v>4.4559999999999999E-4</v>
      </c>
      <c r="AN1250" s="68"/>
      <c r="AO1250" s="67"/>
      <c r="AP1250" s="67"/>
      <c r="AQ1250" s="67"/>
      <c r="AR1250" s="67"/>
      <c r="AS1250" s="67"/>
      <c r="AT1250" s="68"/>
      <c r="AU1250" s="49"/>
      <c r="AV1250" s="50"/>
    </row>
    <row r="1251" spans="1:48" ht="12.75" customHeight="1" x14ac:dyDescent="0.25">
      <c r="A1251" s="72" t="s">
        <v>119</v>
      </c>
      <c r="B1251" s="43" t="s">
        <v>1154</v>
      </c>
      <c r="C1251" s="44" t="s">
        <v>1406</v>
      </c>
      <c r="D1251" s="45">
        <f>MROUND(MID($C1251,6,3)/Basis!$E$3,0.5)</f>
        <v>5.5</v>
      </c>
      <c r="E1251" s="45">
        <f>MROUND(MID($C1251,9,3)/Basis!$E$3,0.5)</f>
        <v>27.5</v>
      </c>
      <c r="F1251" s="199" t="s">
        <v>2950</v>
      </c>
      <c r="G1251" s="45">
        <f>ROUND(MID($C1251,12,2)/Basis!$E$3,1)</f>
        <v>10.199999999999999</v>
      </c>
      <c r="H1251" s="120">
        <f>ROUND($P1251*Basis!$E$2*((TaH-TrH)/LN(1/µ)/Basis!$E$7)^$N1251*$AA$4*Glycol,0)</f>
        <v>364</v>
      </c>
      <c r="I1251" s="83">
        <f>ROUND(H1251/(MID($C1251,9,3)/Basis!$E$3/Basis!$E$9)*Basis!$E$11,0)</f>
        <v>158</v>
      </c>
      <c r="J1251" s="123">
        <f>IF(Basis!$E$1=1,ROUND(H1251/((TaH-TrH)*1.163)/3600,3),ROUND(H1251/(500*(TaH-TrH)),2))</f>
        <v>0.04</v>
      </c>
      <c r="K1251" s="84"/>
      <c r="L1251" s="177">
        <f>CHOOSE(Basis!$E$1,((AJ1251*(J1251*3600/Basis!$E$5)^AK1251*(((MID(C1251,9,3)*10)-244)/1000)*AL1251+AM1251*(J1251*3600/Basis!$E$5)^2)*0.0098)/Basis!$E$10,((AJ1251*(J1251/Basis!$E$5)^AK1251*(((MID(C1251,9,3)*10)-244)/1000)*AL1251+AM1251*(J1251/Basis!$E$5)^2)*0.0098)/Basis!$E$10)</f>
        <v>1.5352406513866916E-4</v>
      </c>
      <c r="M1251" s="85"/>
      <c r="N1251" s="110">
        <v>1.3620000000000001</v>
      </c>
      <c r="O1251" s="74"/>
      <c r="P1251" s="73">
        <v>167</v>
      </c>
      <c r="Q1251" s="74"/>
      <c r="R1251" s="75"/>
      <c r="S1251" s="75"/>
      <c r="T1251" s="75"/>
      <c r="U1251" s="75"/>
      <c r="V1251" s="75"/>
      <c r="W1251" s="74"/>
      <c r="X1251" s="76"/>
      <c r="Y1251" s="76"/>
      <c r="Z1251" s="76"/>
      <c r="AA1251" s="76"/>
      <c r="AB1251" s="76"/>
      <c r="AC1251" s="74"/>
      <c r="AD1251" s="77"/>
      <c r="AE1251" s="77"/>
      <c r="AF1251" s="77"/>
      <c r="AG1251" s="77"/>
      <c r="AH1251" s="77"/>
      <c r="AI1251" s="68"/>
      <c r="AJ1251" s="213">
        <v>3.9689999999999994E-4</v>
      </c>
      <c r="AK1251" s="213">
        <v>1.7345999999999999</v>
      </c>
      <c r="AL1251" s="213">
        <v>2</v>
      </c>
      <c r="AM1251" s="213">
        <v>3.6734700000000002E-4</v>
      </c>
      <c r="AN1251" s="74"/>
      <c r="AO1251" s="73"/>
      <c r="AP1251" s="73"/>
      <c r="AQ1251" s="73"/>
      <c r="AR1251" s="73"/>
      <c r="AS1251" s="73"/>
      <c r="AT1251" s="74"/>
      <c r="AU1251" s="47"/>
      <c r="AV1251" s="48"/>
    </row>
    <row r="1252" spans="1:48" ht="12.75" customHeight="1" x14ac:dyDescent="0.25">
      <c r="A1252" s="72" t="s">
        <v>119</v>
      </c>
      <c r="B1252" s="43" t="s">
        <v>1154</v>
      </c>
      <c r="C1252" s="44" t="s">
        <v>1407</v>
      </c>
      <c r="D1252" s="45">
        <f>MROUND(MID($C1252,6,3)/Basis!$E$3,0.5)</f>
        <v>5.5</v>
      </c>
      <c r="E1252" s="45">
        <f>MROUND(MID($C1252,9,3)/Basis!$E$3,0.5)</f>
        <v>27.5</v>
      </c>
      <c r="F1252" s="199" t="s">
        <v>2950</v>
      </c>
      <c r="G1252" s="45">
        <f>ROUND(MID($C1252,12,2)/Basis!$E$3,1)</f>
        <v>13.4</v>
      </c>
      <c r="H1252" s="120">
        <f>ROUND($P1252*Basis!$E$2*((TaH-TrH)/LN(1/µ)/Basis!$E$7)^$N1252*$AA$4*Glycol,0)</f>
        <v>496</v>
      </c>
      <c r="I1252" s="83">
        <f>ROUND(H1252/(MID($C1252,9,3)/Basis!$E$3/Basis!$E$9)*Basis!$E$11,0)</f>
        <v>216</v>
      </c>
      <c r="J1252" s="123">
        <f>IF(Basis!$E$1=1,ROUND(H1252/((TaH-TrH)*1.163)/3600,3),ROUND(H1252/(500*(TaH-TrH)),2))</f>
        <v>0.05</v>
      </c>
      <c r="K1252" s="84"/>
      <c r="L1252" s="177">
        <f>CHOOSE(Basis!$E$1,((AJ1252*(J1252*3600/Basis!$E$5)^AK1252*(((MID(C1252,9,3)*10)-244)/1000)*AL1252+AM1252*(J1252*3600/Basis!$E$5)^2)*0.0098)/Basis!$E$10,((AJ1252*(J1252/Basis!$E$5)^AK1252*(((MID(C1252,9,3)*10)-244)/1000)*AL1252+AM1252*(J1252/Basis!$E$5)^2)*0.0098)/Basis!$E$10)</f>
        <v>2.3499475113617521E-4</v>
      </c>
      <c r="M1252" s="85"/>
      <c r="N1252" s="109">
        <v>1.3620000000000001</v>
      </c>
      <c r="O1252" s="68"/>
      <c r="P1252" s="67">
        <v>228</v>
      </c>
      <c r="Q1252" s="68"/>
      <c r="R1252" s="69"/>
      <c r="S1252" s="69"/>
      <c r="T1252" s="69"/>
      <c r="U1252" s="69"/>
      <c r="V1252" s="69"/>
      <c r="W1252" s="68"/>
      <c r="X1252" s="70"/>
      <c r="Y1252" s="70"/>
      <c r="Z1252" s="70"/>
      <c r="AA1252" s="70"/>
      <c r="AB1252" s="70"/>
      <c r="AC1252" s="68"/>
      <c r="AD1252" s="71"/>
      <c r="AE1252" s="71"/>
      <c r="AF1252" s="71"/>
      <c r="AG1252" s="71"/>
      <c r="AH1252" s="71"/>
      <c r="AI1252" s="68"/>
      <c r="AJ1252" s="213">
        <v>3.9689999999999994E-4</v>
      </c>
      <c r="AK1252" s="213">
        <v>1.7345999999999999</v>
      </c>
      <c r="AL1252" s="213">
        <v>2</v>
      </c>
      <c r="AM1252" s="213">
        <v>3.6734700000000002E-4</v>
      </c>
      <c r="AN1252" s="68"/>
      <c r="AO1252" s="67"/>
      <c r="AP1252" s="67"/>
      <c r="AQ1252" s="67"/>
      <c r="AR1252" s="67"/>
      <c r="AS1252" s="67"/>
      <c r="AT1252" s="68"/>
      <c r="AU1252" s="49"/>
      <c r="AV1252" s="50"/>
    </row>
    <row r="1253" spans="1:48" ht="12.75" customHeight="1" x14ac:dyDescent="0.25">
      <c r="A1253" s="72" t="s">
        <v>119</v>
      </c>
      <c r="B1253" s="43" t="s">
        <v>1154</v>
      </c>
      <c r="C1253" s="44" t="s">
        <v>1408</v>
      </c>
      <c r="D1253" s="45">
        <f>MROUND(MID($C1253,6,3)/Basis!$E$3,0.5)</f>
        <v>5.5</v>
      </c>
      <c r="E1253" s="45">
        <f>MROUND(MID($C1253,9,3)/Basis!$E$3,0.5)</f>
        <v>27.5</v>
      </c>
      <c r="F1253" s="199" t="s">
        <v>2950</v>
      </c>
      <c r="G1253" s="45">
        <f>ROUND(MID($C1253,12,2)/Basis!$E$3,1)</f>
        <v>16.5</v>
      </c>
      <c r="H1253" s="120">
        <f>ROUND($P1253*Basis!$E$2*((TaH-TrH)/LN(1/µ)/Basis!$E$7)^$N1253*$AA$4*Glycol,0)</f>
        <v>668</v>
      </c>
      <c r="I1253" s="83">
        <f>ROUND(H1253/(MID($C1253,9,3)/Basis!$E$3/Basis!$E$9)*Basis!$E$11,0)</f>
        <v>291</v>
      </c>
      <c r="J1253" s="123">
        <f>IF(Basis!$E$1=1,ROUND(H1253/((TaH-TrH)*1.163)/3600,3),ROUND(H1253/(500*(TaH-TrH)),2))</f>
        <v>7.0000000000000007E-2</v>
      </c>
      <c r="K1253" s="84"/>
      <c r="L1253" s="177">
        <f>CHOOSE(Basis!$E$1,((AJ1253*(J1253*3600/Basis!$E$5)^AK1253*(((MID(C1253,9,3)*10)-244)/1000)*AL1253+AM1253*(J1253*3600/Basis!$E$5)^2)*0.0098)/Basis!$E$10,((AJ1253*(J1253/Basis!$E$5)^AK1253*(((MID(C1253,9,3)*10)-244)/1000)*AL1253+AM1253*(J1253/Basis!$E$5)^2)*0.0098)/Basis!$E$10)</f>
        <v>4.4717882554640056E-4</v>
      </c>
      <c r="M1253" s="85"/>
      <c r="N1253" s="110">
        <v>1.3620000000000001</v>
      </c>
      <c r="O1253" s="74"/>
      <c r="P1253" s="73">
        <v>307</v>
      </c>
      <c r="Q1253" s="74"/>
      <c r="R1253" s="75"/>
      <c r="S1253" s="75"/>
      <c r="T1253" s="75"/>
      <c r="U1253" s="75"/>
      <c r="V1253" s="75"/>
      <c r="W1253" s="74"/>
      <c r="X1253" s="76"/>
      <c r="Y1253" s="76"/>
      <c r="Z1253" s="76"/>
      <c r="AA1253" s="76"/>
      <c r="AB1253" s="76"/>
      <c r="AC1253" s="74"/>
      <c r="AD1253" s="77"/>
      <c r="AE1253" s="77"/>
      <c r="AF1253" s="77"/>
      <c r="AG1253" s="77"/>
      <c r="AH1253" s="77"/>
      <c r="AI1253" s="68"/>
      <c r="AJ1253" s="213">
        <v>3.9689999999999994E-4</v>
      </c>
      <c r="AK1253" s="213">
        <v>1.7345999999999999</v>
      </c>
      <c r="AL1253" s="213">
        <v>2</v>
      </c>
      <c r="AM1253" s="213">
        <v>3.6734700000000002E-4</v>
      </c>
      <c r="AN1253" s="74"/>
      <c r="AO1253" s="73"/>
      <c r="AP1253" s="73"/>
      <c r="AQ1253" s="73"/>
      <c r="AR1253" s="73"/>
      <c r="AS1253" s="73"/>
      <c r="AT1253" s="74"/>
      <c r="AU1253" s="47"/>
      <c r="AV1253" s="48"/>
    </row>
    <row r="1254" spans="1:48" ht="12.75" customHeight="1" x14ac:dyDescent="0.25">
      <c r="A1254" s="72" t="s">
        <v>119</v>
      </c>
      <c r="B1254" s="43" t="s">
        <v>1154</v>
      </c>
      <c r="C1254" s="44" t="s">
        <v>1409</v>
      </c>
      <c r="D1254" s="45">
        <f>MROUND(MID($C1254,6,3)/Basis!$E$3,0.5)</f>
        <v>5.5</v>
      </c>
      <c r="E1254" s="45">
        <f>MROUND(MID($C1254,9,3)/Basis!$E$3,0.5)</f>
        <v>31.5</v>
      </c>
      <c r="F1254" s="199" t="s">
        <v>2950</v>
      </c>
      <c r="G1254" s="45">
        <f>ROUND(MID($C1254,12,2)/Basis!$E$3,1)</f>
        <v>5.5</v>
      </c>
      <c r="H1254" s="120">
        <f>ROUND($P1254*Basis!$E$2*((TaH-TrH)/LN(1/µ)/Basis!$E$7)^$N1254*$AA$4*Glycol,0)</f>
        <v>261</v>
      </c>
      <c r="I1254" s="83">
        <f>ROUND(H1254/(MID($C1254,9,3)/Basis!$E$3/Basis!$E$9)*Basis!$E$11,0)</f>
        <v>99</v>
      </c>
      <c r="J1254" s="123">
        <f>IF(Basis!$E$1=1,ROUND(H1254/((TaH-TrH)*1.163)/3600,3),ROUND(H1254/(500*(TaH-TrH)),2))</f>
        <v>0.03</v>
      </c>
      <c r="K1254" s="84"/>
      <c r="L1254" s="177">
        <f>CHOOSE(Basis!$E$1,((AJ1254*(J1254*3600/Basis!$E$5)^AK1254*(((MID(C1254,9,3)*10)-244)/1000)*AL1254+AM1254*(J1254*3600/Basis!$E$5)^2)*0.0098)/Basis!$E$10,((AJ1254*(J1254/Basis!$E$5)^AK1254*(((MID(C1254,9,3)*10)-244)/1000)*AL1254+AM1254*(J1254/Basis!$E$5)^2)*0.0098)/Basis!$E$10)</f>
        <v>1.7328748109926535E-4</v>
      </c>
      <c r="M1254" s="85"/>
      <c r="N1254" s="109">
        <v>1.3620000000000001</v>
      </c>
      <c r="O1254" s="68"/>
      <c r="P1254" s="67">
        <v>120</v>
      </c>
      <c r="Q1254" s="68"/>
      <c r="R1254" s="69"/>
      <c r="S1254" s="69"/>
      <c r="T1254" s="69"/>
      <c r="U1254" s="69"/>
      <c r="V1254" s="69"/>
      <c r="W1254" s="68"/>
      <c r="X1254" s="70"/>
      <c r="Y1254" s="70"/>
      <c r="Z1254" s="70"/>
      <c r="AA1254" s="70"/>
      <c r="AB1254" s="70"/>
      <c r="AC1254" s="68"/>
      <c r="AD1254" s="71"/>
      <c r="AE1254" s="71"/>
      <c r="AF1254" s="71"/>
      <c r="AG1254" s="71"/>
      <c r="AH1254" s="71"/>
      <c r="AI1254" s="68"/>
      <c r="AJ1254" s="214">
        <v>9.3669999999999995E-4</v>
      </c>
      <c r="AK1254" s="214">
        <v>1.789841</v>
      </c>
      <c r="AL1254" s="214">
        <v>2</v>
      </c>
      <c r="AM1254" s="214">
        <v>4.4559999999999999E-4</v>
      </c>
      <c r="AN1254" s="68"/>
      <c r="AO1254" s="67"/>
      <c r="AP1254" s="67"/>
      <c r="AQ1254" s="67"/>
      <c r="AR1254" s="67"/>
      <c r="AS1254" s="67"/>
      <c r="AT1254" s="68"/>
      <c r="AU1254" s="49"/>
      <c r="AV1254" s="50"/>
    </row>
    <row r="1255" spans="1:48" ht="12.75" customHeight="1" x14ac:dyDescent="0.25">
      <c r="A1255" s="72" t="s">
        <v>119</v>
      </c>
      <c r="B1255" s="43" t="s">
        <v>1154</v>
      </c>
      <c r="C1255" s="44" t="s">
        <v>1410</v>
      </c>
      <c r="D1255" s="45">
        <f>MROUND(MID($C1255,6,3)/Basis!$E$3,0.5)</f>
        <v>5.5</v>
      </c>
      <c r="E1255" s="45">
        <f>MROUND(MID($C1255,9,3)/Basis!$E$3,0.5)</f>
        <v>31.5</v>
      </c>
      <c r="F1255" s="199" t="s">
        <v>2950</v>
      </c>
      <c r="G1255" s="45">
        <f>ROUND(MID($C1255,12,2)/Basis!$E$3,1)</f>
        <v>10.199999999999999</v>
      </c>
      <c r="H1255" s="120">
        <f>ROUND($P1255*Basis!$E$2*((TaH-TrH)/LN(1/µ)/Basis!$E$7)^$N1255*$AA$4*Glycol,0)</f>
        <v>455</v>
      </c>
      <c r="I1255" s="83">
        <f>ROUND(H1255/(MID($C1255,9,3)/Basis!$E$3/Basis!$E$9)*Basis!$E$11,0)</f>
        <v>173</v>
      </c>
      <c r="J1255" s="123">
        <f>IF(Basis!$E$1=1,ROUND(H1255/((TaH-TrH)*1.163)/3600,3),ROUND(H1255/(500*(TaH-TrH)),2))</f>
        <v>0.05</v>
      </c>
      <c r="K1255" s="84"/>
      <c r="L1255" s="177">
        <f>CHOOSE(Basis!$E$1,((AJ1255*(J1255*3600/Basis!$E$5)^AK1255*(((MID(C1255,9,3)*10)-244)/1000)*AL1255+AM1255*(J1255*3600/Basis!$E$5)^2)*0.0098)/Basis!$E$10,((AJ1255*(J1255/Basis!$E$5)^AK1255*(((MID(C1255,9,3)*10)-244)/1000)*AL1255+AM1255*(J1255/Basis!$E$5)^2)*0.0098)/Basis!$E$10)</f>
        <v>2.5255915129523032E-4</v>
      </c>
      <c r="M1255" s="85"/>
      <c r="N1255" s="110">
        <v>1.3620000000000001</v>
      </c>
      <c r="O1255" s="74"/>
      <c r="P1255" s="73">
        <v>209</v>
      </c>
      <c r="Q1255" s="74"/>
      <c r="R1255" s="75"/>
      <c r="S1255" s="75"/>
      <c r="T1255" s="75"/>
      <c r="U1255" s="75"/>
      <c r="V1255" s="75"/>
      <c r="W1255" s="74"/>
      <c r="X1255" s="76"/>
      <c r="Y1255" s="76"/>
      <c r="Z1255" s="76"/>
      <c r="AA1255" s="76"/>
      <c r="AB1255" s="76"/>
      <c r="AC1255" s="74"/>
      <c r="AD1255" s="77"/>
      <c r="AE1255" s="77"/>
      <c r="AF1255" s="77"/>
      <c r="AG1255" s="77"/>
      <c r="AH1255" s="77"/>
      <c r="AI1255" s="68"/>
      <c r="AJ1255" s="213">
        <v>3.9689999999999994E-4</v>
      </c>
      <c r="AK1255" s="213">
        <v>1.7345999999999999</v>
      </c>
      <c r="AL1255" s="213">
        <v>2</v>
      </c>
      <c r="AM1255" s="213">
        <v>3.6734700000000002E-4</v>
      </c>
      <c r="AN1255" s="74"/>
      <c r="AO1255" s="73"/>
      <c r="AP1255" s="73"/>
      <c r="AQ1255" s="73"/>
      <c r="AR1255" s="73"/>
      <c r="AS1255" s="73"/>
      <c r="AT1255" s="74"/>
      <c r="AU1255" s="47"/>
      <c r="AV1255" s="48"/>
    </row>
    <row r="1256" spans="1:48" ht="12.75" customHeight="1" x14ac:dyDescent="0.25">
      <c r="A1256" s="72" t="s">
        <v>119</v>
      </c>
      <c r="B1256" s="43" t="s">
        <v>1154</v>
      </c>
      <c r="C1256" s="44" t="s">
        <v>1411</v>
      </c>
      <c r="D1256" s="45">
        <f>MROUND(MID($C1256,6,3)/Basis!$E$3,0.5)</f>
        <v>5.5</v>
      </c>
      <c r="E1256" s="45">
        <f>MROUND(MID($C1256,9,3)/Basis!$E$3,0.5)</f>
        <v>31.5</v>
      </c>
      <c r="F1256" s="199" t="s">
        <v>2950</v>
      </c>
      <c r="G1256" s="45">
        <f>ROUND(MID($C1256,12,2)/Basis!$E$3,1)</f>
        <v>13.4</v>
      </c>
      <c r="H1256" s="120">
        <f>ROUND($P1256*Basis!$E$2*((TaH-TrH)/LN(1/µ)/Basis!$E$7)^$N1256*$AA$4*Glycol,0)</f>
        <v>620</v>
      </c>
      <c r="I1256" s="83">
        <f>ROUND(H1256/(MID($C1256,9,3)/Basis!$E$3/Basis!$E$9)*Basis!$E$11,0)</f>
        <v>236</v>
      </c>
      <c r="J1256" s="123">
        <f>IF(Basis!$E$1=1,ROUND(H1256/((TaH-TrH)*1.163)/3600,3),ROUND(H1256/(500*(TaH-TrH)),2))</f>
        <v>0.06</v>
      </c>
      <c r="K1256" s="84"/>
      <c r="L1256" s="177">
        <f>CHOOSE(Basis!$E$1,((AJ1256*(J1256*3600/Basis!$E$5)^AK1256*(((MID(C1256,9,3)*10)-244)/1000)*AL1256+AM1256*(J1256*3600/Basis!$E$5)^2)*0.0098)/Basis!$E$10,((AJ1256*(J1256/Basis!$E$5)^AK1256*(((MID(C1256,9,3)*10)-244)/1000)*AL1256+AM1256*(J1256/Basis!$E$5)^2)*0.0098)/Basis!$E$10)</f>
        <v>3.488255542854437E-4</v>
      </c>
      <c r="M1256" s="85"/>
      <c r="N1256" s="109">
        <v>1.3620000000000001</v>
      </c>
      <c r="O1256" s="68"/>
      <c r="P1256" s="67">
        <v>285</v>
      </c>
      <c r="Q1256" s="68"/>
      <c r="R1256" s="69"/>
      <c r="S1256" s="69"/>
      <c r="T1256" s="69"/>
      <c r="U1256" s="69"/>
      <c r="V1256" s="69"/>
      <c r="W1256" s="68"/>
      <c r="X1256" s="70"/>
      <c r="Y1256" s="70"/>
      <c r="Z1256" s="70"/>
      <c r="AA1256" s="70"/>
      <c r="AB1256" s="70"/>
      <c r="AC1256" s="68"/>
      <c r="AD1256" s="71"/>
      <c r="AE1256" s="71"/>
      <c r="AF1256" s="71"/>
      <c r="AG1256" s="71"/>
      <c r="AH1256" s="71"/>
      <c r="AI1256" s="68"/>
      <c r="AJ1256" s="214">
        <v>2.0829999999999999E-4</v>
      </c>
      <c r="AK1256" s="214">
        <v>1.724</v>
      </c>
      <c r="AL1256" s="214">
        <v>2</v>
      </c>
      <c r="AM1256" s="214">
        <v>4.6182900000000003E-4</v>
      </c>
      <c r="AN1256" s="68"/>
      <c r="AO1256" s="67"/>
      <c r="AP1256" s="67"/>
      <c r="AQ1256" s="67"/>
      <c r="AR1256" s="67"/>
      <c r="AS1256" s="67"/>
      <c r="AT1256" s="68"/>
      <c r="AU1256" s="49"/>
      <c r="AV1256" s="50"/>
    </row>
    <row r="1257" spans="1:48" ht="12.75" customHeight="1" x14ac:dyDescent="0.25">
      <c r="A1257" s="72" t="s">
        <v>119</v>
      </c>
      <c r="B1257" s="43" t="s">
        <v>1154</v>
      </c>
      <c r="C1257" s="44" t="s">
        <v>1412</v>
      </c>
      <c r="D1257" s="45">
        <f>MROUND(MID($C1257,6,3)/Basis!$E$3,0.5)</f>
        <v>5.5</v>
      </c>
      <c r="E1257" s="45">
        <f>MROUND(MID($C1257,9,3)/Basis!$E$3,0.5)</f>
        <v>31.5</v>
      </c>
      <c r="F1257" s="199" t="s">
        <v>2950</v>
      </c>
      <c r="G1257" s="45">
        <f>ROUND(MID($C1257,12,2)/Basis!$E$3,1)</f>
        <v>16.5</v>
      </c>
      <c r="H1257" s="120">
        <f>ROUND($P1257*Basis!$E$2*((TaH-TrH)/LN(1/µ)/Basis!$E$7)^$N1257*$AA$4*Glycol,0)</f>
        <v>836</v>
      </c>
      <c r="I1257" s="83">
        <f>ROUND(H1257/(MID($C1257,9,3)/Basis!$E$3/Basis!$E$9)*Basis!$E$11,0)</f>
        <v>319</v>
      </c>
      <c r="J1257" s="123">
        <f>IF(Basis!$E$1=1,ROUND(H1257/((TaH-TrH)*1.163)/3600,3),ROUND(H1257/(500*(TaH-TrH)),2))</f>
        <v>0.08</v>
      </c>
      <c r="K1257" s="84"/>
      <c r="L1257" s="177">
        <f>CHOOSE(Basis!$E$1,((AJ1257*(J1257*3600/Basis!$E$5)^AK1257*(((MID(C1257,9,3)*10)-244)/1000)*AL1257+AM1257*(J1257*3600/Basis!$E$5)^2)*0.0098)/Basis!$E$10,((AJ1257*(J1257/Basis!$E$5)^AK1257*(((MID(C1257,9,3)*10)-244)/1000)*AL1257+AM1257*(J1257/Basis!$E$5)^2)*0.0098)/Basis!$E$10)</f>
        <v>4.7493054288994397E-4</v>
      </c>
      <c r="M1257" s="85"/>
      <c r="N1257" s="110">
        <v>1.3620000000000001</v>
      </c>
      <c r="O1257" s="74"/>
      <c r="P1257" s="73">
        <v>384</v>
      </c>
      <c r="Q1257" s="74"/>
      <c r="R1257" s="75"/>
      <c r="S1257" s="75"/>
      <c r="T1257" s="75"/>
      <c r="U1257" s="75"/>
      <c r="V1257" s="75"/>
      <c r="W1257" s="74"/>
      <c r="X1257" s="76"/>
      <c r="Y1257" s="76"/>
      <c r="Z1257" s="76"/>
      <c r="AA1257" s="76"/>
      <c r="AB1257" s="76"/>
      <c r="AC1257" s="74"/>
      <c r="AD1257" s="77"/>
      <c r="AE1257" s="77"/>
      <c r="AF1257" s="77"/>
      <c r="AG1257" s="77"/>
      <c r="AH1257" s="77"/>
      <c r="AI1257" s="68"/>
      <c r="AJ1257" s="214">
        <v>1.2760000000000001E-4</v>
      </c>
      <c r="AK1257" s="214">
        <v>1.7219</v>
      </c>
      <c r="AL1257" s="214">
        <v>2</v>
      </c>
      <c r="AM1257" s="214">
        <v>3.76611E-4</v>
      </c>
      <c r="AN1257" s="74"/>
      <c r="AO1257" s="73"/>
      <c r="AP1257" s="73"/>
      <c r="AQ1257" s="73"/>
      <c r="AR1257" s="73"/>
      <c r="AS1257" s="73"/>
      <c r="AT1257" s="74"/>
      <c r="AU1257" s="47"/>
      <c r="AV1257" s="48"/>
    </row>
    <row r="1258" spans="1:48" ht="12.75" customHeight="1" x14ac:dyDescent="0.25">
      <c r="A1258" s="72" t="s">
        <v>119</v>
      </c>
      <c r="B1258" s="43" t="s">
        <v>1154</v>
      </c>
      <c r="C1258" s="44" t="s">
        <v>1413</v>
      </c>
      <c r="D1258" s="45">
        <f>MROUND(MID($C1258,6,3)/Basis!$E$3,0.5)</f>
        <v>5.5</v>
      </c>
      <c r="E1258" s="45">
        <f>MROUND(MID($C1258,9,3)/Basis!$E$3,0.5)</f>
        <v>35.5</v>
      </c>
      <c r="F1258" s="199" t="s">
        <v>2950</v>
      </c>
      <c r="G1258" s="45">
        <f>ROUND(MID($C1258,12,2)/Basis!$E$3,1)</f>
        <v>5.5</v>
      </c>
      <c r="H1258" s="120">
        <f>ROUND($P1258*Basis!$E$2*((TaH-TrH)/LN(1/µ)/Basis!$E$7)^$N1258*$AA$4*Glycol,0)</f>
        <v>316</v>
      </c>
      <c r="I1258" s="83">
        <f>ROUND(H1258/(MID($C1258,9,3)/Basis!$E$3/Basis!$E$9)*Basis!$E$11,0)</f>
        <v>107</v>
      </c>
      <c r="J1258" s="123">
        <f>IF(Basis!$E$1=1,ROUND(H1258/((TaH-TrH)*1.163)/3600,3),ROUND(H1258/(500*(TaH-TrH)),2))</f>
        <v>0.03</v>
      </c>
      <c r="K1258" s="84"/>
      <c r="L1258" s="177">
        <f>CHOOSE(Basis!$E$1,((AJ1258*(J1258*3600/Basis!$E$5)^AK1258*(((MID(C1258,9,3)*10)-244)/1000)*AL1258+AM1258*(J1258*3600/Basis!$E$5)^2)*0.0098)/Basis!$E$10,((AJ1258*(J1258/Basis!$E$5)^AK1258*(((MID(C1258,9,3)*10)-244)/1000)*AL1258+AM1258*(J1258/Basis!$E$5)^2)*0.0098)/Basis!$E$10)</f>
        <v>1.9228820893210253E-4</v>
      </c>
      <c r="M1258" s="85"/>
      <c r="N1258" s="109">
        <v>1.3620000000000001</v>
      </c>
      <c r="O1258" s="68"/>
      <c r="P1258" s="67">
        <v>145</v>
      </c>
      <c r="Q1258" s="68"/>
      <c r="R1258" s="69"/>
      <c r="S1258" s="69"/>
      <c r="T1258" s="69"/>
      <c r="U1258" s="69"/>
      <c r="V1258" s="69"/>
      <c r="W1258" s="68"/>
      <c r="X1258" s="70"/>
      <c r="Y1258" s="70"/>
      <c r="Z1258" s="70"/>
      <c r="AA1258" s="70"/>
      <c r="AB1258" s="70"/>
      <c r="AC1258" s="68"/>
      <c r="AD1258" s="71"/>
      <c r="AE1258" s="71"/>
      <c r="AF1258" s="71"/>
      <c r="AG1258" s="71"/>
      <c r="AH1258" s="71"/>
      <c r="AI1258" s="68"/>
      <c r="AJ1258" s="214">
        <v>9.3669999999999995E-4</v>
      </c>
      <c r="AK1258" s="214">
        <v>1.789841</v>
      </c>
      <c r="AL1258" s="214">
        <v>2</v>
      </c>
      <c r="AM1258" s="214">
        <v>4.4559999999999999E-4</v>
      </c>
      <c r="AN1258" s="68"/>
      <c r="AO1258" s="67"/>
      <c r="AP1258" s="67"/>
      <c r="AQ1258" s="67"/>
      <c r="AR1258" s="67"/>
      <c r="AS1258" s="67"/>
      <c r="AT1258" s="68"/>
      <c r="AU1258" s="49"/>
      <c r="AV1258" s="50"/>
    </row>
    <row r="1259" spans="1:48" ht="12.75" customHeight="1" x14ac:dyDescent="0.25">
      <c r="A1259" s="72" t="s">
        <v>119</v>
      </c>
      <c r="B1259" s="43" t="s">
        <v>1154</v>
      </c>
      <c r="C1259" s="44" t="s">
        <v>1414</v>
      </c>
      <c r="D1259" s="45">
        <f>MROUND(MID($C1259,6,3)/Basis!$E$3,0.5)</f>
        <v>5.5</v>
      </c>
      <c r="E1259" s="45">
        <f>MROUND(MID($C1259,9,3)/Basis!$E$3,0.5)</f>
        <v>35.5</v>
      </c>
      <c r="F1259" s="199" t="s">
        <v>2950</v>
      </c>
      <c r="G1259" s="45">
        <f>ROUND(MID($C1259,12,2)/Basis!$E$3,1)</f>
        <v>10.199999999999999</v>
      </c>
      <c r="H1259" s="120">
        <f>ROUND($P1259*Basis!$E$2*((TaH-TrH)/LN(1/µ)/Basis!$E$7)^$N1259*$AA$4*Glycol,0)</f>
        <v>544</v>
      </c>
      <c r="I1259" s="83">
        <f>ROUND(H1259/(MID($C1259,9,3)/Basis!$E$3/Basis!$E$9)*Basis!$E$11,0)</f>
        <v>184</v>
      </c>
      <c r="J1259" s="123">
        <f>IF(Basis!$E$1=1,ROUND(H1259/((TaH-TrH)*1.163)/3600,3),ROUND(H1259/(500*(TaH-TrH)),2))</f>
        <v>0.05</v>
      </c>
      <c r="K1259" s="84"/>
      <c r="L1259" s="177">
        <f>CHOOSE(Basis!$E$1,((AJ1259*(J1259*3600/Basis!$E$5)^AK1259*(((MID(C1259,9,3)*10)-244)/1000)*AL1259+AM1259*(J1259*3600/Basis!$E$5)^2)*0.0098)/Basis!$E$10,((AJ1259*(J1259/Basis!$E$5)^AK1259*(((MID(C1259,9,3)*10)-244)/1000)*AL1259+AM1259*(J1259/Basis!$E$5)^2)*0.0098)/Basis!$E$10)</f>
        <v>2.7012355145428538E-4</v>
      </c>
      <c r="M1259" s="85"/>
      <c r="N1259" s="110">
        <v>1.3620000000000001</v>
      </c>
      <c r="O1259" s="74"/>
      <c r="P1259" s="73">
        <v>250</v>
      </c>
      <c r="Q1259" s="74"/>
      <c r="R1259" s="75"/>
      <c r="S1259" s="75"/>
      <c r="T1259" s="75"/>
      <c r="U1259" s="75"/>
      <c r="V1259" s="75"/>
      <c r="W1259" s="74"/>
      <c r="X1259" s="76"/>
      <c r="Y1259" s="76"/>
      <c r="Z1259" s="76"/>
      <c r="AA1259" s="76"/>
      <c r="AB1259" s="76"/>
      <c r="AC1259" s="74"/>
      <c r="AD1259" s="77"/>
      <c r="AE1259" s="77"/>
      <c r="AF1259" s="77"/>
      <c r="AG1259" s="77"/>
      <c r="AH1259" s="77"/>
      <c r="AI1259" s="68"/>
      <c r="AJ1259" s="213">
        <v>3.9689999999999994E-4</v>
      </c>
      <c r="AK1259" s="213">
        <v>1.7345999999999999</v>
      </c>
      <c r="AL1259" s="213">
        <v>2</v>
      </c>
      <c r="AM1259" s="213">
        <v>3.6734700000000002E-4</v>
      </c>
      <c r="AN1259" s="74"/>
      <c r="AO1259" s="73"/>
      <c r="AP1259" s="73"/>
      <c r="AQ1259" s="73"/>
      <c r="AR1259" s="73"/>
      <c r="AS1259" s="73"/>
      <c r="AT1259" s="74"/>
      <c r="AU1259" s="47"/>
      <c r="AV1259" s="48"/>
    </row>
    <row r="1260" spans="1:48" ht="12.75" customHeight="1" x14ac:dyDescent="0.25">
      <c r="A1260" s="72" t="s">
        <v>119</v>
      </c>
      <c r="B1260" s="43" t="s">
        <v>1154</v>
      </c>
      <c r="C1260" s="44" t="s">
        <v>1415</v>
      </c>
      <c r="D1260" s="45">
        <f>MROUND(MID($C1260,6,3)/Basis!$E$3,0.5)</f>
        <v>5.5</v>
      </c>
      <c r="E1260" s="45">
        <f>MROUND(MID($C1260,9,3)/Basis!$E$3,0.5)</f>
        <v>35.5</v>
      </c>
      <c r="F1260" s="199" t="s">
        <v>2950</v>
      </c>
      <c r="G1260" s="45">
        <f>ROUND(MID($C1260,12,2)/Basis!$E$3,1)</f>
        <v>13.4</v>
      </c>
      <c r="H1260" s="120">
        <f>ROUND($P1260*Basis!$E$2*((TaH-TrH)/LN(1/µ)/Basis!$E$7)^$N1260*$AA$4*Glycol,0)</f>
        <v>744</v>
      </c>
      <c r="I1260" s="83">
        <f>ROUND(H1260/(MID($C1260,9,3)/Basis!$E$3/Basis!$E$9)*Basis!$E$11,0)</f>
        <v>252</v>
      </c>
      <c r="J1260" s="123">
        <f>IF(Basis!$E$1=1,ROUND(H1260/((TaH-TrH)*1.163)/3600,3),ROUND(H1260/(500*(TaH-TrH)),2))</f>
        <v>7.0000000000000007E-2</v>
      </c>
      <c r="K1260" s="84"/>
      <c r="L1260" s="177">
        <f>CHOOSE(Basis!$E$1,((AJ1260*(J1260*3600/Basis!$E$5)^AK1260*(((MID(C1260,9,3)*10)-244)/1000)*AL1260+AM1260*(J1260*3600/Basis!$E$5)^2)*0.0098)/Basis!$E$10,((AJ1260*(J1260/Basis!$E$5)^AK1260*(((MID(C1260,9,3)*10)-244)/1000)*AL1260+AM1260*(J1260/Basis!$E$5)^2)*0.0098)/Basis!$E$10)</f>
        <v>4.8695909238902283E-4</v>
      </c>
      <c r="M1260" s="85"/>
      <c r="N1260" s="109">
        <v>1.3620000000000001</v>
      </c>
      <c r="O1260" s="68"/>
      <c r="P1260" s="67">
        <v>342</v>
      </c>
      <c r="Q1260" s="68"/>
      <c r="R1260" s="69"/>
      <c r="S1260" s="69"/>
      <c r="T1260" s="69"/>
      <c r="U1260" s="69"/>
      <c r="V1260" s="69"/>
      <c r="W1260" s="68"/>
      <c r="X1260" s="70"/>
      <c r="Y1260" s="70"/>
      <c r="Z1260" s="70"/>
      <c r="AA1260" s="70"/>
      <c r="AB1260" s="70"/>
      <c r="AC1260" s="68"/>
      <c r="AD1260" s="71"/>
      <c r="AE1260" s="71"/>
      <c r="AF1260" s="71"/>
      <c r="AG1260" s="71"/>
      <c r="AH1260" s="71"/>
      <c r="AI1260" s="68"/>
      <c r="AJ1260" s="214">
        <v>2.0829999999999999E-4</v>
      </c>
      <c r="AK1260" s="214">
        <v>1.724</v>
      </c>
      <c r="AL1260" s="214">
        <v>2</v>
      </c>
      <c r="AM1260" s="214">
        <v>4.6182900000000003E-4</v>
      </c>
      <c r="AN1260" s="68"/>
      <c r="AO1260" s="67"/>
      <c r="AP1260" s="67"/>
      <c r="AQ1260" s="67"/>
      <c r="AR1260" s="67"/>
      <c r="AS1260" s="67"/>
      <c r="AT1260" s="68"/>
      <c r="AU1260" s="49"/>
      <c r="AV1260" s="50"/>
    </row>
    <row r="1261" spans="1:48" ht="12.75" customHeight="1" x14ac:dyDescent="0.25">
      <c r="A1261" s="72" t="s">
        <v>119</v>
      </c>
      <c r="B1261" s="43" t="s">
        <v>1154</v>
      </c>
      <c r="C1261" s="44" t="s">
        <v>1416</v>
      </c>
      <c r="D1261" s="45">
        <f>MROUND(MID($C1261,6,3)/Basis!$E$3,0.5)</f>
        <v>5.5</v>
      </c>
      <c r="E1261" s="45">
        <f>MROUND(MID($C1261,9,3)/Basis!$E$3,0.5)</f>
        <v>35.5</v>
      </c>
      <c r="F1261" s="199" t="s">
        <v>2950</v>
      </c>
      <c r="G1261" s="45">
        <f>ROUND(MID($C1261,12,2)/Basis!$E$3,1)</f>
        <v>16.5</v>
      </c>
      <c r="H1261" s="120">
        <f>ROUND($P1261*Basis!$E$2*((TaH-TrH)/LN(1/µ)/Basis!$E$7)^$N1261*$AA$4*Glycol,0)</f>
        <v>1003</v>
      </c>
      <c r="I1261" s="83">
        <f>ROUND(H1261/(MID($C1261,9,3)/Basis!$E$3/Basis!$E$9)*Basis!$E$11,0)</f>
        <v>340</v>
      </c>
      <c r="J1261" s="123">
        <f>IF(Basis!$E$1=1,ROUND(H1261/((TaH-TrH)*1.163)/3600,3),ROUND(H1261/(500*(TaH-TrH)),2))</f>
        <v>0.1</v>
      </c>
      <c r="K1261" s="84"/>
      <c r="L1261" s="177">
        <f>CHOOSE(Basis!$E$1,((AJ1261*(J1261*3600/Basis!$E$5)^AK1261*(((MID(C1261,9,3)*10)-244)/1000)*AL1261+AM1261*(J1261*3600/Basis!$E$5)^2)*0.0098)/Basis!$E$10,((AJ1261*(J1261/Basis!$E$5)^AK1261*(((MID(C1261,9,3)*10)-244)/1000)*AL1261+AM1261*(J1261/Basis!$E$5)^2)*0.0098)/Basis!$E$10)</f>
        <v>7.5371101090212676E-4</v>
      </c>
      <c r="M1261" s="85"/>
      <c r="N1261" s="110">
        <v>1.3620000000000001</v>
      </c>
      <c r="O1261" s="74"/>
      <c r="P1261" s="73">
        <v>461</v>
      </c>
      <c r="Q1261" s="74"/>
      <c r="R1261" s="75"/>
      <c r="S1261" s="75"/>
      <c r="T1261" s="75"/>
      <c r="U1261" s="75"/>
      <c r="V1261" s="75"/>
      <c r="W1261" s="74"/>
      <c r="X1261" s="76"/>
      <c r="Y1261" s="76"/>
      <c r="Z1261" s="76"/>
      <c r="AA1261" s="76"/>
      <c r="AB1261" s="76"/>
      <c r="AC1261" s="74"/>
      <c r="AD1261" s="77"/>
      <c r="AE1261" s="77"/>
      <c r="AF1261" s="77"/>
      <c r="AG1261" s="77"/>
      <c r="AH1261" s="77"/>
      <c r="AI1261" s="68"/>
      <c r="AJ1261" s="214">
        <v>1.2760000000000001E-4</v>
      </c>
      <c r="AK1261" s="214">
        <v>1.7219</v>
      </c>
      <c r="AL1261" s="214">
        <v>2</v>
      </c>
      <c r="AM1261" s="214">
        <v>3.76611E-4</v>
      </c>
      <c r="AN1261" s="74"/>
      <c r="AO1261" s="73"/>
      <c r="AP1261" s="73"/>
      <c r="AQ1261" s="73"/>
      <c r="AR1261" s="73"/>
      <c r="AS1261" s="73"/>
      <c r="AT1261" s="74"/>
      <c r="AU1261" s="47"/>
      <c r="AV1261" s="48"/>
    </row>
    <row r="1262" spans="1:48" ht="12.75" customHeight="1" x14ac:dyDescent="0.25">
      <c r="A1262" s="72" t="s">
        <v>119</v>
      </c>
      <c r="B1262" s="43" t="s">
        <v>1154</v>
      </c>
      <c r="C1262" s="44" t="s">
        <v>1417</v>
      </c>
      <c r="D1262" s="45">
        <f>MROUND(MID($C1262,6,3)/Basis!$E$3,0.5)</f>
        <v>5.5</v>
      </c>
      <c r="E1262" s="45">
        <f>MROUND(MID($C1262,9,3)/Basis!$E$3,0.5)</f>
        <v>39.5</v>
      </c>
      <c r="F1262" s="199" t="s">
        <v>2950</v>
      </c>
      <c r="G1262" s="45">
        <f>ROUND(MID($C1262,12,2)/Basis!$E$3,1)</f>
        <v>5.5</v>
      </c>
      <c r="H1262" s="120">
        <f>ROUND($P1262*Basis!$E$2*((TaH-TrH)/LN(1/µ)/Basis!$E$7)^$N1262*$AA$4*Glycol,0)</f>
        <v>368</v>
      </c>
      <c r="I1262" s="83">
        <f>ROUND(H1262/(MID($C1262,9,3)/Basis!$E$3/Basis!$E$9)*Basis!$E$11,0)</f>
        <v>112</v>
      </c>
      <c r="J1262" s="123">
        <f>IF(Basis!$E$1=1,ROUND(H1262/((TaH-TrH)*1.163)/3600,3),ROUND(H1262/(500*(TaH-TrH)),2))</f>
        <v>0.04</v>
      </c>
      <c r="K1262" s="84"/>
      <c r="L1262" s="177">
        <f>CHOOSE(Basis!$E$1,((AJ1262*(J1262*3600/Basis!$E$5)^AK1262*(((MID(C1262,9,3)*10)-244)/1000)*AL1262+AM1262*(J1262*3600/Basis!$E$5)^2)*0.0098)/Basis!$E$10,((AJ1262*(J1262/Basis!$E$5)^AK1262*(((MID(C1262,9,3)*10)-244)/1000)*AL1262+AM1262*(J1262/Basis!$E$5)^2)*0.0098)/Basis!$E$10)</f>
        <v>3.6064284036789527E-4</v>
      </c>
      <c r="M1262" s="85"/>
      <c r="N1262" s="109">
        <v>1.3620000000000001</v>
      </c>
      <c r="O1262" s="68"/>
      <c r="P1262" s="67">
        <v>169</v>
      </c>
      <c r="Q1262" s="68"/>
      <c r="R1262" s="69"/>
      <c r="S1262" s="69"/>
      <c r="T1262" s="69"/>
      <c r="U1262" s="69"/>
      <c r="V1262" s="69"/>
      <c r="W1262" s="68"/>
      <c r="X1262" s="70"/>
      <c r="Y1262" s="70"/>
      <c r="Z1262" s="70"/>
      <c r="AA1262" s="70"/>
      <c r="AB1262" s="70"/>
      <c r="AC1262" s="68"/>
      <c r="AD1262" s="71"/>
      <c r="AE1262" s="71"/>
      <c r="AF1262" s="71"/>
      <c r="AG1262" s="71"/>
      <c r="AH1262" s="71"/>
      <c r="AI1262" s="68"/>
      <c r="AJ1262" s="214">
        <v>9.3669999999999995E-4</v>
      </c>
      <c r="AK1262" s="214">
        <v>1.789841</v>
      </c>
      <c r="AL1262" s="214">
        <v>2</v>
      </c>
      <c r="AM1262" s="214">
        <v>4.4559999999999999E-4</v>
      </c>
      <c r="AN1262" s="68"/>
      <c r="AO1262" s="67"/>
      <c r="AP1262" s="67"/>
      <c r="AQ1262" s="67"/>
      <c r="AR1262" s="67"/>
      <c r="AS1262" s="67"/>
      <c r="AT1262" s="68"/>
      <c r="AU1262" s="49"/>
      <c r="AV1262" s="50"/>
    </row>
    <row r="1263" spans="1:48" ht="12.75" customHeight="1" x14ac:dyDescent="0.25">
      <c r="A1263" s="72" t="s">
        <v>119</v>
      </c>
      <c r="B1263" s="43" t="s">
        <v>1154</v>
      </c>
      <c r="C1263" s="44" t="s">
        <v>1418</v>
      </c>
      <c r="D1263" s="45">
        <f>MROUND(MID($C1263,6,3)/Basis!$E$3,0.5)</f>
        <v>5.5</v>
      </c>
      <c r="E1263" s="45">
        <f>MROUND(MID($C1263,9,3)/Basis!$E$3,0.5)</f>
        <v>39.5</v>
      </c>
      <c r="F1263" s="199" t="s">
        <v>2950</v>
      </c>
      <c r="G1263" s="45">
        <f>ROUND(MID($C1263,12,2)/Basis!$E$3,1)</f>
        <v>10.199999999999999</v>
      </c>
      <c r="H1263" s="120">
        <f>ROUND($P1263*Basis!$E$2*((TaH-TrH)/LN(1/µ)/Basis!$E$7)^$N1263*$AA$4*Glycol,0)</f>
        <v>636</v>
      </c>
      <c r="I1263" s="83">
        <f>ROUND(H1263/(MID($C1263,9,3)/Basis!$E$3/Basis!$E$9)*Basis!$E$11,0)</f>
        <v>194</v>
      </c>
      <c r="J1263" s="123">
        <f>IF(Basis!$E$1=1,ROUND(H1263/((TaH-TrH)*1.163)/3600,3),ROUND(H1263/(500*(TaH-TrH)),2))</f>
        <v>0.06</v>
      </c>
      <c r="K1263" s="84"/>
      <c r="L1263" s="177">
        <f>CHOOSE(Basis!$E$1,((AJ1263*(J1263*3600/Basis!$E$5)^AK1263*(((MID(C1263,9,3)*10)-244)/1000)*AL1263+AM1263*(J1263*3600/Basis!$E$5)^2)*0.0098)/Basis!$E$10,((AJ1263*(J1263/Basis!$E$5)^AK1263*(((MID(C1263,9,3)*10)-244)/1000)*AL1263+AM1263*(J1263/Basis!$E$5)^2)*0.0098)/Basis!$E$10)</f>
        <v>4.0523849148262612E-4</v>
      </c>
      <c r="M1263" s="85"/>
      <c r="N1263" s="110">
        <v>1.3620000000000001</v>
      </c>
      <c r="O1263" s="74"/>
      <c r="P1263" s="73">
        <v>292</v>
      </c>
      <c r="Q1263" s="74"/>
      <c r="R1263" s="75"/>
      <c r="S1263" s="75"/>
      <c r="T1263" s="75"/>
      <c r="U1263" s="75"/>
      <c r="V1263" s="75"/>
      <c r="W1263" s="74"/>
      <c r="X1263" s="76"/>
      <c r="Y1263" s="76"/>
      <c r="Z1263" s="76"/>
      <c r="AA1263" s="76"/>
      <c r="AB1263" s="76"/>
      <c r="AC1263" s="74"/>
      <c r="AD1263" s="77"/>
      <c r="AE1263" s="77"/>
      <c r="AF1263" s="77"/>
      <c r="AG1263" s="77"/>
      <c r="AH1263" s="77"/>
      <c r="AI1263" s="68"/>
      <c r="AJ1263" s="213">
        <v>3.9689999999999994E-4</v>
      </c>
      <c r="AK1263" s="213">
        <v>1.7345999999999999</v>
      </c>
      <c r="AL1263" s="213">
        <v>2</v>
      </c>
      <c r="AM1263" s="213">
        <v>3.6734700000000002E-4</v>
      </c>
      <c r="AN1263" s="74"/>
      <c r="AO1263" s="73"/>
      <c r="AP1263" s="73"/>
      <c r="AQ1263" s="73"/>
      <c r="AR1263" s="73"/>
      <c r="AS1263" s="73"/>
      <c r="AT1263" s="74"/>
      <c r="AU1263" s="47"/>
      <c r="AV1263" s="48"/>
    </row>
    <row r="1264" spans="1:48" ht="12.75" customHeight="1" x14ac:dyDescent="0.25">
      <c r="A1264" s="72" t="s">
        <v>119</v>
      </c>
      <c r="B1264" s="43" t="s">
        <v>1154</v>
      </c>
      <c r="C1264" s="44" t="s">
        <v>1419</v>
      </c>
      <c r="D1264" s="45">
        <f>MROUND(MID($C1264,6,3)/Basis!$E$3,0.5)</f>
        <v>5.5</v>
      </c>
      <c r="E1264" s="45">
        <f>MROUND(MID($C1264,9,3)/Basis!$E$3,0.5)</f>
        <v>39.5</v>
      </c>
      <c r="F1264" s="199" t="s">
        <v>2950</v>
      </c>
      <c r="G1264" s="45">
        <f>ROUND(MID($C1264,12,2)/Basis!$E$3,1)</f>
        <v>13.4</v>
      </c>
      <c r="H1264" s="120">
        <f>ROUND($P1264*Basis!$E$2*((TaH-TrH)/LN(1/µ)/Basis!$E$7)^$N1264*$AA$4*Glycol,0)</f>
        <v>869</v>
      </c>
      <c r="I1264" s="83">
        <f>ROUND(H1264/(MID($C1264,9,3)/Basis!$E$3/Basis!$E$9)*Basis!$E$11,0)</f>
        <v>265</v>
      </c>
      <c r="J1264" s="123">
        <f>IF(Basis!$E$1=1,ROUND(H1264/((TaH-TrH)*1.163)/3600,3),ROUND(H1264/(500*(TaH-TrH)),2))</f>
        <v>0.09</v>
      </c>
      <c r="K1264" s="84"/>
      <c r="L1264" s="177">
        <f>CHOOSE(Basis!$E$1,((AJ1264*(J1264*3600/Basis!$E$5)^AK1264*(((MID(C1264,9,3)*10)-244)/1000)*AL1264+AM1264*(J1264*3600/Basis!$E$5)^2)*0.0098)/Basis!$E$10,((AJ1264*(J1264/Basis!$E$5)^AK1264*(((MID(C1264,9,3)*10)-244)/1000)*AL1264+AM1264*(J1264/Basis!$E$5)^2)*0.0098)/Basis!$E$10)</f>
        <v>8.1806080848163788E-4</v>
      </c>
      <c r="M1264" s="85"/>
      <c r="N1264" s="109">
        <v>1.3620000000000001</v>
      </c>
      <c r="O1264" s="68"/>
      <c r="P1264" s="67">
        <v>399</v>
      </c>
      <c r="Q1264" s="68"/>
      <c r="R1264" s="69"/>
      <c r="S1264" s="69"/>
      <c r="T1264" s="69"/>
      <c r="U1264" s="69"/>
      <c r="V1264" s="69"/>
      <c r="W1264" s="68"/>
      <c r="X1264" s="70"/>
      <c r="Y1264" s="70"/>
      <c r="Z1264" s="70"/>
      <c r="AA1264" s="70"/>
      <c r="AB1264" s="70"/>
      <c r="AC1264" s="68"/>
      <c r="AD1264" s="71"/>
      <c r="AE1264" s="71"/>
      <c r="AF1264" s="71"/>
      <c r="AG1264" s="71"/>
      <c r="AH1264" s="71"/>
      <c r="AI1264" s="68"/>
      <c r="AJ1264" s="214">
        <v>2.0829999999999999E-4</v>
      </c>
      <c r="AK1264" s="214">
        <v>1.724</v>
      </c>
      <c r="AL1264" s="214">
        <v>2</v>
      </c>
      <c r="AM1264" s="214">
        <v>4.6182900000000003E-4</v>
      </c>
      <c r="AN1264" s="68"/>
      <c r="AO1264" s="67"/>
      <c r="AP1264" s="67"/>
      <c r="AQ1264" s="67"/>
      <c r="AR1264" s="67"/>
      <c r="AS1264" s="67"/>
      <c r="AT1264" s="68"/>
      <c r="AU1264" s="49"/>
      <c r="AV1264" s="50"/>
    </row>
    <row r="1265" spans="1:48" ht="12.75" customHeight="1" x14ac:dyDescent="0.25">
      <c r="A1265" s="72" t="s">
        <v>119</v>
      </c>
      <c r="B1265" s="43" t="s">
        <v>1154</v>
      </c>
      <c r="C1265" s="44" t="s">
        <v>1420</v>
      </c>
      <c r="D1265" s="45">
        <f>MROUND(MID($C1265,6,3)/Basis!$E$3,0.5)</f>
        <v>5.5</v>
      </c>
      <c r="E1265" s="45">
        <f>MROUND(MID($C1265,9,3)/Basis!$E$3,0.5)</f>
        <v>39.5</v>
      </c>
      <c r="F1265" s="199" t="s">
        <v>2950</v>
      </c>
      <c r="G1265" s="45">
        <f>ROUND(MID($C1265,12,2)/Basis!$E$3,1)</f>
        <v>16.5</v>
      </c>
      <c r="H1265" s="120">
        <f>ROUND($P1265*Basis!$E$2*((TaH-TrH)/LN(1/µ)/Basis!$E$7)^$N1265*$AA$4*Glycol,0)</f>
        <v>1171</v>
      </c>
      <c r="I1265" s="83">
        <f>ROUND(H1265/(MID($C1265,9,3)/Basis!$E$3/Basis!$E$9)*Basis!$E$11,0)</f>
        <v>357</v>
      </c>
      <c r="J1265" s="123">
        <f>IF(Basis!$E$1=1,ROUND(H1265/((TaH-TrH)*1.163)/3600,3),ROUND(H1265/(500*(TaH-TrH)),2))</f>
        <v>0.12</v>
      </c>
      <c r="K1265" s="84"/>
      <c r="L1265" s="177">
        <f>CHOOSE(Basis!$E$1,((AJ1265*(J1265*3600/Basis!$E$5)^AK1265*(((MID(C1265,9,3)*10)-244)/1000)*AL1265+AM1265*(J1265*3600/Basis!$E$5)^2)*0.0098)/Basis!$E$10,((AJ1265*(J1265/Basis!$E$5)^AK1265*(((MID(C1265,9,3)*10)-244)/1000)*AL1265+AM1265*(J1265/Basis!$E$5)^2)*0.0098)/Basis!$E$10)</f>
        <v>1.1016310334415345E-3</v>
      </c>
      <c r="M1265" s="85"/>
      <c r="N1265" s="110">
        <v>1.3620000000000001</v>
      </c>
      <c r="O1265" s="74"/>
      <c r="P1265" s="73">
        <v>538</v>
      </c>
      <c r="Q1265" s="74"/>
      <c r="R1265" s="75"/>
      <c r="S1265" s="75"/>
      <c r="T1265" s="75"/>
      <c r="U1265" s="75"/>
      <c r="V1265" s="75"/>
      <c r="W1265" s="74"/>
      <c r="X1265" s="76"/>
      <c r="Y1265" s="76"/>
      <c r="Z1265" s="76"/>
      <c r="AA1265" s="76"/>
      <c r="AB1265" s="76"/>
      <c r="AC1265" s="74"/>
      <c r="AD1265" s="77"/>
      <c r="AE1265" s="77"/>
      <c r="AF1265" s="77"/>
      <c r="AG1265" s="77"/>
      <c r="AH1265" s="77"/>
      <c r="AI1265" s="68"/>
      <c r="AJ1265" s="214">
        <v>1.2760000000000001E-4</v>
      </c>
      <c r="AK1265" s="214">
        <v>1.7219</v>
      </c>
      <c r="AL1265" s="214">
        <v>2</v>
      </c>
      <c r="AM1265" s="214">
        <v>3.76611E-4</v>
      </c>
      <c r="AN1265" s="74"/>
      <c r="AO1265" s="73"/>
      <c r="AP1265" s="73"/>
      <c r="AQ1265" s="73"/>
      <c r="AR1265" s="73"/>
      <c r="AS1265" s="73"/>
      <c r="AT1265" s="74"/>
      <c r="AU1265" s="47"/>
      <c r="AV1265" s="48"/>
    </row>
    <row r="1266" spans="1:48" ht="12.75" customHeight="1" x14ac:dyDescent="0.25">
      <c r="A1266" s="72" t="s">
        <v>119</v>
      </c>
      <c r="B1266" s="43" t="s">
        <v>1154</v>
      </c>
      <c r="C1266" s="44" t="s">
        <v>1421</v>
      </c>
      <c r="D1266" s="45">
        <f>MROUND(MID($C1266,6,3)/Basis!$E$3,0.5)</f>
        <v>5.5</v>
      </c>
      <c r="E1266" s="45">
        <f>MROUND(MID($C1266,9,3)/Basis!$E$3,0.5)</f>
        <v>43.5</v>
      </c>
      <c r="F1266" s="199" t="s">
        <v>2950</v>
      </c>
      <c r="G1266" s="45">
        <f>ROUND(MID($C1266,12,2)/Basis!$E$3,1)</f>
        <v>5.5</v>
      </c>
      <c r="H1266" s="120">
        <f>ROUND($P1266*Basis!$E$2*((TaH-TrH)/LN(1/µ)/Basis!$E$7)^$N1266*$AA$4*Glycol,0)</f>
        <v>418</v>
      </c>
      <c r="I1266" s="83">
        <f>ROUND(H1266/(MID($C1266,9,3)/Basis!$E$3/Basis!$E$9)*Basis!$E$11,0)</f>
        <v>116</v>
      </c>
      <c r="J1266" s="123">
        <f>IF(Basis!$E$1=1,ROUND(H1266/((TaH-TrH)*1.163)/3600,3),ROUND(H1266/(500*(TaH-TrH)),2))</f>
        <v>0.04</v>
      </c>
      <c r="K1266" s="84"/>
      <c r="L1266" s="177">
        <f>CHOOSE(Basis!$E$1,((AJ1266*(J1266*3600/Basis!$E$5)^AK1266*(((MID(C1266,9,3)*10)-244)/1000)*AL1266+AM1266*(J1266*3600/Basis!$E$5)^2)*0.0098)/Basis!$E$10,((AJ1266*(J1266/Basis!$E$5)^AK1266*(((MID(C1266,9,3)*10)-244)/1000)*AL1266+AM1266*(J1266/Basis!$E$5)^2)*0.0098)/Basis!$E$10)</f>
        <v>3.9244017449094072E-4</v>
      </c>
      <c r="M1266" s="85"/>
      <c r="N1266" s="109">
        <v>1.3620000000000001</v>
      </c>
      <c r="O1266" s="68"/>
      <c r="P1266" s="67">
        <v>192</v>
      </c>
      <c r="Q1266" s="68"/>
      <c r="R1266" s="69"/>
      <c r="S1266" s="69"/>
      <c r="T1266" s="69"/>
      <c r="U1266" s="69"/>
      <c r="V1266" s="69"/>
      <c r="W1266" s="68"/>
      <c r="X1266" s="70"/>
      <c r="Y1266" s="70"/>
      <c r="Z1266" s="70"/>
      <c r="AA1266" s="70"/>
      <c r="AB1266" s="70"/>
      <c r="AC1266" s="68"/>
      <c r="AD1266" s="71"/>
      <c r="AE1266" s="71"/>
      <c r="AF1266" s="71"/>
      <c r="AG1266" s="71"/>
      <c r="AH1266" s="71"/>
      <c r="AI1266" s="68"/>
      <c r="AJ1266" s="214">
        <v>9.3669999999999995E-4</v>
      </c>
      <c r="AK1266" s="214">
        <v>1.789841</v>
      </c>
      <c r="AL1266" s="214">
        <v>2</v>
      </c>
      <c r="AM1266" s="214">
        <v>4.4559999999999999E-4</v>
      </c>
      <c r="AN1266" s="68"/>
      <c r="AO1266" s="67"/>
      <c r="AP1266" s="67"/>
      <c r="AQ1266" s="67"/>
      <c r="AR1266" s="67"/>
      <c r="AS1266" s="67"/>
      <c r="AT1266" s="68"/>
      <c r="AU1266" s="49"/>
      <c r="AV1266" s="50"/>
    </row>
    <row r="1267" spans="1:48" ht="12.75" customHeight="1" x14ac:dyDescent="0.25">
      <c r="A1267" s="72" t="s">
        <v>119</v>
      </c>
      <c r="B1267" s="43" t="s">
        <v>1154</v>
      </c>
      <c r="C1267" s="44" t="s">
        <v>1422</v>
      </c>
      <c r="D1267" s="45">
        <f>MROUND(MID($C1267,6,3)/Basis!$E$3,0.5)</f>
        <v>5.5</v>
      </c>
      <c r="E1267" s="45">
        <f>MROUND(MID($C1267,9,3)/Basis!$E$3,0.5)</f>
        <v>43.5</v>
      </c>
      <c r="F1267" s="199" t="s">
        <v>2950</v>
      </c>
      <c r="G1267" s="45">
        <f>ROUND(MID($C1267,12,2)/Basis!$E$3,1)</f>
        <v>10.199999999999999</v>
      </c>
      <c r="H1267" s="120">
        <f>ROUND($P1267*Basis!$E$2*((TaH-TrH)/LN(1/µ)/Basis!$E$7)^$N1267*$AA$4*Glycol,0)</f>
        <v>729</v>
      </c>
      <c r="I1267" s="83">
        <f>ROUND(H1267/(MID($C1267,9,3)/Basis!$E$3/Basis!$E$9)*Basis!$E$11,0)</f>
        <v>202</v>
      </c>
      <c r="J1267" s="123">
        <f>IF(Basis!$E$1=1,ROUND(H1267/((TaH-TrH)*1.163)/3600,3),ROUND(H1267/(500*(TaH-TrH)),2))</f>
        <v>7.0000000000000007E-2</v>
      </c>
      <c r="K1267" s="84"/>
      <c r="L1267" s="177">
        <f>CHOOSE(Basis!$E$1,((AJ1267*(J1267*3600/Basis!$E$5)^AK1267*(((MID(C1267,9,3)*10)-244)/1000)*AL1267+AM1267*(J1267*3600/Basis!$E$5)^2)*0.0098)/Basis!$E$10,((AJ1267*(J1267/Basis!$E$5)^AK1267*(((MID(C1267,9,3)*10)-244)/1000)*AL1267+AM1267*(J1267/Basis!$E$5)^2)*0.0098)/Basis!$E$10)</f>
        <v>5.7311978710874122E-4</v>
      </c>
      <c r="M1267" s="85"/>
      <c r="N1267" s="110">
        <v>1.3620000000000001</v>
      </c>
      <c r="O1267" s="74"/>
      <c r="P1267" s="73">
        <v>335</v>
      </c>
      <c r="Q1267" s="74"/>
      <c r="R1267" s="75"/>
      <c r="S1267" s="75"/>
      <c r="T1267" s="75"/>
      <c r="U1267" s="75"/>
      <c r="V1267" s="75"/>
      <c r="W1267" s="74"/>
      <c r="X1267" s="76"/>
      <c r="Y1267" s="76"/>
      <c r="Z1267" s="76"/>
      <c r="AA1267" s="76"/>
      <c r="AB1267" s="76"/>
      <c r="AC1267" s="74"/>
      <c r="AD1267" s="77"/>
      <c r="AE1267" s="77"/>
      <c r="AF1267" s="77"/>
      <c r="AG1267" s="77"/>
      <c r="AH1267" s="77"/>
      <c r="AI1267" s="68"/>
      <c r="AJ1267" s="213">
        <v>3.9689999999999994E-4</v>
      </c>
      <c r="AK1267" s="213">
        <v>1.7345999999999999</v>
      </c>
      <c r="AL1267" s="213">
        <v>2</v>
      </c>
      <c r="AM1267" s="213">
        <v>3.6734700000000002E-4</v>
      </c>
      <c r="AN1267" s="74"/>
      <c r="AO1267" s="73"/>
      <c r="AP1267" s="73"/>
      <c r="AQ1267" s="73"/>
      <c r="AR1267" s="73"/>
      <c r="AS1267" s="73"/>
      <c r="AT1267" s="74"/>
      <c r="AU1267" s="47"/>
      <c r="AV1267" s="48"/>
    </row>
    <row r="1268" spans="1:48" ht="12.75" customHeight="1" x14ac:dyDescent="0.25">
      <c r="A1268" s="72" t="s">
        <v>119</v>
      </c>
      <c r="B1268" s="43" t="s">
        <v>1154</v>
      </c>
      <c r="C1268" s="44" t="s">
        <v>1423</v>
      </c>
      <c r="D1268" s="45">
        <f>MROUND(MID($C1268,6,3)/Basis!$E$3,0.5)</f>
        <v>5.5</v>
      </c>
      <c r="E1268" s="45">
        <f>MROUND(MID($C1268,9,3)/Basis!$E$3,0.5)</f>
        <v>43.5</v>
      </c>
      <c r="F1268" s="199" t="s">
        <v>2950</v>
      </c>
      <c r="G1268" s="45">
        <f>ROUND(MID($C1268,12,2)/Basis!$E$3,1)</f>
        <v>13.4</v>
      </c>
      <c r="H1268" s="120">
        <f>ROUND($P1268*Basis!$E$2*((TaH-TrH)/LN(1/µ)/Basis!$E$7)^$N1268*$AA$4*Glycol,0)</f>
        <v>993</v>
      </c>
      <c r="I1268" s="83">
        <f>ROUND(H1268/(MID($C1268,9,3)/Basis!$E$3/Basis!$E$9)*Basis!$E$11,0)</f>
        <v>275</v>
      </c>
      <c r="J1268" s="123">
        <f>IF(Basis!$E$1=1,ROUND(H1268/((TaH-TrH)*1.163)/3600,3),ROUND(H1268/(500*(TaH-TrH)),2))</f>
        <v>0.1</v>
      </c>
      <c r="K1268" s="84"/>
      <c r="L1268" s="177">
        <f>CHOOSE(Basis!$E$1,((AJ1268*(J1268*3600/Basis!$E$5)^AK1268*(((MID(C1268,9,3)*10)-244)/1000)*AL1268+AM1268*(J1268*3600/Basis!$E$5)^2)*0.0098)/Basis!$E$10,((AJ1268*(J1268/Basis!$E$5)^AK1268*(((MID(C1268,9,3)*10)-244)/1000)*AL1268+AM1268*(J1268/Basis!$E$5)^2)*0.0098)/Basis!$E$10)</f>
        <v>1.0330092360041751E-3</v>
      </c>
      <c r="M1268" s="85"/>
      <c r="N1268" s="109">
        <v>1.3620000000000001</v>
      </c>
      <c r="O1268" s="68"/>
      <c r="P1268" s="67">
        <v>456</v>
      </c>
      <c r="Q1268" s="68"/>
      <c r="R1268" s="69"/>
      <c r="S1268" s="69"/>
      <c r="T1268" s="69"/>
      <c r="U1268" s="69"/>
      <c r="V1268" s="69"/>
      <c r="W1268" s="68"/>
      <c r="X1268" s="70"/>
      <c r="Y1268" s="70"/>
      <c r="Z1268" s="70"/>
      <c r="AA1268" s="70"/>
      <c r="AB1268" s="70"/>
      <c r="AC1268" s="68"/>
      <c r="AD1268" s="71"/>
      <c r="AE1268" s="71"/>
      <c r="AF1268" s="71"/>
      <c r="AG1268" s="71"/>
      <c r="AH1268" s="71"/>
      <c r="AI1268" s="68"/>
      <c r="AJ1268" s="214">
        <v>2.0829999999999999E-4</v>
      </c>
      <c r="AK1268" s="214">
        <v>1.724</v>
      </c>
      <c r="AL1268" s="214">
        <v>2</v>
      </c>
      <c r="AM1268" s="214">
        <v>4.6182900000000003E-4</v>
      </c>
      <c r="AN1268" s="68"/>
      <c r="AO1268" s="67"/>
      <c r="AP1268" s="67"/>
      <c r="AQ1268" s="67"/>
      <c r="AR1268" s="67"/>
      <c r="AS1268" s="67"/>
      <c r="AT1268" s="68"/>
      <c r="AU1268" s="49"/>
      <c r="AV1268" s="50"/>
    </row>
    <row r="1269" spans="1:48" ht="12.75" customHeight="1" x14ac:dyDescent="0.25">
      <c r="A1269" s="72" t="s">
        <v>119</v>
      </c>
      <c r="B1269" s="43" t="s">
        <v>1154</v>
      </c>
      <c r="C1269" s="44" t="s">
        <v>1424</v>
      </c>
      <c r="D1269" s="45">
        <f>MROUND(MID($C1269,6,3)/Basis!$E$3,0.5)</f>
        <v>5.5</v>
      </c>
      <c r="E1269" s="45">
        <f>MROUND(MID($C1269,9,3)/Basis!$E$3,0.5)</f>
        <v>43.5</v>
      </c>
      <c r="F1269" s="199" t="s">
        <v>2950</v>
      </c>
      <c r="G1269" s="45">
        <f>ROUND(MID($C1269,12,2)/Basis!$E$3,1)</f>
        <v>16.5</v>
      </c>
      <c r="H1269" s="120">
        <f>ROUND($P1269*Basis!$E$2*((TaH-TrH)/LN(1/µ)/Basis!$E$7)^$N1269*$AA$4*Glycol,0)</f>
        <v>1337</v>
      </c>
      <c r="I1269" s="83">
        <f>ROUND(H1269/(MID($C1269,9,3)/Basis!$E$3/Basis!$E$9)*Basis!$E$11,0)</f>
        <v>370</v>
      </c>
      <c r="J1269" s="123">
        <f>IF(Basis!$E$1=1,ROUND(H1269/((TaH-TrH)*1.163)/3600,3),ROUND(H1269/(500*(TaH-TrH)),2))</f>
        <v>0.13</v>
      </c>
      <c r="K1269" s="84"/>
      <c r="L1269" s="177">
        <f>CHOOSE(Basis!$E$1,((AJ1269*(J1269*3600/Basis!$E$5)^AK1269*(((MID(C1269,9,3)*10)-244)/1000)*AL1269+AM1269*(J1269*3600/Basis!$E$5)^2)*0.0098)/Basis!$E$10,((AJ1269*(J1269/Basis!$E$5)^AK1269*(((MID(C1269,9,3)*10)-244)/1000)*AL1269+AM1269*(J1269/Basis!$E$5)^2)*0.0098)/Basis!$E$10)</f>
        <v>1.3164332521861453E-3</v>
      </c>
      <c r="M1269" s="85"/>
      <c r="N1269" s="110">
        <v>1.3620000000000001</v>
      </c>
      <c r="O1269" s="74"/>
      <c r="P1269" s="73">
        <v>614</v>
      </c>
      <c r="Q1269" s="74"/>
      <c r="R1269" s="75"/>
      <c r="S1269" s="75"/>
      <c r="T1269" s="75"/>
      <c r="U1269" s="75"/>
      <c r="V1269" s="75"/>
      <c r="W1269" s="74"/>
      <c r="X1269" s="76"/>
      <c r="Y1269" s="76"/>
      <c r="Z1269" s="76"/>
      <c r="AA1269" s="76"/>
      <c r="AB1269" s="76"/>
      <c r="AC1269" s="74"/>
      <c r="AD1269" s="77"/>
      <c r="AE1269" s="77"/>
      <c r="AF1269" s="77"/>
      <c r="AG1269" s="77"/>
      <c r="AH1269" s="77"/>
      <c r="AI1269" s="68"/>
      <c r="AJ1269" s="214">
        <v>1.2760000000000001E-4</v>
      </c>
      <c r="AK1269" s="214">
        <v>1.7219</v>
      </c>
      <c r="AL1269" s="214">
        <v>2</v>
      </c>
      <c r="AM1269" s="214">
        <v>3.76611E-4</v>
      </c>
      <c r="AN1269" s="74"/>
      <c r="AO1269" s="73"/>
      <c r="AP1269" s="73"/>
      <c r="AQ1269" s="73"/>
      <c r="AR1269" s="73"/>
      <c r="AS1269" s="73"/>
      <c r="AT1269" s="74"/>
      <c r="AU1269" s="47"/>
      <c r="AV1269" s="48"/>
    </row>
    <row r="1270" spans="1:48" ht="12.75" customHeight="1" x14ac:dyDescent="0.25">
      <c r="A1270" s="72" t="s">
        <v>119</v>
      </c>
      <c r="B1270" s="43" t="s">
        <v>1154</v>
      </c>
      <c r="C1270" s="44" t="s">
        <v>1425</v>
      </c>
      <c r="D1270" s="45">
        <f>MROUND(MID($C1270,6,3)/Basis!$E$3,0.5)</f>
        <v>5.5</v>
      </c>
      <c r="E1270" s="45">
        <f>MROUND(MID($C1270,9,3)/Basis!$E$3,0.5)</f>
        <v>47</v>
      </c>
      <c r="F1270" s="199" t="s">
        <v>2950</v>
      </c>
      <c r="G1270" s="45">
        <f>ROUND(MID($C1270,12,2)/Basis!$E$3,1)</f>
        <v>5.5</v>
      </c>
      <c r="H1270" s="120">
        <f>ROUND($P1270*Basis!$E$2*((TaH-TrH)/LN(1/µ)/Basis!$E$7)^$N1270*$AA$4*Glycol,0)</f>
        <v>470</v>
      </c>
      <c r="I1270" s="83">
        <f>ROUND(H1270/(MID($C1270,9,3)/Basis!$E$3/Basis!$E$9)*Basis!$E$11,0)</f>
        <v>119</v>
      </c>
      <c r="J1270" s="123">
        <f>IF(Basis!$E$1=1,ROUND(H1270/((TaH-TrH)*1.163)/3600,3),ROUND(H1270/(500*(TaH-TrH)),2))</f>
        <v>0.05</v>
      </c>
      <c r="K1270" s="84"/>
      <c r="L1270" s="177">
        <f>CHOOSE(Basis!$E$1,((AJ1270*(J1270*3600/Basis!$E$5)^AK1270*(((MID(C1270,9,3)*10)-244)/1000)*AL1270+AM1270*(J1270*3600/Basis!$E$5)^2)*0.0098)/Basis!$E$10,((AJ1270*(J1270/Basis!$E$5)^AK1270*(((MID(C1270,9,3)*10)-244)/1000)*AL1270+AM1270*(J1270/Basis!$E$5)^2)*0.0098)/Basis!$E$10)</f>
        <v>6.4111117680743792E-4</v>
      </c>
      <c r="M1270" s="85"/>
      <c r="N1270" s="109">
        <v>1.3620000000000001</v>
      </c>
      <c r="O1270" s="68"/>
      <c r="P1270" s="67">
        <v>216</v>
      </c>
      <c r="Q1270" s="68"/>
      <c r="R1270" s="69"/>
      <c r="S1270" s="69"/>
      <c r="T1270" s="69"/>
      <c r="U1270" s="69"/>
      <c r="V1270" s="69"/>
      <c r="W1270" s="68"/>
      <c r="X1270" s="70"/>
      <c r="Y1270" s="70"/>
      <c r="Z1270" s="70"/>
      <c r="AA1270" s="70"/>
      <c r="AB1270" s="70"/>
      <c r="AC1270" s="68"/>
      <c r="AD1270" s="71"/>
      <c r="AE1270" s="71"/>
      <c r="AF1270" s="71"/>
      <c r="AG1270" s="71"/>
      <c r="AH1270" s="71"/>
      <c r="AI1270" s="68"/>
      <c r="AJ1270" s="214">
        <v>9.3669999999999995E-4</v>
      </c>
      <c r="AK1270" s="214">
        <v>1.789841</v>
      </c>
      <c r="AL1270" s="214">
        <v>2</v>
      </c>
      <c r="AM1270" s="214">
        <v>4.4559999999999999E-4</v>
      </c>
      <c r="AN1270" s="68"/>
      <c r="AO1270" s="67"/>
      <c r="AP1270" s="67"/>
      <c r="AQ1270" s="67"/>
      <c r="AR1270" s="67"/>
      <c r="AS1270" s="67"/>
      <c r="AT1270" s="68"/>
      <c r="AU1270" s="49"/>
      <c r="AV1270" s="50"/>
    </row>
    <row r="1271" spans="1:48" ht="12.75" customHeight="1" x14ac:dyDescent="0.25">
      <c r="A1271" s="72" t="s">
        <v>119</v>
      </c>
      <c r="B1271" s="43" t="s">
        <v>1154</v>
      </c>
      <c r="C1271" s="44" t="s">
        <v>1426</v>
      </c>
      <c r="D1271" s="45">
        <f>MROUND(MID($C1271,6,3)/Basis!$E$3,0.5)</f>
        <v>5.5</v>
      </c>
      <c r="E1271" s="45">
        <f>MROUND(MID($C1271,9,3)/Basis!$E$3,0.5)</f>
        <v>47</v>
      </c>
      <c r="F1271" s="199" t="s">
        <v>2950</v>
      </c>
      <c r="G1271" s="45">
        <f>ROUND(MID($C1271,12,2)/Basis!$E$3,1)</f>
        <v>10.199999999999999</v>
      </c>
      <c r="H1271" s="120">
        <f>ROUND($P1271*Basis!$E$2*((TaH-TrH)/LN(1/µ)/Basis!$E$7)^$N1271*$AA$4*Glycol,0)</f>
        <v>818</v>
      </c>
      <c r="I1271" s="83">
        <f>ROUND(H1271/(MID($C1271,9,3)/Basis!$E$3/Basis!$E$9)*Basis!$E$11,0)</f>
        <v>208</v>
      </c>
      <c r="J1271" s="123">
        <f>IF(Basis!$E$1=1,ROUND(H1271/((TaH-TrH)*1.163)/3600,3),ROUND(H1271/(500*(TaH-TrH)),2))</f>
        <v>0.08</v>
      </c>
      <c r="K1271" s="84"/>
      <c r="L1271" s="177">
        <f>CHOOSE(Basis!$E$1,((AJ1271*(J1271*3600/Basis!$E$5)^AK1271*(((MID(C1271,9,3)*10)-244)/1000)*AL1271+AM1271*(J1271*3600/Basis!$E$5)^2)*0.0098)/Basis!$E$10,((AJ1271*(J1271/Basis!$E$5)^AK1271*(((MID(C1271,9,3)*10)-244)/1000)*AL1271+AM1271*(J1271/Basis!$E$5)^2)*0.0098)/Basis!$E$10)</f>
        <v>7.75999559499665E-4</v>
      </c>
      <c r="M1271" s="85"/>
      <c r="N1271" s="110">
        <v>1.3620000000000001</v>
      </c>
      <c r="O1271" s="74"/>
      <c r="P1271" s="73">
        <v>376</v>
      </c>
      <c r="Q1271" s="74"/>
      <c r="R1271" s="75"/>
      <c r="S1271" s="75"/>
      <c r="T1271" s="75"/>
      <c r="U1271" s="75"/>
      <c r="V1271" s="75"/>
      <c r="W1271" s="74"/>
      <c r="X1271" s="76"/>
      <c r="Y1271" s="76"/>
      <c r="Z1271" s="76"/>
      <c r="AA1271" s="76"/>
      <c r="AB1271" s="76"/>
      <c r="AC1271" s="74"/>
      <c r="AD1271" s="77"/>
      <c r="AE1271" s="77"/>
      <c r="AF1271" s="77"/>
      <c r="AG1271" s="77"/>
      <c r="AH1271" s="77"/>
      <c r="AI1271" s="68"/>
      <c r="AJ1271" s="213">
        <v>3.9689999999999994E-4</v>
      </c>
      <c r="AK1271" s="213">
        <v>1.7345999999999999</v>
      </c>
      <c r="AL1271" s="213">
        <v>2</v>
      </c>
      <c r="AM1271" s="213">
        <v>3.6734700000000002E-4</v>
      </c>
      <c r="AN1271" s="74"/>
      <c r="AO1271" s="73"/>
      <c r="AP1271" s="73"/>
      <c r="AQ1271" s="73"/>
      <c r="AR1271" s="73"/>
      <c r="AS1271" s="73"/>
      <c r="AT1271" s="74"/>
      <c r="AU1271" s="47"/>
      <c r="AV1271" s="48"/>
    </row>
    <row r="1272" spans="1:48" ht="12.75" customHeight="1" x14ac:dyDescent="0.25">
      <c r="A1272" s="72" t="s">
        <v>119</v>
      </c>
      <c r="B1272" s="43" t="s">
        <v>1154</v>
      </c>
      <c r="C1272" s="44" t="s">
        <v>1427</v>
      </c>
      <c r="D1272" s="45">
        <f>MROUND(MID($C1272,6,3)/Basis!$E$3,0.5)</f>
        <v>5.5</v>
      </c>
      <c r="E1272" s="45">
        <f>MROUND(MID($C1272,9,3)/Basis!$E$3,0.5)</f>
        <v>47</v>
      </c>
      <c r="F1272" s="199" t="s">
        <v>2950</v>
      </c>
      <c r="G1272" s="45">
        <f>ROUND(MID($C1272,12,2)/Basis!$E$3,1)</f>
        <v>13.4</v>
      </c>
      <c r="H1272" s="120">
        <f>ROUND($P1272*Basis!$E$2*((TaH-TrH)/LN(1/µ)/Basis!$E$7)^$N1272*$AA$4*Glycol,0)</f>
        <v>1117</v>
      </c>
      <c r="I1272" s="83">
        <f>ROUND(H1272/(MID($C1272,9,3)/Basis!$E$3/Basis!$E$9)*Basis!$E$11,0)</f>
        <v>284</v>
      </c>
      <c r="J1272" s="123">
        <f>IF(Basis!$E$1=1,ROUND(H1272/((TaH-TrH)*1.163)/3600,3),ROUND(H1272/(500*(TaH-TrH)),2))</f>
        <v>0.11</v>
      </c>
      <c r="K1272" s="84"/>
      <c r="L1272" s="177">
        <f>CHOOSE(Basis!$E$1,((AJ1272*(J1272*3600/Basis!$E$5)^AK1272*(((MID(C1272,9,3)*10)-244)/1000)*AL1272+AM1272*(J1272*3600/Basis!$E$5)^2)*0.0098)/Basis!$E$10,((AJ1272*(J1272/Basis!$E$5)^AK1272*(((MID(C1272,9,3)*10)-244)/1000)*AL1272+AM1272*(J1272/Basis!$E$5)^2)*0.0098)/Basis!$E$10)</f>
        <v>1.2769383281852121E-3</v>
      </c>
      <c r="M1272" s="85"/>
      <c r="N1272" s="109">
        <v>1.3620000000000001</v>
      </c>
      <c r="O1272" s="68"/>
      <c r="P1272" s="67">
        <v>513</v>
      </c>
      <c r="Q1272" s="68"/>
      <c r="R1272" s="69"/>
      <c r="S1272" s="69"/>
      <c r="T1272" s="69"/>
      <c r="U1272" s="69"/>
      <c r="V1272" s="69"/>
      <c r="W1272" s="68"/>
      <c r="X1272" s="70"/>
      <c r="Y1272" s="70"/>
      <c r="Z1272" s="70"/>
      <c r="AA1272" s="70"/>
      <c r="AB1272" s="70"/>
      <c r="AC1272" s="68"/>
      <c r="AD1272" s="71"/>
      <c r="AE1272" s="71"/>
      <c r="AF1272" s="71"/>
      <c r="AG1272" s="71"/>
      <c r="AH1272" s="71"/>
      <c r="AI1272" s="68"/>
      <c r="AJ1272" s="214">
        <v>2.0829999999999999E-4</v>
      </c>
      <c r="AK1272" s="214">
        <v>1.724</v>
      </c>
      <c r="AL1272" s="214">
        <v>2</v>
      </c>
      <c r="AM1272" s="214">
        <v>4.6182900000000003E-4</v>
      </c>
      <c r="AN1272" s="68"/>
      <c r="AO1272" s="67"/>
      <c r="AP1272" s="67"/>
      <c r="AQ1272" s="67"/>
      <c r="AR1272" s="67"/>
      <c r="AS1272" s="67"/>
      <c r="AT1272" s="68"/>
      <c r="AU1272" s="49"/>
      <c r="AV1272" s="50"/>
    </row>
    <row r="1273" spans="1:48" ht="12.75" customHeight="1" x14ac:dyDescent="0.25">
      <c r="A1273" s="72" t="s">
        <v>119</v>
      </c>
      <c r="B1273" s="43" t="s">
        <v>1154</v>
      </c>
      <c r="C1273" s="44" t="s">
        <v>1428</v>
      </c>
      <c r="D1273" s="45">
        <f>MROUND(MID($C1273,6,3)/Basis!$E$3,0.5)</f>
        <v>5.5</v>
      </c>
      <c r="E1273" s="45">
        <f>MROUND(MID($C1273,9,3)/Basis!$E$3,0.5)</f>
        <v>47</v>
      </c>
      <c r="F1273" s="199" t="s">
        <v>2950</v>
      </c>
      <c r="G1273" s="45">
        <f>ROUND(MID($C1273,12,2)/Basis!$E$3,1)</f>
        <v>16.5</v>
      </c>
      <c r="H1273" s="120">
        <f>ROUND($P1273*Basis!$E$2*((TaH-TrH)/LN(1/µ)/Basis!$E$7)^$N1273*$AA$4*Glycol,0)</f>
        <v>1506</v>
      </c>
      <c r="I1273" s="83">
        <f>ROUND(H1273/(MID($C1273,9,3)/Basis!$E$3/Basis!$E$9)*Basis!$E$11,0)</f>
        <v>383</v>
      </c>
      <c r="J1273" s="123">
        <f>IF(Basis!$E$1=1,ROUND(H1273/((TaH-TrH)*1.163)/3600,3),ROUND(H1273/(500*(TaH-TrH)),2))</f>
        <v>0.15</v>
      </c>
      <c r="K1273" s="84"/>
      <c r="L1273" s="177">
        <f>CHOOSE(Basis!$E$1,((AJ1273*(J1273*3600/Basis!$E$5)^AK1273*(((MID(C1273,9,3)*10)-244)/1000)*AL1273+AM1273*(J1273*3600/Basis!$E$5)^2)*0.0098)/Basis!$E$10,((AJ1273*(J1273/Basis!$E$5)^AK1273*(((MID(C1273,9,3)*10)-244)/1000)*AL1273+AM1273*(J1273/Basis!$E$5)^2)*0.0098)/Basis!$E$10)</f>
        <v>1.7763353577556415E-3</v>
      </c>
      <c r="M1273" s="85"/>
      <c r="N1273" s="110">
        <v>1.3620000000000001</v>
      </c>
      <c r="O1273" s="74"/>
      <c r="P1273" s="73">
        <v>692</v>
      </c>
      <c r="Q1273" s="74"/>
      <c r="R1273" s="75"/>
      <c r="S1273" s="75"/>
      <c r="T1273" s="75"/>
      <c r="U1273" s="75"/>
      <c r="V1273" s="75"/>
      <c r="W1273" s="74"/>
      <c r="X1273" s="76"/>
      <c r="Y1273" s="76"/>
      <c r="Z1273" s="76"/>
      <c r="AA1273" s="76"/>
      <c r="AB1273" s="76"/>
      <c r="AC1273" s="74"/>
      <c r="AD1273" s="77"/>
      <c r="AE1273" s="77"/>
      <c r="AF1273" s="77"/>
      <c r="AG1273" s="77"/>
      <c r="AH1273" s="77"/>
      <c r="AI1273" s="68"/>
      <c r="AJ1273" s="214">
        <v>1.2760000000000001E-4</v>
      </c>
      <c r="AK1273" s="214">
        <v>1.7219</v>
      </c>
      <c r="AL1273" s="214">
        <v>2</v>
      </c>
      <c r="AM1273" s="214">
        <v>3.76611E-4</v>
      </c>
      <c r="AN1273" s="74"/>
      <c r="AO1273" s="73"/>
      <c r="AP1273" s="73"/>
      <c r="AQ1273" s="73"/>
      <c r="AR1273" s="73"/>
      <c r="AS1273" s="73"/>
      <c r="AT1273" s="74"/>
      <c r="AU1273" s="47"/>
      <c r="AV1273" s="48"/>
    </row>
    <row r="1274" spans="1:48" ht="12.75" customHeight="1" x14ac:dyDescent="0.25">
      <c r="A1274" s="72" t="s">
        <v>119</v>
      </c>
      <c r="B1274" s="43" t="s">
        <v>1154</v>
      </c>
      <c r="C1274" s="44" t="s">
        <v>1429</v>
      </c>
      <c r="D1274" s="45">
        <f>MROUND(MID($C1274,6,3)/Basis!$E$3,0.5)</f>
        <v>5.5</v>
      </c>
      <c r="E1274" s="45">
        <f>MROUND(MID($C1274,9,3)/Basis!$E$3,0.5)</f>
        <v>51</v>
      </c>
      <c r="F1274" s="199" t="s">
        <v>2950</v>
      </c>
      <c r="G1274" s="45">
        <f>ROUND(MID($C1274,12,2)/Basis!$E$3,1)</f>
        <v>5.5</v>
      </c>
      <c r="H1274" s="120">
        <f>ROUND($P1274*Basis!$E$2*((TaH-TrH)/LN(1/µ)/Basis!$E$7)^$N1274*$AA$4*Glycol,0)</f>
        <v>525</v>
      </c>
      <c r="I1274" s="83">
        <f>ROUND(H1274/(MID($C1274,9,3)/Basis!$E$3/Basis!$E$9)*Basis!$E$11,0)</f>
        <v>123</v>
      </c>
      <c r="J1274" s="123">
        <f>IF(Basis!$E$1=1,ROUND(H1274/((TaH-TrH)*1.163)/3600,3),ROUND(H1274/(500*(TaH-TrH)),2))</f>
        <v>0.05</v>
      </c>
      <c r="K1274" s="84"/>
      <c r="L1274" s="177">
        <f>CHOOSE(Basis!$E$1,((AJ1274*(J1274*3600/Basis!$E$5)^AK1274*(((MID(C1274,9,3)*10)-244)/1000)*AL1274+AM1274*(J1274*3600/Basis!$E$5)^2)*0.0098)/Basis!$E$10,((AJ1274*(J1274/Basis!$E$5)^AK1274*(((MID(C1274,9,3)*10)-244)/1000)*AL1274+AM1274*(J1274/Basis!$E$5)^2)*0.0098)/Basis!$E$10)</f>
        <v>6.8851836802721574E-4</v>
      </c>
      <c r="M1274" s="85"/>
      <c r="N1274" s="109">
        <v>1.3620000000000001</v>
      </c>
      <c r="O1274" s="68"/>
      <c r="P1274" s="67">
        <v>241</v>
      </c>
      <c r="Q1274" s="68"/>
      <c r="R1274" s="69"/>
      <c r="S1274" s="69"/>
      <c r="T1274" s="69"/>
      <c r="U1274" s="69"/>
      <c r="V1274" s="69"/>
      <c r="W1274" s="68"/>
      <c r="X1274" s="70"/>
      <c r="Y1274" s="70"/>
      <c r="Z1274" s="70"/>
      <c r="AA1274" s="70"/>
      <c r="AB1274" s="70"/>
      <c r="AC1274" s="68"/>
      <c r="AD1274" s="71"/>
      <c r="AE1274" s="71"/>
      <c r="AF1274" s="71"/>
      <c r="AG1274" s="71"/>
      <c r="AH1274" s="71"/>
      <c r="AI1274" s="68"/>
      <c r="AJ1274" s="214">
        <v>9.3669999999999995E-4</v>
      </c>
      <c r="AK1274" s="214">
        <v>1.789841</v>
      </c>
      <c r="AL1274" s="214">
        <v>2</v>
      </c>
      <c r="AM1274" s="214">
        <v>4.4559999999999999E-4</v>
      </c>
      <c r="AN1274" s="68"/>
      <c r="AO1274" s="67"/>
      <c r="AP1274" s="67"/>
      <c r="AQ1274" s="67"/>
      <c r="AR1274" s="67"/>
      <c r="AS1274" s="67"/>
      <c r="AT1274" s="68"/>
      <c r="AU1274" s="49"/>
      <c r="AV1274" s="50"/>
    </row>
    <row r="1275" spans="1:48" ht="12.75" customHeight="1" x14ac:dyDescent="0.25">
      <c r="A1275" s="72" t="s">
        <v>119</v>
      </c>
      <c r="B1275" s="43" t="s">
        <v>1154</v>
      </c>
      <c r="C1275" s="44" t="s">
        <v>1430</v>
      </c>
      <c r="D1275" s="45">
        <f>MROUND(MID($C1275,6,3)/Basis!$E$3,0.5)</f>
        <v>5.5</v>
      </c>
      <c r="E1275" s="45">
        <f>MROUND(MID($C1275,9,3)/Basis!$E$3,0.5)</f>
        <v>51</v>
      </c>
      <c r="F1275" s="199" t="s">
        <v>2950</v>
      </c>
      <c r="G1275" s="45">
        <f>ROUND(MID($C1275,12,2)/Basis!$E$3,1)</f>
        <v>10.199999999999999</v>
      </c>
      <c r="H1275" s="120">
        <f>ROUND($P1275*Basis!$E$2*((TaH-TrH)/LN(1/µ)/Basis!$E$7)^$N1275*$AA$4*Glycol,0)</f>
        <v>910</v>
      </c>
      <c r="I1275" s="83">
        <f>ROUND(H1275/(MID($C1275,9,3)/Basis!$E$3/Basis!$E$9)*Basis!$E$11,0)</f>
        <v>213</v>
      </c>
      <c r="J1275" s="123">
        <f>IF(Basis!$E$1=1,ROUND(H1275/((TaH-TrH)*1.163)/3600,3),ROUND(H1275/(500*(TaH-TrH)),2))</f>
        <v>0.09</v>
      </c>
      <c r="K1275" s="84"/>
      <c r="L1275" s="177">
        <f>CHOOSE(Basis!$E$1,((AJ1275*(J1275*3600/Basis!$E$5)^AK1275*(((MID(C1275,9,3)*10)-244)/1000)*AL1275+AM1275*(J1275*3600/Basis!$E$5)^2)*0.0098)/Basis!$E$10,((AJ1275*(J1275/Basis!$E$5)^AK1275*(((MID(C1275,9,3)*10)-244)/1000)*AL1275+AM1275*(J1275/Basis!$E$5)^2)*0.0098)/Basis!$E$10)</f>
        <v>1.0160331760501228E-3</v>
      </c>
      <c r="M1275" s="85"/>
      <c r="N1275" s="110">
        <v>1.3620000000000001</v>
      </c>
      <c r="O1275" s="74"/>
      <c r="P1275" s="73">
        <v>418</v>
      </c>
      <c r="Q1275" s="74"/>
      <c r="R1275" s="75"/>
      <c r="S1275" s="75"/>
      <c r="T1275" s="75"/>
      <c r="U1275" s="75"/>
      <c r="V1275" s="75"/>
      <c r="W1275" s="74"/>
      <c r="X1275" s="76"/>
      <c r="Y1275" s="76"/>
      <c r="Z1275" s="76"/>
      <c r="AA1275" s="76"/>
      <c r="AB1275" s="76"/>
      <c r="AC1275" s="74"/>
      <c r="AD1275" s="77"/>
      <c r="AE1275" s="77"/>
      <c r="AF1275" s="77"/>
      <c r="AG1275" s="77"/>
      <c r="AH1275" s="77"/>
      <c r="AI1275" s="68"/>
      <c r="AJ1275" s="213">
        <v>3.9689999999999994E-4</v>
      </c>
      <c r="AK1275" s="213">
        <v>1.7345999999999999</v>
      </c>
      <c r="AL1275" s="213">
        <v>2</v>
      </c>
      <c r="AM1275" s="213">
        <v>3.6734700000000002E-4</v>
      </c>
      <c r="AN1275" s="74"/>
      <c r="AO1275" s="73"/>
      <c r="AP1275" s="73"/>
      <c r="AQ1275" s="73"/>
      <c r="AR1275" s="73"/>
      <c r="AS1275" s="73"/>
      <c r="AT1275" s="74"/>
      <c r="AU1275" s="47"/>
      <c r="AV1275" s="48"/>
    </row>
    <row r="1276" spans="1:48" ht="12.75" customHeight="1" x14ac:dyDescent="0.25">
      <c r="A1276" s="72" t="s">
        <v>119</v>
      </c>
      <c r="B1276" s="43" t="s">
        <v>1154</v>
      </c>
      <c r="C1276" s="44" t="s">
        <v>1431</v>
      </c>
      <c r="D1276" s="45">
        <f>MROUND(MID($C1276,6,3)/Basis!$E$3,0.5)</f>
        <v>5.5</v>
      </c>
      <c r="E1276" s="45">
        <f>MROUND(MID($C1276,9,3)/Basis!$E$3,0.5)</f>
        <v>51</v>
      </c>
      <c r="F1276" s="199" t="s">
        <v>2950</v>
      </c>
      <c r="G1276" s="45">
        <f>ROUND(MID($C1276,12,2)/Basis!$E$3,1)</f>
        <v>13.4</v>
      </c>
      <c r="H1276" s="120">
        <f>ROUND($P1276*Basis!$E$2*((TaH-TrH)/LN(1/µ)/Basis!$E$7)^$N1276*$AA$4*Glycol,0)</f>
        <v>1239</v>
      </c>
      <c r="I1276" s="83">
        <f>ROUND(H1276/(MID($C1276,9,3)/Basis!$E$3/Basis!$E$9)*Basis!$E$11,0)</f>
        <v>290</v>
      </c>
      <c r="J1276" s="123">
        <f>IF(Basis!$E$1=1,ROUND(H1276/((TaH-TrH)*1.163)/3600,3),ROUND(H1276/(500*(TaH-TrH)),2))</f>
        <v>0.12</v>
      </c>
      <c r="K1276" s="84"/>
      <c r="L1276" s="177">
        <f>CHOOSE(Basis!$E$1,((AJ1276*(J1276*3600/Basis!$E$5)^AK1276*(((MID(C1276,9,3)*10)-244)/1000)*AL1276+AM1276*(J1276*3600/Basis!$E$5)^2)*0.0098)/Basis!$E$10,((AJ1276*(J1276/Basis!$E$5)^AK1276*(((MID(C1276,9,3)*10)-244)/1000)*AL1276+AM1276*(J1276/Basis!$E$5)^2)*0.0098)/Basis!$E$10)</f>
        <v>1.5508579216336807E-3</v>
      </c>
      <c r="M1276" s="85"/>
      <c r="N1276" s="109">
        <v>1.3620000000000001</v>
      </c>
      <c r="O1276" s="68"/>
      <c r="P1276" s="67">
        <v>569</v>
      </c>
      <c r="Q1276" s="68"/>
      <c r="R1276" s="69"/>
      <c r="S1276" s="69"/>
      <c r="T1276" s="69"/>
      <c r="U1276" s="69"/>
      <c r="V1276" s="69"/>
      <c r="W1276" s="68"/>
      <c r="X1276" s="70"/>
      <c r="Y1276" s="70"/>
      <c r="Z1276" s="70"/>
      <c r="AA1276" s="70"/>
      <c r="AB1276" s="70"/>
      <c r="AC1276" s="68"/>
      <c r="AD1276" s="71"/>
      <c r="AE1276" s="71"/>
      <c r="AF1276" s="71"/>
      <c r="AG1276" s="71"/>
      <c r="AH1276" s="71"/>
      <c r="AI1276" s="68"/>
      <c r="AJ1276" s="214">
        <v>2.0829999999999999E-4</v>
      </c>
      <c r="AK1276" s="214">
        <v>1.724</v>
      </c>
      <c r="AL1276" s="214">
        <v>2</v>
      </c>
      <c r="AM1276" s="214">
        <v>4.6182900000000003E-4</v>
      </c>
      <c r="AN1276" s="68"/>
      <c r="AO1276" s="67"/>
      <c r="AP1276" s="67"/>
      <c r="AQ1276" s="67"/>
      <c r="AR1276" s="67"/>
      <c r="AS1276" s="67"/>
      <c r="AT1276" s="68"/>
      <c r="AU1276" s="49"/>
      <c r="AV1276" s="50"/>
    </row>
    <row r="1277" spans="1:48" ht="12.75" customHeight="1" x14ac:dyDescent="0.25">
      <c r="A1277" s="72" t="s">
        <v>119</v>
      </c>
      <c r="B1277" s="43" t="s">
        <v>1154</v>
      </c>
      <c r="C1277" s="44" t="s">
        <v>1432</v>
      </c>
      <c r="D1277" s="45">
        <f>MROUND(MID($C1277,6,3)/Basis!$E$3,0.5)</f>
        <v>5.5</v>
      </c>
      <c r="E1277" s="45">
        <f>MROUND(MID($C1277,9,3)/Basis!$E$3,0.5)</f>
        <v>51</v>
      </c>
      <c r="F1277" s="199" t="s">
        <v>2950</v>
      </c>
      <c r="G1277" s="45">
        <f>ROUND(MID($C1277,12,2)/Basis!$E$3,1)</f>
        <v>16.5</v>
      </c>
      <c r="H1277" s="120">
        <f>ROUND($P1277*Basis!$E$2*((TaH-TrH)/LN(1/µ)/Basis!$E$7)^$N1277*$AA$4*Glycol,0)</f>
        <v>1672</v>
      </c>
      <c r="I1277" s="83">
        <f>ROUND(H1277/(MID($C1277,9,3)/Basis!$E$3/Basis!$E$9)*Basis!$E$11,0)</f>
        <v>392</v>
      </c>
      <c r="J1277" s="123">
        <f>IF(Basis!$E$1=1,ROUND(H1277/((TaH-TrH)*1.163)/3600,3),ROUND(H1277/(500*(TaH-TrH)),2))</f>
        <v>0.17</v>
      </c>
      <c r="K1277" s="84"/>
      <c r="L1277" s="177">
        <f>CHOOSE(Basis!$E$1,((AJ1277*(J1277*3600/Basis!$E$5)^AK1277*(((MID(C1277,9,3)*10)-244)/1000)*AL1277+AM1277*(J1277*3600/Basis!$E$5)^2)*0.0098)/Basis!$E$10,((AJ1277*(J1277/Basis!$E$5)^AK1277*(((MID(C1277,9,3)*10)-244)/1000)*AL1277+AM1277*(J1277/Basis!$E$5)^2)*0.0098)/Basis!$E$10)</f>
        <v>2.3113895621331764E-3</v>
      </c>
      <c r="M1277" s="85"/>
      <c r="N1277" s="110">
        <v>1.3620000000000001</v>
      </c>
      <c r="O1277" s="74"/>
      <c r="P1277" s="73">
        <v>768</v>
      </c>
      <c r="Q1277" s="74"/>
      <c r="R1277" s="75"/>
      <c r="S1277" s="75"/>
      <c r="T1277" s="75"/>
      <c r="U1277" s="75"/>
      <c r="V1277" s="75"/>
      <c r="W1277" s="74"/>
      <c r="X1277" s="76"/>
      <c r="Y1277" s="76"/>
      <c r="Z1277" s="76"/>
      <c r="AA1277" s="76"/>
      <c r="AB1277" s="76"/>
      <c r="AC1277" s="74"/>
      <c r="AD1277" s="77"/>
      <c r="AE1277" s="77"/>
      <c r="AF1277" s="77"/>
      <c r="AG1277" s="77"/>
      <c r="AH1277" s="77"/>
      <c r="AI1277" s="68"/>
      <c r="AJ1277" s="214">
        <v>1.2760000000000001E-4</v>
      </c>
      <c r="AK1277" s="214">
        <v>1.7219</v>
      </c>
      <c r="AL1277" s="214">
        <v>2</v>
      </c>
      <c r="AM1277" s="214">
        <v>3.76611E-4</v>
      </c>
      <c r="AN1277" s="74"/>
      <c r="AO1277" s="73"/>
      <c r="AP1277" s="73"/>
      <c r="AQ1277" s="73"/>
      <c r="AR1277" s="73"/>
      <c r="AS1277" s="73"/>
      <c r="AT1277" s="74"/>
      <c r="AU1277" s="47"/>
      <c r="AV1277" s="48"/>
    </row>
    <row r="1278" spans="1:48" ht="12.75" customHeight="1" x14ac:dyDescent="0.25">
      <c r="A1278" s="72" t="s">
        <v>119</v>
      </c>
      <c r="B1278" s="43" t="s">
        <v>1154</v>
      </c>
      <c r="C1278" s="44" t="s">
        <v>1433</v>
      </c>
      <c r="D1278" s="45">
        <f>MROUND(MID($C1278,6,3)/Basis!$E$3,0.5)</f>
        <v>5.5</v>
      </c>
      <c r="E1278" s="45">
        <f>MROUND(MID($C1278,9,3)/Basis!$E$3,0.5)</f>
        <v>59</v>
      </c>
      <c r="F1278" s="199" t="s">
        <v>2950</v>
      </c>
      <c r="G1278" s="45">
        <f>ROUND(MID($C1278,12,2)/Basis!$E$3,1)</f>
        <v>5.5</v>
      </c>
      <c r="H1278" s="120">
        <f>ROUND($P1278*Basis!$E$2*((TaH-TrH)/LN(1/µ)/Basis!$E$7)^$N1278*$AA$4*Glycol,0)</f>
        <v>629</v>
      </c>
      <c r="I1278" s="83">
        <f>ROUND(H1278/(MID($C1278,9,3)/Basis!$E$3/Basis!$E$9)*Basis!$E$11,0)</f>
        <v>128</v>
      </c>
      <c r="J1278" s="123">
        <f>IF(Basis!$E$1=1,ROUND(H1278/((TaH-TrH)*1.163)/3600,3),ROUND(H1278/(500*(TaH-TrH)),2))</f>
        <v>0.06</v>
      </c>
      <c r="K1278" s="84"/>
      <c r="L1278" s="177">
        <f>CHOOSE(Basis!$E$1,((AJ1278*(J1278*3600/Basis!$E$5)^AK1278*(((MID(C1278,9,3)*10)-244)/1000)*AL1278+AM1278*(J1278*3600/Basis!$E$5)^2)*0.0098)/Basis!$E$10,((AJ1278*(J1278/Basis!$E$5)^AK1278*(((MID(C1278,9,3)*10)-244)/1000)*AL1278+AM1278*(J1278/Basis!$E$5)^2)*0.0098)/Basis!$E$10)</f>
        <v>1.0957670599592675E-3</v>
      </c>
      <c r="M1278" s="85"/>
      <c r="N1278" s="109">
        <v>1.3620000000000001</v>
      </c>
      <c r="O1278" s="68"/>
      <c r="P1278" s="67">
        <v>289</v>
      </c>
      <c r="Q1278" s="68"/>
      <c r="R1278" s="69"/>
      <c r="S1278" s="69"/>
      <c r="T1278" s="69"/>
      <c r="U1278" s="69"/>
      <c r="V1278" s="69"/>
      <c r="W1278" s="68"/>
      <c r="X1278" s="70"/>
      <c r="Y1278" s="70"/>
      <c r="Z1278" s="70"/>
      <c r="AA1278" s="70"/>
      <c r="AB1278" s="70"/>
      <c r="AC1278" s="68"/>
      <c r="AD1278" s="71"/>
      <c r="AE1278" s="71"/>
      <c r="AF1278" s="71"/>
      <c r="AG1278" s="71"/>
      <c r="AH1278" s="71"/>
      <c r="AI1278" s="68"/>
      <c r="AJ1278" s="214">
        <v>9.3669999999999995E-4</v>
      </c>
      <c r="AK1278" s="214">
        <v>1.789841</v>
      </c>
      <c r="AL1278" s="214">
        <v>2</v>
      </c>
      <c r="AM1278" s="214">
        <v>4.4559999999999999E-4</v>
      </c>
      <c r="AN1278" s="68"/>
      <c r="AO1278" s="67"/>
      <c r="AP1278" s="67"/>
      <c r="AQ1278" s="67"/>
      <c r="AR1278" s="67"/>
      <c r="AS1278" s="67"/>
      <c r="AT1278" s="68"/>
      <c r="AU1278" s="49"/>
      <c r="AV1278" s="50"/>
    </row>
    <row r="1279" spans="1:48" ht="12.75" customHeight="1" x14ac:dyDescent="0.25">
      <c r="A1279" s="72" t="s">
        <v>119</v>
      </c>
      <c r="B1279" s="43" t="s">
        <v>1154</v>
      </c>
      <c r="C1279" s="44" t="s">
        <v>1434</v>
      </c>
      <c r="D1279" s="45">
        <f>MROUND(MID($C1279,6,3)/Basis!$E$3,0.5)</f>
        <v>5.5</v>
      </c>
      <c r="E1279" s="45">
        <f>MROUND(MID($C1279,9,3)/Basis!$E$3,0.5)</f>
        <v>59</v>
      </c>
      <c r="F1279" s="199" t="s">
        <v>2950</v>
      </c>
      <c r="G1279" s="45">
        <f>ROUND(MID($C1279,12,2)/Basis!$E$3,1)</f>
        <v>10.199999999999999</v>
      </c>
      <c r="H1279" s="120">
        <f>ROUND($P1279*Basis!$E$2*((TaH-TrH)/LN(1/µ)/Basis!$E$7)^$N1279*$AA$4*Glycol,0)</f>
        <v>1091</v>
      </c>
      <c r="I1279" s="83">
        <f>ROUND(H1279/(MID($C1279,9,3)/Basis!$E$3/Basis!$E$9)*Basis!$E$11,0)</f>
        <v>222</v>
      </c>
      <c r="J1279" s="123">
        <f>IF(Basis!$E$1=1,ROUND(H1279/((TaH-TrH)*1.163)/3600,3),ROUND(H1279/(500*(TaH-TrH)),2))</f>
        <v>0.11</v>
      </c>
      <c r="K1279" s="84"/>
      <c r="L1279" s="177">
        <f>CHOOSE(Basis!$E$1,((AJ1279*(J1279*3600/Basis!$E$5)^AK1279*(((MID(C1279,9,3)*10)-244)/1000)*AL1279+AM1279*(J1279*3600/Basis!$E$5)^2)*0.0098)/Basis!$E$10,((AJ1279*(J1279/Basis!$E$5)^AK1279*(((MID(C1279,9,3)*10)-244)/1000)*AL1279+AM1279*(J1279/Basis!$E$5)^2)*0.0098)/Basis!$E$10)</f>
        <v>1.6158637487011227E-3</v>
      </c>
      <c r="M1279" s="85"/>
      <c r="N1279" s="110">
        <v>1.3620000000000001</v>
      </c>
      <c r="O1279" s="74"/>
      <c r="P1279" s="73">
        <v>501</v>
      </c>
      <c r="Q1279" s="74"/>
      <c r="R1279" s="75"/>
      <c r="S1279" s="75"/>
      <c r="T1279" s="75"/>
      <c r="U1279" s="75"/>
      <c r="V1279" s="75"/>
      <c r="W1279" s="74"/>
      <c r="X1279" s="76"/>
      <c r="Y1279" s="76"/>
      <c r="Z1279" s="76"/>
      <c r="AA1279" s="76"/>
      <c r="AB1279" s="76"/>
      <c r="AC1279" s="74"/>
      <c r="AD1279" s="77"/>
      <c r="AE1279" s="77"/>
      <c r="AF1279" s="77"/>
      <c r="AG1279" s="77"/>
      <c r="AH1279" s="77"/>
      <c r="AI1279" s="68"/>
      <c r="AJ1279" s="213">
        <v>3.9689999999999994E-4</v>
      </c>
      <c r="AK1279" s="213">
        <v>1.7345999999999999</v>
      </c>
      <c r="AL1279" s="213">
        <v>2</v>
      </c>
      <c r="AM1279" s="213">
        <v>3.6734700000000002E-4</v>
      </c>
      <c r="AN1279" s="74"/>
      <c r="AO1279" s="73"/>
      <c r="AP1279" s="73"/>
      <c r="AQ1279" s="73"/>
      <c r="AR1279" s="73"/>
      <c r="AS1279" s="73"/>
      <c r="AT1279" s="74"/>
      <c r="AU1279" s="47"/>
      <c r="AV1279" s="48"/>
    </row>
    <row r="1280" spans="1:48" ht="12.75" customHeight="1" x14ac:dyDescent="0.25">
      <c r="A1280" s="72" t="s">
        <v>119</v>
      </c>
      <c r="B1280" s="43" t="s">
        <v>1154</v>
      </c>
      <c r="C1280" s="44" t="s">
        <v>1435</v>
      </c>
      <c r="D1280" s="45">
        <f>MROUND(MID($C1280,6,3)/Basis!$E$3,0.5)</f>
        <v>5.5</v>
      </c>
      <c r="E1280" s="45">
        <f>MROUND(MID($C1280,9,3)/Basis!$E$3,0.5)</f>
        <v>59</v>
      </c>
      <c r="F1280" s="199" t="s">
        <v>2950</v>
      </c>
      <c r="G1280" s="45">
        <f>ROUND(MID($C1280,12,2)/Basis!$E$3,1)</f>
        <v>13.4</v>
      </c>
      <c r="H1280" s="120">
        <f>ROUND($P1280*Basis!$E$2*((TaH-TrH)/LN(1/µ)/Basis!$E$7)^$N1280*$AA$4*Glycol,0)</f>
        <v>1489</v>
      </c>
      <c r="I1280" s="83">
        <f>ROUND(H1280/(MID($C1280,9,3)/Basis!$E$3/Basis!$E$9)*Basis!$E$11,0)</f>
        <v>303</v>
      </c>
      <c r="J1280" s="123">
        <f>IF(Basis!$E$1=1,ROUND(H1280/((TaH-TrH)*1.163)/3600,3),ROUND(H1280/(500*(TaH-TrH)),2))</f>
        <v>0.15</v>
      </c>
      <c r="K1280" s="84"/>
      <c r="L1280" s="177">
        <f>CHOOSE(Basis!$E$1,((AJ1280*(J1280*3600/Basis!$E$5)^AK1280*(((MID(C1280,9,3)*10)-244)/1000)*AL1280+AM1280*(J1280*3600/Basis!$E$5)^2)*0.0098)/Basis!$E$10,((AJ1280*(J1280/Basis!$E$5)^AK1280*(((MID(C1280,9,3)*10)-244)/1000)*AL1280+AM1280*(J1280/Basis!$E$5)^2)*0.0098)/Basis!$E$10)</f>
        <v>2.5025752434756003E-3</v>
      </c>
      <c r="M1280" s="85"/>
      <c r="N1280" s="109">
        <v>1.3620000000000001</v>
      </c>
      <c r="O1280" s="68"/>
      <c r="P1280" s="67">
        <v>684</v>
      </c>
      <c r="Q1280" s="68"/>
      <c r="R1280" s="69"/>
      <c r="S1280" s="69"/>
      <c r="T1280" s="69"/>
      <c r="U1280" s="69"/>
      <c r="V1280" s="69"/>
      <c r="W1280" s="68"/>
      <c r="X1280" s="70"/>
      <c r="Y1280" s="70"/>
      <c r="Z1280" s="70"/>
      <c r="AA1280" s="70"/>
      <c r="AB1280" s="70"/>
      <c r="AC1280" s="68"/>
      <c r="AD1280" s="71"/>
      <c r="AE1280" s="71"/>
      <c r="AF1280" s="71"/>
      <c r="AG1280" s="71"/>
      <c r="AH1280" s="71"/>
      <c r="AI1280" s="68"/>
      <c r="AJ1280" s="214">
        <v>2.0829999999999999E-4</v>
      </c>
      <c r="AK1280" s="214">
        <v>1.724</v>
      </c>
      <c r="AL1280" s="214">
        <v>2</v>
      </c>
      <c r="AM1280" s="214">
        <v>4.6182900000000003E-4</v>
      </c>
      <c r="AN1280" s="68"/>
      <c r="AO1280" s="67"/>
      <c r="AP1280" s="67"/>
      <c r="AQ1280" s="67"/>
      <c r="AR1280" s="67"/>
      <c r="AS1280" s="67"/>
      <c r="AT1280" s="68"/>
      <c r="AU1280" s="49"/>
      <c r="AV1280" s="50"/>
    </row>
    <row r="1281" spans="1:48" ht="12.75" customHeight="1" x14ac:dyDescent="0.25">
      <c r="A1281" s="72" t="s">
        <v>119</v>
      </c>
      <c r="B1281" s="43" t="s">
        <v>1154</v>
      </c>
      <c r="C1281" s="44" t="s">
        <v>1436</v>
      </c>
      <c r="D1281" s="45">
        <f>MROUND(MID($C1281,6,3)/Basis!$E$3,0.5)</f>
        <v>5.5</v>
      </c>
      <c r="E1281" s="45">
        <f>MROUND(MID($C1281,9,3)/Basis!$E$3,0.5)</f>
        <v>59</v>
      </c>
      <c r="F1281" s="199" t="s">
        <v>2950</v>
      </c>
      <c r="G1281" s="45">
        <f>ROUND(MID($C1281,12,2)/Basis!$E$3,1)</f>
        <v>16.5</v>
      </c>
      <c r="H1281" s="120">
        <f>ROUND($P1281*Basis!$E$2*((TaH-TrH)/LN(1/µ)/Basis!$E$7)^$N1281*$AA$4*Glycol,0)</f>
        <v>2007</v>
      </c>
      <c r="I1281" s="83">
        <f>ROUND(H1281/(MID($C1281,9,3)/Basis!$E$3/Basis!$E$9)*Basis!$E$11,0)</f>
        <v>408</v>
      </c>
      <c r="J1281" s="123">
        <f>IF(Basis!$E$1=1,ROUND(H1281/((TaH-TrH)*1.163)/3600,3),ROUND(H1281/(500*(TaH-TrH)),2))</f>
        <v>0.2</v>
      </c>
      <c r="K1281" s="84"/>
      <c r="L1281" s="177">
        <f>CHOOSE(Basis!$E$1,((AJ1281*(J1281*3600/Basis!$E$5)^AK1281*(((MID(C1281,9,3)*10)-244)/1000)*AL1281+AM1281*(J1281*3600/Basis!$E$5)^2)*0.0098)/Basis!$E$10,((AJ1281*(J1281/Basis!$E$5)^AK1281*(((MID(C1281,9,3)*10)-244)/1000)*AL1281+AM1281*(J1281/Basis!$E$5)^2)*0.0098)/Basis!$E$10)</f>
        <v>3.2892242007601922E-3</v>
      </c>
      <c r="M1281" s="85"/>
      <c r="N1281" s="110">
        <v>1.3620000000000001</v>
      </c>
      <c r="O1281" s="74"/>
      <c r="P1281" s="73">
        <v>922</v>
      </c>
      <c r="Q1281" s="74"/>
      <c r="R1281" s="75"/>
      <c r="S1281" s="75"/>
      <c r="T1281" s="75"/>
      <c r="U1281" s="75"/>
      <c r="V1281" s="75"/>
      <c r="W1281" s="74"/>
      <c r="X1281" s="76"/>
      <c r="Y1281" s="76"/>
      <c r="Z1281" s="76"/>
      <c r="AA1281" s="76"/>
      <c r="AB1281" s="76"/>
      <c r="AC1281" s="74"/>
      <c r="AD1281" s="77"/>
      <c r="AE1281" s="77"/>
      <c r="AF1281" s="77"/>
      <c r="AG1281" s="77"/>
      <c r="AH1281" s="77"/>
      <c r="AI1281" s="68"/>
      <c r="AJ1281" s="214">
        <v>1.2760000000000001E-4</v>
      </c>
      <c r="AK1281" s="214">
        <v>1.7219</v>
      </c>
      <c r="AL1281" s="214">
        <v>2</v>
      </c>
      <c r="AM1281" s="214">
        <v>3.76611E-4</v>
      </c>
      <c r="AN1281" s="74"/>
      <c r="AO1281" s="73"/>
      <c r="AP1281" s="73"/>
      <c r="AQ1281" s="73"/>
      <c r="AR1281" s="73"/>
      <c r="AS1281" s="73"/>
      <c r="AT1281" s="74"/>
      <c r="AU1281" s="47"/>
      <c r="AV1281" s="48"/>
    </row>
    <row r="1282" spans="1:48" ht="12.75" customHeight="1" x14ac:dyDescent="0.25">
      <c r="A1282" s="72" t="s">
        <v>119</v>
      </c>
      <c r="B1282" s="43" t="s">
        <v>1154</v>
      </c>
      <c r="C1282" s="44" t="s">
        <v>1437</v>
      </c>
      <c r="D1282" s="45">
        <f>MROUND(MID($C1282,6,3)/Basis!$E$3,0.5)</f>
        <v>5.5</v>
      </c>
      <c r="E1282" s="45">
        <f>MROUND(MID($C1282,9,3)/Basis!$E$3,0.5)</f>
        <v>67</v>
      </c>
      <c r="F1282" s="199" t="s">
        <v>2950</v>
      </c>
      <c r="G1282" s="45">
        <f>ROUND(MID($C1282,12,2)/Basis!$E$3,1)</f>
        <v>5.5</v>
      </c>
      <c r="H1282" s="120">
        <f>ROUND($P1282*Basis!$E$2*((TaH-TrH)/LN(1/µ)/Basis!$E$7)^$N1282*$AA$4*Glycol,0)</f>
        <v>734</v>
      </c>
      <c r="I1282" s="83">
        <f>ROUND(H1282/(MID($C1282,9,3)/Basis!$E$3/Basis!$E$9)*Basis!$E$11,0)</f>
        <v>132</v>
      </c>
      <c r="J1282" s="123">
        <f>IF(Basis!$E$1=1,ROUND(H1282/((TaH-TrH)*1.163)/3600,3),ROUND(H1282/(500*(TaH-TrH)),2))</f>
        <v>7.0000000000000007E-2</v>
      </c>
      <c r="K1282" s="84"/>
      <c r="L1282" s="177">
        <f>CHOOSE(Basis!$E$1,((AJ1282*(J1282*3600/Basis!$E$5)^AK1282*(((MID(C1282,9,3)*10)-244)/1000)*AL1282+AM1282*(J1282*3600/Basis!$E$5)^2)*0.0098)/Basis!$E$10,((AJ1282*(J1282/Basis!$E$5)^AK1282*(((MID(C1282,9,3)*10)-244)/1000)*AL1282+AM1282*(J1282/Basis!$E$5)^2)*0.0098)/Basis!$E$10)</f>
        <v>1.6288061700469381E-3</v>
      </c>
      <c r="M1282" s="85"/>
      <c r="N1282" s="109">
        <v>1.3620000000000001</v>
      </c>
      <c r="O1282" s="68"/>
      <c r="P1282" s="67">
        <v>337</v>
      </c>
      <c r="Q1282" s="68"/>
      <c r="R1282" s="69"/>
      <c r="S1282" s="69"/>
      <c r="T1282" s="69"/>
      <c r="U1282" s="69"/>
      <c r="V1282" s="69"/>
      <c r="W1282" s="68"/>
      <c r="X1282" s="70"/>
      <c r="Y1282" s="70"/>
      <c r="Z1282" s="70"/>
      <c r="AA1282" s="70"/>
      <c r="AB1282" s="70"/>
      <c r="AC1282" s="68"/>
      <c r="AD1282" s="71"/>
      <c r="AE1282" s="71"/>
      <c r="AF1282" s="71"/>
      <c r="AG1282" s="71"/>
      <c r="AH1282" s="71"/>
      <c r="AI1282" s="68"/>
      <c r="AJ1282" s="214">
        <v>9.3669999999999995E-4</v>
      </c>
      <c r="AK1282" s="214">
        <v>1.789841</v>
      </c>
      <c r="AL1282" s="214">
        <v>2</v>
      </c>
      <c r="AM1282" s="214">
        <v>4.4559999999999999E-4</v>
      </c>
      <c r="AN1282" s="68"/>
      <c r="AO1282" s="67"/>
      <c r="AP1282" s="67"/>
      <c r="AQ1282" s="67"/>
      <c r="AR1282" s="67"/>
      <c r="AS1282" s="67"/>
      <c r="AT1282" s="68"/>
      <c r="AU1282" s="49"/>
      <c r="AV1282" s="50"/>
    </row>
    <row r="1283" spans="1:48" ht="12.75" customHeight="1" x14ac:dyDescent="0.25">
      <c r="A1283" s="72" t="s">
        <v>119</v>
      </c>
      <c r="B1283" s="43" t="s">
        <v>1154</v>
      </c>
      <c r="C1283" s="44" t="s">
        <v>1438</v>
      </c>
      <c r="D1283" s="45">
        <f>MROUND(MID($C1283,6,3)/Basis!$E$3,0.5)</f>
        <v>5.5</v>
      </c>
      <c r="E1283" s="45">
        <f>MROUND(MID($C1283,9,3)/Basis!$E$3,0.5)</f>
        <v>67</v>
      </c>
      <c r="F1283" s="199" t="s">
        <v>2950</v>
      </c>
      <c r="G1283" s="45">
        <f>ROUND(MID($C1283,12,2)/Basis!$E$3,1)</f>
        <v>10.199999999999999</v>
      </c>
      <c r="H1283" s="120">
        <f>ROUND($P1283*Basis!$E$2*((TaH-TrH)/LN(1/µ)/Basis!$E$7)^$N1283*$AA$4*Glycol,0)</f>
        <v>1273</v>
      </c>
      <c r="I1283" s="83">
        <f>ROUND(H1283/(MID($C1283,9,3)/Basis!$E$3/Basis!$E$9)*Basis!$E$11,0)</f>
        <v>228</v>
      </c>
      <c r="J1283" s="123">
        <f>IF(Basis!$E$1=1,ROUND(H1283/((TaH-TrH)*1.163)/3600,3),ROUND(H1283/(500*(TaH-TrH)),2))</f>
        <v>0.13</v>
      </c>
      <c r="K1283" s="84"/>
      <c r="L1283" s="177">
        <f>CHOOSE(Basis!$E$1,((AJ1283*(J1283*3600/Basis!$E$5)^AK1283*(((MID(C1283,9,3)*10)-244)/1000)*AL1283+AM1283*(J1283*3600/Basis!$E$5)^2)*0.0098)/Basis!$E$10,((AJ1283*(J1283/Basis!$E$5)^AK1283*(((MID(C1283,9,3)*10)-244)/1000)*AL1283+AM1283*(J1283/Basis!$E$5)^2)*0.0098)/Basis!$E$10)</f>
        <v>2.3886832086016611E-3</v>
      </c>
      <c r="M1283" s="85"/>
      <c r="N1283" s="110">
        <v>1.3620000000000001</v>
      </c>
      <c r="O1283" s="74"/>
      <c r="P1283" s="73">
        <v>585</v>
      </c>
      <c r="Q1283" s="74"/>
      <c r="R1283" s="75"/>
      <c r="S1283" s="75"/>
      <c r="T1283" s="75"/>
      <c r="U1283" s="75"/>
      <c r="V1283" s="75"/>
      <c r="W1283" s="74"/>
      <c r="X1283" s="76"/>
      <c r="Y1283" s="76"/>
      <c r="Z1283" s="76"/>
      <c r="AA1283" s="76"/>
      <c r="AB1283" s="76"/>
      <c r="AC1283" s="74"/>
      <c r="AD1283" s="77"/>
      <c r="AE1283" s="77"/>
      <c r="AF1283" s="77"/>
      <c r="AG1283" s="77"/>
      <c r="AH1283" s="77"/>
      <c r="AI1283" s="68"/>
      <c r="AJ1283" s="213">
        <v>3.9689999999999994E-4</v>
      </c>
      <c r="AK1283" s="213">
        <v>1.7345999999999999</v>
      </c>
      <c r="AL1283" s="213">
        <v>2</v>
      </c>
      <c r="AM1283" s="213">
        <v>3.6734700000000002E-4</v>
      </c>
      <c r="AN1283" s="74"/>
      <c r="AO1283" s="73"/>
      <c r="AP1283" s="73"/>
      <c r="AQ1283" s="73"/>
      <c r="AR1283" s="73"/>
      <c r="AS1283" s="73"/>
      <c r="AT1283" s="74"/>
      <c r="AU1283" s="47"/>
      <c r="AV1283" s="48"/>
    </row>
    <row r="1284" spans="1:48" ht="12.75" customHeight="1" x14ac:dyDescent="0.25">
      <c r="A1284" s="72" t="s">
        <v>119</v>
      </c>
      <c r="B1284" s="43" t="s">
        <v>1154</v>
      </c>
      <c r="C1284" s="44" t="s">
        <v>1439</v>
      </c>
      <c r="D1284" s="45">
        <f>MROUND(MID($C1284,6,3)/Basis!$E$3,0.5)</f>
        <v>5.5</v>
      </c>
      <c r="E1284" s="45">
        <f>MROUND(MID($C1284,9,3)/Basis!$E$3,0.5)</f>
        <v>67</v>
      </c>
      <c r="F1284" s="199" t="s">
        <v>2950</v>
      </c>
      <c r="G1284" s="45">
        <f>ROUND(MID($C1284,12,2)/Basis!$E$3,1)</f>
        <v>13.4</v>
      </c>
      <c r="H1284" s="120">
        <f>ROUND($P1284*Basis!$E$2*((TaH-TrH)/LN(1/µ)/Basis!$E$7)^$N1284*$AA$4*Glycol,0)</f>
        <v>1735</v>
      </c>
      <c r="I1284" s="83">
        <f>ROUND(H1284/(MID($C1284,9,3)/Basis!$E$3/Basis!$E$9)*Basis!$E$11,0)</f>
        <v>311</v>
      </c>
      <c r="J1284" s="123">
        <f>IF(Basis!$E$1=1,ROUND(H1284/((TaH-TrH)*1.163)/3600,3),ROUND(H1284/(500*(TaH-TrH)),2))</f>
        <v>0.17</v>
      </c>
      <c r="K1284" s="84"/>
      <c r="L1284" s="177">
        <f>CHOOSE(Basis!$E$1,((AJ1284*(J1284*3600/Basis!$E$5)^AK1284*(((MID(C1284,9,3)*10)-244)/1000)*AL1284+AM1284*(J1284*3600/Basis!$E$5)^2)*0.0098)/Basis!$E$10,((AJ1284*(J1284/Basis!$E$5)^AK1284*(((MID(C1284,9,3)*10)-244)/1000)*AL1284+AM1284*(J1284/Basis!$E$5)^2)*0.0098)/Basis!$E$10)</f>
        <v>3.3298816017913397E-3</v>
      </c>
      <c r="M1284" s="85"/>
      <c r="N1284" s="109">
        <v>1.3620000000000001</v>
      </c>
      <c r="O1284" s="68"/>
      <c r="P1284" s="67">
        <v>797</v>
      </c>
      <c r="Q1284" s="68"/>
      <c r="R1284" s="69"/>
      <c r="S1284" s="69"/>
      <c r="T1284" s="69"/>
      <c r="U1284" s="69"/>
      <c r="V1284" s="69"/>
      <c r="W1284" s="68"/>
      <c r="X1284" s="70"/>
      <c r="Y1284" s="70"/>
      <c r="Z1284" s="70"/>
      <c r="AA1284" s="70"/>
      <c r="AB1284" s="70"/>
      <c r="AC1284" s="68"/>
      <c r="AD1284" s="71"/>
      <c r="AE1284" s="71"/>
      <c r="AF1284" s="71"/>
      <c r="AG1284" s="71"/>
      <c r="AH1284" s="71"/>
      <c r="AI1284" s="68"/>
      <c r="AJ1284" s="214">
        <v>2.0829999999999999E-4</v>
      </c>
      <c r="AK1284" s="214">
        <v>1.724</v>
      </c>
      <c r="AL1284" s="214">
        <v>2</v>
      </c>
      <c r="AM1284" s="214">
        <v>4.6182900000000003E-4</v>
      </c>
      <c r="AN1284" s="68"/>
      <c r="AO1284" s="67"/>
      <c r="AP1284" s="67"/>
      <c r="AQ1284" s="67"/>
      <c r="AR1284" s="67"/>
      <c r="AS1284" s="67"/>
      <c r="AT1284" s="68"/>
      <c r="AU1284" s="49"/>
      <c r="AV1284" s="50"/>
    </row>
    <row r="1285" spans="1:48" ht="12.75" customHeight="1" x14ac:dyDescent="0.25">
      <c r="A1285" s="72" t="s">
        <v>119</v>
      </c>
      <c r="B1285" s="43" t="s">
        <v>1154</v>
      </c>
      <c r="C1285" s="44" t="s">
        <v>1440</v>
      </c>
      <c r="D1285" s="45">
        <f>MROUND(MID($C1285,6,3)/Basis!$E$3,0.5)</f>
        <v>5.5</v>
      </c>
      <c r="E1285" s="45">
        <f>MROUND(MID($C1285,9,3)/Basis!$E$3,0.5)</f>
        <v>67</v>
      </c>
      <c r="F1285" s="199" t="s">
        <v>2950</v>
      </c>
      <c r="G1285" s="45">
        <f>ROUND(MID($C1285,12,2)/Basis!$E$3,1)</f>
        <v>16.5</v>
      </c>
      <c r="H1285" s="120">
        <f>ROUND($P1285*Basis!$E$2*((TaH-TrH)/LN(1/µ)/Basis!$E$7)^$N1285*$AA$4*Glycol,0)</f>
        <v>2340</v>
      </c>
      <c r="I1285" s="83">
        <f>ROUND(H1285/(MID($C1285,9,3)/Basis!$E$3/Basis!$E$9)*Basis!$E$11,0)</f>
        <v>420</v>
      </c>
      <c r="J1285" s="123">
        <f>IF(Basis!$E$1=1,ROUND(H1285/((TaH-TrH)*1.163)/3600,3),ROUND(H1285/(500*(TaH-TrH)),2))</f>
        <v>0.23</v>
      </c>
      <c r="K1285" s="84"/>
      <c r="L1285" s="177">
        <f>CHOOSE(Basis!$E$1,((AJ1285*(J1285*3600/Basis!$E$5)^AK1285*(((MID(C1285,9,3)*10)-244)/1000)*AL1285+AM1285*(J1285*3600/Basis!$E$5)^2)*0.0098)/Basis!$E$10,((AJ1285*(J1285/Basis!$E$5)^AK1285*(((MID(C1285,9,3)*10)-244)/1000)*AL1285+AM1285*(J1285/Basis!$E$5)^2)*0.0098)/Basis!$E$10)</f>
        <v>4.4638494406614437E-3</v>
      </c>
      <c r="M1285" s="85"/>
      <c r="N1285" s="110">
        <v>1.3620000000000001</v>
      </c>
      <c r="O1285" s="74"/>
      <c r="P1285" s="73">
        <v>1075</v>
      </c>
      <c r="Q1285" s="74"/>
      <c r="R1285" s="75"/>
      <c r="S1285" s="75"/>
      <c r="T1285" s="75"/>
      <c r="U1285" s="75"/>
      <c r="V1285" s="75"/>
      <c r="W1285" s="74"/>
      <c r="X1285" s="76"/>
      <c r="Y1285" s="76"/>
      <c r="Z1285" s="76"/>
      <c r="AA1285" s="76"/>
      <c r="AB1285" s="76"/>
      <c r="AC1285" s="74"/>
      <c r="AD1285" s="77"/>
      <c r="AE1285" s="77"/>
      <c r="AF1285" s="77"/>
      <c r="AG1285" s="77"/>
      <c r="AH1285" s="77"/>
      <c r="AI1285" s="68"/>
      <c r="AJ1285" s="214">
        <v>1.2760000000000001E-4</v>
      </c>
      <c r="AK1285" s="214">
        <v>1.7219</v>
      </c>
      <c r="AL1285" s="214">
        <v>2</v>
      </c>
      <c r="AM1285" s="214">
        <v>3.76611E-4</v>
      </c>
      <c r="AN1285" s="74"/>
      <c r="AO1285" s="73"/>
      <c r="AP1285" s="73"/>
      <c r="AQ1285" s="73"/>
      <c r="AR1285" s="73"/>
      <c r="AS1285" s="73"/>
      <c r="AT1285" s="74"/>
      <c r="AU1285" s="47"/>
      <c r="AV1285" s="48"/>
    </row>
    <row r="1286" spans="1:48" ht="12.75" customHeight="1" x14ac:dyDescent="0.25">
      <c r="A1286" s="72" t="s">
        <v>119</v>
      </c>
      <c r="B1286" s="43" t="s">
        <v>1154</v>
      </c>
      <c r="C1286" s="44" t="s">
        <v>1441</v>
      </c>
      <c r="D1286" s="45">
        <f>MROUND(MID($C1286,6,3)/Basis!$E$3,0.5)</f>
        <v>5.5</v>
      </c>
      <c r="E1286" s="45">
        <f>MROUND(MID($C1286,9,3)/Basis!$E$3,0.5)</f>
        <v>75</v>
      </c>
      <c r="F1286" s="199" t="s">
        <v>2950</v>
      </c>
      <c r="G1286" s="45">
        <f>ROUND(MID($C1286,12,2)/Basis!$E$3,1)</f>
        <v>5.5</v>
      </c>
      <c r="H1286" s="120">
        <f>ROUND($P1286*Basis!$E$2*((TaH-TrH)/LN(1/µ)/Basis!$E$7)^$N1286*$AA$4*Glycol,0)</f>
        <v>838</v>
      </c>
      <c r="I1286" s="83">
        <f>ROUND(H1286/(MID($C1286,9,3)/Basis!$E$3/Basis!$E$9)*Basis!$E$11,0)</f>
        <v>134</v>
      </c>
      <c r="J1286" s="123">
        <f>IF(Basis!$E$1=1,ROUND(H1286/((TaH-TrH)*1.163)/3600,3),ROUND(H1286/(500*(TaH-TrH)),2))</f>
        <v>0.08</v>
      </c>
      <c r="K1286" s="84"/>
      <c r="L1286" s="177">
        <f>CHOOSE(Basis!$E$1,((AJ1286*(J1286*3600/Basis!$E$5)^AK1286*(((MID(C1286,9,3)*10)-244)/1000)*AL1286+AM1286*(J1286*3600/Basis!$E$5)^2)*0.0098)/Basis!$E$10,((AJ1286*(J1286/Basis!$E$5)^AK1286*(((MID(C1286,9,3)*10)-244)/1000)*AL1286+AM1286*(J1286/Basis!$E$5)^2)*0.0098)/Basis!$E$10)</f>
        <v>2.3017555251227039E-3</v>
      </c>
      <c r="M1286" s="85"/>
      <c r="N1286" s="109">
        <v>1.3620000000000001</v>
      </c>
      <c r="O1286" s="68"/>
      <c r="P1286" s="67">
        <v>385</v>
      </c>
      <c r="Q1286" s="68"/>
      <c r="R1286" s="69"/>
      <c r="S1286" s="69"/>
      <c r="T1286" s="69"/>
      <c r="U1286" s="69"/>
      <c r="V1286" s="69"/>
      <c r="W1286" s="68"/>
      <c r="X1286" s="70"/>
      <c r="Y1286" s="70"/>
      <c r="Z1286" s="70"/>
      <c r="AA1286" s="70"/>
      <c r="AB1286" s="70"/>
      <c r="AC1286" s="68"/>
      <c r="AD1286" s="71"/>
      <c r="AE1286" s="71"/>
      <c r="AF1286" s="71"/>
      <c r="AG1286" s="71"/>
      <c r="AH1286" s="71"/>
      <c r="AI1286" s="68"/>
      <c r="AJ1286" s="214">
        <v>9.3669999999999995E-4</v>
      </c>
      <c r="AK1286" s="214">
        <v>1.789841</v>
      </c>
      <c r="AL1286" s="214">
        <v>2</v>
      </c>
      <c r="AM1286" s="214">
        <v>4.4559999999999999E-4</v>
      </c>
      <c r="AN1286" s="68"/>
      <c r="AO1286" s="67"/>
      <c r="AP1286" s="67"/>
      <c r="AQ1286" s="67"/>
      <c r="AR1286" s="67"/>
      <c r="AS1286" s="67"/>
      <c r="AT1286" s="68"/>
      <c r="AU1286" s="49"/>
      <c r="AV1286" s="50"/>
    </row>
    <row r="1287" spans="1:48" ht="12.75" customHeight="1" x14ac:dyDescent="0.25">
      <c r="A1287" s="72" t="s">
        <v>119</v>
      </c>
      <c r="B1287" s="43" t="s">
        <v>1154</v>
      </c>
      <c r="C1287" s="44" t="s">
        <v>1442</v>
      </c>
      <c r="D1287" s="45">
        <f>MROUND(MID($C1287,6,3)/Basis!$E$3,0.5)</f>
        <v>5.5</v>
      </c>
      <c r="E1287" s="45">
        <f>MROUND(MID($C1287,9,3)/Basis!$E$3,0.5)</f>
        <v>75</v>
      </c>
      <c r="F1287" s="199" t="s">
        <v>2950</v>
      </c>
      <c r="G1287" s="45">
        <f>ROUND(MID($C1287,12,2)/Basis!$E$3,1)</f>
        <v>10.199999999999999</v>
      </c>
      <c r="H1287" s="120">
        <f>ROUND($P1287*Basis!$E$2*((TaH-TrH)/LN(1/µ)/Basis!$E$7)^$N1287*$AA$4*Glycol,0)</f>
        <v>1454</v>
      </c>
      <c r="I1287" s="83">
        <f>ROUND(H1287/(MID($C1287,9,3)/Basis!$E$3/Basis!$E$9)*Basis!$E$11,0)</f>
        <v>233</v>
      </c>
      <c r="J1287" s="123">
        <f>IF(Basis!$E$1=1,ROUND(H1287/((TaH-TrH)*1.163)/3600,3),ROUND(H1287/(500*(TaH-TrH)),2))</f>
        <v>0.15</v>
      </c>
      <c r="K1287" s="84"/>
      <c r="L1287" s="177">
        <f>CHOOSE(Basis!$E$1,((AJ1287*(J1287*3600/Basis!$E$5)^AK1287*(((MID(C1287,9,3)*10)-244)/1000)*AL1287+AM1287*(J1287*3600/Basis!$E$5)^2)*0.0098)/Basis!$E$10,((AJ1287*(J1287/Basis!$E$5)^AK1287*(((MID(C1287,9,3)*10)-244)/1000)*AL1287+AM1287*(J1287/Basis!$E$5)^2)*0.0098)/Basis!$E$10)</f>
        <v>3.3498365624318408E-3</v>
      </c>
      <c r="M1287" s="85"/>
      <c r="N1287" s="110">
        <v>1.3620000000000001</v>
      </c>
      <c r="O1287" s="74"/>
      <c r="P1287" s="73">
        <v>668</v>
      </c>
      <c r="Q1287" s="74"/>
      <c r="R1287" s="75"/>
      <c r="S1287" s="75"/>
      <c r="T1287" s="75"/>
      <c r="U1287" s="75"/>
      <c r="V1287" s="75"/>
      <c r="W1287" s="74"/>
      <c r="X1287" s="76"/>
      <c r="Y1287" s="76"/>
      <c r="Z1287" s="76"/>
      <c r="AA1287" s="76"/>
      <c r="AB1287" s="76"/>
      <c r="AC1287" s="74"/>
      <c r="AD1287" s="77"/>
      <c r="AE1287" s="77"/>
      <c r="AF1287" s="77"/>
      <c r="AG1287" s="77"/>
      <c r="AH1287" s="77"/>
      <c r="AI1287" s="68"/>
      <c r="AJ1287" s="213">
        <v>3.9689999999999994E-4</v>
      </c>
      <c r="AK1287" s="213">
        <v>1.7345999999999999</v>
      </c>
      <c r="AL1287" s="213">
        <v>2</v>
      </c>
      <c r="AM1287" s="213">
        <v>3.6734700000000002E-4</v>
      </c>
      <c r="AN1287" s="74"/>
      <c r="AO1287" s="73"/>
      <c r="AP1287" s="73"/>
      <c r="AQ1287" s="73"/>
      <c r="AR1287" s="73"/>
      <c r="AS1287" s="73"/>
      <c r="AT1287" s="74"/>
      <c r="AU1287" s="47"/>
      <c r="AV1287" s="48"/>
    </row>
    <row r="1288" spans="1:48" ht="12.75" customHeight="1" x14ac:dyDescent="0.25">
      <c r="A1288" s="72" t="s">
        <v>119</v>
      </c>
      <c r="B1288" s="43" t="s">
        <v>1154</v>
      </c>
      <c r="C1288" s="44" t="s">
        <v>1443</v>
      </c>
      <c r="D1288" s="45">
        <f>MROUND(MID($C1288,6,3)/Basis!$E$3,0.5)</f>
        <v>5.5</v>
      </c>
      <c r="E1288" s="45">
        <f>MROUND(MID($C1288,9,3)/Basis!$E$3,0.5)</f>
        <v>75</v>
      </c>
      <c r="F1288" s="199" t="s">
        <v>2950</v>
      </c>
      <c r="G1288" s="45">
        <f>ROUND(MID($C1288,12,2)/Basis!$E$3,1)</f>
        <v>13.4</v>
      </c>
      <c r="H1288" s="120">
        <f>ROUND($P1288*Basis!$E$2*((TaH-TrH)/LN(1/µ)/Basis!$E$7)^$N1288*$AA$4*Glycol,0)</f>
        <v>1985</v>
      </c>
      <c r="I1288" s="83">
        <f>ROUND(H1288/(MID($C1288,9,3)/Basis!$E$3/Basis!$E$9)*Basis!$E$11,0)</f>
        <v>318</v>
      </c>
      <c r="J1288" s="123">
        <f>IF(Basis!$E$1=1,ROUND(H1288/((TaH-TrH)*1.163)/3600,3),ROUND(H1288/(500*(TaH-TrH)),2))</f>
        <v>0.2</v>
      </c>
      <c r="K1288" s="84"/>
      <c r="L1288" s="177">
        <f>CHOOSE(Basis!$E$1,((AJ1288*(J1288*3600/Basis!$E$5)^AK1288*(((MID(C1288,9,3)*10)-244)/1000)*AL1288+AM1288*(J1288*3600/Basis!$E$5)^2)*0.0098)/Basis!$E$10,((AJ1288*(J1288/Basis!$E$5)^AK1288*(((MID(C1288,9,3)*10)-244)/1000)*AL1288+AM1288*(J1288/Basis!$E$5)^2)*0.0098)/Basis!$E$10)</f>
        <v>4.7394270696365266E-3</v>
      </c>
      <c r="M1288" s="85"/>
      <c r="N1288" s="109">
        <v>1.3620000000000001</v>
      </c>
      <c r="O1288" s="68"/>
      <c r="P1288" s="67">
        <v>912</v>
      </c>
      <c r="Q1288" s="68"/>
      <c r="R1288" s="69"/>
      <c r="S1288" s="69"/>
      <c r="T1288" s="69"/>
      <c r="U1288" s="69"/>
      <c r="V1288" s="69"/>
      <c r="W1288" s="68"/>
      <c r="X1288" s="70"/>
      <c r="Y1288" s="70"/>
      <c r="Z1288" s="70"/>
      <c r="AA1288" s="70"/>
      <c r="AB1288" s="70"/>
      <c r="AC1288" s="68"/>
      <c r="AD1288" s="71"/>
      <c r="AE1288" s="71"/>
      <c r="AF1288" s="71"/>
      <c r="AG1288" s="71"/>
      <c r="AH1288" s="71"/>
      <c r="AI1288" s="68"/>
      <c r="AJ1288" s="214">
        <v>2.0829999999999999E-4</v>
      </c>
      <c r="AK1288" s="214">
        <v>1.724</v>
      </c>
      <c r="AL1288" s="214">
        <v>2</v>
      </c>
      <c r="AM1288" s="214">
        <v>4.6182900000000003E-4</v>
      </c>
      <c r="AN1288" s="68"/>
      <c r="AO1288" s="67"/>
      <c r="AP1288" s="67"/>
      <c r="AQ1288" s="67"/>
      <c r="AR1288" s="67"/>
      <c r="AS1288" s="67"/>
      <c r="AT1288" s="68"/>
      <c r="AU1288" s="49"/>
      <c r="AV1288" s="50"/>
    </row>
    <row r="1289" spans="1:48" ht="12.75" customHeight="1" x14ac:dyDescent="0.25">
      <c r="A1289" s="72" t="s">
        <v>119</v>
      </c>
      <c r="B1289" s="43" t="s">
        <v>1154</v>
      </c>
      <c r="C1289" s="44" t="s">
        <v>1444</v>
      </c>
      <c r="D1289" s="45">
        <f>MROUND(MID($C1289,6,3)/Basis!$E$3,0.5)</f>
        <v>5.5</v>
      </c>
      <c r="E1289" s="45">
        <f>MROUND(MID($C1289,9,3)/Basis!$E$3,0.5)</f>
        <v>75</v>
      </c>
      <c r="F1289" s="199" t="s">
        <v>2950</v>
      </c>
      <c r="G1289" s="45">
        <f>ROUND(MID($C1289,12,2)/Basis!$E$3,1)</f>
        <v>16.5</v>
      </c>
      <c r="H1289" s="120">
        <f>ROUND($P1289*Basis!$E$2*((TaH-TrH)/LN(1/µ)/Basis!$E$7)^$N1289*$AA$4*Glycol,0)</f>
        <v>2675</v>
      </c>
      <c r="I1289" s="83">
        <f>ROUND(H1289/(MID($C1289,9,3)/Basis!$E$3/Basis!$E$9)*Basis!$E$11,0)</f>
        <v>429</v>
      </c>
      <c r="J1289" s="123">
        <f>IF(Basis!$E$1=1,ROUND(H1289/((TaH-TrH)*1.163)/3600,3),ROUND(H1289/(500*(TaH-TrH)),2))</f>
        <v>0.27</v>
      </c>
      <c r="K1289" s="84"/>
      <c r="L1289" s="177">
        <f>CHOOSE(Basis!$E$1,((AJ1289*(J1289*3600/Basis!$E$5)^AK1289*(((MID(C1289,9,3)*10)-244)/1000)*AL1289+AM1289*(J1289*3600/Basis!$E$5)^2)*0.0098)/Basis!$E$10,((AJ1289*(J1289/Basis!$E$5)^AK1289*(((MID(C1289,9,3)*10)-244)/1000)*AL1289+AM1289*(J1289/Basis!$E$5)^2)*0.0098)/Basis!$E$10)</f>
        <v>6.2849604289720038E-3</v>
      </c>
      <c r="M1289" s="85"/>
      <c r="N1289" s="110">
        <v>1.3620000000000001</v>
      </c>
      <c r="O1289" s="74"/>
      <c r="P1289" s="73">
        <v>1229</v>
      </c>
      <c r="Q1289" s="74"/>
      <c r="R1289" s="75"/>
      <c r="S1289" s="75"/>
      <c r="T1289" s="75"/>
      <c r="U1289" s="75"/>
      <c r="V1289" s="75"/>
      <c r="W1289" s="74"/>
      <c r="X1289" s="76"/>
      <c r="Y1289" s="76"/>
      <c r="Z1289" s="76"/>
      <c r="AA1289" s="76"/>
      <c r="AB1289" s="76"/>
      <c r="AC1289" s="74"/>
      <c r="AD1289" s="77"/>
      <c r="AE1289" s="77"/>
      <c r="AF1289" s="77"/>
      <c r="AG1289" s="77"/>
      <c r="AH1289" s="77"/>
      <c r="AI1289" s="68"/>
      <c r="AJ1289" s="214">
        <v>1.2760000000000001E-4</v>
      </c>
      <c r="AK1289" s="214">
        <v>1.7219</v>
      </c>
      <c r="AL1289" s="214">
        <v>2</v>
      </c>
      <c r="AM1289" s="214">
        <v>3.76611E-4</v>
      </c>
      <c r="AN1289" s="74"/>
      <c r="AO1289" s="73"/>
      <c r="AP1289" s="73"/>
      <c r="AQ1289" s="73"/>
      <c r="AR1289" s="73"/>
      <c r="AS1289" s="73"/>
      <c r="AT1289" s="74"/>
      <c r="AU1289" s="47"/>
      <c r="AV1289" s="48"/>
    </row>
    <row r="1290" spans="1:48" ht="12.75" customHeight="1" x14ac:dyDescent="0.25">
      <c r="A1290" s="72" t="s">
        <v>119</v>
      </c>
      <c r="B1290" s="43" t="s">
        <v>1154</v>
      </c>
      <c r="C1290" s="44" t="s">
        <v>1445</v>
      </c>
      <c r="D1290" s="45">
        <f>MROUND(MID($C1290,6,3)/Basis!$E$3,0.5)</f>
        <v>5.5</v>
      </c>
      <c r="E1290" s="45">
        <f>MROUND(MID($C1290,9,3)/Basis!$E$3,0.5)</f>
        <v>82.5</v>
      </c>
      <c r="F1290" s="199" t="s">
        <v>2950</v>
      </c>
      <c r="G1290" s="45">
        <f>ROUND(MID($C1290,12,2)/Basis!$E$3,1)</f>
        <v>5.5</v>
      </c>
      <c r="H1290" s="120">
        <f>ROUND($P1290*Basis!$E$2*((TaH-TrH)/LN(1/µ)/Basis!$E$7)^$N1290*$AA$4*Glycol,0)</f>
        <v>943</v>
      </c>
      <c r="I1290" s="83">
        <f>ROUND(H1290/(MID($C1290,9,3)/Basis!$E$3/Basis!$E$9)*Basis!$E$11,0)</f>
        <v>137</v>
      </c>
      <c r="J1290" s="123">
        <f>IF(Basis!$E$1=1,ROUND(H1290/((TaH-TrH)*1.163)/3600,3),ROUND(H1290/(500*(TaH-TrH)),2))</f>
        <v>0.09</v>
      </c>
      <c r="K1290" s="84"/>
      <c r="L1290" s="177">
        <f>CHOOSE(Basis!$E$1,((AJ1290*(J1290*3600/Basis!$E$5)^AK1290*(((MID(C1290,9,3)*10)-244)/1000)*AL1290+AM1290*(J1290*3600/Basis!$E$5)^2)*0.0098)/Basis!$E$10,((AJ1290*(J1290/Basis!$E$5)^AK1290*(((MID(C1290,9,3)*10)-244)/1000)*AL1290+AM1290*(J1290/Basis!$E$5)^2)*0.0098)/Basis!$E$10)</f>
        <v>3.1283200902156591E-3</v>
      </c>
      <c r="M1290" s="85"/>
      <c r="N1290" s="109">
        <v>1.3620000000000001</v>
      </c>
      <c r="O1290" s="68"/>
      <c r="P1290" s="67">
        <v>433</v>
      </c>
      <c r="Q1290" s="68"/>
      <c r="R1290" s="69"/>
      <c r="S1290" s="69"/>
      <c r="T1290" s="69"/>
      <c r="U1290" s="69"/>
      <c r="V1290" s="69"/>
      <c r="W1290" s="68"/>
      <c r="X1290" s="70"/>
      <c r="Y1290" s="70"/>
      <c r="Z1290" s="70"/>
      <c r="AA1290" s="70"/>
      <c r="AB1290" s="70"/>
      <c r="AC1290" s="68"/>
      <c r="AD1290" s="71"/>
      <c r="AE1290" s="71"/>
      <c r="AF1290" s="71"/>
      <c r="AG1290" s="71"/>
      <c r="AH1290" s="71"/>
      <c r="AI1290" s="68"/>
      <c r="AJ1290" s="214">
        <v>9.3669999999999995E-4</v>
      </c>
      <c r="AK1290" s="214">
        <v>1.789841</v>
      </c>
      <c r="AL1290" s="214">
        <v>2</v>
      </c>
      <c r="AM1290" s="214">
        <v>4.4559999999999999E-4</v>
      </c>
      <c r="AN1290" s="68"/>
      <c r="AO1290" s="67"/>
      <c r="AP1290" s="67"/>
      <c r="AQ1290" s="67"/>
      <c r="AR1290" s="67"/>
      <c r="AS1290" s="67"/>
      <c r="AT1290" s="68"/>
      <c r="AU1290" s="49"/>
      <c r="AV1290" s="50"/>
    </row>
    <row r="1291" spans="1:48" ht="12.75" customHeight="1" x14ac:dyDescent="0.25">
      <c r="A1291" s="72" t="s">
        <v>119</v>
      </c>
      <c r="B1291" s="43" t="s">
        <v>1154</v>
      </c>
      <c r="C1291" s="44" t="s">
        <v>1446</v>
      </c>
      <c r="D1291" s="45">
        <f>MROUND(MID($C1291,6,3)/Basis!$E$3,0.5)</f>
        <v>5.5</v>
      </c>
      <c r="E1291" s="45">
        <f>MROUND(MID($C1291,9,3)/Basis!$E$3,0.5)</f>
        <v>82.5</v>
      </c>
      <c r="F1291" s="199" t="s">
        <v>2950</v>
      </c>
      <c r="G1291" s="45">
        <f>ROUND(MID($C1291,12,2)/Basis!$E$3,1)</f>
        <v>10.199999999999999</v>
      </c>
      <c r="H1291" s="120">
        <f>ROUND($P1291*Basis!$E$2*((TaH-TrH)/LN(1/µ)/Basis!$E$7)^$N1291*$AA$4*Glycol,0)</f>
        <v>1637</v>
      </c>
      <c r="I1291" s="83">
        <f>ROUND(H1291/(MID($C1291,9,3)/Basis!$E$3/Basis!$E$9)*Basis!$E$11,0)</f>
        <v>238</v>
      </c>
      <c r="J1291" s="123">
        <f>IF(Basis!$E$1=1,ROUND(H1291/((TaH-TrH)*1.163)/3600,3),ROUND(H1291/(500*(TaH-TrH)),2))</f>
        <v>0.16</v>
      </c>
      <c r="K1291" s="84"/>
      <c r="L1291" s="177">
        <f>CHOOSE(Basis!$E$1,((AJ1291*(J1291*3600/Basis!$E$5)^AK1291*(((MID(C1291,9,3)*10)-244)/1000)*AL1291+AM1291*(J1291*3600/Basis!$E$5)^2)*0.0098)/Basis!$E$10,((AJ1291*(J1291/Basis!$E$5)^AK1291*(((MID(C1291,9,3)*10)-244)/1000)*AL1291+AM1291*(J1291/Basis!$E$5)^2)*0.0098)/Basis!$E$10)</f>
        <v>4.0377579651675816E-3</v>
      </c>
      <c r="M1291" s="85"/>
      <c r="N1291" s="110">
        <v>1.3620000000000001</v>
      </c>
      <c r="O1291" s="74"/>
      <c r="P1291" s="73">
        <v>752</v>
      </c>
      <c r="Q1291" s="74"/>
      <c r="R1291" s="75"/>
      <c r="S1291" s="75"/>
      <c r="T1291" s="75"/>
      <c r="U1291" s="75"/>
      <c r="V1291" s="75"/>
      <c r="W1291" s="74"/>
      <c r="X1291" s="76"/>
      <c r="Y1291" s="76"/>
      <c r="Z1291" s="76"/>
      <c r="AA1291" s="76"/>
      <c r="AB1291" s="76"/>
      <c r="AC1291" s="74"/>
      <c r="AD1291" s="77"/>
      <c r="AE1291" s="77"/>
      <c r="AF1291" s="77"/>
      <c r="AG1291" s="77"/>
      <c r="AH1291" s="77"/>
      <c r="AI1291" s="68"/>
      <c r="AJ1291" s="213">
        <v>3.9689999999999994E-4</v>
      </c>
      <c r="AK1291" s="213">
        <v>1.7345999999999999</v>
      </c>
      <c r="AL1291" s="213">
        <v>2</v>
      </c>
      <c r="AM1291" s="213">
        <v>3.6734700000000002E-4</v>
      </c>
      <c r="AN1291" s="74"/>
      <c r="AO1291" s="73"/>
      <c r="AP1291" s="73"/>
      <c r="AQ1291" s="73"/>
      <c r="AR1291" s="73"/>
      <c r="AS1291" s="73"/>
      <c r="AT1291" s="74"/>
      <c r="AU1291" s="47"/>
      <c r="AV1291" s="48"/>
    </row>
    <row r="1292" spans="1:48" ht="12.75" customHeight="1" x14ac:dyDescent="0.25">
      <c r="A1292" s="72" t="s">
        <v>119</v>
      </c>
      <c r="B1292" s="43" t="s">
        <v>1154</v>
      </c>
      <c r="C1292" s="44" t="s">
        <v>1447</v>
      </c>
      <c r="D1292" s="45">
        <f>MROUND(MID($C1292,6,3)/Basis!$E$3,0.5)</f>
        <v>5.5</v>
      </c>
      <c r="E1292" s="45">
        <f>MROUND(MID($C1292,9,3)/Basis!$E$3,0.5)</f>
        <v>82.5</v>
      </c>
      <c r="F1292" s="199" t="s">
        <v>2950</v>
      </c>
      <c r="G1292" s="45">
        <f>ROUND(MID($C1292,12,2)/Basis!$E$3,1)</f>
        <v>13.4</v>
      </c>
      <c r="H1292" s="120">
        <f>ROUND($P1292*Basis!$E$2*((TaH-TrH)/LN(1/µ)/Basis!$E$7)^$N1292*$AA$4*Glycol,0)</f>
        <v>2231</v>
      </c>
      <c r="I1292" s="83">
        <f>ROUND(H1292/(MID($C1292,9,3)/Basis!$E$3/Basis!$E$9)*Basis!$E$11,0)</f>
        <v>324</v>
      </c>
      <c r="J1292" s="123">
        <f>IF(Basis!$E$1=1,ROUND(H1292/((TaH-TrH)*1.163)/3600,3),ROUND(H1292/(500*(TaH-TrH)),2))</f>
        <v>0.22</v>
      </c>
      <c r="K1292" s="84"/>
      <c r="L1292" s="177">
        <f>CHOOSE(Basis!$E$1,((AJ1292*(J1292*3600/Basis!$E$5)^AK1292*(((MID(C1292,9,3)*10)-244)/1000)*AL1292+AM1292*(J1292*3600/Basis!$E$5)^2)*0.0098)/Basis!$E$10,((AJ1292*(J1292/Basis!$E$5)^AK1292*(((MID(C1292,9,3)*10)-244)/1000)*AL1292+AM1292*(J1292/Basis!$E$5)^2)*0.0098)/Basis!$E$10)</f>
        <v>5.9148022811615951E-3</v>
      </c>
      <c r="M1292" s="85"/>
      <c r="N1292" s="109">
        <v>1.3620000000000001</v>
      </c>
      <c r="O1292" s="68"/>
      <c r="P1292" s="67">
        <v>1025</v>
      </c>
      <c r="Q1292" s="68"/>
      <c r="R1292" s="69"/>
      <c r="S1292" s="69"/>
      <c r="T1292" s="69"/>
      <c r="U1292" s="69"/>
      <c r="V1292" s="69"/>
      <c r="W1292" s="68"/>
      <c r="X1292" s="70"/>
      <c r="Y1292" s="70"/>
      <c r="Z1292" s="70"/>
      <c r="AA1292" s="70"/>
      <c r="AB1292" s="70"/>
      <c r="AC1292" s="68"/>
      <c r="AD1292" s="71"/>
      <c r="AE1292" s="71"/>
      <c r="AF1292" s="71"/>
      <c r="AG1292" s="71"/>
      <c r="AH1292" s="71"/>
      <c r="AI1292" s="68"/>
      <c r="AJ1292" s="214">
        <v>2.0829999999999999E-4</v>
      </c>
      <c r="AK1292" s="214">
        <v>1.724</v>
      </c>
      <c r="AL1292" s="214">
        <v>2</v>
      </c>
      <c r="AM1292" s="214">
        <v>4.6182900000000003E-4</v>
      </c>
      <c r="AN1292" s="68"/>
      <c r="AO1292" s="67"/>
      <c r="AP1292" s="67"/>
      <c r="AQ1292" s="67"/>
      <c r="AR1292" s="67"/>
      <c r="AS1292" s="67"/>
      <c r="AT1292" s="68"/>
      <c r="AU1292" s="49"/>
      <c r="AV1292" s="50"/>
    </row>
    <row r="1293" spans="1:48" ht="12.75" customHeight="1" x14ac:dyDescent="0.25">
      <c r="A1293" s="72" t="s">
        <v>119</v>
      </c>
      <c r="B1293" s="43" t="s">
        <v>1154</v>
      </c>
      <c r="C1293" s="44" t="s">
        <v>1448</v>
      </c>
      <c r="D1293" s="45">
        <f>MROUND(MID($C1293,6,3)/Basis!$E$3,0.5)</f>
        <v>5.5</v>
      </c>
      <c r="E1293" s="45">
        <f>MROUND(MID($C1293,9,3)/Basis!$E$3,0.5)</f>
        <v>82.5</v>
      </c>
      <c r="F1293" s="199" t="s">
        <v>2950</v>
      </c>
      <c r="G1293" s="45">
        <f>ROUND(MID($C1293,12,2)/Basis!$E$3,1)</f>
        <v>16.5</v>
      </c>
      <c r="H1293" s="120">
        <f>ROUND($P1293*Basis!$E$2*((TaH-TrH)/LN(1/µ)/Basis!$E$7)^$N1293*$AA$4*Glycol,0)</f>
        <v>3008</v>
      </c>
      <c r="I1293" s="83">
        <f>ROUND(H1293/(MID($C1293,9,3)/Basis!$E$3/Basis!$E$9)*Basis!$E$11,0)</f>
        <v>437</v>
      </c>
      <c r="J1293" s="123">
        <f>IF(Basis!$E$1=1,ROUND(H1293/((TaH-TrH)*1.163)/3600,3),ROUND(H1293/(500*(TaH-TrH)),2))</f>
        <v>0.3</v>
      </c>
      <c r="K1293" s="84"/>
      <c r="L1293" s="177">
        <f>CHOOSE(Basis!$E$1,((AJ1293*(J1293*3600/Basis!$E$5)^AK1293*(((MID(C1293,9,3)*10)-244)/1000)*AL1293+AM1293*(J1293*3600/Basis!$E$5)^2)*0.0098)/Basis!$E$10,((AJ1293*(J1293/Basis!$E$5)^AK1293*(((MID(C1293,9,3)*10)-244)/1000)*AL1293+AM1293*(J1293/Basis!$E$5)^2)*0.0098)/Basis!$E$10)</f>
        <v>7.9397558734775019E-3</v>
      </c>
      <c r="M1293" s="85"/>
      <c r="N1293" s="110">
        <v>1.3620000000000001</v>
      </c>
      <c r="O1293" s="74"/>
      <c r="P1293" s="73">
        <v>1382</v>
      </c>
      <c r="Q1293" s="74"/>
      <c r="R1293" s="75"/>
      <c r="S1293" s="75"/>
      <c r="T1293" s="75"/>
      <c r="U1293" s="75"/>
      <c r="V1293" s="75"/>
      <c r="W1293" s="74"/>
      <c r="X1293" s="76"/>
      <c r="Y1293" s="76"/>
      <c r="Z1293" s="76"/>
      <c r="AA1293" s="76"/>
      <c r="AB1293" s="76"/>
      <c r="AC1293" s="74"/>
      <c r="AD1293" s="77"/>
      <c r="AE1293" s="77"/>
      <c r="AF1293" s="77"/>
      <c r="AG1293" s="77"/>
      <c r="AH1293" s="77"/>
      <c r="AI1293" s="68"/>
      <c r="AJ1293" s="214">
        <v>1.2760000000000001E-4</v>
      </c>
      <c r="AK1293" s="214">
        <v>1.7219</v>
      </c>
      <c r="AL1293" s="214">
        <v>2</v>
      </c>
      <c r="AM1293" s="214">
        <v>3.76611E-4</v>
      </c>
      <c r="AN1293" s="74"/>
      <c r="AO1293" s="73"/>
      <c r="AP1293" s="73"/>
      <c r="AQ1293" s="73"/>
      <c r="AR1293" s="73"/>
      <c r="AS1293" s="73"/>
      <c r="AT1293" s="74"/>
      <c r="AU1293" s="47"/>
      <c r="AV1293" s="48"/>
    </row>
    <row r="1294" spans="1:48" ht="12.75" customHeight="1" x14ac:dyDescent="0.25">
      <c r="A1294" s="72" t="s">
        <v>119</v>
      </c>
      <c r="B1294" s="43" t="s">
        <v>1154</v>
      </c>
      <c r="C1294" s="44" t="s">
        <v>1449</v>
      </c>
      <c r="D1294" s="45">
        <f>MROUND(MID($C1294,6,3)/Basis!$E$3,0.5)</f>
        <v>5.5</v>
      </c>
      <c r="E1294" s="45">
        <f>MROUND(MID($C1294,9,3)/Basis!$E$3,0.5)</f>
        <v>90.5</v>
      </c>
      <c r="F1294" s="199" t="s">
        <v>2950</v>
      </c>
      <c r="G1294" s="45">
        <f>ROUND(MID($C1294,12,2)/Basis!$E$3,1)</f>
        <v>5.5</v>
      </c>
      <c r="H1294" s="120">
        <f>ROUND($P1294*Basis!$E$2*((TaH-TrH)/LN(1/µ)/Basis!$E$7)^$N1294*$AA$4*Glycol,0)</f>
        <v>1047</v>
      </c>
      <c r="I1294" s="83">
        <f>ROUND(H1294/(MID($C1294,9,3)/Basis!$E$3/Basis!$E$9)*Basis!$E$11,0)</f>
        <v>139</v>
      </c>
      <c r="J1294" s="123">
        <f>IF(Basis!$E$1=1,ROUND(H1294/((TaH-TrH)*1.163)/3600,3),ROUND(H1294/(500*(TaH-TrH)),2))</f>
        <v>0.1</v>
      </c>
      <c r="K1294" s="84"/>
      <c r="L1294" s="177">
        <f>CHOOSE(Basis!$E$1,((AJ1294*(J1294*3600/Basis!$E$5)^AK1294*(((MID(C1294,9,3)*10)-244)/1000)*AL1294+AM1294*(J1294*3600/Basis!$E$5)^2)*0.0098)/Basis!$E$10,((AJ1294*(J1294/Basis!$E$5)^AK1294*(((MID(C1294,9,3)*10)-244)/1000)*AL1294+AM1294*(J1294/Basis!$E$5)^2)*0.0098)/Basis!$E$10)</f>
        <v>4.1218518356379123E-3</v>
      </c>
      <c r="M1294" s="85"/>
      <c r="N1294" s="109">
        <v>1.3620000000000001</v>
      </c>
      <c r="O1294" s="68"/>
      <c r="P1294" s="67">
        <v>481</v>
      </c>
      <c r="Q1294" s="68"/>
      <c r="R1294" s="69"/>
      <c r="S1294" s="69"/>
      <c r="T1294" s="69"/>
      <c r="U1294" s="69"/>
      <c r="V1294" s="69"/>
      <c r="W1294" s="68"/>
      <c r="X1294" s="70"/>
      <c r="Y1294" s="70"/>
      <c r="Z1294" s="70"/>
      <c r="AA1294" s="70"/>
      <c r="AB1294" s="70"/>
      <c r="AC1294" s="68"/>
      <c r="AD1294" s="71"/>
      <c r="AE1294" s="71"/>
      <c r="AF1294" s="71"/>
      <c r="AG1294" s="71"/>
      <c r="AH1294" s="71"/>
      <c r="AI1294" s="68"/>
      <c r="AJ1294" s="214">
        <v>9.3669999999999995E-4</v>
      </c>
      <c r="AK1294" s="214">
        <v>1.789841</v>
      </c>
      <c r="AL1294" s="214">
        <v>2</v>
      </c>
      <c r="AM1294" s="214">
        <v>4.4559999999999999E-4</v>
      </c>
      <c r="AN1294" s="68"/>
      <c r="AO1294" s="67"/>
      <c r="AP1294" s="67"/>
      <c r="AQ1294" s="67"/>
      <c r="AR1294" s="67"/>
      <c r="AS1294" s="67"/>
      <c r="AT1294" s="68"/>
      <c r="AU1294" s="49"/>
      <c r="AV1294" s="50"/>
    </row>
    <row r="1295" spans="1:48" ht="12.75" customHeight="1" x14ac:dyDescent="0.25">
      <c r="A1295" s="72" t="s">
        <v>119</v>
      </c>
      <c r="B1295" s="43" t="s">
        <v>1154</v>
      </c>
      <c r="C1295" s="44" t="s">
        <v>1450</v>
      </c>
      <c r="D1295" s="45">
        <f>MROUND(MID($C1295,6,3)/Basis!$E$3,0.5)</f>
        <v>5.5</v>
      </c>
      <c r="E1295" s="45">
        <f>MROUND(MID($C1295,9,3)/Basis!$E$3,0.5)</f>
        <v>90.5</v>
      </c>
      <c r="F1295" s="199" t="s">
        <v>2950</v>
      </c>
      <c r="G1295" s="45">
        <f>ROUND(MID($C1295,12,2)/Basis!$E$3,1)</f>
        <v>10.199999999999999</v>
      </c>
      <c r="H1295" s="120">
        <f>ROUND($P1295*Basis!$E$2*((TaH-TrH)/LN(1/µ)/Basis!$E$7)^$N1295*$AA$4*Glycol,0)</f>
        <v>1818</v>
      </c>
      <c r="I1295" s="83">
        <f>ROUND(H1295/(MID($C1295,9,3)/Basis!$E$3/Basis!$E$9)*Basis!$E$11,0)</f>
        <v>241</v>
      </c>
      <c r="J1295" s="123">
        <f>IF(Basis!$E$1=1,ROUND(H1295/((TaH-TrH)*1.163)/3600,3),ROUND(H1295/(500*(TaH-TrH)),2))</f>
        <v>0.18</v>
      </c>
      <c r="K1295" s="84"/>
      <c r="L1295" s="177">
        <f>CHOOSE(Basis!$E$1,((AJ1295*(J1295*3600/Basis!$E$5)^AK1295*(((MID(C1295,9,3)*10)-244)/1000)*AL1295+AM1295*(J1295*3600/Basis!$E$5)^2)*0.0098)/Basis!$E$10,((AJ1295*(J1295/Basis!$E$5)^AK1295*(((MID(C1295,9,3)*10)-244)/1000)*AL1295+AM1295*(J1295/Basis!$E$5)^2)*0.0098)/Basis!$E$10)</f>
        <v>5.3388564803159089E-3</v>
      </c>
      <c r="M1295" s="85"/>
      <c r="N1295" s="110">
        <v>1.3620000000000001</v>
      </c>
      <c r="O1295" s="74"/>
      <c r="P1295" s="73">
        <v>835</v>
      </c>
      <c r="Q1295" s="74"/>
      <c r="R1295" s="75"/>
      <c r="S1295" s="75"/>
      <c r="T1295" s="75"/>
      <c r="U1295" s="75"/>
      <c r="V1295" s="75"/>
      <c r="W1295" s="74"/>
      <c r="X1295" s="76"/>
      <c r="Y1295" s="76"/>
      <c r="Z1295" s="76"/>
      <c r="AA1295" s="76"/>
      <c r="AB1295" s="76"/>
      <c r="AC1295" s="74"/>
      <c r="AD1295" s="77"/>
      <c r="AE1295" s="77"/>
      <c r="AF1295" s="77"/>
      <c r="AG1295" s="77"/>
      <c r="AH1295" s="77"/>
      <c r="AI1295" s="68"/>
      <c r="AJ1295" s="213">
        <v>3.9689999999999994E-4</v>
      </c>
      <c r="AK1295" s="213">
        <v>1.7345999999999999</v>
      </c>
      <c r="AL1295" s="213">
        <v>2</v>
      </c>
      <c r="AM1295" s="213">
        <v>3.6734700000000002E-4</v>
      </c>
      <c r="AN1295" s="74"/>
      <c r="AO1295" s="73"/>
      <c r="AP1295" s="73"/>
      <c r="AQ1295" s="73"/>
      <c r="AR1295" s="73"/>
      <c r="AS1295" s="73"/>
      <c r="AT1295" s="74"/>
      <c r="AU1295" s="47"/>
      <c r="AV1295" s="48"/>
    </row>
    <row r="1296" spans="1:48" ht="12.75" customHeight="1" x14ac:dyDescent="0.25">
      <c r="A1296" s="72" t="s">
        <v>119</v>
      </c>
      <c r="B1296" s="43" t="s">
        <v>1154</v>
      </c>
      <c r="C1296" s="44" t="s">
        <v>1451</v>
      </c>
      <c r="D1296" s="45">
        <f>MROUND(MID($C1296,6,3)/Basis!$E$3,0.5)</f>
        <v>5.5</v>
      </c>
      <c r="E1296" s="45">
        <f>MROUND(MID($C1296,9,3)/Basis!$E$3,0.5)</f>
        <v>90.5</v>
      </c>
      <c r="F1296" s="199" t="s">
        <v>2950</v>
      </c>
      <c r="G1296" s="45">
        <f>ROUND(MID($C1296,12,2)/Basis!$E$3,1)</f>
        <v>13.4</v>
      </c>
      <c r="H1296" s="120">
        <f>ROUND($P1296*Basis!$E$2*((TaH-TrH)/LN(1/µ)/Basis!$E$7)^$N1296*$AA$4*Glycol,0)</f>
        <v>2481</v>
      </c>
      <c r="I1296" s="83">
        <f>ROUND(H1296/(MID($C1296,9,3)/Basis!$E$3/Basis!$E$9)*Basis!$E$11,0)</f>
        <v>329</v>
      </c>
      <c r="J1296" s="123">
        <f>IF(Basis!$E$1=1,ROUND(H1296/((TaH-TrH)*1.163)/3600,3),ROUND(H1296/(500*(TaH-TrH)),2))</f>
        <v>0.25</v>
      </c>
      <c r="K1296" s="84"/>
      <c r="L1296" s="177">
        <f>CHOOSE(Basis!$E$1,((AJ1296*(J1296*3600/Basis!$E$5)^AK1296*(((MID(C1296,9,3)*10)-244)/1000)*AL1296+AM1296*(J1296*3600/Basis!$E$5)^2)*0.0098)/Basis!$E$10,((AJ1296*(J1296/Basis!$E$5)^AK1296*(((MID(C1296,9,3)*10)-244)/1000)*AL1296+AM1296*(J1296/Basis!$E$5)^2)*0.0098)/Basis!$E$10)</f>
        <v>7.8299889955658342E-3</v>
      </c>
      <c r="M1296" s="85"/>
      <c r="N1296" s="109">
        <v>1.3620000000000001</v>
      </c>
      <c r="O1296" s="68"/>
      <c r="P1296" s="67">
        <v>1140</v>
      </c>
      <c r="Q1296" s="68"/>
      <c r="R1296" s="69"/>
      <c r="S1296" s="69"/>
      <c r="T1296" s="69"/>
      <c r="U1296" s="69"/>
      <c r="V1296" s="69"/>
      <c r="W1296" s="68"/>
      <c r="X1296" s="70"/>
      <c r="Y1296" s="70"/>
      <c r="Z1296" s="70"/>
      <c r="AA1296" s="70"/>
      <c r="AB1296" s="70"/>
      <c r="AC1296" s="68"/>
      <c r="AD1296" s="71"/>
      <c r="AE1296" s="71"/>
      <c r="AF1296" s="71"/>
      <c r="AG1296" s="71"/>
      <c r="AH1296" s="71"/>
      <c r="AI1296" s="68"/>
      <c r="AJ1296" s="214">
        <v>2.0829999999999999E-4</v>
      </c>
      <c r="AK1296" s="214">
        <v>1.724</v>
      </c>
      <c r="AL1296" s="214">
        <v>2</v>
      </c>
      <c r="AM1296" s="214">
        <v>4.6182900000000003E-4</v>
      </c>
      <c r="AN1296" s="68"/>
      <c r="AO1296" s="67"/>
      <c r="AP1296" s="67"/>
      <c r="AQ1296" s="67"/>
      <c r="AR1296" s="67"/>
      <c r="AS1296" s="67"/>
      <c r="AT1296" s="68"/>
      <c r="AU1296" s="49"/>
      <c r="AV1296" s="50"/>
    </row>
    <row r="1297" spans="1:48" ht="12.75" customHeight="1" x14ac:dyDescent="0.25">
      <c r="A1297" s="72" t="s">
        <v>119</v>
      </c>
      <c r="B1297" s="43" t="s">
        <v>1154</v>
      </c>
      <c r="C1297" s="44" t="s">
        <v>1452</v>
      </c>
      <c r="D1297" s="45">
        <f>MROUND(MID($C1297,6,3)/Basis!$E$3,0.5)</f>
        <v>5.5</v>
      </c>
      <c r="E1297" s="45">
        <f>MROUND(MID($C1297,9,3)/Basis!$E$3,0.5)</f>
        <v>90.5</v>
      </c>
      <c r="F1297" s="199" t="s">
        <v>2950</v>
      </c>
      <c r="G1297" s="45">
        <f>ROUND(MID($C1297,12,2)/Basis!$E$3,1)</f>
        <v>16.5</v>
      </c>
      <c r="H1297" s="120">
        <f>ROUND($P1297*Basis!$E$2*((TaH-TrH)/LN(1/µ)/Basis!$E$7)^$N1297*$AA$4*Glycol,0)</f>
        <v>3343</v>
      </c>
      <c r="I1297" s="83">
        <f>ROUND(H1297/(MID($C1297,9,3)/Basis!$E$3/Basis!$E$9)*Basis!$E$11,0)</f>
        <v>443</v>
      </c>
      <c r="J1297" s="123">
        <f>IF(Basis!$E$1=1,ROUND(H1297/((TaH-TrH)*1.163)/3600,3),ROUND(H1297/(500*(TaH-TrH)),2))</f>
        <v>0.33</v>
      </c>
      <c r="K1297" s="84"/>
      <c r="L1297" s="177">
        <f>CHOOSE(Basis!$E$1,((AJ1297*(J1297*3600/Basis!$E$5)^AK1297*(((MID(C1297,9,3)*10)-244)/1000)*AL1297+AM1297*(J1297*3600/Basis!$E$5)^2)*0.0098)/Basis!$E$10,((AJ1297*(J1297/Basis!$E$5)^AK1297*(((MID(C1297,9,3)*10)-244)/1000)*AL1297+AM1297*(J1297/Basis!$E$5)^2)*0.0098)/Basis!$E$10)</f>
        <v>9.8189858460041909E-3</v>
      </c>
      <c r="M1297" s="85"/>
      <c r="N1297" s="110">
        <v>1.3620000000000001</v>
      </c>
      <c r="O1297" s="74"/>
      <c r="P1297" s="73">
        <v>1536</v>
      </c>
      <c r="Q1297" s="74"/>
      <c r="R1297" s="75"/>
      <c r="S1297" s="75"/>
      <c r="T1297" s="75"/>
      <c r="U1297" s="75"/>
      <c r="V1297" s="75"/>
      <c r="W1297" s="74"/>
      <c r="X1297" s="76"/>
      <c r="Y1297" s="76"/>
      <c r="Z1297" s="76"/>
      <c r="AA1297" s="76"/>
      <c r="AB1297" s="76"/>
      <c r="AC1297" s="74"/>
      <c r="AD1297" s="77"/>
      <c r="AE1297" s="77"/>
      <c r="AF1297" s="77"/>
      <c r="AG1297" s="77"/>
      <c r="AH1297" s="77"/>
      <c r="AI1297" s="68"/>
      <c r="AJ1297" s="214">
        <v>1.2760000000000001E-4</v>
      </c>
      <c r="AK1297" s="214">
        <v>1.7219</v>
      </c>
      <c r="AL1297" s="214">
        <v>2</v>
      </c>
      <c r="AM1297" s="214">
        <v>3.76611E-4</v>
      </c>
      <c r="AN1297" s="74"/>
      <c r="AO1297" s="73"/>
      <c r="AP1297" s="73"/>
      <c r="AQ1297" s="73"/>
      <c r="AR1297" s="73"/>
      <c r="AS1297" s="73"/>
      <c r="AT1297" s="74"/>
      <c r="AU1297" s="47"/>
      <c r="AV1297" s="48"/>
    </row>
    <row r="1298" spans="1:48" ht="12.75" customHeight="1" x14ac:dyDescent="0.25">
      <c r="A1298" s="72" t="s">
        <v>119</v>
      </c>
      <c r="B1298" s="43" t="s">
        <v>1154</v>
      </c>
      <c r="C1298" s="44" t="s">
        <v>1453</v>
      </c>
      <c r="D1298" s="45">
        <f>MROUND(MID($C1298,6,3)/Basis!$E$3,0.5)</f>
        <v>5.5</v>
      </c>
      <c r="E1298" s="45">
        <f>MROUND(MID($C1298,9,3)/Basis!$E$3,0.5)</f>
        <v>98.5</v>
      </c>
      <c r="F1298" s="199" t="s">
        <v>2950</v>
      </c>
      <c r="G1298" s="45">
        <f>ROUND(MID($C1298,12,2)/Basis!$E$3,1)</f>
        <v>5.5</v>
      </c>
      <c r="H1298" s="120">
        <f>ROUND($P1298*Basis!$E$2*((TaH-TrH)/LN(1/µ)/Basis!$E$7)^$N1298*$AA$4*Glycol,0)</f>
        <v>1154</v>
      </c>
      <c r="I1298" s="83">
        <f>ROUND(H1298/(MID($C1298,9,3)/Basis!$E$3/Basis!$E$9)*Basis!$E$11,0)</f>
        <v>141</v>
      </c>
      <c r="J1298" s="123">
        <f>IF(Basis!$E$1=1,ROUND(H1298/((TaH-TrH)*1.163)/3600,3),ROUND(H1298/(500*(TaH-TrH)),2))</f>
        <v>0.12</v>
      </c>
      <c r="K1298" s="84"/>
      <c r="L1298" s="177">
        <f>CHOOSE(Basis!$E$1,((AJ1298*(J1298*3600/Basis!$E$5)^AK1298*(((MID(C1298,9,3)*10)-244)/1000)*AL1298+AM1298*(J1298*3600/Basis!$E$5)^2)*0.0098)/Basis!$E$10,((AJ1298*(J1298/Basis!$E$5)^AK1298*(((MID(C1298,9,3)*10)-244)/1000)*AL1298+AM1298*(J1298/Basis!$E$5)^2)*0.0098)/Basis!$E$10)</f>
        <v>6.2073789677168758E-3</v>
      </c>
      <c r="M1298" s="85"/>
      <c r="N1298" s="109">
        <v>1.3620000000000001</v>
      </c>
      <c r="O1298" s="68"/>
      <c r="P1298" s="67">
        <v>530</v>
      </c>
      <c r="Q1298" s="68"/>
      <c r="R1298" s="69"/>
      <c r="S1298" s="69"/>
      <c r="T1298" s="69"/>
      <c r="U1298" s="69"/>
      <c r="V1298" s="69"/>
      <c r="W1298" s="68"/>
      <c r="X1298" s="70"/>
      <c r="Y1298" s="70"/>
      <c r="Z1298" s="70"/>
      <c r="AA1298" s="70"/>
      <c r="AB1298" s="70"/>
      <c r="AC1298" s="68"/>
      <c r="AD1298" s="71"/>
      <c r="AE1298" s="71"/>
      <c r="AF1298" s="71"/>
      <c r="AG1298" s="71"/>
      <c r="AH1298" s="71"/>
      <c r="AI1298" s="68"/>
      <c r="AJ1298" s="214">
        <v>9.3669999999999995E-4</v>
      </c>
      <c r="AK1298" s="214">
        <v>1.789841</v>
      </c>
      <c r="AL1298" s="214">
        <v>2</v>
      </c>
      <c r="AM1298" s="214">
        <v>4.4559999999999999E-4</v>
      </c>
      <c r="AN1298" s="68"/>
      <c r="AO1298" s="67"/>
      <c r="AP1298" s="67"/>
      <c r="AQ1298" s="67"/>
      <c r="AR1298" s="67"/>
      <c r="AS1298" s="67"/>
      <c r="AT1298" s="68"/>
      <c r="AU1298" s="49"/>
      <c r="AV1298" s="50"/>
    </row>
    <row r="1299" spans="1:48" ht="12.75" customHeight="1" x14ac:dyDescent="0.25">
      <c r="A1299" s="72" t="s">
        <v>119</v>
      </c>
      <c r="B1299" s="43" t="s">
        <v>1154</v>
      </c>
      <c r="C1299" s="44" t="s">
        <v>1454</v>
      </c>
      <c r="D1299" s="45">
        <f>MROUND(MID($C1299,6,3)/Basis!$E$3,0.5)</f>
        <v>5.5</v>
      </c>
      <c r="E1299" s="45">
        <f>MROUND(MID($C1299,9,3)/Basis!$E$3,0.5)</f>
        <v>98.5</v>
      </c>
      <c r="F1299" s="199" t="s">
        <v>2950</v>
      </c>
      <c r="G1299" s="45">
        <f>ROUND(MID($C1299,12,2)/Basis!$E$3,1)</f>
        <v>10.199999999999999</v>
      </c>
      <c r="H1299" s="120">
        <f>ROUND($P1299*Basis!$E$2*((TaH-TrH)/LN(1/µ)/Basis!$E$7)^$N1299*$AA$4*Glycol,0)</f>
        <v>2000</v>
      </c>
      <c r="I1299" s="83">
        <f>ROUND(H1299/(MID($C1299,9,3)/Basis!$E$3/Basis!$E$9)*Basis!$E$11,0)</f>
        <v>244</v>
      </c>
      <c r="J1299" s="123">
        <f>IF(Basis!$E$1=1,ROUND(H1299/((TaH-TrH)*1.163)/3600,3),ROUND(H1299/(500*(TaH-TrH)),2))</f>
        <v>0.2</v>
      </c>
      <c r="K1299" s="84"/>
      <c r="L1299" s="177">
        <f>CHOOSE(Basis!$E$1,((AJ1299*(J1299*3600/Basis!$E$5)^AK1299*(((MID(C1299,9,3)*10)-244)/1000)*AL1299+AM1299*(J1299*3600/Basis!$E$5)^2)*0.0098)/Basis!$E$10,((AJ1299*(J1299/Basis!$E$5)^AK1299*(((MID(C1299,9,3)*10)-244)/1000)*AL1299+AM1299*(J1299/Basis!$E$5)^2)*0.0098)/Basis!$E$10)</f>
        <v>6.8668120543417819E-3</v>
      </c>
      <c r="M1299" s="85"/>
      <c r="N1299" s="110">
        <v>1.3620000000000001</v>
      </c>
      <c r="O1299" s="74"/>
      <c r="P1299" s="73">
        <v>919</v>
      </c>
      <c r="Q1299" s="74"/>
      <c r="R1299" s="75"/>
      <c r="S1299" s="75"/>
      <c r="T1299" s="75"/>
      <c r="U1299" s="75"/>
      <c r="V1299" s="75"/>
      <c r="W1299" s="74"/>
      <c r="X1299" s="76"/>
      <c r="Y1299" s="76"/>
      <c r="Z1299" s="76"/>
      <c r="AA1299" s="76"/>
      <c r="AB1299" s="76"/>
      <c r="AC1299" s="74"/>
      <c r="AD1299" s="77"/>
      <c r="AE1299" s="77"/>
      <c r="AF1299" s="77"/>
      <c r="AG1299" s="77"/>
      <c r="AH1299" s="77"/>
      <c r="AI1299" s="68"/>
      <c r="AJ1299" s="213">
        <v>3.9689999999999994E-4</v>
      </c>
      <c r="AK1299" s="213">
        <v>1.7345999999999999</v>
      </c>
      <c r="AL1299" s="213">
        <v>2</v>
      </c>
      <c r="AM1299" s="213">
        <v>3.6734700000000002E-4</v>
      </c>
      <c r="AN1299" s="74"/>
      <c r="AO1299" s="73"/>
      <c r="AP1299" s="73"/>
      <c r="AQ1299" s="73"/>
      <c r="AR1299" s="73"/>
      <c r="AS1299" s="73"/>
      <c r="AT1299" s="74"/>
      <c r="AU1299" s="47"/>
      <c r="AV1299" s="48"/>
    </row>
    <row r="1300" spans="1:48" ht="12.75" customHeight="1" x14ac:dyDescent="0.25">
      <c r="A1300" s="72" t="s">
        <v>119</v>
      </c>
      <c r="B1300" s="43" t="s">
        <v>1154</v>
      </c>
      <c r="C1300" s="44" t="s">
        <v>1455</v>
      </c>
      <c r="D1300" s="45">
        <f>MROUND(MID($C1300,6,3)/Basis!$E$3,0.5)</f>
        <v>5.5</v>
      </c>
      <c r="E1300" s="45">
        <f>MROUND(MID($C1300,9,3)/Basis!$E$3,0.5)</f>
        <v>98.5</v>
      </c>
      <c r="F1300" s="199" t="s">
        <v>2950</v>
      </c>
      <c r="G1300" s="45">
        <f>ROUND(MID($C1300,12,2)/Basis!$E$3,1)</f>
        <v>13.4</v>
      </c>
      <c r="H1300" s="120">
        <f>ROUND($P1300*Basis!$E$2*((TaH-TrH)/LN(1/µ)/Basis!$E$7)^$N1300*$AA$4*Glycol,0)</f>
        <v>2727</v>
      </c>
      <c r="I1300" s="83">
        <f>ROUND(H1300/(MID($C1300,9,3)/Basis!$E$3/Basis!$E$9)*Basis!$E$11,0)</f>
        <v>332</v>
      </c>
      <c r="J1300" s="123">
        <f>IF(Basis!$E$1=1,ROUND(H1300/((TaH-TrH)*1.163)/3600,3),ROUND(H1300/(500*(TaH-TrH)),2))</f>
        <v>0.27</v>
      </c>
      <c r="K1300" s="84"/>
      <c r="L1300" s="177">
        <f>CHOOSE(Basis!$E$1,((AJ1300*(J1300*3600/Basis!$E$5)^AK1300*(((MID(C1300,9,3)*10)-244)/1000)*AL1300+AM1300*(J1300*3600/Basis!$E$5)^2)*0.0098)/Basis!$E$10,((AJ1300*(J1300/Basis!$E$5)^AK1300*(((MID(C1300,9,3)*10)-244)/1000)*AL1300+AM1300*(J1300/Basis!$E$5)^2)*0.0098)/Basis!$E$10)</f>
        <v>9.3892531570002862E-3</v>
      </c>
      <c r="M1300" s="85"/>
      <c r="N1300" s="109">
        <v>1.3620000000000001</v>
      </c>
      <c r="O1300" s="68"/>
      <c r="P1300" s="67">
        <v>1253</v>
      </c>
      <c r="Q1300" s="68"/>
      <c r="R1300" s="69"/>
      <c r="S1300" s="69"/>
      <c r="T1300" s="69"/>
      <c r="U1300" s="69"/>
      <c r="V1300" s="69"/>
      <c r="W1300" s="68"/>
      <c r="X1300" s="70"/>
      <c r="Y1300" s="70"/>
      <c r="Z1300" s="70"/>
      <c r="AA1300" s="70"/>
      <c r="AB1300" s="70"/>
      <c r="AC1300" s="68"/>
      <c r="AD1300" s="71"/>
      <c r="AE1300" s="71"/>
      <c r="AF1300" s="71"/>
      <c r="AG1300" s="71"/>
      <c r="AH1300" s="71"/>
      <c r="AI1300" s="68"/>
      <c r="AJ1300" s="214">
        <v>2.0829999999999999E-4</v>
      </c>
      <c r="AK1300" s="214">
        <v>1.724</v>
      </c>
      <c r="AL1300" s="214">
        <v>2</v>
      </c>
      <c r="AM1300" s="214">
        <v>4.6182900000000003E-4</v>
      </c>
      <c r="AN1300" s="68"/>
      <c r="AO1300" s="67"/>
      <c r="AP1300" s="67"/>
      <c r="AQ1300" s="67"/>
      <c r="AR1300" s="67"/>
      <c r="AS1300" s="67"/>
      <c r="AT1300" s="68"/>
      <c r="AU1300" s="49"/>
      <c r="AV1300" s="50"/>
    </row>
    <row r="1301" spans="1:48" ht="12.75" customHeight="1" x14ac:dyDescent="0.25">
      <c r="A1301" s="72" t="s">
        <v>119</v>
      </c>
      <c r="B1301" s="43" t="s">
        <v>1154</v>
      </c>
      <c r="C1301" s="44" t="s">
        <v>1456</v>
      </c>
      <c r="D1301" s="45">
        <f>MROUND(MID($C1301,6,3)/Basis!$E$3,0.5)</f>
        <v>5.5</v>
      </c>
      <c r="E1301" s="45">
        <f>MROUND(MID($C1301,9,3)/Basis!$E$3,0.5)</f>
        <v>98.5</v>
      </c>
      <c r="F1301" s="199" t="s">
        <v>2950</v>
      </c>
      <c r="G1301" s="45">
        <f>ROUND(MID($C1301,12,2)/Basis!$E$3,1)</f>
        <v>16.5</v>
      </c>
      <c r="H1301" s="120">
        <f>ROUND($P1301*Basis!$E$2*((TaH-TrH)/LN(1/µ)/Basis!$E$7)^$N1301*$AA$4*Glycol,0)</f>
        <v>3679</v>
      </c>
      <c r="I1301" s="83">
        <f>ROUND(H1301/(MID($C1301,9,3)/Basis!$E$3/Basis!$E$9)*Basis!$E$11,0)</f>
        <v>449</v>
      </c>
      <c r="J1301" s="123">
        <f>IF(Basis!$E$1=1,ROUND(H1301/((TaH-TrH)*1.163)/3600,3),ROUND(H1301/(500*(TaH-TrH)),2))</f>
        <v>0.37</v>
      </c>
      <c r="K1301" s="84"/>
      <c r="L1301" s="177">
        <f>CHOOSE(Basis!$E$1,((AJ1301*(J1301*3600/Basis!$E$5)^AK1301*(((MID(C1301,9,3)*10)-244)/1000)*AL1301+AM1301*(J1301*3600/Basis!$E$5)^2)*0.0098)/Basis!$E$10,((AJ1301*(J1301/Basis!$E$5)^AK1301*(((MID(C1301,9,3)*10)-244)/1000)*AL1301+AM1301*(J1301/Basis!$E$5)^2)*0.0098)/Basis!$E$10)</f>
        <v>1.2573074508300103E-2</v>
      </c>
      <c r="M1301" s="85"/>
      <c r="N1301" s="110">
        <v>1.3620000000000001</v>
      </c>
      <c r="O1301" s="74"/>
      <c r="P1301" s="73">
        <v>1690</v>
      </c>
      <c r="Q1301" s="74"/>
      <c r="R1301" s="75"/>
      <c r="S1301" s="75"/>
      <c r="T1301" s="75"/>
      <c r="U1301" s="75"/>
      <c r="V1301" s="75"/>
      <c r="W1301" s="74"/>
      <c r="X1301" s="76"/>
      <c r="Y1301" s="76"/>
      <c r="Z1301" s="76"/>
      <c r="AA1301" s="76"/>
      <c r="AB1301" s="76"/>
      <c r="AC1301" s="74"/>
      <c r="AD1301" s="77"/>
      <c r="AE1301" s="77"/>
      <c r="AF1301" s="77"/>
      <c r="AG1301" s="77"/>
      <c r="AH1301" s="77"/>
      <c r="AI1301" s="68"/>
      <c r="AJ1301" s="214">
        <v>1.2760000000000001E-4</v>
      </c>
      <c r="AK1301" s="214">
        <v>1.7219</v>
      </c>
      <c r="AL1301" s="214">
        <v>2</v>
      </c>
      <c r="AM1301" s="214">
        <v>3.76611E-4</v>
      </c>
      <c r="AN1301" s="74"/>
      <c r="AO1301" s="73"/>
      <c r="AP1301" s="73"/>
      <c r="AQ1301" s="73"/>
      <c r="AR1301" s="73"/>
      <c r="AS1301" s="73"/>
      <c r="AT1301" s="74"/>
      <c r="AU1301" s="47"/>
      <c r="AV1301" s="48"/>
    </row>
    <row r="1302" spans="1:48" ht="12.75" customHeight="1" x14ac:dyDescent="0.25">
      <c r="A1302" s="72" t="s">
        <v>119</v>
      </c>
      <c r="B1302" s="43" t="s">
        <v>1154</v>
      </c>
      <c r="C1302" s="44" t="s">
        <v>1457</v>
      </c>
      <c r="D1302" s="45">
        <f>MROUND(MID($C1302,6,3)/Basis!$E$3,0.5)</f>
        <v>5.5</v>
      </c>
      <c r="E1302" s="45">
        <f>MROUND(MID($C1302,9,3)/Basis!$E$3,0.5)</f>
        <v>106.5</v>
      </c>
      <c r="F1302" s="199" t="s">
        <v>2950</v>
      </c>
      <c r="G1302" s="45">
        <f>ROUND(MID($C1302,12,2)/Basis!$E$3,1)</f>
        <v>5.5</v>
      </c>
      <c r="H1302" s="120">
        <f>ROUND($P1302*Basis!$E$2*((TaH-TrH)/LN(1/µ)/Basis!$E$7)^$N1302*$AA$4*Glycol,0)</f>
        <v>1256</v>
      </c>
      <c r="I1302" s="83">
        <f>ROUND(H1302/(MID($C1302,9,3)/Basis!$E$3/Basis!$E$9)*Basis!$E$11,0)</f>
        <v>142</v>
      </c>
      <c r="J1302" s="123">
        <f>IF(Basis!$E$1=1,ROUND(H1302/((TaH-TrH)*1.163)/3600,3),ROUND(H1302/(500*(TaH-TrH)),2))</f>
        <v>0.13</v>
      </c>
      <c r="K1302" s="84"/>
      <c r="L1302" s="177">
        <f>CHOOSE(Basis!$E$1,((AJ1302*(J1302*3600/Basis!$E$5)^AK1302*(((MID(C1302,9,3)*10)-244)/1000)*AL1302+AM1302*(J1302*3600/Basis!$E$5)^2)*0.0098)/Basis!$E$10,((AJ1302*(J1302/Basis!$E$5)^AK1302*(((MID(C1302,9,3)*10)-244)/1000)*AL1302+AM1302*(J1302/Basis!$E$5)^2)*0.0098)/Basis!$E$10)</f>
        <v>7.7090521514278382E-3</v>
      </c>
      <c r="M1302" s="85"/>
      <c r="N1302" s="109">
        <v>1.3620000000000001</v>
      </c>
      <c r="O1302" s="68"/>
      <c r="P1302" s="67">
        <v>577</v>
      </c>
      <c r="Q1302" s="68"/>
      <c r="R1302" s="69"/>
      <c r="S1302" s="69"/>
      <c r="T1302" s="69"/>
      <c r="U1302" s="69"/>
      <c r="V1302" s="69"/>
      <c r="W1302" s="68"/>
      <c r="X1302" s="70"/>
      <c r="Y1302" s="70"/>
      <c r="Z1302" s="70"/>
      <c r="AA1302" s="70"/>
      <c r="AB1302" s="70"/>
      <c r="AC1302" s="68"/>
      <c r="AD1302" s="71"/>
      <c r="AE1302" s="71"/>
      <c r="AF1302" s="71"/>
      <c r="AG1302" s="71"/>
      <c r="AH1302" s="71"/>
      <c r="AI1302" s="68"/>
      <c r="AJ1302" s="214">
        <v>9.3669999999999995E-4</v>
      </c>
      <c r="AK1302" s="214">
        <v>1.789841</v>
      </c>
      <c r="AL1302" s="214">
        <v>2</v>
      </c>
      <c r="AM1302" s="214">
        <v>4.4559999999999999E-4</v>
      </c>
      <c r="AN1302" s="68"/>
      <c r="AO1302" s="67"/>
      <c r="AP1302" s="67"/>
      <c r="AQ1302" s="67"/>
      <c r="AR1302" s="67"/>
      <c r="AS1302" s="67"/>
      <c r="AT1302" s="68"/>
      <c r="AU1302" s="49"/>
      <c r="AV1302" s="50"/>
    </row>
    <row r="1303" spans="1:48" ht="12.75" customHeight="1" x14ac:dyDescent="0.25">
      <c r="A1303" s="72" t="s">
        <v>119</v>
      </c>
      <c r="B1303" s="43" t="s">
        <v>1154</v>
      </c>
      <c r="C1303" s="44" t="s">
        <v>1458</v>
      </c>
      <c r="D1303" s="45">
        <f>MROUND(MID($C1303,6,3)/Basis!$E$3,0.5)</f>
        <v>5.5</v>
      </c>
      <c r="E1303" s="45">
        <f>MROUND(MID($C1303,9,3)/Basis!$E$3,0.5)</f>
        <v>106.5</v>
      </c>
      <c r="F1303" s="199" t="s">
        <v>2950</v>
      </c>
      <c r="G1303" s="45">
        <f>ROUND(MID($C1303,12,2)/Basis!$E$3,1)</f>
        <v>10.199999999999999</v>
      </c>
      <c r="H1303" s="120">
        <f>ROUND($P1303*Basis!$E$2*((TaH-TrH)/LN(1/µ)/Basis!$E$7)^$N1303*$AA$4*Glycol,0)</f>
        <v>2183</v>
      </c>
      <c r="I1303" s="83">
        <f>ROUND(H1303/(MID($C1303,9,3)/Basis!$E$3/Basis!$E$9)*Basis!$E$11,0)</f>
        <v>246</v>
      </c>
      <c r="J1303" s="123">
        <f>IF(Basis!$E$1=1,ROUND(H1303/((TaH-TrH)*1.163)/3600,3),ROUND(H1303/(500*(TaH-TrH)),2))</f>
        <v>0.22</v>
      </c>
      <c r="K1303" s="84"/>
      <c r="L1303" s="177">
        <f>CHOOSE(Basis!$E$1,((AJ1303*(J1303*3600/Basis!$E$5)^AK1303*(((MID(C1303,9,3)*10)-244)/1000)*AL1303+AM1303*(J1303*3600/Basis!$E$5)^2)*0.0098)/Basis!$E$10,((AJ1303*(J1303/Basis!$E$5)^AK1303*(((MID(C1303,9,3)*10)-244)/1000)*AL1303+AM1303*(J1303/Basis!$E$5)^2)*0.0098)/Basis!$E$10)</f>
        <v>8.6351927798726247E-3</v>
      </c>
      <c r="M1303" s="85"/>
      <c r="N1303" s="110">
        <v>1.3620000000000001</v>
      </c>
      <c r="O1303" s="74"/>
      <c r="P1303" s="73">
        <v>1003</v>
      </c>
      <c r="Q1303" s="74"/>
      <c r="R1303" s="75"/>
      <c r="S1303" s="75"/>
      <c r="T1303" s="75"/>
      <c r="U1303" s="75"/>
      <c r="V1303" s="75"/>
      <c r="W1303" s="74"/>
      <c r="X1303" s="76"/>
      <c r="Y1303" s="76"/>
      <c r="Z1303" s="76"/>
      <c r="AA1303" s="76"/>
      <c r="AB1303" s="76"/>
      <c r="AC1303" s="74"/>
      <c r="AD1303" s="77"/>
      <c r="AE1303" s="77"/>
      <c r="AF1303" s="77"/>
      <c r="AG1303" s="77"/>
      <c r="AH1303" s="77"/>
      <c r="AI1303" s="68"/>
      <c r="AJ1303" s="213">
        <v>3.9689999999999994E-4</v>
      </c>
      <c r="AK1303" s="213">
        <v>1.7345999999999999</v>
      </c>
      <c r="AL1303" s="213">
        <v>2</v>
      </c>
      <c r="AM1303" s="213">
        <v>3.6734700000000002E-4</v>
      </c>
      <c r="AN1303" s="74"/>
      <c r="AO1303" s="73"/>
      <c r="AP1303" s="73"/>
      <c r="AQ1303" s="73"/>
      <c r="AR1303" s="73"/>
      <c r="AS1303" s="73"/>
      <c r="AT1303" s="74"/>
      <c r="AU1303" s="47"/>
      <c r="AV1303" s="48"/>
    </row>
    <row r="1304" spans="1:48" ht="12.75" customHeight="1" x14ac:dyDescent="0.25">
      <c r="A1304" s="72" t="s">
        <v>119</v>
      </c>
      <c r="B1304" s="43" t="s">
        <v>1154</v>
      </c>
      <c r="C1304" s="44" t="s">
        <v>1459</v>
      </c>
      <c r="D1304" s="45">
        <f>MROUND(MID($C1304,6,3)/Basis!$E$3,0.5)</f>
        <v>5.5</v>
      </c>
      <c r="E1304" s="45">
        <f>MROUND(MID($C1304,9,3)/Basis!$E$3,0.5)</f>
        <v>106.5</v>
      </c>
      <c r="F1304" s="199" t="s">
        <v>2950</v>
      </c>
      <c r="G1304" s="45">
        <f>ROUND(MID($C1304,12,2)/Basis!$E$3,1)</f>
        <v>13.4</v>
      </c>
      <c r="H1304" s="120">
        <f>ROUND($P1304*Basis!$E$2*((TaH-TrH)/LN(1/µ)/Basis!$E$7)^$N1304*$AA$4*Glycol,0)</f>
        <v>2976</v>
      </c>
      <c r="I1304" s="83">
        <f>ROUND(H1304/(MID($C1304,9,3)/Basis!$E$3/Basis!$E$9)*Basis!$E$11,0)</f>
        <v>336</v>
      </c>
      <c r="J1304" s="123">
        <f>IF(Basis!$E$1=1,ROUND(H1304/((TaH-TrH)*1.163)/3600,3),ROUND(H1304/(500*(TaH-TrH)),2))</f>
        <v>0.3</v>
      </c>
      <c r="K1304" s="84"/>
      <c r="L1304" s="177">
        <f>CHOOSE(Basis!$E$1,((AJ1304*(J1304*3600/Basis!$E$5)^AK1304*(((MID(C1304,9,3)*10)-244)/1000)*AL1304+AM1304*(J1304*3600/Basis!$E$5)^2)*0.0098)/Basis!$E$10,((AJ1304*(J1304/Basis!$E$5)^AK1304*(((MID(C1304,9,3)*10)-244)/1000)*AL1304+AM1304*(J1304/Basis!$E$5)^2)*0.0098)/Basis!$E$10)</f>
        <v>1.1854851055160241E-2</v>
      </c>
      <c r="M1304" s="85"/>
      <c r="N1304" s="109">
        <v>1.3620000000000001</v>
      </c>
      <c r="O1304" s="68"/>
      <c r="P1304" s="67">
        <v>1367</v>
      </c>
      <c r="Q1304" s="68"/>
      <c r="R1304" s="69"/>
      <c r="S1304" s="69"/>
      <c r="T1304" s="69"/>
      <c r="U1304" s="69"/>
      <c r="V1304" s="69"/>
      <c r="W1304" s="68"/>
      <c r="X1304" s="70"/>
      <c r="Y1304" s="70"/>
      <c r="Z1304" s="70"/>
      <c r="AA1304" s="70"/>
      <c r="AB1304" s="70"/>
      <c r="AC1304" s="68"/>
      <c r="AD1304" s="71"/>
      <c r="AE1304" s="71"/>
      <c r="AF1304" s="71"/>
      <c r="AG1304" s="71"/>
      <c r="AH1304" s="71"/>
      <c r="AI1304" s="68"/>
      <c r="AJ1304" s="214">
        <v>2.0829999999999999E-4</v>
      </c>
      <c r="AK1304" s="214">
        <v>1.724</v>
      </c>
      <c r="AL1304" s="214">
        <v>2</v>
      </c>
      <c r="AM1304" s="214">
        <v>4.6182900000000003E-4</v>
      </c>
      <c r="AN1304" s="68"/>
      <c r="AO1304" s="67"/>
      <c r="AP1304" s="67"/>
      <c r="AQ1304" s="67"/>
      <c r="AR1304" s="67"/>
      <c r="AS1304" s="67"/>
      <c r="AT1304" s="68"/>
      <c r="AU1304" s="49"/>
      <c r="AV1304" s="50"/>
    </row>
    <row r="1305" spans="1:48" ht="12.75" customHeight="1" x14ac:dyDescent="0.25">
      <c r="A1305" s="72" t="s">
        <v>119</v>
      </c>
      <c r="B1305" s="43" t="s">
        <v>1154</v>
      </c>
      <c r="C1305" s="44" t="s">
        <v>1460</v>
      </c>
      <c r="D1305" s="45">
        <f>MROUND(MID($C1305,6,3)/Basis!$E$3,0.5)</f>
        <v>5.5</v>
      </c>
      <c r="E1305" s="45">
        <f>MROUND(MID($C1305,9,3)/Basis!$E$3,0.5)</f>
        <v>106.5</v>
      </c>
      <c r="F1305" s="199" t="s">
        <v>2950</v>
      </c>
      <c r="G1305" s="45">
        <f>ROUND(MID($C1305,12,2)/Basis!$E$3,1)</f>
        <v>16.5</v>
      </c>
      <c r="H1305" s="120">
        <f>ROUND($P1305*Basis!$E$2*((TaH-TrH)/LN(1/µ)/Basis!$E$7)^$N1305*$AA$4*Glycol,0)</f>
        <v>4012</v>
      </c>
      <c r="I1305" s="83">
        <f>ROUND(H1305/(MID($C1305,9,3)/Basis!$E$3/Basis!$E$9)*Basis!$E$11,0)</f>
        <v>453</v>
      </c>
      <c r="J1305" s="123">
        <f>IF(Basis!$E$1=1,ROUND(H1305/((TaH-TrH)*1.163)/3600,3),ROUND(H1305/(500*(TaH-TrH)),2))</f>
        <v>0.4</v>
      </c>
      <c r="K1305" s="84"/>
      <c r="L1305" s="177">
        <f>CHOOSE(Basis!$E$1,((AJ1305*(J1305*3600/Basis!$E$5)^AK1305*(((MID(C1305,9,3)*10)-244)/1000)*AL1305+AM1305*(J1305*3600/Basis!$E$5)^2)*0.0098)/Basis!$E$10,((AJ1305*(J1305/Basis!$E$5)^AK1305*(((MID(C1305,9,3)*10)-244)/1000)*AL1305+AM1305*(J1305/Basis!$E$5)^2)*0.0098)/Basis!$E$10)</f>
        <v>1.4990493403761483E-2</v>
      </c>
      <c r="M1305" s="85"/>
      <c r="N1305" s="110">
        <v>1.3620000000000001</v>
      </c>
      <c r="O1305" s="74"/>
      <c r="P1305" s="73">
        <v>1843</v>
      </c>
      <c r="Q1305" s="74"/>
      <c r="R1305" s="75"/>
      <c r="S1305" s="75"/>
      <c r="T1305" s="75"/>
      <c r="U1305" s="75"/>
      <c r="V1305" s="75"/>
      <c r="W1305" s="74"/>
      <c r="X1305" s="76"/>
      <c r="Y1305" s="76"/>
      <c r="Z1305" s="76"/>
      <c r="AA1305" s="76"/>
      <c r="AB1305" s="76"/>
      <c r="AC1305" s="74"/>
      <c r="AD1305" s="77"/>
      <c r="AE1305" s="77"/>
      <c r="AF1305" s="77"/>
      <c r="AG1305" s="77"/>
      <c r="AH1305" s="77"/>
      <c r="AI1305" s="68"/>
      <c r="AJ1305" s="214">
        <v>1.2760000000000001E-4</v>
      </c>
      <c r="AK1305" s="214">
        <v>1.7219</v>
      </c>
      <c r="AL1305" s="214">
        <v>2</v>
      </c>
      <c r="AM1305" s="214">
        <v>3.76611E-4</v>
      </c>
      <c r="AN1305" s="74"/>
      <c r="AO1305" s="73"/>
      <c r="AP1305" s="73"/>
      <c r="AQ1305" s="73"/>
      <c r="AR1305" s="73"/>
      <c r="AS1305" s="73"/>
      <c r="AT1305" s="74"/>
      <c r="AU1305" s="47"/>
      <c r="AV1305" s="48"/>
    </row>
    <row r="1306" spans="1:48" ht="12.75" customHeight="1" x14ac:dyDescent="0.25">
      <c r="A1306" s="72" t="s">
        <v>119</v>
      </c>
      <c r="B1306" s="43" t="s">
        <v>1154</v>
      </c>
      <c r="C1306" s="44" t="s">
        <v>1461</v>
      </c>
      <c r="D1306" s="45">
        <f>MROUND(MID($C1306,6,3)/Basis!$E$3,0.5)</f>
        <v>5.5</v>
      </c>
      <c r="E1306" s="45">
        <f>MROUND(MID($C1306,9,3)/Basis!$E$3,0.5)</f>
        <v>114</v>
      </c>
      <c r="F1306" s="199" t="s">
        <v>2950</v>
      </c>
      <c r="G1306" s="45">
        <f>ROUND(MID($C1306,12,2)/Basis!$E$3,1)</f>
        <v>5.5</v>
      </c>
      <c r="H1306" s="120">
        <f>ROUND($P1306*Basis!$E$2*((TaH-TrH)/LN(1/µ)/Basis!$E$7)^$N1306*$AA$4*Glycol,0)</f>
        <v>1363</v>
      </c>
      <c r="I1306" s="83">
        <f>ROUND(H1306/(MID($C1306,9,3)/Basis!$E$3/Basis!$E$9)*Basis!$E$11,0)</f>
        <v>143</v>
      </c>
      <c r="J1306" s="123">
        <f>IF(Basis!$E$1=1,ROUND(H1306/((TaH-TrH)*1.163)/3600,3),ROUND(H1306/(500*(TaH-TrH)),2))</f>
        <v>0.14000000000000001</v>
      </c>
      <c r="K1306" s="84"/>
      <c r="L1306" s="177">
        <f>CHOOSE(Basis!$E$1,((AJ1306*(J1306*3600/Basis!$E$5)^AK1306*(((MID(C1306,9,3)*10)-244)/1000)*AL1306+AM1306*(J1306*3600/Basis!$E$5)^2)*0.0098)/Basis!$E$10,((AJ1306*(J1306/Basis!$E$5)^AK1306*(((MID(C1306,9,3)*10)-244)/1000)*AL1306+AM1306*(J1306/Basis!$E$5)^2)*0.0098)/Basis!$E$10)</f>
        <v>9.4239830824165583E-3</v>
      </c>
      <c r="M1306" s="85"/>
      <c r="N1306" s="109">
        <v>1.3620000000000001</v>
      </c>
      <c r="O1306" s="68"/>
      <c r="P1306" s="67">
        <v>626</v>
      </c>
      <c r="Q1306" s="68"/>
      <c r="R1306" s="69"/>
      <c r="S1306" s="69"/>
      <c r="T1306" s="69"/>
      <c r="U1306" s="69"/>
      <c r="V1306" s="69"/>
      <c r="W1306" s="68"/>
      <c r="X1306" s="70"/>
      <c r="Y1306" s="70"/>
      <c r="Z1306" s="70"/>
      <c r="AA1306" s="70"/>
      <c r="AB1306" s="70"/>
      <c r="AC1306" s="68"/>
      <c r="AD1306" s="71"/>
      <c r="AE1306" s="71"/>
      <c r="AF1306" s="71"/>
      <c r="AG1306" s="71"/>
      <c r="AH1306" s="71"/>
      <c r="AI1306" s="68"/>
      <c r="AJ1306" s="214">
        <v>9.3669999999999995E-4</v>
      </c>
      <c r="AK1306" s="214">
        <v>1.789841</v>
      </c>
      <c r="AL1306" s="214">
        <v>2</v>
      </c>
      <c r="AM1306" s="214">
        <v>4.4559999999999999E-4</v>
      </c>
      <c r="AN1306" s="68"/>
      <c r="AO1306" s="67"/>
      <c r="AP1306" s="67"/>
      <c r="AQ1306" s="67"/>
      <c r="AR1306" s="67"/>
      <c r="AS1306" s="67"/>
      <c r="AT1306" s="68"/>
      <c r="AU1306" s="49"/>
      <c r="AV1306" s="50"/>
    </row>
    <row r="1307" spans="1:48" ht="12.75" customHeight="1" x14ac:dyDescent="0.25">
      <c r="A1307" s="72" t="s">
        <v>119</v>
      </c>
      <c r="B1307" s="43" t="s">
        <v>1154</v>
      </c>
      <c r="C1307" s="44" t="s">
        <v>1462</v>
      </c>
      <c r="D1307" s="45">
        <f>MROUND(MID($C1307,6,3)/Basis!$E$3,0.5)</f>
        <v>5.5</v>
      </c>
      <c r="E1307" s="45">
        <f>MROUND(MID($C1307,9,3)/Basis!$E$3,0.5)</f>
        <v>114</v>
      </c>
      <c r="F1307" s="199" t="s">
        <v>2950</v>
      </c>
      <c r="G1307" s="45">
        <f>ROUND(MID($C1307,12,2)/Basis!$E$3,1)</f>
        <v>10.199999999999999</v>
      </c>
      <c r="H1307" s="120">
        <f>ROUND($P1307*Basis!$E$2*((TaH-TrH)/LN(1/µ)/Basis!$E$7)^$N1307*$AA$4*Glycol,0)</f>
        <v>2362</v>
      </c>
      <c r="I1307" s="83">
        <f>ROUND(H1307/(MID($C1307,9,3)/Basis!$E$3/Basis!$E$9)*Basis!$E$11,0)</f>
        <v>248</v>
      </c>
      <c r="J1307" s="123">
        <f>IF(Basis!$E$1=1,ROUND(H1307/((TaH-TrH)*1.163)/3600,3),ROUND(H1307/(500*(TaH-TrH)),2))</f>
        <v>0.24</v>
      </c>
      <c r="K1307" s="84"/>
      <c r="L1307" s="177">
        <f>CHOOSE(Basis!$E$1,((AJ1307*(J1307*3600/Basis!$E$5)^AK1307*(((MID(C1307,9,3)*10)-244)/1000)*AL1307+AM1307*(J1307*3600/Basis!$E$5)^2)*0.0098)/Basis!$E$10,((AJ1307*(J1307/Basis!$E$5)^AK1307*(((MID(C1307,9,3)*10)-244)/1000)*AL1307+AM1307*(J1307/Basis!$E$5)^2)*0.0098)/Basis!$E$10)</f>
        <v>1.0657226805940086E-2</v>
      </c>
      <c r="M1307" s="85"/>
      <c r="N1307" s="110">
        <v>1.3620000000000001</v>
      </c>
      <c r="O1307" s="74"/>
      <c r="P1307" s="73">
        <v>1085</v>
      </c>
      <c r="Q1307" s="74"/>
      <c r="R1307" s="75"/>
      <c r="S1307" s="75"/>
      <c r="T1307" s="75"/>
      <c r="U1307" s="75"/>
      <c r="V1307" s="75"/>
      <c r="W1307" s="74"/>
      <c r="X1307" s="76"/>
      <c r="Y1307" s="76"/>
      <c r="Z1307" s="76"/>
      <c r="AA1307" s="76"/>
      <c r="AB1307" s="76"/>
      <c r="AC1307" s="74"/>
      <c r="AD1307" s="77"/>
      <c r="AE1307" s="77"/>
      <c r="AF1307" s="77"/>
      <c r="AG1307" s="77"/>
      <c r="AH1307" s="77"/>
      <c r="AI1307" s="68"/>
      <c r="AJ1307" s="213">
        <v>3.9689999999999994E-4</v>
      </c>
      <c r="AK1307" s="213">
        <v>1.7345999999999999</v>
      </c>
      <c r="AL1307" s="213">
        <v>2</v>
      </c>
      <c r="AM1307" s="213">
        <v>3.6734700000000002E-4</v>
      </c>
      <c r="AN1307" s="74"/>
      <c r="AO1307" s="73"/>
      <c r="AP1307" s="73"/>
      <c r="AQ1307" s="73"/>
      <c r="AR1307" s="73"/>
      <c r="AS1307" s="73"/>
      <c r="AT1307" s="74"/>
      <c r="AU1307" s="47"/>
      <c r="AV1307" s="48"/>
    </row>
    <row r="1308" spans="1:48" ht="12.75" customHeight="1" x14ac:dyDescent="0.25">
      <c r="A1308" s="72" t="s">
        <v>119</v>
      </c>
      <c r="B1308" s="43" t="s">
        <v>1154</v>
      </c>
      <c r="C1308" s="44" t="s">
        <v>1463</v>
      </c>
      <c r="D1308" s="45">
        <f>MROUND(MID($C1308,6,3)/Basis!$E$3,0.5)</f>
        <v>5.5</v>
      </c>
      <c r="E1308" s="45">
        <f>MROUND(MID($C1308,9,3)/Basis!$E$3,0.5)</f>
        <v>114</v>
      </c>
      <c r="F1308" s="199" t="s">
        <v>2950</v>
      </c>
      <c r="G1308" s="45">
        <f>ROUND(MID($C1308,12,2)/Basis!$E$3,1)</f>
        <v>13.4</v>
      </c>
      <c r="H1308" s="120">
        <f>ROUND($P1308*Basis!$E$2*((TaH-TrH)/LN(1/µ)/Basis!$E$7)^$N1308*$AA$4*Glycol,0)</f>
        <v>3224</v>
      </c>
      <c r="I1308" s="83">
        <f>ROUND(H1308/(MID($C1308,9,3)/Basis!$E$3/Basis!$E$9)*Basis!$E$11,0)</f>
        <v>339</v>
      </c>
      <c r="J1308" s="123">
        <f>IF(Basis!$E$1=1,ROUND(H1308/((TaH-TrH)*1.163)/3600,3),ROUND(H1308/(500*(TaH-TrH)),2))</f>
        <v>0.32</v>
      </c>
      <c r="K1308" s="84"/>
      <c r="L1308" s="177">
        <f>CHOOSE(Basis!$E$1,((AJ1308*(J1308*3600/Basis!$E$5)^AK1308*(((MID(C1308,9,3)*10)-244)/1000)*AL1308+AM1308*(J1308*3600/Basis!$E$5)^2)*0.0098)/Basis!$E$10,((AJ1308*(J1308/Basis!$E$5)^AK1308*(((MID(C1308,9,3)*10)-244)/1000)*AL1308+AM1308*(J1308/Basis!$E$5)^2)*0.0098)/Basis!$E$10)</f>
        <v>1.3831780198534083E-2</v>
      </c>
      <c r="M1308" s="85"/>
      <c r="N1308" s="109">
        <v>1.3620000000000001</v>
      </c>
      <c r="O1308" s="68"/>
      <c r="P1308" s="67">
        <v>1481</v>
      </c>
      <c r="Q1308" s="68"/>
      <c r="R1308" s="69"/>
      <c r="S1308" s="69"/>
      <c r="T1308" s="69"/>
      <c r="U1308" s="69"/>
      <c r="V1308" s="69"/>
      <c r="W1308" s="68"/>
      <c r="X1308" s="70"/>
      <c r="Y1308" s="70"/>
      <c r="Z1308" s="70"/>
      <c r="AA1308" s="70"/>
      <c r="AB1308" s="70"/>
      <c r="AC1308" s="68"/>
      <c r="AD1308" s="71"/>
      <c r="AE1308" s="71"/>
      <c r="AF1308" s="71"/>
      <c r="AG1308" s="71"/>
      <c r="AH1308" s="71"/>
      <c r="AI1308" s="68"/>
      <c r="AJ1308" s="214">
        <v>2.0829999999999999E-4</v>
      </c>
      <c r="AK1308" s="214">
        <v>1.724</v>
      </c>
      <c r="AL1308" s="214">
        <v>2</v>
      </c>
      <c r="AM1308" s="214">
        <v>4.6182900000000003E-4</v>
      </c>
      <c r="AN1308" s="68"/>
      <c r="AO1308" s="67"/>
      <c r="AP1308" s="67"/>
      <c r="AQ1308" s="67"/>
      <c r="AR1308" s="67"/>
      <c r="AS1308" s="67"/>
      <c r="AT1308" s="68"/>
      <c r="AU1308" s="49"/>
      <c r="AV1308" s="50"/>
    </row>
    <row r="1309" spans="1:48" ht="12.75" customHeight="1" x14ac:dyDescent="0.25">
      <c r="A1309" s="72" t="s">
        <v>119</v>
      </c>
      <c r="B1309" s="43" t="s">
        <v>1154</v>
      </c>
      <c r="C1309" s="44" t="s">
        <v>1464</v>
      </c>
      <c r="D1309" s="45">
        <f>MROUND(MID($C1309,6,3)/Basis!$E$3,0.5)</f>
        <v>5.5</v>
      </c>
      <c r="E1309" s="45">
        <f>MROUND(MID($C1309,9,3)/Basis!$E$3,0.5)</f>
        <v>114</v>
      </c>
      <c r="F1309" s="199" t="s">
        <v>2950</v>
      </c>
      <c r="G1309" s="45">
        <f>ROUND(MID($C1309,12,2)/Basis!$E$3,1)</f>
        <v>16.5</v>
      </c>
      <c r="H1309" s="120">
        <f>ROUND($P1309*Basis!$E$2*((TaH-TrH)/LN(1/µ)/Basis!$E$7)^$N1309*$AA$4*Glycol,0)</f>
        <v>4345</v>
      </c>
      <c r="I1309" s="83">
        <f>ROUND(H1309/(MID($C1309,9,3)/Basis!$E$3/Basis!$E$9)*Basis!$E$11,0)</f>
        <v>457</v>
      </c>
      <c r="J1309" s="123">
        <f>IF(Basis!$E$1=1,ROUND(H1309/((TaH-TrH)*1.163)/3600,3),ROUND(H1309/(500*(TaH-TrH)),2))</f>
        <v>0.43</v>
      </c>
      <c r="K1309" s="84"/>
      <c r="L1309" s="177">
        <f>CHOOSE(Basis!$E$1,((AJ1309*(J1309*3600/Basis!$E$5)^AK1309*(((MID(C1309,9,3)*10)-244)/1000)*AL1309+AM1309*(J1309*3600/Basis!$E$5)^2)*0.0098)/Basis!$E$10,((AJ1309*(J1309/Basis!$E$5)^AK1309*(((MID(C1309,9,3)*10)-244)/1000)*AL1309+AM1309*(J1309/Basis!$E$5)^2)*0.0098)/Basis!$E$10)</f>
        <v>1.7657512046633236E-2</v>
      </c>
      <c r="M1309" s="85"/>
      <c r="N1309" s="110">
        <v>1.3620000000000001</v>
      </c>
      <c r="O1309" s="74"/>
      <c r="P1309" s="73">
        <v>1996</v>
      </c>
      <c r="Q1309" s="74"/>
      <c r="R1309" s="75"/>
      <c r="S1309" s="75"/>
      <c r="T1309" s="75"/>
      <c r="U1309" s="75"/>
      <c r="V1309" s="75"/>
      <c r="W1309" s="74"/>
      <c r="X1309" s="76"/>
      <c r="Y1309" s="76"/>
      <c r="Z1309" s="76"/>
      <c r="AA1309" s="76"/>
      <c r="AB1309" s="76"/>
      <c r="AC1309" s="74"/>
      <c r="AD1309" s="77"/>
      <c r="AE1309" s="77"/>
      <c r="AF1309" s="77"/>
      <c r="AG1309" s="77"/>
      <c r="AH1309" s="77"/>
      <c r="AI1309" s="68"/>
      <c r="AJ1309" s="214">
        <v>1.2760000000000001E-4</v>
      </c>
      <c r="AK1309" s="214">
        <v>1.7219</v>
      </c>
      <c r="AL1309" s="214">
        <v>2</v>
      </c>
      <c r="AM1309" s="214">
        <v>3.76611E-4</v>
      </c>
      <c r="AN1309" s="74"/>
      <c r="AO1309" s="73"/>
      <c r="AP1309" s="73"/>
      <c r="AQ1309" s="73"/>
      <c r="AR1309" s="73"/>
      <c r="AS1309" s="73"/>
      <c r="AT1309" s="74"/>
      <c r="AU1309" s="47"/>
      <c r="AV1309" s="48"/>
    </row>
    <row r="1310" spans="1:48" ht="12.75" customHeight="1" x14ac:dyDescent="0.25">
      <c r="A1310" s="72" t="s">
        <v>119</v>
      </c>
      <c r="B1310" s="43" t="s">
        <v>1154</v>
      </c>
      <c r="C1310" s="44" t="s">
        <v>1465</v>
      </c>
      <c r="D1310" s="45">
        <f>MROUND(MID($C1310,6,3)/Basis!$E$3,0.5)</f>
        <v>5.5</v>
      </c>
      <c r="E1310" s="45">
        <f>MROUND(MID($C1310,9,3)/Basis!$E$3,0.5)</f>
        <v>122</v>
      </c>
      <c r="F1310" s="199" t="s">
        <v>2950</v>
      </c>
      <c r="G1310" s="45">
        <f>ROUND(MID($C1310,12,2)/Basis!$E$3,1)</f>
        <v>5.5</v>
      </c>
      <c r="H1310" s="120">
        <f>ROUND($P1310*Basis!$E$2*((TaH-TrH)/LN(1/µ)/Basis!$E$7)^$N1310*$AA$4*Glycol,0)</f>
        <v>1465</v>
      </c>
      <c r="I1310" s="83">
        <f>ROUND(H1310/(MID($C1310,9,3)/Basis!$E$3/Basis!$E$9)*Basis!$E$11,0)</f>
        <v>144</v>
      </c>
      <c r="J1310" s="123">
        <f>IF(Basis!$E$1=1,ROUND(H1310/((TaH-TrH)*1.163)/3600,3),ROUND(H1310/(500*(TaH-TrH)),2))</f>
        <v>0.15</v>
      </c>
      <c r="K1310" s="84"/>
      <c r="L1310" s="177">
        <f>CHOOSE(Basis!$E$1,((AJ1310*(J1310*3600/Basis!$E$5)^AK1310*(((MID(C1310,9,3)*10)-244)/1000)*AL1310+AM1310*(J1310*3600/Basis!$E$5)^2)*0.0098)/Basis!$E$10,((AJ1310*(J1310/Basis!$E$5)^AK1310*(((MID(C1310,9,3)*10)-244)/1000)*AL1310+AM1310*(J1310/Basis!$E$5)^2)*0.0098)/Basis!$E$10)</f>
        <v>1.1364362581494356E-2</v>
      </c>
      <c r="M1310" s="85"/>
      <c r="N1310" s="109">
        <v>1.3620000000000001</v>
      </c>
      <c r="O1310" s="68"/>
      <c r="P1310" s="67">
        <v>673</v>
      </c>
      <c r="Q1310" s="68"/>
      <c r="R1310" s="69"/>
      <c r="S1310" s="69"/>
      <c r="T1310" s="69"/>
      <c r="U1310" s="69"/>
      <c r="V1310" s="69"/>
      <c r="W1310" s="68"/>
      <c r="X1310" s="70"/>
      <c r="Y1310" s="70"/>
      <c r="Z1310" s="70"/>
      <c r="AA1310" s="70"/>
      <c r="AB1310" s="70"/>
      <c r="AC1310" s="68"/>
      <c r="AD1310" s="71"/>
      <c r="AE1310" s="71"/>
      <c r="AF1310" s="71"/>
      <c r="AG1310" s="71"/>
      <c r="AH1310" s="71"/>
      <c r="AI1310" s="68"/>
      <c r="AJ1310" s="214">
        <v>9.3669999999999995E-4</v>
      </c>
      <c r="AK1310" s="214">
        <v>1.789841</v>
      </c>
      <c r="AL1310" s="214">
        <v>2</v>
      </c>
      <c r="AM1310" s="214">
        <v>4.4559999999999999E-4</v>
      </c>
      <c r="AN1310" s="68"/>
      <c r="AO1310" s="67"/>
      <c r="AP1310" s="67"/>
      <c r="AQ1310" s="67"/>
      <c r="AR1310" s="67"/>
      <c r="AS1310" s="67"/>
      <c r="AT1310" s="68"/>
      <c r="AU1310" s="49"/>
      <c r="AV1310" s="50"/>
    </row>
    <row r="1311" spans="1:48" ht="12.75" customHeight="1" x14ac:dyDescent="0.25">
      <c r="A1311" s="72" t="s">
        <v>119</v>
      </c>
      <c r="B1311" s="43" t="s">
        <v>1154</v>
      </c>
      <c r="C1311" s="44" t="s">
        <v>1466</v>
      </c>
      <c r="D1311" s="45">
        <f>MROUND(MID($C1311,6,3)/Basis!$E$3,0.5)</f>
        <v>5.5</v>
      </c>
      <c r="E1311" s="45">
        <f>MROUND(MID($C1311,9,3)/Basis!$E$3,0.5)</f>
        <v>122</v>
      </c>
      <c r="F1311" s="199" t="s">
        <v>2950</v>
      </c>
      <c r="G1311" s="45">
        <f>ROUND(MID($C1311,12,2)/Basis!$E$3,1)</f>
        <v>10.199999999999999</v>
      </c>
      <c r="H1311" s="120">
        <f>ROUND($P1311*Basis!$E$2*((TaH-TrH)/LN(1/µ)/Basis!$E$7)^$N1311*$AA$4*Glycol,0)</f>
        <v>2547</v>
      </c>
      <c r="I1311" s="83">
        <f>ROUND(H1311/(MID($C1311,9,3)/Basis!$E$3/Basis!$E$9)*Basis!$E$11,0)</f>
        <v>250</v>
      </c>
      <c r="J1311" s="123">
        <f>IF(Basis!$E$1=1,ROUND(H1311/((TaH-TrH)*1.163)/3600,3),ROUND(H1311/(500*(TaH-TrH)),2))</f>
        <v>0.25</v>
      </c>
      <c r="K1311" s="84"/>
      <c r="L1311" s="177">
        <f>CHOOSE(Basis!$E$1,((AJ1311*(J1311*3600/Basis!$E$5)^AK1311*(((MID(C1311,9,3)*10)-244)/1000)*AL1311+AM1311*(J1311*3600/Basis!$E$5)^2)*0.0098)/Basis!$E$10,((AJ1311*(J1311/Basis!$E$5)^AK1311*(((MID(C1311,9,3)*10)-244)/1000)*AL1311+AM1311*(J1311/Basis!$E$5)^2)*0.0098)/Basis!$E$10)</f>
        <v>1.2053875712797686E-2</v>
      </c>
      <c r="M1311" s="85"/>
      <c r="N1311" s="110">
        <v>1.3620000000000001</v>
      </c>
      <c r="O1311" s="74"/>
      <c r="P1311" s="73">
        <v>1170</v>
      </c>
      <c r="Q1311" s="74"/>
      <c r="R1311" s="75"/>
      <c r="S1311" s="75"/>
      <c r="T1311" s="75"/>
      <c r="U1311" s="75"/>
      <c r="V1311" s="75"/>
      <c r="W1311" s="74"/>
      <c r="X1311" s="76"/>
      <c r="Y1311" s="76"/>
      <c r="Z1311" s="76"/>
      <c r="AA1311" s="76"/>
      <c r="AB1311" s="76"/>
      <c r="AC1311" s="74"/>
      <c r="AD1311" s="77"/>
      <c r="AE1311" s="77"/>
      <c r="AF1311" s="77"/>
      <c r="AG1311" s="77"/>
      <c r="AH1311" s="77"/>
      <c r="AI1311" s="68"/>
      <c r="AJ1311" s="213">
        <v>3.9689999999999994E-4</v>
      </c>
      <c r="AK1311" s="213">
        <v>1.7345999999999999</v>
      </c>
      <c r="AL1311" s="213">
        <v>2</v>
      </c>
      <c r="AM1311" s="213">
        <v>3.6734700000000002E-4</v>
      </c>
      <c r="AN1311" s="74"/>
      <c r="AO1311" s="73"/>
      <c r="AP1311" s="73"/>
      <c r="AQ1311" s="73"/>
      <c r="AR1311" s="73"/>
      <c r="AS1311" s="73"/>
      <c r="AT1311" s="74"/>
      <c r="AU1311" s="47"/>
      <c r="AV1311" s="48"/>
    </row>
    <row r="1312" spans="1:48" ht="12.75" customHeight="1" x14ac:dyDescent="0.25">
      <c r="A1312" s="72" t="s">
        <v>119</v>
      </c>
      <c r="B1312" s="43" t="s">
        <v>1154</v>
      </c>
      <c r="C1312" s="44" t="s">
        <v>1467</v>
      </c>
      <c r="D1312" s="45">
        <f>MROUND(MID($C1312,6,3)/Basis!$E$3,0.5)</f>
        <v>5.5</v>
      </c>
      <c r="E1312" s="45">
        <f>MROUND(MID($C1312,9,3)/Basis!$E$3,0.5)</f>
        <v>122</v>
      </c>
      <c r="F1312" s="199" t="s">
        <v>2950</v>
      </c>
      <c r="G1312" s="45">
        <f>ROUND(MID($C1312,12,2)/Basis!$E$3,1)</f>
        <v>13.4</v>
      </c>
      <c r="H1312" s="120">
        <f>ROUND($P1312*Basis!$E$2*((TaH-TrH)/LN(1/µ)/Basis!$E$7)^$N1312*$AA$4*Glycol,0)</f>
        <v>3472</v>
      </c>
      <c r="I1312" s="83">
        <f>ROUND(H1312/(MID($C1312,9,3)/Basis!$E$3/Basis!$E$9)*Basis!$E$11,0)</f>
        <v>341</v>
      </c>
      <c r="J1312" s="123">
        <f>IF(Basis!$E$1=1,ROUND(H1312/((TaH-TrH)*1.163)/3600,3),ROUND(H1312/(500*(TaH-TrH)),2))</f>
        <v>0.35</v>
      </c>
      <c r="K1312" s="84"/>
      <c r="L1312" s="177">
        <f>CHOOSE(Basis!$E$1,((AJ1312*(J1312*3600/Basis!$E$5)^AK1312*(((MID(C1312,9,3)*10)-244)/1000)*AL1312+AM1312*(J1312*3600/Basis!$E$5)^2)*0.0098)/Basis!$E$10,((AJ1312*(J1312/Basis!$E$5)^AK1312*(((MID(C1312,9,3)*10)-244)/1000)*AL1312+AM1312*(J1312/Basis!$E$5)^2)*0.0098)/Basis!$E$10)</f>
        <v>1.6890250190508108E-2</v>
      </c>
      <c r="M1312" s="85"/>
      <c r="N1312" s="109">
        <v>1.3620000000000001</v>
      </c>
      <c r="O1312" s="68"/>
      <c r="P1312" s="67">
        <v>1595</v>
      </c>
      <c r="Q1312" s="68"/>
      <c r="R1312" s="69"/>
      <c r="S1312" s="69"/>
      <c r="T1312" s="69"/>
      <c r="U1312" s="69"/>
      <c r="V1312" s="69"/>
      <c r="W1312" s="68"/>
      <c r="X1312" s="70"/>
      <c r="Y1312" s="70"/>
      <c r="Z1312" s="70"/>
      <c r="AA1312" s="70"/>
      <c r="AB1312" s="70"/>
      <c r="AC1312" s="68"/>
      <c r="AD1312" s="71"/>
      <c r="AE1312" s="71"/>
      <c r="AF1312" s="71"/>
      <c r="AG1312" s="71"/>
      <c r="AH1312" s="71"/>
      <c r="AI1312" s="68"/>
      <c r="AJ1312" s="214">
        <v>2.0829999999999999E-4</v>
      </c>
      <c r="AK1312" s="214">
        <v>1.724</v>
      </c>
      <c r="AL1312" s="214">
        <v>2</v>
      </c>
      <c r="AM1312" s="214">
        <v>4.6182900000000003E-4</v>
      </c>
      <c r="AN1312" s="68"/>
      <c r="AO1312" s="67"/>
      <c r="AP1312" s="67"/>
      <c r="AQ1312" s="67"/>
      <c r="AR1312" s="67"/>
      <c r="AS1312" s="67"/>
      <c r="AT1312" s="68"/>
      <c r="AU1312" s="49"/>
      <c r="AV1312" s="50"/>
    </row>
    <row r="1313" spans="1:48" ht="12.75" customHeight="1" x14ac:dyDescent="0.25">
      <c r="A1313" s="72" t="s">
        <v>119</v>
      </c>
      <c r="B1313" s="43" t="s">
        <v>1154</v>
      </c>
      <c r="C1313" s="44" t="s">
        <v>1468</v>
      </c>
      <c r="D1313" s="45">
        <f>MROUND(MID($C1313,6,3)/Basis!$E$3,0.5)</f>
        <v>5.5</v>
      </c>
      <c r="E1313" s="45">
        <f>MROUND(MID($C1313,9,3)/Basis!$E$3,0.5)</f>
        <v>122</v>
      </c>
      <c r="F1313" s="199" t="s">
        <v>2950</v>
      </c>
      <c r="G1313" s="45">
        <f>ROUND(MID($C1313,12,2)/Basis!$E$3,1)</f>
        <v>16.5</v>
      </c>
      <c r="H1313" s="120">
        <f>ROUND($P1313*Basis!$E$2*((TaH-TrH)/LN(1/µ)/Basis!$E$7)^$N1313*$AA$4*Glycol,0)</f>
        <v>4680</v>
      </c>
      <c r="I1313" s="83">
        <f>ROUND(H1313/(MID($C1313,9,3)/Basis!$E$3/Basis!$E$9)*Basis!$E$11,0)</f>
        <v>460</v>
      </c>
      <c r="J1313" s="123">
        <f>IF(Basis!$E$1=1,ROUND(H1313/((TaH-TrH)*1.163)/3600,3),ROUND(H1313/(500*(TaH-TrH)),2))</f>
        <v>0.47</v>
      </c>
      <c r="K1313" s="84"/>
      <c r="L1313" s="177">
        <f>CHOOSE(Basis!$E$1,((AJ1313*(J1313*3600/Basis!$E$5)^AK1313*(((MID(C1313,9,3)*10)-244)/1000)*AL1313+AM1313*(J1313*3600/Basis!$E$5)^2)*0.0098)/Basis!$E$10,((AJ1313*(J1313/Basis!$E$5)^AK1313*(((MID(C1313,9,3)*10)-244)/1000)*AL1313+AM1313*(J1313/Basis!$E$5)^2)*0.0098)/Basis!$E$10)</f>
        <v>2.1441724895109506E-2</v>
      </c>
      <c r="M1313" s="85"/>
      <c r="N1313" s="110">
        <v>1.3620000000000001</v>
      </c>
      <c r="O1313" s="74"/>
      <c r="P1313" s="73">
        <v>2150</v>
      </c>
      <c r="Q1313" s="74"/>
      <c r="R1313" s="75"/>
      <c r="S1313" s="75"/>
      <c r="T1313" s="75"/>
      <c r="U1313" s="75"/>
      <c r="V1313" s="75"/>
      <c r="W1313" s="74"/>
      <c r="X1313" s="76"/>
      <c r="Y1313" s="76"/>
      <c r="Z1313" s="76"/>
      <c r="AA1313" s="76"/>
      <c r="AB1313" s="76"/>
      <c r="AC1313" s="74"/>
      <c r="AD1313" s="77"/>
      <c r="AE1313" s="77"/>
      <c r="AF1313" s="77"/>
      <c r="AG1313" s="77"/>
      <c r="AH1313" s="77"/>
      <c r="AI1313" s="68"/>
      <c r="AJ1313" s="214">
        <v>1.2760000000000001E-4</v>
      </c>
      <c r="AK1313" s="214">
        <v>1.7219</v>
      </c>
      <c r="AL1313" s="214">
        <v>2</v>
      </c>
      <c r="AM1313" s="214">
        <v>3.76611E-4</v>
      </c>
      <c r="AN1313" s="74"/>
      <c r="AO1313" s="73"/>
      <c r="AP1313" s="73"/>
      <c r="AQ1313" s="73"/>
      <c r="AR1313" s="73"/>
      <c r="AS1313" s="73"/>
      <c r="AT1313" s="74"/>
      <c r="AU1313" s="47"/>
      <c r="AV1313" s="48"/>
    </row>
    <row r="1314" spans="1:48" ht="12.75" customHeight="1" x14ac:dyDescent="0.25">
      <c r="A1314" s="72" t="s">
        <v>119</v>
      </c>
      <c r="B1314" s="43" t="s">
        <v>1154</v>
      </c>
      <c r="C1314" s="44" t="s">
        <v>1469</v>
      </c>
      <c r="D1314" s="45">
        <f>MROUND(MID($C1314,6,3)/Basis!$E$3,0.5)</f>
        <v>5.5</v>
      </c>
      <c r="E1314" s="45">
        <f>MROUND(MID($C1314,9,3)/Basis!$E$3,0.5)</f>
        <v>130</v>
      </c>
      <c r="F1314" s="199" t="s">
        <v>2950</v>
      </c>
      <c r="G1314" s="45">
        <f>ROUND(MID($C1314,12,2)/Basis!$E$3,1)</f>
        <v>5.5</v>
      </c>
      <c r="H1314" s="120">
        <f>ROUND($P1314*Basis!$E$2*((TaH-TrH)/LN(1/µ)/Basis!$E$7)^$N1314*$AA$4*Glycol,0)</f>
        <v>1572</v>
      </c>
      <c r="I1314" s="83">
        <f>ROUND(H1314/(MID($C1314,9,3)/Basis!$E$3/Basis!$E$9)*Basis!$E$11,0)</f>
        <v>145</v>
      </c>
      <c r="J1314" s="123">
        <f>IF(Basis!$E$1=1,ROUND(H1314/((TaH-TrH)*1.163)/3600,3),ROUND(H1314/(500*(TaH-TrH)),2))</f>
        <v>0.16</v>
      </c>
      <c r="K1314" s="84"/>
      <c r="L1314" s="177">
        <f>CHOOSE(Basis!$E$1,((AJ1314*(J1314*3600/Basis!$E$5)^AK1314*(((MID(C1314,9,3)*10)-244)/1000)*AL1314+AM1314*(J1314*3600/Basis!$E$5)^2)*0.0098)/Basis!$E$10,((AJ1314*(J1314/Basis!$E$5)^AK1314*(((MID(C1314,9,3)*10)-244)/1000)*AL1314+AM1314*(J1314/Basis!$E$5)^2)*0.0098)/Basis!$E$10)</f>
        <v>1.3542196149154785E-2</v>
      </c>
      <c r="M1314" s="85"/>
      <c r="N1314" s="109">
        <v>1.3620000000000001</v>
      </c>
      <c r="O1314" s="68"/>
      <c r="P1314" s="67">
        <v>722</v>
      </c>
      <c r="Q1314" s="68"/>
      <c r="R1314" s="69"/>
      <c r="S1314" s="69"/>
      <c r="T1314" s="69"/>
      <c r="U1314" s="69"/>
      <c r="V1314" s="69"/>
      <c r="W1314" s="68"/>
      <c r="X1314" s="70"/>
      <c r="Y1314" s="70"/>
      <c r="Z1314" s="70"/>
      <c r="AA1314" s="70"/>
      <c r="AB1314" s="70"/>
      <c r="AC1314" s="68"/>
      <c r="AD1314" s="71"/>
      <c r="AE1314" s="71"/>
      <c r="AF1314" s="71"/>
      <c r="AG1314" s="71"/>
      <c r="AH1314" s="71"/>
      <c r="AI1314" s="68"/>
      <c r="AJ1314" s="214">
        <v>9.3669999999999995E-4</v>
      </c>
      <c r="AK1314" s="214">
        <v>1.789841</v>
      </c>
      <c r="AL1314" s="214">
        <v>2</v>
      </c>
      <c r="AM1314" s="214">
        <v>4.4559999999999999E-4</v>
      </c>
      <c r="AN1314" s="68"/>
      <c r="AO1314" s="67"/>
      <c r="AP1314" s="67"/>
      <c r="AQ1314" s="67"/>
      <c r="AR1314" s="67"/>
      <c r="AS1314" s="67"/>
      <c r="AT1314" s="68"/>
      <c r="AU1314" s="49"/>
      <c r="AV1314" s="50"/>
    </row>
    <row r="1315" spans="1:48" ht="12.75" customHeight="1" x14ac:dyDescent="0.25">
      <c r="A1315" s="72" t="s">
        <v>119</v>
      </c>
      <c r="B1315" s="43" t="s">
        <v>1154</v>
      </c>
      <c r="C1315" s="44" t="s">
        <v>1470</v>
      </c>
      <c r="D1315" s="45">
        <f>MROUND(MID($C1315,6,3)/Basis!$E$3,0.5)</f>
        <v>5.5</v>
      </c>
      <c r="E1315" s="45">
        <f>MROUND(MID($C1315,9,3)/Basis!$E$3,0.5)</f>
        <v>130</v>
      </c>
      <c r="F1315" s="199" t="s">
        <v>2950</v>
      </c>
      <c r="G1315" s="45">
        <f>ROUND(MID($C1315,12,2)/Basis!$E$3,1)</f>
        <v>10.199999999999999</v>
      </c>
      <c r="H1315" s="120">
        <f>ROUND($P1315*Basis!$E$2*((TaH-TrH)/LN(1/µ)/Basis!$E$7)^$N1315*$AA$4*Glycol,0)</f>
        <v>2727</v>
      </c>
      <c r="I1315" s="83">
        <f>ROUND(H1315/(MID($C1315,9,3)/Basis!$E$3/Basis!$E$9)*Basis!$E$11,0)</f>
        <v>252</v>
      </c>
      <c r="J1315" s="123">
        <f>IF(Basis!$E$1=1,ROUND(H1315/((TaH-TrH)*1.163)/3600,3),ROUND(H1315/(500*(TaH-TrH)),2))</f>
        <v>0.27</v>
      </c>
      <c r="K1315" s="84"/>
      <c r="L1315" s="177">
        <f>CHOOSE(Basis!$E$1,((AJ1315*(J1315*3600/Basis!$E$5)^AK1315*(((MID(C1315,9,3)*10)-244)/1000)*AL1315+AM1315*(J1315*3600/Basis!$E$5)^2)*0.0098)/Basis!$E$10,((AJ1315*(J1315/Basis!$E$5)^AK1315*(((MID(C1315,9,3)*10)-244)/1000)*AL1315+AM1315*(J1315/Basis!$E$5)^2)*0.0098)/Basis!$E$10)</f>
        <v>1.4521450232902895E-2</v>
      </c>
      <c r="M1315" s="85"/>
      <c r="N1315" s="110">
        <v>1.3620000000000001</v>
      </c>
      <c r="O1315" s="74"/>
      <c r="P1315" s="73">
        <v>1253</v>
      </c>
      <c r="Q1315" s="74"/>
      <c r="R1315" s="75"/>
      <c r="S1315" s="75"/>
      <c r="T1315" s="75"/>
      <c r="U1315" s="75"/>
      <c r="V1315" s="75"/>
      <c r="W1315" s="74"/>
      <c r="X1315" s="76"/>
      <c r="Y1315" s="76"/>
      <c r="Z1315" s="76"/>
      <c r="AA1315" s="76"/>
      <c r="AB1315" s="76"/>
      <c r="AC1315" s="74"/>
      <c r="AD1315" s="77"/>
      <c r="AE1315" s="77"/>
      <c r="AF1315" s="77"/>
      <c r="AG1315" s="77"/>
      <c r="AH1315" s="77"/>
      <c r="AI1315" s="68"/>
      <c r="AJ1315" s="213">
        <v>3.9689999999999994E-4</v>
      </c>
      <c r="AK1315" s="213">
        <v>1.7345999999999999</v>
      </c>
      <c r="AL1315" s="213">
        <v>2</v>
      </c>
      <c r="AM1315" s="213">
        <v>3.6734700000000002E-4</v>
      </c>
      <c r="AN1315" s="74"/>
      <c r="AO1315" s="73"/>
      <c r="AP1315" s="73"/>
      <c r="AQ1315" s="73"/>
      <c r="AR1315" s="73"/>
      <c r="AS1315" s="73"/>
      <c r="AT1315" s="74"/>
      <c r="AU1315" s="47"/>
      <c r="AV1315" s="48"/>
    </row>
    <row r="1316" spans="1:48" ht="12.75" customHeight="1" x14ac:dyDescent="0.25">
      <c r="A1316" s="72" t="s">
        <v>119</v>
      </c>
      <c r="B1316" s="43" t="s">
        <v>1154</v>
      </c>
      <c r="C1316" s="44" t="s">
        <v>1471</v>
      </c>
      <c r="D1316" s="45">
        <f>MROUND(MID($C1316,6,3)/Basis!$E$3,0.5)</f>
        <v>5.5</v>
      </c>
      <c r="E1316" s="45">
        <f>MROUND(MID($C1316,9,3)/Basis!$E$3,0.5)</f>
        <v>130</v>
      </c>
      <c r="F1316" s="199" t="s">
        <v>2950</v>
      </c>
      <c r="G1316" s="45">
        <f>ROUND(MID($C1316,12,2)/Basis!$E$3,1)</f>
        <v>13.4</v>
      </c>
      <c r="H1316" s="120">
        <f>ROUND($P1316*Basis!$E$2*((TaH-TrH)/LN(1/µ)/Basis!$E$7)^$N1316*$AA$4*Glycol,0)</f>
        <v>3720</v>
      </c>
      <c r="I1316" s="83">
        <f>ROUND(H1316/(MID($C1316,9,3)/Basis!$E$3/Basis!$E$9)*Basis!$E$11,0)</f>
        <v>344</v>
      </c>
      <c r="J1316" s="123">
        <f>IF(Basis!$E$1=1,ROUND(H1316/((TaH-TrH)*1.163)/3600,3),ROUND(H1316/(500*(TaH-TrH)),2))</f>
        <v>0.37</v>
      </c>
      <c r="K1316" s="84"/>
      <c r="L1316" s="177">
        <f>CHOOSE(Basis!$E$1,((AJ1316*(J1316*3600/Basis!$E$5)^AK1316*(((MID(C1316,9,3)*10)-244)/1000)*AL1316+AM1316*(J1316*3600/Basis!$E$5)^2)*0.0098)/Basis!$E$10,((AJ1316*(J1316/Basis!$E$5)^AK1316*(((MID(C1316,9,3)*10)-244)/1000)*AL1316+AM1316*(J1316/Basis!$E$5)^2)*0.0098)/Basis!$E$10)</f>
        <v>1.9317026352700387E-2</v>
      </c>
      <c r="M1316" s="85"/>
      <c r="N1316" s="109">
        <v>1.3620000000000001</v>
      </c>
      <c r="O1316" s="68"/>
      <c r="P1316" s="67">
        <v>1709</v>
      </c>
      <c r="Q1316" s="68"/>
      <c r="R1316" s="69"/>
      <c r="S1316" s="69"/>
      <c r="T1316" s="69"/>
      <c r="U1316" s="69"/>
      <c r="V1316" s="69"/>
      <c r="W1316" s="68"/>
      <c r="X1316" s="70"/>
      <c r="Y1316" s="70"/>
      <c r="Z1316" s="70"/>
      <c r="AA1316" s="70"/>
      <c r="AB1316" s="70"/>
      <c r="AC1316" s="68"/>
      <c r="AD1316" s="71"/>
      <c r="AE1316" s="71"/>
      <c r="AF1316" s="71"/>
      <c r="AG1316" s="71"/>
      <c r="AH1316" s="71"/>
      <c r="AI1316" s="68"/>
      <c r="AJ1316" s="214">
        <v>2.0829999999999999E-4</v>
      </c>
      <c r="AK1316" s="214">
        <v>1.724</v>
      </c>
      <c r="AL1316" s="214">
        <v>2</v>
      </c>
      <c r="AM1316" s="214">
        <v>4.6182900000000003E-4</v>
      </c>
      <c r="AN1316" s="68"/>
      <c r="AO1316" s="67"/>
      <c r="AP1316" s="67"/>
      <c r="AQ1316" s="67"/>
      <c r="AR1316" s="67"/>
      <c r="AS1316" s="67"/>
      <c r="AT1316" s="68"/>
      <c r="AU1316" s="49"/>
      <c r="AV1316" s="50"/>
    </row>
    <row r="1317" spans="1:48" ht="12.75" customHeight="1" x14ac:dyDescent="0.25">
      <c r="A1317" s="72" t="s">
        <v>119</v>
      </c>
      <c r="B1317" s="43" t="s">
        <v>1154</v>
      </c>
      <c r="C1317" s="44" t="s">
        <v>1472</v>
      </c>
      <c r="D1317" s="45">
        <f>MROUND(MID($C1317,6,3)/Basis!$E$3,0.5)</f>
        <v>5.5</v>
      </c>
      <c r="E1317" s="45">
        <f>MROUND(MID($C1317,9,3)/Basis!$E$3,0.5)</f>
        <v>130</v>
      </c>
      <c r="F1317" s="199" t="s">
        <v>2950</v>
      </c>
      <c r="G1317" s="45">
        <f>ROUND(MID($C1317,12,2)/Basis!$E$3,1)</f>
        <v>16.5</v>
      </c>
      <c r="H1317" s="120">
        <f>ROUND($P1317*Basis!$E$2*((TaH-TrH)/LN(1/µ)/Basis!$E$7)^$N1317*$AA$4*Glycol,0)</f>
        <v>5015</v>
      </c>
      <c r="I1317" s="83">
        <f>ROUND(H1317/(MID($C1317,9,3)/Basis!$E$3/Basis!$E$9)*Basis!$E$11,0)</f>
        <v>463</v>
      </c>
      <c r="J1317" s="123">
        <f>IF(Basis!$E$1=1,ROUND(H1317/((TaH-TrH)*1.163)/3600,3),ROUND(H1317/(500*(TaH-TrH)),2))</f>
        <v>0.5</v>
      </c>
      <c r="K1317" s="84"/>
      <c r="L1317" s="177">
        <f>CHOOSE(Basis!$E$1,((AJ1317*(J1317*3600/Basis!$E$5)^AK1317*(((MID(C1317,9,3)*10)-244)/1000)*AL1317+AM1317*(J1317*3600/Basis!$E$5)^2)*0.0098)/Basis!$E$10,((AJ1317*(J1317/Basis!$E$5)^AK1317*(((MID(C1317,9,3)*10)-244)/1000)*AL1317+AM1317*(J1317/Basis!$E$5)^2)*0.0098)/Basis!$E$10)</f>
        <v>2.4700471298621841E-2</v>
      </c>
      <c r="M1317" s="85"/>
      <c r="N1317" s="110">
        <v>1.3620000000000001</v>
      </c>
      <c r="O1317" s="74"/>
      <c r="P1317" s="73">
        <v>2304</v>
      </c>
      <c r="Q1317" s="74"/>
      <c r="R1317" s="75"/>
      <c r="S1317" s="75"/>
      <c r="T1317" s="75"/>
      <c r="U1317" s="75"/>
      <c r="V1317" s="75"/>
      <c r="W1317" s="74"/>
      <c r="X1317" s="76"/>
      <c r="Y1317" s="76"/>
      <c r="Z1317" s="76"/>
      <c r="AA1317" s="76"/>
      <c r="AB1317" s="76"/>
      <c r="AC1317" s="74"/>
      <c r="AD1317" s="77"/>
      <c r="AE1317" s="77"/>
      <c r="AF1317" s="77"/>
      <c r="AG1317" s="77"/>
      <c r="AH1317" s="77"/>
      <c r="AI1317" s="68"/>
      <c r="AJ1317" s="214">
        <v>1.2760000000000001E-4</v>
      </c>
      <c r="AK1317" s="214">
        <v>1.7219</v>
      </c>
      <c r="AL1317" s="214">
        <v>2</v>
      </c>
      <c r="AM1317" s="214">
        <v>3.76611E-4</v>
      </c>
      <c r="AN1317" s="74"/>
      <c r="AO1317" s="73"/>
      <c r="AP1317" s="73"/>
      <c r="AQ1317" s="73"/>
      <c r="AR1317" s="73"/>
      <c r="AS1317" s="73"/>
      <c r="AT1317" s="74"/>
      <c r="AU1317" s="47"/>
      <c r="AV1317" s="48"/>
    </row>
    <row r="1318" spans="1:48" ht="12.75" customHeight="1" x14ac:dyDescent="0.25">
      <c r="A1318" s="72" t="s">
        <v>119</v>
      </c>
      <c r="B1318" s="43" t="s">
        <v>1154</v>
      </c>
      <c r="C1318" s="44" t="s">
        <v>1473</v>
      </c>
      <c r="D1318" s="45">
        <f>MROUND(MID($C1318,6,3)/Basis!$E$3,0.5)</f>
        <v>5.5</v>
      </c>
      <c r="E1318" s="45">
        <f>MROUND(MID($C1318,9,3)/Basis!$E$3,0.5)</f>
        <v>138</v>
      </c>
      <c r="F1318" s="199" t="s">
        <v>2950</v>
      </c>
      <c r="G1318" s="45">
        <f>ROUND(MID($C1318,12,2)/Basis!$E$3,1)</f>
        <v>5.5</v>
      </c>
      <c r="H1318" s="120">
        <f>ROUND($P1318*Basis!$E$2*((TaH-TrH)/LN(1/µ)/Basis!$E$7)^$N1318*$AA$4*Glycol,0)</f>
        <v>1676</v>
      </c>
      <c r="I1318" s="83">
        <f>ROUND(H1318/(MID($C1318,9,3)/Basis!$E$3/Basis!$E$9)*Basis!$E$11,0)</f>
        <v>146</v>
      </c>
      <c r="J1318" s="123">
        <f>IF(Basis!$E$1=1,ROUND(H1318/((TaH-TrH)*1.163)/3600,3),ROUND(H1318/(500*(TaH-TrH)),2))</f>
        <v>0.17</v>
      </c>
      <c r="K1318" s="84"/>
      <c r="L1318" s="177">
        <f>CHOOSE(Basis!$E$1,((AJ1318*(J1318*3600/Basis!$E$5)^AK1318*(((MID(C1318,9,3)*10)-244)/1000)*AL1318+AM1318*(J1318*3600/Basis!$E$5)^2)*0.0098)/Basis!$E$10,((AJ1318*(J1318/Basis!$E$5)^AK1318*(((MID(C1318,9,3)*10)-244)/1000)*AL1318+AM1318*(J1318/Basis!$E$5)^2)*0.0098)/Basis!$E$10)</f>
        <v>1.5969319110980523E-2</v>
      </c>
      <c r="M1318" s="85"/>
      <c r="N1318" s="109">
        <v>1.3620000000000001</v>
      </c>
      <c r="O1318" s="68"/>
      <c r="P1318" s="67">
        <v>770</v>
      </c>
      <c r="Q1318" s="68"/>
      <c r="R1318" s="69"/>
      <c r="S1318" s="69"/>
      <c r="T1318" s="69"/>
      <c r="U1318" s="69"/>
      <c r="V1318" s="69"/>
      <c r="W1318" s="68"/>
      <c r="X1318" s="70"/>
      <c r="Y1318" s="70"/>
      <c r="Z1318" s="70"/>
      <c r="AA1318" s="70"/>
      <c r="AB1318" s="70"/>
      <c r="AC1318" s="68"/>
      <c r="AD1318" s="71"/>
      <c r="AE1318" s="71"/>
      <c r="AF1318" s="71"/>
      <c r="AG1318" s="71"/>
      <c r="AH1318" s="71"/>
      <c r="AI1318" s="68"/>
      <c r="AJ1318" s="214">
        <v>9.3669999999999995E-4</v>
      </c>
      <c r="AK1318" s="214">
        <v>1.789841</v>
      </c>
      <c r="AL1318" s="214">
        <v>2</v>
      </c>
      <c r="AM1318" s="214">
        <v>4.4559999999999999E-4</v>
      </c>
      <c r="AN1318" s="68"/>
      <c r="AO1318" s="67"/>
      <c r="AP1318" s="67"/>
      <c r="AQ1318" s="67"/>
      <c r="AR1318" s="67"/>
      <c r="AS1318" s="67"/>
      <c r="AT1318" s="68"/>
      <c r="AU1318" s="49"/>
      <c r="AV1318" s="50"/>
    </row>
    <row r="1319" spans="1:48" ht="12.75" customHeight="1" x14ac:dyDescent="0.25">
      <c r="A1319" s="72" t="s">
        <v>119</v>
      </c>
      <c r="B1319" s="43" t="s">
        <v>1154</v>
      </c>
      <c r="C1319" s="44" t="s">
        <v>1474</v>
      </c>
      <c r="D1319" s="45">
        <f>MROUND(MID($C1319,6,3)/Basis!$E$3,0.5)</f>
        <v>5.5</v>
      </c>
      <c r="E1319" s="45">
        <f>MROUND(MID($C1319,9,3)/Basis!$E$3,0.5)</f>
        <v>138</v>
      </c>
      <c r="F1319" s="199" t="s">
        <v>2950</v>
      </c>
      <c r="G1319" s="45">
        <f>ROUND(MID($C1319,12,2)/Basis!$E$3,1)</f>
        <v>10.199999999999999</v>
      </c>
      <c r="H1319" s="120">
        <f>ROUND($P1319*Basis!$E$2*((TaH-TrH)/LN(1/µ)/Basis!$E$7)^$N1319*$AA$4*Glycol,0)</f>
        <v>2908</v>
      </c>
      <c r="I1319" s="83">
        <f>ROUND(H1319/(MID($C1319,9,3)/Basis!$E$3/Basis!$E$9)*Basis!$E$11,0)</f>
        <v>253</v>
      </c>
      <c r="J1319" s="123">
        <f>IF(Basis!$E$1=1,ROUND(H1319/((TaH-TrH)*1.163)/3600,3),ROUND(H1319/(500*(TaH-TrH)),2))</f>
        <v>0.28999999999999998</v>
      </c>
      <c r="K1319" s="84"/>
      <c r="L1319" s="177">
        <f>CHOOSE(Basis!$E$1,((AJ1319*(J1319*3600/Basis!$E$5)^AK1319*(((MID(C1319,9,3)*10)-244)/1000)*AL1319+AM1319*(J1319*3600/Basis!$E$5)^2)*0.0098)/Basis!$E$10,((AJ1319*(J1319/Basis!$E$5)^AK1319*(((MID(C1319,9,3)*10)-244)/1000)*AL1319+AM1319*(J1319/Basis!$E$5)^2)*0.0098)/Basis!$E$10)</f>
        <v>1.7276777965132141E-2</v>
      </c>
      <c r="M1319" s="85"/>
      <c r="N1319" s="110">
        <v>1.3620000000000001</v>
      </c>
      <c r="O1319" s="74"/>
      <c r="P1319" s="73">
        <v>1336</v>
      </c>
      <c r="Q1319" s="74"/>
      <c r="R1319" s="75"/>
      <c r="S1319" s="75"/>
      <c r="T1319" s="75"/>
      <c r="U1319" s="75"/>
      <c r="V1319" s="75"/>
      <c r="W1319" s="74"/>
      <c r="X1319" s="76"/>
      <c r="Y1319" s="76"/>
      <c r="Z1319" s="76"/>
      <c r="AA1319" s="76"/>
      <c r="AB1319" s="76"/>
      <c r="AC1319" s="74"/>
      <c r="AD1319" s="77"/>
      <c r="AE1319" s="77"/>
      <c r="AF1319" s="77"/>
      <c r="AG1319" s="77"/>
      <c r="AH1319" s="77"/>
      <c r="AI1319" s="68"/>
      <c r="AJ1319" s="213">
        <v>3.9689999999999994E-4</v>
      </c>
      <c r="AK1319" s="213">
        <v>1.7345999999999999</v>
      </c>
      <c r="AL1319" s="213">
        <v>2</v>
      </c>
      <c r="AM1319" s="213">
        <v>3.6734700000000002E-4</v>
      </c>
      <c r="AN1319" s="74"/>
      <c r="AO1319" s="73"/>
      <c r="AP1319" s="73"/>
      <c r="AQ1319" s="73"/>
      <c r="AR1319" s="73"/>
      <c r="AS1319" s="73"/>
      <c r="AT1319" s="74"/>
      <c r="AU1319" s="47"/>
      <c r="AV1319" s="48"/>
    </row>
    <row r="1320" spans="1:48" ht="12.75" customHeight="1" x14ac:dyDescent="0.25">
      <c r="A1320" s="72" t="s">
        <v>119</v>
      </c>
      <c r="B1320" s="43" t="s">
        <v>1154</v>
      </c>
      <c r="C1320" s="44" t="s">
        <v>1475</v>
      </c>
      <c r="D1320" s="45">
        <f>MROUND(MID($C1320,6,3)/Basis!$E$3,0.5)</f>
        <v>5.5</v>
      </c>
      <c r="E1320" s="45">
        <f>MROUND(MID($C1320,9,3)/Basis!$E$3,0.5)</f>
        <v>138</v>
      </c>
      <c r="F1320" s="199" t="s">
        <v>2950</v>
      </c>
      <c r="G1320" s="45">
        <f>ROUND(MID($C1320,12,2)/Basis!$E$3,1)</f>
        <v>13.4</v>
      </c>
      <c r="H1320" s="120">
        <f>ROUND($P1320*Basis!$E$2*((TaH-TrH)/LN(1/µ)/Basis!$E$7)^$N1320*$AA$4*Glycol,0)</f>
        <v>3970</v>
      </c>
      <c r="I1320" s="83">
        <f>ROUND(H1320/(MID($C1320,9,3)/Basis!$E$3/Basis!$E$9)*Basis!$E$11,0)</f>
        <v>346</v>
      </c>
      <c r="J1320" s="123">
        <f>IF(Basis!$E$1=1,ROUND(H1320/((TaH-TrH)*1.163)/3600,3),ROUND(H1320/(500*(TaH-TrH)),2))</f>
        <v>0.4</v>
      </c>
      <c r="K1320" s="84"/>
      <c r="L1320" s="177">
        <f>CHOOSE(Basis!$E$1,((AJ1320*(J1320*3600/Basis!$E$5)^AK1320*(((MID(C1320,9,3)*10)-244)/1000)*AL1320+AM1320*(J1320*3600/Basis!$E$5)^2)*0.0098)/Basis!$E$10,((AJ1320*(J1320/Basis!$E$5)^AK1320*(((MID(C1320,9,3)*10)-244)/1000)*AL1320+AM1320*(J1320/Basis!$E$5)^2)*0.0098)/Basis!$E$10)</f>
        <v>2.3008987100114609E-2</v>
      </c>
      <c r="M1320" s="85"/>
      <c r="N1320" s="109">
        <v>1.3620000000000001</v>
      </c>
      <c r="O1320" s="68"/>
      <c r="P1320" s="67">
        <v>1824</v>
      </c>
      <c r="Q1320" s="68"/>
      <c r="R1320" s="69"/>
      <c r="S1320" s="69"/>
      <c r="T1320" s="69"/>
      <c r="U1320" s="69"/>
      <c r="V1320" s="69"/>
      <c r="W1320" s="68"/>
      <c r="X1320" s="70"/>
      <c r="Y1320" s="70"/>
      <c r="Z1320" s="70"/>
      <c r="AA1320" s="70"/>
      <c r="AB1320" s="70"/>
      <c r="AC1320" s="68"/>
      <c r="AD1320" s="71"/>
      <c r="AE1320" s="71"/>
      <c r="AF1320" s="71"/>
      <c r="AG1320" s="71"/>
      <c r="AH1320" s="71"/>
      <c r="AI1320" s="68"/>
      <c r="AJ1320" s="214">
        <v>2.0829999999999999E-4</v>
      </c>
      <c r="AK1320" s="214">
        <v>1.724</v>
      </c>
      <c r="AL1320" s="214">
        <v>2</v>
      </c>
      <c r="AM1320" s="214">
        <v>4.6182900000000003E-4</v>
      </c>
      <c r="AN1320" s="68"/>
      <c r="AO1320" s="67"/>
      <c r="AP1320" s="67"/>
      <c r="AQ1320" s="67"/>
      <c r="AR1320" s="67"/>
      <c r="AS1320" s="67"/>
      <c r="AT1320" s="68"/>
      <c r="AU1320" s="49"/>
      <c r="AV1320" s="50"/>
    </row>
    <row r="1321" spans="1:48" ht="12.75" customHeight="1" x14ac:dyDescent="0.25">
      <c r="A1321" s="72" t="s">
        <v>119</v>
      </c>
      <c r="B1321" s="43" t="s">
        <v>1154</v>
      </c>
      <c r="C1321" s="44" t="s">
        <v>1476</v>
      </c>
      <c r="D1321" s="45">
        <f>MROUND(MID($C1321,6,3)/Basis!$E$3,0.5)</f>
        <v>5.5</v>
      </c>
      <c r="E1321" s="45">
        <f>MROUND(MID($C1321,9,3)/Basis!$E$3,0.5)</f>
        <v>138</v>
      </c>
      <c r="F1321" s="199" t="s">
        <v>2950</v>
      </c>
      <c r="G1321" s="45">
        <f>ROUND(MID($C1321,12,2)/Basis!$E$3,1)</f>
        <v>16.5</v>
      </c>
      <c r="H1321" s="120">
        <f>ROUND($P1321*Basis!$E$2*((TaH-TrH)/LN(1/µ)/Basis!$E$7)^$N1321*$AA$4*Glycol,0)</f>
        <v>5348</v>
      </c>
      <c r="I1321" s="83">
        <f>ROUND(H1321/(MID($C1321,9,3)/Basis!$E$3/Basis!$E$9)*Basis!$E$11,0)</f>
        <v>466</v>
      </c>
      <c r="J1321" s="123">
        <f>IF(Basis!$E$1=1,ROUND(H1321/((TaH-TrH)*1.163)/3600,3),ROUND(H1321/(500*(TaH-TrH)),2))</f>
        <v>0.53</v>
      </c>
      <c r="K1321" s="84"/>
      <c r="L1321" s="177">
        <f>CHOOSE(Basis!$E$1,((AJ1321*(J1321*3600/Basis!$E$5)^AK1321*(((MID(C1321,9,3)*10)-244)/1000)*AL1321+AM1321*(J1321*3600/Basis!$E$5)^2)*0.0098)/Basis!$E$10,((AJ1321*(J1321/Basis!$E$5)^AK1321*(((MID(C1321,9,3)*10)-244)/1000)*AL1321+AM1321*(J1321/Basis!$E$5)^2)*0.0098)/Basis!$E$10)</f>
        <v>2.8232283809080473E-2</v>
      </c>
      <c r="M1321" s="85"/>
      <c r="N1321" s="110">
        <v>1.3620000000000001</v>
      </c>
      <c r="O1321" s="74"/>
      <c r="P1321" s="73">
        <v>2457</v>
      </c>
      <c r="Q1321" s="74"/>
      <c r="R1321" s="75"/>
      <c r="S1321" s="75"/>
      <c r="T1321" s="75"/>
      <c r="U1321" s="75"/>
      <c r="V1321" s="75"/>
      <c r="W1321" s="74"/>
      <c r="X1321" s="76"/>
      <c r="Y1321" s="76"/>
      <c r="Z1321" s="76"/>
      <c r="AA1321" s="76"/>
      <c r="AB1321" s="76"/>
      <c r="AC1321" s="74"/>
      <c r="AD1321" s="77"/>
      <c r="AE1321" s="77"/>
      <c r="AF1321" s="77"/>
      <c r="AG1321" s="77"/>
      <c r="AH1321" s="77"/>
      <c r="AI1321" s="68"/>
      <c r="AJ1321" s="214">
        <v>1.2760000000000001E-4</v>
      </c>
      <c r="AK1321" s="214">
        <v>1.7219</v>
      </c>
      <c r="AL1321" s="214">
        <v>2</v>
      </c>
      <c r="AM1321" s="214">
        <v>3.76611E-4</v>
      </c>
      <c r="AN1321" s="74"/>
      <c r="AO1321" s="73"/>
      <c r="AP1321" s="73"/>
      <c r="AQ1321" s="73"/>
      <c r="AR1321" s="73"/>
      <c r="AS1321" s="73"/>
      <c r="AT1321" s="74"/>
      <c r="AU1321" s="47"/>
      <c r="AV1321" s="48"/>
    </row>
    <row r="1322" spans="1:48" ht="12.75" customHeight="1" x14ac:dyDescent="0.25">
      <c r="A1322" s="72" t="s">
        <v>119</v>
      </c>
      <c r="B1322" s="43" t="s">
        <v>1154</v>
      </c>
      <c r="C1322" s="44" t="s">
        <v>1477</v>
      </c>
      <c r="D1322" s="45">
        <f>MROUND(MID($C1322,6,3)/Basis!$E$3,0.5)</f>
        <v>5.5</v>
      </c>
      <c r="E1322" s="45">
        <f>MROUND(MID($C1322,9,3)/Basis!$E$3,0.5)</f>
        <v>145.5</v>
      </c>
      <c r="F1322" s="199" t="s">
        <v>2950</v>
      </c>
      <c r="G1322" s="45">
        <f>ROUND(MID($C1322,12,2)/Basis!$E$3,1)</f>
        <v>5.5</v>
      </c>
      <c r="H1322" s="120">
        <f>ROUND($P1322*Basis!$E$2*((TaH-TrH)/LN(1/µ)/Basis!$E$7)^$N1322*$AA$4*Glycol,0)</f>
        <v>1781</v>
      </c>
      <c r="I1322" s="83">
        <f>ROUND(H1322/(MID($C1322,9,3)/Basis!$E$3/Basis!$E$9)*Basis!$E$11,0)</f>
        <v>147</v>
      </c>
      <c r="J1322" s="123">
        <f>IF(Basis!$E$1=1,ROUND(H1322/((TaH-TrH)*1.163)/3600,3),ROUND(H1322/(500*(TaH-TrH)),2))</f>
        <v>0.18</v>
      </c>
      <c r="K1322" s="84"/>
      <c r="L1322" s="177">
        <f>CHOOSE(Basis!$E$1,((AJ1322*(J1322*3600/Basis!$E$5)^AK1322*(((MID(C1322,9,3)*10)-244)/1000)*AL1322+AM1322*(J1322*3600/Basis!$E$5)^2)*0.0098)/Basis!$E$10,((AJ1322*(J1322/Basis!$E$5)^AK1322*(((MID(C1322,9,3)*10)-244)/1000)*AL1322+AM1322*(J1322/Basis!$E$5)^2)*0.0098)/Basis!$E$10)</f>
        <v>1.8657409643301971E-2</v>
      </c>
      <c r="M1322" s="85"/>
      <c r="N1322" s="109">
        <v>1.3620000000000001</v>
      </c>
      <c r="O1322" s="68"/>
      <c r="P1322" s="67">
        <v>818</v>
      </c>
      <c r="Q1322" s="68"/>
      <c r="R1322" s="69"/>
      <c r="S1322" s="69"/>
      <c r="T1322" s="69"/>
      <c r="U1322" s="69"/>
      <c r="V1322" s="69"/>
      <c r="W1322" s="68"/>
      <c r="X1322" s="70"/>
      <c r="Y1322" s="70"/>
      <c r="Z1322" s="70"/>
      <c r="AA1322" s="70"/>
      <c r="AB1322" s="70"/>
      <c r="AC1322" s="68"/>
      <c r="AD1322" s="71"/>
      <c r="AE1322" s="71"/>
      <c r="AF1322" s="71"/>
      <c r="AG1322" s="71"/>
      <c r="AH1322" s="71"/>
      <c r="AI1322" s="68"/>
      <c r="AJ1322" s="214">
        <v>9.3669999999999995E-4</v>
      </c>
      <c r="AK1322" s="214">
        <v>1.789841</v>
      </c>
      <c r="AL1322" s="214">
        <v>2</v>
      </c>
      <c r="AM1322" s="214">
        <v>4.4559999999999999E-4</v>
      </c>
      <c r="AN1322" s="68"/>
      <c r="AO1322" s="67"/>
      <c r="AP1322" s="67"/>
      <c r="AQ1322" s="67"/>
      <c r="AR1322" s="67"/>
      <c r="AS1322" s="67"/>
      <c r="AT1322" s="68"/>
      <c r="AU1322" s="49"/>
      <c r="AV1322" s="50"/>
    </row>
    <row r="1323" spans="1:48" ht="12.75" customHeight="1" x14ac:dyDescent="0.25">
      <c r="A1323" s="72" t="s">
        <v>119</v>
      </c>
      <c r="B1323" s="43" t="s">
        <v>1154</v>
      </c>
      <c r="C1323" s="44" t="s">
        <v>1478</v>
      </c>
      <c r="D1323" s="45">
        <f>MROUND(MID($C1323,6,3)/Basis!$E$3,0.5)</f>
        <v>5.5</v>
      </c>
      <c r="E1323" s="45">
        <f>MROUND(MID($C1323,9,3)/Basis!$E$3,0.5)</f>
        <v>145.5</v>
      </c>
      <c r="F1323" s="199" t="s">
        <v>2950</v>
      </c>
      <c r="G1323" s="45">
        <f>ROUND(MID($C1323,12,2)/Basis!$E$3,1)</f>
        <v>10.199999999999999</v>
      </c>
      <c r="H1323" s="120">
        <f>ROUND($P1323*Basis!$E$2*((TaH-TrH)/LN(1/µ)/Basis!$E$7)^$N1323*$AA$4*Glycol,0)</f>
        <v>3091</v>
      </c>
      <c r="I1323" s="83">
        <f>ROUND(H1323/(MID($C1323,9,3)/Basis!$E$3/Basis!$E$9)*Basis!$E$11,0)</f>
        <v>255</v>
      </c>
      <c r="J1323" s="123">
        <f>IF(Basis!$E$1=1,ROUND(H1323/((TaH-TrH)*1.163)/3600,3),ROUND(H1323/(500*(TaH-TrH)),2))</f>
        <v>0.31</v>
      </c>
      <c r="K1323" s="84"/>
      <c r="L1323" s="177">
        <f>CHOOSE(Basis!$E$1,((AJ1323*(J1323*3600/Basis!$E$5)^AK1323*(((MID(C1323,9,3)*10)-244)/1000)*AL1323+AM1323*(J1323*3600/Basis!$E$5)^2)*0.0098)/Basis!$E$10,((AJ1323*(J1323/Basis!$E$5)^AK1323*(((MID(C1323,9,3)*10)-244)/1000)*AL1323+AM1323*(J1323/Basis!$E$5)^2)*0.0098)/Basis!$E$10)</f>
        <v>2.0332106491251774E-2</v>
      </c>
      <c r="M1323" s="85"/>
      <c r="N1323" s="110">
        <v>1.3620000000000001</v>
      </c>
      <c r="O1323" s="74"/>
      <c r="P1323" s="73">
        <v>1420</v>
      </c>
      <c r="Q1323" s="74"/>
      <c r="R1323" s="75"/>
      <c r="S1323" s="75"/>
      <c r="T1323" s="75"/>
      <c r="U1323" s="75"/>
      <c r="V1323" s="75"/>
      <c r="W1323" s="74"/>
      <c r="X1323" s="76"/>
      <c r="Y1323" s="76"/>
      <c r="Z1323" s="76"/>
      <c r="AA1323" s="76"/>
      <c r="AB1323" s="76"/>
      <c r="AC1323" s="74"/>
      <c r="AD1323" s="77"/>
      <c r="AE1323" s="77"/>
      <c r="AF1323" s="77"/>
      <c r="AG1323" s="77"/>
      <c r="AH1323" s="77"/>
      <c r="AI1323" s="68"/>
      <c r="AJ1323" s="213">
        <v>3.9689999999999994E-4</v>
      </c>
      <c r="AK1323" s="213">
        <v>1.7345999999999999</v>
      </c>
      <c r="AL1323" s="213">
        <v>2</v>
      </c>
      <c r="AM1323" s="213">
        <v>3.6734700000000002E-4</v>
      </c>
      <c r="AN1323" s="74"/>
      <c r="AO1323" s="73"/>
      <c r="AP1323" s="73"/>
      <c r="AQ1323" s="73"/>
      <c r="AR1323" s="73"/>
      <c r="AS1323" s="73"/>
      <c r="AT1323" s="74"/>
      <c r="AU1323" s="47"/>
      <c r="AV1323" s="48"/>
    </row>
    <row r="1324" spans="1:48" ht="12.75" customHeight="1" x14ac:dyDescent="0.25">
      <c r="A1324" s="72" t="s">
        <v>119</v>
      </c>
      <c r="B1324" s="43" t="s">
        <v>1154</v>
      </c>
      <c r="C1324" s="44" t="s">
        <v>1479</v>
      </c>
      <c r="D1324" s="45">
        <f>MROUND(MID($C1324,6,3)/Basis!$E$3,0.5)</f>
        <v>5.5</v>
      </c>
      <c r="E1324" s="45">
        <f>MROUND(MID($C1324,9,3)/Basis!$E$3,0.5)</f>
        <v>145.5</v>
      </c>
      <c r="F1324" s="199" t="s">
        <v>2950</v>
      </c>
      <c r="G1324" s="45">
        <f>ROUND(MID($C1324,12,2)/Basis!$E$3,1)</f>
        <v>13.4</v>
      </c>
      <c r="H1324" s="120">
        <f>ROUND($P1324*Basis!$E$2*((TaH-TrH)/LN(1/µ)/Basis!$E$7)^$N1324*$AA$4*Glycol,0)</f>
        <v>4216</v>
      </c>
      <c r="I1324" s="83">
        <f>ROUND(H1324/(MID($C1324,9,3)/Basis!$E$3/Basis!$E$9)*Basis!$E$11,0)</f>
        <v>347</v>
      </c>
      <c r="J1324" s="123">
        <f>IF(Basis!$E$1=1,ROUND(H1324/((TaH-TrH)*1.163)/3600,3),ROUND(H1324/(500*(TaH-TrH)),2))</f>
        <v>0.42</v>
      </c>
      <c r="K1324" s="84"/>
      <c r="L1324" s="177">
        <f>CHOOSE(Basis!$E$1,((AJ1324*(J1324*3600/Basis!$E$5)^AK1324*(((MID(C1324,9,3)*10)-244)/1000)*AL1324+AM1324*(J1324*3600/Basis!$E$5)^2)*0.0098)/Basis!$E$10,((AJ1324*(J1324/Basis!$E$5)^AK1324*(((MID(C1324,9,3)*10)-244)/1000)*AL1324+AM1324*(J1324/Basis!$E$5)^2)*0.0098)/Basis!$E$10)</f>
        <v>2.5916496854522231E-2</v>
      </c>
      <c r="M1324" s="85"/>
      <c r="N1324" s="109">
        <v>1.3620000000000001</v>
      </c>
      <c r="O1324" s="68"/>
      <c r="P1324" s="67">
        <v>1937</v>
      </c>
      <c r="Q1324" s="68"/>
      <c r="R1324" s="69"/>
      <c r="S1324" s="69"/>
      <c r="T1324" s="69"/>
      <c r="U1324" s="69"/>
      <c r="V1324" s="69"/>
      <c r="W1324" s="68"/>
      <c r="X1324" s="70"/>
      <c r="Y1324" s="70"/>
      <c r="Z1324" s="70"/>
      <c r="AA1324" s="70"/>
      <c r="AB1324" s="70"/>
      <c r="AC1324" s="68"/>
      <c r="AD1324" s="71"/>
      <c r="AE1324" s="71"/>
      <c r="AF1324" s="71"/>
      <c r="AG1324" s="71"/>
      <c r="AH1324" s="71"/>
      <c r="AI1324" s="68"/>
      <c r="AJ1324" s="214">
        <v>2.0829999999999999E-4</v>
      </c>
      <c r="AK1324" s="214">
        <v>1.724</v>
      </c>
      <c r="AL1324" s="214">
        <v>2</v>
      </c>
      <c r="AM1324" s="214">
        <v>4.6182900000000003E-4</v>
      </c>
      <c r="AN1324" s="68"/>
      <c r="AO1324" s="67"/>
      <c r="AP1324" s="67"/>
      <c r="AQ1324" s="67"/>
      <c r="AR1324" s="67"/>
      <c r="AS1324" s="67"/>
      <c r="AT1324" s="68"/>
      <c r="AU1324" s="49"/>
      <c r="AV1324" s="50"/>
    </row>
    <row r="1325" spans="1:48" ht="12.75" customHeight="1" x14ac:dyDescent="0.25">
      <c r="A1325" s="72" t="s">
        <v>119</v>
      </c>
      <c r="B1325" s="43" t="s">
        <v>1154</v>
      </c>
      <c r="C1325" s="44" t="s">
        <v>1480</v>
      </c>
      <c r="D1325" s="45">
        <f>MROUND(MID($C1325,6,3)/Basis!$E$3,0.5)</f>
        <v>5.5</v>
      </c>
      <c r="E1325" s="45">
        <f>MROUND(MID($C1325,9,3)/Basis!$E$3,0.5)</f>
        <v>145.5</v>
      </c>
      <c r="F1325" s="199" t="s">
        <v>2950</v>
      </c>
      <c r="G1325" s="45">
        <f>ROUND(MID($C1325,12,2)/Basis!$E$3,1)</f>
        <v>16.5</v>
      </c>
      <c r="H1325" s="120">
        <f>ROUND($P1325*Basis!$E$2*((TaH-TrH)/LN(1/µ)/Basis!$E$7)^$N1325*$AA$4*Glycol,0)</f>
        <v>5683</v>
      </c>
      <c r="I1325" s="83">
        <f>ROUND(H1325/(MID($C1325,9,3)/Basis!$E$3/Basis!$E$9)*Basis!$E$11,0)</f>
        <v>468</v>
      </c>
      <c r="J1325" s="123">
        <f>IF(Basis!$E$1=1,ROUND(H1325/((TaH-TrH)*1.163)/3600,3),ROUND(H1325/(500*(TaH-TrH)),2))</f>
        <v>0.56999999999999995</v>
      </c>
      <c r="K1325" s="84"/>
      <c r="L1325" s="177">
        <f>CHOOSE(Basis!$E$1,((AJ1325*(J1325*3600/Basis!$E$5)^AK1325*(((MID(C1325,9,3)*10)-244)/1000)*AL1325+AM1325*(J1325*3600/Basis!$E$5)^2)*0.0098)/Basis!$E$10,((AJ1325*(J1325/Basis!$E$5)^AK1325*(((MID(C1325,9,3)*10)-244)/1000)*AL1325+AM1325*(J1325/Basis!$E$5)^2)*0.0098)/Basis!$E$10)</f>
        <v>3.3137175103167507E-2</v>
      </c>
      <c r="M1325" s="85"/>
      <c r="N1325" s="110">
        <v>1.3620000000000001</v>
      </c>
      <c r="O1325" s="74"/>
      <c r="P1325" s="73">
        <v>2611</v>
      </c>
      <c r="Q1325" s="74"/>
      <c r="R1325" s="75"/>
      <c r="S1325" s="75"/>
      <c r="T1325" s="75"/>
      <c r="U1325" s="75"/>
      <c r="V1325" s="75"/>
      <c r="W1325" s="74"/>
      <c r="X1325" s="76"/>
      <c r="Y1325" s="76"/>
      <c r="Z1325" s="76"/>
      <c r="AA1325" s="76"/>
      <c r="AB1325" s="76"/>
      <c r="AC1325" s="74"/>
      <c r="AD1325" s="77"/>
      <c r="AE1325" s="77"/>
      <c r="AF1325" s="77"/>
      <c r="AG1325" s="77"/>
      <c r="AH1325" s="77"/>
      <c r="AI1325" s="68"/>
      <c r="AJ1325" s="214">
        <v>1.2760000000000001E-4</v>
      </c>
      <c r="AK1325" s="214">
        <v>1.7219</v>
      </c>
      <c r="AL1325" s="214">
        <v>2</v>
      </c>
      <c r="AM1325" s="214">
        <v>3.76611E-4</v>
      </c>
      <c r="AN1325" s="74"/>
      <c r="AO1325" s="73"/>
      <c r="AP1325" s="73"/>
      <c r="AQ1325" s="73"/>
      <c r="AR1325" s="73"/>
      <c r="AS1325" s="73"/>
      <c r="AT1325" s="74"/>
      <c r="AU1325" s="47"/>
      <c r="AV1325" s="48"/>
    </row>
    <row r="1326" spans="1:48" ht="12.75" customHeight="1" x14ac:dyDescent="0.25">
      <c r="A1326" s="72" t="s">
        <v>119</v>
      </c>
      <c r="B1326" s="43" t="s">
        <v>1154</v>
      </c>
      <c r="C1326" s="44" t="s">
        <v>1481</v>
      </c>
      <c r="D1326" s="45">
        <f>MROUND(MID($C1326,6,3)/Basis!$E$3,0.5)</f>
        <v>5.5</v>
      </c>
      <c r="E1326" s="45">
        <f>MROUND(MID($C1326,9,3)/Basis!$E$3,0.5)</f>
        <v>153.5</v>
      </c>
      <c r="F1326" s="199" t="s">
        <v>2950</v>
      </c>
      <c r="G1326" s="45">
        <f>ROUND(MID($C1326,12,2)/Basis!$E$3,1)</f>
        <v>5.5</v>
      </c>
      <c r="H1326" s="120">
        <f>ROUND($P1326*Basis!$E$2*((TaH-TrH)/LN(1/µ)/Basis!$E$7)^$N1326*$AA$4*Glycol,0)</f>
        <v>1885</v>
      </c>
      <c r="I1326" s="83">
        <f>ROUND(H1326/(MID($C1326,9,3)/Basis!$E$3/Basis!$E$9)*Basis!$E$11,0)</f>
        <v>147</v>
      </c>
      <c r="J1326" s="123">
        <f>IF(Basis!$E$1=1,ROUND(H1326/((TaH-TrH)*1.163)/3600,3),ROUND(H1326/(500*(TaH-TrH)),2))</f>
        <v>0.19</v>
      </c>
      <c r="K1326" s="84"/>
      <c r="L1326" s="177">
        <f>CHOOSE(Basis!$E$1,((AJ1326*(J1326*3600/Basis!$E$5)^AK1326*(((MID(C1326,9,3)*10)-244)/1000)*AL1326+AM1326*(J1326*3600/Basis!$E$5)^2)*0.0098)/Basis!$E$10,((AJ1326*(J1326/Basis!$E$5)^AK1326*(((MID(C1326,9,3)*10)-244)/1000)*AL1326+AM1326*(J1326/Basis!$E$5)^2)*0.0098)/Basis!$E$10)</f>
        <v>2.1618000084729312E-2</v>
      </c>
      <c r="M1326" s="85"/>
      <c r="N1326" s="109">
        <v>1.3620000000000001</v>
      </c>
      <c r="O1326" s="68"/>
      <c r="P1326" s="67">
        <v>866</v>
      </c>
      <c r="Q1326" s="68"/>
      <c r="R1326" s="69"/>
      <c r="S1326" s="69"/>
      <c r="T1326" s="69"/>
      <c r="U1326" s="69"/>
      <c r="V1326" s="69"/>
      <c r="W1326" s="68"/>
      <c r="X1326" s="70"/>
      <c r="Y1326" s="70"/>
      <c r="Z1326" s="70"/>
      <c r="AA1326" s="70"/>
      <c r="AB1326" s="70"/>
      <c r="AC1326" s="68"/>
      <c r="AD1326" s="71"/>
      <c r="AE1326" s="71"/>
      <c r="AF1326" s="71"/>
      <c r="AG1326" s="71"/>
      <c r="AH1326" s="71"/>
      <c r="AI1326" s="68"/>
      <c r="AJ1326" s="214">
        <v>9.3669999999999995E-4</v>
      </c>
      <c r="AK1326" s="214">
        <v>1.789841</v>
      </c>
      <c r="AL1326" s="214">
        <v>2</v>
      </c>
      <c r="AM1326" s="214">
        <v>4.4559999999999999E-4</v>
      </c>
      <c r="AN1326" s="68"/>
      <c r="AO1326" s="67"/>
      <c r="AP1326" s="67"/>
      <c r="AQ1326" s="67"/>
      <c r="AR1326" s="67"/>
      <c r="AS1326" s="67"/>
      <c r="AT1326" s="68"/>
      <c r="AU1326" s="49"/>
      <c r="AV1326" s="50"/>
    </row>
    <row r="1327" spans="1:48" ht="12.75" customHeight="1" x14ac:dyDescent="0.25">
      <c r="A1327" s="72" t="s">
        <v>119</v>
      </c>
      <c r="B1327" s="43" t="s">
        <v>1154</v>
      </c>
      <c r="C1327" s="44" t="s">
        <v>1482</v>
      </c>
      <c r="D1327" s="45">
        <f>MROUND(MID($C1327,6,3)/Basis!$E$3,0.5)</f>
        <v>5.5</v>
      </c>
      <c r="E1327" s="45">
        <f>MROUND(MID($C1327,9,3)/Basis!$E$3,0.5)</f>
        <v>153.5</v>
      </c>
      <c r="F1327" s="199" t="s">
        <v>2950</v>
      </c>
      <c r="G1327" s="45">
        <f>ROUND(MID($C1327,12,2)/Basis!$E$3,1)</f>
        <v>10.199999999999999</v>
      </c>
      <c r="H1327" s="120">
        <f>ROUND($P1327*Basis!$E$2*((TaH-TrH)/LN(1/µ)/Basis!$E$7)^$N1327*$AA$4*Glycol,0)</f>
        <v>3274</v>
      </c>
      <c r="I1327" s="83">
        <f>ROUND(H1327/(MID($C1327,9,3)/Basis!$E$3/Basis!$E$9)*Basis!$E$11,0)</f>
        <v>256</v>
      </c>
      <c r="J1327" s="123">
        <f>IF(Basis!$E$1=1,ROUND(H1327/((TaH-TrH)*1.163)/3600,3),ROUND(H1327/(500*(TaH-TrH)),2))</f>
        <v>0.33</v>
      </c>
      <c r="K1327" s="84"/>
      <c r="L1327" s="177">
        <f>CHOOSE(Basis!$E$1,((AJ1327*(J1327*3600/Basis!$E$5)^AK1327*(((MID(C1327,9,3)*10)-244)/1000)*AL1327+AM1327*(J1327*3600/Basis!$E$5)^2)*0.0098)/Basis!$E$10,((AJ1327*(J1327/Basis!$E$5)^AK1327*(((MID(C1327,9,3)*10)-244)/1000)*AL1327+AM1327*(J1327/Basis!$E$5)^2)*0.0098)/Basis!$E$10)</f>
        <v>2.3699470900312394E-2</v>
      </c>
      <c r="M1327" s="85"/>
      <c r="N1327" s="110">
        <v>1.3620000000000001</v>
      </c>
      <c r="O1327" s="74"/>
      <c r="P1327" s="73">
        <v>1504</v>
      </c>
      <c r="Q1327" s="74"/>
      <c r="R1327" s="75"/>
      <c r="S1327" s="75"/>
      <c r="T1327" s="75"/>
      <c r="U1327" s="75"/>
      <c r="V1327" s="75"/>
      <c r="W1327" s="74"/>
      <c r="X1327" s="76"/>
      <c r="Y1327" s="76"/>
      <c r="Z1327" s="76"/>
      <c r="AA1327" s="76"/>
      <c r="AB1327" s="76"/>
      <c r="AC1327" s="74"/>
      <c r="AD1327" s="77"/>
      <c r="AE1327" s="77"/>
      <c r="AF1327" s="77"/>
      <c r="AG1327" s="77"/>
      <c r="AH1327" s="77"/>
      <c r="AI1327" s="68"/>
      <c r="AJ1327" s="213">
        <v>3.9689999999999994E-4</v>
      </c>
      <c r="AK1327" s="213">
        <v>1.7345999999999999</v>
      </c>
      <c r="AL1327" s="213">
        <v>2</v>
      </c>
      <c r="AM1327" s="213">
        <v>3.6734700000000002E-4</v>
      </c>
      <c r="AN1327" s="74"/>
      <c r="AO1327" s="73"/>
      <c r="AP1327" s="73"/>
      <c r="AQ1327" s="73"/>
      <c r="AR1327" s="73"/>
      <c r="AS1327" s="73"/>
      <c r="AT1327" s="74"/>
      <c r="AU1327" s="47"/>
      <c r="AV1327" s="48"/>
    </row>
    <row r="1328" spans="1:48" ht="12.75" customHeight="1" x14ac:dyDescent="0.25">
      <c r="A1328" s="72" t="s">
        <v>119</v>
      </c>
      <c r="B1328" s="43" t="s">
        <v>1154</v>
      </c>
      <c r="C1328" s="44" t="s">
        <v>1483</v>
      </c>
      <c r="D1328" s="45">
        <f>MROUND(MID($C1328,6,3)/Basis!$E$3,0.5)</f>
        <v>5.5</v>
      </c>
      <c r="E1328" s="45">
        <f>MROUND(MID($C1328,9,3)/Basis!$E$3,0.5)</f>
        <v>153.5</v>
      </c>
      <c r="F1328" s="199" t="s">
        <v>2950</v>
      </c>
      <c r="G1328" s="45">
        <f>ROUND(MID($C1328,12,2)/Basis!$E$3,1)</f>
        <v>13.4</v>
      </c>
      <c r="H1328" s="120">
        <f>ROUND($P1328*Basis!$E$2*((TaH-TrH)/LN(1/µ)/Basis!$E$7)^$N1328*$AA$4*Glycol,0)</f>
        <v>4467</v>
      </c>
      <c r="I1328" s="83">
        <f>ROUND(H1328/(MID($C1328,9,3)/Basis!$E$3/Basis!$E$9)*Basis!$E$11,0)</f>
        <v>349</v>
      </c>
      <c r="J1328" s="123">
        <f>IF(Basis!$E$1=1,ROUND(H1328/((TaH-TrH)*1.163)/3600,3),ROUND(H1328/(500*(TaH-TrH)),2))</f>
        <v>0.45</v>
      </c>
      <c r="K1328" s="84"/>
      <c r="L1328" s="177">
        <f>CHOOSE(Basis!$E$1,((AJ1328*(J1328*3600/Basis!$E$5)^AK1328*(((MID(C1328,9,3)*10)-244)/1000)*AL1328+AM1328*(J1328*3600/Basis!$E$5)^2)*0.0098)/Basis!$E$10,((AJ1328*(J1328/Basis!$E$5)^AK1328*(((MID(C1328,9,3)*10)-244)/1000)*AL1328+AM1328*(J1328/Basis!$E$5)^2)*0.0098)/Basis!$E$10)</f>
        <v>3.0281045576919099E-2</v>
      </c>
      <c r="M1328" s="85"/>
      <c r="N1328" s="109">
        <v>1.3620000000000001</v>
      </c>
      <c r="O1328" s="68"/>
      <c r="P1328" s="67">
        <v>2052</v>
      </c>
      <c r="Q1328" s="68"/>
      <c r="R1328" s="69"/>
      <c r="S1328" s="69"/>
      <c r="T1328" s="69"/>
      <c r="U1328" s="69"/>
      <c r="V1328" s="69"/>
      <c r="W1328" s="68"/>
      <c r="X1328" s="70"/>
      <c r="Y1328" s="70"/>
      <c r="Z1328" s="70"/>
      <c r="AA1328" s="70"/>
      <c r="AB1328" s="70"/>
      <c r="AC1328" s="68"/>
      <c r="AD1328" s="71"/>
      <c r="AE1328" s="71"/>
      <c r="AF1328" s="71"/>
      <c r="AG1328" s="71"/>
      <c r="AH1328" s="71"/>
      <c r="AI1328" s="68"/>
      <c r="AJ1328" s="214">
        <v>2.0829999999999999E-4</v>
      </c>
      <c r="AK1328" s="214">
        <v>1.724</v>
      </c>
      <c r="AL1328" s="214">
        <v>2</v>
      </c>
      <c r="AM1328" s="214">
        <v>4.6182900000000003E-4</v>
      </c>
      <c r="AN1328" s="68"/>
      <c r="AO1328" s="67"/>
      <c r="AP1328" s="67"/>
      <c r="AQ1328" s="67"/>
      <c r="AR1328" s="67"/>
      <c r="AS1328" s="67"/>
      <c r="AT1328" s="68"/>
      <c r="AU1328" s="49"/>
      <c r="AV1328" s="50"/>
    </row>
    <row r="1329" spans="1:48" ht="12.75" customHeight="1" x14ac:dyDescent="0.25">
      <c r="A1329" s="72" t="s">
        <v>119</v>
      </c>
      <c r="B1329" s="43" t="s">
        <v>1154</v>
      </c>
      <c r="C1329" s="44" t="s">
        <v>1484</v>
      </c>
      <c r="D1329" s="45">
        <f>MROUND(MID($C1329,6,3)/Basis!$E$3,0.5)</f>
        <v>5.5</v>
      </c>
      <c r="E1329" s="45">
        <f>MROUND(MID($C1329,9,3)/Basis!$E$3,0.5)</f>
        <v>153.5</v>
      </c>
      <c r="F1329" s="199" t="s">
        <v>2950</v>
      </c>
      <c r="G1329" s="45">
        <f>ROUND(MID($C1329,12,2)/Basis!$E$3,1)</f>
        <v>16.5</v>
      </c>
      <c r="H1329" s="120">
        <f>ROUND($P1329*Basis!$E$2*((TaH-TrH)/LN(1/µ)/Basis!$E$7)^$N1329*$AA$4*Glycol,0)</f>
        <v>6016</v>
      </c>
      <c r="I1329" s="83">
        <f>ROUND(H1329/(MID($C1329,9,3)/Basis!$E$3/Basis!$E$9)*Basis!$E$11,0)</f>
        <v>470</v>
      </c>
      <c r="J1329" s="123">
        <f>IF(Basis!$E$1=1,ROUND(H1329/((TaH-TrH)*1.163)/3600,3),ROUND(H1329/(500*(TaH-TrH)),2))</f>
        <v>0.6</v>
      </c>
      <c r="K1329" s="84"/>
      <c r="L1329" s="177">
        <f>CHOOSE(Basis!$E$1,((AJ1329*(J1329*3600/Basis!$E$5)^AK1329*(((MID(C1329,9,3)*10)-244)/1000)*AL1329+AM1329*(J1329*3600/Basis!$E$5)^2)*0.0098)/Basis!$E$10,((AJ1329*(J1329/Basis!$E$5)^AK1329*(((MID(C1329,9,3)*10)-244)/1000)*AL1329+AM1329*(J1329/Basis!$E$5)^2)*0.0098)/Basis!$E$10)</f>
        <v>3.7311030059795428E-2</v>
      </c>
      <c r="M1329" s="85"/>
      <c r="N1329" s="110">
        <v>1.3620000000000001</v>
      </c>
      <c r="O1329" s="74"/>
      <c r="P1329" s="73">
        <v>2764</v>
      </c>
      <c r="Q1329" s="74"/>
      <c r="R1329" s="75"/>
      <c r="S1329" s="75"/>
      <c r="T1329" s="75"/>
      <c r="U1329" s="75"/>
      <c r="V1329" s="75"/>
      <c r="W1329" s="74"/>
      <c r="X1329" s="76"/>
      <c r="Y1329" s="76"/>
      <c r="Z1329" s="76"/>
      <c r="AA1329" s="76"/>
      <c r="AB1329" s="76"/>
      <c r="AC1329" s="74"/>
      <c r="AD1329" s="77"/>
      <c r="AE1329" s="77"/>
      <c r="AF1329" s="77"/>
      <c r="AG1329" s="77"/>
      <c r="AH1329" s="77"/>
      <c r="AI1329" s="68"/>
      <c r="AJ1329" s="214">
        <v>1.2760000000000001E-4</v>
      </c>
      <c r="AK1329" s="214">
        <v>1.7219</v>
      </c>
      <c r="AL1329" s="214">
        <v>2</v>
      </c>
      <c r="AM1329" s="214">
        <v>3.76611E-4</v>
      </c>
      <c r="AN1329" s="74"/>
      <c r="AO1329" s="73"/>
      <c r="AP1329" s="73"/>
      <c r="AQ1329" s="73"/>
      <c r="AR1329" s="73"/>
      <c r="AS1329" s="73"/>
      <c r="AT1329" s="74"/>
      <c r="AU1329" s="47"/>
      <c r="AV1329" s="48"/>
    </row>
    <row r="1330" spans="1:48" ht="12.75" customHeight="1" x14ac:dyDescent="0.25">
      <c r="A1330" s="72" t="s">
        <v>119</v>
      </c>
      <c r="B1330" s="43" t="s">
        <v>1154</v>
      </c>
      <c r="C1330" s="44" t="s">
        <v>1485</v>
      </c>
      <c r="D1330" s="45">
        <f>MROUND(MID($C1330,6,3)/Basis!$E$3,0.5)</f>
        <v>5.5</v>
      </c>
      <c r="E1330" s="45">
        <f>MROUND(MID($C1330,9,3)/Basis!$E$3,0.5)</f>
        <v>161.5</v>
      </c>
      <c r="F1330" s="199" t="s">
        <v>2950</v>
      </c>
      <c r="G1330" s="45">
        <f>ROUND(MID($C1330,12,2)/Basis!$E$3,1)</f>
        <v>5.5</v>
      </c>
      <c r="H1330" s="120">
        <f>ROUND($P1330*Basis!$E$2*((TaH-TrH)/LN(1/µ)/Basis!$E$7)^$N1330*$AA$4*Glycol,0)</f>
        <v>1990</v>
      </c>
      <c r="I1330" s="83">
        <f>ROUND(H1330/(MID($C1330,9,3)/Basis!$E$3/Basis!$E$9)*Basis!$E$11,0)</f>
        <v>148</v>
      </c>
      <c r="J1330" s="123">
        <f>IF(Basis!$E$1=1,ROUND(H1330/((TaH-TrH)*1.163)/3600,3),ROUND(H1330/(500*(TaH-TrH)),2))</f>
        <v>0.2</v>
      </c>
      <c r="K1330" s="84"/>
      <c r="L1330" s="177">
        <f>CHOOSE(Basis!$E$1,((AJ1330*(J1330*3600/Basis!$E$5)^AK1330*(((MID(C1330,9,3)*10)-244)/1000)*AL1330+AM1330*(J1330*3600/Basis!$E$5)^2)*0.0098)/Basis!$E$10,((AJ1330*(J1330/Basis!$E$5)^AK1330*(((MID(C1330,9,3)*10)-244)/1000)*AL1330+AM1330*(J1330/Basis!$E$5)^2)*0.0098)/Basis!$E$10)</f>
        <v>2.4862486843032092E-2</v>
      </c>
      <c r="M1330" s="85"/>
      <c r="N1330" s="109">
        <v>1.3620000000000001</v>
      </c>
      <c r="O1330" s="68"/>
      <c r="P1330" s="67">
        <v>914</v>
      </c>
      <c r="Q1330" s="68"/>
      <c r="R1330" s="69"/>
      <c r="S1330" s="69"/>
      <c r="T1330" s="69"/>
      <c r="U1330" s="69"/>
      <c r="V1330" s="69"/>
      <c r="W1330" s="68"/>
      <c r="X1330" s="70"/>
      <c r="Y1330" s="70"/>
      <c r="Z1330" s="70"/>
      <c r="AA1330" s="70"/>
      <c r="AB1330" s="70"/>
      <c r="AC1330" s="68"/>
      <c r="AD1330" s="71"/>
      <c r="AE1330" s="71"/>
      <c r="AF1330" s="71"/>
      <c r="AG1330" s="71"/>
      <c r="AH1330" s="71"/>
      <c r="AI1330" s="68"/>
      <c r="AJ1330" s="214">
        <v>9.3669999999999995E-4</v>
      </c>
      <c r="AK1330" s="214">
        <v>1.789841</v>
      </c>
      <c r="AL1330" s="214">
        <v>2</v>
      </c>
      <c r="AM1330" s="214">
        <v>4.4559999999999999E-4</v>
      </c>
      <c r="AN1330" s="68"/>
      <c r="AO1330" s="67"/>
      <c r="AP1330" s="67"/>
      <c r="AQ1330" s="67"/>
      <c r="AR1330" s="67"/>
      <c r="AS1330" s="67"/>
      <c r="AT1330" s="68"/>
      <c r="AU1330" s="49"/>
      <c r="AV1330" s="50"/>
    </row>
    <row r="1331" spans="1:48" ht="12.75" customHeight="1" x14ac:dyDescent="0.25">
      <c r="A1331" s="72" t="s">
        <v>119</v>
      </c>
      <c r="B1331" s="43" t="s">
        <v>1154</v>
      </c>
      <c r="C1331" s="44" t="s">
        <v>1486</v>
      </c>
      <c r="D1331" s="45">
        <f>MROUND(MID($C1331,6,3)/Basis!$E$3,0.5)</f>
        <v>5.5</v>
      </c>
      <c r="E1331" s="45">
        <f>MROUND(MID($C1331,9,3)/Basis!$E$3,0.5)</f>
        <v>161.5</v>
      </c>
      <c r="F1331" s="199" t="s">
        <v>2950</v>
      </c>
      <c r="G1331" s="45">
        <f>ROUND(MID($C1331,12,2)/Basis!$E$3,1)</f>
        <v>10.199999999999999</v>
      </c>
      <c r="H1331" s="120">
        <f>ROUND($P1331*Basis!$E$2*((TaH-TrH)/LN(1/µ)/Basis!$E$7)^$N1331*$AA$4*Glycol,0)</f>
        <v>3454</v>
      </c>
      <c r="I1331" s="83">
        <f>ROUND(H1331/(MID($C1331,9,3)/Basis!$E$3/Basis!$E$9)*Basis!$E$11,0)</f>
        <v>257</v>
      </c>
      <c r="J1331" s="123">
        <f>IF(Basis!$E$1=1,ROUND(H1331/((TaH-TrH)*1.163)/3600,3),ROUND(H1331/(500*(TaH-TrH)),2))</f>
        <v>0.35</v>
      </c>
      <c r="K1331" s="84"/>
      <c r="L1331" s="177">
        <f>CHOOSE(Basis!$E$1,((AJ1331*(J1331*3600/Basis!$E$5)^AK1331*(((MID(C1331,9,3)*10)-244)/1000)*AL1331+AM1331*(J1331*3600/Basis!$E$5)^2)*0.0098)/Basis!$E$10,((AJ1331*(J1331/Basis!$E$5)^AK1331*(((MID(C1331,9,3)*10)-244)/1000)*AL1331+AM1331*(J1331/Basis!$E$5)^2)*0.0098)/Basis!$E$10)</f>
        <v>2.7390710274623756E-2</v>
      </c>
      <c r="M1331" s="85"/>
      <c r="N1331" s="110">
        <v>1.3620000000000001</v>
      </c>
      <c r="O1331" s="74"/>
      <c r="P1331" s="73">
        <v>1587</v>
      </c>
      <c r="Q1331" s="74"/>
      <c r="R1331" s="75"/>
      <c r="S1331" s="75"/>
      <c r="T1331" s="75"/>
      <c r="U1331" s="75"/>
      <c r="V1331" s="75"/>
      <c r="W1331" s="74"/>
      <c r="X1331" s="76"/>
      <c r="Y1331" s="76"/>
      <c r="Z1331" s="76"/>
      <c r="AA1331" s="76"/>
      <c r="AB1331" s="76"/>
      <c r="AC1331" s="74"/>
      <c r="AD1331" s="77"/>
      <c r="AE1331" s="77"/>
      <c r="AF1331" s="77"/>
      <c r="AG1331" s="77"/>
      <c r="AH1331" s="77"/>
      <c r="AI1331" s="68"/>
      <c r="AJ1331" s="213">
        <v>3.9689999999999994E-4</v>
      </c>
      <c r="AK1331" s="213">
        <v>1.7345999999999999</v>
      </c>
      <c r="AL1331" s="213">
        <v>2</v>
      </c>
      <c r="AM1331" s="213">
        <v>3.6734700000000002E-4</v>
      </c>
      <c r="AN1331" s="74"/>
      <c r="AO1331" s="73"/>
      <c r="AP1331" s="73"/>
      <c r="AQ1331" s="73"/>
      <c r="AR1331" s="73"/>
      <c r="AS1331" s="73"/>
      <c r="AT1331" s="74"/>
      <c r="AU1331" s="47"/>
      <c r="AV1331" s="48"/>
    </row>
    <row r="1332" spans="1:48" ht="12.75" customHeight="1" x14ac:dyDescent="0.25">
      <c r="A1332" s="72" t="s">
        <v>119</v>
      </c>
      <c r="B1332" s="43" t="s">
        <v>1154</v>
      </c>
      <c r="C1332" s="44" t="s">
        <v>1487</v>
      </c>
      <c r="D1332" s="45">
        <f>MROUND(MID($C1332,6,3)/Basis!$E$3,0.5)</f>
        <v>5.5</v>
      </c>
      <c r="E1332" s="45">
        <f>MROUND(MID($C1332,9,3)/Basis!$E$3,0.5)</f>
        <v>161.5</v>
      </c>
      <c r="F1332" s="199" t="s">
        <v>2950</v>
      </c>
      <c r="G1332" s="45">
        <f>ROUND(MID($C1332,12,2)/Basis!$E$3,1)</f>
        <v>13.4</v>
      </c>
      <c r="H1332" s="120">
        <f>ROUND($P1332*Basis!$E$2*((TaH-TrH)/LN(1/µ)/Basis!$E$7)^$N1332*$AA$4*Glycol,0)</f>
        <v>4713</v>
      </c>
      <c r="I1332" s="83">
        <f>ROUND(H1332/(MID($C1332,9,3)/Basis!$E$3/Basis!$E$9)*Basis!$E$11,0)</f>
        <v>350</v>
      </c>
      <c r="J1332" s="123">
        <f>IF(Basis!$E$1=1,ROUND(H1332/((TaH-TrH)*1.163)/3600,3),ROUND(H1332/(500*(TaH-TrH)),2))</f>
        <v>0.47</v>
      </c>
      <c r="K1332" s="84"/>
      <c r="L1332" s="177">
        <f>CHOOSE(Basis!$E$1,((AJ1332*(J1332*3600/Basis!$E$5)^AK1332*(((MID(C1332,9,3)*10)-244)/1000)*AL1332+AM1332*(J1332*3600/Basis!$E$5)^2)*0.0098)/Basis!$E$10,((AJ1332*(J1332/Basis!$E$5)^AK1332*(((MID(C1332,9,3)*10)-244)/1000)*AL1332+AM1332*(J1332/Basis!$E$5)^2)*0.0098)/Basis!$E$10)</f>
        <v>3.3699091258312566E-2</v>
      </c>
      <c r="M1332" s="85"/>
      <c r="N1332" s="109">
        <v>1.3620000000000001</v>
      </c>
      <c r="O1332" s="68"/>
      <c r="P1332" s="67">
        <v>2165</v>
      </c>
      <c r="Q1332" s="68"/>
      <c r="R1332" s="69"/>
      <c r="S1332" s="69"/>
      <c r="T1332" s="69"/>
      <c r="U1332" s="69"/>
      <c r="V1332" s="69"/>
      <c r="W1332" s="68"/>
      <c r="X1332" s="70"/>
      <c r="Y1332" s="70"/>
      <c r="Z1332" s="70"/>
      <c r="AA1332" s="70"/>
      <c r="AB1332" s="70"/>
      <c r="AC1332" s="68"/>
      <c r="AD1332" s="71"/>
      <c r="AE1332" s="71"/>
      <c r="AF1332" s="71"/>
      <c r="AG1332" s="71"/>
      <c r="AH1332" s="71"/>
      <c r="AI1332" s="68"/>
      <c r="AJ1332" s="214">
        <v>2.0829999999999999E-4</v>
      </c>
      <c r="AK1332" s="214">
        <v>1.724</v>
      </c>
      <c r="AL1332" s="214">
        <v>2</v>
      </c>
      <c r="AM1332" s="214">
        <v>4.6182900000000003E-4</v>
      </c>
      <c r="AN1332" s="68"/>
      <c r="AO1332" s="67"/>
      <c r="AP1332" s="67"/>
      <c r="AQ1332" s="67"/>
      <c r="AR1332" s="67"/>
      <c r="AS1332" s="67"/>
      <c r="AT1332" s="68"/>
      <c r="AU1332" s="49"/>
      <c r="AV1332" s="50"/>
    </row>
    <row r="1333" spans="1:48" ht="12.75" customHeight="1" x14ac:dyDescent="0.25">
      <c r="A1333" s="72" t="s">
        <v>119</v>
      </c>
      <c r="B1333" s="43" t="s">
        <v>1154</v>
      </c>
      <c r="C1333" s="44" t="s">
        <v>1488</v>
      </c>
      <c r="D1333" s="45">
        <f>MROUND(MID($C1333,6,3)/Basis!$E$3,0.5)</f>
        <v>5.5</v>
      </c>
      <c r="E1333" s="45">
        <f>MROUND(MID($C1333,9,3)/Basis!$E$3,0.5)</f>
        <v>161.5</v>
      </c>
      <c r="F1333" s="199" t="s">
        <v>2950</v>
      </c>
      <c r="G1333" s="45">
        <f>ROUND(MID($C1333,12,2)/Basis!$E$3,1)</f>
        <v>16.5</v>
      </c>
      <c r="H1333" s="120">
        <f>ROUND($P1333*Basis!$E$2*((TaH-TrH)/LN(1/µ)/Basis!$E$7)^$N1333*$AA$4*Glycol,0)</f>
        <v>6352</v>
      </c>
      <c r="I1333" s="83">
        <f>ROUND(H1333/(MID($C1333,9,3)/Basis!$E$3/Basis!$E$9)*Basis!$E$11,0)</f>
        <v>472</v>
      </c>
      <c r="J1333" s="123">
        <f>IF(Basis!$E$1=1,ROUND(H1333/((TaH-TrH)*1.163)/3600,3),ROUND(H1333/(500*(TaH-TrH)),2))</f>
        <v>0.64</v>
      </c>
      <c r="K1333" s="84"/>
      <c r="L1333" s="177">
        <f>CHOOSE(Basis!$E$1,((AJ1333*(J1333*3600/Basis!$E$5)^AK1333*(((MID(C1333,9,3)*10)-244)/1000)*AL1333+AM1333*(J1333*3600/Basis!$E$5)^2)*0.0098)/Basis!$E$10,((AJ1333*(J1333/Basis!$E$5)^AK1333*(((MID(C1333,9,3)*10)-244)/1000)*AL1333+AM1333*(J1333/Basis!$E$5)^2)*0.0098)/Basis!$E$10)</f>
        <v>4.3042306786689612E-2</v>
      </c>
      <c r="M1333" s="85"/>
      <c r="N1333" s="110">
        <v>1.3620000000000001</v>
      </c>
      <c r="O1333" s="74"/>
      <c r="P1333" s="73">
        <v>2918</v>
      </c>
      <c r="Q1333" s="74"/>
      <c r="R1333" s="75"/>
      <c r="S1333" s="75"/>
      <c r="T1333" s="75"/>
      <c r="U1333" s="75"/>
      <c r="V1333" s="75"/>
      <c r="W1333" s="74"/>
      <c r="X1333" s="76"/>
      <c r="Y1333" s="76"/>
      <c r="Z1333" s="76"/>
      <c r="AA1333" s="76"/>
      <c r="AB1333" s="76"/>
      <c r="AC1333" s="74"/>
      <c r="AD1333" s="77"/>
      <c r="AE1333" s="77"/>
      <c r="AF1333" s="77"/>
      <c r="AG1333" s="77"/>
      <c r="AH1333" s="77"/>
      <c r="AI1333" s="68"/>
      <c r="AJ1333" s="214">
        <v>1.2760000000000001E-4</v>
      </c>
      <c r="AK1333" s="214">
        <v>1.7219</v>
      </c>
      <c r="AL1333" s="214">
        <v>2</v>
      </c>
      <c r="AM1333" s="214">
        <v>3.76611E-4</v>
      </c>
      <c r="AN1333" s="74"/>
      <c r="AO1333" s="73"/>
      <c r="AP1333" s="73"/>
      <c r="AQ1333" s="73"/>
      <c r="AR1333" s="73"/>
      <c r="AS1333" s="73"/>
      <c r="AT1333" s="74"/>
      <c r="AU1333" s="47"/>
      <c r="AV1333" s="48"/>
    </row>
    <row r="1334" spans="1:48" ht="12.75" customHeight="1" x14ac:dyDescent="0.25">
      <c r="A1334" s="72" t="s">
        <v>119</v>
      </c>
      <c r="B1334" s="43" t="s">
        <v>1154</v>
      </c>
      <c r="C1334" s="44" t="s">
        <v>1489</v>
      </c>
      <c r="D1334" s="45">
        <f>MROUND(MID($C1334,6,3)/Basis!$E$3,0.5)</f>
        <v>5.5</v>
      </c>
      <c r="E1334" s="45">
        <f>MROUND(MID($C1334,9,3)/Basis!$E$3,0.5)</f>
        <v>169.5</v>
      </c>
      <c r="F1334" s="199" t="s">
        <v>2950</v>
      </c>
      <c r="G1334" s="45">
        <f>ROUND(MID($C1334,12,2)/Basis!$E$3,1)</f>
        <v>5.5</v>
      </c>
      <c r="H1334" s="120">
        <f>ROUND($P1334*Basis!$E$2*((TaH-TrH)/LN(1/µ)/Basis!$E$7)^$N1334*$AA$4*Glycol,0)</f>
        <v>2094</v>
      </c>
      <c r="I1334" s="83">
        <f>ROUND(H1334/(MID($C1334,9,3)/Basis!$E$3/Basis!$E$9)*Basis!$E$11,0)</f>
        <v>148</v>
      </c>
      <c r="J1334" s="123">
        <f>IF(Basis!$E$1=1,ROUND(H1334/((TaH-TrH)*1.163)/3600,3),ROUND(H1334/(500*(TaH-TrH)),2))</f>
        <v>0.21</v>
      </c>
      <c r="K1334" s="84"/>
      <c r="L1334" s="177">
        <f>CHOOSE(Basis!$E$1,((AJ1334*(J1334*3600/Basis!$E$5)^AK1334*(((MID(C1334,9,3)*10)-244)/1000)*AL1334+AM1334*(J1334*3600/Basis!$E$5)^2)*0.0098)/Basis!$E$10,((AJ1334*(J1334/Basis!$E$5)^AK1334*(((MID(C1334,9,3)*10)-244)/1000)*AL1334+AM1334*(J1334/Basis!$E$5)^2)*0.0098)/Basis!$E$10)</f>
        <v>2.8402139137412432E-2</v>
      </c>
      <c r="M1334" s="85"/>
      <c r="N1334" s="109">
        <v>1.3620000000000001</v>
      </c>
      <c r="O1334" s="68"/>
      <c r="P1334" s="67">
        <v>962</v>
      </c>
      <c r="Q1334" s="68"/>
      <c r="R1334" s="69"/>
      <c r="S1334" s="69"/>
      <c r="T1334" s="69"/>
      <c r="U1334" s="69"/>
      <c r="V1334" s="69"/>
      <c r="W1334" s="68"/>
      <c r="X1334" s="70"/>
      <c r="Y1334" s="70"/>
      <c r="Z1334" s="70"/>
      <c r="AA1334" s="70"/>
      <c r="AB1334" s="70"/>
      <c r="AC1334" s="68"/>
      <c r="AD1334" s="71"/>
      <c r="AE1334" s="71"/>
      <c r="AF1334" s="71"/>
      <c r="AG1334" s="71"/>
      <c r="AH1334" s="71"/>
      <c r="AI1334" s="68"/>
      <c r="AJ1334" s="214">
        <v>9.3669999999999995E-4</v>
      </c>
      <c r="AK1334" s="214">
        <v>1.789841</v>
      </c>
      <c r="AL1334" s="214">
        <v>2</v>
      </c>
      <c r="AM1334" s="214">
        <v>4.4559999999999999E-4</v>
      </c>
      <c r="AN1334" s="68"/>
      <c r="AO1334" s="67"/>
      <c r="AP1334" s="67"/>
      <c r="AQ1334" s="67"/>
      <c r="AR1334" s="67"/>
      <c r="AS1334" s="67"/>
      <c r="AT1334" s="68"/>
      <c r="AU1334" s="49"/>
      <c r="AV1334" s="50"/>
    </row>
    <row r="1335" spans="1:48" ht="12.75" customHeight="1" x14ac:dyDescent="0.25">
      <c r="A1335" s="72" t="s">
        <v>119</v>
      </c>
      <c r="B1335" s="43" t="s">
        <v>1154</v>
      </c>
      <c r="C1335" s="44" t="s">
        <v>1490</v>
      </c>
      <c r="D1335" s="45">
        <f>MROUND(MID($C1335,6,3)/Basis!$E$3,0.5)</f>
        <v>5.5</v>
      </c>
      <c r="E1335" s="45">
        <f>MROUND(MID($C1335,9,3)/Basis!$E$3,0.5)</f>
        <v>169.5</v>
      </c>
      <c r="F1335" s="199" t="s">
        <v>2950</v>
      </c>
      <c r="G1335" s="45">
        <f>ROUND(MID($C1335,12,2)/Basis!$E$3,1)</f>
        <v>10.199999999999999</v>
      </c>
      <c r="H1335" s="120">
        <f>ROUND($P1335*Basis!$E$2*((TaH-TrH)/LN(1/µ)/Basis!$E$7)^$N1335*$AA$4*Glycol,0)</f>
        <v>3635</v>
      </c>
      <c r="I1335" s="83">
        <f>ROUND(H1335/(MID($C1335,9,3)/Basis!$E$3/Basis!$E$9)*Basis!$E$11,0)</f>
        <v>258</v>
      </c>
      <c r="J1335" s="123">
        <f>IF(Basis!$E$1=1,ROUND(H1335/((TaH-TrH)*1.163)/3600,3),ROUND(H1335/(500*(TaH-TrH)),2))</f>
        <v>0.36</v>
      </c>
      <c r="K1335" s="84"/>
      <c r="L1335" s="177">
        <f>CHOOSE(Basis!$E$1,((AJ1335*(J1335*3600/Basis!$E$5)^AK1335*(((MID(C1335,9,3)*10)-244)/1000)*AL1335+AM1335*(J1335*3600/Basis!$E$5)^2)*0.0098)/Basis!$E$10,((AJ1335*(J1335/Basis!$E$5)^AK1335*(((MID(C1335,9,3)*10)-244)/1000)*AL1335+AM1335*(J1335/Basis!$E$5)^2)*0.0098)/Basis!$E$10)</f>
        <v>2.9900648135815597E-2</v>
      </c>
      <c r="M1335" s="85"/>
      <c r="N1335" s="110">
        <v>1.3620000000000001</v>
      </c>
      <c r="O1335" s="74"/>
      <c r="P1335" s="73">
        <v>1670</v>
      </c>
      <c r="Q1335" s="74"/>
      <c r="R1335" s="75"/>
      <c r="S1335" s="75"/>
      <c r="T1335" s="75"/>
      <c r="U1335" s="75"/>
      <c r="V1335" s="75"/>
      <c r="W1335" s="74"/>
      <c r="X1335" s="76"/>
      <c r="Y1335" s="76"/>
      <c r="Z1335" s="76"/>
      <c r="AA1335" s="76"/>
      <c r="AB1335" s="76"/>
      <c r="AC1335" s="74"/>
      <c r="AD1335" s="77"/>
      <c r="AE1335" s="77"/>
      <c r="AF1335" s="77"/>
      <c r="AG1335" s="77"/>
      <c r="AH1335" s="77"/>
      <c r="AI1335" s="68"/>
      <c r="AJ1335" s="213">
        <v>3.9689999999999994E-4</v>
      </c>
      <c r="AK1335" s="213">
        <v>1.7345999999999999</v>
      </c>
      <c r="AL1335" s="213">
        <v>2</v>
      </c>
      <c r="AM1335" s="213">
        <v>3.6734700000000002E-4</v>
      </c>
      <c r="AN1335" s="74"/>
      <c r="AO1335" s="73"/>
      <c r="AP1335" s="73"/>
      <c r="AQ1335" s="73"/>
      <c r="AR1335" s="73"/>
      <c r="AS1335" s="73"/>
      <c r="AT1335" s="74"/>
      <c r="AU1335" s="47"/>
      <c r="AV1335" s="48"/>
    </row>
    <row r="1336" spans="1:48" ht="12.75" customHeight="1" x14ac:dyDescent="0.25">
      <c r="A1336" s="72" t="s">
        <v>119</v>
      </c>
      <c r="B1336" s="43" t="s">
        <v>1154</v>
      </c>
      <c r="C1336" s="44" t="s">
        <v>1491</v>
      </c>
      <c r="D1336" s="45">
        <f>MROUND(MID($C1336,6,3)/Basis!$E$3,0.5)</f>
        <v>5.5</v>
      </c>
      <c r="E1336" s="45">
        <f>MROUND(MID($C1336,9,3)/Basis!$E$3,0.5)</f>
        <v>169.5</v>
      </c>
      <c r="F1336" s="199" t="s">
        <v>2950</v>
      </c>
      <c r="G1336" s="45">
        <f>ROUND(MID($C1336,12,2)/Basis!$E$3,1)</f>
        <v>13.4</v>
      </c>
      <c r="H1336" s="120">
        <f>ROUND($P1336*Basis!$E$2*((TaH-TrH)/LN(1/µ)/Basis!$E$7)^$N1336*$AA$4*Glycol,0)</f>
        <v>4961</v>
      </c>
      <c r="I1336" s="83">
        <f>ROUND(H1336/(MID($C1336,9,3)/Basis!$E$3/Basis!$E$9)*Basis!$E$11,0)</f>
        <v>352</v>
      </c>
      <c r="J1336" s="123">
        <f>IF(Basis!$E$1=1,ROUND(H1336/((TaH-TrH)*1.163)/3600,3),ROUND(H1336/(500*(TaH-TrH)),2))</f>
        <v>0.5</v>
      </c>
      <c r="K1336" s="84"/>
      <c r="L1336" s="177">
        <f>CHOOSE(Basis!$E$1,((AJ1336*(J1336*3600/Basis!$E$5)^AK1336*(((MID(C1336,9,3)*10)-244)/1000)*AL1336+AM1336*(J1336*3600/Basis!$E$5)^2)*0.0098)/Basis!$E$10,((AJ1336*(J1336/Basis!$E$5)^AK1336*(((MID(C1336,9,3)*10)-244)/1000)*AL1336+AM1336*(J1336/Basis!$E$5)^2)*0.0098)/Basis!$E$10)</f>
        <v>3.8774036544406087E-2</v>
      </c>
      <c r="M1336" s="85"/>
      <c r="N1336" s="109">
        <v>1.3620000000000001</v>
      </c>
      <c r="O1336" s="68"/>
      <c r="P1336" s="67">
        <v>2279</v>
      </c>
      <c r="Q1336" s="68"/>
      <c r="R1336" s="69"/>
      <c r="S1336" s="69"/>
      <c r="T1336" s="69"/>
      <c r="U1336" s="69"/>
      <c r="V1336" s="69"/>
      <c r="W1336" s="68"/>
      <c r="X1336" s="70"/>
      <c r="Y1336" s="70"/>
      <c r="Z1336" s="70"/>
      <c r="AA1336" s="70"/>
      <c r="AB1336" s="70"/>
      <c r="AC1336" s="68"/>
      <c r="AD1336" s="71"/>
      <c r="AE1336" s="71"/>
      <c r="AF1336" s="71"/>
      <c r="AG1336" s="71"/>
      <c r="AH1336" s="71"/>
      <c r="AI1336" s="68"/>
      <c r="AJ1336" s="214">
        <v>2.0829999999999999E-4</v>
      </c>
      <c r="AK1336" s="214">
        <v>1.724</v>
      </c>
      <c r="AL1336" s="214">
        <v>2</v>
      </c>
      <c r="AM1336" s="214">
        <v>4.6182900000000003E-4</v>
      </c>
      <c r="AN1336" s="68"/>
      <c r="AO1336" s="67"/>
      <c r="AP1336" s="67"/>
      <c r="AQ1336" s="67"/>
      <c r="AR1336" s="67"/>
      <c r="AS1336" s="67"/>
      <c r="AT1336" s="68"/>
      <c r="AU1336" s="49"/>
      <c r="AV1336" s="50"/>
    </row>
    <row r="1337" spans="1:48" ht="12.75" customHeight="1" x14ac:dyDescent="0.25">
      <c r="A1337" s="72" t="s">
        <v>119</v>
      </c>
      <c r="B1337" s="43" t="s">
        <v>1154</v>
      </c>
      <c r="C1337" s="44" t="s">
        <v>1492</v>
      </c>
      <c r="D1337" s="45">
        <f>MROUND(MID($C1337,6,3)/Basis!$E$3,0.5)</f>
        <v>5.5</v>
      </c>
      <c r="E1337" s="45">
        <f>MROUND(MID($C1337,9,3)/Basis!$E$3,0.5)</f>
        <v>169.5</v>
      </c>
      <c r="F1337" s="199" t="s">
        <v>2950</v>
      </c>
      <c r="G1337" s="45">
        <f>ROUND(MID($C1337,12,2)/Basis!$E$3,1)</f>
        <v>16.5</v>
      </c>
      <c r="H1337" s="120">
        <f>ROUND($P1337*Basis!$E$2*((TaH-TrH)/LN(1/µ)/Basis!$E$7)^$N1337*$AA$4*Glycol,0)</f>
        <v>6687</v>
      </c>
      <c r="I1337" s="83">
        <f>ROUND(H1337/(MID($C1337,9,3)/Basis!$E$3/Basis!$E$9)*Basis!$E$11,0)</f>
        <v>474</v>
      </c>
      <c r="J1337" s="123">
        <f>IF(Basis!$E$1=1,ROUND(H1337/((TaH-TrH)*1.163)/3600,3),ROUND(H1337/(500*(TaH-TrH)),2))</f>
        <v>0.67</v>
      </c>
      <c r="K1337" s="84"/>
      <c r="L1337" s="177">
        <f>CHOOSE(Basis!$E$1,((AJ1337*(J1337*3600/Basis!$E$5)^AK1337*(((MID(C1337,9,3)*10)-244)/1000)*AL1337+AM1337*(J1337*3600/Basis!$E$5)^2)*0.0098)/Basis!$E$10,((AJ1337*(J1337/Basis!$E$5)^AK1337*(((MID(C1337,9,3)*10)-244)/1000)*AL1337+AM1337*(J1337/Basis!$E$5)^2)*0.0098)/Basis!$E$10)</f>
        <v>4.7891345249835383E-2</v>
      </c>
      <c r="M1337" s="85"/>
      <c r="N1337" s="110">
        <v>1.3620000000000001</v>
      </c>
      <c r="O1337" s="74"/>
      <c r="P1337" s="73">
        <v>3072</v>
      </c>
      <c r="Q1337" s="74"/>
      <c r="R1337" s="75"/>
      <c r="S1337" s="75"/>
      <c r="T1337" s="75"/>
      <c r="U1337" s="75"/>
      <c r="V1337" s="75"/>
      <c r="W1337" s="74"/>
      <c r="X1337" s="76"/>
      <c r="Y1337" s="76"/>
      <c r="Z1337" s="76"/>
      <c r="AA1337" s="76"/>
      <c r="AB1337" s="76"/>
      <c r="AC1337" s="74"/>
      <c r="AD1337" s="77"/>
      <c r="AE1337" s="77"/>
      <c r="AF1337" s="77"/>
      <c r="AG1337" s="77"/>
      <c r="AH1337" s="77"/>
      <c r="AI1337" s="68"/>
      <c r="AJ1337" s="214">
        <v>1.2760000000000001E-4</v>
      </c>
      <c r="AK1337" s="214">
        <v>1.7219</v>
      </c>
      <c r="AL1337" s="214">
        <v>2</v>
      </c>
      <c r="AM1337" s="214">
        <v>3.76611E-4</v>
      </c>
      <c r="AN1337" s="74"/>
      <c r="AO1337" s="73"/>
      <c r="AP1337" s="73"/>
      <c r="AQ1337" s="73"/>
      <c r="AR1337" s="73"/>
      <c r="AS1337" s="73"/>
      <c r="AT1337" s="74"/>
      <c r="AU1337" s="47"/>
      <c r="AV1337" s="48"/>
    </row>
    <row r="1338" spans="1:48" ht="12.75" customHeight="1" x14ac:dyDescent="0.25">
      <c r="A1338" s="72" t="s">
        <v>119</v>
      </c>
      <c r="B1338" s="43" t="s">
        <v>1154</v>
      </c>
      <c r="C1338" s="44" t="s">
        <v>1493</v>
      </c>
      <c r="D1338" s="45">
        <f>MROUND(MID($C1338,6,3)/Basis!$E$3,0.5)</f>
        <v>5.5</v>
      </c>
      <c r="E1338" s="45">
        <f>MROUND(MID($C1338,9,3)/Basis!$E$3,0.5)</f>
        <v>177</v>
      </c>
      <c r="F1338" s="199" t="s">
        <v>2950</v>
      </c>
      <c r="G1338" s="45">
        <f>ROUND(MID($C1338,12,2)/Basis!$E$3,1)</f>
        <v>5.5</v>
      </c>
      <c r="H1338" s="120">
        <f>ROUND($P1338*Basis!$E$2*((TaH-TrH)/LN(1/µ)/Basis!$E$7)^$N1338*$AA$4*Glycol,0)</f>
        <v>2201</v>
      </c>
      <c r="I1338" s="83">
        <f>ROUND(H1338/(MID($C1338,9,3)/Basis!$E$3/Basis!$E$9)*Basis!$E$11,0)</f>
        <v>149</v>
      </c>
      <c r="J1338" s="123">
        <f>IF(Basis!$E$1=1,ROUND(H1338/((TaH-TrH)*1.163)/3600,3),ROUND(H1338/(500*(TaH-TrH)),2))</f>
        <v>0.22</v>
      </c>
      <c r="K1338" s="84"/>
      <c r="L1338" s="177">
        <f>CHOOSE(Basis!$E$1,((AJ1338*(J1338*3600/Basis!$E$5)^AK1338*(((MID(C1338,9,3)*10)-244)/1000)*AL1338+AM1338*(J1338*3600/Basis!$E$5)^2)*0.0098)/Basis!$E$10,((AJ1338*(J1338/Basis!$E$5)^AK1338*(((MID(C1338,9,3)*10)-244)/1000)*AL1338+AM1338*(J1338/Basis!$E$5)^2)*0.0098)/Basis!$E$10)</f>
        <v>3.2248106765102542E-2</v>
      </c>
      <c r="M1338" s="85"/>
      <c r="N1338" s="109">
        <v>1.3620000000000001</v>
      </c>
      <c r="O1338" s="68"/>
      <c r="P1338" s="67">
        <v>1011</v>
      </c>
      <c r="Q1338" s="68"/>
      <c r="R1338" s="69"/>
      <c r="S1338" s="69"/>
      <c r="T1338" s="69"/>
      <c r="U1338" s="69"/>
      <c r="V1338" s="69"/>
      <c r="W1338" s="68"/>
      <c r="X1338" s="70"/>
      <c r="Y1338" s="70"/>
      <c r="Z1338" s="70"/>
      <c r="AA1338" s="70"/>
      <c r="AB1338" s="70"/>
      <c r="AC1338" s="68"/>
      <c r="AD1338" s="71"/>
      <c r="AE1338" s="71"/>
      <c r="AF1338" s="71"/>
      <c r="AG1338" s="71"/>
      <c r="AH1338" s="71"/>
      <c r="AI1338" s="68"/>
      <c r="AJ1338" s="214">
        <v>9.3669999999999995E-4</v>
      </c>
      <c r="AK1338" s="214">
        <v>1.789841</v>
      </c>
      <c r="AL1338" s="214">
        <v>2</v>
      </c>
      <c r="AM1338" s="214">
        <v>4.4559999999999999E-4</v>
      </c>
      <c r="AN1338" s="68"/>
      <c r="AO1338" s="67"/>
      <c r="AP1338" s="67"/>
      <c r="AQ1338" s="67"/>
      <c r="AR1338" s="67"/>
      <c r="AS1338" s="67"/>
      <c r="AT1338" s="68"/>
      <c r="AU1338" s="49"/>
      <c r="AV1338" s="50"/>
    </row>
    <row r="1339" spans="1:48" ht="12.75" customHeight="1" x14ac:dyDescent="0.25">
      <c r="A1339" s="72" t="s">
        <v>119</v>
      </c>
      <c r="B1339" s="43" t="s">
        <v>1154</v>
      </c>
      <c r="C1339" s="44" t="s">
        <v>1494</v>
      </c>
      <c r="D1339" s="45">
        <f>MROUND(MID($C1339,6,3)/Basis!$E$3,0.5)</f>
        <v>5.5</v>
      </c>
      <c r="E1339" s="45">
        <f>MROUND(MID($C1339,9,3)/Basis!$E$3,0.5)</f>
        <v>177</v>
      </c>
      <c r="F1339" s="199" t="s">
        <v>2950</v>
      </c>
      <c r="G1339" s="45">
        <f>ROUND(MID($C1339,12,2)/Basis!$E$3,1)</f>
        <v>10.199999999999999</v>
      </c>
      <c r="H1339" s="120">
        <f>ROUND($P1339*Basis!$E$2*((TaH-TrH)/LN(1/µ)/Basis!$E$7)^$N1339*$AA$4*Glycol,0)</f>
        <v>3818</v>
      </c>
      <c r="I1339" s="83">
        <f>ROUND(H1339/(MID($C1339,9,3)/Basis!$E$3/Basis!$E$9)*Basis!$E$11,0)</f>
        <v>259</v>
      </c>
      <c r="J1339" s="123">
        <f>IF(Basis!$E$1=1,ROUND(H1339/((TaH-TrH)*1.163)/3600,3),ROUND(H1339/(500*(TaH-TrH)),2))</f>
        <v>0.38</v>
      </c>
      <c r="K1339" s="84"/>
      <c r="L1339" s="177">
        <f>CHOOSE(Basis!$E$1,((AJ1339*(J1339*3600/Basis!$E$5)^AK1339*(((MID(C1339,9,3)*10)-244)/1000)*AL1339+AM1339*(J1339*3600/Basis!$E$5)^2)*0.0098)/Basis!$E$10,((AJ1339*(J1339/Basis!$E$5)^AK1339*(((MID(C1339,9,3)*10)-244)/1000)*AL1339+AM1339*(J1339/Basis!$E$5)^2)*0.0098)/Basis!$E$10)</f>
        <v>3.4152521884419966E-2</v>
      </c>
      <c r="M1339" s="85"/>
      <c r="N1339" s="110">
        <v>1.3620000000000001</v>
      </c>
      <c r="O1339" s="74"/>
      <c r="P1339" s="73">
        <v>1754</v>
      </c>
      <c r="Q1339" s="74"/>
      <c r="R1339" s="75"/>
      <c r="S1339" s="75"/>
      <c r="T1339" s="75"/>
      <c r="U1339" s="75"/>
      <c r="V1339" s="75"/>
      <c r="W1339" s="74"/>
      <c r="X1339" s="76"/>
      <c r="Y1339" s="76"/>
      <c r="Z1339" s="76"/>
      <c r="AA1339" s="76"/>
      <c r="AB1339" s="76"/>
      <c r="AC1339" s="74"/>
      <c r="AD1339" s="77"/>
      <c r="AE1339" s="77"/>
      <c r="AF1339" s="77"/>
      <c r="AG1339" s="77"/>
      <c r="AH1339" s="77"/>
      <c r="AI1339" s="68"/>
      <c r="AJ1339" s="213">
        <v>3.9689999999999994E-4</v>
      </c>
      <c r="AK1339" s="213">
        <v>1.7345999999999999</v>
      </c>
      <c r="AL1339" s="213">
        <v>2</v>
      </c>
      <c r="AM1339" s="213">
        <v>3.6734700000000002E-4</v>
      </c>
      <c r="AN1339" s="74"/>
      <c r="AO1339" s="73"/>
      <c r="AP1339" s="73"/>
      <c r="AQ1339" s="73"/>
      <c r="AR1339" s="73"/>
      <c r="AS1339" s="73"/>
      <c r="AT1339" s="74"/>
      <c r="AU1339" s="47"/>
      <c r="AV1339" s="48"/>
    </row>
    <row r="1340" spans="1:48" ht="12.75" customHeight="1" x14ac:dyDescent="0.25">
      <c r="A1340" s="72" t="s">
        <v>119</v>
      </c>
      <c r="B1340" s="43" t="s">
        <v>1154</v>
      </c>
      <c r="C1340" s="44" t="s">
        <v>1495</v>
      </c>
      <c r="D1340" s="45">
        <f>MROUND(MID($C1340,6,3)/Basis!$E$3,0.5)</f>
        <v>5.5</v>
      </c>
      <c r="E1340" s="45">
        <f>MROUND(MID($C1340,9,3)/Basis!$E$3,0.5)</f>
        <v>177</v>
      </c>
      <c r="F1340" s="199" t="s">
        <v>2950</v>
      </c>
      <c r="G1340" s="45">
        <f>ROUND(MID($C1340,12,2)/Basis!$E$3,1)</f>
        <v>13.4</v>
      </c>
      <c r="H1340" s="120">
        <f>ROUND($P1340*Basis!$E$2*((TaH-TrH)/LN(1/µ)/Basis!$E$7)^$N1340*$AA$4*Glycol,0)</f>
        <v>5209</v>
      </c>
      <c r="I1340" s="83">
        <f>ROUND(H1340/(MID($C1340,9,3)/Basis!$E$3/Basis!$E$9)*Basis!$E$11,0)</f>
        <v>353</v>
      </c>
      <c r="J1340" s="123">
        <f>IF(Basis!$E$1=1,ROUND(H1340/((TaH-TrH)*1.163)/3600,3),ROUND(H1340/(500*(TaH-TrH)),2))</f>
        <v>0.52</v>
      </c>
      <c r="K1340" s="84"/>
      <c r="L1340" s="177">
        <f>CHOOSE(Basis!$E$1,((AJ1340*(J1340*3600/Basis!$E$5)^AK1340*(((MID(C1340,9,3)*10)-244)/1000)*AL1340+AM1340*(J1340*3600/Basis!$E$5)^2)*0.0098)/Basis!$E$10,((AJ1340*(J1340/Basis!$E$5)^AK1340*(((MID(C1340,9,3)*10)-244)/1000)*AL1340+AM1340*(J1340/Basis!$E$5)^2)*0.0098)/Basis!$E$10)</f>
        <v>4.2731492835180941E-2</v>
      </c>
      <c r="M1340" s="85"/>
      <c r="N1340" s="109">
        <v>1.3620000000000001</v>
      </c>
      <c r="O1340" s="68"/>
      <c r="P1340" s="67">
        <v>2393</v>
      </c>
      <c r="Q1340" s="68"/>
      <c r="R1340" s="69"/>
      <c r="S1340" s="69"/>
      <c r="T1340" s="69"/>
      <c r="U1340" s="69"/>
      <c r="V1340" s="69"/>
      <c r="W1340" s="68"/>
      <c r="X1340" s="70"/>
      <c r="Y1340" s="70"/>
      <c r="Z1340" s="70"/>
      <c r="AA1340" s="70"/>
      <c r="AB1340" s="70"/>
      <c r="AC1340" s="68"/>
      <c r="AD1340" s="71"/>
      <c r="AE1340" s="71"/>
      <c r="AF1340" s="71"/>
      <c r="AG1340" s="71"/>
      <c r="AH1340" s="71"/>
      <c r="AI1340" s="68"/>
      <c r="AJ1340" s="214">
        <v>2.0829999999999999E-4</v>
      </c>
      <c r="AK1340" s="214">
        <v>1.724</v>
      </c>
      <c r="AL1340" s="214">
        <v>2</v>
      </c>
      <c r="AM1340" s="214">
        <v>4.6182900000000003E-4</v>
      </c>
      <c r="AN1340" s="68"/>
      <c r="AO1340" s="67"/>
      <c r="AP1340" s="67"/>
      <c r="AQ1340" s="67"/>
      <c r="AR1340" s="67"/>
      <c r="AS1340" s="67"/>
      <c r="AT1340" s="68"/>
      <c r="AU1340" s="49"/>
      <c r="AV1340" s="50"/>
    </row>
    <row r="1341" spans="1:48" ht="12.75" customHeight="1" x14ac:dyDescent="0.25">
      <c r="A1341" s="72" t="s">
        <v>119</v>
      </c>
      <c r="B1341" s="43" t="s">
        <v>1154</v>
      </c>
      <c r="C1341" s="44" t="s">
        <v>1496</v>
      </c>
      <c r="D1341" s="45">
        <f>MROUND(MID($C1341,6,3)/Basis!$E$3,0.5)</f>
        <v>5.5</v>
      </c>
      <c r="E1341" s="45">
        <f>MROUND(MID($C1341,9,3)/Basis!$E$3,0.5)</f>
        <v>177</v>
      </c>
      <c r="F1341" s="199" t="s">
        <v>2950</v>
      </c>
      <c r="G1341" s="45">
        <f>ROUND(MID($C1341,12,2)/Basis!$E$3,1)</f>
        <v>16.5</v>
      </c>
      <c r="H1341" s="120">
        <f>ROUND($P1341*Basis!$E$2*((TaH-TrH)/LN(1/µ)/Basis!$E$7)^$N1341*$AA$4*Glycol,0)</f>
        <v>7020</v>
      </c>
      <c r="I1341" s="83">
        <f>ROUND(H1341/(MID($C1341,9,3)/Basis!$E$3/Basis!$E$9)*Basis!$E$11,0)</f>
        <v>475</v>
      </c>
      <c r="J1341" s="123">
        <f>IF(Basis!$E$1=1,ROUND(H1341/((TaH-TrH)*1.163)/3600,3),ROUND(H1341/(500*(TaH-TrH)),2))</f>
        <v>0.7</v>
      </c>
      <c r="K1341" s="84"/>
      <c r="L1341" s="177">
        <f>CHOOSE(Basis!$E$1,((AJ1341*(J1341*3600/Basis!$E$5)^AK1341*(((MID(C1341,9,3)*10)-244)/1000)*AL1341+AM1341*(J1341*3600/Basis!$E$5)^2)*0.0098)/Basis!$E$10,((AJ1341*(J1341/Basis!$E$5)^AK1341*(((MID(C1341,9,3)*10)-244)/1000)*AL1341+AM1341*(J1341/Basis!$E$5)^2)*0.0098)/Basis!$E$10)</f>
        <v>5.3050331505416042E-2</v>
      </c>
      <c r="M1341" s="85"/>
      <c r="N1341" s="110">
        <v>1.3620000000000001</v>
      </c>
      <c r="O1341" s="74"/>
      <c r="P1341" s="73">
        <v>3225</v>
      </c>
      <c r="Q1341" s="74"/>
      <c r="R1341" s="75"/>
      <c r="S1341" s="75"/>
      <c r="T1341" s="75"/>
      <c r="U1341" s="75"/>
      <c r="V1341" s="75"/>
      <c r="W1341" s="74"/>
      <c r="X1341" s="76"/>
      <c r="Y1341" s="76"/>
      <c r="Z1341" s="76"/>
      <c r="AA1341" s="76"/>
      <c r="AB1341" s="76"/>
      <c r="AC1341" s="74"/>
      <c r="AD1341" s="77"/>
      <c r="AE1341" s="77"/>
      <c r="AF1341" s="77"/>
      <c r="AG1341" s="77"/>
      <c r="AH1341" s="77"/>
      <c r="AI1341" s="68"/>
      <c r="AJ1341" s="214">
        <v>1.2760000000000001E-4</v>
      </c>
      <c r="AK1341" s="214">
        <v>1.7219</v>
      </c>
      <c r="AL1341" s="214">
        <v>2</v>
      </c>
      <c r="AM1341" s="214">
        <v>3.76611E-4</v>
      </c>
      <c r="AN1341" s="74"/>
      <c r="AO1341" s="73"/>
      <c r="AP1341" s="73"/>
      <c r="AQ1341" s="73"/>
      <c r="AR1341" s="73"/>
      <c r="AS1341" s="73"/>
      <c r="AT1341" s="74"/>
      <c r="AU1341" s="47"/>
      <c r="AV1341" s="48"/>
    </row>
    <row r="1342" spans="1:48" ht="12.75" customHeight="1" x14ac:dyDescent="0.25">
      <c r="A1342" s="72" t="s">
        <v>119</v>
      </c>
      <c r="B1342" s="43" t="s">
        <v>1154</v>
      </c>
      <c r="C1342" s="44" t="s">
        <v>1497</v>
      </c>
      <c r="D1342" s="45">
        <f>MROUND(MID($C1342,6,3)/Basis!$E$3,0.5)</f>
        <v>5.5</v>
      </c>
      <c r="E1342" s="45">
        <f>MROUND(MID($C1342,9,3)/Basis!$E$3,0.5)</f>
        <v>185</v>
      </c>
      <c r="F1342" s="199" t="s">
        <v>2950</v>
      </c>
      <c r="G1342" s="45">
        <f>ROUND(MID($C1342,12,2)/Basis!$E$3,1)</f>
        <v>5.5</v>
      </c>
      <c r="H1342" s="120">
        <f>ROUND($P1342*Basis!$E$2*((TaH-TrH)/LN(1/µ)/Basis!$E$7)^$N1342*$AA$4*Glycol,0)</f>
        <v>2303</v>
      </c>
      <c r="I1342" s="83">
        <f>ROUND(H1342/(MID($C1342,9,3)/Basis!$E$3/Basis!$E$9)*Basis!$E$11,0)</f>
        <v>149</v>
      </c>
      <c r="J1342" s="123">
        <f>IF(Basis!$E$1=1,ROUND(H1342/((TaH-TrH)*1.163)/3600,3),ROUND(H1342/(500*(TaH-TrH)),2))</f>
        <v>0.23</v>
      </c>
      <c r="K1342" s="84"/>
      <c r="L1342" s="177">
        <f>CHOOSE(Basis!$E$1,((AJ1342*(J1342*3600/Basis!$E$5)^AK1342*(((MID(C1342,9,3)*10)-244)/1000)*AL1342+AM1342*(J1342*3600/Basis!$E$5)^2)*0.0098)/Basis!$E$10,((AJ1342*(J1342/Basis!$E$5)^AK1342*(((MID(C1342,9,3)*10)-244)/1000)*AL1342+AM1342*(J1342/Basis!$E$5)^2)*0.0098)/Basis!$E$10)</f>
        <v>3.6411427042930627E-2</v>
      </c>
      <c r="M1342" s="85"/>
      <c r="N1342" s="109">
        <v>1.3620000000000001</v>
      </c>
      <c r="O1342" s="68"/>
      <c r="P1342" s="67">
        <v>1058</v>
      </c>
      <c r="Q1342" s="68"/>
      <c r="R1342" s="69"/>
      <c r="S1342" s="69"/>
      <c r="T1342" s="69"/>
      <c r="U1342" s="69"/>
      <c r="V1342" s="69"/>
      <c r="W1342" s="68"/>
      <c r="X1342" s="70"/>
      <c r="Y1342" s="70"/>
      <c r="Z1342" s="70"/>
      <c r="AA1342" s="70"/>
      <c r="AB1342" s="70"/>
      <c r="AC1342" s="68"/>
      <c r="AD1342" s="71"/>
      <c r="AE1342" s="71"/>
      <c r="AF1342" s="71"/>
      <c r="AG1342" s="71"/>
      <c r="AH1342" s="71"/>
      <c r="AI1342" s="68"/>
      <c r="AJ1342" s="214">
        <v>9.3669999999999995E-4</v>
      </c>
      <c r="AK1342" s="214">
        <v>1.789841</v>
      </c>
      <c r="AL1342" s="214">
        <v>2</v>
      </c>
      <c r="AM1342" s="214">
        <v>4.4559999999999999E-4</v>
      </c>
      <c r="AN1342" s="68"/>
      <c r="AO1342" s="67"/>
      <c r="AP1342" s="67"/>
      <c r="AQ1342" s="67"/>
      <c r="AR1342" s="67"/>
      <c r="AS1342" s="67"/>
      <c r="AT1342" s="68"/>
      <c r="AU1342" s="49"/>
      <c r="AV1342" s="50"/>
    </row>
    <row r="1343" spans="1:48" ht="12.75" customHeight="1" x14ac:dyDescent="0.25">
      <c r="A1343" s="72" t="s">
        <v>119</v>
      </c>
      <c r="B1343" s="43" t="s">
        <v>1154</v>
      </c>
      <c r="C1343" s="44" t="s">
        <v>1498</v>
      </c>
      <c r="D1343" s="45">
        <f>MROUND(MID($C1343,6,3)/Basis!$E$3,0.5)</f>
        <v>5.5</v>
      </c>
      <c r="E1343" s="45">
        <f>MROUND(MID($C1343,9,3)/Basis!$E$3,0.5)</f>
        <v>185</v>
      </c>
      <c r="F1343" s="199" t="s">
        <v>2950</v>
      </c>
      <c r="G1343" s="45">
        <f>ROUND(MID($C1343,12,2)/Basis!$E$3,1)</f>
        <v>10.199999999999999</v>
      </c>
      <c r="H1343" s="120">
        <f>ROUND($P1343*Basis!$E$2*((TaH-TrH)/LN(1/µ)/Basis!$E$7)^$N1343*$AA$4*Glycol,0)</f>
        <v>4001</v>
      </c>
      <c r="I1343" s="83">
        <f>ROUND(H1343/(MID($C1343,9,3)/Basis!$E$3/Basis!$E$9)*Basis!$E$11,0)</f>
        <v>259</v>
      </c>
      <c r="J1343" s="123">
        <f>IF(Basis!$E$1=1,ROUND(H1343/((TaH-TrH)*1.163)/3600,3),ROUND(H1343/(500*(TaH-TrH)),2))</f>
        <v>0.4</v>
      </c>
      <c r="K1343" s="84"/>
      <c r="L1343" s="177">
        <f>CHOOSE(Basis!$E$1,((AJ1343*(J1343*3600/Basis!$E$5)^AK1343*(((MID(C1343,9,3)*10)-244)/1000)*AL1343+AM1343*(J1343*3600/Basis!$E$5)^2)*0.0098)/Basis!$E$10,((AJ1343*(J1343/Basis!$E$5)^AK1343*(((MID(C1343,9,3)*10)-244)/1000)*AL1343+AM1343*(J1343/Basis!$E$5)^2)*0.0098)/Basis!$E$10)</f>
        <v>3.8759191124066832E-2</v>
      </c>
      <c r="M1343" s="85"/>
      <c r="N1343" s="110">
        <v>1.3620000000000001</v>
      </c>
      <c r="O1343" s="74"/>
      <c r="P1343" s="73">
        <v>1838</v>
      </c>
      <c r="Q1343" s="74"/>
      <c r="R1343" s="75"/>
      <c r="S1343" s="75"/>
      <c r="T1343" s="75"/>
      <c r="U1343" s="75"/>
      <c r="V1343" s="75"/>
      <c r="W1343" s="74"/>
      <c r="X1343" s="76"/>
      <c r="Y1343" s="76"/>
      <c r="Z1343" s="76"/>
      <c r="AA1343" s="76"/>
      <c r="AB1343" s="76"/>
      <c r="AC1343" s="74"/>
      <c r="AD1343" s="77"/>
      <c r="AE1343" s="77"/>
      <c r="AF1343" s="77"/>
      <c r="AG1343" s="77"/>
      <c r="AH1343" s="77"/>
      <c r="AI1343" s="68"/>
      <c r="AJ1343" s="213">
        <v>3.9689999999999994E-4</v>
      </c>
      <c r="AK1343" s="213">
        <v>1.7345999999999999</v>
      </c>
      <c r="AL1343" s="213">
        <v>2</v>
      </c>
      <c r="AM1343" s="213">
        <v>3.6734700000000002E-4</v>
      </c>
      <c r="AN1343" s="74"/>
      <c r="AO1343" s="73"/>
      <c r="AP1343" s="73"/>
      <c r="AQ1343" s="73"/>
      <c r="AR1343" s="73"/>
      <c r="AS1343" s="73"/>
      <c r="AT1343" s="74"/>
      <c r="AU1343" s="47"/>
      <c r="AV1343" s="48"/>
    </row>
    <row r="1344" spans="1:48" ht="12.75" customHeight="1" x14ac:dyDescent="0.25">
      <c r="A1344" s="72" t="s">
        <v>119</v>
      </c>
      <c r="B1344" s="43" t="s">
        <v>1154</v>
      </c>
      <c r="C1344" s="44" t="s">
        <v>1499</v>
      </c>
      <c r="D1344" s="45">
        <f>MROUND(MID($C1344,6,3)/Basis!$E$3,0.5)</f>
        <v>5.5</v>
      </c>
      <c r="E1344" s="45">
        <f>MROUND(MID($C1344,9,3)/Basis!$E$3,0.5)</f>
        <v>185</v>
      </c>
      <c r="F1344" s="199" t="s">
        <v>2950</v>
      </c>
      <c r="G1344" s="45">
        <f>ROUND(MID($C1344,12,2)/Basis!$E$3,1)</f>
        <v>13.4</v>
      </c>
      <c r="H1344" s="120">
        <f>ROUND($P1344*Basis!$E$2*((TaH-TrH)/LN(1/µ)/Basis!$E$7)^$N1344*$AA$4*Glycol,0)</f>
        <v>5455</v>
      </c>
      <c r="I1344" s="83">
        <f>ROUND(H1344/(MID($C1344,9,3)/Basis!$E$3/Basis!$E$9)*Basis!$E$11,0)</f>
        <v>354</v>
      </c>
      <c r="J1344" s="123">
        <f>IF(Basis!$E$1=1,ROUND(H1344/((TaH-TrH)*1.163)/3600,3),ROUND(H1344/(500*(TaH-TrH)),2))</f>
        <v>0.55000000000000004</v>
      </c>
      <c r="K1344" s="84"/>
      <c r="L1344" s="177">
        <f>CHOOSE(Basis!$E$1,((AJ1344*(J1344*3600/Basis!$E$5)^AK1344*(((MID(C1344,9,3)*10)-244)/1000)*AL1344+AM1344*(J1344*3600/Basis!$E$5)^2)*0.0098)/Basis!$E$10,((AJ1344*(J1344/Basis!$E$5)^AK1344*(((MID(C1344,9,3)*10)-244)/1000)*AL1344+AM1344*(J1344/Basis!$E$5)^2)*0.0098)/Basis!$E$10)</f>
        <v>4.8553530552628586E-2</v>
      </c>
      <c r="M1344" s="85"/>
      <c r="N1344" s="109">
        <v>1.3620000000000001</v>
      </c>
      <c r="O1344" s="68"/>
      <c r="P1344" s="67">
        <v>2506</v>
      </c>
      <c r="Q1344" s="68"/>
      <c r="R1344" s="69"/>
      <c r="S1344" s="69"/>
      <c r="T1344" s="69"/>
      <c r="U1344" s="69"/>
      <c r="V1344" s="69"/>
      <c r="W1344" s="68"/>
      <c r="X1344" s="70"/>
      <c r="Y1344" s="70"/>
      <c r="Z1344" s="70"/>
      <c r="AA1344" s="70"/>
      <c r="AB1344" s="70"/>
      <c r="AC1344" s="68"/>
      <c r="AD1344" s="71"/>
      <c r="AE1344" s="71"/>
      <c r="AF1344" s="71"/>
      <c r="AG1344" s="71"/>
      <c r="AH1344" s="71"/>
      <c r="AI1344" s="68"/>
      <c r="AJ1344" s="214">
        <v>2.0829999999999999E-4</v>
      </c>
      <c r="AK1344" s="214">
        <v>1.724</v>
      </c>
      <c r="AL1344" s="214">
        <v>2</v>
      </c>
      <c r="AM1344" s="214">
        <v>4.6182900000000003E-4</v>
      </c>
      <c r="AN1344" s="68"/>
      <c r="AO1344" s="67"/>
      <c r="AP1344" s="67"/>
      <c r="AQ1344" s="67"/>
      <c r="AR1344" s="67"/>
      <c r="AS1344" s="67"/>
      <c r="AT1344" s="68"/>
      <c r="AU1344" s="49"/>
      <c r="AV1344" s="50"/>
    </row>
    <row r="1345" spans="1:48" ht="12.75" customHeight="1" x14ac:dyDescent="0.25">
      <c r="A1345" s="72" t="s">
        <v>119</v>
      </c>
      <c r="B1345" s="43" t="s">
        <v>1154</v>
      </c>
      <c r="C1345" s="44" t="s">
        <v>1500</v>
      </c>
      <c r="D1345" s="45">
        <f>MROUND(MID($C1345,6,3)/Basis!$E$3,0.5)</f>
        <v>5.5</v>
      </c>
      <c r="E1345" s="45">
        <f>MROUND(MID($C1345,9,3)/Basis!$E$3,0.5)</f>
        <v>185</v>
      </c>
      <c r="F1345" s="199" t="s">
        <v>2950</v>
      </c>
      <c r="G1345" s="45">
        <f>ROUND(MID($C1345,12,2)/Basis!$E$3,1)</f>
        <v>16.5</v>
      </c>
      <c r="H1345" s="120">
        <f>ROUND($P1345*Basis!$E$2*((TaH-TrH)/LN(1/µ)/Basis!$E$7)^$N1345*$AA$4*Glycol,0)</f>
        <v>7355</v>
      </c>
      <c r="I1345" s="83">
        <f>ROUND(H1345/(MID($C1345,9,3)/Basis!$E$3/Basis!$E$9)*Basis!$E$11,0)</f>
        <v>477</v>
      </c>
      <c r="J1345" s="123">
        <f>IF(Basis!$E$1=1,ROUND(H1345/((TaH-TrH)*1.163)/3600,3),ROUND(H1345/(500*(TaH-TrH)),2))</f>
        <v>0.74</v>
      </c>
      <c r="K1345" s="84"/>
      <c r="L1345" s="177">
        <f>CHOOSE(Basis!$E$1,((AJ1345*(J1345*3600/Basis!$E$5)^AK1345*(((MID(C1345,9,3)*10)-244)/1000)*AL1345+AM1345*(J1345*3600/Basis!$E$5)^2)*0.0098)/Basis!$E$10,((AJ1345*(J1345/Basis!$E$5)^AK1345*(((MID(C1345,9,3)*10)-244)/1000)*AL1345+AM1345*(J1345/Basis!$E$5)^2)*0.0098)/Basis!$E$10)</f>
        <v>6.0044439463121484E-2</v>
      </c>
      <c r="M1345" s="85"/>
      <c r="N1345" s="110">
        <v>1.3620000000000001</v>
      </c>
      <c r="O1345" s="74"/>
      <c r="P1345" s="73">
        <v>3379</v>
      </c>
      <c r="Q1345" s="74"/>
      <c r="R1345" s="75"/>
      <c r="S1345" s="75"/>
      <c r="T1345" s="75"/>
      <c r="U1345" s="75"/>
      <c r="V1345" s="75"/>
      <c r="W1345" s="74"/>
      <c r="X1345" s="76"/>
      <c r="Y1345" s="76"/>
      <c r="Z1345" s="76"/>
      <c r="AA1345" s="76"/>
      <c r="AB1345" s="76"/>
      <c r="AC1345" s="74"/>
      <c r="AD1345" s="77"/>
      <c r="AE1345" s="77"/>
      <c r="AF1345" s="77"/>
      <c r="AG1345" s="77"/>
      <c r="AH1345" s="77"/>
      <c r="AI1345" s="68"/>
      <c r="AJ1345" s="214">
        <v>1.2760000000000001E-4</v>
      </c>
      <c r="AK1345" s="214">
        <v>1.7219</v>
      </c>
      <c r="AL1345" s="214">
        <v>2</v>
      </c>
      <c r="AM1345" s="214">
        <v>3.76611E-4</v>
      </c>
      <c r="AN1345" s="74"/>
      <c r="AO1345" s="73"/>
      <c r="AP1345" s="73"/>
      <c r="AQ1345" s="73"/>
      <c r="AR1345" s="73"/>
      <c r="AS1345" s="73"/>
      <c r="AT1345" s="74"/>
      <c r="AU1345" s="47"/>
      <c r="AV1345" s="48"/>
    </row>
    <row r="1346" spans="1:48" ht="12.75" customHeight="1" x14ac:dyDescent="0.25">
      <c r="A1346" s="72" t="s">
        <v>119</v>
      </c>
      <c r="B1346" s="43" t="s">
        <v>1154</v>
      </c>
      <c r="C1346" s="44" t="s">
        <v>1501</v>
      </c>
      <c r="D1346" s="45">
        <f>MROUND(MID($C1346,6,3)/Basis!$E$3,0.5)</f>
        <v>5.5</v>
      </c>
      <c r="E1346" s="45">
        <f>MROUND(MID($C1346,9,3)/Basis!$E$3,0.5)</f>
        <v>193</v>
      </c>
      <c r="F1346" s="199" t="s">
        <v>2950</v>
      </c>
      <c r="G1346" s="45">
        <f>ROUND(MID($C1346,12,2)/Basis!$E$3,1)</f>
        <v>5.5</v>
      </c>
      <c r="H1346" s="120">
        <f>ROUND($P1346*Basis!$E$2*((TaH-TrH)/LN(1/µ)/Basis!$E$7)^$N1346*$AA$4*Glycol,0)</f>
        <v>2410</v>
      </c>
      <c r="I1346" s="83">
        <f>ROUND(H1346/(MID($C1346,9,3)/Basis!$E$3/Basis!$E$9)*Basis!$E$11,0)</f>
        <v>150</v>
      </c>
      <c r="J1346" s="123">
        <f>IF(Basis!$E$1=1,ROUND(H1346/((TaH-TrH)*1.163)/3600,3),ROUND(H1346/(500*(TaH-TrH)),2))</f>
        <v>0.24</v>
      </c>
      <c r="K1346" s="84"/>
      <c r="L1346" s="177">
        <f>CHOOSE(Basis!$E$1,((AJ1346*(J1346*3600/Basis!$E$5)^AK1346*(((MID(C1346,9,3)*10)-244)/1000)*AL1346+AM1346*(J1346*3600/Basis!$E$5)^2)*0.0098)/Basis!$E$10,((AJ1346*(J1346/Basis!$E$5)^AK1346*(((MID(C1346,9,3)*10)-244)/1000)*AL1346+AM1346*(J1346/Basis!$E$5)^2)*0.0098)/Basis!$E$10)</f>
        <v>4.0903031045378506E-2</v>
      </c>
      <c r="M1346" s="85"/>
      <c r="N1346" s="109">
        <v>1.3620000000000001</v>
      </c>
      <c r="O1346" s="68"/>
      <c r="P1346" s="67">
        <v>1107</v>
      </c>
      <c r="Q1346" s="68"/>
      <c r="R1346" s="69"/>
      <c r="S1346" s="69"/>
      <c r="T1346" s="69"/>
      <c r="U1346" s="69"/>
      <c r="V1346" s="69"/>
      <c r="W1346" s="68"/>
      <c r="X1346" s="70"/>
      <c r="Y1346" s="70"/>
      <c r="Z1346" s="70"/>
      <c r="AA1346" s="70"/>
      <c r="AB1346" s="70"/>
      <c r="AC1346" s="68"/>
      <c r="AD1346" s="71"/>
      <c r="AE1346" s="71"/>
      <c r="AF1346" s="71"/>
      <c r="AG1346" s="71"/>
      <c r="AH1346" s="71"/>
      <c r="AI1346" s="68"/>
      <c r="AJ1346" s="214">
        <v>9.3669999999999995E-4</v>
      </c>
      <c r="AK1346" s="214">
        <v>1.789841</v>
      </c>
      <c r="AL1346" s="214">
        <v>2</v>
      </c>
      <c r="AM1346" s="214">
        <v>4.4559999999999999E-4</v>
      </c>
      <c r="AN1346" s="68"/>
      <c r="AO1346" s="67"/>
      <c r="AP1346" s="67"/>
      <c r="AQ1346" s="67"/>
      <c r="AR1346" s="67"/>
      <c r="AS1346" s="67"/>
      <c r="AT1346" s="68"/>
      <c r="AU1346" s="49"/>
      <c r="AV1346" s="50"/>
    </row>
    <row r="1347" spans="1:48" ht="12.75" customHeight="1" x14ac:dyDescent="0.25">
      <c r="A1347" s="72" t="s">
        <v>119</v>
      </c>
      <c r="B1347" s="43" t="s">
        <v>1154</v>
      </c>
      <c r="C1347" s="44" t="s">
        <v>1502</v>
      </c>
      <c r="D1347" s="45">
        <f>MROUND(MID($C1347,6,3)/Basis!$E$3,0.5)</f>
        <v>5.5</v>
      </c>
      <c r="E1347" s="45">
        <f>MROUND(MID($C1347,9,3)/Basis!$E$3,0.5)</f>
        <v>193</v>
      </c>
      <c r="F1347" s="199" t="s">
        <v>2950</v>
      </c>
      <c r="G1347" s="45">
        <f>ROUND(MID($C1347,12,2)/Basis!$E$3,1)</f>
        <v>10.199999999999999</v>
      </c>
      <c r="H1347" s="120">
        <f>ROUND($P1347*Basis!$E$2*((TaH-TrH)/LN(1/µ)/Basis!$E$7)^$N1347*$AA$4*Glycol,0)</f>
        <v>4181</v>
      </c>
      <c r="I1347" s="83">
        <f>ROUND(H1347/(MID($C1347,9,3)/Basis!$E$3/Basis!$E$9)*Basis!$E$11,0)</f>
        <v>260</v>
      </c>
      <c r="J1347" s="123">
        <f>IF(Basis!$E$1=1,ROUND(H1347/((TaH-TrH)*1.163)/3600,3),ROUND(H1347/(500*(TaH-TrH)),2))</f>
        <v>0.42</v>
      </c>
      <c r="K1347" s="84"/>
      <c r="L1347" s="177">
        <f>CHOOSE(Basis!$E$1,((AJ1347*(J1347*3600/Basis!$E$5)^AK1347*(((MID(C1347,9,3)*10)-244)/1000)*AL1347+AM1347*(J1347*3600/Basis!$E$5)^2)*0.0098)/Basis!$E$10,((AJ1347*(J1347/Basis!$E$5)^AK1347*(((MID(C1347,9,3)*10)-244)/1000)*AL1347+AM1347*(J1347/Basis!$E$5)^2)*0.0098)/Basis!$E$10)</f>
        <v>4.3731882574841986E-2</v>
      </c>
      <c r="M1347" s="85"/>
      <c r="N1347" s="110">
        <v>1.3620000000000001</v>
      </c>
      <c r="O1347" s="74"/>
      <c r="P1347" s="73">
        <v>1921</v>
      </c>
      <c r="Q1347" s="74"/>
      <c r="R1347" s="75"/>
      <c r="S1347" s="75"/>
      <c r="T1347" s="75"/>
      <c r="U1347" s="75"/>
      <c r="V1347" s="75"/>
      <c r="W1347" s="74"/>
      <c r="X1347" s="76"/>
      <c r="Y1347" s="76"/>
      <c r="Z1347" s="76"/>
      <c r="AA1347" s="76"/>
      <c r="AB1347" s="76"/>
      <c r="AC1347" s="74"/>
      <c r="AD1347" s="77"/>
      <c r="AE1347" s="77"/>
      <c r="AF1347" s="77"/>
      <c r="AG1347" s="77"/>
      <c r="AH1347" s="77"/>
      <c r="AI1347" s="68"/>
      <c r="AJ1347" s="213">
        <v>3.9689999999999994E-4</v>
      </c>
      <c r="AK1347" s="213">
        <v>1.7345999999999999</v>
      </c>
      <c r="AL1347" s="213">
        <v>2</v>
      </c>
      <c r="AM1347" s="213">
        <v>3.6734700000000002E-4</v>
      </c>
      <c r="AN1347" s="74"/>
      <c r="AO1347" s="73"/>
      <c r="AP1347" s="73"/>
      <c r="AQ1347" s="73"/>
      <c r="AR1347" s="73"/>
      <c r="AS1347" s="73"/>
      <c r="AT1347" s="74"/>
      <c r="AU1347" s="47"/>
      <c r="AV1347" s="48"/>
    </row>
    <row r="1348" spans="1:48" ht="12.75" customHeight="1" x14ac:dyDescent="0.25">
      <c r="A1348" s="72" t="s">
        <v>119</v>
      </c>
      <c r="B1348" s="43" t="s">
        <v>1154</v>
      </c>
      <c r="C1348" s="44" t="s">
        <v>1503</v>
      </c>
      <c r="D1348" s="45">
        <f>MROUND(MID($C1348,6,3)/Basis!$E$3,0.5)</f>
        <v>5.5</v>
      </c>
      <c r="E1348" s="45">
        <f>MROUND(MID($C1348,9,3)/Basis!$E$3,0.5)</f>
        <v>193</v>
      </c>
      <c r="F1348" s="199" t="s">
        <v>2950</v>
      </c>
      <c r="G1348" s="45">
        <f>ROUND(MID($C1348,12,2)/Basis!$E$3,1)</f>
        <v>13.4</v>
      </c>
      <c r="H1348" s="120">
        <f>ROUND($P1348*Basis!$E$2*((TaH-TrH)/LN(1/µ)/Basis!$E$7)^$N1348*$AA$4*Glycol,0)</f>
        <v>5705</v>
      </c>
      <c r="I1348" s="83">
        <f>ROUND(H1348/(MID($C1348,9,3)/Basis!$E$3/Basis!$E$9)*Basis!$E$11,0)</f>
        <v>355</v>
      </c>
      <c r="J1348" s="123">
        <f>IF(Basis!$E$1=1,ROUND(H1348/((TaH-TrH)*1.163)/3600,3),ROUND(H1348/(500*(TaH-TrH)),2))</f>
        <v>0.56999999999999995</v>
      </c>
      <c r="K1348" s="84"/>
      <c r="L1348" s="177">
        <f>CHOOSE(Basis!$E$1,((AJ1348*(J1348*3600/Basis!$E$5)^AK1348*(((MID(C1348,9,3)*10)-244)/1000)*AL1348+AM1348*(J1348*3600/Basis!$E$5)^2)*0.0098)/Basis!$E$10,((AJ1348*(J1348/Basis!$E$5)^AK1348*(((MID(C1348,9,3)*10)-244)/1000)*AL1348+AM1348*(J1348/Basis!$E$5)^2)*0.0098)/Basis!$E$10)</f>
        <v>5.3078464743364015E-2</v>
      </c>
      <c r="M1348" s="85"/>
      <c r="N1348" s="109">
        <v>1.3620000000000001</v>
      </c>
      <c r="O1348" s="68"/>
      <c r="P1348" s="67">
        <v>2621</v>
      </c>
      <c r="Q1348" s="68"/>
      <c r="R1348" s="69"/>
      <c r="S1348" s="69"/>
      <c r="T1348" s="69"/>
      <c r="U1348" s="69"/>
      <c r="V1348" s="69"/>
      <c r="W1348" s="68"/>
      <c r="X1348" s="70"/>
      <c r="Y1348" s="70"/>
      <c r="Z1348" s="70"/>
      <c r="AA1348" s="70"/>
      <c r="AB1348" s="70"/>
      <c r="AC1348" s="68"/>
      <c r="AD1348" s="71"/>
      <c r="AE1348" s="71"/>
      <c r="AF1348" s="71"/>
      <c r="AG1348" s="71"/>
      <c r="AH1348" s="71"/>
      <c r="AI1348" s="68"/>
      <c r="AJ1348" s="214">
        <v>2.0829999999999999E-4</v>
      </c>
      <c r="AK1348" s="214">
        <v>1.724</v>
      </c>
      <c r="AL1348" s="214">
        <v>2</v>
      </c>
      <c r="AM1348" s="214">
        <v>4.6182900000000003E-4</v>
      </c>
      <c r="AN1348" s="68"/>
      <c r="AO1348" s="67"/>
      <c r="AP1348" s="67"/>
      <c r="AQ1348" s="67"/>
      <c r="AR1348" s="67"/>
      <c r="AS1348" s="67"/>
      <c r="AT1348" s="68"/>
      <c r="AU1348" s="49"/>
      <c r="AV1348" s="50"/>
    </row>
    <row r="1349" spans="1:48" ht="12.75" customHeight="1" x14ac:dyDescent="0.25">
      <c r="A1349" s="72" t="s">
        <v>119</v>
      </c>
      <c r="B1349" s="43" t="s">
        <v>1154</v>
      </c>
      <c r="C1349" s="44" t="s">
        <v>1504</v>
      </c>
      <c r="D1349" s="45">
        <f>MROUND(MID($C1349,6,3)/Basis!$E$3,0.5)</f>
        <v>5.5</v>
      </c>
      <c r="E1349" s="45">
        <f>MROUND(MID($C1349,9,3)/Basis!$E$3,0.5)</f>
        <v>193</v>
      </c>
      <c r="F1349" s="199" t="s">
        <v>2950</v>
      </c>
      <c r="G1349" s="45">
        <f>ROUND(MID($C1349,12,2)/Basis!$E$3,1)</f>
        <v>16.5</v>
      </c>
      <c r="H1349" s="120">
        <f>ROUND($P1349*Basis!$E$2*((TaH-TrH)/LN(1/µ)/Basis!$E$7)^$N1349*$AA$4*Glycol,0)</f>
        <v>7690</v>
      </c>
      <c r="I1349" s="83">
        <f>ROUND(H1349/(MID($C1349,9,3)/Basis!$E$3/Basis!$E$9)*Basis!$E$11,0)</f>
        <v>478</v>
      </c>
      <c r="J1349" s="123">
        <f>IF(Basis!$E$1=1,ROUND(H1349/((TaH-TrH)*1.163)/3600,3),ROUND(H1349/(500*(TaH-TrH)),2))</f>
        <v>0.77</v>
      </c>
      <c r="K1349" s="84"/>
      <c r="L1349" s="177">
        <f>CHOOSE(Basis!$E$1,((AJ1349*(J1349*3600/Basis!$E$5)^AK1349*(((MID(C1349,9,3)*10)-244)/1000)*AL1349+AM1349*(J1349*3600/Basis!$E$5)^2)*0.0098)/Basis!$E$10,((AJ1349*(J1349/Basis!$E$5)^AK1349*(((MID(C1349,9,3)*10)-244)/1000)*AL1349+AM1349*(J1349/Basis!$E$5)^2)*0.0098)/Basis!$E$10)</f>
        <v>6.5925017088254392E-2</v>
      </c>
      <c r="M1349" s="85"/>
      <c r="N1349" s="110">
        <v>1.3620000000000001</v>
      </c>
      <c r="O1349" s="74"/>
      <c r="P1349" s="73">
        <v>3533</v>
      </c>
      <c r="Q1349" s="74"/>
      <c r="R1349" s="75"/>
      <c r="S1349" s="75"/>
      <c r="T1349" s="75"/>
      <c r="U1349" s="75"/>
      <c r="V1349" s="75"/>
      <c r="W1349" s="74"/>
      <c r="X1349" s="76"/>
      <c r="Y1349" s="76"/>
      <c r="Z1349" s="76"/>
      <c r="AA1349" s="76"/>
      <c r="AB1349" s="76"/>
      <c r="AC1349" s="74"/>
      <c r="AD1349" s="77"/>
      <c r="AE1349" s="77"/>
      <c r="AF1349" s="77"/>
      <c r="AG1349" s="77"/>
      <c r="AH1349" s="77"/>
      <c r="AI1349" s="68"/>
      <c r="AJ1349" s="214">
        <v>1.2760000000000001E-4</v>
      </c>
      <c r="AK1349" s="214">
        <v>1.7219</v>
      </c>
      <c r="AL1349" s="214">
        <v>2</v>
      </c>
      <c r="AM1349" s="214">
        <v>3.76611E-4</v>
      </c>
      <c r="AN1349" s="74"/>
      <c r="AO1349" s="73"/>
      <c r="AP1349" s="73"/>
      <c r="AQ1349" s="73"/>
      <c r="AR1349" s="73"/>
      <c r="AS1349" s="73"/>
      <c r="AT1349" s="74"/>
      <c r="AU1349" s="47"/>
      <c r="AV1349" s="48"/>
    </row>
    <row r="1350" spans="1:48" ht="12.75" customHeight="1" x14ac:dyDescent="0.25">
      <c r="A1350" s="72" t="s">
        <v>119</v>
      </c>
      <c r="B1350" s="43" t="s">
        <v>1154</v>
      </c>
      <c r="C1350" s="44" t="s">
        <v>1505</v>
      </c>
      <c r="D1350" s="45">
        <f>MROUND(MID($C1350,6,3)/Basis!$E$3,0.5)</f>
        <v>7.5</v>
      </c>
      <c r="E1350" s="45">
        <f>MROUND(MID($C1350,9,3)/Basis!$E$3,0.5)</f>
        <v>27.5</v>
      </c>
      <c r="F1350" s="199" t="s">
        <v>2950</v>
      </c>
      <c r="G1350" s="45">
        <f>ROUND(MID($C1350,12,2)/Basis!$E$3,1)</f>
        <v>10.199999999999999</v>
      </c>
      <c r="H1350" s="120">
        <f>ROUND($P1350*Basis!$E$2*((TaH-TrH)/LN(1/µ)/Basis!$E$7)^$N1350*$AA$4*Glycol,0)</f>
        <v>414</v>
      </c>
      <c r="I1350" s="83">
        <f>ROUND(H1350/(MID($C1350,9,3)/Basis!$E$3/Basis!$E$9)*Basis!$E$11,0)</f>
        <v>180</v>
      </c>
      <c r="J1350" s="123">
        <f>IF(Basis!$E$1=1,ROUND(H1350/((TaH-TrH)*1.163)/3600,3),ROUND(H1350/(500*(TaH-TrH)),2))</f>
        <v>0.04</v>
      </c>
      <c r="K1350" s="84"/>
      <c r="L1350" s="177">
        <f>CHOOSE(Basis!$E$1,((AJ1350*(J1350*3600/Basis!$E$5)^AK1350*(((MID(C1350,9,3)*10)-244)/1000)*AL1350+AM1350*(J1350*3600/Basis!$E$5)^2)*0.0098)/Basis!$E$10,((AJ1350*(J1350/Basis!$E$5)^AK1350*(((MID(C1350,9,3)*10)-244)/1000)*AL1350+AM1350*(J1350/Basis!$E$5)^2)*0.0098)/Basis!$E$10)</f>
        <v>1.5352406513866916E-4</v>
      </c>
      <c r="M1350" s="85"/>
      <c r="N1350" s="109">
        <v>1.3620000000000001</v>
      </c>
      <c r="O1350" s="68"/>
      <c r="P1350" s="67">
        <v>190</v>
      </c>
      <c r="Q1350" s="68"/>
      <c r="R1350" s="69"/>
      <c r="S1350" s="69"/>
      <c r="T1350" s="69"/>
      <c r="U1350" s="69"/>
      <c r="V1350" s="69"/>
      <c r="W1350" s="68"/>
      <c r="X1350" s="70"/>
      <c r="Y1350" s="70"/>
      <c r="Z1350" s="70"/>
      <c r="AA1350" s="70"/>
      <c r="AB1350" s="70"/>
      <c r="AC1350" s="68"/>
      <c r="AD1350" s="71"/>
      <c r="AE1350" s="71"/>
      <c r="AF1350" s="71"/>
      <c r="AG1350" s="71"/>
      <c r="AH1350" s="71"/>
      <c r="AI1350" s="68"/>
      <c r="AJ1350" s="213">
        <v>3.9689999999999994E-4</v>
      </c>
      <c r="AK1350" s="213">
        <v>1.7345999999999999</v>
      </c>
      <c r="AL1350" s="213">
        <v>2</v>
      </c>
      <c r="AM1350" s="213">
        <v>3.6734700000000002E-4</v>
      </c>
      <c r="AN1350" s="68"/>
      <c r="AO1350" s="67"/>
      <c r="AP1350" s="67"/>
      <c r="AQ1350" s="67"/>
      <c r="AR1350" s="67"/>
      <c r="AS1350" s="67"/>
      <c r="AT1350" s="68"/>
      <c r="AU1350" s="49"/>
      <c r="AV1350" s="50"/>
    </row>
    <row r="1351" spans="1:48" ht="12.75" customHeight="1" x14ac:dyDescent="0.25">
      <c r="A1351" s="72" t="s">
        <v>119</v>
      </c>
      <c r="B1351" s="43" t="s">
        <v>1154</v>
      </c>
      <c r="C1351" s="44" t="s">
        <v>1506</v>
      </c>
      <c r="D1351" s="45">
        <f>MROUND(MID($C1351,6,3)/Basis!$E$3,0.5)</f>
        <v>7.5</v>
      </c>
      <c r="E1351" s="45">
        <f>MROUND(MID($C1351,9,3)/Basis!$E$3,0.5)</f>
        <v>27.5</v>
      </c>
      <c r="F1351" s="199" t="s">
        <v>2950</v>
      </c>
      <c r="G1351" s="45">
        <f>ROUND(MID($C1351,12,2)/Basis!$E$3,1)</f>
        <v>13.4</v>
      </c>
      <c r="H1351" s="120">
        <f>ROUND($P1351*Basis!$E$2*((TaH-TrH)/LN(1/µ)/Basis!$E$7)^$N1351*$AA$4*Glycol,0)</f>
        <v>559</v>
      </c>
      <c r="I1351" s="83">
        <f>ROUND(H1351/(MID($C1351,9,3)/Basis!$E$3/Basis!$E$9)*Basis!$E$11,0)</f>
        <v>243</v>
      </c>
      <c r="J1351" s="123">
        <f>IF(Basis!$E$1=1,ROUND(H1351/((TaH-TrH)*1.163)/3600,3),ROUND(H1351/(500*(TaH-TrH)),2))</f>
        <v>0.06</v>
      </c>
      <c r="K1351" s="84"/>
      <c r="L1351" s="177">
        <f>CHOOSE(Basis!$E$1,((AJ1351*(J1351*3600/Basis!$E$5)^AK1351*(((MID(C1351,9,3)*10)-244)/1000)*AL1351+AM1351*(J1351*3600/Basis!$E$5)^2)*0.0098)/Basis!$E$10,((AJ1351*(J1351/Basis!$E$5)^AK1351*(((MID(C1351,9,3)*10)-244)/1000)*AL1351+AM1351*(J1351/Basis!$E$5)^2)*0.0098)/Basis!$E$10)</f>
        <v>3.3294447281161284E-4</v>
      </c>
      <c r="M1351" s="85"/>
      <c r="N1351" s="110">
        <v>1.3620000000000001</v>
      </c>
      <c r="O1351" s="74"/>
      <c r="P1351" s="73">
        <v>257</v>
      </c>
      <c r="Q1351" s="74"/>
      <c r="R1351" s="75"/>
      <c r="S1351" s="75"/>
      <c r="T1351" s="75"/>
      <c r="U1351" s="75"/>
      <c r="V1351" s="75"/>
      <c r="W1351" s="74"/>
      <c r="X1351" s="76"/>
      <c r="Y1351" s="76"/>
      <c r="Z1351" s="76"/>
      <c r="AA1351" s="76"/>
      <c r="AB1351" s="76"/>
      <c r="AC1351" s="74"/>
      <c r="AD1351" s="77"/>
      <c r="AE1351" s="77"/>
      <c r="AF1351" s="77"/>
      <c r="AG1351" s="77"/>
      <c r="AH1351" s="77"/>
      <c r="AI1351" s="68"/>
      <c r="AJ1351" s="213">
        <v>3.9689999999999994E-4</v>
      </c>
      <c r="AK1351" s="213">
        <v>1.7345999999999999</v>
      </c>
      <c r="AL1351" s="213">
        <v>2</v>
      </c>
      <c r="AM1351" s="213">
        <v>3.6734700000000002E-4</v>
      </c>
      <c r="AN1351" s="74"/>
      <c r="AO1351" s="73"/>
      <c r="AP1351" s="73"/>
      <c r="AQ1351" s="73"/>
      <c r="AR1351" s="73"/>
      <c r="AS1351" s="73"/>
      <c r="AT1351" s="74"/>
      <c r="AU1351" s="47"/>
      <c r="AV1351" s="48"/>
    </row>
    <row r="1352" spans="1:48" ht="12.75" customHeight="1" x14ac:dyDescent="0.25">
      <c r="A1352" s="72" t="s">
        <v>119</v>
      </c>
      <c r="B1352" s="43" t="s">
        <v>1154</v>
      </c>
      <c r="C1352" s="44" t="s">
        <v>1507</v>
      </c>
      <c r="D1352" s="45">
        <f>MROUND(MID($C1352,6,3)/Basis!$E$3,0.5)</f>
        <v>7.5</v>
      </c>
      <c r="E1352" s="45">
        <f>MROUND(MID($C1352,9,3)/Basis!$E$3,0.5)</f>
        <v>27.5</v>
      </c>
      <c r="F1352" s="199" t="s">
        <v>2950</v>
      </c>
      <c r="G1352" s="45">
        <f>ROUND(MID($C1352,12,2)/Basis!$E$3,1)</f>
        <v>16.5</v>
      </c>
      <c r="H1352" s="120">
        <f>ROUND($P1352*Basis!$E$2*((TaH-TrH)/LN(1/µ)/Basis!$E$7)^$N1352*$AA$4*Glycol,0)</f>
        <v>766</v>
      </c>
      <c r="I1352" s="83">
        <f>ROUND(H1352/(MID($C1352,9,3)/Basis!$E$3/Basis!$E$9)*Basis!$E$11,0)</f>
        <v>334</v>
      </c>
      <c r="J1352" s="123">
        <f>IF(Basis!$E$1=1,ROUND(H1352/((TaH-TrH)*1.163)/3600,3),ROUND(H1352/(500*(TaH-TrH)),2))</f>
        <v>0.08</v>
      </c>
      <c r="K1352" s="84"/>
      <c r="L1352" s="177">
        <f>CHOOSE(Basis!$E$1,((AJ1352*(J1352*3600/Basis!$E$5)^AK1352*(((MID(C1352,9,3)*10)-244)/1000)*AL1352+AM1352*(J1352*3600/Basis!$E$5)^2)*0.0098)/Basis!$E$10,((AJ1352*(J1352/Basis!$E$5)^AK1352*(((MID(C1352,9,3)*10)-244)/1000)*AL1352+AM1352*(J1352/Basis!$E$5)^2)*0.0098)/Basis!$E$10)</f>
        <v>5.7754099344955914E-4</v>
      </c>
      <c r="M1352" s="85"/>
      <c r="N1352" s="109">
        <v>1.3620000000000001</v>
      </c>
      <c r="O1352" s="68"/>
      <c r="P1352" s="67">
        <v>352</v>
      </c>
      <c r="Q1352" s="68"/>
      <c r="R1352" s="69"/>
      <c r="S1352" s="69"/>
      <c r="T1352" s="69"/>
      <c r="U1352" s="69"/>
      <c r="V1352" s="69"/>
      <c r="W1352" s="68"/>
      <c r="X1352" s="70"/>
      <c r="Y1352" s="70"/>
      <c r="Z1352" s="70"/>
      <c r="AA1352" s="70"/>
      <c r="AB1352" s="70"/>
      <c r="AC1352" s="68"/>
      <c r="AD1352" s="71"/>
      <c r="AE1352" s="71"/>
      <c r="AF1352" s="71"/>
      <c r="AG1352" s="71"/>
      <c r="AH1352" s="71"/>
      <c r="AI1352" s="68"/>
      <c r="AJ1352" s="213">
        <v>3.9689999999999994E-4</v>
      </c>
      <c r="AK1352" s="213">
        <v>1.7345999999999999</v>
      </c>
      <c r="AL1352" s="213">
        <v>2</v>
      </c>
      <c r="AM1352" s="213">
        <v>3.6734700000000002E-4</v>
      </c>
      <c r="AN1352" s="68"/>
      <c r="AO1352" s="67"/>
      <c r="AP1352" s="67"/>
      <c r="AQ1352" s="67"/>
      <c r="AR1352" s="67"/>
      <c r="AS1352" s="67"/>
      <c r="AT1352" s="68"/>
      <c r="AU1352" s="49"/>
      <c r="AV1352" s="50"/>
    </row>
    <row r="1353" spans="1:48" ht="12.75" customHeight="1" x14ac:dyDescent="0.25">
      <c r="A1353" s="72" t="s">
        <v>119</v>
      </c>
      <c r="B1353" s="43" t="s">
        <v>1154</v>
      </c>
      <c r="C1353" s="44" t="s">
        <v>1508</v>
      </c>
      <c r="D1353" s="45">
        <f>MROUND(MID($C1353,6,3)/Basis!$E$3,0.5)</f>
        <v>7.5</v>
      </c>
      <c r="E1353" s="45">
        <f>MROUND(MID($C1353,9,3)/Basis!$E$3,0.5)</f>
        <v>31.5</v>
      </c>
      <c r="F1353" s="199" t="s">
        <v>2950</v>
      </c>
      <c r="G1353" s="45">
        <f>ROUND(MID($C1353,12,2)/Basis!$E$3,1)</f>
        <v>10.199999999999999</v>
      </c>
      <c r="H1353" s="120">
        <f>ROUND($P1353*Basis!$E$2*((TaH-TrH)/LN(1/µ)/Basis!$E$7)^$N1353*$AA$4*Glycol,0)</f>
        <v>518</v>
      </c>
      <c r="I1353" s="83">
        <f>ROUND(H1353/(MID($C1353,9,3)/Basis!$E$3/Basis!$E$9)*Basis!$E$11,0)</f>
        <v>197</v>
      </c>
      <c r="J1353" s="123">
        <f>IF(Basis!$E$1=1,ROUND(H1353/((TaH-TrH)*1.163)/3600,3),ROUND(H1353/(500*(TaH-TrH)),2))</f>
        <v>0.05</v>
      </c>
      <c r="K1353" s="84"/>
      <c r="L1353" s="177">
        <f>CHOOSE(Basis!$E$1,((AJ1353*(J1353*3600/Basis!$E$5)^AK1353*(((MID(C1353,9,3)*10)-244)/1000)*AL1353+AM1353*(J1353*3600/Basis!$E$5)^2)*0.0098)/Basis!$E$10,((AJ1353*(J1353/Basis!$E$5)^AK1353*(((MID(C1353,9,3)*10)-244)/1000)*AL1353+AM1353*(J1353/Basis!$E$5)^2)*0.0098)/Basis!$E$10)</f>
        <v>2.5255915129523032E-4</v>
      </c>
      <c r="M1353" s="85"/>
      <c r="N1353" s="110">
        <v>1.3620000000000001</v>
      </c>
      <c r="O1353" s="74"/>
      <c r="P1353" s="73">
        <v>238</v>
      </c>
      <c r="Q1353" s="74"/>
      <c r="R1353" s="75"/>
      <c r="S1353" s="75"/>
      <c r="T1353" s="75"/>
      <c r="U1353" s="75"/>
      <c r="V1353" s="75"/>
      <c r="W1353" s="74"/>
      <c r="X1353" s="76"/>
      <c r="Y1353" s="76"/>
      <c r="Z1353" s="76"/>
      <c r="AA1353" s="76"/>
      <c r="AB1353" s="76"/>
      <c r="AC1353" s="74"/>
      <c r="AD1353" s="77"/>
      <c r="AE1353" s="77"/>
      <c r="AF1353" s="77"/>
      <c r="AG1353" s="77"/>
      <c r="AH1353" s="77"/>
      <c r="AI1353" s="68"/>
      <c r="AJ1353" s="213">
        <v>3.9689999999999994E-4</v>
      </c>
      <c r="AK1353" s="213">
        <v>1.7345999999999999</v>
      </c>
      <c r="AL1353" s="213">
        <v>2</v>
      </c>
      <c r="AM1353" s="213">
        <v>3.6734700000000002E-4</v>
      </c>
      <c r="AN1353" s="74"/>
      <c r="AO1353" s="73"/>
      <c r="AP1353" s="73"/>
      <c r="AQ1353" s="73"/>
      <c r="AR1353" s="73"/>
      <c r="AS1353" s="73"/>
      <c r="AT1353" s="74"/>
      <c r="AU1353" s="47"/>
      <c r="AV1353" s="48"/>
    </row>
    <row r="1354" spans="1:48" ht="12.75" customHeight="1" x14ac:dyDescent="0.25">
      <c r="A1354" s="72" t="s">
        <v>119</v>
      </c>
      <c r="B1354" s="43" t="s">
        <v>1154</v>
      </c>
      <c r="C1354" s="44" t="s">
        <v>1509</v>
      </c>
      <c r="D1354" s="45">
        <f>MROUND(MID($C1354,6,3)/Basis!$E$3,0.5)</f>
        <v>7.5</v>
      </c>
      <c r="E1354" s="45">
        <f>MROUND(MID($C1354,9,3)/Basis!$E$3,0.5)</f>
        <v>31.5</v>
      </c>
      <c r="F1354" s="199" t="s">
        <v>2950</v>
      </c>
      <c r="G1354" s="45">
        <f>ROUND(MID($C1354,12,2)/Basis!$E$3,1)</f>
        <v>13.4</v>
      </c>
      <c r="H1354" s="120">
        <f>ROUND($P1354*Basis!$E$2*((TaH-TrH)/LN(1/µ)/Basis!$E$7)^$N1354*$AA$4*Glycol,0)</f>
        <v>701</v>
      </c>
      <c r="I1354" s="83">
        <f>ROUND(H1354/(MID($C1354,9,3)/Basis!$E$3/Basis!$E$9)*Basis!$E$11,0)</f>
        <v>267</v>
      </c>
      <c r="J1354" s="123">
        <f>IF(Basis!$E$1=1,ROUND(H1354/((TaH-TrH)*1.163)/3600,3),ROUND(H1354/(500*(TaH-TrH)),2))</f>
        <v>7.0000000000000007E-2</v>
      </c>
      <c r="K1354" s="84"/>
      <c r="L1354" s="177">
        <f>CHOOSE(Basis!$E$1,((AJ1354*(J1354*3600/Basis!$E$5)^AK1354*(((MID(C1354,9,3)*10)-244)/1000)*AL1354+AM1354*(J1354*3600/Basis!$E$5)^2)*0.0098)/Basis!$E$10,((AJ1354*(J1354/Basis!$E$5)^AK1354*(((MID(C1354,9,3)*10)-244)/1000)*AL1354+AM1354*(J1354/Basis!$E$5)^2)*0.0098)/Basis!$E$10)</f>
        <v>4.7091257166350005E-4</v>
      </c>
      <c r="M1354" s="85"/>
      <c r="N1354" s="109">
        <v>1.3620000000000001</v>
      </c>
      <c r="O1354" s="68"/>
      <c r="P1354" s="67">
        <v>322</v>
      </c>
      <c r="Q1354" s="68"/>
      <c r="R1354" s="69"/>
      <c r="S1354" s="69"/>
      <c r="T1354" s="69"/>
      <c r="U1354" s="69"/>
      <c r="V1354" s="69"/>
      <c r="W1354" s="68"/>
      <c r="X1354" s="70"/>
      <c r="Y1354" s="70"/>
      <c r="Z1354" s="70"/>
      <c r="AA1354" s="70"/>
      <c r="AB1354" s="70"/>
      <c r="AC1354" s="68"/>
      <c r="AD1354" s="71"/>
      <c r="AE1354" s="71"/>
      <c r="AF1354" s="71"/>
      <c r="AG1354" s="71"/>
      <c r="AH1354" s="71"/>
      <c r="AI1354" s="68"/>
      <c r="AJ1354" s="214">
        <v>2.0829999999999999E-4</v>
      </c>
      <c r="AK1354" s="214">
        <v>1.724</v>
      </c>
      <c r="AL1354" s="214">
        <v>2</v>
      </c>
      <c r="AM1354" s="214">
        <v>4.6182900000000003E-4</v>
      </c>
      <c r="AN1354" s="68"/>
      <c r="AO1354" s="67"/>
      <c r="AP1354" s="67"/>
      <c r="AQ1354" s="67"/>
      <c r="AR1354" s="67"/>
      <c r="AS1354" s="67"/>
      <c r="AT1354" s="68"/>
      <c r="AU1354" s="49"/>
      <c r="AV1354" s="50"/>
    </row>
    <row r="1355" spans="1:48" ht="12.75" customHeight="1" x14ac:dyDescent="0.25">
      <c r="A1355" s="72" t="s">
        <v>119</v>
      </c>
      <c r="B1355" s="43" t="s">
        <v>1154</v>
      </c>
      <c r="C1355" s="44" t="s">
        <v>1510</v>
      </c>
      <c r="D1355" s="45">
        <f>MROUND(MID($C1355,6,3)/Basis!$E$3,0.5)</f>
        <v>7.5</v>
      </c>
      <c r="E1355" s="45">
        <f>MROUND(MID($C1355,9,3)/Basis!$E$3,0.5)</f>
        <v>31.5</v>
      </c>
      <c r="F1355" s="199" t="s">
        <v>2950</v>
      </c>
      <c r="G1355" s="45">
        <f>ROUND(MID($C1355,12,2)/Basis!$E$3,1)</f>
        <v>16.5</v>
      </c>
      <c r="H1355" s="120">
        <f>ROUND($P1355*Basis!$E$2*((TaH-TrH)/LN(1/µ)/Basis!$E$7)^$N1355*$AA$4*Glycol,0)</f>
        <v>960</v>
      </c>
      <c r="I1355" s="83">
        <f>ROUND(H1355/(MID($C1355,9,3)/Basis!$E$3/Basis!$E$9)*Basis!$E$11,0)</f>
        <v>366</v>
      </c>
      <c r="J1355" s="123">
        <f>IF(Basis!$E$1=1,ROUND(H1355/((TaH-TrH)*1.163)/3600,3),ROUND(H1355/(500*(TaH-TrH)),2))</f>
        <v>0.1</v>
      </c>
      <c r="K1355" s="84"/>
      <c r="L1355" s="177">
        <f>CHOOSE(Basis!$E$1,((AJ1355*(J1355*3600/Basis!$E$5)^AK1355*(((MID(C1355,9,3)*10)-244)/1000)*AL1355+AM1355*(J1355*3600/Basis!$E$5)^2)*0.0098)/Basis!$E$10,((AJ1355*(J1355/Basis!$E$5)^AK1355*(((MID(C1355,9,3)*10)-244)/1000)*AL1355+AM1355*(J1355/Basis!$E$5)^2)*0.0098)/Basis!$E$10)</f>
        <v>7.3564987181602096E-4</v>
      </c>
      <c r="M1355" s="85"/>
      <c r="N1355" s="110">
        <v>1.3620000000000001</v>
      </c>
      <c r="O1355" s="74"/>
      <c r="P1355" s="73">
        <v>441</v>
      </c>
      <c r="Q1355" s="74"/>
      <c r="R1355" s="75"/>
      <c r="S1355" s="75"/>
      <c r="T1355" s="75"/>
      <c r="U1355" s="75"/>
      <c r="V1355" s="75"/>
      <c r="W1355" s="74"/>
      <c r="X1355" s="76"/>
      <c r="Y1355" s="76"/>
      <c r="Z1355" s="76"/>
      <c r="AA1355" s="76"/>
      <c r="AB1355" s="76"/>
      <c r="AC1355" s="74"/>
      <c r="AD1355" s="77"/>
      <c r="AE1355" s="77"/>
      <c r="AF1355" s="77"/>
      <c r="AG1355" s="77"/>
      <c r="AH1355" s="77"/>
      <c r="AI1355" s="68"/>
      <c r="AJ1355" s="214">
        <v>1.2760000000000001E-4</v>
      </c>
      <c r="AK1355" s="214">
        <v>1.7219</v>
      </c>
      <c r="AL1355" s="214">
        <v>2</v>
      </c>
      <c r="AM1355" s="214">
        <v>3.76611E-4</v>
      </c>
      <c r="AN1355" s="74"/>
      <c r="AO1355" s="73"/>
      <c r="AP1355" s="73"/>
      <c r="AQ1355" s="73"/>
      <c r="AR1355" s="73"/>
      <c r="AS1355" s="73"/>
      <c r="AT1355" s="74"/>
      <c r="AU1355" s="47"/>
      <c r="AV1355" s="48"/>
    </row>
    <row r="1356" spans="1:48" ht="12.75" customHeight="1" x14ac:dyDescent="0.25">
      <c r="A1356" s="72" t="s">
        <v>119</v>
      </c>
      <c r="B1356" s="43" t="s">
        <v>1154</v>
      </c>
      <c r="C1356" s="44" t="s">
        <v>1511</v>
      </c>
      <c r="D1356" s="45">
        <f>MROUND(MID($C1356,6,3)/Basis!$E$3,0.5)</f>
        <v>7.5</v>
      </c>
      <c r="E1356" s="45">
        <f>MROUND(MID($C1356,9,3)/Basis!$E$3,0.5)</f>
        <v>35.5</v>
      </c>
      <c r="F1356" s="199" t="s">
        <v>2950</v>
      </c>
      <c r="G1356" s="45">
        <f>ROUND(MID($C1356,12,2)/Basis!$E$3,1)</f>
        <v>10.199999999999999</v>
      </c>
      <c r="H1356" s="120">
        <f>ROUND($P1356*Basis!$E$2*((TaH-TrH)/LN(1/µ)/Basis!$E$7)^$N1356*$AA$4*Glycol,0)</f>
        <v>618</v>
      </c>
      <c r="I1356" s="83">
        <f>ROUND(H1356/(MID($C1356,9,3)/Basis!$E$3/Basis!$E$9)*Basis!$E$11,0)</f>
        <v>209</v>
      </c>
      <c r="J1356" s="123">
        <f>IF(Basis!$E$1=1,ROUND(H1356/((TaH-TrH)*1.163)/3600,3),ROUND(H1356/(500*(TaH-TrH)),2))</f>
        <v>0.06</v>
      </c>
      <c r="K1356" s="84"/>
      <c r="L1356" s="177">
        <f>CHOOSE(Basis!$E$1,((AJ1356*(J1356*3600/Basis!$E$5)^AK1356*(((MID(C1356,9,3)*10)-244)/1000)*AL1356+AM1356*(J1356*3600/Basis!$E$5)^2)*0.0098)/Basis!$E$10,((AJ1356*(J1356/Basis!$E$5)^AK1356*(((MID(C1356,9,3)*10)-244)/1000)*AL1356+AM1356*(J1356/Basis!$E$5)^2)*0.0098)/Basis!$E$10)</f>
        <v>3.8114048525895506E-4</v>
      </c>
      <c r="M1356" s="85"/>
      <c r="N1356" s="109">
        <v>1.3620000000000001</v>
      </c>
      <c r="O1356" s="68"/>
      <c r="P1356" s="67">
        <v>284</v>
      </c>
      <c r="Q1356" s="68"/>
      <c r="R1356" s="69"/>
      <c r="S1356" s="69"/>
      <c r="T1356" s="69"/>
      <c r="U1356" s="69"/>
      <c r="V1356" s="69"/>
      <c r="W1356" s="68"/>
      <c r="X1356" s="70"/>
      <c r="Y1356" s="70"/>
      <c r="Z1356" s="70"/>
      <c r="AA1356" s="70"/>
      <c r="AB1356" s="70"/>
      <c r="AC1356" s="68"/>
      <c r="AD1356" s="71"/>
      <c r="AE1356" s="71"/>
      <c r="AF1356" s="71"/>
      <c r="AG1356" s="71"/>
      <c r="AH1356" s="71"/>
      <c r="AI1356" s="68"/>
      <c r="AJ1356" s="213">
        <v>3.9689999999999994E-4</v>
      </c>
      <c r="AK1356" s="213">
        <v>1.7345999999999999</v>
      </c>
      <c r="AL1356" s="213">
        <v>2</v>
      </c>
      <c r="AM1356" s="213">
        <v>3.6734700000000002E-4</v>
      </c>
      <c r="AN1356" s="68"/>
      <c r="AO1356" s="67"/>
      <c r="AP1356" s="67"/>
      <c r="AQ1356" s="67"/>
      <c r="AR1356" s="67"/>
      <c r="AS1356" s="67"/>
      <c r="AT1356" s="68"/>
      <c r="AU1356" s="49"/>
      <c r="AV1356" s="50"/>
    </row>
    <row r="1357" spans="1:48" ht="12.75" customHeight="1" x14ac:dyDescent="0.25">
      <c r="A1357" s="72" t="s">
        <v>119</v>
      </c>
      <c r="B1357" s="43" t="s">
        <v>1154</v>
      </c>
      <c r="C1357" s="44" t="s">
        <v>1512</v>
      </c>
      <c r="D1357" s="45">
        <f>MROUND(MID($C1357,6,3)/Basis!$E$3,0.5)</f>
        <v>7.5</v>
      </c>
      <c r="E1357" s="45">
        <f>MROUND(MID($C1357,9,3)/Basis!$E$3,0.5)</f>
        <v>35.5</v>
      </c>
      <c r="F1357" s="199" t="s">
        <v>2950</v>
      </c>
      <c r="G1357" s="45">
        <f>ROUND(MID($C1357,12,2)/Basis!$E$3,1)</f>
        <v>13.4</v>
      </c>
      <c r="H1357" s="120">
        <f>ROUND($P1357*Basis!$E$2*((TaH-TrH)/LN(1/µ)/Basis!$E$7)^$N1357*$AA$4*Glycol,0)</f>
        <v>838</v>
      </c>
      <c r="I1357" s="83">
        <f>ROUND(H1357/(MID($C1357,9,3)/Basis!$E$3/Basis!$E$9)*Basis!$E$11,0)</f>
        <v>284</v>
      </c>
      <c r="J1357" s="123">
        <f>IF(Basis!$E$1=1,ROUND(H1357/((TaH-TrH)*1.163)/3600,3),ROUND(H1357/(500*(TaH-TrH)),2))</f>
        <v>0.08</v>
      </c>
      <c r="K1357" s="84"/>
      <c r="L1357" s="177">
        <f>CHOOSE(Basis!$E$1,((AJ1357*(J1357*3600/Basis!$E$5)^AK1357*(((MID(C1357,9,3)*10)-244)/1000)*AL1357+AM1357*(J1357*3600/Basis!$E$5)^2)*0.0098)/Basis!$E$10,((AJ1357*(J1357/Basis!$E$5)^AK1357*(((MID(C1357,9,3)*10)-244)/1000)*AL1357+AM1357*(J1357/Basis!$E$5)^2)*0.0098)/Basis!$E$10)</f>
        <v>6.3105332052481472E-4</v>
      </c>
      <c r="M1357" s="85"/>
      <c r="N1357" s="110">
        <v>1.3620000000000001</v>
      </c>
      <c r="O1357" s="74"/>
      <c r="P1357" s="73">
        <v>385</v>
      </c>
      <c r="Q1357" s="74"/>
      <c r="R1357" s="75"/>
      <c r="S1357" s="75"/>
      <c r="T1357" s="75"/>
      <c r="U1357" s="75"/>
      <c r="V1357" s="75"/>
      <c r="W1357" s="74"/>
      <c r="X1357" s="76"/>
      <c r="Y1357" s="76"/>
      <c r="Z1357" s="76"/>
      <c r="AA1357" s="76"/>
      <c r="AB1357" s="76"/>
      <c r="AC1357" s="74"/>
      <c r="AD1357" s="77"/>
      <c r="AE1357" s="77"/>
      <c r="AF1357" s="77"/>
      <c r="AG1357" s="77"/>
      <c r="AH1357" s="77"/>
      <c r="AI1357" s="68"/>
      <c r="AJ1357" s="214">
        <v>2.0829999999999999E-4</v>
      </c>
      <c r="AK1357" s="214">
        <v>1.724</v>
      </c>
      <c r="AL1357" s="214">
        <v>2</v>
      </c>
      <c r="AM1357" s="214">
        <v>4.6182900000000003E-4</v>
      </c>
      <c r="AN1357" s="74"/>
      <c r="AO1357" s="73"/>
      <c r="AP1357" s="73"/>
      <c r="AQ1357" s="73"/>
      <c r="AR1357" s="73"/>
      <c r="AS1357" s="73"/>
      <c r="AT1357" s="74"/>
      <c r="AU1357" s="47"/>
      <c r="AV1357" s="48"/>
    </row>
    <row r="1358" spans="1:48" ht="12.75" customHeight="1" x14ac:dyDescent="0.25">
      <c r="A1358" s="72" t="s">
        <v>119</v>
      </c>
      <c r="B1358" s="43" t="s">
        <v>1154</v>
      </c>
      <c r="C1358" s="44" t="s">
        <v>1513</v>
      </c>
      <c r="D1358" s="45">
        <f>MROUND(MID($C1358,6,3)/Basis!$E$3,0.5)</f>
        <v>7.5</v>
      </c>
      <c r="E1358" s="45">
        <f>MROUND(MID($C1358,9,3)/Basis!$E$3,0.5)</f>
        <v>35.5</v>
      </c>
      <c r="F1358" s="199" t="s">
        <v>2950</v>
      </c>
      <c r="G1358" s="45">
        <f>ROUND(MID($C1358,12,2)/Basis!$E$3,1)</f>
        <v>16.5</v>
      </c>
      <c r="H1358" s="120">
        <f>ROUND($P1358*Basis!$E$2*((TaH-TrH)/LN(1/µ)/Basis!$E$7)^$N1358*$AA$4*Glycol,0)</f>
        <v>1154</v>
      </c>
      <c r="I1358" s="83">
        <f>ROUND(H1358/(MID($C1358,9,3)/Basis!$E$3/Basis!$E$9)*Basis!$E$11,0)</f>
        <v>391</v>
      </c>
      <c r="J1358" s="123">
        <f>IF(Basis!$E$1=1,ROUND(H1358/((TaH-TrH)*1.163)/3600,3),ROUND(H1358/(500*(TaH-TrH)),2))</f>
        <v>0.12</v>
      </c>
      <c r="K1358" s="84"/>
      <c r="L1358" s="177">
        <f>CHOOSE(Basis!$E$1,((AJ1358*(J1358*3600/Basis!$E$5)^AK1358*(((MID(C1358,9,3)*10)-244)/1000)*AL1358+AM1358*(J1358*3600/Basis!$E$5)^2)*0.0098)/Basis!$E$10,((AJ1358*(J1358/Basis!$E$5)^AK1358*(((MID(C1358,9,3)*10)-244)/1000)*AL1358+AM1358*(J1358/Basis!$E$5)^2)*0.0098)/Basis!$E$10)</f>
        <v>1.07690882153605E-3</v>
      </c>
      <c r="M1358" s="85"/>
      <c r="N1358" s="109">
        <v>1.3620000000000001</v>
      </c>
      <c r="O1358" s="68"/>
      <c r="P1358" s="67">
        <v>530</v>
      </c>
      <c r="Q1358" s="68"/>
      <c r="R1358" s="69"/>
      <c r="S1358" s="69"/>
      <c r="T1358" s="69"/>
      <c r="U1358" s="69"/>
      <c r="V1358" s="69"/>
      <c r="W1358" s="68"/>
      <c r="X1358" s="70"/>
      <c r="Y1358" s="70"/>
      <c r="Z1358" s="70"/>
      <c r="AA1358" s="70"/>
      <c r="AB1358" s="70"/>
      <c r="AC1358" s="68"/>
      <c r="AD1358" s="71"/>
      <c r="AE1358" s="71"/>
      <c r="AF1358" s="71"/>
      <c r="AG1358" s="71"/>
      <c r="AH1358" s="71"/>
      <c r="AI1358" s="68"/>
      <c r="AJ1358" s="214">
        <v>1.2760000000000001E-4</v>
      </c>
      <c r="AK1358" s="214">
        <v>1.7219</v>
      </c>
      <c r="AL1358" s="214">
        <v>2</v>
      </c>
      <c r="AM1358" s="214">
        <v>3.76611E-4</v>
      </c>
      <c r="AN1358" s="68"/>
      <c r="AO1358" s="67"/>
      <c r="AP1358" s="67"/>
      <c r="AQ1358" s="67"/>
      <c r="AR1358" s="67"/>
      <c r="AS1358" s="67"/>
      <c r="AT1358" s="68"/>
      <c r="AU1358" s="49"/>
      <c r="AV1358" s="50"/>
    </row>
    <row r="1359" spans="1:48" ht="12.75" customHeight="1" x14ac:dyDescent="0.25">
      <c r="A1359" s="72" t="s">
        <v>119</v>
      </c>
      <c r="B1359" s="43" t="s">
        <v>1154</v>
      </c>
      <c r="C1359" s="44" t="s">
        <v>1514</v>
      </c>
      <c r="D1359" s="45">
        <f>MROUND(MID($C1359,6,3)/Basis!$E$3,0.5)</f>
        <v>7.5</v>
      </c>
      <c r="E1359" s="45">
        <f>MROUND(MID($C1359,9,3)/Basis!$E$3,0.5)</f>
        <v>39.5</v>
      </c>
      <c r="F1359" s="199" t="s">
        <v>2950</v>
      </c>
      <c r="G1359" s="45">
        <f>ROUND(MID($C1359,12,2)/Basis!$E$3,1)</f>
        <v>10.199999999999999</v>
      </c>
      <c r="H1359" s="120">
        <f>ROUND($P1359*Basis!$E$2*((TaH-TrH)/LN(1/µ)/Basis!$E$7)^$N1359*$AA$4*Glycol,0)</f>
        <v>723</v>
      </c>
      <c r="I1359" s="83">
        <f>ROUND(H1359/(MID($C1359,9,3)/Basis!$E$3/Basis!$E$9)*Basis!$E$11,0)</f>
        <v>220</v>
      </c>
      <c r="J1359" s="123">
        <f>IF(Basis!$E$1=1,ROUND(H1359/((TaH-TrH)*1.163)/3600,3),ROUND(H1359/(500*(TaH-TrH)),2))</f>
        <v>7.0000000000000007E-2</v>
      </c>
      <c r="K1359" s="84"/>
      <c r="L1359" s="177">
        <f>CHOOSE(Basis!$E$1,((AJ1359*(J1359*3600/Basis!$E$5)^AK1359*(((MID(C1359,9,3)*10)-244)/1000)*AL1359+AM1359*(J1359*3600/Basis!$E$5)^2)*0.0098)/Basis!$E$10,((AJ1359*(J1359/Basis!$E$5)^AK1359*(((MID(C1359,9,3)*10)-244)/1000)*AL1359+AM1359*(J1359/Basis!$E$5)^2)*0.0098)/Basis!$E$10)</f>
        <v>5.4163454671815614E-4</v>
      </c>
      <c r="M1359" s="85"/>
      <c r="N1359" s="110">
        <v>1.3620000000000001</v>
      </c>
      <c r="O1359" s="74"/>
      <c r="P1359" s="73">
        <v>332</v>
      </c>
      <c r="Q1359" s="74"/>
      <c r="R1359" s="75"/>
      <c r="S1359" s="75"/>
      <c r="T1359" s="75"/>
      <c r="U1359" s="75"/>
      <c r="V1359" s="75"/>
      <c r="W1359" s="74"/>
      <c r="X1359" s="76"/>
      <c r="Y1359" s="76"/>
      <c r="Z1359" s="76"/>
      <c r="AA1359" s="76"/>
      <c r="AB1359" s="76"/>
      <c r="AC1359" s="74"/>
      <c r="AD1359" s="77"/>
      <c r="AE1359" s="77"/>
      <c r="AF1359" s="77"/>
      <c r="AG1359" s="77"/>
      <c r="AH1359" s="77"/>
      <c r="AI1359" s="68"/>
      <c r="AJ1359" s="213">
        <v>3.9689999999999994E-4</v>
      </c>
      <c r="AK1359" s="213">
        <v>1.7345999999999999</v>
      </c>
      <c r="AL1359" s="213">
        <v>2</v>
      </c>
      <c r="AM1359" s="213">
        <v>3.6734700000000002E-4</v>
      </c>
      <c r="AN1359" s="74"/>
      <c r="AO1359" s="73"/>
      <c r="AP1359" s="73"/>
      <c r="AQ1359" s="73"/>
      <c r="AR1359" s="73"/>
      <c r="AS1359" s="73"/>
      <c r="AT1359" s="74"/>
      <c r="AU1359" s="47"/>
      <c r="AV1359" s="48"/>
    </row>
    <row r="1360" spans="1:48" ht="12.75" customHeight="1" x14ac:dyDescent="0.25">
      <c r="A1360" s="72" t="s">
        <v>119</v>
      </c>
      <c r="B1360" s="43" t="s">
        <v>1154</v>
      </c>
      <c r="C1360" s="44" t="s">
        <v>1515</v>
      </c>
      <c r="D1360" s="45">
        <f>MROUND(MID($C1360,6,3)/Basis!$E$3,0.5)</f>
        <v>7.5</v>
      </c>
      <c r="E1360" s="45">
        <f>MROUND(MID($C1360,9,3)/Basis!$E$3,0.5)</f>
        <v>39.5</v>
      </c>
      <c r="F1360" s="199" t="s">
        <v>2950</v>
      </c>
      <c r="G1360" s="45">
        <f>ROUND(MID($C1360,12,2)/Basis!$E$3,1)</f>
        <v>13.4</v>
      </c>
      <c r="H1360" s="120">
        <f>ROUND($P1360*Basis!$E$2*((TaH-TrH)/LN(1/µ)/Basis!$E$7)^$N1360*$AA$4*Glycol,0)</f>
        <v>977</v>
      </c>
      <c r="I1360" s="83">
        <f>ROUND(H1360/(MID($C1360,9,3)/Basis!$E$3/Basis!$E$9)*Basis!$E$11,0)</f>
        <v>298</v>
      </c>
      <c r="J1360" s="123">
        <f>IF(Basis!$E$1=1,ROUND(H1360/((TaH-TrH)*1.163)/3600,3),ROUND(H1360/(500*(TaH-TrH)),2))</f>
        <v>0.1</v>
      </c>
      <c r="K1360" s="84"/>
      <c r="L1360" s="177">
        <f>CHOOSE(Basis!$E$1,((AJ1360*(J1360*3600/Basis!$E$5)^AK1360*(((MID(C1360,9,3)*10)-244)/1000)*AL1360+AM1360*(J1360*3600/Basis!$E$5)^2)*0.0098)/Basis!$E$10,((AJ1360*(J1360/Basis!$E$5)^AK1360*(((MID(C1360,9,3)*10)-244)/1000)*AL1360+AM1360*(J1360/Basis!$E$5)^2)*0.0098)/Basis!$E$10)</f>
        <v>1.0033314253012255E-3</v>
      </c>
      <c r="M1360" s="85"/>
      <c r="N1360" s="109">
        <v>1.3620000000000001</v>
      </c>
      <c r="O1360" s="68"/>
      <c r="P1360" s="67">
        <v>449</v>
      </c>
      <c r="Q1360" s="68"/>
      <c r="R1360" s="69"/>
      <c r="S1360" s="69"/>
      <c r="T1360" s="69"/>
      <c r="U1360" s="69"/>
      <c r="V1360" s="69"/>
      <c r="W1360" s="68"/>
      <c r="X1360" s="70"/>
      <c r="Y1360" s="70"/>
      <c r="Z1360" s="70"/>
      <c r="AA1360" s="70"/>
      <c r="AB1360" s="70"/>
      <c r="AC1360" s="68"/>
      <c r="AD1360" s="71"/>
      <c r="AE1360" s="71"/>
      <c r="AF1360" s="71"/>
      <c r="AG1360" s="71"/>
      <c r="AH1360" s="71"/>
      <c r="AI1360" s="68"/>
      <c r="AJ1360" s="214">
        <v>2.0829999999999999E-4</v>
      </c>
      <c r="AK1360" s="214">
        <v>1.724</v>
      </c>
      <c r="AL1360" s="214">
        <v>2</v>
      </c>
      <c r="AM1360" s="214">
        <v>4.6182900000000003E-4</v>
      </c>
      <c r="AN1360" s="68"/>
      <c r="AO1360" s="67"/>
      <c r="AP1360" s="67"/>
      <c r="AQ1360" s="67"/>
      <c r="AR1360" s="67"/>
      <c r="AS1360" s="67"/>
      <c r="AT1360" s="68"/>
      <c r="AU1360" s="49"/>
      <c r="AV1360" s="50"/>
    </row>
    <row r="1361" spans="1:48" ht="12.75" customHeight="1" x14ac:dyDescent="0.25">
      <c r="A1361" s="72" t="s">
        <v>119</v>
      </c>
      <c r="B1361" s="43" t="s">
        <v>1154</v>
      </c>
      <c r="C1361" s="44" t="s">
        <v>1516</v>
      </c>
      <c r="D1361" s="45">
        <f>MROUND(MID($C1361,6,3)/Basis!$E$3,0.5)</f>
        <v>7.5</v>
      </c>
      <c r="E1361" s="45">
        <f>MROUND(MID($C1361,9,3)/Basis!$E$3,0.5)</f>
        <v>39.5</v>
      </c>
      <c r="F1361" s="199" t="s">
        <v>2950</v>
      </c>
      <c r="G1361" s="45">
        <f>ROUND(MID($C1361,12,2)/Basis!$E$3,1)</f>
        <v>16.5</v>
      </c>
      <c r="H1361" s="120">
        <f>ROUND($P1361*Basis!$E$2*((TaH-TrH)/LN(1/µ)/Basis!$E$7)^$N1361*$AA$4*Glycol,0)</f>
        <v>1343</v>
      </c>
      <c r="I1361" s="83">
        <f>ROUND(H1361/(MID($C1361,9,3)/Basis!$E$3/Basis!$E$9)*Basis!$E$11,0)</f>
        <v>409</v>
      </c>
      <c r="J1361" s="123">
        <f>IF(Basis!$E$1=1,ROUND(H1361/((TaH-TrH)*1.163)/3600,3),ROUND(H1361/(500*(TaH-TrH)),2))</f>
        <v>0.13</v>
      </c>
      <c r="K1361" s="84"/>
      <c r="L1361" s="177">
        <f>CHOOSE(Basis!$E$1,((AJ1361*(J1361*3600/Basis!$E$5)^AK1361*(((MID(C1361,9,3)*10)-244)/1000)*AL1361+AM1361*(J1361*3600/Basis!$E$5)^2)*0.0098)/Basis!$E$10,((AJ1361*(J1361/Basis!$E$5)^AK1361*(((MID(C1361,9,3)*10)-244)/1000)*AL1361+AM1361*(J1361/Basis!$E$5)^2)*0.0098)/Basis!$E$10)</f>
        <v>1.2880577082462208E-3</v>
      </c>
      <c r="M1361" s="85"/>
      <c r="N1361" s="110">
        <v>1.3620000000000001</v>
      </c>
      <c r="O1361" s="74"/>
      <c r="P1361" s="73">
        <v>617</v>
      </c>
      <c r="Q1361" s="74"/>
      <c r="R1361" s="75"/>
      <c r="S1361" s="75"/>
      <c r="T1361" s="75"/>
      <c r="U1361" s="75"/>
      <c r="V1361" s="75"/>
      <c r="W1361" s="74"/>
      <c r="X1361" s="76"/>
      <c r="Y1361" s="76"/>
      <c r="Z1361" s="76"/>
      <c r="AA1361" s="76"/>
      <c r="AB1361" s="76"/>
      <c r="AC1361" s="74"/>
      <c r="AD1361" s="77"/>
      <c r="AE1361" s="77"/>
      <c r="AF1361" s="77"/>
      <c r="AG1361" s="77"/>
      <c r="AH1361" s="77"/>
      <c r="AI1361" s="68"/>
      <c r="AJ1361" s="214">
        <v>1.2760000000000001E-4</v>
      </c>
      <c r="AK1361" s="214">
        <v>1.7219</v>
      </c>
      <c r="AL1361" s="214">
        <v>2</v>
      </c>
      <c r="AM1361" s="214">
        <v>3.76611E-4</v>
      </c>
      <c r="AN1361" s="74"/>
      <c r="AO1361" s="73"/>
      <c r="AP1361" s="73"/>
      <c r="AQ1361" s="73"/>
      <c r="AR1361" s="73"/>
      <c r="AS1361" s="73"/>
      <c r="AT1361" s="74"/>
      <c r="AU1361" s="47"/>
      <c r="AV1361" s="48"/>
    </row>
    <row r="1362" spans="1:48" ht="12.75" customHeight="1" x14ac:dyDescent="0.25">
      <c r="A1362" s="72" t="s">
        <v>119</v>
      </c>
      <c r="B1362" s="43" t="s">
        <v>1154</v>
      </c>
      <c r="C1362" s="44" t="s">
        <v>1517</v>
      </c>
      <c r="D1362" s="45">
        <f>MROUND(MID($C1362,6,3)/Basis!$E$3,0.5)</f>
        <v>7.5</v>
      </c>
      <c r="E1362" s="45">
        <f>MROUND(MID($C1362,9,3)/Basis!$E$3,0.5)</f>
        <v>43.5</v>
      </c>
      <c r="F1362" s="199" t="s">
        <v>2950</v>
      </c>
      <c r="G1362" s="45">
        <f>ROUND(MID($C1362,12,2)/Basis!$E$3,1)</f>
        <v>10.199999999999999</v>
      </c>
      <c r="H1362" s="120">
        <f>ROUND($P1362*Basis!$E$2*((TaH-TrH)/LN(1/µ)/Basis!$E$7)^$N1362*$AA$4*Glycol,0)</f>
        <v>827</v>
      </c>
      <c r="I1362" s="83">
        <f>ROUND(H1362/(MID($C1362,9,3)/Basis!$E$3/Basis!$E$9)*Basis!$E$11,0)</f>
        <v>229</v>
      </c>
      <c r="J1362" s="123">
        <f>IF(Basis!$E$1=1,ROUND(H1362/((TaH-TrH)*1.163)/3600,3),ROUND(H1362/(500*(TaH-TrH)),2))</f>
        <v>0.08</v>
      </c>
      <c r="K1362" s="84"/>
      <c r="L1362" s="177">
        <f>CHOOSE(Basis!$E$1,((AJ1362*(J1362*3600/Basis!$E$5)^AK1362*(((MID(C1362,9,3)*10)-244)/1000)*AL1362+AM1362*(J1362*3600/Basis!$E$5)^2)*0.0098)/Basis!$E$10,((AJ1362*(J1362/Basis!$E$5)^AK1362*(((MID(C1362,9,3)*10)-244)/1000)*AL1362+AM1362*(J1362/Basis!$E$5)^2)*0.0098)/Basis!$E$10)</f>
        <v>7.3630784628964379E-4</v>
      </c>
      <c r="M1362" s="85"/>
      <c r="N1362" s="109">
        <v>1.3620000000000001</v>
      </c>
      <c r="O1362" s="68"/>
      <c r="P1362" s="67">
        <v>380</v>
      </c>
      <c r="Q1362" s="68"/>
      <c r="R1362" s="69"/>
      <c r="S1362" s="69"/>
      <c r="T1362" s="69"/>
      <c r="U1362" s="69"/>
      <c r="V1362" s="69"/>
      <c r="W1362" s="68"/>
      <c r="X1362" s="70"/>
      <c r="Y1362" s="70"/>
      <c r="Z1362" s="70"/>
      <c r="AA1362" s="70"/>
      <c r="AB1362" s="70"/>
      <c r="AC1362" s="68"/>
      <c r="AD1362" s="71"/>
      <c r="AE1362" s="71"/>
      <c r="AF1362" s="71"/>
      <c r="AG1362" s="71"/>
      <c r="AH1362" s="71"/>
      <c r="AI1362" s="68"/>
      <c r="AJ1362" s="213">
        <v>3.9689999999999994E-4</v>
      </c>
      <c r="AK1362" s="213">
        <v>1.7345999999999999</v>
      </c>
      <c r="AL1362" s="213">
        <v>2</v>
      </c>
      <c r="AM1362" s="213">
        <v>3.6734700000000002E-4</v>
      </c>
      <c r="AN1362" s="68"/>
      <c r="AO1362" s="67"/>
      <c r="AP1362" s="67"/>
      <c r="AQ1362" s="67"/>
      <c r="AR1362" s="67"/>
      <c r="AS1362" s="67"/>
      <c r="AT1362" s="68"/>
      <c r="AU1362" s="49"/>
      <c r="AV1362" s="50"/>
    </row>
    <row r="1363" spans="1:48" ht="12.75" customHeight="1" x14ac:dyDescent="0.25">
      <c r="A1363" s="72" t="s">
        <v>119</v>
      </c>
      <c r="B1363" s="43" t="s">
        <v>1154</v>
      </c>
      <c r="C1363" s="44" t="s">
        <v>1518</v>
      </c>
      <c r="D1363" s="45">
        <f>MROUND(MID($C1363,6,3)/Basis!$E$3,0.5)</f>
        <v>7.5</v>
      </c>
      <c r="E1363" s="45">
        <f>MROUND(MID($C1363,9,3)/Basis!$E$3,0.5)</f>
        <v>43.5</v>
      </c>
      <c r="F1363" s="199" t="s">
        <v>2950</v>
      </c>
      <c r="G1363" s="45">
        <f>ROUND(MID($C1363,12,2)/Basis!$E$3,1)</f>
        <v>13.4</v>
      </c>
      <c r="H1363" s="120">
        <f>ROUND($P1363*Basis!$E$2*((TaH-TrH)/LN(1/µ)/Basis!$E$7)^$N1363*$AA$4*Glycol,0)</f>
        <v>1119</v>
      </c>
      <c r="I1363" s="83">
        <f>ROUND(H1363/(MID($C1363,9,3)/Basis!$E$3/Basis!$E$9)*Basis!$E$11,0)</f>
        <v>310</v>
      </c>
      <c r="J1363" s="123">
        <f>IF(Basis!$E$1=1,ROUND(H1363/((TaH-TrH)*1.163)/3600,3),ROUND(H1363/(500*(TaH-TrH)),2))</f>
        <v>0.11</v>
      </c>
      <c r="K1363" s="84"/>
      <c r="L1363" s="177">
        <f>CHOOSE(Basis!$E$1,((AJ1363*(J1363*3600/Basis!$E$5)^AK1363*(((MID(C1363,9,3)*10)-244)/1000)*AL1363+AM1363*(J1363*3600/Basis!$E$5)^2)*0.0098)/Basis!$E$10,((AJ1363*(J1363/Basis!$E$5)^AK1363*(((MID(C1363,9,3)*10)-244)/1000)*AL1363+AM1363*(J1363/Basis!$E$5)^2)*0.0098)/Basis!$E$10)</f>
        <v>1.241960499235732E-3</v>
      </c>
      <c r="M1363" s="85"/>
      <c r="N1363" s="110">
        <v>1.3620000000000001</v>
      </c>
      <c r="O1363" s="74"/>
      <c r="P1363" s="73">
        <v>514</v>
      </c>
      <c r="Q1363" s="74"/>
      <c r="R1363" s="75"/>
      <c r="S1363" s="75"/>
      <c r="T1363" s="75"/>
      <c r="U1363" s="75"/>
      <c r="V1363" s="75"/>
      <c r="W1363" s="74"/>
      <c r="X1363" s="76"/>
      <c r="Y1363" s="76"/>
      <c r="Z1363" s="76"/>
      <c r="AA1363" s="76"/>
      <c r="AB1363" s="76"/>
      <c r="AC1363" s="74"/>
      <c r="AD1363" s="77"/>
      <c r="AE1363" s="77"/>
      <c r="AF1363" s="77"/>
      <c r="AG1363" s="77"/>
      <c r="AH1363" s="77"/>
      <c r="AI1363" s="68"/>
      <c r="AJ1363" s="214">
        <v>2.0829999999999999E-4</v>
      </c>
      <c r="AK1363" s="214">
        <v>1.724</v>
      </c>
      <c r="AL1363" s="214">
        <v>2</v>
      </c>
      <c r="AM1363" s="214">
        <v>4.6182900000000003E-4</v>
      </c>
      <c r="AN1363" s="74"/>
      <c r="AO1363" s="73"/>
      <c r="AP1363" s="73"/>
      <c r="AQ1363" s="73"/>
      <c r="AR1363" s="73"/>
      <c r="AS1363" s="73"/>
      <c r="AT1363" s="74"/>
      <c r="AU1363" s="47"/>
      <c r="AV1363" s="48"/>
    </row>
    <row r="1364" spans="1:48" ht="12.75" customHeight="1" x14ac:dyDescent="0.25">
      <c r="A1364" s="72" t="s">
        <v>119</v>
      </c>
      <c r="B1364" s="43" t="s">
        <v>1154</v>
      </c>
      <c r="C1364" s="44" t="s">
        <v>1519</v>
      </c>
      <c r="D1364" s="45">
        <f>MROUND(MID($C1364,6,3)/Basis!$E$3,0.5)</f>
        <v>7.5</v>
      </c>
      <c r="E1364" s="45">
        <f>MROUND(MID($C1364,9,3)/Basis!$E$3,0.5)</f>
        <v>43.5</v>
      </c>
      <c r="F1364" s="199" t="s">
        <v>2950</v>
      </c>
      <c r="G1364" s="45">
        <f>ROUND(MID($C1364,12,2)/Basis!$E$3,1)</f>
        <v>16.5</v>
      </c>
      <c r="H1364" s="120">
        <f>ROUND($P1364*Basis!$E$2*((TaH-TrH)/LN(1/µ)/Basis!$E$7)^$N1364*$AA$4*Glycol,0)</f>
        <v>1537</v>
      </c>
      <c r="I1364" s="83">
        <f>ROUND(H1364/(MID($C1364,9,3)/Basis!$E$3/Basis!$E$9)*Basis!$E$11,0)</f>
        <v>426</v>
      </c>
      <c r="J1364" s="123">
        <f>IF(Basis!$E$1=1,ROUND(H1364/((TaH-TrH)*1.163)/3600,3),ROUND(H1364/(500*(TaH-TrH)),2))</f>
        <v>0.15</v>
      </c>
      <c r="K1364" s="84"/>
      <c r="L1364" s="177">
        <f>CHOOSE(Basis!$E$1,((AJ1364*(J1364*3600/Basis!$E$5)^AK1364*(((MID(C1364,9,3)*10)-244)/1000)*AL1364+AM1364*(J1364*3600/Basis!$E$5)^2)*0.0098)/Basis!$E$10,((AJ1364*(J1364/Basis!$E$5)^AK1364*(((MID(C1364,9,3)*10)-244)/1000)*AL1364+AM1364*(J1364/Basis!$E$5)^2)*0.0098)/Basis!$E$10)</f>
        <v>1.7400311740593259E-3</v>
      </c>
      <c r="M1364" s="85"/>
      <c r="N1364" s="109">
        <v>1.3620000000000001</v>
      </c>
      <c r="O1364" s="68"/>
      <c r="P1364" s="67">
        <v>706</v>
      </c>
      <c r="Q1364" s="68"/>
      <c r="R1364" s="69"/>
      <c r="S1364" s="69"/>
      <c r="T1364" s="69"/>
      <c r="U1364" s="69"/>
      <c r="V1364" s="69"/>
      <c r="W1364" s="68"/>
      <c r="X1364" s="70"/>
      <c r="Y1364" s="70"/>
      <c r="Z1364" s="70"/>
      <c r="AA1364" s="70"/>
      <c r="AB1364" s="70"/>
      <c r="AC1364" s="68"/>
      <c r="AD1364" s="71"/>
      <c r="AE1364" s="71"/>
      <c r="AF1364" s="71"/>
      <c r="AG1364" s="71"/>
      <c r="AH1364" s="71"/>
      <c r="AI1364" s="68"/>
      <c r="AJ1364" s="214">
        <v>1.2760000000000001E-4</v>
      </c>
      <c r="AK1364" s="214">
        <v>1.7219</v>
      </c>
      <c r="AL1364" s="214">
        <v>2</v>
      </c>
      <c r="AM1364" s="214">
        <v>3.76611E-4</v>
      </c>
      <c r="AN1364" s="68"/>
      <c r="AO1364" s="67"/>
      <c r="AP1364" s="67"/>
      <c r="AQ1364" s="67"/>
      <c r="AR1364" s="67"/>
      <c r="AS1364" s="67"/>
      <c r="AT1364" s="68"/>
      <c r="AU1364" s="49"/>
      <c r="AV1364" s="50"/>
    </row>
    <row r="1365" spans="1:48" ht="12.75" customHeight="1" x14ac:dyDescent="0.25">
      <c r="A1365" s="72" t="s">
        <v>119</v>
      </c>
      <c r="B1365" s="43" t="s">
        <v>1154</v>
      </c>
      <c r="C1365" s="44" t="s">
        <v>1520</v>
      </c>
      <c r="D1365" s="45">
        <f>MROUND(MID($C1365,6,3)/Basis!$E$3,0.5)</f>
        <v>7.5</v>
      </c>
      <c r="E1365" s="45">
        <f>MROUND(MID($C1365,9,3)/Basis!$E$3,0.5)</f>
        <v>47</v>
      </c>
      <c r="F1365" s="199" t="s">
        <v>2950</v>
      </c>
      <c r="G1365" s="45">
        <f>ROUND(MID($C1365,12,2)/Basis!$E$3,1)</f>
        <v>10.199999999999999</v>
      </c>
      <c r="H1365" s="120">
        <f>ROUND($P1365*Basis!$E$2*((TaH-TrH)/LN(1/µ)/Basis!$E$7)^$N1365*$AA$4*Glycol,0)</f>
        <v>929</v>
      </c>
      <c r="I1365" s="83">
        <f>ROUND(H1365/(MID($C1365,9,3)/Basis!$E$3/Basis!$E$9)*Basis!$E$11,0)</f>
        <v>236</v>
      </c>
      <c r="J1365" s="123">
        <f>IF(Basis!$E$1=1,ROUND(H1365/((TaH-TrH)*1.163)/3600,3),ROUND(H1365/(500*(TaH-TrH)),2))</f>
        <v>0.09</v>
      </c>
      <c r="K1365" s="84"/>
      <c r="L1365" s="177">
        <f>CHOOSE(Basis!$E$1,((AJ1365*(J1365*3600/Basis!$E$5)^AK1365*(((MID(C1365,9,3)*10)-244)/1000)*AL1365+AM1365*(J1365*3600/Basis!$E$5)^2)*0.0098)/Basis!$E$10,((AJ1365*(J1365/Basis!$E$5)^AK1365*(((MID(C1365,9,3)*10)-244)/1000)*AL1365+AM1365*(J1365/Basis!$E$5)^2)*0.0098)/Basis!$E$10)</f>
        <v>9.6734438286083676E-4</v>
      </c>
      <c r="M1365" s="85"/>
      <c r="N1365" s="110">
        <v>1.3620000000000001</v>
      </c>
      <c r="O1365" s="74"/>
      <c r="P1365" s="73">
        <v>427</v>
      </c>
      <c r="Q1365" s="74"/>
      <c r="R1365" s="75"/>
      <c r="S1365" s="75"/>
      <c r="T1365" s="75"/>
      <c r="U1365" s="75"/>
      <c r="V1365" s="75"/>
      <c r="W1365" s="74"/>
      <c r="X1365" s="76"/>
      <c r="Y1365" s="76"/>
      <c r="Z1365" s="76"/>
      <c r="AA1365" s="76"/>
      <c r="AB1365" s="76"/>
      <c r="AC1365" s="74"/>
      <c r="AD1365" s="77"/>
      <c r="AE1365" s="77"/>
      <c r="AF1365" s="77"/>
      <c r="AG1365" s="77"/>
      <c r="AH1365" s="77"/>
      <c r="AI1365" s="68"/>
      <c r="AJ1365" s="213">
        <v>3.9689999999999994E-4</v>
      </c>
      <c r="AK1365" s="213">
        <v>1.7345999999999999</v>
      </c>
      <c r="AL1365" s="213">
        <v>2</v>
      </c>
      <c r="AM1365" s="213">
        <v>3.6734700000000002E-4</v>
      </c>
      <c r="AN1365" s="74"/>
      <c r="AO1365" s="73"/>
      <c r="AP1365" s="73"/>
      <c r="AQ1365" s="73"/>
      <c r="AR1365" s="73"/>
      <c r="AS1365" s="73"/>
      <c r="AT1365" s="74"/>
      <c r="AU1365" s="47"/>
      <c r="AV1365" s="48"/>
    </row>
    <row r="1366" spans="1:48" ht="12.75" customHeight="1" x14ac:dyDescent="0.25">
      <c r="A1366" s="72" t="s">
        <v>119</v>
      </c>
      <c r="B1366" s="43" t="s">
        <v>1154</v>
      </c>
      <c r="C1366" s="44" t="s">
        <v>1521</v>
      </c>
      <c r="D1366" s="45">
        <f>MROUND(MID($C1366,6,3)/Basis!$E$3,0.5)</f>
        <v>7.5</v>
      </c>
      <c r="E1366" s="45">
        <f>MROUND(MID($C1366,9,3)/Basis!$E$3,0.5)</f>
        <v>47</v>
      </c>
      <c r="F1366" s="199" t="s">
        <v>2950</v>
      </c>
      <c r="G1366" s="45">
        <f>ROUND(MID($C1366,12,2)/Basis!$E$3,1)</f>
        <v>13.4</v>
      </c>
      <c r="H1366" s="120">
        <f>ROUND($P1366*Basis!$E$2*((TaH-TrH)/LN(1/µ)/Basis!$E$7)^$N1366*$AA$4*Glycol,0)</f>
        <v>1258</v>
      </c>
      <c r="I1366" s="83">
        <f>ROUND(H1366/(MID($C1366,9,3)/Basis!$E$3/Basis!$E$9)*Basis!$E$11,0)</f>
        <v>320</v>
      </c>
      <c r="J1366" s="123">
        <f>IF(Basis!$E$1=1,ROUND(H1366/((TaH-TrH)*1.163)/3600,3),ROUND(H1366/(500*(TaH-TrH)),2))</f>
        <v>0.13</v>
      </c>
      <c r="K1366" s="84"/>
      <c r="L1366" s="177">
        <f>CHOOSE(Basis!$E$1,((AJ1366*(J1366*3600/Basis!$E$5)^AK1366*(((MID(C1366,9,3)*10)-244)/1000)*AL1366+AM1366*(J1366*3600/Basis!$E$5)^2)*0.0098)/Basis!$E$10,((AJ1366*(J1366/Basis!$E$5)^AK1366*(((MID(C1366,9,3)*10)-244)/1000)*AL1366+AM1366*(J1366/Basis!$E$5)^2)*0.0098)/Basis!$E$10)</f>
        <v>1.7624475791050062E-3</v>
      </c>
      <c r="M1366" s="85"/>
      <c r="N1366" s="109">
        <v>1.3620000000000001</v>
      </c>
      <c r="O1366" s="68"/>
      <c r="P1366" s="67">
        <v>578</v>
      </c>
      <c r="Q1366" s="68"/>
      <c r="R1366" s="69"/>
      <c r="S1366" s="69"/>
      <c r="T1366" s="69"/>
      <c r="U1366" s="69"/>
      <c r="V1366" s="69"/>
      <c r="W1366" s="68"/>
      <c r="X1366" s="70"/>
      <c r="Y1366" s="70"/>
      <c r="Z1366" s="70"/>
      <c r="AA1366" s="70"/>
      <c r="AB1366" s="70"/>
      <c r="AC1366" s="68"/>
      <c r="AD1366" s="71"/>
      <c r="AE1366" s="71"/>
      <c r="AF1366" s="71"/>
      <c r="AG1366" s="71"/>
      <c r="AH1366" s="71"/>
      <c r="AI1366" s="68"/>
      <c r="AJ1366" s="214">
        <v>2.0829999999999999E-4</v>
      </c>
      <c r="AK1366" s="214">
        <v>1.724</v>
      </c>
      <c r="AL1366" s="214">
        <v>2</v>
      </c>
      <c r="AM1366" s="214">
        <v>4.6182900000000003E-4</v>
      </c>
      <c r="AN1366" s="68"/>
      <c r="AO1366" s="67"/>
      <c r="AP1366" s="67"/>
      <c r="AQ1366" s="67"/>
      <c r="AR1366" s="67"/>
      <c r="AS1366" s="67"/>
      <c r="AT1366" s="68"/>
      <c r="AU1366" s="49"/>
      <c r="AV1366" s="50"/>
    </row>
    <row r="1367" spans="1:48" ht="12.75" customHeight="1" x14ac:dyDescent="0.25">
      <c r="A1367" s="72" t="s">
        <v>119</v>
      </c>
      <c r="B1367" s="43" t="s">
        <v>1154</v>
      </c>
      <c r="C1367" s="44" t="s">
        <v>1522</v>
      </c>
      <c r="D1367" s="45">
        <f>MROUND(MID($C1367,6,3)/Basis!$E$3,0.5)</f>
        <v>7.5</v>
      </c>
      <c r="E1367" s="45">
        <f>MROUND(MID($C1367,9,3)/Basis!$E$3,0.5)</f>
        <v>47</v>
      </c>
      <c r="F1367" s="199" t="s">
        <v>2950</v>
      </c>
      <c r="G1367" s="45">
        <f>ROUND(MID($C1367,12,2)/Basis!$E$3,1)</f>
        <v>16.5</v>
      </c>
      <c r="H1367" s="120">
        <f>ROUND($P1367*Basis!$E$2*((TaH-TrH)/LN(1/µ)/Basis!$E$7)^$N1367*$AA$4*Glycol,0)</f>
        <v>1726</v>
      </c>
      <c r="I1367" s="83">
        <f>ROUND(H1367/(MID($C1367,9,3)/Basis!$E$3/Basis!$E$9)*Basis!$E$11,0)</f>
        <v>438</v>
      </c>
      <c r="J1367" s="123">
        <f>IF(Basis!$E$1=1,ROUND(H1367/((TaH-TrH)*1.163)/3600,3),ROUND(H1367/(500*(TaH-TrH)),2))</f>
        <v>0.17</v>
      </c>
      <c r="K1367" s="84"/>
      <c r="L1367" s="177">
        <f>CHOOSE(Basis!$E$1,((AJ1367*(J1367*3600/Basis!$E$5)^AK1367*(((MID(C1367,9,3)*10)-244)/1000)*AL1367+AM1367*(J1367*3600/Basis!$E$5)^2)*0.0098)/Basis!$E$10,((AJ1367*(J1367/Basis!$E$5)^AK1367*(((MID(C1367,9,3)*10)-244)/1000)*AL1367+AM1367*(J1367/Basis!$E$5)^2)*0.0098)/Basis!$E$10)</f>
        <v>2.2663540469933983E-3</v>
      </c>
      <c r="M1367" s="85"/>
      <c r="N1367" s="110">
        <v>1.3620000000000001</v>
      </c>
      <c r="O1367" s="74"/>
      <c r="P1367" s="73">
        <v>793</v>
      </c>
      <c r="Q1367" s="74"/>
      <c r="R1367" s="75"/>
      <c r="S1367" s="75"/>
      <c r="T1367" s="75"/>
      <c r="U1367" s="75"/>
      <c r="V1367" s="75"/>
      <c r="W1367" s="74"/>
      <c r="X1367" s="76"/>
      <c r="Y1367" s="76"/>
      <c r="Z1367" s="76"/>
      <c r="AA1367" s="76"/>
      <c r="AB1367" s="76"/>
      <c r="AC1367" s="74"/>
      <c r="AD1367" s="77"/>
      <c r="AE1367" s="77"/>
      <c r="AF1367" s="77"/>
      <c r="AG1367" s="77"/>
      <c r="AH1367" s="77"/>
      <c r="AI1367" s="68"/>
      <c r="AJ1367" s="214">
        <v>1.2760000000000001E-4</v>
      </c>
      <c r="AK1367" s="214">
        <v>1.7219</v>
      </c>
      <c r="AL1367" s="214">
        <v>2</v>
      </c>
      <c r="AM1367" s="214">
        <v>3.76611E-4</v>
      </c>
      <c r="AN1367" s="74"/>
      <c r="AO1367" s="73"/>
      <c r="AP1367" s="73"/>
      <c r="AQ1367" s="73"/>
      <c r="AR1367" s="73"/>
      <c r="AS1367" s="73"/>
      <c r="AT1367" s="74"/>
      <c r="AU1367" s="47"/>
      <c r="AV1367" s="48"/>
    </row>
    <row r="1368" spans="1:48" ht="12.75" customHeight="1" x14ac:dyDescent="0.25">
      <c r="A1368" s="72" t="s">
        <v>119</v>
      </c>
      <c r="B1368" s="43" t="s">
        <v>1154</v>
      </c>
      <c r="C1368" s="44" t="s">
        <v>1523</v>
      </c>
      <c r="D1368" s="45">
        <f>MROUND(MID($C1368,6,3)/Basis!$E$3,0.5)</f>
        <v>7.5</v>
      </c>
      <c r="E1368" s="45">
        <f>MROUND(MID($C1368,9,3)/Basis!$E$3,0.5)</f>
        <v>51</v>
      </c>
      <c r="F1368" s="199" t="s">
        <v>2950</v>
      </c>
      <c r="G1368" s="45">
        <f>ROUND(MID($C1368,12,2)/Basis!$E$3,1)</f>
        <v>10.199999999999999</v>
      </c>
      <c r="H1368" s="120">
        <f>ROUND($P1368*Basis!$E$2*((TaH-TrH)/LN(1/µ)/Basis!$E$7)^$N1368*$AA$4*Glycol,0)</f>
        <v>1032</v>
      </c>
      <c r="I1368" s="83">
        <f>ROUND(H1368/(MID($C1368,9,3)/Basis!$E$3/Basis!$E$9)*Basis!$E$11,0)</f>
        <v>242</v>
      </c>
      <c r="J1368" s="123">
        <f>IF(Basis!$E$1=1,ROUND(H1368/((TaH-TrH)*1.163)/3600,3),ROUND(H1368/(500*(TaH-TrH)),2))</f>
        <v>0.1</v>
      </c>
      <c r="K1368" s="84"/>
      <c r="L1368" s="177">
        <f>CHOOSE(Basis!$E$1,((AJ1368*(J1368*3600/Basis!$E$5)^AK1368*(((MID(C1368,9,3)*10)-244)/1000)*AL1368+AM1368*(J1368*3600/Basis!$E$5)^2)*0.0098)/Basis!$E$10,((AJ1368*(J1368/Basis!$E$5)^AK1368*(((MID(C1368,9,3)*10)-244)/1000)*AL1368+AM1368*(J1368/Basis!$E$5)^2)*0.0098)/Basis!$E$10)</f>
        <v>1.2368582866760225E-3</v>
      </c>
      <c r="M1368" s="85"/>
      <c r="N1368" s="109">
        <v>1.3620000000000001</v>
      </c>
      <c r="O1368" s="68"/>
      <c r="P1368" s="67">
        <v>474</v>
      </c>
      <c r="Q1368" s="68"/>
      <c r="R1368" s="69"/>
      <c r="S1368" s="69"/>
      <c r="T1368" s="69"/>
      <c r="U1368" s="69"/>
      <c r="V1368" s="69"/>
      <c r="W1368" s="68"/>
      <c r="X1368" s="70"/>
      <c r="Y1368" s="70"/>
      <c r="Z1368" s="70"/>
      <c r="AA1368" s="70"/>
      <c r="AB1368" s="70"/>
      <c r="AC1368" s="68"/>
      <c r="AD1368" s="71"/>
      <c r="AE1368" s="71"/>
      <c r="AF1368" s="71"/>
      <c r="AG1368" s="71"/>
      <c r="AH1368" s="71"/>
      <c r="AI1368" s="68"/>
      <c r="AJ1368" s="213">
        <v>3.9689999999999994E-4</v>
      </c>
      <c r="AK1368" s="213">
        <v>1.7345999999999999</v>
      </c>
      <c r="AL1368" s="213">
        <v>2</v>
      </c>
      <c r="AM1368" s="213">
        <v>3.6734700000000002E-4</v>
      </c>
      <c r="AN1368" s="68"/>
      <c r="AO1368" s="67"/>
      <c r="AP1368" s="67"/>
      <c r="AQ1368" s="67"/>
      <c r="AR1368" s="67"/>
      <c r="AS1368" s="67"/>
      <c r="AT1368" s="68"/>
      <c r="AU1368" s="49"/>
      <c r="AV1368" s="50"/>
    </row>
    <row r="1369" spans="1:48" ht="12.75" customHeight="1" x14ac:dyDescent="0.25">
      <c r="A1369" s="72" t="s">
        <v>119</v>
      </c>
      <c r="B1369" s="43" t="s">
        <v>1154</v>
      </c>
      <c r="C1369" s="44" t="s">
        <v>1524</v>
      </c>
      <c r="D1369" s="45">
        <f>MROUND(MID($C1369,6,3)/Basis!$E$3,0.5)</f>
        <v>7.5</v>
      </c>
      <c r="E1369" s="45">
        <f>MROUND(MID($C1369,9,3)/Basis!$E$3,0.5)</f>
        <v>51</v>
      </c>
      <c r="F1369" s="199" t="s">
        <v>2950</v>
      </c>
      <c r="G1369" s="45">
        <f>ROUND(MID($C1369,12,2)/Basis!$E$3,1)</f>
        <v>13.4</v>
      </c>
      <c r="H1369" s="120">
        <f>ROUND($P1369*Basis!$E$2*((TaH-TrH)/LN(1/µ)/Basis!$E$7)^$N1369*$AA$4*Glycol,0)</f>
        <v>1397</v>
      </c>
      <c r="I1369" s="83">
        <f>ROUND(H1369/(MID($C1369,9,3)/Basis!$E$3/Basis!$E$9)*Basis!$E$11,0)</f>
        <v>328</v>
      </c>
      <c r="J1369" s="123">
        <f>IF(Basis!$E$1=1,ROUND(H1369/((TaH-TrH)*1.163)/3600,3),ROUND(H1369/(500*(TaH-TrH)),2))</f>
        <v>0.14000000000000001</v>
      </c>
      <c r="K1369" s="84"/>
      <c r="L1369" s="177">
        <f>CHOOSE(Basis!$E$1,((AJ1369*(J1369*3600/Basis!$E$5)^AK1369*(((MID(C1369,9,3)*10)-244)/1000)*AL1369+AM1369*(J1369*3600/Basis!$E$5)^2)*0.0098)/Basis!$E$10,((AJ1369*(J1369/Basis!$E$5)^AK1369*(((MID(C1369,9,3)*10)-244)/1000)*AL1369+AM1369*(J1369/Basis!$E$5)^2)*0.0098)/Basis!$E$10)</f>
        <v>2.086559705674256E-3</v>
      </c>
      <c r="M1369" s="85"/>
      <c r="N1369" s="110">
        <v>1.3620000000000001</v>
      </c>
      <c r="O1369" s="74"/>
      <c r="P1369" s="73">
        <v>642</v>
      </c>
      <c r="Q1369" s="74"/>
      <c r="R1369" s="75"/>
      <c r="S1369" s="75"/>
      <c r="T1369" s="75"/>
      <c r="U1369" s="75"/>
      <c r="V1369" s="75"/>
      <c r="W1369" s="74"/>
      <c r="X1369" s="76"/>
      <c r="Y1369" s="76"/>
      <c r="Z1369" s="76"/>
      <c r="AA1369" s="76"/>
      <c r="AB1369" s="76"/>
      <c r="AC1369" s="74"/>
      <c r="AD1369" s="77"/>
      <c r="AE1369" s="77"/>
      <c r="AF1369" s="77"/>
      <c r="AG1369" s="77"/>
      <c r="AH1369" s="77"/>
      <c r="AI1369" s="68"/>
      <c r="AJ1369" s="214">
        <v>2.0829999999999999E-4</v>
      </c>
      <c r="AK1369" s="214">
        <v>1.724</v>
      </c>
      <c r="AL1369" s="214">
        <v>2</v>
      </c>
      <c r="AM1369" s="214">
        <v>4.6182900000000003E-4</v>
      </c>
      <c r="AN1369" s="74"/>
      <c r="AO1369" s="73"/>
      <c r="AP1369" s="73"/>
      <c r="AQ1369" s="73"/>
      <c r="AR1369" s="73"/>
      <c r="AS1369" s="73"/>
      <c r="AT1369" s="74"/>
      <c r="AU1369" s="47"/>
      <c r="AV1369" s="48"/>
    </row>
    <row r="1370" spans="1:48" ht="12.75" customHeight="1" x14ac:dyDescent="0.25">
      <c r="A1370" s="72" t="s">
        <v>119</v>
      </c>
      <c r="B1370" s="43" t="s">
        <v>1154</v>
      </c>
      <c r="C1370" s="44" t="s">
        <v>1525</v>
      </c>
      <c r="D1370" s="45">
        <f>MROUND(MID($C1370,6,3)/Basis!$E$3,0.5)</f>
        <v>7.5</v>
      </c>
      <c r="E1370" s="45">
        <f>MROUND(MID($C1370,9,3)/Basis!$E$3,0.5)</f>
        <v>51</v>
      </c>
      <c r="F1370" s="199" t="s">
        <v>2950</v>
      </c>
      <c r="G1370" s="45">
        <f>ROUND(MID($C1370,12,2)/Basis!$E$3,1)</f>
        <v>16.5</v>
      </c>
      <c r="H1370" s="120">
        <f>ROUND($P1370*Basis!$E$2*((TaH-TrH)/LN(1/µ)/Basis!$E$7)^$N1370*$AA$4*Glycol,0)</f>
        <v>1920</v>
      </c>
      <c r="I1370" s="83">
        <f>ROUND(H1370/(MID($C1370,9,3)/Basis!$E$3/Basis!$E$9)*Basis!$E$11,0)</f>
        <v>450</v>
      </c>
      <c r="J1370" s="123">
        <f>IF(Basis!$E$1=1,ROUND(H1370/((TaH-TrH)*1.163)/3600,3),ROUND(H1370/(500*(TaH-TrH)),2))</f>
        <v>0.19</v>
      </c>
      <c r="K1370" s="84"/>
      <c r="L1370" s="177">
        <f>CHOOSE(Basis!$E$1,((AJ1370*(J1370*3600/Basis!$E$5)^AK1370*(((MID(C1370,9,3)*10)-244)/1000)*AL1370+AM1370*(J1370*3600/Basis!$E$5)^2)*0.0098)/Basis!$E$10,((AJ1370*(J1370/Basis!$E$5)^AK1370*(((MID(C1370,9,3)*10)-244)/1000)*AL1370+AM1370*(J1370/Basis!$E$5)^2)*0.0098)/Basis!$E$10)</f>
        <v>2.8691434700200778E-3</v>
      </c>
      <c r="M1370" s="85"/>
      <c r="N1370" s="109">
        <v>1.3620000000000001</v>
      </c>
      <c r="O1370" s="68"/>
      <c r="P1370" s="67">
        <v>882</v>
      </c>
      <c r="Q1370" s="68"/>
      <c r="R1370" s="69"/>
      <c r="S1370" s="69"/>
      <c r="T1370" s="69"/>
      <c r="U1370" s="69"/>
      <c r="V1370" s="69"/>
      <c r="W1370" s="68"/>
      <c r="X1370" s="70"/>
      <c r="Y1370" s="70"/>
      <c r="Z1370" s="70"/>
      <c r="AA1370" s="70"/>
      <c r="AB1370" s="70"/>
      <c r="AC1370" s="68"/>
      <c r="AD1370" s="71"/>
      <c r="AE1370" s="71"/>
      <c r="AF1370" s="71"/>
      <c r="AG1370" s="71"/>
      <c r="AH1370" s="71"/>
      <c r="AI1370" s="68"/>
      <c r="AJ1370" s="214">
        <v>1.2760000000000001E-4</v>
      </c>
      <c r="AK1370" s="214">
        <v>1.7219</v>
      </c>
      <c r="AL1370" s="214">
        <v>2</v>
      </c>
      <c r="AM1370" s="214">
        <v>3.76611E-4</v>
      </c>
      <c r="AN1370" s="68"/>
      <c r="AO1370" s="67"/>
      <c r="AP1370" s="67"/>
      <c r="AQ1370" s="67"/>
      <c r="AR1370" s="67"/>
      <c r="AS1370" s="67"/>
      <c r="AT1370" s="68"/>
      <c r="AU1370" s="49"/>
      <c r="AV1370" s="50"/>
    </row>
    <row r="1371" spans="1:48" ht="12.75" customHeight="1" x14ac:dyDescent="0.25">
      <c r="A1371" s="72" t="s">
        <v>119</v>
      </c>
      <c r="B1371" s="43" t="s">
        <v>1154</v>
      </c>
      <c r="C1371" s="44" t="s">
        <v>1526</v>
      </c>
      <c r="D1371" s="45">
        <f>MROUND(MID($C1371,6,3)/Basis!$E$3,0.5)</f>
        <v>7.5</v>
      </c>
      <c r="E1371" s="45">
        <f>MROUND(MID($C1371,9,3)/Basis!$E$3,0.5)</f>
        <v>59</v>
      </c>
      <c r="F1371" s="199" t="s">
        <v>2950</v>
      </c>
      <c r="G1371" s="45">
        <f>ROUND(MID($C1371,12,2)/Basis!$E$3,1)</f>
        <v>10.199999999999999</v>
      </c>
      <c r="H1371" s="120">
        <f>ROUND($P1371*Basis!$E$2*((TaH-TrH)/LN(1/µ)/Basis!$E$7)^$N1371*$AA$4*Glycol,0)</f>
        <v>1239</v>
      </c>
      <c r="I1371" s="83">
        <f>ROUND(H1371/(MID($C1371,9,3)/Basis!$E$3/Basis!$E$9)*Basis!$E$11,0)</f>
        <v>252</v>
      </c>
      <c r="J1371" s="123">
        <f>IF(Basis!$E$1=1,ROUND(H1371/((TaH-TrH)*1.163)/3600,3),ROUND(H1371/(500*(TaH-TrH)),2))</f>
        <v>0.12</v>
      </c>
      <c r="K1371" s="84"/>
      <c r="L1371" s="177">
        <f>CHOOSE(Basis!$E$1,((AJ1371*(J1371*3600/Basis!$E$5)^AK1371*(((MID(C1371,9,3)*10)-244)/1000)*AL1371+AM1371*(J1371*3600/Basis!$E$5)^2)*0.0098)/Basis!$E$10,((AJ1371*(J1371/Basis!$E$5)^AK1371*(((MID(C1371,9,3)*10)-244)/1000)*AL1371+AM1371*(J1371/Basis!$E$5)^2)*0.0098)/Basis!$E$10)</f>
        <v>1.8994805036306674E-3</v>
      </c>
      <c r="M1371" s="85"/>
      <c r="N1371" s="110">
        <v>1.3620000000000001</v>
      </c>
      <c r="O1371" s="74"/>
      <c r="P1371" s="73">
        <v>569</v>
      </c>
      <c r="Q1371" s="74"/>
      <c r="R1371" s="75"/>
      <c r="S1371" s="75"/>
      <c r="T1371" s="75"/>
      <c r="U1371" s="75"/>
      <c r="V1371" s="75"/>
      <c r="W1371" s="74"/>
      <c r="X1371" s="76"/>
      <c r="Y1371" s="76"/>
      <c r="Z1371" s="76"/>
      <c r="AA1371" s="76"/>
      <c r="AB1371" s="76"/>
      <c r="AC1371" s="74"/>
      <c r="AD1371" s="77"/>
      <c r="AE1371" s="77"/>
      <c r="AF1371" s="77"/>
      <c r="AG1371" s="77"/>
      <c r="AH1371" s="77"/>
      <c r="AI1371" s="68"/>
      <c r="AJ1371" s="213">
        <v>3.9689999999999994E-4</v>
      </c>
      <c r="AK1371" s="213">
        <v>1.7345999999999999</v>
      </c>
      <c r="AL1371" s="213">
        <v>2</v>
      </c>
      <c r="AM1371" s="213">
        <v>3.6734700000000002E-4</v>
      </c>
      <c r="AN1371" s="74"/>
      <c r="AO1371" s="73"/>
      <c r="AP1371" s="73"/>
      <c r="AQ1371" s="73"/>
      <c r="AR1371" s="73"/>
      <c r="AS1371" s="73"/>
      <c r="AT1371" s="74"/>
      <c r="AU1371" s="47"/>
      <c r="AV1371" s="48"/>
    </row>
    <row r="1372" spans="1:48" ht="12.75" customHeight="1" x14ac:dyDescent="0.25">
      <c r="A1372" s="72" t="s">
        <v>119</v>
      </c>
      <c r="B1372" s="43" t="s">
        <v>1154</v>
      </c>
      <c r="C1372" s="44" t="s">
        <v>1527</v>
      </c>
      <c r="D1372" s="45">
        <f>MROUND(MID($C1372,6,3)/Basis!$E$3,0.5)</f>
        <v>7.5</v>
      </c>
      <c r="E1372" s="45">
        <f>MROUND(MID($C1372,9,3)/Basis!$E$3,0.5)</f>
        <v>59</v>
      </c>
      <c r="F1372" s="199" t="s">
        <v>2950</v>
      </c>
      <c r="G1372" s="45">
        <f>ROUND(MID($C1372,12,2)/Basis!$E$3,1)</f>
        <v>13.4</v>
      </c>
      <c r="H1372" s="120">
        <f>ROUND($P1372*Basis!$E$2*((TaH-TrH)/LN(1/µ)/Basis!$E$7)^$N1372*$AA$4*Glycol,0)</f>
        <v>1678</v>
      </c>
      <c r="I1372" s="83">
        <f>ROUND(H1372/(MID($C1372,9,3)/Basis!$E$3/Basis!$E$9)*Basis!$E$11,0)</f>
        <v>341</v>
      </c>
      <c r="J1372" s="123">
        <f>IF(Basis!$E$1=1,ROUND(H1372/((TaH-TrH)*1.163)/3600,3),ROUND(H1372/(500*(TaH-TrH)),2))</f>
        <v>0.17</v>
      </c>
      <c r="K1372" s="84"/>
      <c r="L1372" s="177">
        <f>CHOOSE(Basis!$E$1,((AJ1372*(J1372*3600/Basis!$E$5)^AK1372*(((MID(C1372,9,3)*10)-244)/1000)*AL1372+AM1372*(J1372*3600/Basis!$E$5)^2)*0.0098)/Basis!$E$10,((AJ1372*(J1372/Basis!$E$5)^AK1372*(((MID(C1372,9,3)*10)-244)/1000)*AL1372+AM1372*(J1372/Basis!$E$5)^2)*0.0098)/Basis!$E$10)</f>
        <v>3.1817131317318451E-3</v>
      </c>
      <c r="M1372" s="85"/>
      <c r="N1372" s="109">
        <v>1.3620000000000001</v>
      </c>
      <c r="O1372" s="68"/>
      <c r="P1372" s="67">
        <v>771</v>
      </c>
      <c r="Q1372" s="68"/>
      <c r="R1372" s="69"/>
      <c r="S1372" s="69"/>
      <c r="T1372" s="69"/>
      <c r="U1372" s="69"/>
      <c r="V1372" s="69"/>
      <c r="W1372" s="68"/>
      <c r="X1372" s="70"/>
      <c r="Y1372" s="70"/>
      <c r="Z1372" s="70"/>
      <c r="AA1372" s="70"/>
      <c r="AB1372" s="70"/>
      <c r="AC1372" s="68"/>
      <c r="AD1372" s="71"/>
      <c r="AE1372" s="71"/>
      <c r="AF1372" s="71"/>
      <c r="AG1372" s="71"/>
      <c r="AH1372" s="71"/>
      <c r="AI1372" s="68"/>
      <c r="AJ1372" s="214">
        <v>2.0829999999999999E-4</v>
      </c>
      <c r="AK1372" s="214">
        <v>1.724</v>
      </c>
      <c r="AL1372" s="214">
        <v>2</v>
      </c>
      <c r="AM1372" s="214">
        <v>4.6182900000000003E-4</v>
      </c>
      <c r="AN1372" s="68"/>
      <c r="AO1372" s="67"/>
      <c r="AP1372" s="67"/>
      <c r="AQ1372" s="67"/>
      <c r="AR1372" s="67"/>
      <c r="AS1372" s="67"/>
      <c r="AT1372" s="68"/>
      <c r="AU1372" s="49"/>
      <c r="AV1372" s="50"/>
    </row>
    <row r="1373" spans="1:48" ht="12.75" customHeight="1" x14ac:dyDescent="0.25">
      <c r="A1373" s="72" t="s">
        <v>119</v>
      </c>
      <c r="B1373" s="43" t="s">
        <v>1154</v>
      </c>
      <c r="C1373" s="44" t="s">
        <v>1528</v>
      </c>
      <c r="D1373" s="45">
        <f>MROUND(MID($C1373,6,3)/Basis!$E$3,0.5)</f>
        <v>7.5</v>
      </c>
      <c r="E1373" s="45">
        <f>MROUND(MID($C1373,9,3)/Basis!$E$3,0.5)</f>
        <v>59</v>
      </c>
      <c r="F1373" s="199" t="s">
        <v>2950</v>
      </c>
      <c r="G1373" s="45">
        <f>ROUND(MID($C1373,12,2)/Basis!$E$3,1)</f>
        <v>16.5</v>
      </c>
      <c r="H1373" s="120">
        <f>ROUND($P1373*Basis!$E$2*((TaH-TrH)/LN(1/µ)/Basis!$E$7)^$N1373*$AA$4*Glycol,0)</f>
        <v>2303</v>
      </c>
      <c r="I1373" s="83">
        <f>ROUND(H1373/(MID($C1373,9,3)/Basis!$E$3/Basis!$E$9)*Basis!$E$11,0)</f>
        <v>468</v>
      </c>
      <c r="J1373" s="123">
        <f>IF(Basis!$E$1=1,ROUND(H1373/((TaH-TrH)*1.163)/3600,3),ROUND(H1373/(500*(TaH-TrH)),2))</f>
        <v>0.23</v>
      </c>
      <c r="K1373" s="84"/>
      <c r="L1373" s="177">
        <f>CHOOSE(Basis!$E$1,((AJ1373*(J1373*3600/Basis!$E$5)^AK1373*(((MID(C1373,9,3)*10)-244)/1000)*AL1373+AM1373*(J1373*3600/Basis!$E$5)^2)*0.0098)/Basis!$E$10,((AJ1373*(J1373/Basis!$E$5)^AK1373*(((MID(C1373,9,3)*10)-244)/1000)*AL1373+AM1373*(J1373/Basis!$E$5)^2)*0.0098)/Basis!$E$10)</f>
        <v>4.3122720964291813E-3</v>
      </c>
      <c r="M1373" s="85"/>
      <c r="N1373" s="110">
        <v>1.3620000000000001</v>
      </c>
      <c r="O1373" s="74"/>
      <c r="P1373" s="73">
        <v>1058</v>
      </c>
      <c r="Q1373" s="74"/>
      <c r="R1373" s="75"/>
      <c r="S1373" s="75"/>
      <c r="T1373" s="75"/>
      <c r="U1373" s="75"/>
      <c r="V1373" s="75"/>
      <c r="W1373" s="74"/>
      <c r="X1373" s="76"/>
      <c r="Y1373" s="76"/>
      <c r="Z1373" s="76"/>
      <c r="AA1373" s="76"/>
      <c r="AB1373" s="76"/>
      <c r="AC1373" s="74"/>
      <c r="AD1373" s="77"/>
      <c r="AE1373" s="77"/>
      <c r="AF1373" s="77"/>
      <c r="AG1373" s="77"/>
      <c r="AH1373" s="77"/>
      <c r="AI1373" s="68"/>
      <c r="AJ1373" s="214">
        <v>1.2760000000000001E-4</v>
      </c>
      <c r="AK1373" s="214">
        <v>1.7219</v>
      </c>
      <c r="AL1373" s="214">
        <v>2</v>
      </c>
      <c r="AM1373" s="214">
        <v>3.76611E-4</v>
      </c>
      <c r="AN1373" s="74"/>
      <c r="AO1373" s="73"/>
      <c r="AP1373" s="73"/>
      <c r="AQ1373" s="73"/>
      <c r="AR1373" s="73"/>
      <c r="AS1373" s="73"/>
      <c r="AT1373" s="74"/>
      <c r="AU1373" s="47"/>
      <c r="AV1373" s="48"/>
    </row>
    <row r="1374" spans="1:48" ht="12.75" customHeight="1" x14ac:dyDescent="0.25">
      <c r="A1374" s="72" t="s">
        <v>119</v>
      </c>
      <c r="B1374" s="43" t="s">
        <v>1154</v>
      </c>
      <c r="C1374" s="44" t="s">
        <v>1529</v>
      </c>
      <c r="D1374" s="45">
        <f>MROUND(MID($C1374,6,3)/Basis!$E$3,0.5)</f>
        <v>7.5</v>
      </c>
      <c r="E1374" s="45">
        <f>MROUND(MID($C1374,9,3)/Basis!$E$3,0.5)</f>
        <v>67</v>
      </c>
      <c r="F1374" s="199" t="s">
        <v>2950</v>
      </c>
      <c r="G1374" s="45">
        <f>ROUND(MID($C1374,12,2)/Basis!$E$3,1)</f>
        <v>10.199999999999999</v>
      </c>
      <c r="H1374" s="120">
        <f>ROUND($P1374*Basis!$E$2*((TaH-TrH)/LN(1/µ)/Basis!$E$7)^$N1374*$AA$4*Glycol,0)</f>
        <v>1445</v>
      </c>
      <c r="I1374" s="83">
        <f>ROUND(H1374/(MID($C1374,9,3)/Basis!$E$3/Basis!$E$9)*Basis!$E$11,0)</f>
        <v>259</v>
      </c>
      <c r="J1374" s="123">
        <f>IF(Basis!$E$1=1,ROUND(H1374/((TaH-TrH)*1.163)/3600,3),ROUND(H1374/(500*(TaH-TrH)),2))</f>
        <v>0.14000000000000001</v>
      </c>
      <c r="K1374" s="84"/>
      <c r="L1374" s="177">
        <f>CHOOSE(Basis!$E$1,((AJ1374*(J1374*3600/Basis!$E$5)^AK1374*(((MID(C1374,9,3)*10)-244)/1000)*AL1374+AM1374*(J1374*3600/Basis!$E$5)^2)*0.0098)/Basis!$E$10,((AJ1374*(J1374/Basis!$E$5)^AK1374*(((MID(C1374,9,3)*10)-244)/1000)*AL1374+AM1374*(J1374/Basis!$E$5)^2)*0.0098)/Basis!$E$10)</f>
        <v>2.7400046312058752E-3</v>
      </c>
      <c r="M1374" s="85"/>
      <c r="N1374" s="109">
        <v>1.3620000000000001</v>
      </c>
      <c r="O1374" s="68"/>
      <c r="P1374" s="67">
        <v>664</v>
      </c>
      <c r="Q1374" s="68"/>
      <c r="R1374" s="69"/>
      <c r="S1374" s="69"/>
      <c r="T1374" s="69"/>
      <c r="U1374" s="69"/>
      <c r="V1374" s="69"/>
      <c r="W1374" s="68"/>
      <c r="X1374" s="70"/>
      <c r="Y1374" s="70"/>
      <c r="Z1374" s="70"/>
      <c r="AA1374" s="70"/>
      <c r="AB1374" s="70"/>
      <c r="AC1374" s="68"/>
      <c r="AD1374" s="71"/>
      <c r="AE1374" s="71"/>
      <c r="AF1374" s="71"/>
      <c r="AG1374" s="71"/>
      <c r="AH1374" s="71"/>
      <c r="AI1374" s="68"/>
      <c r="AJ1374" s="213">
        <v>3.9689999999999994E-4</v>
      </c>
      <c r="AK1374" s="213">
        <v>1.7345999999999999</v>
      </c>
      <c r="AL1374" s="213">
        <v>2</v>
      </c>
      <c r="AM1374" s="213">
        <v>3.6734700000000002E-4</v>
      </c>
      <c r="AN1374" s="68"/>
      <c r="AO1374" s="67"/>
      <c r="AP1374" s="67"/>
      <c r="AQ1374" s="67"/>
      <c r="AR1374" s="67"/>
      <c r="AS1374" s="67"/>
      <c r="AT1374" s="68"/>
      <c r="AU1374" s="49"/>
      <c r="AV1374" s="50"/>
    </row>
    <row r="1375" spans="1:48" ht="12.75" customHeight="1" x14ac:dyDescent="0.25">
      <c r="A1375" s="72" t="s">
        <v>119</v>
      </c>
      <c r="B1375" s="43" t="s">
        <v>1154</v>
      </c>
      <c r="C1375" s="44" t="s">
        <v>1530</v>
      </c>
      <c r="D1375" s="45">
        <f>MROUND(MID($C1375,6,3)/Basis!$E$3,0.5)</f>
        <v>7.5</v>
      </c>
      <c r="E1375" s="45">
        <f>MROUND(MID($C1375,9,3)/Basis!$E$3,0.5)</f>
        <v>67</v>
      </c>
      <c r="F1375" s="199" t="s">
        <v>2950</v>
      </c>
      <c r="G1375" s="45">
        <f>ROUND(MID($C1375,12,2)/Basis!$E$3,1)</f>
        <v>13.4</v>
      </c>
      <c r="H1375" s="120">
        <f>ROUND($P1375*Basis!$E$2*((TaH-TrH)/LN(1/µ)/Basis!$E$7)^$N1375*$AA$4*Glycol,0)</f>
        <v>1957</v>
      </c>
      <c r="I1375" s="83">
        <f>ROUND(H1375/(MID($C1375,9,3)/Basis!$E$3/Basis!$E$9)*Basis!$E$11,0)</f>
        <v>351</v>
      </c>
      <c r="J1375" s="123">
        <f>IF(Basis!$E$1=1,ROUND(H1375/((TaH-TrH)*1.163)/3600,3),ROUND(H1375/(500*(TaH-TrH)),2))</f>
        <v>0.2</v>
      </c>
      <c r="K1375" s="84"/>
      <c r="L1375" s="177">
        <f>CHOOSE(Basis!$E$1,((AJ1375*(J1375*3600/Basis!$E$5)^AK1375*(((MID(C1375,9,3)*10)-244)/1000)*AL1375+AM1375*(J1375*3600/Basis!$E$5)^2)*0.0098)/Basis!$E$10,((AJ1375*(J1375/Basis!$E$5)^AK1375*(((MID(C1375,9,3)*10)-244)/1000)*AL1375+AM1375*(J1375/Basis!$E$5)^2)*0.0098)/Basis!$E$10)</f>
        <v>4.5433451416064755E-3</v>
      </c>
      <c r="M1375" s="85"/>
      <c r="N1375" s="110">
        <v>1.3620000000000001</v>
      </c>
      <c r="O1375" s="74"/>
      <c r="P1375" s="73">
        <v>899</v>
      </c>
      <c r="Q1375" s="74"/>
      <c r="R1375" s="75"/>
      <c r="S1375" s="75"/>
      <c r="T1375" s="75"/>
      <c r="U1375" s="75"/>
      <c r="V1375" s="75"/>
      <c r="W1375" s="74"/>
      <c r="X1375" s="76"/>
      <c r="Y1375" s="76"/>
      <c r="Z1375" s="76"/>
      <c r="AA1375" s="76"/>
      <c r="AB1375" s="76"/>
      <c r="AC1375" s="74"/>
      <c r="AD1375" s="77"/>
      <c r="AE1375" s="77"/>
      <c r="AF1375" s="77"/>
      <c r="AG1375" s="77"/>
      <c r="AH1375" s="77"/>
      <c r="AI1375" s="68"/>
      <c r="AJ1375" s="214">
        <v>2.0829999999999999E-4</v>
      </c>
      <c r="AK1375" s="214">
        <v>1.724</v>
      </c>
      <c r="AL1375" s="214">
        <v>2</v>
      </c>
      <c r="AM1375" s="214">
        <v>4.6182900000000003E-4</v>
      </c>
      <c r="AN1375" s="74"/>
      <c r="AO1375" s="73"/>
      <c r="AP1375" s="73"/>
      <c r="AQ1375" s="73"/>
      <c r="AR1375" s="73"/>
      <c r="AS1375" s="73"/>
      <c r="AT1375" s="74"/>
      <c r="AU1375" s="47"/>
      <c r="AV1375" s="48"/>
    </row>
    <row r="1376" spans="1:48" ht="12.75" customHeight="1" x14ac:dyDescent="0.25">
      <c r="A1376" s="72" t="s">
        <v>119</v>
      </c>
      <c r="B1376" s="43" t="s">
        <v>1154</v>
      </c>
      <c r="C1376" s="44" t="s">
        <v>1531</v>
      </c>
      <c r="D1376" s="45">
        <f>MROUND(MID($C1376,6,3)/Basis!$E$3,0.5)</f>
        <v>7.5</v>
      </c>
      <c r="E1376" s="45">
        <f>MROUND(MID($C1376,9,3)/Basis!$E$3,0.5)</f>
        <v>67</v>
      </c>
      <c r="F1376" s="199" t="s">
        <v>2950</v>
      </c>
      <c r="G1376" s="45">
        <f>ROUND(MID($C1376,12,2)/Basis!$E$3,1)</f>
        <v>16.5</v>
      </c>
      <c r="H1376" s="120">
        <f>ROUND($P1376*Basis!$E$2*((TaH-TrH)/LN(1/µ)/Basis!$E$7)^$N1376*$AA$4*Glycol,0)</f>
        <v>2688</v>
      </c>
      <c r="I1376" s="83">
        <f>ROUND(H1376/(MID($C1376,9,3)/Basis!$E$3/Basis!$E$9)*Basis!$E$11,0)</f>
        <v>482</v>
      </c>
      <c r="J1376" s="123">
        <f>IF(Basis!$E$1=1,ROUND(H1376/((TaH-TrH)*1.163)/3600,3),ROUND(H1376/(500*(TaH-TrH)),2))</f>
        <v>0.27</v>
      </c>
      <c r="K1376" s="84"/>
      <c r="L1376" s="177">
        <f>CHOOSE(Basis!$E$1,((AJ1376*(J1376*3600/Basis!$E$5)^AK1376*(((MID(C1376,9,3)*10)-244)/1000)*AL1376+AM1376*(J1376*3600/Basis!$E$5)^2)*0.0098)/Basis!$E$10,((AJ1376*(J1376/Basis!$E$5)^AK1376*(((MID(C1376,9,3)*10)-244)/1000)*AL1376+AM1376*(J1376/Basis!$E$5)^2)*0.0098)/Basis!$E$10)</f>
        <v>6.0851857698745529E-3</v>
      </c>
      <c r="M1376" s="85"/>
      <c r="N1376" s="109">
        <v>1.3620000000000001</v>
      </c>
      <c r="O1376" s="68"/>
      <c r="P1376" s="67">
        <v>1235</v>
      </c>
      <c r="Q1376" s="68"/>
      <c r="R1376" s="69"/>
      <c r="S1376" s="69"/>
      <c r="T1376" s="69"/>
      <c r="U1376" s="69"/>
      <c r="V1376" s="69"/>
      <c r="W1376" s="68"/>
      <c r="X1376" s="70"/>
      <c r="Y1376" s="70"/>
      <c r="Z1376" s="70"/>
      <c r="AA1376" s="70"/>
      <c r="AB1376" s="70"/>
      <c r="AC1376" s="68"/>
      <c r="AD1376" s="71"/>
      <c r="AE1376" s="71"/>
      <c r="AF1376" s="71"/>
      <c r="AG1376" s="71"/>
      <c r="AH1376" s="71"/>
      <c r="AI1376" s="68"/>
      <c r="AJ1376" s="214">
        <v>1.2760000000000001E-4</v>
      </c>
      <c r="AK1376" s="214">
        <v>1.7219</v>
      </c>
      <c r="AL1376" s="214">
        <v>2</v>
      </c>
      <c r="AM1376" s="214">
        <v>3.76611E-4</v>
      </c>
      <c r="AN1376" s="68"/>
      <c r="AO1376" s="67"/>
      <c r="AP1376" s="67"/>
      <c r="AQ1376" s="67"/>
      <c r="AR1376" s="67"/>
      <c r="AS1376" s="67"/>
      <c r="AT1376" s="68"/>
      <c r="AU1376" s="49"/>
      <c r="AV1376" s="50"/>
    </row>
    <row r="1377" spans="1:48" ht="12.75" customHeight="1" x14ac:dyDescent="0.25">
      <c r="A1377" s="72" t="s">
        <v>119</v>
      </c>
      <c r="B1377" s="43" t="s">
        <v>1154</v>
      </c>
      <c r="C1377" s="44" t="s">
        <v>1532</v>
      </c>
      <c r="D1377" s="45">
        <f>MROUND(MID($C1377,6,3)/Basis!$E$3,0.5)</f>
        <v>7.5</v>
      </c>
      <c r="E1377" s="45">
        <f>MROUND(MID($C1377,9,3)/Basis!$E$3,0.5)</f>
        <v>75</v>
      </c>
      <c r="F1377" s="199" t="s">
        <v>2950</v>
      </c>
      <c r="G1377" s="45">
        <f>ROUND(MID($C1377,12,2)/Basis!$E$3,1)</f>
        <v>10.199999999999999</v>
      </c>
      <c r="H1377" s="120">
        <f>ROUND($P1377*Basis!$E$2*((TaH-TrH)/LN(1/µ)/Basis!$E$7)^$N1377*$AA$4*Glycol,0)</f>
        <v>1652</v>
      </c>
      <c r="I1377" s="83">
        <f>ROUND(H1377/(MID($C1377,9,3)/Basis!$E$3/Basis!$E$9)*Basis!$E$11,0)</f>
        <v>265</v>
      </c>
      <c r="J1377" s="123">
        <f>IF(Basis!$E$1=1,ROUND(H1377/((TaH-TrH)*1.163)/3600,3),ROUND(H1377/(500*(TaH-TrH)),2))</f>
        <v>0.17</v>
      </c>
      <c r="K1377" s="84"/>
      <c r="L1377" s="177">
        <f>CHOOSE(Basis!$E$1,((AJ1377*(J1377*3600/Basis!$E$5)^AK1377*(((MID(C1377,9,3)*10)-244)/1000)*AL1377+AM1377*(J1377*3600/Basis!$E$5)^2)*0.0098)/Basis!$E$10,((AJ1377*(J1377/Basis!$E$5)^AK1377*(((MID(C1377,9,3)*10)-244)/1000)*AL1377+AM1377*(J1377/Basis!$E$5)^2)*0.0098)/Basis!$E$10)</f>
        <v>4.2206045858129045E-3</v>
      </c>
      <c r="M1377" s="85"/>
      <c r="N1377" s="110">
        <v>1.3620000000000001</v>
      </c>
      <c r="O1377" s="74"/>
      <c r="P1377" s="73">
        <v>759</v>
      </c>
      <c r="Q1377" s="74"/>
      <c r="R1377" s="75"/>
      <c r="S1377" s="75"/>
      <c r="T1377" s="75"/>
      <c r="U1377" s="75"/>
      <c r="V1377" s="75"/>
      <c r="W1377" s="74"/>
      <c r="X1377" s="76"/>
      <c r="Y1377" s="76"/>
      <c r="Z1377" s="76"/>
      <c r="AA1377" s="76"/>
      <c r="AB1377" s="76"/>
      <c r="AC1377" s="74"/>
      <c r="AD1377" s="77"/>
      <c r="AE1377" s="77"/>
      <c r="AF1377" s="77"/>
      <c r="AG1377" s="77"/>
      <c r="AH1377" s="77"/>
      <c r="AI1377" s="68"/>
      <c r="AJ1377" s="213">
        <v>3.9689999999999994E-4</v>
      </c>
      <c r="AK1377" s="213">
        <v>1.7345999999999999</v>
      </c>
      <c r="AL1377" s="213">
        <v>2</v>
      </c>
      <c r="AM1377" s="213">
        <v>3.6734700000000002E-4</v>
      </c>
      <c r="AN1377" s="74"/>
      <c r="AO1377" s="73"/>
      <c r="AP1377" s="73"/>
      <c r="AQ1377" s="73"/>
      <c r="AR1377" s="73"/>
      <c r="AS1377" s="73"/>
      <c r="AT1377" s="74"/>
      <c r="AU1377" s="47"/>
      <c r="AV1377" s="48"/>
    </row>
    <row r="1378" spans="1:48" ht="12.75" customHeight="1" x14ac:dyDescent="0.25">
      <c r="A1378" s="72" t="s">
        <v>119</v>
      </c>
      <c r="B1378" s="43" t="s">
        <v>1154</v>
      </c>
      <c r="C1378" s="44" t="s">
        <v>1533</v>
      </c>
      <c r="D1378" s="45">
        <f>MROUND(MID($C1378,6,3)/Basis!$E$3,0.5)</f>
        <v>7.5</v>
      </c>
      <c r="E1378" s="45">
        <f>MROUND(MID($C1378,9,3)/Basis!$E$3,0.5)</f>
        <v>75</v>
      </c>
      <c r="F1378" s="199" t="s">
        <v>2950</v>
      </c>
      <c r="G1378" s="45">
        <f>ROUND(MID($C1378,12,2)/Basis!$E$3,1)</f>
        <v>13.4</v>
      </c>
      <c r="H1378" s="120">
        <f>ROUND($P1378*Basis!$E$2*((TaH-TrH)/LN(1/µ)/Basis!$E$7)^$N1378*$AA$4*Glycol,0)</f>
        <v>2235</v>
      </c>
      <c r="I1378" s="83">
        <f>ROUND(H1378/(MID($C1378,9,3)/Basis!$E$3/Basis!$E$9)*Basis!$E$11,0)</f>
        <v>359</v>
      </c>
      <c r="J1378" s="123">
        <f>IF(Basis!$E$1=1,ROUND(H1378/((TaH-TrH)*1.163)/3600,3),ROUND(H1378/(500*(TaH-TrH)),2))</f>
        <v>0.22</v>
      </c>
      <c r="K1378" s="84"/>
      <c r="L1378" s="177">
        <f>CHOOSE(Basis!$E$1,((AJ1378*(J1378*3600/Basis!$E$5)^AK1378*(((MID(C1378,9,3)*10)-244)/1000)*AL1378+AM1378*(J1378*3600/Basis!$E$5)^2)*0.0098)/Basis!$E$10,((AJ1378*(J1378/Basis!$E$5)^AK1378*(((MID(C1378,9,3)*10)-244)/1000)*AL1378+AM1378*(J1378/Basis!$E$5)^2)*0.0098)/Basis!$E$10)</f>
        <v>5.6837030195830522E-3</v>
      </c>
      <c r="M1378" s="85"/>
      <c r="N1378" s="109">
        <v>1.3620000000000001</v>
      </c>
      <c r="O1378" s="68"/>
      <c r="P1378" s="67">
        <v>1027</v>
      </c>
      <c r="Q1378" s="68"/>
      <c r="R1378" s="69"/>
      <c r="S1378" s="69"/>
      <c r="T1378" s="69"/>
      <c r="U1378" s="69"/>
      <c r="V1378" s="69"/>
      <c r="W1378" s="68"/>
      <c r="X1378" s="70"/>
      <c r="Y1378" s="70"/>
      <c r="Z1378" s="70"/>
      <c r="AA1378" s="70"/>
      <c r="AB1378" s="70"/>
      <c r="AC1378" s="68"/>
      <c r="AD1378" s="71"/>
      <c r="AE1378" s="71"/>
      <c r="AF1378" s="71"/>
      <c r="AG1378" s="71"/>
      <c r="AH1378" s="71"/>
      <c r="AI1378" s="68"/>
      <c r="AJ1378" s="214">
        <v>2.0829999999999999E-4</v>
      </c>
      <c r="AK1378" s="214">
        <v>1.724</v>
      </c>
      <c r="AL1378" s="214">
        <v>2</v>
      </c>
      <c r="AM1378" s="214">
        <v>4.6182900000000003E-4</v>
      </c>
      <c r="AN1378" s="68"/>
      <c r="AO1378" s="67"/>
      <c r="AP1378" s="67"/>
      <c r="AQ1378" s="67"/>
      <c r="AR1378" s="67"/>
      <c r="AS1378" s="67"/>
      <c r="AT1378" s="68"/>
      <c r="AU1378" s="49"/>
      <c r="AV1378" s="50"/>
    </row>
    <row r="1379" spans="1:48" ht="12.75" customHeight="1" x14ac:dyDescent="0.25">
      <c r="A1379" s="72" t="s">
        <v>119</v>
      </c>
      <c r="B1379" s="43" t="s">
        <v>1154</v>
      </c>
      <c r="C1379" s="44" t="s">
        <v>1534</v>
      </c>
      <c r="D1379" s="45">
        <f>MROUND(MID($C1379,6,3)/Basis!$E$3,0.5)</f>
        <v>7.5</v>
      </c>
      <c r="E1379" s="45">
        <f>MROUND(MID($C1379,9,3)/Basis!$E$3,0.5)</f>
        <v>75</v>
      </c>
      <c r="F1379" s="199" t="s">
        <v>2950</v>
      </c>
      <c r="G1379" s="45">
        <f>ROUND(MID($C1379,12,2)/Basis!$E$3,1)</f>
        <v>16.5</v>
      </c>
      <c r="H1379" s="120">
        <f>ROUND($P1379*Basis!$E$2*((TaH-TrH)/LN(1/µ)/Basis!$E$7)^$N1379*$AA$4*Glycol,0)</f>
        <v>3071</v>
      </c>
      <c r="I1379" s="83">
        <f>ROUND(H1379/(MID($C1379,9,3)/Basis!$E$3/Basis!$E$9)*Basis!$E$11,0)</f>
        <v>493</v>
      </c>
      <c r="J1379" s="123">
        <f>IF(Basis!$E$1=1,ROUND(H1379/((TaH-TrH)*1.163)/3600,3),ROUND(H1379/(500*(TaH-TrH)),2))</f>
        <v>0.31</v>
      </c>
      <c r="K1379" s="84"/>
      <c r="L1379" s="177">
        <f>CHOOSE(Basis!$E$1,((AJ1379*(J1379*3600/Basis!$E$5)^AK1379*(((MID(C1379,9,3)*10)-244)/1000)*AL1379+AM1379*(J1379*3600/Basis!$E$5)^2)*0.0098)/Basis!$E$10,((AJ1379*(J1379/Basis!$E$5)^AK1379*(((MID(C1379,9,3)*10)-244)/1000)*AL1379+AM1379*(J1379/Basis!$E$5)^2)*0.0098)/Basis!$E$10)</f>
        <v>8.2029253678771279E-3</v>
      </c>
      <c r="M1379" s="85"/>
      <c r="N1379" s="110">
        <v>1.3620000000000001</v>
      </c>
      <c r="O1379" s="74"/>
      <c r="P1379" s="73">
        <v>1411</v>
      </c>
      <c r="Q1379" s="74"/>
      <c r="R1379" s="75"/>
      <c r="S1379" s="75"/>
      <c r="T1379" s="75"/>
      <c r="U1379" s="75"/>
      <c r="V1379" s="75"/>
      <c r="W1379" s="74"/>
      <c r="X1379" s="76"/>
      <c r="Y1379" s="76"/>
      <c r="Z1379" s="76"/>
      <c r="AA1379" s="76"/>
      <c r="AB1379" s="76"/>
      <c r="AC1379" s="74"/>
      <c r="AD1379" s="77"/>
      <c r="AE1379" s="77"/>
      <c r="AF1379" s="77"/>
      <c r="AG1379" s="77"/>
      <c r="AH1379" s="77"/>
      <c r="AI1379" s="68"/>
      <c r="AJ1379" s="214">
        <v>1.2760000000000001E-4</v>
      </c>
      <c r="AK1379" s="214">
        <v>1.7219</v>
      </c>
      <c r="AL1379" s="214">
        <v>2</v>
      </c>
      <c r="AM1379" s="214">
        <v>3.76611E-4</v>
      </c>
      <c r="AN1379" s="74"/>
      <c r="AO1379" s="73"/>
      <c r="AP1379" s="73"/>
      <c r="AQ1379" s="73"/>
      <c r="AR1379" s="73"/>
      <c r="AS1379" s="73"/>
      <c r="AT1379" s="74"/>
      <c r="AU1379" s="47"/>
      <c r="AV1379" s="48"/>
    </row>
    <row r="1380" spans="1:48" ht="12.75" customHeight="1" x14ac:dyDescent="0.25">
      <c r="A1380" s="72" t="s">
        <v>119</v>
      </c>
      <c r="B1380" s="43" t="s">
        <v>1154</v>
      </c>
      <c r="C1380" s="44" t="s">
        <v>1535</v>
      </c>
      <c r="D1380" s="45">
        <f>MROUND(MID($C1380,6,3)/Basis!$E$3,0.5)</f>
        <v>7.5</v>
      </c>
      <c r="E1380" s="45">
        <f>MROUND(MID($C1380,9,3)/Basis!$E$3,0.5)</f>
        <v>82.5</v>
      </c>
      <c r="F1380" s="199" t="s">
        <v>2950</v>
      </c>
      <c r="G1380" s="45">
        <f>ROUND(MID($C1380,12,2)/Basis!$E$3,1)</f>
        <v>10.199999999999999</v>
      </c>
      <c r="H1380" s="120">
        <f>ROUND($P1380*Basis!$E$2*((TaH-TrH)/LN(1/µ)/Basis!$E$7)^$N1380*$AA$4*Glycol,0)</f>
        <v>1861</v>
      </c>
      <c r="I1380" s="83">
        <f>ROUND(H1380/(MID($C1380,9,3)/Basis!$E$3/Basis!$E$9)*Basis!$E$11,0)</f>
        <v>270</v>
      </c>
      <c r="J1380" s="123">
        <f>IF(Basis!$E$1=1,ROUND(H1380/((TaH-TrH)*1.163)/3600,3),ROUND(H1380/(500*(TaH-TrH)),2))</f>
        <v>0.19</v>
      </c>
      <c r="K1380" s="84"/>
      <c r="L1380" s="177">
        <f>CHOOSE(Basis!$E$1,((AJ1380*(J1380*3600/Basis!$E$5)^AK1380*(((MID(C1380,9,3)*10)-244)/1000)*AL1380+AM1380*(J1380*3600/Basis!$E$5)^2)*0.0098)/Basis!$E$10,((AJ1380*(J1380/Basis!$E$5)^AK1380*(((MID(C1380,9,3)*10)-244)/1000)*AL1380+AM1380*(J1380/Basis!$E$5)^2)*0.0098)/Basis!$E$10)</f>
        <v>5.5397363051449006E-3</v>
      </c>
      <c r="M1380" s="85"/>
      <c r="N1380" s="109">
        <v>1.3620000000000001</v>
      </c>
      <c r="O1380" s="68"/>
      <c r="P1380" s="67">
        <v>855</v>
      </c>
      <c r="Q1380" s="68"/>
      <c r="R1380" s="69"/>
      <c r="S1380" s="69"/>
      <c r="T1380" s="69"/>
      <c r="U1380" s="69"/>
      <c r="V1380" s="69"/>
      <c r="W1380" s="68"/>
      <c r="X1380" s="70"/>
      <c r="Y1380" s="70"/>
      <c r="Z1380" s="70"/>
      <c r="AA1380" s="70"/>
      <c r="AB1380" s="70"/>
      <c r="AC1380" s="68"/>
      <c r="AD1380" s="71"/>
      <c r="AE1380" s="71"/>
      <c r="AF1380" s="71"/>
      <c r="AG1380" s="71"/>
      <c r="AH1380" s="71"/>
      <c r="AI1380" s="68"/>
      <c r="AJ1380" s="213">
        <v>3.9689999999999994E-4</v>
      </c>
      <c r="AK1380" s="213">
        <v>1.7345999999999999</v>
      </c>
      <c r="AL1380" s="213">
        <v>2</v>
      </c>
      <c r="AM1380" s="213">
        <v>3.6734700000000002E-4</v>
      </c>
      <c r="AN1380" s="68"/>
      <c r="AO1380" s="67"/>
      <c r="AP1380" s="67"/>
      <c r="AQ1380" s="67"/>
      <c r="AR1380" s="67"/>
      <c r="AS1380" s="67"/>
      <c r="AT1380" s="68"/>
      <c r="AU1380" s="49"/>
      <c r="AV1380" s="50"/>
    </row>
    <row r="1381" spans="1:48" ht="12.75" customHeight="1" x14ac:dyDescent="0.25">
      <c r="A1381" s="72" t="s">
        <v>119</v>
      </c>
      <c r="B1381" s="43" t="s">
        <v>1154</v>
      </c>
      <c r="C1381" s="44" t="s">
        <v>1536</v>
      </c>
      <c r="D1381" s="45">
        <f>MROUND(MID($C1381,6,3)/Basis!$E$3,0.5)</f>
        <v>7.5</v>
      </c>
      <c r="E1381" s="45">
        <f>MROUND(MID($C1381,9,3)/Basis!$E$3,0.5)</f>
        <v>82.5</v>
      </c>
      <c r="F1381" s="199" t="s">
        <v>2950</v>
      </c>
      <c r="G1381" s="45">
        <f>ROUND(MID($C1381,12,2)/Basis!$E$3,1)</f>
        <v>13.4</v>
      </c>
      <c r="H1381" s="120">
        <f>ROUND($P1381*Basis!$E$2*((TaH-TrH)/LN(1/µ)/Basis!$E$7)^$N1381*$AA$4*Glycol,0)</f>
        <v>2516</v>
      </c>
      <c r="I1381" s="83">
        <f>ROUND(H1381/(MID($C1381,9,3)/Basis!$E$3/Basis!$E$9)*Basis!$E$11,0)</f>
        <v>365</v>
      </c>
      <c r="J1381" s="123">
        <f>IF(Basis!$E$1=1,ROUND(H1381/((TaH-TrH)*1.163)/3600,3),ROUND(H1381/(500*(TaH-TrH)),2))</f>
        <v>0.25</v>
      </c>
      <c r="K1381" s="84"/>
      <c r="L1381" s="177">
        <f>CHOOSE(Basis!$E$1,((AJ1381*(J1381*3600/Basis!$E$5)^AK1381*(((MID(C1381,9,3)*10)-244)/1000)*AL1381+AM1381*(J1381*3600/Basis!$E$5)^2)*0.0098)/Basis!$E$10,((AJ1381*(J1381/Basis!$E$5)^AK1381*(((MID(C1381,9,3)*10)-244)/1000)*AL1381+AM1381*(J1381/Basis!$E$5)^2)*0.0098)/Basis!$E$10)</f>
        <v>7.5419107715242427E-3</v>
      </c>
      <c r="M1381" s="85"/>
      <c r="N1381" s="110">
        <v>1.3620000000000001</v>
      </c>
      <c r="O1381" s="74"/>
      <c r="P1381" s="73">
        <v>1156</v>
      </c>
      <c r="Q1381" s="74"/>
      <c r="R1381" s="75"/>
      <c r="S1381" s="75"/>
      <c r="T1381" s="75"/>
      <c r="U1381" s="75"/>
      <c r="V1381" s="75"/>
      <c r="W1381" s="74"/>
      <c r="X1381" s="76"/>
      <c r="Y1381" s="76"/>
      <c r="Z1381" s="76"/>
      <c r="AA1381" s="76"/>
      <c r="AB1381" s="76"/>
      <c r="AC1381" s="74"/>
      <c r="AD1381" s="77"/>
      <c r="AE1381" s="77"/>
      <c r="AF1381" s="77"/>
      <c r="AG1381" s="77"/>
      <c r="AH1381" s="77"/>
      <c r="AI1381" s="68"/>
      <c r="AJ1381" s="214">
        <v>2.0829999999999999E-4</v>
      </c>
      <c r="AK1381" s="214">
        <v>1.724</v>
      </c>
      <c r="AL1381" s="214">
        <v>2</v>
      </c>
      <c r="AM1381" s="214">
        <v>4.6182900000000003E-4</v>
      </c>
      <c r="AN1381" s="74"/>
      <c r="AO1381" s="73"/>
      <c r="AP1381" s="73"/>
      <c r="AQ1381" s="73"/>
      <c r="AR1381" s="73"/>
      <c r="AS1381" s="73"/>
      <c r="AT1381" s="74"/>
      <c r="AU1381" s="47"/>
      <c r="AV1381" s="48"/>
    </row>
    <row r="1382" spans="1:48" ht="12.75" customHeight="1" x14ac:dyDescent="0.25">
      <c r="A1382" s="72" t="s">
        <v>119</v>
      </c>
      <c r="B1382" s="43" t="s">
        <v>1154</v>
      </c>
      <c r="C1382" s="44" t="s">
        <v>1537</v>
      </c>
      <c r="D1382" s="45">
        <f>MROUND(MID($C1382,6,3)/Basis!$E$3,0.5)</f>
        <v>7.5</v>
      </c>
      <c r="E1382" s="45">
        <f>MROUND(MID($C1382,9,3)/Basis!$E$3,0.5)</f>
        <v>82.5</v>
      </c>
      <c r="F1382" s="199" t="s">
        <v>2950</v>
      </c>
      <c r="G1382" s="45">
        <f>ROUND(MID($C1382,12,2)/Basis!$E$3,1)</f>
        <v>16.5</v>
      </c>
      <c r="H1382" s="120">
        <f>ROUND($P1382*Basis!$E$2*((TaH-TrH)/LN(1/µ)/Basis!$E$7)^$N1382*$AA$4*Glycol,0)</f>
        <v>3457</v>
      </c>
      <c r="I1382" s="83">
        <f>ROUND(H1382/(MID($C1382,9,3)/Basis!$E$3/Basis!$E$9)*Basis!$E$11,0)</f>
        <v>502</v>
      </c>
      <c r="J1382" s="123">
        <f>IF(Basis!$E$1=1,ROUND(H1382/((TaH-TrH)*1.163)/3600,3),ROUND(H1382/(500*(TaH-TrH)),2))</f>
        <v>0.35</v>
      </c>
      <c r="K1382" s="84"/>
      <c r="L1382" s="177">
        <f>CHOOSE(Basis!$E$1,((AJ1382*(J1382*3600/Basis!$E$5)^AK1382*(((MID(C1382,9,3)*10)-244)/1000)*AL1382+AM1382*(J1382*3600/Basis!$E$5)^2)*0.0098)/Basis!$E$10,((AJ1382*(J1382/Basis!$E$5)^AK1382*(((MID(C1382,9,3)*10)-244)/1000)*AL1382+AM1382*(J1382/Basis!$E$5)^2)*0.0098)/Basis!$E$10)</f>
        <v>1.0679937071618833E-2</v>
      </c>
      <c r="M1382" s="85"/>
      <c r="N1382" s="109">
        <v>1.3620000000000001</v>
      </c>
      <c r="O1382" s="68"/>
      <c r="P1382" s="67">
        <v>1588</v>
      </c>
      <c r="Q1382" s="68"/>
      <c r="R1382" s="69"/>
      <c r="S1382" s="69"/>
      <c r="T1382" s="69"/>
      <c r="U1382" s="69"/>
      <c r="V1382" s="69"/>
      <c r="W1382" s="68"/>
      <c r="X1382" s="70"/>
      <c r="Y1382" s="70"/>
      <c r="Z1382" s="70"/>
      <c r="AA1382" s="70"/>
      <c r="AB1382" s="70"/>
      <c r="AC1382" s="68"/>
      <c r="AD1382" s="71"/>
      <c r="AE1382" s="71"/>
      <c r="AF1382" s="71"/>
      <c r="AG1382" s="71"/>
      <c r="AH1382" s="71"/>
      <c r="AI1382" s="68"/>
      <c r="AJ1382" s="214">
        <v>1.2760000000000001E-4</v>
      </c>
      <c r="AK1382" s="214">
        <v>1.7219</v>
      </c>
      <c r="AL1382" s="214">
        <v>2</v>
      </c>
      <c r="AM1382" s="214">
        <v>3.76611E-4</v>
      </c>
      <c r="AN1382" s="68"/>
      <c r="AO1382" s="67"/>
      <c r="AP1382" s="67"/>
      <c r="AQ1382" s="67"/>
      <c r="AR1382" s="67"/>
      <c r="AS1382" s="67"/>
      <c r="AT1382" s="68"/>
      <c r="AU1382" s="49"/>
      <c r="AV1382" s="50"/>
    </row>
    <row r="1383" spans="1:48" ht="12.75" customHeight="1" x14ac:dyDescent="0.25">
      <c r="A1383" s="72" t="s">
        <v>119</v>
      </c>
      <c r="B1383" s="43" t="s">
        <v>1154</v>
      </c>
      <c r="C1383" s="44" t="s">
        <v>1538</v>
      </c>
      <c r="D1383" s="45">
        <f>MROUND(MID($C1383,6,3)/Basis!$E$3,0.5)</f>
        <v>7.5</v>
      </c>
      <c r="E1383" s="45">
        <f>MROUND(MID($C1383,9,3)/Basis!$E$3,0.5)</f>
        <v>90.5</v>
      </c>
      <c r="F1383" s="199" t="s">
        <v>2950</v>
      </c>
      <c r="G1383" s="45">
        <f>ROUND(MID($C1383,12,2)/Basis!$E$3,1)</f>
        <v>10.199999999999999</v>
      </c>
      <c r="H1383" s="120">
        <f>ROUND($P1383*Basis!$E$2*((TaH-TrH)/LN(1/µ)/Basis!$E$7)^$N1383*$AA$4*Glycol,0)</f>
        <v>2066</v>
      </c>
      <c r="I1383" s="83">
        <f>ROUND(H1383/(MID($C1383,9,3)/Basis!$E$3/Basis!$E$9)*Basis!$E$11,0)</f>
        <v>274</v>
      </c>
      <c r="J1383" s="123">
        <f>IF(Basis!$E$1=1,ROUND(H1383/((TaH-TrH)*1.163)/3600,3),ROUND(H1383/(500*(TaH-TrH)),2))</f>
        <v>0.21</v>
      </c>
      <c r="K1383" s="84"/>
      <c r="L1383" s="177">
        <f>CHOOSE(Basis!$E$1,((AJ1383*(J1383*3600/Basis!$E$5)^AK1383*(((MID(C1383,9,3)*10)-244)/1000)*AL1383+AM1383*(J1383*3600/Basis!$E$5)^2)*0.0098)/Basis!$E$10,((AJ1383*(J1383/Basis!$E$5)^AK1383*(((MID(C1383,9,3)*10)-244)/1000)*AL1383+AM1383*(J1383/Basis!$E$5)^2)*0.0098)/Basis!$E$10)</f>
        <v>7.0850140185936611E-3</v>
      </c>
      <c r="M1383" s="85"/>
      <c r="N1383" s="110">
        <v>1.3620000000000001</v>
      </c>
      <c r="O1383" s="74"/>
      <c r="P1383" s="73">
        <v>949</v>
      </c>
      <c r="Q1383" s="74"/>
      <c r="R1383" s="75"/>
      <c r="S1383" s="75"/>
      <c r="T1383" s="75"/>
      <c r="U1383" s="75"/>
      <c r="V1383" s="75"/>
      <c r="W1383" s="74"/>
      <c r="X1383" s="76"/>
      <c r="Y1383" s="76"/>
      <c r="Z1383" s="76"/>
      <c r="AA1383" s="76"/>
      <c r="AB1383" s="76"/>
      <c r="AC1383" s="74"/>
      <c r="AD1383" s="77"/>
      <c r="AE1383" s="77"/>
      <c r="AF1383" s="77"/>
      <c r="AG1383" s="77"/>
      <c r="AH1383" s="77"/>
      <c r="AI1383" s="68"/>
      <c r="AJ1383" s="213">
        <v>3.9689999999999994E-4</v>
      </c>
      <c r="AK1383" s="213">
        <v>1.7345999999999999</v>
      </c>
      <c r="AL1383" s="213">
        <v>2</v>
      </c>
      <c r="AM1383" s="213">
        <v>3.6734700000000002E-4</v>
      </c>
      <c r="AN1383" s="74"/>
      <c r="AO1383" s="73"/>
      <c r="AP1383" s="73"/>
      <c r="AQ1383" s="73"/>
      <c r="AR1383" s="73"/>
      <c r="AS1383" s="73"/>
      <c r="AT1383" s="74"/>
      <c r="AU1383" s="47"/>
      <c r="AV1383" s="48"/>
    </row>
    <row r="1384" spans="1:48" ht="12.75" customHeight="1" x14ac:dyDescent="0.25">
      <c r="A1384" s="72" t="s">
        <v>119</v>
      </c>
      <c r="B1384" s="43" t="s">
        <v>1154</v>
      </c>
      <c r="C1384" s="44" t="s">
        <v>1539</v>
      </c>
      <c r="D1384" s="45">
        <f>MROUND(MID($C1384,6,3)/Basis!$E$3,0.5)</f>
        <v>7.5</v>
      </c>
      <c r="E1384" s="45">
        <f>MROUND(MID($C1384,9,3)/Basis!$E$3,0.5)</f>
        <v>90.5</v>
      </c>
      <c r="F1384" s="199" t="s">
        <v>2950</v>
      </c>
      <c r="G1384" s="45">
        <f>ROUND(MID($C1384,12,2)/Basis!$E$3,1)</f>
        <v>13.4</v>
      </c>
      <c r="H1384" s="120">
        <f>ROUND($P1384*Basis!$E$2*((TaH-TrH)/LN(1/µ)/Basis!$E$7)^$N1384*$AA$4*Glycol,0)</f>
        <v>2795</v>
      </c>
      <c r="I1384" s="83">
        <f>ROUND(H1384/(MID($C1384,9,3)/Basis!$E$3/Basis!$E$9)*Basis!$E$11,0)</f>
        <v>370</v>
      </c>
      <c r="J1384" s="123">
        <f>IF(Basis!$E$1=1,ROUND(H1384/((TaH-TrH)*1.163)/3600,3),ROUND(H1384/(500*(TaH-TrH)),2))</f>
        <v>0.28000000000000003</v>
      </c>
      <c r="K1384" s="84"/>
      <c r="L1384" s="177">
        <f>CHOOSE(Basis!$E$1,((AJ1384*(J1384*3600/Basis!$E$5)^AK1384*(((MID(C1384,9,3)*10)-244)/1000)*AL1384+AM1384*(J1384*3600/Basis!$E$5)^2)*0.0098)/Basis!$E$10,((AJ1384*(J1384/Basis!$E$5)^AK1384*(((MID(C1384,9,3)*10)-244)/1000)*AL1384+AM1384*(J1384/Basis!$E$5)^2)*0.0098)/Basis!$E$10)</f>
        <v>9.7075413264271614E-3</v>
      </c>
      <c r="M1384" s="85"/>
      <c r="N1384" s="109">
        <v>1.3620000000000001</v>
      </c>
      <c r="O1384" s="68"/>
      <c r="P1384" s="67">
        <v>1284</v>
      </c>
      <c r="Q1384" s="68"/>
      <c r="R1384" s="69"/>
      <c r="S1384" s="69"/>
      <c r="T1384" s="69"/>
      <c r="U1384" s="69"/>
      <c r="V1384" s="69"/>
      <c r="W1384" s="68"/>
      <c r="X1384" s="70"/>
      <c r="Y1384" s="70"/>
      <c r="Z1384" s="70"/>
      <c r="AA1384" s="70"/>
      <c r="AB1384" s="70"/>
      <c r="AC1384" s="68"/>
      <c r="AD1384" s="71"/>
      <c r="AE1384" s="71"/>
      <c r="AF1384" s="71"/>
      <c r="AG1384" s="71"/>
      <c r="AH1384" s="71"/>
      <c r="AI1384" s="68"/>
      <c r="AJ1384" s="214">
        <v>2.0829999999999999E-4</v>
      </c>
      <c r="AK1384" s="214">
        <v>1.724</v>
      </c>
      <c r="AL1384" s="214">
        <v>2</v>
      </c>
      <c r="AM1384" s="214">
        <v>4.6182900000000003E-4</v>
      </c>
      <c r="AN1384" s="68"/>
      <c r="AO1384" s="67"/>
      <c r="AP1384" s="67"/>
      <c r="AQ1384" s="67"/>
      <c r="AR1384" s="67"/>
      <c r="AS1384" s="67"/>
      <c r="AT1384" s="68"/>
      <c r="AU1384" s="49"/>
      <c r="AV1384" s="50"/>
    </row>
    <row r="1385" spans="1:48" ht="12.75" customHeight="1" x14ac:dyDescent="0.25">
      <c r="A1385" s="72" t="s">
        <v>119</v>
      </c>
      <c r="B1385" s="43" t="s">
        <v>1154</v>
      </c>
      <c r="C1385" s="44" t="s">
        <v>1540</v>
      </c>
      <c r="D1385" s="45">
        <f>MROUND(MID($C1385,6,3)/Basis!$E$3,0.5)</f>
        <v>7.5</v>
      </c>
      <c r="E1385" s="45">
        <f>MROUND(MID($C1385,9,3)/Basis!$E$3,0.5)</f>
        <v>90.5</v>
      </c>
      <c r="F1385" s="199" t="s">
        <v>2950</v>
      </c>
      <c r="G1385" s="45">
        <f>ROUND(MID($C1385,12,2)/Basis!$E$3,1)</f>
        <v>16.5</v>
      </c>
      <c r="H1385" s="120">
        <f>ROUND($P1385*Basis!$E$2*((TaH-TrH)/LN(1/µ)/Basis!$E$7)^$N1385*$AA$4*Glycol,0)</f>
        <v>3840</v>
      </c>
      <c r="I1385" s="83">
        <f>ROUND(H1385/(MID($C1385,9,3)/Basis!$E$3/Basis!$E$9)*Basis!$E$11,0)</f>
        <v>509</v>
      </c>
      <c r="J1385" s="123">
        <f>IF(Basis!$E$1=1,ROUND(H1385/((TaH-TrH)*1.163)/3600,3),ROUND(H1385/(500*(TaH-TrH)),2))</f>
        <v>0.38</v>
      </c>
      <c r="K1385" s="84"/>
      <c r="L1385" s="177">
        <f>CHOOSE(Basis!$E$1,((AJ1385*(J1385*3600/Basis!$E$5)^AK1385*(((MID(C1385,9,3)*10)-244)/1000)*AL1385+AM1385*(J1385*3600/Basis!$E$5)^2)*0.0098)/Basis!$E$10,((AJ1385*(J1385/Basis!$E$5)^AK1385*(((MID(C1385,9,3)*10)-244)/1000)*AL1385+AM1385*(J1385/Basis!$E$5)^2)*0.0098)/Basis!$E$10)</f>
        <v>1.2871833517389278E-2</v>
      </c>
      <c r="M1385" s="85"/>
      <c r="N1385" s="110">
        <v>1.3620000000000001</v>
      </c>
      <c r="O1385" s="74"/>
      <c r="P1385" s="73">
        <v>1764</v>
      </c>
      <c r="Q1385" s="74"/>
      <c r="R1385" s="75"/>
      <c r="S1385" s="75"/>
      <c r="T1385" s="75"/>
      <c r="U1385" s="75"/>
      <c r="V1385" s="75"/>
      <c r="W1385" s="74"/>
      <c r="X1385" s="76"/>
      <c r="Y1385" s="76"/>
      <c r="Z1385" s="76"/>
      <c r="AA1385" s="76"/>
      <c r="AB1385" s="76"/>
      <c r="AC1385" s="74"/>
      <c r="AD1385" s="77"/>
      <c r="AE1385" s="77"/>
      <c r="AF1385" s="77"/>
      <c r="AG1385" s="77"/>
      <c r="AH1385" s="77"/>
      <c r="AI1385" s="68"/>
      <c r="AJ1385" s="214">
        <v>1.2760000000000001E-4</v>
      </c>
      <c r="AK1385" s="214">
        <v>1.7219</v>
      </c>
      <c r="AL1385" s="214">
        <v>2</v>
      </c>
      <c r="AM1385" s="214">
        <v>3.76611E-4</v>
      </c>
      <c r="AN1385" s="74"/>
      <c r="AO1385" s="73"/>
      <c r="AP1385" s="73"/>
      <c r="AQ1385" s="73"/>
      <c r="AR1385" s="73"/>
      <c r="AS1385" s="73"/>
      <c r="AT1385" s="74"/>
      <c r="AU1385" s="47"/>
      <c r="AV1385" s="48"/>
    </row>
    <row r="1386" spans="1:48" ht="12.75" customHeight="1" x14ac:dyDescent="0.25">
      <c r="A1386" s="72" t="s">
        <v>119</v>
      </c>
      <c r="B1386" s="43" t="s">
        <v>1154</v>
      </c>
      <c r="C1386" s="44" t="s">
        <v>1541</v>
      </c>
      <c r="D1386" s="45">
        <f>MROUND(MID($C1386,6,3)/Basis!$E$3,0.5)</f>
        <v>7.5</v>
      </c>
      <c r="E1386" s="45">
        <f>MROUND(MID($C1386,9,3)/Basis!$E$3,0.5)</f>
        <v>98.5</v>
      </c>
      <c r="F1386" s="199" t="s">
        <v>2950</v>
      </c>
      <c r="G1386" s="45">
        <f>ROUND(MID($C1386,12,2)/Basis!$E$3,1)</f>
        <v>10.199999999999999</v>
      </c>
      <c r="H1386" s="120">
        <f>ROUND($P1386*Basis!$E$2*((TaH-TrH)/LN(1/µ)/Basis!$E$7)^$N1386*$AA$4*Glycol,0)</f>
        <v>2272</v>
      </c>
      <c r="I1386" s="83">
        <f>ROUND(H1386/(MID($C1386,9,3)/Basis!$E$3/Basis!$E$9)*Basis!$E$11,0)</f>
        <v>277</v>
      </c>
      <c r="J1386" s="123">
        <f>IF(Basis!$E$1=1,ROUND(H1386/((TaH-TrH)*1.163)/3600,3),ROUND(H1386/(500*(TaH-TrH)),2))</f>
        <v>0.23</v>
      </c>
      <c r="K1386" s="84"/>
      <c r="L1386" s="177">
        <f>CHOOSE(Basis!$E$1,((AJ1386*(J1386*3600/Basis!$E$5)^AK1386*(((MID(C1386,9,3)*10)-244)/1000)*AL1386+AM1386*(J1386*3600/Basis!$E$5)^2)*0.0098)/Basis!$E$10,((AJ1386*(J1386/Basis!$E$5)^AK1386*(((MID(C1386,9,3)*10)-244)/1000)*AL1386+AM1386*(J1386/Basis!$E$5)^2)*0.0098)/Basis!$E$10)</f>
        <v>8.8700287731915788E-3</v>
      </c>
      <c r="M1386" s="85"/>
      <c r="N1386" s="109">
        <v>1.3620000000000001</v>
      </c>
      <c r="O1386" s="68"/>
      <c r="P1386" s="67">
        <v>1044</v>
      </c>
      <c r="Q1386" s="68"/>
      <c r="R1386" s="69"/>
      <c r="S1386" s="69"/>
      <c r="T1386" s="69"/>
      <c r="U1386" s="69"/>
      <c r="V1386" s="69"/>
      <c r="W1386" s="68"/>
      <c r="X1386" s="70"/>
      <c r="Y1386" s="70"/>
      <c r="Z1386" s="70"/>
      <c r="AA1386" s="70"/>
      <c r="AB1386" s="70"/>
      <c r="AC1386" s="68"/>
      <c r="AD1386" s="71"/>
      <c r="AE1386" s="71"/>
      <c r="AF1386" s="71"/>
      <c r="AG1386" s="71"/>
      <c r="AH1386" s="71"/>
      <c r="AI1386" s="68"/>
      <c r="AJ1386" s="213">
        <v>3.9689999999999994E-4</v>
      </c>
      <c r="AK1386" s="213">
        <v>1.7345999999999999</v>
      </c>
      <c r="AL1386" s="213">
        <v>2</v>
      </c>
      <c r="AM1386" s="213">
        <v>3.6734700000000002E-4</v>
      </c>
      <c r="AN1386" s="68"/>
      <c r="AO1386" s="67"/>
      <c r="AP1386" s="67"/>
      <c r="AQ1386" s="67"/>
      <c r="AR1386" s="67"/>
      <c r="AS1386" s="67"/>
      <c r="AT1386" s="68"/>
      <c r="AU1386" s="49"/>
      <c r="AV1386" s="50"/>
    </row>
    <row r="1387" spans="1:48" ht="12.75" customHeight="1" x14ac:dyDescent="0.25">
      <c r="A1387" s="72" t="s">
        <v>119</v>
      </c>
      <c r="B1387" s="43" t="s">
        <v>1154</v>
      </c>
      <c r="C1387" s="44" t="s">
        <v>1542</v>
      </c>
      <c r="D1387" s="45">
        <f>MROUND(MID($C1387,6,3)/Basis!$E$3,0.5)</f>
        <v>7.5</v>
      </c>
      <c r="E1387" s="45">
        <f>MROUND(MID($C1387,9,3)/Basis!$E$3,0.5)</f>
        <v>98.5</v>
      </c>
      <c r="F1387" s="199" t="s">
        <v>2950</v>
      </c>
      <c r="G1387" s="45">
        <f>ROUND(MID($C1387,12,2)/Basis!$E$3,1)</f>
        <v>13.4</v>
      </c>
      <c r="H1387" s="120">
        <f>ROUND($P1387*Basis!$E$2*((TaH-TrH)/LN(1/µ)/Basis!$E$7)^$N1387*$AA$4*Glycol,0)</f>
        <v>3076</v>
      </c>
      <c r="I1387" s="83">
        <f>ROUND(H1387/(MID($C1387,9,3)/Basis!$E$3/Basis!$E$9)*Basis!$E$11,0)</f>
        <v>375</v>
      </c>
      <c r="J1387" s="123">
        <f>IF(Basis!$E$1=1,ROUND(H1387/((TaH-TrH)*1.163)/3600,3),ROUND(H1387/(500*(TaH-TrH)),2))</f>
        <v>0.31</v>
      </c>
      <c r="K1387" s="84"/>
      <c r="L1387" s="177">
        <f>CHOOSE(Basis!$E$1,((AJ1387*(J1387*3600/Basis!$E$5)^AK1387*(((MID(C1387,9,3)*10)-244)/1000)*AL1387+AM1387*(J1387*3600/Basis!$E$5)^2)*0.0098)/Basis!$E$10,((AJ1387*(J1387/Basis!$E$5)^AK1387*(((MID(C1387,9,3)*10)-244)/1000)*AL1387+AM1387*(J1387/Basis!$E$5)^2)*0.0098)/Basis!$E$10)</f>
        <v>1.2194330560072492E-2</v>
      </c>
      <c r="M1387" s="85"/>
      <c r="N1387" s="110">
        <v>1.3620000000000001</v>
      </c>
      <c r="O1387" s="74"/>
      <c r="P1387" s="73">
        <v>1413</v>
      </c>
      <c r="Q1387" s="74"/>
      <c r="R1387" s="75"/>
      <c r="S1387" s="75"/>
      <c r="T1387" s="75"/>
      <c r="U1387" s="75"/>
      <c r="V1387" s="75"/>
      <c r="W1387" s="74"/>
      <c r="X1387" s="76"/>
      <c r="Y1387" s="76"/>
      <c r="Z1387" s="76"/>
      <c r="AA1387" s="76"/>
      <c r="AB1387" s="76"/>
      <c r="AC1387" s="74"/>
      <c r="AD1387" s="77"/>
      <c r="AE1387" s="77"/>
      <c r="AF1387" s="77"/>
      <c r="AG1387" s="77"/>
      <c r="AH1387" s="77"/>
      <c r="AI1387" s="68"/>
      <c r="AJ1387" s="214">
        <v>2.0829999999999999E-4</v>
      </c>
      <c r="AK1387" s="214">
        <v>1.724</v>
      </c>
      <c r="AL1387" s="214">
        <v>2</v>
      </c>
      <c r="AM1387" s="214">
        <v>4.6182900000000003E-4</v>
      </c>
      <c r="AN1387" s="74"/>
      <c r="AO1387" s="73"/>
      <c r="AP1387" s="73"/>
      <c r="AQ1387" s="73"/>
      <c r="AR1387" s="73"/>
      <c r="AS1387" s="73"/>
      <c r="AT1387" s="74"/>
      <c r="AU1387" s="47"/>
      <c r="AV1387" s="48"/>
    </row>
    <row r="1388" spans="1:48" ht="12.75" customHeight="1" x14ac:dyDescent="0.25">
      <c r="A1388" s="72" t="s">
        <v>119</v>
      </c>
      <c r="B1388" s="43" t="s">
        <v>1154</v>
      </c>
      <c r="C1388" s="44" t="s">
        <v>1543</v>
      </c>
      <c r="D1388" s="45">
        <f>MROUND(MID($C1388,6,3)/Basis!$E$3,0.5)</f>
        <v>7.5</v>
      </c>
      <c r="E1388" s="45">
        <f>MROUND(MID($C1388,9,3)/Basis!$E$3,0.5)</f>
        <v>98.5</v>
      </c>
      <c r="F1388" s="199" t="s">
        <v>2950</v>
      </c>
      <c r="G1388" s="45">
        <f>ROUND(MID($C1388,12,2)/Basis!$E$3,1)</f>
        <v>16.5</v>
      </c>
      <c r="H1388" s="120">
        <f>ROUND($P1388*Basis!$E$2*((TaH-TrH)/LN(1/µ)/Basis!$E$7)^$N1388*$AA$4*Glycol,0)</f>
        <v>4225</v>
      </c>
      <c r="I1388" s="83">
        <f>ROUND(H1388/(MID($C1388,9,3)/Basis!$E$3/Basis!$E$9)*Basis!$E$11,0)</f>
        <v>515</v>
      </c>
      <c r="J1388" s="123">
        <f>IF(Basis!$E$1=1,ROUND(H1388/((TaH-TrH)*1.163)/3600,3),ROUND(H1388/(500*(TaH-TrH)),2))</f>
        <v>0.42</v>
      </c>
      <c r="K1388" s="84"/>
      <c r="L1388" s="177">
        <f>CHOOSE(Basis!$E$1,((AJ1388*(J1388*3600/Basis!$E$5)^AK1388*(((MID(C1388,9,3)*10)-244)/1000)*AL1388+AM1388*(J1388*3600/Basis!$E$5)^2)*0.0098)/Basis!$E$10,((AJ1388*(J1388/Basis!$E$5)^AK1388*(((MID(C1388,9,3)*10)-244)/1000)*AL1388+AM1388*(J1388/Basis!$E$5)^2)*0.0098)/Basis!$E$10)</f>
        <v>1.6027788990710064E-2</v>
      </c>
      <c r="M1388" s="85"/>
      <c r="N1388" s="109">
        <v>1.3620000000000001</v>
      </c>
      <c r="O1388" s="68"/>
      <c r="P1388" s="67">
        <v>1941</v>
      </c>
      <c r="Q1388" s="68"/>
      <c r="R1388" s="69"/>
      <c r="S1388" s="69"/>
      <c r="T1388" s="69"/>
      <c r="U1388" s="69"/>
      <c r="V1388" s="69"/>
      <c r="W1388" s="68"/>
      <c r="X1388" s="70"/>
      <c r="Y1388" s="70"/>
      <c r="Z1388" s="70"/>
      <c r="AA1388" s="70"/>
      <c r="AB1388" s="70"/>
      <c r="AC1388" s="68"/>
      <c r="AD1388" s="71"/>
      <c r="AE1388" s="71"/>
      <c r="AF1388" s="71"/>
      <c r="AG1388" s="71"/>
      <c r="AH1388" s="71"/>
      <c r="AI1388" s="68"/>
      <c r="AJ1388" s="214">
        <v>1.2760000000000001E-4</v>
      </c>
      <c r="AK1388" s="214">
        <v>1.7219</v>
      </c>
      <c r="AL1388" s="214">
        <v>2</v>
      </c>
      <c r="AM1388" s="214">
        <v>3.76611E-4</v>
      </c>
      <c r="AN1388" s="68"/>
      <c r="AO1388" s="67"/>
      <c r="AP1388" s="67"/>
      <c r="AQ1388" s="67"/>
      <c r="AR1388" s="67"/>
      <c r="AS1388" s="67"/>
      <c r="AT1388" s="68"/>
      <c r="AU1388" s="49"/>
      <c r="AV1388" s="50"/>
    </row>
    <row r="1389" spans="1:48" ht="12.75" customHeight="1" x14ac:dyDescent="0.25">
      <c r="A1389" s="72" t="s">
        <v>119</v>
      </c>
      <c r="B1389" s="43" t="s">
        <v>1154</v>
      </c>
      <c r="C1389" s="44" t="s">
        <v>1544</v>
      </c>
      <c r="D1389" s="45">
        <f>MROUND(MID($C1389,6,3)/Basis!$E$3,0.5)</f>
        <v>7.5</v>
      </c>
      <c r="E1389" s="45">
        <f>MROUND(MID($C1389,9,3)/Basis!$E$3,0.5)</f>
        <v>106.5</v>
      </c>
      <c r="F1389" s="199" t="s">
        <v>2950</v>
      </c>
      <c r="G1389" s="45">
        <f>ROUND(MID($C1389,12,2)/Basis!$E$3,1)</f>
        <v>10.199999999999999</v>
      </c>
      <c r="H1389" s="120">
        <f>ROUND($P1389*Basis!$E$2*((TaH-TrH)/LN(1/µ)/Basis!$E$7)^$N1389*$AA$4*Glycol,0)</f>
        <v>2479</v>
      </c>
      <c r="I1389" s="83">
        <f>ROUND(H1389/(MID($C1389,9,3)/Basis!$E$3/Basis!$E$9)*Basis!$E$11,0)</f>
        <v>280</v>
      </c>
      <c r="J1389" s="123">
        <f>IF(Basis!$E$1=1,ROUND(H1389/((TaH-TrH)*1.163)/3600,3),ROUND(H1389/(500*(TaH-TrH)),2))</f>
        <v>0.25</v>
      </c>
      <c r="K1389" s="84"/>
      <c r="L1389" s="177">
        <f>CHOOSE(Basis!$E$1,((AJ1389*(J1389*3600/Basis!$E$5)^AK1389*(((MID(C1389,9,3)*10)-244)/1000)*AL1389+AM1389*(J1389*3600/Basis!$E$5)^2)*0.0098)/Basis!$E$10,((AJ1389*(J1389/Basis!$E$5)^AK1389*(((MID(C1389,9,3)*10)-244)/1000)*AL1389+AM1389*(J1389/Basis!$E$5)^2)*0.0098)/Basis!$E$10)</f>
        <v>1.0908028576589623E-2</v>
      </c>
      <c r="M1389" s="85"/>
      <c r="N1389" s="110">
        <v>1.3620000000000001</v>
      </c>
      <c r="O1389" s="74"/>
      <c r="P1389" s="73">
        <v>1139</v>
      </c>
      <c r="Q1389" s="74"/>
      <c r="R1389" s="75"/>
      <c r="S1389" s="75"/>
      <c r="T1389" s="75"/>
      <c r="U1389" s="75"/>
      <c r="V1389" s="75"/>
      <c r="W1389" s="74"/>
      <c r="X1389" s="76"/>
      <c r="Y1389" s="76"/>
      <c r="Z1389" s="76"/>
      <c r="AA1389" s="76"/>
      <c r="AB1389" s="76"/>
      <c r="AC1389" s="74"/>
      <c r="AD1389" s="77"/>
      <c r="AE1389" s="77"/>
      <c r="AF1389" s="77"/>
      <c r="AG1389" s="77"/>
      <c r="AH1389" s="77"/>
      <c r="AI1389" s="68"/>
      <c r="AJ1389" s="213">
        <v>3.9689999999999994E-4</v>
      </c>
      <c r="AK1389" s="213">
        <v>1.7345999999999999</v>
      </c>
      <c r="AL1389" s="213">
        <v>2</v>
      </c>
      <c r="AM1389" s="213">
        <v>3.6734700000000002E-4</v>
      </c>
      <c r="AN1389" s="74"/>
      <c r="AO1389" s="73"/>
      <c r="AP1389" s="73"/>
      <c r="AQ1389" s="73"/>
      <c r="AR1389" s="73"/>
      <c r="AS1389" s="73"/>
      <c r="AT1389" s="74"/>
      <c r="AU1389" s="47"/>
      <c r="AV1389" s="48"/>
    </row>
    <row r="1390" spans="1:48" ht="12.75" customHeight="1" x14ac:dyDescent="0.25">
      <c r="A1390" s="72" t="s">
        <v>119</v>
      </c>
      <c r="B1390" s="43" t="s">
        <v>1154</v>
      </c>
      <c r="C1390" s="44" t="s">
        <v>1545</v>
      </c>
      <c r="D1390" s="45">
        <f>MROUND(MID($C1390,6,3)/Basis!$E$3,0.5)</f>
        <v>7.5</v>
      </c>
      <c r="E1390" s="45">
        <f>MROUND(MID($C1390,9,3)/Basis!$E$3,0.5)</f>
        <v>106.5</v>
      </c>
      <c r="F1390" s="199" t="s">
        <v>2950</v>
      </c>
      <c r="G1390" s="45">
        <f>ROUND(MID($C1390,12,2)/Basis!$E$3,1)</f>
        <v>13.4</v>
      </c>
      <c r="H1390" s="120">
        <f>ROUND($P1390*Basis!$E$2*((TaH-TrH)/LN(1/µ)/Basis!$E$7)^$N1390*$AA$4*Glycol,0)</f>
        <v>3356</v>
      </c>
      <c r="I1390" s="83">
        <f>ROUND(H1390/(MID($C1390,9,3)/Basis!$E$3/Basis!$E$9)*Basis!$E$11,0)</f>
        <v>379</v>
      </c>
      <c r="J1390" s="123">
        <f>IF(Basis!$E$1=1,ROUND(H1390/((TaH-TrH)*1.163)/3600,3),ROUND(H1390/(500*(TaH-TrH)),2))</f>
        <v>0.34</v>
      </c>
      <c r="K1390" s="84"/>
      <c r="L1390" s="177">
        <f>CHOOSE(Basis!$E$1,((AJ1390*(J1390*3600/Basis!$E$5)^AK1390*(((MID(C1390,9,3)*10)-244)/1000)*AL1390+AM1390*(J1390*3600/Basis!$E$5)^2)*0.0098)/Basis!$E$10,((AJ1390*(J1390/Basis!$E$5)^AK1390*(((MID(C1390,9,3)*10)-244)/1000)*AL1390+AM1390*(J1390/Basis!$E$5)^2)*0.0098)/Basis!$E$10)</f>
        <v>1.5015627316063106E-2</v>
      </c>
      <c r="M1390" s="85"/>
      <c r="N1390" s="109">
        <v>1.3620000000000001</v>
      </c>
      <c r="O1390" s="68"/>
      <c r="P1390" s="67">
        <v>1542</v>
      </c>
      <c r="Q1390" s="68"/>
      <c r="R1390" s="69"/>
      <c r="S1390" s="69"/>
      <c r="T1390" s="69"/>
      <c r="U1390" s="69"/>
      <c r="V1390" s="69"/>
      <c r="W1390" s="68"/>
      <c r="X1390" s="70"/>
      <c r="Y1390" s="70"/>
      <c r="Z1390" s="70"/>
      <c r="AA1390" s="70"/>
      <c r="AB1390" s="70"/>
      <c r="AC1390" s="68"/>
      <c r="AD1390" s="71"/>
      <c r="AE1390" s="71"/>
      <c r="AF1390" s="71"/>
      <c r="AG1390" s="71"/>
      <c r="AH1390" s="71"/>
      <c r="AI1390" s="68"/>
      <c r="AJ1390" s="214">
        <v>2.0829999999999999E-4</v>
      </c>
      <c r="AK1390" s="214">
        <v>1.724</v>
      </c>
      <c r="AL1390" s="214">
        <v>2</v>
      </c>
      <c r="AM1390" s="214">
        <v>4.6182900000000003E-4</v>
      </c>
      <c r="AN1390" s="68"/>
      <c r="AO1390" s="67"/>
      <c r="AP1390" s="67"/>
      <c r="AQ1390" s="67"/>
      <c r="AR1390" s="67"/>
      <c r="AS1390" s="67"/>
      <c r="AT1390" s="68"/>
      <c r="AU1390" s="49"/>
      <c r="AV1390" s="50"/>
    </row>
    <row r="1391" spans="1:48" ht="12.75" customHeight="1" x14ac:dyDescent="0.25">
      <c r="A1391" s="72" t="s">
        <v>119</v>
      </c>
      <c r="B1391" s="43" t="s">
        <v>1154</v>
      </c>
      <c r="C1391" s="44" t="s">
        <v>1546</v>
      </c>
      <c r="D1391" s="45">
        <f>MROUND(MID($C1391,6,3)/Basis!$E$3,0.5)</f>
        <v>7.5</v>
      </c>
      <c r="E1391" s="45">
        <f>MROUND(MID($C1391,9,3)/Basis!$E$3,0.5)</f>
        <v>106.5</v>
      </c>
      <c r="F1391" s="199" t="s">
        <v>2950</v>
      </c>
      <c r="G1391" s="45">
        <f>ROUND(MID($C1391,12,2)/Basis!$E$3,1)</f>
        <v>16.5</v>
      </c>
      <c r="H1391" s="120">
        <f>ROUND($P1391*Basis!$E$2*((TaH-TrH)/LN(1/µ)/Basis!$E$7)^$N1391*$AA$4*Glycol,0)</f>
        <v>4608</v>
      </c>
      <c r="I1391" s="83">
        <f>ROUND(H1391/(MID($C1391,9,3)/Basis!$E$3/Basis!$E$9)*Basis!$E$11,0)</f>
        <v>520</v>
      </c>
      <c r="J1391" s="123">
        <f>IF(Basis!$E$1=1,ROUND(H1391/((TaH-TrH)*1.163)/3600,3),ROUND(H1391/(500*(TaH-TrH)),2))</f>
        <v>0.46</v>
      </c>
      <c r="K1391" s="84"/>
      <c r="L1391" s="177">
        <f>CHOOSE(Basis!$E$1,((AJ1391*(J1391*3600/Basis!$E$5)^AK1391*(((MID(C1391,9,3)*10)-244)/1000)*AL1391+AM1391*(J1391*3600/Basis!$E$5)^2)*0.0098)/Basis!$E$10,((AJ1391*(J1391/Basis!$E$5)^AK1391*(((MID(C1391,9,3)*10)-244)/1000)*AL1391+AM1391*(J1391/Basis!$E$5)^2)*0.0098)/Basis!$E$10)</f>
        <v>1.9581576323201563E-2</v>
      </c>
      <c r="M1391" s="85"/>
      <c r="N1391" s="110">
        <v>1.3620000000000001</v>
      </c>
      <c r="O1391" s="74"/>
      <c r="P1391" s="73">
        <v>2117</v>
      </c>
      <c r="Q1391" s="74"/>
      <c r="R1391" s="75"/>
      <c r="S1391" s="75"/>
      <c r="T1391" s="75"/>
      <c r="U1391" s="75"/>
      <c r="V1391" s="75"/>
      <c r="W1391" s="74"/>
      <c r="X1391" s="76"/>
      <c r="Y1391" s="76"/>
      <c r="Z1391" s="76"/>
      <c r="AA1391" s="76"/>
      <c r="AB1391" s="76"/>
      <c r="AC1391" s="74"/>
      <c r="AD1391" s="77"/>
      <c r="AE1391" s="77"/>
      <c r="AF1391" s="77"/>
      <c r="AG1391" s="77"/>
      <c r="AH1391" s="77"/>
      <c r="AI1391" s="68"/>
      <c r="AJ1391" s="214">
        <v>1.2760000000000001E-4</v>
      </c>
      <c r="AK1391" s="214">
        <v>1.7219</v>
      </c>
      <c r="AL1391" s="214">
        <v>2</v>
      </c>
      <c r="AM1391" s="214">
        <v>3.76611E-4</v>
      </c>
      <c r="AN1391" s="74"/>
      <c r="AO1391" s="73"/>
      <c r="AP1391" s="73"/>
      <c r="AQ1391" s="73"/>
      <c r="AR1391" s="73"/>
      <c r="AS1391" s="73"/>
      <c r="AT1391" s="74"/>
      <c r="AU1391" s="47"/>
      <c r="AV1391" s="48"/>
    </row>
    <row r="1392" spans="1:48" ht="12.75" customHeight="1" x14ac:dyDescent="0.25">
      <c r="A1392" s="72" t="s">
        <v>119</v>
      </c>
      <c r="B1392" s="43" t="s">
        <v>1154</v>
      </c>
      <c r="C1392" s="44" t="s">
        <v>1547</v>
      </c>
      <c r="D1392" s="45">
        <f>MROUND(MID($C1392,6,3)/Basis!$E$3,0.5)</f>
        <v>7.5</v>
      </c>
      <c r="E1392" s="45">
        <f>MROUND(MID($C1392,9,3)/Basis!$E$3,0.5)</f>
        <v>114</v>
      </c>
      <c r="F1392" s="199" t="s">
        <v>2950</v>
      </c>
      <c r="G1392" s="45">
        <f>ROUND(MID($C1392,12,2)/Basis!$E$3,1)</f>
        <v>10.199999999999999</v>
      </c>
      <c r="H1392" s="120">
        <f>ROUND($P1392*Basis!$E$2*((TaH-TrH)/LN(1/µ)/Basis!$E$7)^$N1392*$AA$4*Glycol,0)</f>
        <v>2684</v>
      </c>
      <c r="I1392" s="83">
        <f>ROUND(H1392/(MID($C1392,9,3)/Basis!$E$3/Basis!$E$9)*Basis!$E$11,0)</f>
        <v>282</v>
      </c>
      <c r="J1392" s="123">
        <f>IF(Basis!$E$1=1,ROUND(H1392/((TaH-TrH)*1.163)/3600,3),ROUND(H1392/(500*(TaH-TrH)),2))</f>
        <v>0.27</v>
      </c>
      <c r="K1392" s="84"/>
      <c r="L1392" s="177">
        <f>CHOOSE(Basis!$E$1,((AJ1392*(J1392*3600/Basis!$E$5)^AK1392*(((MID(C1392,9,3)*10)-244)/1000)*AL1392+AM1392*(J1392*3600/Basis!$E$5)^2)*0.0098)/Basis!$E$10,((AJ1392*(J1392/Basis!$E$5)^AK1392*(((MID(C1392,9,3)*10)-244)/1000)*AL1392+AM1392*(J1392/Basis!$E$5)^2)*0.0098)/Basis!$E$10)</f>
        <v>1.3211956181441964E-2</v>
      </c>
      <c r="M1392" s="85"/>
      <c r="N1392" s="109">
        <v>1.3620000000000001</v>
      </c>
      <c r="O1392" s="68"/>
      <c r="P1392" s="67">
        <v>1233</v>
      </c>
      <c r="Q1392" s="68"/>
      <c r="R1392" s="69"/>
      <c r="S1392" s="69"/>
      <c r="T1392" s="69"/>
      <c r="U1392" s="69"/>
      <c r="V1392" s="69"/>
      <c r="W1392" s="68"/>
      <c r="X1392" s="70"/>
      <c r="Y1392" s="70"/>
      <c r="Z1392" s="70"/>
      <c r="AA1392" s="70"/>
      <c r="AB1392" s="70"/>
      <c r="AC1392" s="68"/>
      <c r="AD1392" s="71"/>
      <c r="AE1392" s="71"/>
      <c r="AF1392" s="71"/>
      <c r="AG1392" s="71"/>
      <c r="AH1392" s="71"/>
      <c r="AI1392" s="68"/>
      <c r="AJ1392" s="213">
        <v>3.9689999999999994E-4</v>
      </c>
      <c r="AK1392" s="213">
        <v>1.7345999999999999</v>
      </c>
      <c r="AL1392" s="213">
        <v>2</v>
      </c>
      <c r="AM1392" s="213">
        <v>3.6734700000000002E-4</v>
      </c>
      <c r="AN1392" s="68"/>
      <c r="AO1392" s="67"/>
      <c r="AP1392" s="67"/>
      <c r="AQ1392" s="67"/>
      <c r="AR1392" s="67"/>
      <c r="AS1392" s="67"/>
      <c r="AT1392" s="68"/>
      <c r="AU1392" s="49"/>
      <c r="AV1392" s="50"/>
    </row>
    <row r="1393" spans="1:48" ht="12.75" customHeight="1" x14ac:dyDescent="0.25">
      <c r="A1393" s="72" t="s">
        <v>119</v>
      </c>
      <c r="B1393" s="43" t="s">
        <v>1154</v>
      </c>
      <c r="C1393" s="44" t="s">
        <v>1548</v>
      </c>
      <c r="D1393" s="45">
        <f>MROUND(MID($C1393,6,3)/Basis!$E$3,0.5)</f>
        <v>7.5</v>
      </c>
      <c r="E1393" s="45">
        <f>MROUND(MID($C1393,9,3)/Basis!$E$3,0.5)</f>
        <v>114</v>
      </c>
      <c r="F1393" s="199" t="s">
        <v>2950</v>
      </c>
      <c r="G1393" s="45">
        <f>ROUND(MID($C1393,12,2)/Basis!$E$3,1)</f>
        <v>13.4</v>
      </c>
      <c r="H1393" s="120">
        <f>ROUND($P1393*Basis!$E$2*((TaH-TrH)/LN(1/µ)/Basis!$E$7)^$N1393*$AA$4*Glycol,0)</f>
        <v>3633</v>
      </c>
      <c r="I1393" s="83">
        <f>ROUND(H1393/(MID($C1393,9,3)/Basis!$E$3/Basis!$E$9)*Basis!$E$11,0)</f>
        <v>382</v>
      </c>
      <c r="J1393" s="123">
        <f>IF(Basis!$E$1=1,ROUND(H1393/((TaH-TrH)*1.163)/3600,3),ROUND(H1393/(500*(TaH-TrH)),2))</f>
        <v>0.36</v>
      </c>
      <c r="K1393" s="84"/>
      <c r="L1393" s="177">
        <f>CHOOSE(Basis!$E$1,((AJ1393*(J1393*3600/Basis!$E$5)^AK1393*(((MID(C1393,9,3)*10)-244)/1000)*AL1393+AM1393*(J1393*3600/Basis!$E$5)^2)*0.0098)/Basis!$E$10,((AJ1393*(J1393/Basis!$E$5)^AK1393*(((MID(C1393,9,3)*10)-244)/1000)*AL1393+AM1393*(J1393/Basis!$E$5)^2)*0.0098)/Basis!$E$10)</f>
        <v>1.7268821113262254E-2</v>
      </c>
      <c r="M1393" s="85"/>
      <c r="N1393" s="110">
        <v>1.3620000000000001</v>
      </c>
      <c r="O1393" s="74"/>
      <c r="P1393" s="73">
        <v>1669</v>
      </c>
      <c r="Q1393" s="74"/>
      <c r="R1393" s="75"/>
      <c r="S1393" s="75"/>
      <c r="T1393" s="75"/>
      <c r="U1393" s="75"/>
      <c r="V1393" s="75"/>
      <c r="W1393" s="74"/>
      <c r="X1393" s="76"/>
      <c r="Y1393" s="76"/>
      <c r="Z1393" s="76"/>
      <c r="AA1393" s="76"/>
      <c r="AB1393" s="76"/>
      <c r="AC1393" s="74"/>
      <c r="AD1393" s="77"/>
      <c r="AE1393" s="77"/>
      <c r="AF1393" s="77"/>
      <c r="AG1393" s="77"/>
      <c r="AH1393" s="77"/>
      <c r="AI1393" s="68"/>
      <c r="AJ1393" s="214">
        <v>2.0829999999999999E-4</v>
      </c>
      <c r="AK1393" s="214">
        <v>1.724</v>
      </c>
      <c r="AL1393" s="214">
        <v>2</v>
      </c>
      <c r="AM1393" s="214">
        <v>4.6182900000000003E-4</v>
      </c>
      <c r="AN1393" s="74"/>
      <c r="AO1393" s="73"/>
      <c r="AP1393" s="73"/>
      <c r="AQ1393" s="73"/>
      <c r="AR1393" s="73"/>
      <c r="AS1393" s="73"/>
      <c r="AT1393" s="74"/>
      <c r="AU1393" s="47"/>
      <c r="AV1393" s="48"/>
    </row>
    <row r="1394" spans="1:48" ht="12.75" customHeight="1" x14ac:dyDescent="0.25">
      <c r="A1394" s="72" t="s">
        <v>119</v>
      </c>
      <c r="B1394" s="43" t="s">
        <v>1154</v>
      </c>
      <c r="C1394" s="44" t="s">
        <v>1549</v>
      </c>
      <c r="D1394" s="45">
        <f>MROUND(MID($C1394,6,3)/Basis!$E$3,0.5)</f>
        <v>7.5</v>
      </c>
      <c r="E1394" s="45">
        <f>MROUND(MID($C1394,9,3)/Basis!$E$3,0.5)</f>
        <v>114</v>
      </c>
      <c r="F1394" s="199" t="s">
        <v>2950</v>
      </c>
      <c r="G1394" s="45">
        <f>ROUND(MID($C1394,12,2)/Basis!$E$3,1)</f>
        <v>16.5</v>
      </c>
      <c r="H1394" s="120">
        <f>ROUND($P1394*Basis!$E$2*((TaH-TrH)/LN(1/µ)/Basis!$E$7)^$N1394*$AA$4*Glycol,0)</f>
        <v>4993</v>
      </c>
      <c r="I1394" s="83">
        <f>ROUND(H1394/(MID($C1394,9,3)/Basis!$E$3/Basis!$E$9)*Basis!$E$11,0)</f>
        <v>525</v>
      </c>
      <c r="J1394" s="123">
        <f>IF(Basis!$E$1=1,ROUND(H1394/((TaH-TrH)*1.163)/3600,3),ROUND(H1394/(500*(TaH-TrH)),2))</f>
        <v>0.5</v>
      </c>
      <c r="K1394" s="84"/>
      <c r="L1394" s="177">
        <f>CHOOSE(Basis!$E$1,((AJ1394*(J1394*3600/Basis!$E$5)^AK1394*(((MID(C1394,9,3)*10)-244)/1000)*AL1394+AM1394*(J1394*3600/Basis!$E$5)^2)*0.0098)/Basis!$E$10,((AJ1394*(J1394/Basis!$E$5)^AK1394*(((MID(C1394,9,3)*10)-244)/1000)*AL1394+AM1394*(J1394/Basis!$E$5)^2)*0.0098)/Basis!$E$10)</f>
        <v>2.3546057314827333E-2</v>
      </c>
      <c r="M1394" s="85"/>
      <c r="N1394" s="109">
        <v>1.3620000000000001</v>
      </c>
      <c r="O1394" s="68"/>
      <c r="P1394" s="67">
        <v>2294</v>
      </c>
      <c r="Q1394" s="68"/>
      <c r="R1394" s="69"/>
      <c r="S1394" s="69"/>
      <c r="T1394" s="69"/>
      <c r="U1394" s="69"/>
      <c r="V1394" s="69"/>
      <c r="W1394" s="68"/>
      <c r="X1394" s="70"/>
      <c r="Y1394" s="70"/>
      <c r="Z1394" s="70"/>
      <c r="AA1394" s="70"/>
      <c r="AB1394" s="70"/>
      <c r="AC1394" s="68"/>
      <c r="AD1394" s="71"/>
      <c r="AE1394" s="71"/>
      <c r="AF1394" s="71"/>
      <c r="AG1394" s="71"/>
      <c r="AH1394" s="71"/>
      <c r="AI1394" s="68"/>
      <c r="AJ1394" s="214">
        <v>1.2760000000000001E-4</v>
      </c>
      <c r="AK1394" s="214">
        <v>1.7219</v>
      </c>
      <c r="AL1394" s="214">
        <v>2</v>
      </c>
      <c r="AM1394" s="214">
        <v>3.76611E-4</v>
      </c>
      <c r="AN1394" s="68"/>
      <c r="AO1394" s="67"/>
      <c r="AP1394" s="67"/>
      <c r="AQ1394" s="67"/>
      <c r="AR1394" s="67"/>
      <c r="AS1394" s="67"/>
      <c r="AT1394" s="68"/>
      <c r="AU1394" s="49"/>
      <c r="AV1394" s="50"/>
    </row>
    <row r="1395" spans="1:48" ht="12.75" customHeight="1" x14ac:dyDescent="0.25">
      <c r="A1395" s="72" t="s">
        <v>119</v>
      </c>
      <c r="B1395" s="43" t="s">
        <v>1154</v>
      </c>
      <c r="C1395" s="44" t="s">
        <v>1550</v>
      </c>
      <c r="D1395" s="45">
        <f>MROUND(MID($C1395,6,3)/Basis!$E$3,0.5)</f>
        <v>7.5</v>
      </c>
      <c r="E1395" s="45">
        <f>MROUND(MID($C1395,9,3)/Basis!$E$3,0.5)</f>
        <v>122</v>
      </c>
      <c r="F1395" s="199" t="s">
        <v>2950</v>
      </c>
      <c r="G1395" s="45">
        <f>ROUND(MID($C1395,12,2)/Basis!$E$3,1)</f>
        <v>10.199999999999999</v>
      </c>
      <c r="H1395" s="120">
        <f>ROUND($P1395*Basis!$E$2*((TaH-TrH)/LN(1/µ)/Basis!$E$7)^$N1395*$AA$4*Glycol,0)</f>
        <v>2893</v>
      </c>
      <c r="I1395" s="83">
        <f>ROUND(H1395/(MID($C1395,9,3)/Basis!$E$3/Basis!$E$9)*Basis!$E$11,0)</f>
        <v>284</v>
      </c>
      <c r="J1395" s="123">
        <f>IF(Basis!$E$1=1,ROUND(H1395/((TaH-TrH)*1.163)/3600,3),ROUND(H1395/(500*(TaH-TrH)),2))</f>
        <v>0.28999999999999998</v>
      </c>
      <c r="K1395" s="84"/>
      <c r="L1395" s="177">
        <f>CHOOSE(Basis!$E$1,((AJ1395*(J1395*3600/Basis!$E$5)^AK1395*(((MID(C1395,9,3)*10)-244)/1000)*AL1395+AM1395*(J1395*3600/Basis!$E$5)^2)*0.0098)/Basis!$E$10,((AJ1395*(J1395/Basis!$E$5)^AK1395*(((MID(C1395,9,3)*10)-244)/1000)*AL1395+AM1395*(J1395/Basis!$E$5)^2)*0.0098)/Basis!$E$10)</f>
        <v>1.5794480002199709E-2</v>
      </c>
      <c r="M1395" s="85"/>
      <c r="N1395" s="110">
        <v>1.3620000000000001</v>
      </c>
      <c r="O1395" s="74"/>
      <c r="P1395" s="73">
        <v>1329</v>
      </c>
      <c r="Q1395" s="74"/>
      <c r="R1395" s="75"/>
      <c r="S1395" s="75"/>
      <c r="T1395" s="75"/>
      <c r="U1395" s="75"/>
      <c r="V1395" s="75"/>
      <c r="W1395" s="74"/>
      <c r="X1395" s="76"/>
      <c r="Y1395" s="76"/>
      <c r="Z1395" s="76"/>
      <c r="AA1395" s="76"/>
      <c r="AB1395" s="76"/>
      <c r="AC1395" s="74"/>
      <c r="AD1395" s="77"/>
      <c r="AE1395" s="77"/>
      <c r="AF1395" s="77"/>
      <c r="AG1395" s="77"/>
      <c r="AH1395" s="77"/>
      <c r="AI1395" s="68"/>
      <c r="AJ1395" s="213">
        <v>3.9689999999999994E-4</v>
      </c>
      <c r="AK1395" s="213">
        <v>1.7345999999999999</v>
      </c>
      <c r="AL1395" s="213">
        <v>2</v>
      </c>
      <c r="AM1395" s="213">
        <v>3.6734700000000002E-4</v>
      </c>
      <c r="AN1395" s="74"/>
      <c r="AO1395" s="73"/>
      <c r="AP1395" s="73"/>
      <c r="AQ1395" s="73"/>
      <c r="AR1395" s="73"/>
      <c r="AS1395" s="73"/>
      <c r="AT1395" s="74"/>
      <c r="AU1395" s="47"/>
      <c r="AV1395" s="48"/>
    </row>
    <row r="1396" spans="1:48" ht="12.75" customHeight="1" x14ac:dyDescent="0.25">
      <c r="A1396" s="72" t="s">
        <v>119</v>
      </c>
      <c r="B1396" s="43" t="s">
        <v>1154</v>
      </c>
      <c r="C1396" s="44" t="s">
        <v>1551</v>
      </c>
      <c r="D1396" s="45">
        <f>MROUND(MID($C1396,6,3)/Basis!$E$3,0.5)</f>
        <v>7.5</v>
      </c>
      <c r="E1396" s="45">
        <f>MROUND(MID($C1396,9,3)/Basis!$E$3,0.5)</f>
        <v>122</v>
      </c>
      <c r="F1396" s="199" t="s">
        <v>2950</v>
      </c>
      <c r="G1396" s="45">
        <f>ROUND(MID($C1396,12,2)/Basis!$E$3,1)</f>
        <v>13.4</v>
      </c>
      <c r="H1396" s="120">
        <f>ROUND($P1396*Basis!$E$2*((TaH-TrH)/LN(1/µ)/Basis!$E$7)^$N1396*$AA$4*Glycol,0)</f>
        <v>3914</v>
      </c>
      <c r="I1396" s="83">
        <f>ROUND(H1396/(MID($C1396,9,3)/Basis!$E$3/Basis!$E$9)*Basis!$E$11,0)</f>
        <v>385</v>
      </c>
      <c r="J1396" s="123">
        <f>IF(Basis!$E$1=1,ROUND(H1396/((TaH-TrH)*1.163)/3600,3),ROUND(H1396/(500*(TaH-TrH)),2))</f>
        <v>0.39</v>
      </c>
      <c r="K1396" s="84"/>
      <c r="L1396" s="177">
        <f>CHOOSE(Basis!$E$1,((AJ1396*(J1396*3600/Basis!$E$5)^AK1396*(((MID(C1396,9,3)*10)-244)/1000)*AL1396+AM1396*(J1396*3600/Basis!$E$5)^2)*0.0098)/Basis!$E$10,((AJ1396*(J1396/Basis!$E$5)^AK1396*(((MID(C1396,9,3)*10)-244)/1000)*AL1396+AM1396*(J1396/Basis!$E$5)^2)*0.0098)/Basis!$E$10)</f>
        <v>2.0703027148149138E-2</v>
      </c>
      <c r="M1396" s="85"/>
      <c r="N1396" s="109">
        <v>1.3620000000000001</v>
      </c>
      <c r="O1396" s="68"/>
      <c r="P1396" s="67">
        <v>1798</v>
      </c>
      <c r="Q1396" s="68"/>
      <c r="R1396" s="69"/>
      <c r="S1396" s="69"/>
      <c r="T1396" s="69"/>
      <c r="U1396" s="69"/>
      <c r="V1396" s="69"/>
      <c r="W1396" s="68"/>
      <c r="X1396" s="70"/>
      <c r="Y1396" s="70"/>
      <c r="Z1396" s="70"/>
      <c r="AA1396" s="70"/>
      <c r="AB1396" s="70"/>
      <c r="AC1396" s="68"/>
      <c r="AD1396" s="71"/>
      <c r="AE1396" s="71"/>
      <c r="AF1396" s="71"/>
      <c r="AG1396" s="71"/>
      <c r="AH1396" s="71"/>
      <c r="AI1396" s="68"/>
      <c r="AJ1396" s="214">
        <v>2.0829999999999999E-4</v>
      </c>
      <c r="AK1396" s="214">
        <v>1.724</v>
      </c>
      <c r="AL1396" s="214">
        <v>2</v>
      </c>
      <c r="AM1396" s="214">
        <v>4.6182900000000003E-4</v>
      </c>
      <c r="AN1396" s="68"/>
      <c r="AO1396" s="67"/>
      <c r="AP1396" s="67"/>
      <c r="AQ1396" s="67"/>
      <c r="AR1396" s="67"/>
      <c r="AS1396" s="67"/>
      <c r="AT1396" s="68"/>
      <c r="AU1396" s="49"/>
      <c r="AV1396" s="50"/>
    </row>
    <row r="1397" spans="1:48" ht="12.75" customHeight="1" x14ac:dyDescent="0.25">
      <c r="A1397" s="72" t="s">
        <v>119</v>
      </c>
      <c r="B1397" s="43" t="s">
        <v>1154</v>
      </c>
      <c r="C1397" s="44" t="s">
        <v>1552</v>
      </c>
      <c r="D1397" s="45">
        <f>MROUND(MID($C1397,6,3)/Basis!$E$3,0.5)</f>
        <v>7.5</v>
      </c>
      <c r="E1397" s="45">
        <f>MROUND(MID($C1397,9,3)/Basis!$E$3,0.5)</f>
        <v>122</v>
      </c>
      <c r="F1397" s="199" t="s">
        <v>2950</v>
      </c>
      <c r="G1397" s="45">
        <f>ROUND(MID($C1397,12,2)/Basis!$E$3,1)</f>
        <v>16.5</v>
      </c>
      <c r="H1397" s="120">
        <f>ROUND($P1397*Basis!$E$2*((TaH-TrH)/LN(1/µ)/Basis!$E$7)^$N1397*$AA$4*Glycol,0)</f>
        <v>5379</v>
      </c>
      <c r="I1397" s="83">
        <f>ROUND(H1397/(MID($C1397,9,3)/Basis!$E$3/Basis!$E$9)*Basis!$E$11,0)</f>
        <v>529</v>
      </c>
      <c r="J1397" s="123">
        <f>IF(Basis!$E$1=1,ROUND(H1397/((TaH-TrH)*1.163)/3600,3),ROUND(H1397/(500*(TaH-TrH)),2))</f>
        <v>0.54</v>
      </c>
      <c r="K1397" s="84"/>
      <c r="L1397" s="177">
        <f>CHOOSE(Basis!$E$1,((AJ1397*(J1397*3600/Basis!$E$5)^AK1397*(((MID(C1397,9,3)*10)-244)/1000)*AL1397+AM1397*(J1397*3600/Basis!$E$5)^2)*0.0098)/Basis!$E$10,((AJ1397*(J1397/Basis!$E$5)^AK1397*(((MID(C1397,9,3)*10)-244)/1000)*AL1397+AM1397*(J1397/Basis!$E$5)^2)*0.0098)/Basis!$E$10)</f>
        <v>2.7933793222887492E-2</v>
      </c>
      <c r="M1397" s="85"/>
      <c r="N1397" s="110">
        <v>1.3620000000000001</v>
      </c>
      <c r="O1397" s="74"/>
      <c r="P1397" s="73">
        <v>2471</v>
      </c>
      <c r="Q1397" s="74"/>
      <c r="R1397" s="75"/>
      <c r="S1397" s="75"/>
      <c r="T1397" s="75"/>
      <c r="U1397" s="75"/>
      <c r="V1397" s="75"/>
      <c r="W1397" s="74"/>
      <c r="X1397" s="76"/>
      <c r="Y1397" s="76"/>
      <c r="Z1397" s="76"/>
      <c r="AA1397" s="76"/>
      <c r="AB1397" s="76"/>
      <c r="AC1397" s="74"/>
      <c r="AD1397" s="77"/>
      <c r="AE1397" s="77"/>
      <c r="AF1397" s="77"/>
      <c r="AG1397" s="77"/>
      <c r="AH1397" s="77"/>
      <c r="AI1397" s="68"/>
      <c r="AJ1397" s="214">
        <v>1.2760000000000001E-4</v>
      </c>
      <c r="AK1397" s="214">
        <v>1.7219</v>
      </c>
      <c r="AL1397" s="214">
        <v>2</v>
      </c>
      <c r="AM1397" s="214">
        <v>3.76611E-4</v>
      </c>
      <c r="AN1397" s="74"/>
      <c r="AO1397" s="73"/>
      <c r="AP1397" s="73"/>
      <c r="AQ1397" s="73"/>
      <c r="AR1397" s="73"/>
      <c r="AS1397" s="73"/>
      <c r="AT1397" s="74"/>
      <c r="AU1397" s="47"/>
      <c r="AV1397" s="48"/>
    </row>
    <row r="1398" spans="1:48" ht="12.75" customHeight="1" x14ac:dyDescent="0.25">
      <c r="A1398" s="72" t="s">
        <v>119</v>
      </c>
      <c r="B1398" s="43" t="s">
        <v>1154</v>
      </c>
      <c r="C1398" s="44" t="s">
        <v>1553</v>
      </c>
      <c r="D1398" s="45">
        <f>MROUND(MID($C1398,6,3)/Basis!$E$3,0.5)</f>
        <v>7.5</v>
      </c>
      <c r="E1398" s="45">
        <f>MROUND(MID($C1398,9,3)/Basis!$E$3,0.5)</f>
        <v>130</v>
      </c>
      <c r="F1398" s="199" t="s">
        <v>2950</v>
      </c>
      <c r="G1398" s="45">
        <f>ROUND(MID($C1398,12,2)/Basis!$E$3,1)</f>
        <v>10.199999999999999</v>
      </c>
      <c r="H1398" s="120">
        <f>ROUND($P1398*Basis!$E$2*((TaH-TrH)/LN(1/µ)/Basis!$E$7)^$N1398*$AA$4*Glycol,0)</f>
        <v>3097</v>
      </c>
      <c r="I1398" s="83">
        <f>ROUND(H1398/(MID($C1398,9,3)/Basis!$E$3/Basis!$E$9)*Basis!$E$11,0)</f>
        <v>286</v>
      </c>
      <c r="J1398" s="123">
        <f>IF(Basis!$E$1=1,ROUND(H1398/((TaH-TrH)*1.163)/3600,3),ROUND(H1398/(500*(TaH-TrH)),2))</f>
        <v>0.31</v>
      </c>
      <c r="K1398" s="84"/>
      <c r="L1398" s="177">
        <f>CHOOSE(Basis!$E$1,((AJ1398*(J1398*3600/Basis!$E$5)^AK1398*(((MID(C1398,9,3)*10)-244)/1000)*AL1398+AM1398*(J1398*3600/Basis!$E$5)^2)*0.0098)/Basis!$E$10,((AJ1398*(J1398/Basis!$E$5)^AK1398*(((MID(C1398,9,3)*10)-244)/1000)*AL1398+AM1398*(J1398/Basis!$E$5)^2)*0.0098)/Basis!$E$10)</f>
        <v>1.8668019832731246E-2</v>
      </c>
      <c r="M1398" s="85"/>
      <c r="N1398" s="109">
        <v>1.3620000000000001</v>
      </c>
      <c r="O1398" s="68"/>
      <c r="P1398" s="67">
        <v>1423</v>
      </c>
      <c r="Q1398" s="68"/>
      <c r="R1398" s="69"/>
      <c r="S1398" s="69"/>
      <c r="T1398" s="69"/>
      <c r="U1398" s="69"/>
      <c r="V1398" s="69"/>
      <c r="W1398" s="68"/>
      <c r="X1398" s="70"/>
      <c r="Y1398" s="70"/>
      <c r="Z1398" s="70"/>
      <c r="AA1398" s="70"/>
      <c r="AB1398" s="70"/>
      <c r="AC1398" s="68"/>
      <c r="AD1398" s="71"/>
      <c r="AE1398" s="71"/>
      <c r="AF1398" s="71"/>
      <c r="AG1398" s="71"/>
      <c r="AH1398" s="71"/>
      <c r="AI1398" s="68"/>
      <c r="AJ1398" s="213">
        <v>3.9689999999999994E-4</v>
      </c>
      <c r="AK1398" s="213">
        <v>1.7345999999999999</v>
      </c>
      <c r="AL1398" s="213">
        <v>2</v>
      </c>
      <c r="AM1398" s="213">
        <v>3.6734700000000002E-4</v>
      </c>
      <c r="AN1398" s="68"/>
      <c r="AO1398" s="67"/>
      <c r="AP1398" s="67"/>
      <c r="AQ1398" s="67"/>
      <c r="AR1398" s="67"/>
      <c r="AS1398" s="67"/>
      <c r="AT1398" s="68"/>
      <c r="AU1398" s="49"/>
      <c r="AV1398" s="50"/>
    </row>
    <row r="1399" spans="1:48" ht="12.75" customHeight="1" x14ac:dyDescent="0.25">
      <c r="A1399" s="72" t="s">
        <v>119</v>
      </c>
      <c r="B1399" s="43" t="s">
        <v>1154</v>
      </c>
      <c r="C1399" s="44" t="s">
        <v>1554</v>
      </c>
      <c r="D1399" s="45">
        <f>MROUND(MID($C1399,6,3)/Basis!$E$3,0.5)</f>
        <v>7.5</v>
      </c>
      <c r="E1399" s="45">
        <f>MROUND(MID($C1399,9,3)/Basis!$E$3,0.5)</f>
        <v>130</v>
      </c>
      <c r="F1399" s="199" t="s">
        <v>2950</v>
      </c>
      <c r="G1399" s="45">
        <f>ROUND(MID($C1399,12,2)/Basis!$E$3,1)</f>
        <v>13.4</v>
      </c>
      <c r="H1399" s="120">
        <f>ROUND($P1399*Basis!$E$2*((TaH-TrH)/LN(1/µ)/Basis!$E$7)^$N1399*$AA$4*Glycol,0)</f>
        <v>4195</v>
      </c>
      <c r="I1399" s="83">
        <f>ROUND(H1399/(MID($C1399,9,3)/Basis!$E$3/Basis!$E$9)*Basis!$E$11,0)</f>
        <v>387</v>
      </c>
      <c r="J1399" s="123">
        <f>IF(Basis!$E$1=1,ROUND(H1399/((TaH-TrH)*1.163)/3600,3),ROUND(H1399/(500*(TaH-TrH)),2))</f>
        <v>0.42</v>
      </c>
      <c r="K1399" s="84"/>
      <c r="L1399" s="177">
        <f>CHOOSE(Basis!$E$1,((AJ1399*(J1399*3600/Basis!$E$5)^AK1399*(((MID(C1399,9,3)*10)-244)/1000)*AL1399+AM1399*(J1399*3600/Basis!$E$5)^2)*0.0098)/Basis!$E$10,((AJ1399*(J1399/Basis!$E$5)^AK1399*(((MID(C1399,9,3)*10)-244)/1000)*AL1399+AM1399*(J1399/Basis!$E$5)^2)*0.0098)/Basis!$E$10)</f>
        <v>2.4507293629631392E-2</v>
      </c>
      <c r="M1399" s="85"/>
      <c r="N1399" s="110">
        <v>1.3620000000000001</v>
      </c>
      <c r="O1399" s="74"/>
      <c r="P1399" s="73">
        <v>1927</v>
      </c>
      <c r="Q1399" s="74"/>
      <c r="R1399" s="75"/>
      <c r="S1399" s="75"/>
      <c r="T1399" s="75"/>
      <c r="U1399" s="75"/>
      <c r="V1399" s="75"/>
      <c r="W1399" s="74"/>
      <c r="X1399" s="76"/>
      <c r="Y1399" s="76"/>
      <c r="Z1399" s="76"/>
      <c r="AA1399" s="76"/>
      <c r="AB1399" s="76"/>
      <c r="AC1399" s="74"/>
      <c r="AD1399" s="77"/>
      <c r="AE1399" s="77"/>
      <c r="AF1399" s="77"/>
      <c r="AG1399" s="77"/>
      <c r="AH1399" s="77"/>
      <c r="AI1399" s="68"/>
      <c r="AJ1399" s="214">
        <v>2.0829999999999999E-4</v>
      </c>
      <c r="AK1399" s="214">
        <v>1.724</v>
      </c>
      <c r="AL1399" s="214">
        <v>2</v>
      </c>
      <c r="AM1399" s="214">
        <v>4.6182900000000003E-4</v>
      </c>
      <c r="AN1399" s="74"/>
      <c r="AO1399" s="73"/>
      <c r="AP1399" s="73"/>
      <c r="AQ1399" s="73"/>
      <c r="AR1399" s="73"/>
      <c r="AS1399" s="73"/>
      <c r="AT1399" s="74"/>
      <c r="AU1399" s="47"/>
      <c r="AV1399" s="48"/>
    </row>
    <row r="1400" spans="1:48" ht="12.75" customHeight="1" x14ac:dyDescent="0.25">
      <c r="A1400" s="72" t="s">
        <v>119</v>
      </c>
      <c r="B1400" s="43" t="s">
        <v>1154</v>
      </c>
      <c r="C1400" s="44" t="s">
        <v>1555</v>
      </c>
      <c r="D1400" s="45">
        <f>MROUND(MID($C1400,6,3)/Basis!$E$3,0.5)</f>
        <v>7.5</v>
      </c>
      <c r="E1400" s="45">
        <f>MROUND(MID($C1400,9,3)/Basis!$E$3,0.5)</f>
        <v>130</v>
      </c>
      <c r="F1400" s="199" t="s">
        <v>2950</v>
      </c>
      <c r="G1400" s="45">
        <f>ROUND(MID($C1400,12,2)/Basis!$E$3,1)</f>
        <v>16.5</v>
      </c>
      <c r="H1400" s="120">
        <f>ROUND($P1400*Basis!$E$2*((TaH-TrH)/LN(1/µ)/Basis!$E$7)^$N1400*$AA$4*Glycol,0)</f>
        <v>5760</v>
      </c>
      <c r="I1400" s="83">
        <f>ROUND(H1400/(MID($C1400,9,3)/Basis!$E$3/Basis!$E$9)*Basis!$E$11,0)</f>
        <v>532</v>
      </c>
      <c r="J1400" s="123">
        <f>IF(Basis!$E$1=1,ROUND(H1400/((TaH-TrH)*1.163)/3600,3),ROUND(H1400/(500*(TaH-TrH)),2))</f>
        <v>0.57999999999999996</v>
      </c>
      <c r="K1400" s="84"/>
      <c r="L1400" s="177">
        <f>CHOOSE(Basis!$E$1,((AJ1400*(J1400*3600/Basis!$E$5)^AK1400*(((MID(C1400,9,3)*10)-244)/1000)*AL1400+AM1400*(J1400*3600/Basis!$E$5)^2)*0.0098)/Basis!$E$10,((AJ1400*(J1400/Basis!$E$5)^AK1400*(((MID(C1400,9,3)*10)-244)/1000)*AL1400+AM1400*(J1400/Basis!$E$5)^2)*0.0098)/Basis!$E$10)</f>
        <v>3.275707457499602E-2</v>
      </c>
      <c r="M1400" s="85"/>
      <c r="N1400" s="109">
        <v>1.3620000000000001</v>
      </c>
      <c r="O1400" s="68"/>
      <c r="P1400" s="67">
        <v>2646</v>
      </c>
      <c r="Q1400" s="68"/>
      <c r="R1400" s="69"/>
      <c r="S1400" s="69"/>
      <c r="T1400" s="69"/>
      <c r="U1400" s="69"/>
      <c r="V1400" s="69"/>
      <c r="W1400" s="68"/>
      <c r="X1400" s="70"/>
      <c r="Y1400" s="70"/>
      <c r="Z1400" s="70"/>
      <c r="AA1400" s="70"/>
      <c r="AB1400" s="70"/>
      <c r="AC1400" s="68"/>
      <c r="AD1400" s="71"/>
      <c r="AE1400" s="71"/>
      <c r="AF1400" s="71"/>
      <c r="AG1400" s="71"/>
      <c r="AH1400" s="71"/>
      <c r="AI1400" s="68"/>
      <c r="AJ1400" s="214">
        <v>1.2760000000000001E-4</v>
      </c>
      <c r="AK1400" s="214">
        <v>1.7219</v>
      </c>
      <c r="AL1400" s="214">
        <v>2</v>
      </c>
      <c r="AM1400" s="214">
        <v>3.76611E-4</v>
      </c>
      <c r="AN1400" s="68"/>
      <c r="AO1400" s="67"/>
      <c r="AP1400" s="67"/>
      <c r="AQ1400" s="67"/>
      <c r="AR1400" s="67"/>
      <c r="AS1400" s="67"/>
      <c r="AT1400" s="68"/>
      <c r="AU1400" s="49"/>
      <c r="AV1400" s="50"/>
    </row>
    <row r="1401" spans="1:48" ht="12.75" customHeight="1" x14ac:dyDescent="0.25">
      <c r="A1401" s="72" t="s">
        <v>119</v>
      </c>
      <c r="B1401" s="43" t="s">
        <v>1154</v>
      </c>
      <c r="C1401" s="44" t="s">
        <v>1556</v>
      </c>
      <c r="D1401" s="45">
        <f>MROUND(MID($C1401,6,3)/Basis!$E$3,0.5)</f>
        <v>7.5</v>
      </c>
      <c r="E1401" s="45">
        <f>MROUND(MID($C1401,9,3)/Basis!$E$3,0.5)</f>
        <v>138</v>
      </c>
      <c r="F1401" s="199" t="s">
        <v>2950</v>
      </c>
      <c r="G1401" s="45">
        <f>ROUND(MID($C1401,12,2)/Basis!$E$3,1)</f>
        <v>10.199999999999999</v>
      </c>
      <c r="H1401" s="120">
        <f>ROUND($P1401*Basis!$E$2*((TaH-TrH)/LN(1/µ)/Basis!$E$7)^$N1401*$AA$4*Glycol,0)</f>
        <v>3304</v>
      </c>
      <c r="I1401" s="83">
        <f>ROUND(H1401/(MID($C1401,9,3)/Basis!$E$3/Basis!$E$9)*Basis!$E$11,0)</f>
        <v>288</v>
      </c>
      <c r="J1401" s="123">
        <f>IF(Basis!$E$1=1,ROUND(H1401/((TaH-TrH)*1.163)/3600,3),ROUND(H1401/(500*(TaH-TrH)),2))</f>
        <v>0.33</v>
      </c>
      <c r="K1401" s="84"/>
      <c r="L1401" s="177">
        <f>CHOOSE(Basis!$E$1,((AJ1401*(J1401*3600/Basis!$E$5)^AK1401*(((MID(C1401,9,3)*10)-244)/1000)*AL1401+AM1401*(J1401*3600/Basis!$E$5)^2)*0.0098)/Basis!$E$10,((AJ1401*(J1401/Basis!$E$5)^AK1401*(((MID(C1401,9,3)*10)-244)/1000)*AL1401+AM1401*(J1401/Basis!$E$5)^2)*0.0098)/Basis!$E$10)</f>
        <v>2.1844768539671884E-2</v>
      </c>
      <c r="M1401" s="85"/>
      <c r="N1401" s="110">
        <v>1.3620000000000001</v>
      </c>
      <c r="O1401" s="74"/>
      <c r="P1401" s="73">
        <v>1518</v>
      </c>
      <c r="Q1401" s="74"/>
      <c r="R1401" s="75"/>
      <c r="S1401" s="75"/>
      <c r="T1401" s="75"/>
      <c r="U1401" s="75"/>
      <c r="V1401" s="75"/>
      <c r="W1401" s="74"/>
      <c r="X1401" s="76"/>
      <c r="Y1401" s="76"/>
      <c r="Z1401" s="76"/>
      <c r="AA1401" s="76"/>
      <c r="AB1401" s="76"/>
      <c r="AC1401" s="74"/>
      <c r="AD1401" s="77"/>
      <c r="AE1401" s="77"/>
      <c r="AF1401" s="77"/>
      <c r="AG1401" s="77"/>
      <c r="AH1401" s="77"/>
      <c r="AI1401" s="68"/>
      <c r="AJ1401" s="213">
        <v>3.9689999999999994E-4</v>
      </c>
      <c r="AK1401" s="213">
        <v>1.7345999999999999</v>
      </c>
      <c r="AL1401" s="213">
        <v>2</v>
      </c>
      <c r="AM1401" s="213">
        <v>3.6734700000000002E-4</v>
      </c>
      <c r="AN1401" s="74"/>
      <c r="AO1401" s="73"/>
      <c r="AP1401" s="73"/>
      <c r="AQ1401" s="73"/>
      <c r="AR1401" s="73"/>
      <c r="AS1401" s="73"/>
      <c r="AT1401" s="74"/>
      <c r="AU1401" s="47"/>
      <c r="AV1401" s="48"/>
    </row>
    <row r="1402" spans="1:48" ht="12.75" customHeight="1" x14ac:dyDescent="0.25">
      <c r="A1402" s="72" t="s">
        <v>119</v>
      </c>
      <c r="B1402" s="43" t="s">
        <v>1154</v>
      </c>
      <c r="C1402" s="44" t="s">
        <v>1557</v>
      </c>
      <c r="D1402" s="45">
        <f>MROUND(MID($C1402,6,3)/Basis!$E$3,0.5)</f>
        <v>7.5</v>
      </c>
      <c r="E1402" s="45">
        <f>MROUND(MID($C1402,9,3)/Basis!$E$3,0.5)</f>
        <v>138</v>
      </c>
      <c r="F1402" s="199" t="s">
        <v>2950</v>
      </c>
      <c r="G1402" s="45">
        <f>ROUND(MID($C1402,12,2)/Basis!$E$3,1)</f>
        <v>13.4</v>
      </c>
      <c r="H1402" s="120">
        <f>ROUND($P1402*Basis!$E$2*((TaH-TrH)/LN(1/µ)/Basis!$E$7)^$N1402*$AA$4*Glycol,0)</f>
        <v>4473</v>
      </c>
      <c r="I1402" s="83">
        <f>ROUND(H1402/(MID($C1402,9,3)/Basis!$E$3/Basis!$E$9)*Basis!$E$11,0)</f>
        <v>390</v>
      </c>
      <c r="J1402" s="123">
        <f>IF(Basis!$E$1=1,ROUND(H1402/((TaH-TrH)*1.163)/3600,3),ROUND(H1402/(500*(TaH-TrH)),2))</f>
        <v>0.45</v>
      </c>
      <c r="K1402" s="84"/>
      <c r="L1402" s="177">
        <f>CHOOSE(Basis!$E$1,((AJ1402*(J1402*3600/Basis!$E$5)^AK1402*(((MID(C1402,9,3)*10)-244)/1000)*AL1402+AM1402*(J1402*3600/Basis!$E$5)^2)*0.0098)/Basis!$E$10,((AJ1402*(J1402/Basis!$E$5)^AK1402*(((MID(C1402,9,3)*10)-244)/1000)*AL1402+AM1402*(J1402/Basis!$E$5)^2)*0.0098)/Basis!$E$10)</f>
        <v>2.8693850800651718E-2</v>
      </c>
      <c r="M1402" s="85"/>
      <c r="N1402" s="109">
        <v>1.3620000000000001</v>
      </c>
      <c r="O1402" s="68"/>
      <c r="P1402" s="67">
        <v>2055</v>
      </c>
      <c r="Q1402" s="68"/>
      <c r="R1402" s="69"/>
      <c r="S1402" s="69"/>
      <c r="T1402" s="69"/>
      <c r="U1402" s="69"/>
      <c r="V1402" s="69"/>
      <c r="W1402" s="68"/>
      <c r="X1402" s="70"/>
      <c r="Y1402" s="70"/>
      <c r="Z1402" s="70"/>
      <c r="AA1402" s="70"/>
      <c r="AB1402" s="70"/>
      <c r="AC1402" s="68"/>
      <c r="AD1402" s="71"/>
      <c r="AE1402" s="71"/>
      <c r="AF1402" s="71"/>
      <c r="AG1402" s="71"/>
      <c r="AH1402" s="71"/>
      <c r="AI1402" s="68"/>
      <c r="AJ1402" s="214">
        <v>2.0829999999999999E-4</v>
      </c>
      <c r="AK1402" s="214">
        <v>1.724</v>
      </c>
      <c r="AL1402" s="214">
        <v>2</v>
      </c>
      <c r="AM1402" s="214">
        <v>4.6182900000000003E-4</v>
      </c>
      <c r="AN1402" s="68"/>
      <c r="AO1402" s="67"/>
      <c r="AP1402" s="67"/>
      <c r="AQ1402" s="67"/>
      <c r="AR1402" s="67"/>
      <c r="AS1402" s="67"/>
      <c r="AT1402" s="68"/>
      <c r="AU1402" s="49"/>
      <c r="AV1402" s="50"/>
    </row>
    <row r="1403" spans="1:48" ht="12.75" customHeight="1" x14ac:dyDescent="0.25">
      <c r="A1403" s="72" t="s">
        <v>119</v>
      </c>
      <c r="B1403" s="43" t="s">
        <v>1154</v>
      </c>
      <c r="C1403" s="44" t="s">
        <v>1558</v>
      </c>
      <c r="D1403" s="45">
        <f>MROUND(MID($C1403,6,3)/Basis!$E$3,0.5)</f>
        <v>7.5</v>
      </c>
      <c r="E1403" s="45">
        <f>MROUND(MID($C1403,9,3)/Basis!$E$3,0.5)</f>
        <v>138</v>
      </c>
      <c r="F1403" s="199" t="s">
        <v>2950</v>
      </c>
      <c r="G1403" s="45">
        <f>ROUND(MID($C1403,12,2)/Basis!$E$3,1)</f>
        <v>16.5</v>
      </c>
      <c r="H1403" s="120">
        <f>ROUND($P1403*Basis!$E$2*((TaH-TrH)/LN(1/µ)/Basis!$E$7)^$N1403*$AA$4*Glycol,0)</f>
        <v>6145</v>
      </c>
      <c r="I1403" s="83">
        <f>ROUND(H1403/(MID($C1403,9,3)/Basis!$E$3/Basis!$E$9)*Basis!$E$11,0)</f>
        <v>535</v>
      </c>
      <c r="J1403" s="123">
        <f>IF(Basis!$E$1=1,ROUND(H1403/((TaH-TrH)*1.163)/3600,3),ROUND(H1403/(500*(TaH-TrH)),2))</f>
        <v>0.61</v>
      </c>
      <c r="K1403" s="84"/>
      <c r="L1403" s="177">
        <f>CHOOSE(Basis!$E$1,((AJ1403*(J1403*3600/Basis!$E$5)^AK1403*(((MID(C1403,9,3)*10)-244)/1000)*AL1403+AM1403*(J1403*3600/Basis!$E$5)^2)*0.0098)/Basis!$E$10,((AJ1403*(J1403/Basis!$E$5)^AK1403*(((MID(C1403,9,3)*10)-244)/1000)*AL1403+AM1403*(J1403/Basis!$E$5)^2)*0.0098)/Basis!$E$10)</f>
        <v>3.6870840370690584E-2</v>
      </c>
      <c r="M1403" s="85"/>
      <c r="N1403" s="110">
        <v>1.3620000000000001</v>
      </c>
      <c r="O1403" s="74"/>
      <c r="P1403" s="73">
        <v>2823</v>
      </c>
      <c r="Q1403" s="74"/>
      <c r="R1403" s="75"/>
      <c r="S1403" s="75"/>
      <c r="T1403" s="75"/>
      <c r="U1403" s="75"/>
      <c r="V1403" s="75"/>
      <c r="W1403" s="74"/>
      <c r="X1403" s="76"/>
      <c r="Y1403" s="76"/>
      <c r="Z1403" s="76"/>
      <c r="AA1403" s="76"/>
      <c r="AB1403" s="76"/>
      <c r="AC1403" s="74"/>
      <c r="AD1403" s="77"/>
      <c r="AE1403" s="77"/>
      <c r="AF1403" s="77"/>
      <c r="AG1403" s="77"/>
      <c r="AH1403" s="77"/>
      <c r="AI1403" s="68"/>
      <c r="AJ1403" s="214">
        <v>1.2760000000000001E-4</v>
      </c>
      <c r="AK1403" s="214">
        <v>1.7219</v>
      </c>
      <c r="AL1403" s="214">
        <v>2</v>
      </c>
      <c r="AM1403" s="214">
        <v>3.76611E-4</v>
      </c>
      <c r="AN1403" s="74"/>
      <c r="AO1403" s="73"/>
      <c r="AP1403" s="73"/>
      <c r="AQ1403" s="73"/>
      <c r="AR1403" s="73"/>
      <c r="AS1403" s="73"/>
      <c r="AT1403" s="74"/>
      <c r="AU1403" s="47"/>
      <c r="AV1403" s="48"/>
    </row>
    <row r="1404" spans="1:48" ht="12.75" customHeight="1" x14ac:dyDescent="0.25">
      <c r="A1404" s="72" t="s">
        <v>119</v>
      </c>
      <c r="B1404" s="43" t="s">
        <v>1154</v>
      </c>
      <c r="C1404" s="44" t="s">
        <v>1559</v>
      </c>
      <c r="D1404" s="45">
        <f>MROUND(MID($C1404,6,3)/Basis!$E$3,0.5)</f>
        <v>7.5</v>
      </c>
      <c r="E1404" s="45">
        <f>MROUND(MID($C1404,9,3)/Basis!$E$3,0.5)</f>
        <v>145.5</v>
      </c>
      <c r="F1404" s="199" t="s">
        <v>2950</v>
      </c>
      <c r="G1404" s="45">
        <f>ROUND(MID($C1404,12,2)/Basis!$E$3,1)</f>
        <v>10.199999999999999</v>
      </c>
      <c r="H1404" s="120">
        <f>ROUND($P1404*Basis!$E$2*((TaH-TrH)/LN(1/µ)/Basis!$E$7)^$N1404*$AA$4*Glycol,0)</f>
        <v>3511</v>
      </c>
      <c r="I1404" s="83">
        <f>ROUND(H1404/(MID($C1404,9,3)/Basis!$E$3/Basis!$E$9)*Basis!$E$11,0)</f>
        <v>289</v>
      </c>
      <c r="J1404" s="123">
        <f>IF(Basis!$E$1=1,ROUND(H1404/((TaH-TrH)*1.163)/3600,3),ROUND(H1404/(500*(TaH-TrH)),2))</f>
        <v>0.35</v>
      </c>
      <c r="K1404" s="84"/>
      <c r="L1404" s="177">
        <f>CHOOSE(Basis!$E$1,((AJ1404*(J1404*3600/Basis!$E$5)^AK1404*(((MID(C1404,9,3)*10)-244)/1000)*AL1404+AM1404*(J1404*3600/Basis!$E$5)^2)*0.0098)/Basis!$E$10,((AJ1404*(J1404/Basis!$E$5)^AK1404*(((MID(C1404,9,3)*10)-244)/1000)*AL1404+AM1404*(J1404/Basis!$E$5)^2)*0.0098)/Basis!$E$10)</f>
        <v>2.5336710581626821E-2</v>
      </c>
      <c r="M1404" s="85"/>
      <c r="N1404" s="109">
        <v>1.3620000000000001</v>
      </c>
      <c r="O1404" s="68"/>
      <c r="P1404" s="67">
        <v>1613</v>
      </c>
      <c r="Q1404" s="68"/>
      <c r="R1404" s="69"/>
      <c r="S1404" s="69"/>
      <c r="T1404" s="69"/>
      <c r="U1404" s="69"/>
      <c r="V1404" s="69"/>
      <c r="W1404" s="68"/>
      <c r="X1404" s="70"/>
      <c r="Y1404" s="70"/>
      <c r="Z1404" s="70"/>
      <c r="AA1404" s="70"/>
      <c r="AB1404" s="70"/>
      <c r="AC1404" s="68"/>
      <c r="AD1404" s="71"/>
      <c r="AE1404" s="71"/>
      <c r="AF1404" s="71"/>
      <c r="AG1404" s="71"/>
      <c r="AH1404" s="71"/>
      <c r="AI1404" s="68"/>
      <c r="AJ1404" s="213">
        <v>3.9689999999999994E-4</v>
      </c>
      <c r="AK1404" s="213">
        <v>1.7345999999999999</v>
      </c>
      <c r="AL1404" s="213">
        <v>2</v>
      </c>
      <c r="AM1404" s="213">
        <v>3.6734700000000002E-4</v>
      </c>
      <c r="AN1404" s="68"/>
      <c r="AO1404" s="67"/>
      <c r="AP1404" s="67"/>
      <c r="AQ1404" s="67"/>
      <c r="AR1404" s="67"/>
      <c r="AS1404" s="67"/>
      <c r="AT1404" s="68"/>
      <c r="AU1404" s="49"/>
      <c r="AV1404" s="50"/>
    </row>
    <row r="1405" spans="1:48" ht="12.75" customHeight="1" x14ac:dyDescent="0.25">
      <c r="A1405" s="72" t="s">
        <v>119</v>
      </c>
      <c r="B1405" s="43" t="s">
        <v>1154</v>
      </c>
      <c r="C1405" s="44" t="s">
        <v>1560</v>
      </c>
      <c r="D1405" s="45">
        <f>MROUND(MID($C1405,6,3)/Basis!$E$3,0.5)</f>
        <v>7.5</v>
      </c>
      <c r="E1405" s="45">
        <f>MROUND(MID($C1405,9,3)/Basis!$E$3,0.5)</f>
        <v>145.5</v>
      </c>
      <c r="F1405" s="199" t="s">
        <v>2950</v>
      </c>
      <c r="G1405" s="45">
        <f>ROUND(MID($C1405,12,2)/Basis!$E$3,1)</f>
        <v>13.4</v>
      </c>
      <c r="H1405" s="120">
        <f>ROUND($P1405*Basis!$E$2*((TaH-TrH)/LN(1/µ)/Basis!$E$7)^$N1405*$AA$4*Glycol,0)</f>
        <v>4754</v>
      </c>
      <c r="I1405" s="83">
        <f>ROUND(H1405/(MID($C1405,9,3)/Basis!$E$3/Basis!$E$9)*Basis!$E$11,0)</f>
        <v>392</v>
      </c>
      <c r="J1405" s="123">
        <f>IF(Basis!$E$1=1,ROUND(H1405/((TaH-TrH)*1.163)/3600,3),ROUND(H1405/(500*(TaH-TrH)),2))</f>
        <v>0.48</v>
      </c>
      <c r="K1405" s="84"/>
      <c r="L1405" s="177">
        <f>CHOOSE(Basis!$E$1,((AJ1405*(J1405*3600/Basis!$E$5)^AK1405*(((MID(C1405,9,3)*10)-244)/1000)*AL1405+AM1405*(J1405*3600/Basis!$E$5)^2)*0.0098)/Basis!$E$10,((AJ1405*(J1405/Basis!$E$5)^AK1405*(((MID(C1405,9,3)*10)-244)/1000)*AL1405+AM1405*(J1405/Basis!$E$5)^2)*0.0098)/Basis!$E$10)</f>
        <v>3.3274697728155847E-2</v>
      </c>
      <c r="M1405" s="85"/>
      <c r="N1405" s="110">
        <v>1.3620000000000001</v>
      </c>
      <c r="O1405" s="74"/>
      <c r="P1405" s="73">
        <v>2184</v>
      </c>
      <c r="Q1405" s="74"/>
      <c r="R1405" s="75"/>
      <c r="S1405" s="75"/>
      <c r="T1405" s="75"/>
      <c r="U1405" s="75"/>
      <c r="V1405" s="75"/>
      <c r="W1405" s="74"/>
      <c r="X1405" s="76"/>
      <c r="Y1405" s="76"/>
      <c r="Z1405" s="76"/>
      <c r="AA1405" s="76"/>
      <c r="AB1405" s="76"/>
      <c r="AC1405" s="74"/>
      <c r="AD1405" s="77"/>
      <c r="AE1405" s="77"/>
      <c r="AF1405" s="77"/>
      <c r="AG1405" s="77"/>
      <c r="AH1405" s="77"/>
      <c r="AI1405" s="68"/>
      <c r="AJ1405" s="214">
        <v>2.0829999999999999E-4</v>
      </c>
      <c r="AK1405" s="214">
        <v>1.724</v>
      </c>
      <c r="AL1405" s="214">
        <v>2</v>
      </c>
      <c r="AM1405" s="214">
        <v>4.6182900000000003E-4</v>
      </c>
      <c r="AN1405" s="74"/>
      <c r="AO1405" s="73"/>
      <c r="AP1405" s="73"/>
      <c r="AQ1405" s="73"/>
      <c r="AR1405" s="73"/>
      <c r="AS1405" s="73"/>
      <c r="AT1405" s="74"/>
      <c r="AU1405" s="47"/>
      <c r="AV1405" s="48"/>
    </row>
    <row r="1406" spans="1:48" ht="12.75" customHeight="1" x14ac:dyDescent="0.25">
      <c r="A1406" s="72" t="s">
        <v>119</v>
      </c>
      <c r="B1406" s="43" t="s">
        <v>1154</v>
      </c>
      <c r="C1406" s="44" t="s">
        <v>1561</v>
      </c>
      <c r="D1406" s="45">
        <f>MROUND(MID($C1406,6,3)/Basis!$E$3,0.5)</f>
        <v>7.5</v>
      </c>
      <c r="E1406" s="45">
        <f>MROUND(MID($C1406,9,3)/Basis!$E$3,0.5)</f>
        <v>145.5</v>
      </c>
      <c r="F1406" s="199" t="s">
        <v>2950</v>
      </c>
      <c r="G1406" s="45">
        <f>ROUND(MID($C1406,12,2)/Basis!$E$3,1)</f>
        <v>16.5</v>
      </c>
      <c r="H1406" s="120">
        <f>ROUND($P1406*Basis!$E$2*((TaH-TrH)/LN(1/µ)/Basis!$E$7)^$N1406*$AA$4*Glycol,0)</f>
        <v>6528</v>
      </c>
      <c r="I1406" s="83">
        <f>ROUND(H1406/(MID($C1406,9,3)/Basis!$E$3/Basis!$E$9)*Basis!$E$11,0)</f>
        <v>538</v>
      </c>
      <c r="J1406" s="123">
        <f>IF(Basis!$E$1=1,ROUND(H1406/((TaH-TrH)*1.163)/3600,3),ROUND(H1406/(500*(TaH-TrH)),2))</f>
        <v>0.65</v>
      </c>
      <c r="K1406" s="84"/>
      <c r="L1406" s="177">
        <f>CHOOSE(Basis!$E$1,((AJ1406*(J1406*3600/Basis!$E$5)^AK1406*(((MID(C1406,9,3)*10)-244)/1000)*AL1406+AM1406*(J1406*3600/Basis!$E$5)^2)*0.0098)/Basis!$E$10,((AJ1406*(J1406/Basis!$E$5)^AK1406*(((MID(C1406,9,3)*10)-244)/1000)*AL1406+AM1406*(J1406/Basis!$E$5)^2)*0.0098)/Basis!$E$10)</f>
        <v>4.2508659137266251E-2</v>
      </c>
      <c r="M1406" s="85"/>
      <c r="N1406" s="109">
        <v>1.3620000000000001</v>
      </c>
      <c r="O1406" s="68"/>
      <c r="P1406" s="67">
        <v>2999</v>
      </c>
      <c r="Q1406" s="68"/>
      <c r="R1406" s="69"/>
      <c r="S1406" s="69"/>
      <c r="T1406" s="69"/>
      <c r="U1406" s="69"/>
      <c r="V1406" s="69"/>
      <c r="W1406" s="68"/>
      <c r="X1406" s="70"/>
      <c r="Y1406" s="70"/>
      <c r="Z1406" s="70"/>
      <c r="AA1406" s="70"/>
      <c r="AB1406" s="70"/>
      <c r="AC1406" s="68"/>
      <c r="AD1406" s="71"/>
      <c r="AE1406" s="71"/>
      <c r="AF1406" s="71"/>
      <c r="AG1406" s="71"/>
      <c r="AH1406" s="71"/>
      <c r="AI1406" s="68"/>
      <c r="AJ1406" s="214">
        <v>1.2760000000000001E-4</v>
      </c>
      <c r="AK1406" s="214">
        <v>1.7219</v>
      </c>
      <c r="AL1406" s="214">
        <v>2</v>
      </c>
      <c r="AM1406" s="214">
        <v>3.76611E-4</v>
      </c>
      <c r="AN1406" s="68"/>
      <c r="AO1406" s="67"/>
      <c r="AP1406" s="67"/>
      <c r="AQ1406" s="67"/>
      <c r="AR1406" s="67"/>
      <c r="AS1406" s="67"/>
      <c r="AT1406" s="68"/>
      <c r="AU1406" s="49"/>
      <c r="AV1406" s="50"/>
    </row>
    <row r="1407" spans="1:48" ht="12.75" customHeight="1" x14ac:dyDescent="0.25">
      <c r="A1407" s="72" t="s">
        <v>119</v>
      </c>
      <c r="B1407" s="43" t="s">
        <v>1154</v>
      </c>
      <c r="C1407" s="44" t="s">
        <v>1562</v>
      </c>
      <c r="D1407" s="45">
        <f>MROUND(MID($C1407,6,3)/Basis!$E$3,0.5)</f>
        <v>7.5</v>
      </c>
      <c r="E1407" s="45">
        <f>MROUND(MID($C1407,9,3)/Basis!$E$3,0.5)</f>
        <v>153.5</v>
      </c>
      <c r="F1407" s="199" t="s">
        <v>2950</v>
      </c>
      <c r="G1407" s="45">
        <f>ROUND(MID($C1407,12,2)/Basis!$E$3,1)</f>
        <v>10.199999999999999</v>
      </c>
      <c r="H1407" s="120">
        <f>ROUND($P1407*Basis!$E$2*((TaH-TrH)/LN(1/µ)/Basis!$E$7)^$N1407*$AA$4*Glycol,0)</f>
        <v>3716</v>
      </c>
      <c r="I1407" s="83">
        <f>ROUND(H1407/(MID($C1407,9,3)/Basis!$E$3/Basis!$E$9)*Basis!$E$11,0)</f>
        <v>290</v>
      </c>
      <c r="J1407" s="123">
        <f>IF(Basis!$E$1=1,ROUND(H1407/((TaH-TrH)*1.163)/3600,3),ROUND(H1407/(500*(TaH-TrH)),2))</f>
        <v>0.37</v>
      </c>
      <c r="K1407" s="84"/>
      <c r="L1407" s="177">
        <f>CHOOSE(Basis!$E$1,((AJ1407*(J1407*3600/Basis!$E$5)^AK1407*(((MID(C1407,9,3)*10)-244)/1000)*AL1407+AM1407*(J1407*3600/Basis!$E$5)^2)*0.0098)/Basis!$E$10,((AJ1407*(J1407/Basis!$E$5)^AK1407*(((MID(C1407,9,3)*10)-244)/1000)*AL1407+AM1407*(J1407/Basis!$E$5)^2)*0.0098)/Basis!$E$10)</f>
        <v>2.9155637983770785E-2</v>
      </c>
      <c r="M1407" s="85"/>
      <c r="N1407" s="110">
        <v>1.3620000000000001</v>
      </c>
      <c r="O1407" s="74"/>
      <c r="P1407" s="73">
        <v>1707</v>
      </c>
      <c r="Q1407" s="74"/>
      <c r="R1407" s="75"/>
      <c r="S1407" s="75"/>
      <c r="T1407" s="75"/>
      <c r="U1407" s="75"/>
      <c r="V1407" s="75"/>
      <c r="W1407" s="74"/>
      <c r="X1407" s="76"/>
      <c r="Y1407" s="76"/>
      <c r="Z1407" s="76"/>
      <c r="AA1407" s="76"/>
      <c r="AB1407" s="76"/>
      <c r="AC1407" s="74"/>
      <c r="AD1407" s="77"/>
      <c r="AE1407" s="77"/>
      <c r="AF1407" s="77"/>
      <c r="AG1407" s="77"/>
      <c r="AH1407" s="77"/>
      <c r="AI1407" s="68"/>
      <c r="AJ1407" s="213">
        <v>3.9689999999999994E-4</v>
      </c>
      <c r="AK1407" s="213">
        <v>1.7345999999999999</v>
      </c>
      <c r="AL1407" s="213">
        <v>2</v>
      </c>
      <c r="AM1407" s="213">
        <v>3.6734700000000002E-4</v>
      </c>
      <c r="AN1407" s="74"/>
      <c r="AO1407" s="73"/>
      <c r="AP1407" s="73"/>
      <c r="AQ1407" s="73"/>
      <c r="AR1407" s="73"/>
      <c r="AS1407" s="73"/>
      <c r="AT1407" s="74"/>
      <c r="AU1407" s="47"/>
      <c r="AV1407" s="48"/>
    </row>
    <row r="1408" spans="1:48" ht="12.75" customHeight="1" x14ac:dyDescent="0.25">
      <c r="A1408" s="72" t="s">
        <v>119</v>
      </c>
      <c r="B1408" s="43" t="s">
        <v>1154</v>
      </c>
      <c r="C1408" s="44" t="s">
        <v>1563</v>
      </c>
      <c r="D1408" s="45">
        <f>MROUND(MID($C1408,6,3)/Basis!$E$3,0.5)</f>
        <v>7.5</v>
      </c>
      <c r="E1408" s="45">
        <f>MROUND(MID($C1408,9,3)/Basis!$E$3,0.5)</f>
        <v>153.5</v>
      </c>
      <c r="F1408" s="199" t="s">
        <v>2950</v>
      </c>
      <c r="G1408" s="45">
        <f>ROUND(MID($C1408,12,2)/Basis!$E$3,1)</f>
        <v>13.4</v>
      </c>
      <c r="H1408" s="120">
        <f>ROUND($P1408*Basis!$E$2*((TaH-TrH)/LN(1/µ)/Basis!$E$7)^$N1408*$AA$4*Glycol,0)</f>
        <v>5033</v>
      </c>
      <c r="I1408" s="83">
        <f>ROUND(H1408/(MID($C1408,9,3)/Basis!$E$3/Basis!$E$9)*Basis!$E$11,0)</f>
        <v>393</v>
      </c>
      <c r="J1408" s="123">
        <f>IF(Basis!$E$1=1,ROUND(H1408/((TaH-TrH)*1.163)/3600,3),ROUND(H1408/(500*(TaH-TrH)),2))</f>
        <v>0.5</v>
      </c>
      <c r="K1408" s="84"/>
      <c r="L1408" s="177">
        <f>CHOOSE(Basis!$E$1,((AJ1408*(J1408*3600/Basis!$E$5)^AK1408*(((MID(C1408,9,3)*10)-244)/1000)*AL1408+AM1408*(J1408*3600/Basis!$E$5)^2)*0.0098)/Basis!$E$10,((AJ1408*(J1408/Basis!$E$5)^AK1408*(((MID(C1408,9,3)*10)-244)/1000)*AL1408+AM1408*(J1408/Basis!$E$5)^2)*0.0098)/Basis!$E$10)</f>
        <v>3.6870697576483702E-2</v>
      </c>
      <c r="M1408" s="85"/>
      <c r="N1408" s="109">
        <v>1.3620000000000001</v>
      </c>
      <c r="O1408" s="68"/>
      <c r="P1408" s="67">
        <v>2312</v>
      </c>
      <c r="Q1408" s="68"/>
      <c r="R1408" s="69"/>
      <c r="S1408" s="69"/>
      <c r="T1408" s="69"/>
      <c r="U1408" s="69"/>
      <c r="V1408" s="69"/>
      <c r="W1408" s="68"/>
      <c r="X1408" s="70"/>
      <c r="Y1408" s="70"/>
      <c r="Z1408" s="70"/>
      <c r="AA1408" s="70"/>
      <c r="AB1408" s="70"/>
      <c r="AC1408" s="68"/>
      <c r="AD1408" s="71"/>
      <c r="AE1408" s="71"/>
      <c r="AF1408" s="71"/>
      <c r="AG1408" s="71"/>
      <c r="AH1408" s="71"/>
      <c r="AI1408" s="68"/>
      <c r="AJ1408" s="214">
        <v>2.0829999999999999E-4</v>
      </c>
      <c r="AK1408" s="214">
        <v>1.724</v>
      </c>
      <c r="AL1408" s="214">
        <v>2</v>
      </c>
      <c r="AM1408" s="214">
        <v>4.6182900000000003E-4</v>
      </c>
      <c r="AN1408" s="68"/>
      <c r="AO1408" s="67"/>
      <c r="AP1408" s="67"/>
      <c r="AQ1408" s="67"/>
      <c r="AR1408" s="67"/>
      <c r="AS1408" s="67"/>
      <c r="AT1408" s="68"/>
      <c r="AU1408" s="49"/>
      <c r="AV1408" s="50"/>
    </row>
    <row r="1409" spans="1:48" ht="12.75" customHeight="1" x14ac:dyDescent="0.25">
      <c r="A1409" s="72" t="s">
        <v>119</v>
      </c>
      <c r="B1409" s="43" t="s">
        <v>1154</v>
      </c>
      <c r="C1409" s="44" t="s">
        <v>1564</v>
      </c>
      <c r="D1409" s="45">
        <f>MROUND(MID($C1409,6,3)/Basis!$E$3,0.5)</f>
        <v>7.5</v>
      </c>
      <c r="E1409" s="45">
        <f>MROUND(MID($C1409,9,3)/Basis!$E$3,0.5)</f>
        <v>153.5</v>
      </c>
      <c r="F1409" s="199" t="s">
        <v>2950</v>
      </c>
      <c r="G1409" s="45">
        <f>ROUND(MID($C1409,12,2)/Basis!$E$3,1)</f>
        <v>16.5</v>
      </c>
      <c r="H1409" s="120">
        <f>ROUND($P1409*Basis!$E$2*((TaH-TrH)/LN(1/µ)/Basis!$E$7)^$N1409*$AA$4*Glycol,0)</f>
        <v>6913</v>
      </c>
      <c r="I1409" s="83">
        <f>ROUND(H1409/(MID($C1409,9,3)/Basis!$E$3/Basis!$E$9)*Basis!$E$11,0)</f>
        <v>540</v>
      </c>
      <c r="J1409" s="123">
        <f>IF(Basis!$E$1=1,ROUND(H1409/((TaH-TrH)*1.163)/3600,3),ROUND(H1409/(500*(TaH-TrH)),2))</f>
        <v>0.69</v>
      </c>
      <c r="K1409" s="84"/>
      <c r="L1409" s="177">
        <f>CHOOSE(Basis!$E$1,((AJ1409*(J1409*3600/Basis!$E$5)^AK1409*(((MID(C1409,9,3)*10)-244)/1000)*AL1409+AM1409*(J1409*3600/Basis!$E$5)^2)*0.0098)/Basis!$E$10,((AJ1409*(J1409/Basis!$E$5)^AK1409*(((MID(C1409,9,3)*10)-244)/1000)*AL1409+AM1409*(J1409/Basis!$E$5)^2)*0.0098)/Basis!$E$10)</f>
        <v>4.8615683887895389E-2</v>
      </c>
      <c r="M1409" s="85"/>
      <c r="N1409" s="110">
        <v>1.3620000000000001</v>
      </c>
      <c r="O1409" s="74"/>
      <c r="P1409" s="73">
        <v>3176</v>
      </c>
      <c r="Q1409" s="74"/>
      <c r="R1409" s="75"/>
      <c r="S1409" s="75"/>
      <c r="T1409" s="75"/>
      <c r="U1409" s="75"/>
      <c r="V1409" s="75"/>
      <c r="W1409" s="74"/>
      <c r="X1409" s="76"/>
      <c r="Y1409" s="76"/>
      <c r="Z1409" s="76"/>
      <c r="AA1409" s="76"/>
      <c r="AB1409" s="76"/>
      <c r="AC1409" s="74"/>
      <c r="AD1409" s="77"/>
      <c r="AE1409" s="77"/>
      <c r="AF1409" s="77"/>
      <c r="AG1409" s="77"/>
      <c r="AH1409" s="77"/>
      <c r="AI1409" s="68"/>
      <c r="AJ1409" s="214">
        <v>1.2760000000000001E-4</v>
      </c>
      <c r="AK1409" s="214">
        <v>1.7219</v>
      </c>
      <c r="AL1409" s="214">
        <v>2</v>
      </c>
      <c r="AM1409" s="214">
        <v>3.76611E-4</v>
      </c>
      <c r="AN1409" s="74"/>
      <c r="AO1409" s="73"/>
      <c r="AP1409" s="73"/>
      <c r="AQ1409" s="73"/>
      <c r="AR1409" s="73"/>
      <c r="AS1409" s="73"/>
      <c r="AT1409" s="74"/>
      <c r="AU1409" s="47"/>
      <c r="AV1409" s="48"/>
    </row>
    <row r="1410" spans="1:48" ht="12.75" customHeight="1" x14ac:dyDescent="0.25">
      <c r="A1410" s="72" t="s">
        <v>119</v>
      </c>
      <c r="B1410" s="43" t="s">
        <v>1154</v>
      </c>
      <c r="C1410" s="44" t="s">
        <v>1565</v>
      </c>
      <c r="D1410" s="45">
        <f>MROUND(MID($C1410,6,3)/Basis!$E$3,0.5)</f>
        <v>7.5</v>
      </c>
      <c r="E1410" s="45">
        <f>MROUND(MID($C1410,9,3)/Basis!$E$3,0.5)</f>
        <v>161.5</v>
      </c>
      <c r="F1410" s="199" t="s">
        <v>2950</v>
      </c>
      <c r="G1410" s="45">
        <f>ROUND(MID($C1410,12,2)/Basis!$E$3,1)</f>
        <v>10.199999999999999</v>
      </c>
      <c r="H1410" s="120">
        <f>ROUND($P1410*Basis!$E$2*((TaH-TrH)/LN(1/µ)/Basis!$E$7)^$N1410*$AA$4*Glycol,0)</f>
        <v>3925</v>
      </c>
      <c r="I1410" s="83">
        <f>ROUND(H1410/(MID($C1410,9,3)/Basis!$E$3/Basis!$E$9)*Basis!$E$11,0)</f>
        <v>292</v>
      </c>
      <c r="J1410" s="123">
        <f>IF(Basis!$E$1=1,ROUND(H1410/((TaH-TrH)*1.163)/3600,3),ROUND(H1410/(500*(TaH-TrH)),2))</f>
        <v>0.39</v>
      </c>
      <c r="K1410" s="84"/>
      <c r="L1410" s="177">
        <f>CHOOSE(Basis!$E$1,((AJ1410*(J1410*3600/Basis!$E$5)^AK1410*(((MID(C1410,9,3)*10)-244)/1000)*AL1410+AM1410*(J1410*3600/Basis!$E$5)^2)*0.0098)/Basis!$E$10,((AJ1410*(J1410/Basis!$E$5)^AK1410*(((MID(C1410,9,3)*10)-244)/1000)*AL1410+AM1410*(J1410/Basis!$E$5)^2)*0.0098)/Basis!$E$10)</f>
        <v>3.3313164243475531E-2</v>
      </c>
      <c r="M1410" s="85"/>
      <c r="N1410" s="109">
        <v>1.3620000000000001</v>
      </c>
      <c r="O1410" s="68"/>
      <c r="P1410" s="67">
        <v>1803</v>
      </c>
      <c r="Q1410" s="68"/>
      <c r="R1410" s="69"/>
      <c r="S1410" s="69"/>
      <c r="T1410" s="69"/>
      <c r="U1410" s="69"/>
      <c r="V1410" s="69"/>
      <c r="W1410" s="68"/>
      <c r="X1410" s="70"/>
      <c r="Y1410" s="70"/>
      <c r="Z1410" s="70"/>
      <c r="AA1410" s="70"/>
      <c r="AB1410" s="70"/>
      <c r="AC1410" s="68"/>
      <c r="AD1410" s="71"/>
      <c r="AE1410" s="71"/>
      <c r="AF1410" s="71"/>
      <c r="AG1410" s="71"/>
      <c r="AH1410" s="71"/>
      <c r="AI1410" s="68"/>
      <c r="AJ1410" s="213">
        <v>3.9689999999999994E-4</v>
      </c>
      <c r="AK1410" s="213">
        <v>1.7345999999999999</v>
      </c>
      <c r="AL1410" s="213">
        <v>2</v>
      </c>
      <c r="AM1410" s="213">
        <v>3.6734700000000002E-4</v>
      </c>
      <c r="AN1410" s="68"/>
      <c r="AO1410" s="67"/>
      <c r="AP1410" s="67"/>
      <c r="AQ1410" s="67"/>
      <c r="AR1410" s="67"/>
      <c r="AS1410" s="67"/>
      <c r="AT1410" s="68"/>
      <c r="AU1410" s="49"/>
      <c r="AV1410" s="50"/>
    </row>
    <row r="1411" spans="1:48" ht="12.75" customHeight="1" x14ac:dyDescent="0.25">
      <c r="A1411" s="72" t="s">
        <v>119</v>
      </c>
      <c r="B1411" s="43" t="s">
        <v>1154</v>
      </c>
      <c r="C1411" s="44" t="s">
        <v>1566</v>
      </c>
      <c r="D1411" s="45">
        <f>MROUND(MID($C1411,6,3)/Basis!$E$3,0.5)</f>
        <v>7.5</v>
      </c>
      <c r="E1411" s="45">
        <f>MROUND(MID($C1411,9,3)/Basis!$E$3,0.5)</f>
        <v>161.5</v>
      </c>
      <c r="F1411" s="199" t="s">
        <v>2950</v>
      </c>
      <c r="G1411" s="45">
        <f>ROUND(MID($C1411,12,2)/Basis!$E$3,1)</f>
        <v>13.4</v>
      </c>
      <c r="H1411" s="120">
        <f>ROUND($P1411*Basis!$E$2*((TaH-TrH)/LN(1/µ)/Basis!$E$7)^$N1411*$AA$4*Glycol,0)</f>
        <v>5313</v>
      </c>
      <c r="I1411" s="83">
        <f>ROUND(H1411/(MID($C1411,9,3)/Basis!$E$3/Basis!$E$9)*Basis!$E$11,0)</f>
        <v>395</v>
      </c>
      <c r="J1411" s="123">
        <f>IF(Basis!$E$1=1,ROUND(H1411/((TaH-TrH)*1.163)/3600,3),ROUND(H1411/(500*(TaH-TrH)),2))</f>
        <v>0.53</v>
      </c>
      <c r="K1411" s="84"/>
      <c r="L1411" s="177">
        <f>CHOOSE(Basis!$E$1,((AJ1411*(J1411*3600/Basis!$E$5)^AK1411*(((MID(C1411,9,3)*10)-244)/1000)*AL1411+AM1411*(J1411*3600/Basis!$E$5)^2)*0.0098)/Basis!$E$10,((AJ1411*(J1411/Basis!$E$5)^AK1411*(((MID(C1411,9,3)*10)-244)/1000)*AL1411+AM1411*(J1411/Basis!$E$5)^2)*0.0098)/Basis!$E$10)</f>
        <v>4.2168312035710191E-2</v>
      </c>
      <c r="M1411" s="85"/>
      <c r="N1411" s="110">
        <v>1.3620000000000001</v>
      </c>
      <c r="O1411" s="74"/>
      <c r="P1411" s="73">
        <v>2441</v>
      </c>
      <c r="Q1411" s="74"/>
      <c r="R1411" s="75"/>
      <c r="S1411" s="75"/>
      <c r="T1411" s="75"/>
      <c r="U1411" s="75"/>
      <c r="V1411" s="75"/>
      <c r="W1411" s="74"/>
      <c r="X1411" s="76"/>
      <c r="Y1411" s="76"/>
      <c r="Z1411" s="76"/>
      <c r="AA1411" s="76"/>
      <c r="AB1411" s="76"/>
      <c r="AC1411" s="74"/>
      <c r="AD1411" s="77"/>
      <c r="AE1411" s="77"/>
      <c r="AF1411" s="77"/>
      <c r="AG1411" s="77"/>
      <c r="AH1411" s="77"/>
      <c r="AI1411" s="68"/>
      <c r="AJ1411" s="214">
        <v>2.0829999999999999E-4</v>
      </c>
      <c r="AK1411" s="214">
        <v>1.724</v>
      </c>
      <c r="AL1411" s="214">
        <v>2</v>
      </c>
      <c r="AM1411" s="214">
        <v>4.6182900000000003E-4</v>
      </c>
      <c r="AN1411" s="74"/>
      <c r="AO1411" s="73"/>
      <c r="AP1411" s="73"/>
      <c r="AQ1411" s="73"/>
      <c r="AR1411" s="73"/>
      <c r="AS1411" s="73"/>
      <c r="AT1411" s="74"/>
      <c r="AU1411" s="47"/>
      <c r="AV1411" s="48"/>
    </row>
    <row r="1412" spans="1:48" ht="12.75" customHeight="1" x14ac:dyDescent="0.25">
      <c r="A1412" s="72" t="s">
        <v>119</v>
      </c>
      <c r="B1412" s="43" t="s">
        <v>1154</v>
      </c>
      <c r="C1412" s="44" t="s">
        <v>1567</v>
      </c>
      <c r="D1412" s="45">
        <f>MROUND(MID($C1412,6,3)/Basis!$E$3,0.5)</f>
        <v>7.5</v>
      </c>
      <c r="E1412" s="45">
        <f>MROUND(MID($C1412,9,3)/Basis!$E$3,0.5)</f>
        <v>161.5</v>
      </c>
      <c r="F1412" s="199" t="s">
        <v>2950</v>
      </c>
      <c r="G1412" s="45">
        <f>ROUND(MID($C1412,12,2)/Basis!$E$3,1)</f>
        <v>16.5</v>
      </c>
      <c r="H1412" s="120">
        <f>ROUND($P1412*Basis!$E$2*((TaH-TrH)/LN(1/µ)/Basis!$E$7)^$N1412*$AA$4*Glycol,0)</f>
        <v>7296</v>
      </c>
      <c r="I1412" s="83">
        <f>ROUND(H1412/(MID($C1412,9,3)/Basis!$E$3/Basis!$E$9)*Basis!$E$11,0)</f>
        <v>542</v>
      </c>
      <c r="J1412" s="123">
        <f>IF(Basis!$E$1=1,ROUND(H1412/((TaH-TrH)*1.163)/3600,3),ROUND(H1412/(500*(TaH-TrH)),2))</f>
        <v>0.73</v>
      </c>
      <c r="K1412" s="84"/>
      <c r="L1412" s="177">
        <f>CHOOSE(Basis!$E$1,((AJ1412*(J1412*3600/Basis!$E$5)^AK1412*(((MID(C1412,9,3)*10)-244)/1000)*AL1412+AM1412*(J1412*3600/Basis!$E$5)^2)*0.0098)/Basis!$E$10,((AJ1412*(J1412/Basis!$E$5)^AK1412*(((MID(C1412,9,3)*10)-244)/1000)*AL1412+AM1412*(J1412/Basis!$E$5)^2)*0.0098)/Basis!$E$10)</f>
        <v>5.5203365780368614E-2</v>
      </c>
      <c r="M1412" s="85"/>
      <c r="N1412" s="109">
        <v>1.3620000000000001</v>
      </c>
      <c r="O1412" s="68"/>
      <c r="P1412" s="67">
        <v>3352</v>
      </c>
      <c r="Q1412" s="68"/>
      <c r="R1412" s="69"/>
      <c r="S1412" s="69"/>
      <c r="T1412" s="69"/>
      <c r="U1412" s="69"/>
      <c r="V1412" s="69"/>
      <c r="W1412" s="68"/>
      <c r="X1412" s="70"/>
      <c r="Y1412" s="70"/>
      <c r="Z1412" s="70"/>
      <c r="AA1412" s="70"/>
      <c r="AB1412" s="70"/>
      <c r="AC1412" s="68"/>
      <c r="AD1412" s="71"/>
      <c r="AE1412" s="71"/>
      <c r="AF1412" s="71"/>
      <c r="AG1412" s="71"/>
      <c r="AH1412" s="71"/>
      <c r="AI1412" s="68"/>
      <c r="AJ1412" s="214">
        <v>1.2760000000000001E-4</v>
      </c>
      <c r="AK1412" s="214">
        <v>1.7219</v>
      </c>
      <c r="AL1412" s="214">
        <v>2</v>
      </c>
      <c r="AM1412" s="214">
        <v>3.76611E-4</v>
      </c>
      <c r="AN1412" s="68"/>
      <c r="AO1412" s="67"/>
      <c r="AP1412" s="67"/>
      <c r="AQ1412" s="67"/>
      <c r="AR1412" s="67"/>
      <c r="AS1412" s="67"/>
      <c r="AT1412" s="68"/>
      <c r="AU1412" s="49"/>
      <c r="AV1412" s="50"/>
    </row>
    <row r="1413" spans="1:48" ht="12.75" customHeight="1" x14ac:dyDescent="0.25">
      <c r="A1413" s="72" t="s">
        <v>119</v>
      </c>
      <c r="B1413" s="43" t="s">
        <v>1154</v>
      </c>
      <c r="C1413" s="44" t="s">
        <v>1568</v>
      </c>
      <c r="D1413" s="45">
        <f>MROUND(MID($C1413,6,3)/Basis!$E$3,0.5)</f>
        <v>7.5</v>
      </c>
      <c r="E1413" s="45">
        <f>MROUND(MID($C1413,9,3)/Basis!$E$3,0.5)</f>
        <v>169.5</v>
      </c>
      <c r="F1413" s="199" t="s">
        <v>2950</v>
      </c>
      <c r="G1413" s="45">
        <f>ROUND(MID($C1413,12,2)/Basis!$E$3,1)</f>
        <v>10.199999999999999</v>
      </c>
      <c r="H1413" s="120">
        <f>ROUND($P1413*Basis!$E$2*((TaH-TrH)/LN(1/µ)/Basis!$E$7)^$N1413*$AA$4*Glycol,0)</f>
        <v>4129</v>
      </c>
      <c r="I1413" s="83">
        <f>ROUND(H1413/(MID($C1413,9,3)/Basis!$E$3/Basis!$E$9)*Basis!$E$11,0)</f>
        <v>293</v>
      </c>
      <c r="J1413" s="123">
        <f>IF(Basis!$E$1=1,ROUND(H1413/((TaH-TrH)*1.163)/3600,3),ROUND(H1413/(500*(TaH-TrH)),2))</f>
        <v>0.41</v>
      </c>
      <c r="K1413" s="84"/>
      <c r="L1413" s="177">
        <f>CHOOSE(Basis!$E$1,((AJ1413*(J1413*3600/Basis!$E$5)^AK1413*(((MID(C1413,9,3)*10)-244)/1000)*AL1413+AM1413*(J1413*3600/Basis!$E$5)^2)*0.0098)/Basis!$E$10,((AJ1413*(J1413/Basis!$E$5)^AK1413*(((MID(C1413,9,3)*10)-244)/1000)*AL1413+AM1413*(J1413/Basis!$E$5)^2)*0.0098)/Basis!$E$10)</f>
        <v>3.782073653265549E-2</v>
      </c>
      <c r="M1413" s="85"/>
      <c r="N1413" s="110">
        <v>1.3620000000000001</v>
      </c>
      <c r="O1413" s="74"/>
      <c r="P1413" s="73">
        <v>1897</v>
      </c>
      <c r="Q1413" s="74"/>
      <c r="R1413" s="75"/>
      <c r="S1413" s="75"/>
      <c r="T1413" s="75"/>
      <c r="U1413" s="75"/>
      <c r="V1413" s="75"/>
      <c r="W1413" s="74"/>
      <c r="X1413" s="76"/>
      <c r="Y1413" s="76"/>
      <c r="Z1413" s="76"/>
      <c r="AA1413" s="76"/>
      <c r="AB1413" s="76"/>
      <c r="AC1413" s="74"/>
      <c r="AD1413" s="77"/>
      <c r="AE1413" s="77"/>
      <c r="AF1413" s="77"/>
      <c r="AG1413" s="77"/>
      <c r="AH1413" s="77"/>
      <c r="AI1413" s="68"/>
      <c r="AJ1413" s="213">
        <v>3.9689999999999994E-4</v>
      </c>
      <c r="AK1413" s="213">
        <v>1.7345999999999999</v>
      </c>
      <c r="AL1413" s="213">
        <v>2</v>
      </c>
      <c r="AM1413" s="213">
        <v>3.6734700000000002E-4</v>
      </c>
      <c r="AN1413" s="74"/>
      <c r="AO1413" s="73"/>
      <c r="AP1413" s="73"/>
      <c r="AQ1413" s="73"/>
      <c r="AR1413" s="73"/>
      <c r="AS1413" s="73"/>
      <c r="AT1413" s="74"/>
      <c r="AU1413" s="47"/>
      <c r="AV1413" s="48"/>
    </row>
    <row r="1414" spans="1:48" ht="12.75" customHeight="1" x14ac:dyDescent="0.25">
      <c r="A1414" s="72" t="s">
        <v>119</v>
      </c>
      <c r="B1414" s="43" t="s">
        <v>1154</v>
      </c>
      <c r="C1414" s="44" t="s">
        <v>1569</v>
      </c>
      <c r="D1414" s="45">
        <f>MROUND(MID($C1414,6,3)/Basis!$E$3,0.5)</f>
        <v>7.5</v>
      </c>
      <c r="E1414" s="45">
        <f>MROUND(MID($C1414,9,3)/Basis!$E$3,0.5)</f>
        <v>169.5</v>
      </c>
      <c r="F1414" s="199" t="s">
        <v>2950</v>
      </c>
      <c r="G1414" s="45">
        <f>ROUND(MID($C1414,12,2)/Basis!$E$3,1)</f>
        <v>13.4</v>
      </c>
      <c r="H1414" s="120">
        <f>ROUND($P1414*Basis!$E$2*((TaH-TrH)/LN(1/µ)/Basis!$E$7)^$N1414*$AA$4*Glycol,0)</f>
        <v>5594</v>
      </c>
      <c r="I1414" s="83">
        <f>ROUND(H1414/(MID($C1414,9,3)/Basis!$E$3/Basis!$E$9)*Basis!$E$11,0)</f>
        <v>397</v>
      </c>
      <c r="J1414" s="123">
        <f>IF(Basis!$E$1=1,ROUND(H1414/((TaH-TrH)*1.163)/3600,3),ROUND(H1414/(500*(TaH-TrH)),2))</f>
        <v>0.56000000000000005</v>
      </c>
      <c r="K1414" s="84"/>
      <c r="L1414" s="177">
        <f>CHOOSE(Basis!$E$1,((AJ1414*(J1414*3600/Basis!$E$5)^AK1414*(((MID(C1414,9,3)*10)-244)/1000)*AL1414+AM1414*(J1414*3600/Basis!$E$5)^2)*0.0098)/Basis!$E$10,((AJ1414*(J1414/Basis!$E$5)^AK1414*(((MID(C1414,9,3)*10)-244)/1000)*AL1414+AM1414*(J1414/Basis!$E$5)^2)*0.0098)/Basis!$E$10)</f>
        <v>4.7892622188200437E-2</v>
      </c>
      <c r="M1414" s="85"/>
      <c r="N1414" s="109">
        <v>1.3620000000000001</v>
      </c>
      <c r="O1414" s="68"/>
      <c r="P1414" s="67">
        <v>2570</v>
      </c>
      <c r="Q1414" s="68"/>
      <c r="R1414" s="69"/>
      <c r="S1414" s="69"/>
      <c r="T1414" s="69"/>
      <c r="U1414" s="69"/>
      <c r="V1414" s="69"/>
      <c r="W1414" s="68"/>
      <c r="X1414" s="70"/>
      <c r="Y1414" s="70"/>
      <c r="Z1414" s="70"/>
      <c r="AA1414" s="70"/>
      <c r="AB1414" s="70"/>
      <c r="AC1414" s="68"/>
      <c r="AD1414" s="71"/>
      <c r="AE1414" s="71"/>
      <c r="AF1414" s="71"/>
      <c r="AG1414" s="71"/>
      <c r="AH1414" s="71"/>
      <c r="AI1414" s="68"/>
      <c r="AJ1414" s="214">
        <v>2.0829999999999999E-4</v>
      </c>
      <c r="AK1414" s="214">
        <v>1.724</v>
      </c>
      <c r="AL1414" s="214">
        <v>2</v>
      </c>
      <c r="AM1414" s="214">
        <v>4.6182900000000003E-4</v>
      </c>
      <c r="AN1414" s="68"/>
      <c r="AO1414" s="67"/>
      <c r="AP1414" s="67"/>
      <c r="AQ1414" s="67"/>
      <c r="AR1414" s="67"/>
      <c r="AS1414" s="67"/>
      <c r="AT1414" s="68"/>
      <c r="AU1414" s="49"/>
      <c r="AV1414" s="50"/>
    </row>
    <row r="1415" spans="1:48" ht="12.75" customHeight="1" x14ac:dyDescent="0.25">
      <c r="A1415" s="72" t="s">
        <v>119</v>
      </c>
      <c r="B1415" s="43" t="s">
        <v>1154</v>
      </c>
      <c r="C1415" s="44" t="s">
        <v>1570</v>
      </c>
      <c r="D1415" s="45">
        <f>MROUND(MID($C1415,6,3)/Basis!$E$3,0.5)</f>
        <v>7.5</v>
      </c>
      <c r="E1415" s="45">
        <f>MROUND(MID($C1415,9,3)/Basis!$E$3,0.5)</f>
        <v>169.5</v>
      </c>
      <c r="F1415" s="199" t="s">
        <v>2950</v>
      </c>
      <c r="G1415" s="45">
        <f>ROUND(MID($C1415,12,2)/Basis!$E$3,1)</f>
        <v>16.5</v>
      </c>
      <c r="H1415" s="120">
        <f>ROUND($P1415*Basis!$E$2*((TaH-TrH)/LN(1/µ)/Basis!$E$7)^$N1415*$AA$4*Glycol,0)</f>
        <v>7682</v>
      </c>
      <c r="I1415" s="83">
        <f>ROUND(H1415/(MID($C1415,9,3)/Basis!$E$3/Basis!$E$9)*Basis!$E$11,0)</f>
        <v>545</v>
      </c>
      <c r="J1415" s="123">
        <f>IF(Basis!$E$1=1,ROUND(H1415/((TaH-TrH)*1.163)/3600,3),ROUND(H1415/(500*(TaH-TrH)),2))</f>
        <v>0.77</v>
      </c>
      <c r="K1415" s="84"/>
      <c r="L1415" s="177">
        <f>CHOOSE(Basis!$E$1,((AJ1415*(J1415*3600/Basis!$E$5)^AK1415*(((MID(C1415,9,3)*10)-244)/1000)*AL1415+AM1415*(J1415*3600/Basis!$E$5)^2)*0.0098)/Basis!$E$10,((AJ1415*(J1415/Basis!$E$5)^AK1415*(((MID(C1415,9,3)*10)-244)/1000)*AL1415+AM1415*(J1415/Basis!$E$5)^2)*0.0098)/Basis!$E$10)</f>
        <v>6.2282976619858627E-2</v>
      </c>
      <c r="M1415" s="85"/>
      <c r="N1415" s="110">
        <v>1.3620000000000001</v>
      </c>
      <c r="O1415" s="74"/>
      <c r="P1415" s="73">
        <v>3529</v>
      </c>
      <c r="Q1415" s="74"/>
      <c r="R1415" s="75"/>
      <c r="S1415" s="75"/>
      <c r="T1415" s="75"/>
      <c r="U1415" s="75"/>
      <c r="V1415" s="75"/>
      <c r="W1415" s="74"/>
      <c r="X1415" s="76"/>
      <c r="Y1415" s="76"/>
      <c r="Z1415" s="76"/>
      <c r="AA1415" s="76"/>
      <c r="AB1415" s="76"/>
      <c r="AC1415" s="74"/>
      <c r="AD1415" s="77"/>
      <c r="AE1415" s="77"/>
      <c r="AF1415" s="77"/>
      <c r="AG1415" s="77"/>
      <c r="AH1415" s="77"/>
      <c r="AI1415" s="68"/>
      <c r="AJ1415" s="214">
        <v>1.2760000000000001E-4</v>
      </c>
      <c r="AK1415" s="214">
        <v>1.7219</v>
      </c>
      <c r="AL1415" s="214">
        <v>2</v>
      </c>
      <c r="AM1415" s="214">
        <v>3.76611E-4</v>
      </c>
      <c r="AN1415" s="74"/>
      <c r="AO1415" s="73"/>
      <c r="AP1415" s="73"/>
      <c r="AQ1415" s="73"/>
      <c r="AR1415" s="73"/>
      <c r="AS1415" s="73"/>
      <c r="AT1415" s="74"/>
      <c r="AU1415" s="47"/>
      <c r="AV1415" s="48"/>
    </row>
    <row r="1416" spans="1:48" ht="12.75" customHeight="1" x14ac:dyDescent="0.25">
      <c r="A1416" s="72" t="s">
        <v>119</v>
      </c>
      <c r="B1416" s="43" t="s">
        <v>1154</v>
      </c>
      <c r="C1416" s="44" t="s">
        <v>1571</v>
      </c>
      <c r="D1416" s="45">
        <f>MROUND(MID($C1416,6,3)/Basis!$E$3,0.5)</f>
        <v>7.5</v>
      </c>
      <c r="E1416" s="45">
        <f>MROUND(MID($C1416,9,3)/Basis!$E$3,0.5)</f>
        <v>177</v>
      </c>
      <c r="F1416" s="199" t="s">
        <v>2950</v>
      </c>
      <c r="G1416" s="45">
        <f>ROUND(MID($C1416,12,2)/Basis!$E$3,1)</f>
        <v>10.199999999999999</v>
      </c>
      <c r="H1416" s="120">
        <f>ROUND($P1416*Basis!$E$2*((TaH-TrH)/LN(1/µ)/Basis!$E$7)^$N1416*$AA$4*Glycol,0)</f>
        <v>4336</v>
      </c>
      <c r="I1416" s="83">
        <f>ROUND(H1416/(MID($C1416,9,3)/Basis!$E$3/Basis!$E$9)*Basis!$E$11,0)</f>
        <v>294</v>
      </c>
      <c r="J1416" s="123">
        <f>IF(Basis!$E$1=1,ROUND(H1416/((TaH-TrH)*1.163)/3600,3),ROUND(H1416/(500*(TaH-TrH)),2))</f>
        <v>0.43</v>
      </c>
      <c r="K1416" s="84"/>
      <c r="L1416" s="177">
        <f>CHOOSE(Basis!$E$1,((AJ1416*(J1416*3600/Basis!$E$5)^AK1416*(((MID(C1416,9,3)*10)-244)/1000)*AL1416+AM1416*(J1416*3600/Basis!$E$5)^2)*0.0098)/Basis!$E$10,((AJ1416*(J1416/Basis!$E$5)^AK1416*(((MID(C1416,9,3)*10)-244)/1000)*AL1416+AM1416*(J1416/Basis!$E$5)^2)*0.0098)/Basis!$E$10)</f>
        <v>4.2689646482362932E-2</v>
      </c>
      <c r="M1416" s="85"/>
      <c r="N1416" s="109">
        <v>1.3620000000000001</v>
      </c>
      <c r="O1416" s="68"/>
      <c r="P1416" s="67">
        <v>1992</v>
      </c>
      <c r="Q1416" s="68"/>
      <c r="R1416" s="69"/>
      <c r="S1416" s="69"/>
      <c r="T1416" s="69"/>
      <c r="U1416" s="69"/>
      <c r="V1416" s="69"/>
      <c r="W1416" s="68"/>
      <c r="X1416" s="70"/>
      <c r="Y1416" s="70"/>
      <c r="Z1416" s="70"/>
      <c r="AA1416" s="70"/>
      <c r="AB1416" s="70"/>
      <c r="AC1416" s="68"/>
      <c r="AD1416" s="71"/>
      <c r="AE1416" s="71"/>
      <c r="AF1416" s="71"/>
      <c r="AG1416" s="71"/>
      <c r="AH1416" s="71"/>
      <c r="AI1416" s="68"/>
      <c r="AJ1416" s="213">
        <v>3.9689999999999994E-4</v>
      </c>
      <c r="AK1416" s="213">
        <v>1.7345999999999999</v>
      </c>
      <c r="AL1416" s="213">
        <v>2</v>
      </c>
      <c r="AM1416" s="213">
        <v>3.6734700000000002E-4</v>
      </c>
      <c r="AN1416" s="68"/>
      <c r="AO1416" s="67"/>
      <c r="AP1416" s="67"/>
      <c r="AQ1416" s="67"/>
      <c r="AR1416" s="67"/>
      <c r="AS1416" s="67"/>
      <c r="AT1416" s="68"/>
      <c r="AU1416" s="49"/>
      <c r="AV1416" s="50"/>
    </row>
    <row r="1417" spans="1:48" ht="12.75" customHeight="1" x14ac:dyDescent="0.25">
      <c r="A1417" s="72" t="s">
        <v>119</v>
      </c>
      <c r="B1417" s="43" t="s">
        <v>1154</v>
      </c>
      <c r="C1417" s="44" t="s">
        <v>1572</v>
      </c>
      <c r="D1417" s="45">
        <f>MROUND(MID($C1417,6,3)/Basis!$E$3,0.5)</f>
        <v>7.5</v>
      </c>
      <c r="E1417" s="45">
        <f>MROUND(MID($C1417,9,3)/Basis!$E$3,0.5)</f>
        <v>177</v>
      </c>
      <c r="F1417" s="199" t="s">
        <v>2950</v>
      </c>
      <c r="G1417" s="45">
        <f>ROUND(MID($C1417,12,2)/Basis!$E$3,1)</f>
        <v>13.4</v>
      </c>
      <c r="H1417" s="120">
        <f>ROUND($P1417*Basis!$E$2*((TaH-TrH)/LN(1/µ)/Basis!$E$7)^$N1417*$AA$4*Glycol,0)</f>
        <v>5873</v>
      </c>
      <c r="I1417" s="83">
        <f>ROUND(H1417/(MID($C1417,9,3)/Basis!$E$3/Basis!$E$9)*Basis!$E$11,0)</f>
        <v>398</v>
      </c>
      <c r="J1417" s="123">
        <f>IF(Basis!$E$1=1,ROUND(H1417/((TaH-TrH)*1.163)/3600,3),ROUND(H1417/(500*(TaH-TrH)),2))</f>
        <v>0.59</v>
      </c>
      <c r="K1417" s="84"/>
      <c r="L1417" s="177">
        <f>CHOOSE(Basis!$E$1,((AJ1417*(J1417*3600/Basis!$E$5)^AK1417*(((MID(C1417,9,3)*10)-244)/1000)*AL1417+AM1417*(J1417*3600/Basis!$E$5)^2)*0.0098)/Basis!$E$10,((AJ1417*(J1417/Basis!$E$5)^AK1417*(((MID(C1417,9,3)*10)-244)/1000)*AL1417+AM1417*(J1417/Basis!$E$5)^2)*0.0098)/Basis!$E$10)</f>
        <v>5.405490183913176E-2</v>
      </c>
      <c r="M1417" s="85"/>
      <c r="N1417" s="110">
        <v>1.3620000000000001</v>
      </c>
      <c r="O1417" s="74"/>
      <c r="P1417" s="73">
        <v>2698</v>
      </c>
      <c r="Q1417" s="74"/>
      <c r="R1417" s="75"/>
      <c r="S1417" s="75"/>
      <c r="T1417" s="75"/>
      <c r="U1417" s="75"/>
      <c r="V1417" s="75"/>
      <c r="W1417" s="74"/>
      <c r="X1417" s="76"/>
      <c r="Y1417" s="76"/>
      <c r="Z1417" s="76"/>
      <c r="AA1417" s="76"/>
      <c r="AB1417" s="76"/>
      <c r="AC1417" s="74"/>
      <c r="AD1417" s="77"/>
      <c r="AE1417" s="77"/>
      <c r="AF1417" s="77"/>
      <c r="AG1417" s="77"/>
      <c r="AH1417" s="77"/>
      <c r="AI1417" s="68"/>
      <c r="AJ1417" s="214">
        <v>2.0829999999999999E-4</v>
      </c>
      <c r="AK1417" s="214">
        <v>1.724</v>
      </c>
      <c r="AL1417" s="214">
        <v>2</v>
      </c>
      <c r="AM1417" s="214">
        <v>4.6182900000000003E-4</v>
      </c>
      <c r="AN1417" s="74"/>
      <c r="AO1417" s="73"/>
      <c r="AP1417" s="73"/>
      <c r="AQ1417" s="73"/>
      <c r="AR1417" s="73"/>
      <c r="AS1417" s="73"/>
      <c r="AT1417" s="74"/>
      <c r="AU1417" s="47"/>
      <c r="AV1417" s="48"/>
    </row>
    <row r="1418" spans="1:48" ht="12.75" customHeight="1" x14ac:dyDescent="0.25">
      <c r="A1418" s="72" t="s">
        <v>119</v>
      </c>
      <c r="B1418" s="43" t="s">
        <v>1154</v>
      </c>
      <c r="C1418" s="44" t="s">
        <v>1573</v>
      </c>
      <c r="D1418" s="45">
        <f>MROUND(MID($C1418,6,3)/Basis!$E$3,0.5)</f>
        <v>7.5</v>
      </c>
      <c r="E1418" s="45">
        <f>MROUND(MID($C1418,9,3)/Basis!$E$3,0.5)</f>
        <v>177</v>
      </c>
      <c r="F1418" s="199" t="s">
        <v>2950</v>
      </c>
      <c r="G1418" s="45">
        <f>ROUND(MID($C1418,12,2)/Basis!$E$3,1)</f>
        <v>16.5</v>
      </c>
      <c r="H1418" s="120">
        <f>ROUND($P1418*Basis!$E$2*((TaH-TrH)/LN(1/µ)/Basis!$E$7)^$N1418*$AA$4*Glycol,0)</f>
        <v>8065</v>
      </c>
      <c r="I1418" s="83">
        <f>ROUND(H1418/(MID($C1418,9,3)/Basis!$E$3/Basis!$E$9)*Basis!$E$11,0)</f>
        <v>546</v>
      </c>
      <c r="J1418" s="123">
        <f>IF(Basis!$E$1=1,ROUND(H1418/((TaH-TrH)*1.163)/3600,3),ROUND(H1418/(500*(TaH-TrH)),2))</f>
        <v>0.81</v>
      </c>
      <c r="K1418" s="84"/>
      <c r="L1418" s="177">
        <f>CHOOSE(Basis!$E$1,((AJ1418*(J1418*3600/Basis!$E$5)^AK1418*(((MID(C1418,9,3)*10)-244)/1000)*AL1418+AM1418*(J1418*3600/Basis!$E$5)^2)*0.0098)/Basis!$E$10,((AJ1418*(J1418/Basis!$E$5)^AK1418*(((MID(C1418,9,3)*10)-244)/1000)*AL1418+AM1418*(J1418/Basis!$E$5)^2)*0.0098)/Basis!$E$10)</f>
        <v>6.9865621085974064E-2</v>
      </c>
      <c r="M1418" s="85"/>
      <c r="N1418" s="109">
        <v>1.3620000000000001</v>
      </c>
      <c r="O1418" s="68"/>
      <c r="P1418" s="67">
        <v>3705</v>
      </c>
      <c r="Q1418" s="68"/>
      <c r="R1418" s="69"/>
      <c r="S1418" s="69"/>
      <c r="T1418" s="69"/>
      <c r="U1418" s="69"/>
      <c r="V1418" s="69"/>
      <c r="W1418" s="68"/>
      <c r="X1418" s="70"/>
      <c r="Y1418" s="70"/>
      <c r="Z1418" s="70"/>
      <c r="AA1418" s="70"/>
      <c r="AB1418" s="70"/>
      <c r="AC1418" s="68"/>
      <c r="AD1418" s="71"/>
      <c r="AE1418" s="71"/>
      <c r="AF1418" s="71"/>
      <c r="AG1418" s="71"/>
      <c r="AH1418" s="71"/>
      <c r="AI1418" s="68"/>
      <c r="AJ1418" s="214">
        <v>1.2760000000000001E-4</v>
      </c>
      <c r="AK1418" s="214">
        <v>1.7219</v>
      </c>
      <c r="AL1418" s="214">
        <v>2</v>
      </c>
      <c r="AM1418" s="214">
        <v>3.76611E-4</v>
      </c>
      <c r="AN1418" s="68"/>
      <c r="AO1418" s="67"/>
      <c r="AP1418" s="67"/>
      <c r="AQ1418" s="67"/>
      <c r="AR1418" s="67"/>
      <c r="AS1418" s="67"/>
      <c r="AT1418" s="68"/>
      <c r="AU1418" s="49"/>
      <c r="AV1418" s="50"/>
    </row>
    <row r="1419" spans="1:48" ht="12.75" customHeight="1" x14ac:dyDescent="0.25">
      <c r="A1419" s="72" t="s">
        <v>119</v>
      </c>
      <c r="B1419" s="43" t="s">
        <v>1154</v>
      </c>
      <c r="C1419" s="44" t="s">
        <v>1574</v>
      </c>
      <c r="D1419" s="45">
        <f>MROUND(MID($C1419,6,3)/Basis!$E$3,0.5)</f>
        <v>7.5</v>
      </c>
      <c r="E1419" s="45">
        <f>MROUND(MID($C1419,9,3)/Basis!$E$3,0.5)</f>
        <v>185</v>
      </c>
      <c r="F1419" s="199" t="s">
        <v>2950</v>
      </c>
      <c r="G1419" s="45">
        <f>ROUND(MID($C1419,12,2)/Basis!$E$3,1)</f>
        <v>10.199999999999999</v>
      </c>
      <c r="H1419" s="120">
        <f>ROUND($P1419*Basis!$E$2*((TaH-TrH)/LN(1/µ)/Basis!$E$7)^$N1419*$AA$4*Glycol,0)</f>
        <v>4543</v>
      </c>
      <c r="I1419" s="83">
        <f>ROUND(H1419/(MID($C1419,9,3)/Basis!$E$3/Basis!$E$9)*Basis!$E$11,0)</f>
        <v>295</v>
      </c>
      <c r="J1419" s="123">
        <f>IF(Basis!$E$1=1,ROUND(H1419/((TaH-TrH)*1.163)/3600,3),ROUND(H1419/(500*(TaH-TrH)),2))</f>
        <v>0.45</v>
      </c>
      <c r="K1419" s="84"/>
      <c r="L1419" s="177">
        <f>CHOOSE(Basis!$E$1,((AJ1419*(J1419*3600/Basis!$E$5)^AK1419*(((MID(C1419,9,3)*10)-244)/1000)*AL1419+AM1419*(J1419*3600/Basis!$E$5)^2)*0.0098)/Basis!$E$10,((AJ1419*(J1419/Basis!$E$5)^AK1419*(((MID(C1419,9,3)*10)-244)/1000)*AL1419+AM1419*(J1419/Basis!$E$5)^2)*0.0098)/Basis!$E$10)</f>
        <v>4.7931039775650129E-2</v>
      </c>
      <c r="M1419" s="85"/>
      <c r="N1419" s="110">
        <v>1.3620000000000001</v>
      </c>
      <c r="O1419" s="74"/>
      <c r="P1419" s="73">
        <v>2087</v>
      </c>
      <c r="Q1419" s="74"/>
      <c r="R1419" s="75"/>
      <c r="S1419" s="75"/>
      <c r="T1419" s="75"/>
      <c r="U1419" s="75"/>
      <c r="V1419" s="75"/>
      <c r="W1419" s="74"/>
      <c r="X1419" s="76"/>
      <c r="Y1419" s="76"/>
      <c r="Z1419" s="76"/>
      <c r="AA1419" s="76"/>
      <c r="AB1419" s="76"/>
      <c r="AC1419" s="74"/>
      <c r="AD1419" s="77"/>
      <c r="AE1419" s="77"/>
      <c r="AF1419" s="77"/>
      <c r="AG1419" s="77"/>
      <c r="AH1419" s="77"/>
      <c r="AI1419" s="68"/>
      <c r="AJ1419" s="213">
        <v>3.9689999999999994E-4</v>
      </c>
      <c r="AK1419" s="213">
        <v>1.7345999999999999</v>
      </c>
      <c r="AL1419" s="213">
        <v>2</v>
      </c>
      <c r="AM1419" s="213">
        <v>3.6734700000000002E-4</v>
      </c>
      <c r="AN1419" s="74"/>
      <c r="AO1419" s="73"/>
      <c r="AP1419" s="73"/>
      <c r="AQ1419" s="73"/>
      <c r="AR1419" s="73"/>
      <c r="AS1419" s="73"/>
      <c r="AT1419" s="74"/>
      <c r="AU1419" s="47"/>
      <c r="AV1419" s="48"/>
    </row>
    <row r="1420" spans="1:48" ht="12.75" customHeight="1" x14ac:dyDescent="0.25">
      <c r="A1420" s="72" t="s">
        <v>119</v>
      </c>
      <c r="B1420" s="43" t="s">
        <v>1154</v>
      </c>
      <c r="C1420" s="44" t="s">
        <v>1575</v>
      </c>
      <c r="D1420" s="45">
        <f>MROUND(MID($C1420,6,3)/Basis!$E$3,0.5)</f>
        <v>7.5</v>
      </c>
      <c r="E1420" s="45">
        <f>MROUND(MID($C1420,9,3)/Basis!$E$3,0.5)</f>
        <v>185</v>
      </c>
      <c r="F1420" s="199" t="s">
        <v>2950</v>
      </c>
      <c r="G1420" s="45">
        <f>ROUND(MID($C1420,12,2)/Basis!$E$3,1)</f>
        <v>13.4</v>
      </c>
      <c r="H1420" s="120">
        <f>ROUND($P1420*Basis!$E$2*((TaH-TrH)/LN(1/µ)/Basis!$E$7)^$N1420*$AA$4*Glycol,0)</f>
        <v>6154</v>
      </c>
      <c r="I1420" s="83">
        <f>ROUND(H1420/(MID($C1420,9,3)/Basis!$E$3/Basis!$E$9)*Basis!$E$11,0)</f>
        <v>399</v>
      </c>
      <c r="J1420" s="123">
        <f>IF(Basis!$E$1=1,ROUND(H1420/((TaH-TrH)*1.163)/3600,3),ROUND(H1420/(500*(TaH-TrH)),2))</f>
        <v>0.62</v>
      </c>
      <c r="K1420" s="84"/>
      <c r="L1420" s="177">
        <f>CHOOSE(Basis!$E$1,((AJ1420*(J1420*3600/Basis!$E$5)^AK1420*(((MID(C1420,9,3)*10)-244)/1000)*AL1420+AM1420*(J1420*3600/Basis!$E$5)^2)*0.0098)/Basis!$E$10,((AJ1420*(J1420/Basis!$E$5)^AK1420*(((MID(C1420,9,3)*10)-244)/1000)*AL1420+AM1420*(J1420/Basis!$E$5)^2)*0.0098)/Basis!$E$10)</f>
        <v>6.0666264415310284E-2</v>
      </c>
      <c r="M1420" s="85"/>
      <c r="N1420" s="109">
        <v>1.3620000000000001</v>
      </c>
      <c r="O1420" s="68"/>
      <c r="P1420" s="67">
        <v>2827</v>
      </c>
      <c r="Q1420" s="68"/>
      <c r="R1420" s="69"/>
      <c r="S1420" s="69"/>
      <c r="T1420" s="69"/>
      <c r="U1420" s="69"/>
      <c r="V1420" s="69"/>
      <c r="W1420" s="68"/>
      <c r="X1420" s="70"/>
      <c r="Y1420" s="70"/>
      <c r="Z1420" s="70"/>
      <c r="AA1420" s="70"/>
      <c r="AB1420" s="70"/>
      <c r="AC1420" s="68"/>
      <c r="AD1420" s="71"/>
      <c r="AE1420" s="71"/>
      <c r="AF1420" s="71"/>
      <c r="AG1420" s="71"/>
      <c r="AH1420" s="71"/>
      <c r="AI1420" s="68"/>
      <c r="AJ1420" s="214">
        <v>2.0829999999999999E-4</v>
      </c>
      <c r="AK1420" s="214">
        <v>1.724</v>
      </c>
      <c r="AL1420" s="214">
        <v>2</v>
      </c>
      <c r="AM1420" s="214">
        <v>4.6182900000000003E-4</v>
      </c>
      <c r="AN1420" s="68"/>
      <c r="AO1420" s="67"/>
      <c r="AP1420" s="67"/>
      <c r="AQ1420" s="67"/>
      <c r="AR1420" s="67"/>
      <c r="AS1420" s="67"/>
      <c r="AT1420" s="68"/>
      <c r="AU1420" s="49"/>
      <c r="AV1420" s="50"/>
    </row>
    <row r="1421" spans="1:48" ht="12.75" customHeight="1" x14ac:dyDescent="0.25">
      <c r="A1421" s="72" t="s">
        <v>119</v>
      </c>
      <c r="B1421" s="43" t="s">
        <v>1154</v>
      </c>
      <c r="C1421" s="44" t="s">
        <v>1576</v>
      </c>
      <c r="D1421" s="45">
        <f>MROUND(MID($C1421,6,3)/Basis!$E$3,0.5)</f>
        <v>7.5</v>
      </c>
      <c r="E1421" s="45">
        <f>MROUND(MID($C1421,9,3)/Basis!$E$3,0.5)</f>
        <v>185</v>
      </c>
      <c r="F1421" s="199" t="s">
        <v>2950</v>
      </c>
      <c r="G1421" s="45">
        <f>ROUND(MID($C1421,12,2)/Basis!$E$3,1)</f>
        <v>16.5</v>
      </c>
      <c r="H1421" s="120">
        <f>ROUND($P1421*Basis!$E$2*((TaH-TrH)/LN(1/µ)/Basis!$E$7)^$N1421*$AA$4*Glycol,0)</f>
        <v>8448</v>
      </c>
      <c r="I1421" s="83">
        <f>ROUND(H1421/(MID($C1421,9,3)/Basis!$E$3/Basis!$E$9)*Basis!$E$11,0)</f>
        <v>548</v>
      </c>
      <c r="J1421" s="123">
        <f>IF(Basis!$E$1=1,ROUND(H1421/((TaH-TrH)*1.163)/3600,3),ROUND(H1421/(500*(TaH-TrH)),2))</f>
        <v>0.84</v>
      </c>
      <c r="K1421" s="84"/>
      <c r="L1421" s="177">
        <f>CHOOSE(Basis!$E$1,((AJ1421*(J1421*3600/Basis!$E$5)^AK1421*(((MID(C1421,9,3)*10)-244)/1000)*AL1421+AM1421*(J1421*3600/Basis!$E$5)^2)*0.0098)/Basis!$E$10,((AJ1421*(J1421/Basis!$E$5)^AK1421*(((MID(C1421,9,3)*10)-244)/1000)*AL1421+AM1421*(J1421/Basis!$E$5)^2)*0.0098)/Basis!$E$10)</f>
        <v>7.6241870849879601E-2</v>
      </c>
      <c r="M1421" s="85"/>
      <c r="N1421" s="110">
        <v>1.3620000000000001</v>
      </c>
      <c r="O1421" s="74"/>
      <c r="P1421" s="73">
        <v>3881</v>
      </c>
      <c r="Q1421" s="74"/>
      <c r="R1421" s="75"/>
      <c r="S1421" s="75"/>
      <c r="T1421" s="75"/>
      <c r="U1421" s="75"/>
      <c r="V1421" s="75"/>
      <c r="W1421" s="74"/>
      <c r="X1421" s="76"/>
      <c r="Y1421" s="76"/>
      <c r="Z1421" s="76"/>
      <c r="AA1421" s="76"/>
      <c r="AB1421" s="76"/>
      <c r="AC1421" s="74"/>
      <c r="AD1421" s="77"/>
      <c r="AE1421" s="77"/>
      <c r="AF1421" s="77"/>
      <c r="AG1421" s="77"/>
      <c r="AH1421" s="77"/>
      <c r="AI1421" s="68"/>
      <c r="AJ1421" s="214">
        <v>1.2760000000000001E-4</v>
      </c>
      <c r="AK1421" s="214">
        <v>1.7219</v>
      </c>
      <c r="AL1421" s="214">
        <v>2</v>
      </c>
      <c r="AM1421" s="214">
        <v>3.76611E-4</v>
      </c>
      <c r="AN1421" s="74"/>
      <c r="AO1421" s="73"/>
      <c r="AP1421" s="73"/>
      <c r="AQ1421" s="73"/>
      <c r="AR1421" s="73"/>
      <c r="AS1421" s="73"/>
      <c r="AT1421" s="74"/>
      <c r="AU1421" s="47"/>
      <c r="AV1421" s="48"/>
    </row>
    <row r="1422" spans="1:48" ht="12.75" customHeight="1" x14ac:dyDescent="0.25">
      <c r="A1422" s="72" t="s">
        <v>119</v>
      </c>
      <c r="B1422" s="43" t="s">
        <v>1154</v>
      </c>
      <c r="C1422" s="44" t="s">
        <v>1577</v>
      </c>
      <c r="D1422" s="45">
        <f>MROUND(MID($C1422,6,3)/Basis!$E$3,0.5)</f>
        <v>7.5</v>
      </c>
      <c r="E1422" s="45">
        <f>MROUND(MID($C1422,9,3)/Basis!$E$3,0.5)</f>
        <v>193</v>
      </c>
      <c r="F1422" s="199" t="s">
        <v>2950</v>
      </c>
      <c r="G1422" s="45">
        <f>ROUND(MID($C1422,12,2)/Basis!$E$3,1)</f>
        <v>10.199999999999999</v>
      </c>
      <c r="H1422" s="120">
        <f>ROUND($P1422*Basis!$E$2*((TaH-TrH)/LN(1/µ)/Basis!$E$7)^$N1422*$AA$4*Glycol,0)</f>
        <v>4750</v>
      </c>
      <c r="I1422" s="83">
        <f>ROUND(H1422/(MID($C1422,9,3)/Basis!$E$3/Basis!$E$9)*Basis!$E$11,0)</f>
        <v>295</v>
      </c>
      <c r="J1422" s="123">
        <f>IF(Basis!$E$1=1,ROUND(H1422/((TaH-TrH)*1.163)/3600,3),ROUND(H1422/(500*(TaH-TrH)),2))</f>
        <v>0.48</v>
      </c>
      <c r="K1422" s="84"/>
      <c r="L1422" s="177">
        <f>CHOOSE(Basis!$E$1,((AJ1422*(J1422*3600/Basis!$E$5)^AK1422*(((MID(C1422,9,3)*10)-244)/1000)*AL1422+AM1422*(J1422*3600/Basis!$E$5)^2)*0.0098)/Basis!$E$10,((AJ1422*(J1422/Basis!$E$5)^AK1422*(((MID(C1422,9,3)*10)-244)/1000)*AL1422+AM1422*(J1422/Basis!$E$5)^2)*0.0098)/Basis!$E$10)</f>
        <v>5.5627441905461573E-2</v>
      </c>
      <c r="M1422" s="85"/>
      <c r="N1422" s="109">
        <v>1.3620000000000001</v>
      </c>
      <c r="O1422" s="68"/>
      <c r="P1422" s="67">
        <v>2182</v>
      </c>
      <c r="Q1422" s="68"/>
      <c r="R1422" s="69"/>
      <c r="S1422" s="69"/>
      <c r="T1422" s="69"/>
      <c r="U1422" s="69"/>
      <c r="V1422" s="69"/>
      <c r="W1422" s="68"/>
      <c r="X1422" s="70"/>
      <c r="Y1422" s="70"/>
      <c r="Z1422" s="70"/>
      <c r="AA1422" s="70"/>
      <c r="AB1422" s="70"/>
      <c r="AC1422" s="68"/>
      <c r="AD1422" s="71"/>
      <c r="AE1422" s="71"/>
      <c r="AF1422" s="71"/>
      <c r="AG1422" s="71"/>
      <c r="AH1422" s="71"/>
      <c r="AI1422" s="68"/>
      <c r="AJ1422" s="213">
        <v>3.9689999999999994E-4</v>
      </c>
      <c r="AK1422" s="213">
        <v>1.7345999999999999</v>
      </c>
      <c r="AL1422" s="213">
        <v>2</v>
      </c>
      <c r="AM1422" s="213">
        <v>3.6734700000000002E-4</v>
      </c>
      <c r="AN1422" s="68"/>
      <c r="AO1422" s="67"/>
      <c r="AP1422" s="67"/>
      <c r="AQ1422" s="67"/>
      <c r="AR1422" s="67"/>
      <c r="AS1422" s="67"/>
      <c r="AT1422" s="68"/>
      <c r="AU1422" s="49"/>
      <c r="AV1422" s="50"/>
    </row>
    <row r="1423" spans="1:48" ht="12.75" customHeight="1" x14ac:dyDescent="0.25">
      <c r="A1423" s="72" t="s">
        <v>119</v>
      </c>
      <c r="B1423" s="43" t="s">
        <v>1154</v>
      </c>
      <c r="C1423" s="44" t="s">
        <v>1578</v>
      </c>
      <c r="D1423" s="45">
        <f>MROUND(MID($C1423,6,3)/Basis!$E$3,0.5)</f>
        <v>7.5</v>
      </c>
      <c r="E1423" s="45">
        <f>MROUND(MID($C1423,9,3)/Basis!$E$3,0.5)</f>
        <v>193</v>
      </c>
      <c r="F1423" s="199" t="s">
        <v>2950</v>
      </c>
      <c r="G1423" s="45">
        <f>ROUND(MID($C1423,12,2)/Basis!$E$3,1)</f>
        <v>13.4</v>
      </c>
      <c r="H1423" s="120">
        <f>ROUND($P1423*Basis!$E$2*((TaH-TrH)/LN(1/µ)/Basis!$E$7)^$N1423*$AA$4*Glycol,0)</f>
        <v>6432</v>
      </c>
      <c r="I1423" s="83">
        <f>ROUND(H1423/(MID($C1423,9,3)/Basis!$E$3/Basis!$E$9)*Basis!$E$11,0)</f>
        <v>400</v>
      </c>
      <c r="J1423" s="123">
        <f>IF(Basis!$E$1=1,ROUND(H1423/((TaH-TrH)*1.163)/3600,3),ROUND(H1423/(500*(TaH-TrH)),2))</f>
        <v>0.64</v>
      </c>
      <c r="K1423" s="84"/>
      <c r="L1423" s="177">
        <f>CHOOSE(Basis!$E$1,((AJ1423*(J1423*3600/Basis!$E$5)^AK1423*(((MID(C1423,9,3)*10)-244)/1000)*AL1423+AM1423*(J1423*3600/Basis!$E$5)^2)*0.0098)/Basis!$E$10,((AJ1423*(J1423/Basis!$E$5)^AK1423*(((MID(C1423,9,3)*10)-244)/1000)*AL1423+AM1423*(J1423/Basis!$E$5)^2)*0.0098)/Basis!$E$10)</f>
        <v>6.5814256063149376E-2</v>
      </c>
      <c r="M1423" s="85"/>
      <c r="N1423" s="110">
        <v>1.3620000000000001</v>
      </c>
      <c r="O1423" s="74"/>
      <c r="P1423" s="73">
        <v>2955</v>
      </c>
      <c r="Q1423" s="74"/>
      <c r="R1423" s="75"/>
      <c r="S1423" s="75"/>
      <c r="T1423" s="75"/>
      <c r="U1423" s="75"/>
      <c r="V1423" s="75"/>
      <c r="W1423" s="74"/>
      <c r="X1423" s="76"/>
      <c r="Y1423" s="76"/>
      <c r="Z1423" s="76"/>
      <c r="AA1423" s="76"/>
      <c r="AB1423" s="76"/>
      <c r="AC1423" s="74"/>
      <c r="AD1423" s="77"/>
      <c r="AE1423" s="77"/>
      <c r="AF1423" s="77"/>
      <c r="AG1423" s="77"/>
      <c r="AH1423" s="77"/>
      <c r="AI1423" s="68"/>
      <c r="AJ1423" s="214">
        <v>2.0829999999999999E-4</v>
      </c>
      <c r="AK1423" s="214">
        <v>1.724</v>
      </c>
      <c r="AL1423" s="214">
        <v>2</v>
      </c>
      <c r="AM1423" s="214">
        <v>4.6182900000000003E-4</v>
      </c>
      <c r="AN1423" s="74"/>
      <c r="AO1423" s="73"/>
      <c r="AP1423" s="73"/>
      <c r="AQ1423" s="73"/>
      <c r="AR1423" s="73"/>
      <c r="AS1423" s="73"/>
      <c r="AT1423" s="74"/>
      <c r="AU1423" s="47"/>
      <c r="AV1423" s="48"/>
    </row>
    <row r="1424" spans="1:48" ht="12.75" customHeight="1" x14ac:dyDescent="0.25">
      <c r="A1424" s="72" t="s">
        <v>119</v>
      </c>
      <c r="B1424" s="43" t="s">
        <v>1154</v>
      </c>
      <c r="C1424" s="44" t="s">
        <v>1579</v>
      </c>
      <c r="D1424" s="45">
        <f>MROUND(MID($C1424,6,3)/Basis!$E$3,0.5)</f>
        <v>7.5</v>
      </c>
      <c r="E1424" s="45">
        <f>MROUND(MID($C1424,9,3)/Basis!$E$3,0.5)</f>
        <v>193</v>
      </c>
      <c r="F1424" s="199" t="s">
        <v>2950</v>
      </c>
      <c r="G1424" s="45">
        <f>ROUND(MID($C1424,12,2)/Basis!$E$3,1)</f>
        <v>16.5</v>
      </c>
      <c r="H1424" s="120">
        <f>ROUND($P1424*Basis!$E$2*((TaH-TrH)/LN(1/µ)/Basis!$E$7)^$N1424*$AA$4*Glycol,0)</f>
        <v>8833</v>
      </c>
      <c r="I1424" s="83">
        <f>ROUND(H1424/(MID($C1424,9,3)/Basis!$E$3/Basis!$E$9)*Basis!$E$11,0)</f>
        <v>549</v>
      </c>
      <c r="J1424" s="123">
        <f>IF(Basis!$E$1=1,ROUND(H1424/((TaH-TrH)*1.163)/3600,3),ROUND(H1424/(500*(TaH-TrH)),2))</f>
        <v>0.88</v>
      </c>
      <c r="K1424" s="84"/>
      <c r="L1424" s="177">
        <f>CHOOSE(Basis!$E$1,((AJ1424*(J1424*3600/Basis!$E$5)^AK1424*(((MID(C1424,9,3)*10)-244)/1000)*AL1424+AM1424*(J1424*3600/Basis!$E$5)^2)*0.0098)/Basis!$E$10,((AJ1424*(J1424/Basis!$E$5)^AK1424*(((MID(C1424,9,3)*10)-244)/1000)*AL1424+AM1424*(J1424/Basis!$E$5)^2)*0.0098)/Basis!$E$10)</f>
        <v>8.4760482971074608E-2</v>
      </c>
      <c r="M1424" s="85"/>
      <c r="N1424" s="109">
        <v>1.3620000000000001</v>
      </c>
      <c r="O1424" s="68"/>
      <c r="P1424" s="67">
        <v>4058</v>
      </c>
      <c r="Q1424" s="68"/>
      <c r="R1424" s="69"/>
      <c r="S1424" s="69"/>
      <c r="T1424" s="69"/>
      <c r="U1424" s="69"/>
      <c r="V1424" s="69"/>
      <c r="W1424" s="68"/>
      <c r="X1424" s="70"/>
      <c r="Y1424" s="70"/>
      <c r="Z1424" s="70"/>
      <c r="AA1424" s="70"/>
      <c r="AB1424" s="70"/>
      <c r="AC1424" s="68"/>
      <c r="AD1424" s="71"/>
      <c r="AE1424" s="71"/>
      <c r="AF1424" s="71"/>
      <c r="AG1424" s="71"/>
      <c r="AH1424" s="71"/>
      <c r="AI1424" s="68"/>
      <c r="AJ1424" s="214">
        <v>1.2760000000000001E-4</v>
      </c>
      <c r="AK1424" s="214">
        <v>1.7219</v>
      </c>
      <c r="AL1424" s="214">
        <v>2</v>
      </c>
      <c r="AM1424" s="214">
        <v>3.76611E-4</v>
      </c>
      <c r="AN1424" s="68"/>
      <c r="AO1424" s="67"/>
      <c r="AP1424" s="67"/>
      <c r="AQ1424" s="67"/>
      <c r="AR1424" s="67"/>
      <c r="AS1424" s="67"/>
      <c r="AT1424" s="68"/>
      <c r="AU1424" s="49"/>
      <c r="AV1424" s="50"/>
    </row>
    <row r="1425" spans="1:48" ht="12.75" customHeight="1" x14ac:dyDescent="0.25">
      <c r="A1425" s="72" t="s">
        <v>883</v>
      </c>
      <c r="B1425" s="43" t="s">
        <v>1580</v>
      </c>
      <c r="C1425" s="44" t="s">
        <v>1581</v>
      </c>
      <c r="D1425" s="45">
        <f>MROUND(MID($C1425,6,3)/Basis!$E$3,0.5)</f>
        <v>3</v>
      </c>
      <c r="E1425" s="45">
        <f>MROUND(MID($C1425,9,3)/Basis!$E$3,0.5)</f>
        <v>23.5</v>
      </c>
      <c r="F1425" s="124" t="s">
        <v>2951</v>
      </c>
      <c r="G1425" s="45">
        <f>ROUND((MROUND($F1425,5)+3)/Basis!$E$3,1)</f>
        <v>5.0999999999999996</v>
      </c>
      <c r="H1425" s="120">
        <f>ROUND($P1425*Basis!$E$2*((TaH-TrH)/LN(1/µ)/Basis!$E$7)^$N1425*$AA$4*Glycol,0)</f>
        <v>545</v>
      </c>
      <c r="I1425" s="83">
        <f>ROUND(H1425/(MID($C1425,9,3)/Basis!$E$3/Basis!$E$9)*Basis!$E$11,0)</f>
        <v>277</v>
      </c>
      <c r="J1425" s="123">
        <f>IF(Basis!$E$1=1,ROUND(H1425/((TaH-TrH)*1.163)/3600,3),ROUND(H1425/(500*(TaH-TrH)),2))</f>
        <v>0.05</v>
      </c>
      <c r="K1425" s="84"/>
      <c r="L1425" s="177">
        <f>CHOOSE(Basis!$E$1,((AJ1425*(J1425*3600/Basis!$E$5)^AK1425*(((MID(C1425,9,3)*10)-144)/1000)*AL1425+AM1425*(J1425*3600/Basis!$E$5)^2)*0.0098)/Basis!$E$10,((AJ1425*(J1425/Basis!$E$5)^AK1425*(((MID(C1425,9,3)*10)-144)/1000)*AL1425+AM1425*(J1425/Basis!$E$5)^2)*0.0098)/Basis!$E$10)</f>
        <v>1.6938362184452626E-4</v>
      </c>
      <c r="M1425" s="85"/>
      <c r="N1425" s="109">
        <v>1.4179999999999999</v>
      </c>
      <c r="O1425" s="68"/>
      <c r="P1425" s="67">
        <v>255</v>
      </c>
      <c r="Q1425" s="68"/>
      <c r="R1425" s="69"/>
      <c r="S1425" s="69"/>
      <c r="T1425" s="69"/>
      <c r="U1425" s="69"/>
      <c r="V1425" s="69"/>
      <c r="W1425" s="68"/>
      <c r="X1425" s="70"/>
      <c r="Y1425" s="70"/>
      <c r="Z1425" s="70"/>
      <c r="AA1425" s="70"/>
      <c r="AB1425" s="70"/>
      <c r="AC1425" s="68"/>
      <c r="AD1425" s="71"/>
      <c r="AE1425" s="71"/>
      <c r="AF1425" s="71"/>
      <c r="AG1425" s="71"/>
      <c r="AH1425" s="71"/>
      <c r="AI1425" s="68"/>
      <c r="AJ1425" s="214">
        <v>1.872E-4</v>
      </c>
      <c r="AK1425" s="214">
        <v>1.844419</v>
      </c>
      <c r="AL1425" s="214">
        <v>1</v>
      </c>
      <c r="AM1425" s="214">
        <v>3.4319999999999999E-4</v>
      </c>
      <c r="AN1425" s="68"/>
      <c r="AO1425" s="67"/>
      <c r="AP1425" s="67"/>
      <c r="AQ1425" s="67"/>
      <c r="AR1425" s="67"/>
      <c r="AS1425" s="67"/>
      <c r="AT1425" s="68"/>
      <c r="AU1425" s="49"/>
      <c r="AV1425" s="50"/>
    </row>
    <row r="1426" spans="1:48" ht="12.75" customHeight="1" x14ac:dyDescent="0.25">
      <c r="A1426" s="72" t="s">
        <v>883</v>
      </c>
      <c r="B1426" s="43" t="s">
        <v>1580</v>
      </c>
      <c r="C1426" s="44" t="s">
        <v>1582</v>
      </c>
      <c r="D1426" s="45">
        <f>MROUND(MID($C1426,6,3)/Basis!$E$3,0.5)</f>
        <v>3</v>
      </c>
      <c r="E1426" s="45">
        <f>MROUND(MID($C1426,9,3)/Basis!$E$3,0.5)</f>
        <v>23.5</v>
      </c>
      <c r="F1426" s="124" t="s">
        <v>2952</v>
      </c>
      <c r="G1426" s="45">
        <f>ROUND((MROUND($F1426,5)+3)/Basis!$E$3,1)</f>
        <v>7.1</v>
      </c>
      <c r="H1426" s="120">
        <f>ROUND($P1426*Basis!$E$2*((TaH-TrH)/LN(1/µ)/Basis!$E$7)^$N1426*$AA$4*Glycol,0)</f>
        <v>889</v>
      </c>
      <c r="I1426" s="83">
        <f>ROUND(H1426/(MID($C1426,9,3)/Basis!$E$3/Basis!$E$9)*Basis!$E$11,0)</f>
        <v>452</v>
      </c>
      <c r="J1426" s="123">
        <f>IF(Basis!$E$1=1,ROUND(H1426/((TaH-TrH)*1.163)/3600,3),ROUND(H1426/(500*(TaH-TrH)),2))</f>
        <v>0.09</v>
      </c>
      <c r="K1426" s="84"/>
      <c r="L1426" s="177">
        <f>CHOOSE(Basis!$E$1,((AJ1426*(J1426*3600/Basis!$E$5)^AK1426*(((MID(C1426,9,3)*10)-144)/1000)*AL1426+AM1426*(J1426*3600/Basis!$E$5)^2)*0.0098)/Basis!$E$10,((AJ1426*(J1426/Basis!$E$5)^AK1426*(((MID(C1426,9,3)*10)-144)/1000)*AL1426+AM1426*(J1426/Basis!$E$5)^2)*0.0098)/Basis!$E$10)</f>
        <v>5.9966037054994057E-4</v>
      </c>
      <c r="M1426" s="85"/>
      <c r="N1426" s="109">
        <v>1.4179999999999999</v>
      </c>
      <c r="O1426" s="68"/>
      <c r="P1426" s="67">
        <v>416</v>
      </c>
      <c r="Q1426" s="68"/>
      <c r="R1426" s="69"/>
      <c r="S1426" s="69"/>
      <c r="T1426" s="69"/>
      <c r="U1426" s="69"/>
      <c r="V1426" s="69"/>
      <c r="W1426" s="68"/>
      <c r="X1426" s="70"/>
      <c r="Y1426" s="70"/>
      <c r="Z1426" s="70"/>
      <c r="AA1426" s="70"/>
      <c r="AB1426" s="70"/>
      <c r="AC1426" s="68"/>
      <c r="AD1426" s="71"/>
      <c r="AE1426" s="71"/>
      <c r="AF1426" s="71"/>
      <c r="AG1426" s="71"/>
      <c r="AH1426" s="71"/>
      <c r="AI1426" s="68"/>
      <c r="AJ1426" s="214">
        <v>1.6249999999999999E-4</v>
      </c>
      <c r="AK1426" s="214">
        <v>1.76</v>
      </c>
      <c r="AL1426" s="214">
        <v>1</v>
      </c>
      <c r="AM1426" s="214">
        <v>4.0299999999999998E-4</v>
      </c>
      <c r="AN1426" s="68"/>
      <c r="AO1426" s="67"/>
      <c r="AP1426" s="67"/>
      <c r="AQ1426" s="67"/>
      <c r="AR1426" s="67"/>
      <c r="AS1426" s="67"/>
      <c r="AT1426" s="68"/>
      <c r="AU1426" s="49"/>
      <c r="AV1426" s="50"/>
    </row>
    <row r="1427" spans="1:48" ht="12.75" customHeight="1" x14ac:dyDescent="0.25">
      <c r="A1427" s="72" t="s">
        <v>883</v>
      </c>
      <c r="B1427" s="43" t="s">
        <v>1580</v>
      </c>
      <c r="C1427" s="44" t="s">
        <v>1583</v>
      </c>
      <c r="D1427" s="45">
        <f>MROUND(MID($C1427,6,3)/Basis!$E$3,0.5)</f>
        <v>3</v>
      </c>
      <c r="E1427" s="45">
        <f>MROUND(MID($C1427,9,3)/Basis!$E$3,0.5)</f>
        <v>23.5</v>
      </c>
      <c r="F1427" s="124" t="s">
        <v>2953</v>
      </c>
      <c r="G1427" s="45">
        <f>ROUND((MROUND($F1427,5)+3)/Basis!$E$3,1)</f>
        <v>9.1</v>
      </c>
      <c r="H1427" s="120">
        <f>ROUND($P1427*Basis!$E$2*((TaH-TrH)/LN(1/µ)/Basis!$E$7)^$N1427*$AA$4*Glycol,0)</f>
        <v>1222</v>
      </c>
      <c r="I1427" s="83">
        <f>ROUND(H1427/(MID($C1427,9,3)/Basis!$E$3/Basis!$E$9)*Basis!$E$11,0)</f>
        <v>621</v>
      </c>
      <c r="J1427" s="123">
        <f>IF(Basis!$E$1=1,ROUND(H1427/((TaH-TrH)*1.163)/3600,3),ROUND(H1427/(500*(TaH-TrH)),2))</f>
        <v>0.12</v>
      </c>
      <c r="K1427" s="84"/>
      <c r="L1427" s="177">
        <f>CHOOSE(Basis!$E$1,((AJ1427*(J1427*3600/Basis!$E$5)^AK1427*(((MID(C1427,9,3)*10)-144)/1000)*AL1427+AM1427*(J1427*3600/Basis!$E$5)^2)*0.0098)/Basis!$E$10,((AJ1427*(J1427/Basis!$E$5)^AK1427*(((MID(C1427,9,3)*10)-144)/1000)*AL1427+AM1427*(J1427/Basis!$E$5)^2)*0.0098)/Basis!$E$10)</f>
        <v>8.1905046375346259E-4</v>
      </c>
      <c r="M1427" s="85"/>
      <c r="N1427" s="109">
        <v>1.4179999999999999</v>
      </c>
      <c r="O1427" s="68"/>
      <c r="P1427" s="67">
        <v>572</v>
      </c>
      <c r="Q1427" s="68"/>
      <c r="R1427" s="69"/>
      <c r="S1427" s="69"/>
      <c r="T1427" s="69"/>
      <c r="U1427" s="69"/>
      <c r="V1427" s="69"/>
      <c r="W1427" s="68"/>
      <c r="X1427" s="70"/>
      <c r="Y1427" s="70"/>
      <c r="Z1427" s="70"/>
      <c r="AA1427" s="70"/>
      <c r="AB1427" s="70"/>
      <c r="AC1427" s="68"/>
      <c r="AD1427" s="71"/>
      <c r="AE1427" s="71"/>
      <c r="AF1427" s="71"/>
      <c r="AG1427" s="71"/>
      <c r="AH1427" s="71"/>
      <c r="AI1427" s="68"/>
      <c r="AJ1427" s="214">
        <v>1.058E-4</v>
      </c>
      <c r="AK1427" s="214">
        <v>1.7485999999999999</v>
      </c>
      <c r="AL1427" s="214">
        <v>1</v>
      </c>
      <c r="AM1427" s="214">
        <v>3.1619999999999999E-4</v>
      </c>
      <c r="AN1427" s="68"/>
      <c r="AO1427" s="67"/>
      <c r="AP1427" s="67"/>
      <c r="AQ1427" s="67"/>
      <c r="AR1427" s="67"/>
      <c r="AS1427" s="67"/>
      <c r="AT1427" s="68"/>
      <c r="AU1427" s="49"/>
      <c r="AV1427" s="50"/>
    </row>
    <row r="1428" spans="1:48" ht="12.75" customHeight="1" x14ac:dyDescent="0.25">
      <c r="A1428" s="72" t="s">
        <v>883</v>
      </c>
      <c r="B1428" s="43" t="s">
        <v>1580</v>
      </c>
      <c r="C1428" s="44" t="s">
        <v>1584</v>
      </c>
      <c r="D1428" s="45">
        <f>MROUND(MID($C1428,6,3)/Basis!$E$3,0.5)</f>
        <v>3</v>
      </c>
      <c r="E1428" s="45">
        <f>MROUND(MID($C1428,9,3)/Basis!$E$3,0.5)</f>
        <v>27.5</v>
      </c>
      <c r="F1428" s="124" t="s">
        <v>2951</v>
      </c>
      <c r="G1428" s="45">
        <f>ROUND((MROUND($F1428,5)+3)/Basis!$E$3,1)</f>
        <v>5.0999999999999996</v>
      </c>
      <c r="H1428" s="120">
        <f>ROUND($P1428*Basis!$E$2*((TaH-TrH)/LN(1/µ)/Basis!$E$7)^$N1428*$AA$4*Glycol,0)</f>
        <v>637</v>
      </c>
      <c r="I1428" s="83">
        <f>ROUND(H1428/(MID($C1428,9,3)/Basis!$E$3/Basis!$E$9)*Basis!$E$11,0)</f>
        <v>277</v>
      </c>
      <c r="J1428" s="123">
        <f>IF(Basis!$E$1=1,ROUND(H1428/((TaH-TrH)*1.163)/3600,3),ROUND(H1428/(500*(TaH-TrH)),2))</f>
        <v>0.06</v>
      </c>
      <c r="K1428" s="84"/>
      <c r="L1428" s="177">
        <f>CHOOSE(Basis!$E$1,((AJ1428*(J1428*3600/Basis!$E$5)^AK1428*(((MID(C1428,9,3)*10)-144)/1000)*AL1428+AM1428*(J1428*3600/Basis!$E$5)^2)*0.0098)/Basis!$E$10,((AJ1428*(J1428/Basis!$E$5)^AK1428*(((MID(C1428,9,3)*10)-144)/1000)*AL1428+AM1428*(J1428/Basis!$E$5)^2)*0.0098)/Basis!$E$10)</f>
        <v>2.5049012474871659E-4</v>
      </c>
      <c r="M1428" s="85"/>
      <c r="N1428" s="109">
        <v>1.4179999999999999</v>
      </c>
      <c r="O1428" s="68"/>
      <c r="P1428" s="67">
        <v>298</v>
      </c>
      <c r="Q1428" s="68"/>
      <c r="R1428" s="69"/>
      <c r="S1428" s="69"/>
      <c r="T1428" s="69"/>
      <c r="U1428" s="69"/>
      <c r="V1428" s="69"/>
      <c r="W1428" s="68"/>
      <c r="X1428" s="70"/>
      <c r="Y1428" s="70"/>
      <c r="Z1428" s="70"/>
      <c r="AA1428" s="70"/>
      <c r="AB1428" s="70"/>
      <c r="AC1428" s="68"/>
      <c r="AD1428" s="71"/>
      <c r="AE1428" s="71"/>
      <c r="AF1428" s="71"/>
      <c r="AG1428" s="71"/>
      <c r="AH1428" s="71"/>
      <c r="AI1428" s="68"/>
      <c r="AJ1428" s="214">
        <v>1.872E-4</v>
      </c>
      <c r="AK1428" s="214">
        <v>1.844419</v>
      </c>
      <c r="AL1428" s="214">
        <v>1</v>
      </c>
      <c r="AM1428" s="214">
        <v>3.4319999999999999E-4</v>
      </c>
      <c r="AN1428" s="68"/>
      <c r="AO1428" s="67"/>
      <c r="AP1428" s="67"/>
      <c r="AQ1428" s="67"/>
      <c r="AR1428" s="67"/>
      <c r="AS1428" s="67"/>
      <c r="AT1428" s="68"/>
      <c r="AU1428" s="49"/>
      <c r="AV1428" s="50"/>
    </row>
    <row r="1429" spans="1:48" ht="12.75" customHeight="1" x14ac:dyDescent="0.25">
      <c r="A1429" s="72" t="s">
        <v>883</v>
      </c>
      <c r="B1429" s="43" t="s">
        <v>1580</v>
      </c>
      <c r="C1429" s="44" t="s">
        <v>1585</v>
      </c>
      <c r="D1429" s="45">
        <f>MROUND(MID($C1429,6,3)/Basis!$E$3,0.5)</f>
        <v>3</v>
      </c>
      <c r="E1429" s="45">
        <f>MROUND(MID($C1429,9,3)/Basis!$E$3,0.5)</f>
        <v>27.5</v>
      </c>
      <c r="F1429" s="124" t="s">
        <v>2952</v>
      </c>
      <c r="G1429" s="45">
        <f>ROUND((MROUND($F1429,5)+3)/Basis!$E$3,1)</f>
        <v>7.1</v>
      </c>
      <c r="H1429" s="120">
        <f>ROUND($P1429*Basis!$E$2*((TaH-TrH)/LN(1/µ)/Basis!$E$7)^$N1429*$AA$4*Glycol,0)</f>
        <v>1039</v>
      </c>
      <c r="I1429" s="83">
        <f>ROUND(H1429/(MID($C1429,9,3)/Basis!$E$3/Basis!$E$9)*Basis!$E$11,0)</f>
        <v>452</v>
      </c>
      <c r="J1429" s="123">
        <f>IF(Basis!$E$1=1,ROUND(H1429/((TaH-TrH)*1.163)/3600,3),ROUND(H1429/(500*(TaH-TrH)),2))</f>
        <v>0.1</v>
      </c>
      <c r="K1429" s="84"/>
      <c r="L1429" s="177">
        <f>CHOOSE(Basis!$E$1,((AJ1429*(J1429*3600/Basis!$E$5)^AK1429*(((MID(C1429,9,3)*10)-144)/1000)*AL1429+AM1429*(J1429*3600/Basis!$E$5)^2)*0.0098)/Basis!$E$10,((AJ1429*(J1429/Basis!$E$5)^AK1429*(((MID(C1429,9,3)*10)-144)/1000)*AL1429+AM1429*(J1429/Basis!$E$5)^2)*0.0098)/Basis!$E$10)</f>
        <v>7.5176237945413218E-4</v>
      </c>
      <c r="M1429" s="85"/>
      <c r="N1429" s="109">
        <v>1.4179999999999999</v>
      </c>
      <c r="O1429" s="68"/>
      <c r="P1429" s="67">
        <v>486</v>
      </c>
      <c r="Q1429" s="68"/>
      <c r="R1429" s="69"/>
      <c r="S1429" s="69"/>
      <c r="T1429" s="69"/>
      <c r="U1429" s="69"/>
      <c r="V1429" s="69"/>
      <c r="W1429" s="68"/>
      <c r="X1429" s="70"/>
      <c r="Y1429" s="70"/>
      <c r="Z1429" s="70"/>
      <c r="AA1429" s="70"/>
      <c r="AB1429" s="70"/>
      <c r="AC1429" s="68"/>
      <c r="AD1429" s="71"/>
      <c r="AE1429" s="71"/>
      <c r="AF1429" s="71"/>
      <c r="AG1429" s="71"/>
      <c r="AH1429" s="71"/>
      <c r="AI1429" s="68"/>
      <c r="AJ1429" s="214">
        <v>1.6249999999999999E-4</v>
      </c>
      <c r="AK1429" s="214">
        <v>1.76</v>
      </c>
      <c r="AL1429" s="214">
        <v>1</v>
      </c>
      <c r="AM1429" s="214">
        <v>4.0299999999999998E-4</v>
      </c>
      <c r="AN1429" s="68"/>
      <c r="AO1429" s="67"/>
      <c r="AP1429" s="67"/>
      <c r="AQ1429" s="67"/>
      <c r="AR1429" s="67"/>
      <c r="AS1429" s="67"/>
      <c r="AT1429" s="68"/>
      <c r="AU1429" s="49"/>
      <c r="AV1429" s="50"/>
    </row>
    <row r="1430" spans="1:48" ht="12.75" customHeight="1" x14ac:dyDescent="0.25">
      <c r="A1430" s="72" t="s">
        <v>883</v>
      </c>
      <c r="B1430" s="43" t="s">
        <v>1580</v>
      </c>
      <c r="C1430" s="44" t="s">
        <v>1586</v>
      </c>
      <c r="D1430" s="45">
        <f>MROUND(MID($C1430,6,3)/Basis!$E$3,0.5)</f>
        <v>3</v>
      </c>
      <c r="E1430" s="45">
        <f>MROUND(MID($C1430,9,3)/Basis!$E$3,0.5)</f>
        <v>27.5</v>
      </c>
      <c r="F1430" s="124" t="s">
        <v>2953</v>
      </c>
      <c r="G1430" s="45">
        <f>ROUND((MROUND($F1430,5)+3)/Basis!$E$3,1)</f>
        <v>9.1</v>
      </c>
      <c r="H1430" s="120">
        <f>ROUND($P1430*Basis!$E$2*((TaH-TrH)/LN(1/µ)/Basis!$E$7)^$N1430*$AA$4*Glycol,0)</f>
        <v>1425</v>
      </c>
      <c r="I1430" s="83">
        <f>ROUND(H1430/(MID($C1430,9,3)/Basis!$E$3/Basis!$E$9)*Basis!$E$11,0)</f>
        <v>620</v>
      </c>
      <c r="J1430" s="123">
        <f>IF(Basis!$E$1=1,ROUND(H1430/((TaH-TrH)*1.163)/3600,3),ROUND(H1430/(500*(TaH-TrH)),2))</f>
        <v>0.14000000000000001</v>
      </c>
      <c r="K1430" s="84"/>
      <c r="L1430" s="177">
        <f>CHOOSE(Basis!$E$1,((AJ1430*(J1430*3600/Basis!$E$5)^AK1430*(((MID(C1430,9,3)*10)-144)/1000)*AL1430+AM1430*(J1430*3600/Basis!$E$5)^2)*0.0098)/Basis!$E$10,((AJ1430*(J1430/Basis!$E$5)^AK1430*(((MID(C1430,9,3)*10)-144)/1000)*AL1430+AM1430*(J1430/Basis!$E$5)^2)*0.0098)/Basis!$E$10)</f>
        <v>1.1268357276687086E-3</v>
      </c>
      <c r="M1430" s="85"/>
      <c r="N1430" s="109">
        <v>1.4179999999999999</v>
      </c>
      <c r="O1430" s="68"/>
      <c r="P1430" s="67">
        <v>667</v>
      </c>
      <c r="Q1430" s="68"/>
      <c r="R1430" s="69"/>
      <c r="S1430" s="69"/>
      <c r="T1430" s="69"/>
      <c r="U1430" s="69"/>
      <c r="V1430" s="69"/>
      <c r="W1430" s="68"/>
      <c r="X1430" s="70"/>
      <c r="Y1430" s="70"/>
      <c r="Z1430" s="70"/>
      <c r="AA1430" s="70"/>
      <c r="AB1430" s="70"/>
      <c r="AC1430" s="68"/>
      <c r="AD1430" s="71"/>
      <c r="AE1430" s="71"/>
      <c r="AF1430" s="71"/>
      <c r="AG1430" s="71"/>
      <c r="AH1430" s="71"/>
      <c r="AI1430" s="68"/>
      <c r="AJ1430" s="214">
        <v>1.058E-4</v>
      </c>
      <c r="AK1430" s="214">
        <v>1.7485999999999999</v>
      </c>
      <c r="AL1430" s="214">
        <v>1</v>
      </c>
      <c r="AM1430" s="214">
        <v>3.1619999999999999E-4</v>
      </c>
      <c r="AN1430" s="68"/>
      <c r="AO1430" s="67"/>
      <c r="AP1430" s="67"/>
      <c r="AQ1430" s="67"/>
      <c r="AR1430" s="67"/>
      <c r="AS1430" s="67"/>
      <c r="AT1430" s="68"/>
      <c r="AU1430" s="49"/>
      <c r="AV1430" s="50"/>
    </row>
    <row r="1431" spans="1:48" ht="12.75" customHeight="1" x14ac:dyDescent="0.25">
      <c r="A1431" s="72" t="s">
        <v>883</v>
      </c>
      <c r="B1431" s="43" t="s">
        <v>1580</v>
      </c>
      <c r="C1431" s="44" t="s">
        <v>1587</v>
      </c>
      <c r="D1431" s="45">
        <f>MROUND(MID($C1431,6,3)/Basis!$E$3,0.5)</f>
        <v>3</v>
      </c>
      <c r="E1431" s="45">
        <f>MROUND(MID($C1431,9,3)/Basis!$E$3,0.5)</f>
        <v>31.5</v>
      </c>
      <c r="F1431" s="124" t="s">
        <v>2951</v>
      </c>
      <c r="G1431" s="45">
        <f>ROUND((MROUND($F1431,5)+3)/Basis!$E$3,1)</f>
        <v>5.0999999999999996</v>
      </c>
      <c r="H1431" s="120">
        <f>ROUND($P1431*Basis!$E$2*((TaH-TrH)/LN(1/µ)/Basis!$E$7)^$N1431*$AA$4*Glycol,0)</f>
        <v>727</v>
      </c>
      <c r="I1431" s="83">
        <f>ROUND(H1431/(MID($C1431,9,3)/Basis!$E$3/Basis!$E$9)*Basis!$E$11,0)</f>
        <v>277</v>
      </c>
      <c r="J1431" s="123">
        <f>IF(Basis!$E$1=1,ROUND(H1431/((TaH-TrH)*1.163)/3600,3),ROUND(H1431/(500*(TaH-TrH)),2))</f>
        <v>7.0000000000000007E-2</v>
      </c>
      <c r="K1431" s="84"/>
      <c r="L1431" s="177">
        <f>CHOOSE(Basis!$E$1,((AJ1431*(J1431*3600/Basis!$E$5)^AK1431*(((MID(C1431,9,3)*10)-144)/1000)*AL1431+AM1431*(J1431*3600/Basis!$E$5)^2)*0.0098)/Basis!$E$10,((AJ1431*(J1431/Basis!$E$5)^AK1431*(((MID(C1431,9,3)*10)-144)/1000)*AL1431+AM1431*(J1431/Basis!$E$5)^2)*0.0098)/Basis!$E$10)</f>
        <v>3.4964792250596059E-4</v>
      </c>
      <c r="M1431" s="85"/>
      <c r="N1431" s="109">
        <v>1.4179999999999999</v>
      </c>
      <c r="O1431" s="68"/>
      <c r="P1431" s="67">
        <v>340</v>
      </c>
      <c r="Q1431" s="68"/>
      <c r="R1431" s="69"/>
      <c r="S1431" s="69"/>
      <c r="T1431" s="69"/>
      <c r="U1431" s="69"/>
      <c r="V1431" s="69"/>
      <c r="W1431" s="68"/>
      <c r="X1431" s="70"/>
      <c r="Y1431" s="70"/>
      <c r="Z1431" s="70"/>
      <c r="AA1431" s="70"/>
      <c r="AB1431" s="70"/>
      <c r="AC1431" s="68"/>
      <c r="AD1431" s="71"/>
      <c r="AE1431" s="71"/>
      <c r="AF1431" s="71"/>
      <c r="AG1431" s="71"/>
      <c r="AH1431" s="71"/>
      <c r="AI1431" s="68"/>
      <c r="AJ1431" s="214">
        <v>1.872E-4</v>
      </c>
      <c r="AK1431" s="214">
        <v>1.844419</v>
      </c>
      <c r="AL1431" s="214">
        <v>1</v>
      </c>
      <c r="AM1431" s="214">
        <v>3.4319999999999999E-4</v>
      </c>
      <c r="AN1431" s="68"/>
      <c r="AO1431" s="67"/>
      <c r="AP1431" s="67"/>
      <c r="AQ1431" s="67"/>
      <c r="AR1431" s="67"/>
      <c r="AS1431" s="67"/>
      <c r="AT1431" s="68"/>
      <c r="AU1431" s="49"/>
      <c r="AV1431" s="50"/>
    </row>
    <row r="1432" spans="1:48" ht="12.75" customHeight="1" x14ac:dyDescent="0.25">
      <c r="A1432" s="72" t="s">
        <v>883</v>
      </c>
      <c r="B1432" s="43" t="s">
        <v>1580</v>
      </c>
      <c r="C1432" s="44" t="s">
        <v>1588</v>
      </c>
      <c r="D1432" s="45">
        <f>MROUND(MID($C1432,6,3)/Basis!$E$3,0.5)</f>
        <v>3</v>
      </c>
      <c r="E1432" s="45">
        <f>MROUND(MID($C1432,9,3)/Basis!$E$3,0.5)</f>
        <v>31.5</v>
      </c>
      <c r="F1432" s="124" t="s">
        <v>2952</v>
      </c>
      <c r="G1432" s="45">
        <f>ROUND((MROUND($F1432,5)+3)/Basis!$E$3,1)</f>
        <v>7.1</v>
      </c>
      <c r="H1432" s="120">
        <f>ROUND($P1432*Basis!$E$2*((TaH-TrH)/LN(1/µ)/Basis!$E$7)^$N1432*$AA$4*Glycol,0)</f>
        <v>1186</v>
      </c>
      <c r="I1432" s="83">
        <f>ROUND(H1432/(MID($C1432,9,3)/Basis!$E$3/Basis!$E$9)*Basis!$E$11,0)</f>
        <v>452</v>
      </c>
      <c r="J1432" s="123">
        <f>IF(Basis!$E$1=1,ROUND(H1432/((TaH-TrH)*1.163)/3600,3),ROUND(H1432/(500*(TaH-TrH)),2))</f>
        <v>0.12</v>
      </c>
      <c r="K1432" s="84"/>
      <c r="L1432" s="177">
        <f>CHOOSE(Basis!$E$1,((AJ1432*(J1432*3600/Basis!$E$5)^AK1432*(((MID(C1432,9,3)*10)-144)/1000)*AL1432+AM1432*(J1432*3600/Basis!$E$5)^2)*0.0098)/Basis!$E$10,((AJ1432*(J1432/Basis!$E$5)^AK1432*(((MID(C1432,9,3)*10)-144)/1000)*AL1432+AM1432*(J1432/Basis!$E$5)^2)*0.0098)/Basis!$E$10)</f>
        <v>1.095952140335677E-3</v>
      </c>
      <c r="M1432" s="85"/>
      <c r="N1432" s="109">
        <v>1.4179999999999999</v>
      </c>
      <c r="O1432" s="68"/>
      <c r="P1432" s="67">
        <v>555</v>
      </c>
      <c r="Q1432" s="68"/>
      <c r="R1432" s="69"/>
      <c r="S1432" s="69"/>
      <c r="T1432" s="69"/>
      <c r="U1432" s="69"/>
      <c r="V1432" s="69"/>
      <c r="W1432" s="68"/>
      <c r="X1432" s="70"/>
      <c r="Y1432" s="70"/>
      <c r="Z1432" s="70"/>
      <c r="AA1432" s="70"/>
      <c r="AB1432" s="70"/>
      <c r="AC1432" s="68"/>
      <c r="AD1432" s="71"/>
      <c r="AE1432" s="71"/>
      <c r="AF1432" s="71"/>
      <c r="AG1432" s="71"/>
      <c r="AH1432" s="71"/>
      <c r="AI1432" s="68"/>
      <c r="AJ1432" s="214">
        <v>1.6249999999999999E-4</v>
      </c>
      <c r="AK1432" s="214">
        <v>1.76</v>
      </c>
      <c r="AL1432" s="214">
        <v>1</v>
      </c>
      <c r="AM1432" s="214">
        <v>4.0299999999999998E-4</v>
      </c>
      <c r="AN1432" s="68"/>
      <c r="AO1432" s="67"/>
      <c r="AP1432" s="67"/>
      <c r="AQ1432" s="67"/>
      <c r="AR1432" s="67"/>
      <c r="AS1432" s="67"/>
      <c r="AT1432" s="68"/>
      <c r="AU1432" s="49"/>
      <c r="AV1432" s="50"/>
    </row>
    <row r="1433" spans="1:48" ht="12.75" customHeight="1" x14ac:dyDescent="0.25">
      <c r="A1433" s="72" t="s">
        <v>883</v>
      </c>
      <c r="B1433" s="43" t="s">
        <v>1580</v>
      </c>
      <c r="C1433" s="44" t="s">
        <v>1589</v>
      </c>
      <c r="D1433" s="45">
        <f>MROUND(MID($C1433,6,3)/Basis!$E$3,0.5)</f>
        <v>3</v>
      </c>
      <c r="E1433" s="45">
        <f>MROUND(MID($C1433,9,3)/Basis!$E$3,0.5)</f>
        <v>31.5</v>
      </c>
      <c r="F1433" s="124" t="s">
        <v>2953</v>
      </c>
      <c r="G1433" s="45">
        <f>ROUND((MROUND($F1433,5)+3)/Basis!$E$3,1)</f>
        <v>9.1</v>
      </c>
      <c r="H1433" s="120">
        <f>ROUND($P1433*Basis!$E$2*((TaH-TrH)/LN(1/µ)/Basis!$E$7)^$N1433*$AA$4*Glycol,0)</f>
        <v>1628</v>
      </c>
      <c r="I1433" s="83">
        <f>ROUND(H1433/(MID($C1433,9,3)/Basis!$E$3/Basis!$E$9)*Basis!$E$11,0)</f>
        <v>620</v>
      </c>
      <c r="J1433" s="123">
        <f>IF(Basis!$E$1=1,ROUND(H1433/((TaH-TrH)*1.163)/3600,3),ROUND(H1433/(500*(TaH-TrH)),2))</f>
        <v>0.16</v>
      </c>
      <c r="K1433" s="84"/>
      <c r="L1433" s="177">
        <f>CHOOSE(Basis!$E$1,((AJ1433*(J1433*3600/Basis!$E$5)^AK1433*(((MID(C1433,9,3)*10)-144)/1000)*AL1433+AM1433*(J1433*3600/Basis!$E$5)^2)*0.0098)/Basis!$E$10,((AJ1433*(J1433/Basis!$E$5)^AK1433*(((MID(C1433,9,3)*10)-144)/1000)*AL1433+AM1433*(J1433/Basis!$E$5)^2)*0.0098)/Basis!$E$10)</f>
        <v>1.4867846979197709E-3</v>
      </c>
      <c r="M1433" s="85"/>
      <c r="N1433" s="109">
        <v>1.4179999999999999</v>
      </c>
      <c r="O1433" s="68"/>
      <c r="P1433" s="67">
        <v>762</v>
      </c>
      <c r="Q1433" s="68"/>
      <c r="R1433" s="69"/>
      <c r="S1433" s="69"/>
      <c r="T1433" s="69"/>
      <c r="U1433" s="69"/>
      <c r="V1433" s="69"/>
      <c r="W1433" s="68"/>
      <c r="X1433" s="70"/>
      <c r="Y1433" s="70"/>
      <c r="Z1433" s="70"/>
      <c r="AA1433" s="70"/>
      <c r="AB1433" s="70"/>
      <c r="AC1433" s="68"/>
      <c r="AD1433" s="71"/>
      <c r="AE1433" s="71"/>
      <c r="AF1433" s="71"/>
      <c r="AG1433" s="71"/>
      <c r="AH1433" s="71"/>
      <c r="AI1433" s="68"/>
      <c r="AJ1433" s="214">
        <v>1.058E-4</v>
      </c>
      <c r="AK1433" s="214">
        <v>1.7485999999999999</v>
      </c>
      <c r="AL1433" s="214">
        <v>1</v>
      </c>
      <c r="AM1433" s="214">
        <v>3.1619999999999999E-4</v>
      </c>
      <c r="AN1433" s="68"/>
      <c r="AO1433" s="67"/>
      <c r="AP1433" s="67"/>
      <c r="AQ1433" s="67"/>
      <c r="AR1433" s="67"/>
      <c r="AS1433" s="67"/>
      <c r="AT1433" s="68"/>
      <c r="AU1433" s="49"/>
      <c r="AV1433" s="50"/>
    </row>
    <row r="1434" spans="1:48" ht="12.75" customHeight="1" x14ac:dyDescent="0.25">
      <c r="A1434" s="72" t="s">
        <v>883</v>
      </c>
      <c r="B1434" s="43" t="s">
        <v>1580</v>
      </c>
      <c r="C1434" s="44" t="s">
        <v>1590</v>
      </c>
      <c r="D1434" s="45">
        <f>MROUND(MID($C1434,6,3)/Basis!$E$3,0.5)</f>
        <v>3</v>
      </c>
      <c r="E1434" s="45">
        <f>MROUND(MID($C1434,9,3)/Basis!$E$3,0.5)</f>
        <v>35.5</v>
      </c>
      <c r="F1434" s="124" t="s">
        <v>2951</v>
      </c>
      <c r="G1434" s="45">
        <f>ROUND((MROUND($F1434,5)+3)/Basis!$E$3,1)</f>
        <v>5.0999999999999996</v>
      </c>
      <c r="H1434" s="120">
        <f>ROUND($P1434*Basis!$E$2*((TaH-TrH)/LN(1/µ)/Basis!$E$7)^$N1434*$AA$4*Glycol,0)</f>
        <v>818</v>
      </c>
      <c r="I1434" s="83">
        <f>ROUND(H1434/(MID($C1434,9,3)/Basis!$E$3/Basis!$E$9)*Basis!$E$11,0)</f>
        <v>277</v>
      </c>
      <c r="J1434" s="123">
        <f>IF(Basis!$E$1=1,ROUND(H1434/((TaH-TrH)*1.163)/3600,3),ROUND(H1434/(500*(TaH-TrH)),2))</f>
        <v>0.08</v>
      </c>
      <c r="K1434" s="84"/>
      <c r="L1434" s="177">
        <f>CHOOSE(Basis!$E$1,((AJ1434*(J1434*3600/Basis!$E$5)^AK1434*(((MID(C1434,9,3)*10)-144)/1000)*AL1434+AM1434*(J1434*3600/Basis!$E$5)^2)*0.0098)/Basis!$E$10,((AJ1434*(J1434/Basis!$E$5)^AK1434*(((MID(C1434,9,3)*10)-144)/1000)*AL1434+AM1434*(J1434/Basis!$E$5)^2)*0.0098)/Basis!$E$10)</f>
        <v>4.6778108393617817E-4</v>
      </c>
      <c r="M1434" s="85"/>
      <c r="N1434" s="109">
        <v>1.4179999999999999</v>
      </c>
      <c r="O1434" s="68"/>
      <c r="P1434" s="67">
        <v>383</v>
      </c>
      <c r="Q1434" s="68"/>
      <c r="R1434" s="69"/>
      <c r="S1434" s="69"/>
      <c r="T1434" s="69"/>
      <c r="U1434" s="69"/>
      <c r="V1434" s="69"/>
      <c r="W1434" s="68"/>
      <c r="X1434" s="70"/>
      <c r="Y1434" s="70"/>
      <c r="Z1434" s="70"/>
      <c r="AA1434" s="70"/>
      <c r="AB1434" s="70"/>
      <c r="AC1434" s="68"/>
      <c r="AD1434" s="71"/>
      <c r="AE1434" s="71"/>
      <c r="AF1434" s="71"/>
      <c r="AG1434" s="71"/>
      <c r="AH1434" s="71"/>
      <c r="AI1434" s="68"/>
      <c r="AJ1434" s="214">
        <v>1.872E-4</v>
      </c>
      <c r="AK1434" s="214">
        <v>1.844419</v>
      </c>
      <c r="AL1434" s="214">
        <v>1</v>
      </c>
      <c r="AM1434" s="214">
        <v>3.4319999999999999E-4</v>
      </c>
      <c r="AN1434" s="68"/>
      <c r="AO1434" s="67"/>
      <c r="AP1434" s="67"/>
      <c r="AQ1434" s="67"/>
      <c r="AR1434" s="67"/>
      <c r="AS1434" s="67"/>
      <c r="AT1434" s="68"/>
      <c r="AU1434" s="49"/>
      <c r="AV1434" s="50"/>
    </row>
    <row r="1435" spans="1:48" ht="12.75" customHeight="1" x14ac:dyDescent="0.25">
      <c r="A1435" s="72" t="s">
        <v>883</v>
      </c>
      <c r="B1435" s="43" t="s">
        <v>1580</v>
      </c>
      <c r="C1435" s="44" t="s">
        <v>1591</v>
      </c>
      <c r="D1435" s="45">
        <f>MROUND(MID($C1435,6,3)/Basis!$E$3,0.5)</f>
        <v>3</v>
      </c>
      <c r="E1435" s="45">
        <f>MROUND(MID($C1435,9,3)/Basis!$E$3,0.5)</f>
        <v>35.5</v>
      </c>
      <c r="F1435" s="124" t="s">
        <v>2952</v>
      </c>
      <c r="G1435" s="45">
        <f>ROUND((MROUND($F1435,5)+3)/Basis!$E$3,1)</f>
        <v>7.1</v>
      </c>
      <c r="H1435" s="120">
        <f>ROUND($P1435*Basis!$E$2*((TaH-TrH)/LN(1/µ)/Basis!$E$7)^$N1435*$AA$4*Glycol,0)</f>
        <v>1336</v>
      </c>
      <c r="I1435" s="83">
        <f>ROUND(H1435/(MID($C1435,9,3)/Basis!$E$3/Basis!$E$9)*Basis!$E$11,0)</f>
        <v>452</v>
      </c>
      <c r="J1435" s="123">
        <f>IF(Basis!$E$1=1,ROUND(H1435/((TaH-TrH)*1.163)/3600,3),ROUND(H1435/(500*(TaH-TrH)),2))</f>
        <v>0.13</v>
      </c>
      <c r="K1435" s="84"/>
      <c r="L1435" s="177">
        <f>CHOOSE(Basis!$E$1,((AJ1435*(J1435*3600/Basis!$E$5)^AK1435*(((MID(C1435,9,3)*10)-144)/1000)*AL1435+AM1435*(J1435*3600/Basis!$E$5)^2)*0.0098)/Basis!$E$10,((AJ1435*(J1435/Basis!$E$5)^AK1435*(((MID(C1435,9,3)*10)-144)/1000)*AL1435+AM1435*(J1435/Basis!$E$5)^2)*0.0098)/Basis!$E$10)</f>
        <v>1.3041618143421021E-3</v>
      </c>
      <c r="M1435" s="85"/>
      <c r="N1435" s="109">
        <v>1.4179999999999999</v>
      </c>
      <c r="O1435" s="68"/>
      <c r="P1435" s="67">
        <v>625</v>
      </c>
      <c r="Q1435" s="68"/>
      <c r="R1435" s="69"/>
      <c r="S1435" s="69"/>
      <c r="T1435" s="69"/>
      <c r="U1435" s="69"/>
      <c r="V1435" s="69"/>
      <c r="W1435" s="68"/>
      <c r="X1435" s="70"/>
      <c r="Y1435" s="70"/>
      <c r="Z1435" s="70"/>
      <c r="AA1435" s="70"/>
      <c r="AB1435" s="70"/>
      <c r="AC1435" s="68"/>
      <c r="AD1435" s="71"/>
      <c r="AE1435" s="71"/>
      <c r="AF1435" s="71"/>
      <c r="AG1435" s="71"/>
      <c r="AH1435" s="71"/>
      <c r="AI1435" s="68"/>
      <c r="AJ1435" s="214">
        <v>1.6249999999999999E-4</v>
      </c>
      <c r="AK1435" s="214">
        <v>1.76</v>
      </c>
      <c r="AL1435" s="214">
        <v>1</v>
      </c>
      <c r="AM1435" s="214">
        <v>4.0299999999999998E-4</v>
      </c>
      <c r="AN1435" s="68"/>
      <c r="AO1435" s="67"/>
      <c r="AP1435" s="67"/>
      <c r="AQ1435" s="67"/>
      <c r="AR1435" s="67"/>
      <c r="AS1435" s="67"/>
      <c r="AT1435" s="68"/>
      <c r="AU1435" s="49"/>
      <c r="AV1435" s="50"/>
    </row>
    <row r="1436" spans="1:48" ht="12.75" customHeight="1" x14ac:dyDescent="0.25">
      <c r="A1436" s="72" t="s">
        <v>883</v>
      </c>
      <c r="B1436" s="43" t="s">
        <v>1580</v>
      </c>
      <c r="C1436" s="44" t="s">
        <v>1592</v>
      </c>
      <c r="D1436" s="45">
        <f>MROUND(MID($C1436,6,3)/Basis!$E$3,0.5)</f>
        <v>3</v>
      </c>
      <c r="E1436" s="45">
        <f>MROUND(MID($C1436,9,3)/Basis!$E$3,0.5)</f>
        <v>35.5</v>
      </c>
      <c r="F1436" s="124" t="s">
        <v>2953</v>
      </c>
      <c r="G1436" s="45">
        <f>ROUND((MROUND($F1436,5)+3)/Basis!$E$3,1)</f>
        <v>9.1</v>
      </c>
      <c r="H1436" s="120">
        <f>ROUND($P1436*Basis!$E$2*((TaH-TrH)/LN(1/µ)/Basis!$E$7)^$N1436*$AA$4*Glycol,0)</f>
        <v>1833</v>
      </c>
      <c r="I1436" s="83">
        <f>ROUND(H1436/(MID($C1436,9,3)/Basis!$E$3/Basis!$E$9)*Basis!$E$11,0)</f>
        <v>621</v>
      </c>
      <c r="J1436" s="123">
        <f>IF(Basis!$E$1=1,ROUND(H1436/((TaH-TrH)*1.163)/3600,3),ROUND(H1436/(500*(TaH-TrH)),2))</f>
        <v>0.18</v>
      </c>
      <c r="K1436" s="84"/>
      <c r="L1436" s="177">
        <f>CHOOSE(Basis!$E$1,((AJ1436*(J1436*3600/Basis!$E$5)^AK1436*(((MID(C1436,9,3)*10)-144)/1000)*AL1436+AM1436*(J1436*3600/Basis!$E$5)^2)*0.0098)/Basis!$E$10,((AJ1436*(J1436/Basis!$E$5)^AK1436*(((MID(C1436,9,3)*10)-144)/1000)*AL1436+AM1436*(J1436/Basis!$E$5)^2)*0.0098)/Basis!$E$10)</f>
        <v>1.899974615867046E-3</v>
      </c>
      <c r="M1436" s="85"/>
      <c r="N1436" s="109">
        <v>1.4179999999999999</v>
      </c>
      <c r="O1436" s="68"/>
      <c r="P1436" s="67">
        <v>858</v>
      </c>
      <c r="Q1436" s="68"/>
      <c r="R1436" s="69"/>
      <c r="S1436" s="69"/>
      <c r="T1436" s="69"/>
      <c r="U1436" s="69"/>
      <c r="V1436" s="69"/>
      <c r="W1436" s="68"/>
      <c r="X1436" s="70"/>
      <c r="Y1436" s="70"/>
      <c r="Z1436" s="70"/>
      <c r="AA1436" s="70"/>
      <c r="AB1436" s="70"/>
      <c r="AC1436" s="68"/>
      <c r="AD1436" s="71"/>
      <c r="AE1436" s="71"/>
      <c r="AF1436" s="71"/>
      <c r="AG1436" s="71"/>
      <c r="AH1436" s="71"/>
      <c r="AI1436" s="68"/>
      <c r="AJ1436" s="214">
        <v>1.058E-4</v>
      </c>
      <c r="AK1436" s="214">
        <v>1.7485999999999999</v>
      </c>
      <c r="AL1436" s="214">
        <v>1</v>
      </c>
      <c r="AM1436" s="214">
        <v>3.1619999999999999E-4</v>
      </c>
      <c r="AN1436" s="68"/>
      <c r="AO1436" s="67"/>
      <c r="AP1436" s="67"/>
      <c r="AQ1436" s="67"/>
      <c r="AR1436" s="67"/>
      <c r="AS1436" s="67"/>
      <c r="AT1436" s="68"/>
      <c r="AU1436" s="49"/>
      <c r="AV1436" s="50"/>
    </row>
    <row r="1437" spans="1:48" ht="12.75" customHeight="1" x14ac:dyDescent="0.25">
      <c r="A1437" s="72" t="s">
        <v>883</v>
      </c>
      <c r="B1437" s="43" t="s">
        <v>1580</v>
      </c>
      <c r="C1437" s="44" t="s">
        <v>1593</v>
      </c>
      <c r="D1437" s="45">
        <f>MROUND(MID($C1437,6,3)/Basis!$E$3,0.5)</f>
        <v>3</v>
      </c>
      <c r="E1437" s="45">
        <f>MROUND(MID($C1437,9,3)/Basis!$E$3,0.5)</f>
        <v>39.5</v>
      </c>
      <c r="F1437" s="124" t="s">
        <v>2951</v>
      </c>
      <c r="G1437" s="45">
        <f>ROUND((MROUND($F1437,5)+3)/Basis!$E$3,1)</f>
        <v>5.0999999999999996</v>
      </c>
      <c r="H1437" s="120">
        <f>ROUND($P1437*Basis!$E$2*((TaH-TrH)/LN(1/µ)/Basis!$E$7)^$N1437*$AA$4*Glycol,0)</f>
        <v>908</v>
      </c>
      <c r="I1437" s="83">
        <f>ROUND(H1437/(MID($C1437,9,3)/Basis!$E$3/Basis!$E$9)*Basis!$E$11,0)</f>
        <v>277</v>
      </c>
      <c r="J1437" s="123">
        <f>IF(Basis!$E$1=1,ROUND(H1437/((TaH-TrH)*1.163)/3600,3),ROUND(H1437/(500*(TaH-TrH)),2))</f>
        <v>0.09</v>
      </c>
      <c r="K1437" s="84"/>
      <c r="L1437" s="177">
        <f>CHOOSE(Basis!$E$1,((AJ1437*(J1437*3600/Basis!$E$5)^AK1437*(((MID(C1437,9,3)*10)-144)/1000)*AL1437+AM1437*(J1437*3600/Basis!$E$5)^2)*0.0098)/Basis!$E$10,((AJ1437*(J1437/Basis!$E$5)^AK1437*(((MID(C1437,9,3)*10)-144)/1000)*AL1437+AM1437*(J1437/Basis!$E$5)^2)*0.0098)/Basis!$E$10)</f>
        <v>6.0579275790149109E-4</v>
      </c>
      <c r="M1437" s="85"/>
      <c r="N1437" s="109">
        <v>1.4179999999999999</v>
      </c>
      <c r="O1437" s="68"/>
      <c r="P1437" s="67">
        <v>425</v>
      </c>
      <c r="Q1437" s="68"/>
      <c r="R1437" s="69"/>
      <c r="S1437" s="69"/>
      <c r="T1437" s="69"/>
      <c r="U1437" s="69"/>
      <c r="V1437" s="69"/>
      <c r="W1437" s="68"/>
      <c r="X1437" s="70"/>
      <c r="Y1437" s="70"/>
      <c r="Z1437" s="70"/>
      <c r="AA1437" s="70"/>
      <c r="AB1437" s="70"/>
      <c r="AC1437" s="68"/>
      <c r="AD1437" s="71"/>
      <c r="AE1437" s="71"/>
      <c r="AF1437" s="71"/>
      <c r="AG1437" s="71"/>
      <c r="AH1437" s="71"/>
      <c r="AI1437" s="68"/>
      <c r="AJ1437" s="214">
        <v>1.872E-4</v>
      </c>
      <c r="AK1437" s="214">
        <v>1.844419</v>
      </c>
      <c r="AL1437" s="214">
        <v>1</v>
      </c>
      <c r="AM1437" s="214">
        <v>3.4319999999999999E-4</v>
      </c>
      <c r="AN1437" s="68"/>
      <c r="AO1437" s="67"/>
      <c r="AP1437" s="67"/>
      <c r="AQ1437" s="67"/>
      <c r="AR1437" s="67"/>
      <c r="AS1437" s="67"/>
      <c r="AT1437" s="68"/>
      <c r="AU1437" s="49"/>
      <c r="AV1437" s="50"/>
    </row>
    <row r="1438" spans="1:48" ht="12.75" customHeight="1" x14ac:dyDescent="0.25">
      <c r="A1438" s="72" t="s">
        <v>883</v>
      </c>
      <c r="B1438" s="43" t="s">
        <v>1580</v>
      </c>
      <c r="C1438" s="44" t="s">
        <v>1594</v>
      </c>
      <c r="D1438" s="45">
        <f>MROUND(MID($C1438,6,3)/Basis!$E$3,0.5)</f>
        <v>3</v>
      </c>
      <c r="E1438" s="45">
        <f>MROUND(MID($C1438,9,3)/Basis!$E$3,0.5)</f>
        <v>39.5</v>
      </c>
      <c r="F1438" s="124" t="s">
        <v>2952</v>
      </c>
      <c r="G1438" s="45">
        <f>ROUND((MROUND($F1438,5)+3)/Basis!$E$3,1)</f>
        <v>7.1</v>
      </c>
      <c r="H1438" s="120">
        <f>ROUND($P1438*Basis!$E$2*((TaH-TrH)/LN(1/µ)/Basis!$E$7)^$N1438*$AA$4*Glycol,0)</f>
        <v>1483</v>
      </c>
      <c r="I1438" s="83">
        <f>ROUND(H1438/(MID($C1438,9,3)/Basis!$E$3/Basis!$E$9)*Basis!$E$11,0)</f>
        <v>452</v>
      </c>
      <c r="J1438" s="123">
        <f>IF(Basis!$E$1=1,ROUND(H1438/((TaH-TrH)*1.163)/3600,3),ROUND(H1438/(500*(TaH-TrH)),2))</f>
        <v>0.15</v>
      </c>
      <c r="K1438" s="84"/>
      <c r="L1438" s="177">
        <f>CHOOSE(Basis!$E$1,((AJ1438*(J1438*3600/Basis!$E$5)^AK1438*(((MID(C1438,9,3)*10)-144)/1000)*AL1438+AM1438*(J1438*3600/Basis!$E$5)^2)*0.0098)/Basis!$E$10,((AJ1438*(J1438/Basis!$E$5)^AK1438*(((MID(C1438,9,3)*10)-144)/1000)*AL1438+AM1438*(J1438/Basis!$E$5)^2)*0.0098)/Basis!$E$10)</f>
        <v>1.7557681699965962E-3</v>
      </c>
      <c r="M1438" s="85"/>
      <c r="N1438" s="109">
        <v>1.4179999999999999</v>
      </c>
      <c r="O1438" s="68"/>
      <c r="P1438" s="67">
        <v>694</v>
      </c>
      <c r="Q1438" s="68"/>
      <c r="R1438" s="69"/>
      <c r="S1438" s="69"/>
      <c r="T1438" s="69"/>
      <c r="U1438" s="69"/>
      <c r="V1438" s="69"/>
      <c r="W1438" s="68"/>
      <c r="X1438" s="70"/>
      <c r="Y1438" s="70"/>
      <c r="Z1438" s="70"/>
      <c r="AA1438" s="70"/>
      <c r="AB1438" s="70"/>
      <c r="AC1438" s="68"/>
      <c r="AD1438" s="71"/>
      <c r="AE1438" s="71"/>
      <c r="AF1438" s="71"/>
      <c r="AG1438" s="71"/>
      <c r="AH1438" s="71"/>
      <c r="AI1438" s="68"/>
      <c r="AJ1438" s="214">
        <v>1.6249999999999999E-4</v>
      </c>
      <c r="AK1438" s="214">
        <v>1.76</v>
      </c>
      <c r="AL1438" s="214">
        <v>1</v>
      </c>
      <c r="AM1438" s="214">
        <v>4.0299999999999998E-4</v>
      </c>
      <c r="AN1438" s="68"/>
      <c r="AO1438" s="67"/>
      <c r="AP1438" s="67"/>
      <c r="AQ1438" s="67"/>
      <c r="AR1438" s="67"/>
      <c r="AS1438" s="67"/>
      <c r="AT1438" s="68"/>
      <c r="AU1438" s="49"/>
      <c r="AV1438" s="50"/>
    </row>
    <row r="1439" spans="1:48" ht="12.75" customHeight="1" x14ac:dyDescent="0.25">
      <c r="A1439" s="72" t="s">
        <v>883</v>
      </c>
      <c r="B1439" s="43" t="s">
        <v>1580</v>
      </c>
      <c r="C1439" s="44" t="s">
        <v>1595</v>
      </c>
      <c r="D1439" s="45">
        <f>MROUND(MID($C1439,6,3)/Basis!$E$3,0.5)</f>
        <v>3</v>
      </c>
      <c r="E1439" s="45">
        <f>MROUND(MID($C1439,9,3)/Basis!$E$3,0.5)</f>
        <v>39.5</v>
      </c>
      <c r="F1439" s="124" t="s">
        <v>2953</v>
      </c>
      <c r="G1439" s="45">
        <f>ROUND((MROUND($F1439,5)+3)/Basis!$E$3,1)</f>
        <v>9.1</v>
      </c>
      <c r="H1439" s="120">
        <f>ROUND($P1439*Basis!$E$2*((TaH-TrH)/LN(1/µ)/Basis!$E$7)^$N1439*$AA$4*Glycol,0)</f>
        <v>2036</v>
      </c>
      <c r="I1439" s="83">
        <f>ROUND(H1439/(MID($C1439,9,3)/Basis!$E$3/Basis!$E$9)*Basis!$E$11,0)</f>
        <v>621</v>
      </c>
      <c r="J1439" s="123">
        <f>IF(Basis!$E$1=1,ROUND(H1439/((TaH-TrH)*1.163)/3600,3),ROUND(H1439/(500*(TaH-TrH)),2))</f>
        <v>0.2</v>
      </c>
      <c r="K1439" s="84"/>
      <c r="L1439" s="177">
        <f>CHOOSE(Basis!$E$1,((AJ1439*(J1439*3600/Basis!$E$5)^AK1439*(((MID(C1439,9,3)*10)-144)/1000)*AL1439+AM1439*(J1439*3600/Basis!$E$5)^2)*0.0098)/Basis!$E$10,((AJ1439*(J1439/Basis!$E$5)^AK1439*(((MID(C1439,9,3)*10)-144)/1000)*AL1439+AM1439*(J1439/Basis!$E$5)^2)*0.0098)/Basis!$E$10)</f>
        <v>2.3674470396551671E-3</v>
      </c>
      <c r="M1439" s="85"/>
      <c r="N1439" s="109">
        <v>1.4179999999999999</v>
      </c>
      <c r="O1439" s="68"/>
      <c r="P1439" s="67">
        <v>953</v>
      </c>
      <c r="Q1439" s="68"/>
      <c r="R1439" s="69"/>
      <c r="S1439" s="69"/>
      <c r="T1439" s="69"/>
      <c r="U1439" s="69"/>
      <c r="V1439" s="69"/>
      <c r="W1439" s="68"/>
      <c r="X1439" s="70"/>
      <c r="Y1439" s="70"/>
      <c r="Z1439" s="70"/>
      <c r="AA1439" s="70"/>
      <c r="AB1439" s="70"/>
      <c r="AC1439" s="68"/>
      <c r="AD1439" s="71"/>
      <c r="AE1439" s="71"/>
      <c r="AF1439" s="71"/>
      <c r="AG1439" s="71"/>
      <c r="AH1439" s="71"/>
      <c r="AI1439" s="68"/>
      <c r="AJ1439" s="214">
        <v>1.058E-4</v>
      </c>
      <c r="AK1439" s="214">
        <v>1.7485999999999999</v>
      </c>
      <c r="AL1439" s="214">
        <v>1</v>
      </c>
      <c r="AM1439" s="214">
        <v>3.1619999999999999E-4</v>
      </c>
      <c r="AN1439" s="68"/>
      <c r="AO1439" s="67"/>
      <c r="AP1439" s="67"/>
      <c r="AQ1439" s="67"/>
      <c r="AR1439" s="67"/>
      <c r="AS1439" s="67"/>
      <c r="AT1439" s="68"/>
      <c r="AU1439" s="49"/>
      <c r="AV1439" s="50"/>
    </row>
    <row r="1440" spans="1:48" ht="12.75" customHeight="1" x14ac:dyDescent="0.25">
      <c r="A1440" s="72" t="s">
        <v>883</v>
      </c>
      <c r="B1440" s="43" t="s">
        <v>1580</v>
      </c>
      <c r="C1440" s="44" t="s">
        <v>1596</v>
      </c>
      <c r="D1440" s="45">
        <f>MROUND(MID($C1440,6,3)/Basis!$E$3,0.5)</f>
        <v>3</v>
      </c>
      <c r="E1440" s="45">
        <f>MROUND(MID($C1440,9,3)/Basis!$E$3,0.5)</f>
        <v>43.5</v>
      </c>
      <c r="F1440" s="124" t="s">
        <v>2951</v>
      </c>
      <c r="G1440" s="45">
        <f>ROUND((MROUND($F1440,5)+3)/Basis!$E$3,1)</f>
        <v>5.0999999999999996</v>
      </c>
      <c r="H1440" s="120">
        <f>ROUND($P1440*Basis!$E$2*((TaH-TrH)/LN(1/µ)/Basis!$E$7)^$N1440*$AA$4*Glycol,0)</f>
        <v>1000</v>
      </c>
      <c r="I1440" s="83">
        <f>ROUND(H1440/(MID($C1440,9,3)/Basis!$E$3/Basis!$E$9)*Basis!$E$11,0)</f>
        <v>277</v>
      </c>
      <c r="J1440" s="123">
        <f>IF(Basis!$E$1=1,ROUND(H1440/((TaH-TrH)*1.163)/3600,3),ROUND(H1440/(500*(TaH-TrH)),2))</f>
        <v>0.1</v>
      </c>
      <c r="K1440" s="84"/>
      <c r="L1440" s="177">
        <f>CHOOSE(Basis!$E$1,((AJ1440*(J1440*3600/Basis!$E$5)^AK1440*(((MID(C1440,9,3)*10)-144)/1000)*AL1440+AM1440*(J1440*3600/Basis!$E$5)^2)*0.0098)/Basis!$E$10,((AJ1440*(J1440/Basis!$E$5)^AK1440*(((MID(C1440,9,3)*10)-144)/1000)*AL1440+AM1440*(J1440/Basis!$E$5)^2)*0.0098)/Basis!$E$10)</f>
        <v>7.6456825919216228E-4</v>
      </c>
      <c r="M1440" s="85"/>
      <c r="N1440" s="109">
        <v>1.4179999999999999</v>
      </c>
      <c r="O1440" s="68"/>
      <c r="P1440" s="67">
        <v>468</v>
      </c>
      <c r="Q1440" s="68"/>
      <c r="R1440" s="69"/>
      <c r="S1440" s="69"/>
      <c r="T1440" s="69"/>
      <c r="U1440" s="69"/>
      <c r="V1440" s="69"/>
      <c r="W1440" s="68"/>
      <c r="X1440" s="70"/>
      <c r="Y1440" s="70"/>
      <c r="Z1440" s="70"/>
      <c r="AA1440" s="70"/>
      <c r="AB1440" s="70"/>
      <c r="AC1440" s="68"/>
      <c r="AD1440" s="71"/>
      <c r="AE1440" s="71"/>
      <c r="AF1440" s="71"/>
      <c r="AG1440" s="71"/>
      <c r="AH1440" s="71"/>
      <c r="AI1440" s="68"/>
      <c r="AJ1440" s="214">
        <v>1.872E-4</v>
      </c>
      <c r="AK1440" s="214">
        <v>1.844419</v>
      </c>
      <c r="AL1440" s="214">
        <v>1</v>
      </c>
      <c r="AM1440" s="214">
        <v>3.4319999999999999E-4</v>
      </c>
      <c r="AN1440" s="68"/>
      <c r="AO1440" s="67"/>
      <c r="AP1440" s="67"/>
      <c r="AQ1440" s="67"/>
      <c r="AR1440" s="67"/>
      <c r="AS1440" s="67"/>
      <c r="AT1440" s="68"/>
      <c r="AU1440" s="49"/>
      <c r="AV1440" s="50"/>
    </row>
    <row r="1441" spans="1:48" ht="12.75" customHeight="1" x14ac:dyDescent="0.25">
      <c r="A1441" s="72" t="s">
        <v>883</v>
      </c>
      <c r="B1441" s="43" t="s">
        <v>1580</v>
      </c>
      <c r="C1441" s="44" t="s">
        <v>1597</v>
      </c>
      <c r="D1441" s="45">
        <f>MROUND(MID($C1441,6,3)/Basis!$E$3,0.5)</f>
        <v>3</v>
      </c>
      <c r="E1441" s="45">
        <f>MROUND(MID($C1441,9,3)/Basis!$E$3,0.5)</f>
        <v>43.5</v>
      </c>
      <c r="F1441" s="124" t="s">
        <v>2952</v>
      </c>
      <c r="G1441" s="45">
        <f>ROUND((MROUND($F1441,5)+3)/Basis!$E$3,1)</f>
        <v>7.1</v>
      </c>
      <c r="H1441" s="120">
        <f>ROUND($P1441*Basis!$E$2*((TaH-TrH)/LN(1/µ)/Basis!$E$7)^$N1441*$AA$4*Glycol,0)</f>
        <v>1630</v>
      </c>
      <c r="I1441" s="83">
        <f>ROUND(H1441/(MID($C1441,9,3)/Basis!$E$3/Basis!$E$9)*Basis!$E$11,0)</f>
        <v>452</v>
      </c>
      <c r="J1441" s="123">
        <f>IF(Basis!$E$1=1,ROUND(H1441/((TaH-TrH)*1.163)/3600,3),ROUND(H1441/(500*(TaH-TrH)),2))</f>
        <v>0.16</v>
      </c>
      <c r="K1441" s="84"/>
      <c r="L1441" s="177">
        <f>CHOOSE(Basis!$E$1,((AJ1441*(J1441*3600/Basis!$E$5)^AK1441*(((MID(C1441,9,3)*10)-144)/1000)*AL1441+AM1441*(J1441*3600/Basis!$E$5)^2)*0.0098)/Basis!$E$10,((AJ1441*(J1441/Basis!$E$5)^AK1441*(((MID(C1441,9,3)*10)-144)/1000)*AL1441+AM1441*(J1441/Basis!$E$5)^2)*0.0098)/Basis!$E$10)</f>
        <v>2.0233395548474417E-3</v>
      </c>
      <c r="M1441" s="85"/>
      <c r="N1441" s="109">
        <v>1.4179999999999999</v>
      </c>
      <c r="O1441" s="68"/>
      <c r="P1441" s="67">
        <v>763</v>
      </c>
      <c r="Q1441" s="68"/>
      <c r="R1441" s="69"/>
      <c r="S1441" s="69"/>
      <c r="T1441" s="69"/>
      <c r="U1441" s="69"/>
      <c r="V1441" s="69"/>
      <c r="W1441" s="68"/>
      <c r="X1441" s="70"/>
      <c r="Y1441" s="70"/>
      <c r="Z1441" s="70"/>
      <c r="AA1441" s="70"/>
      <c r="AB1441" s="70"/>
      <c r="AC1441" s="68"/>
      <c r="AD1441" s="71"/>
      <c r="AE1441" s="71"/>
      <c r="AF1441" s="71"/>
      <c r="AG1441" s="71"/>
      <c r="AH1441" s="71"/>
      <c r="AI1441" s="68"/>
      <c r="AJ1441" s="214">
        <v>1.6249999999999999E-4</v>
      </c>
      <c r="AK1441" s="214">
        <v>1.76</v>
      </c>
      <c r="AL1441" s="214">
        <v>1</v>
      </c>
      <c r="AM1441" s="214">
        <v>4.0299999999999998E-4</v>
      </c>
      <c r="AN1441" s="68"/>
      <c r="AO1441" s="67"/>
      <c r="AP1441" s="67"/>
      <c r="AQ1441" s="67"/>
      <c r="AR1441" s="67"/>
      <c r="AS1441" s="67"/>
      <c r="AT1441" s="68"/>
      <c r="AU1441" s="49"/>
      <c r="AV1441" s="50"/>
    </row>
    <row r="1442" spans="1:48" ht="12.75" customHeight="1" x14ac:dyDescent="0.25">
      <c r="A1442" s="72" t="s">
        <v>883</v>
      </c>
      <c r="B1442" s="43" t="s">
        <v>1580</v>
      </c>
      <c r="C1442" s="44" t="s">
        <v>1598</v>
      </c>
      <c r="D1442" s="45">
        <f>MROUND(MID($C1442,6,3)/Basis!$E$3,0.5)</f>
        <v>3</v>
      </c>
      <c r="E1442" s="45">
        <f>MROUND(MID($C1442,9,3)/Basis!$E$3,0.5)</f>
        <v>43.5</v>
      </c>
      <c r="F1442" s="124" t="s">
        <v>2953</v>
      </c>
      <c r="G1442" s="45">
        <f>ROUND((MROUND($F1442,5)+3)/Basis!$E$3,1)</f>
        <v>9.1</v>
      </c>
      <c r="H1442" s="120">
        <f>ROUND($P1442*Basis!$E$2*((TaH-TrH)/LN(1/µ)/Basis!$E$7)^$N1442*$AA$4*Glycol,0)</f>
        <v>2239</v>
      </c>
      <c r="I1442" s="83">
        <f>ROUND(H1442/(MID($C1442,9,3)/Basis!$E$3/Basis!$E$9)*Basis!$E$11,0)</f>
        <v>620</v>
      </c>
      <c r="J1442" s="123">
        <f>IF(Basis!$E$1=1,ROUND(H1442/((TaH-TrH)*1.163)/3600,3),ROUND(H1442/(500*(TaH-TrH)),2))</f>
        <v>0.22</v>
      </c>
      <c r="K1442" s="84"/>
      <c r="L1442" s="177">
        <f>CHOOSE(Basis!$E$1,((AJ1442*(J1442*3600/Basis!$E$5)^AK1442*(((MID(C1442,9,3)*10)-144)/1000)*AL1442+AM1442*(J1442*3600/Basis!$E$5)^2)*0.0098)/Basis!$E$10,((AJ1442*(J1442/Basis!$E$5)^AK1442*(((MID(C1442,9,3)*10)-144)/1000)*AL1442+AM1442*(J1442/Basis!$E$5)^2)*0.0098)/Basis!$E$10)</f>
        <v>2.8902130498726117E-3</v>
      </c>
      <c r="M1442" s="85"/>
      <c r="N1442" s="109">
        <v>1.4179999999999999</v>
      </c>
      <c r="O1442" s="68"/>
      <c r="P1442" s="67">
        <v>1048</v>
      </c>
      <c r="Q1442" s="68"/>
      <c r="R1442" s="69"/>
      <c r="S1442" s="69"/>
      <c r="T1442" s="69"/>
      <c r="U1442" s="69"/>
      <c r="V1442" s="69"/>
      <c r="W1442" s="68"/>
      <c r="X1442" s="70"/>
      <c r="Y1442" s="70"/>
      <c r="Z1442" s="70"/>
      <c r="AA1442" s="70"/>
      <c r="AB1442" s="70"/>
      <c r="AC1442" s="68"/>
      <c r="AD1442" s="71"/>
      <c r="AE1442" s="71"/>
      <c r="AF1442" s="71"/>
      <c r="AG1442" s="71"/>
      <c r="AH1442" s="71"/>
      <c r="AI1442" s="68"/>
      <c r="AJ1442" s="214">
        <v>1.058E-4</v>
      </c>
      <c r="AK1442" s="214">
        <v>1.7485999999999999</v>
      </c>
      <c r="AL1442" s="214">
        <v>1</v>
      </c>
      <c r="AM1442" s="214">
        <v>3.1619999999999999E-4</v>
      </c>
      <c r="AN1442" s="68"/>
      <c r="AO1442" s="67"/>
      <c r="AP1442" s="67"/>
      <c r="AQ1442" s="67"/>
      <c r="AR1442" s="67"/>
      <c r="AS1442" s="67"/>
      <c r="AT1442" s="68"/>
      <c r="AU1442" s="49"/>
      <c r="AV1442" s="50"/>
    </row>
    <row r="1443" spans="1:48" ht="12.75" customHeight="1" x14ac:dyDescent="0.25">
      <c r="A1443" s="72" t="s">
        <v>883</v>
      </c>
      <c r="B1443" s="43" t="s">
        <v>1580</v>
      </c>
      <c r="C1443" s="44" t="s">
        <v>1599</v>
      </c>
      <c r="D1443" s="45">
        <f>MROUND(MID($C1443,6,3)/Basis!$E$3,0.5)</f>
        <v>3</v>
      </c>
      <c r="E1443" s="45">
        <f>MROUND(MID($C1443,9,3)/Basis!$E$3,0.5)</f>
        <v>47</v>
      </c>
      <c r="F1443" s="124" t="s">
        <v>2951</v>
      </c>
      <c r="G1443" s="45">
        <f>ROUND((MROUND($F1443,5)+3)/Basis!$E$3,1)</f>
        <v>5.0999999999999996</v>
      </c>
      <c r="H1443" s="120">
        <f>ROUND($P1443*Basis!$E$2*((TaH-TrH)/LN(1/µ)/Basis!$E$7)^$N1443*$AA$4*Glycol,0)</f>
        <v>1090</v>
      </c>
      <c r="I1443" s="83">
        <f>ROUND(H1443/(MID($C1443,9,3)/Basis!$E$3/Basis!$E$9)*Basis!$E$11,0)</f>
        <v>277</v>
      </c>
      <c r="J1443" s="123">
        <f>IF(Basis!$E$1=1,ROUND(H1443/((TaH-TrH)*1.163)/3600,3),ROUND(H1443/(500*(TaH-TrH)),2))</f>
        <v>0.11</v>
      </c>
      <c r="K1443" s="84"/>
      <c r="L1443" s="177">
        <f>CHOOSE(Basis!$E$1,((AJ1443*(J1443*3600/Basis!$E$5)^AK1443*(((MID(C1443,9,3)*10)-144)/1000)*AL1443+AM1443*(J1443*3600/Basis!$E$5)^2)*0.0098)/Basis!$E$10,((AJ1443*(J1443/Basis!$E$5)^AK1443*(((MID(C1443,9,3)*10)-144)/1000)*AL1443+AM1443*(J1443/Basis!$E$5)^2)*0.0098)/Basis!$E$10)</f>
        <v>9.4497739850135534E-4</v>
      </c>
      <c r="M1443" s="85"/>
      <c r="N1443" s="109">
        <v>1.4179999999999999</v>
      </c>
      <c r="O1443" s="68"/>
      <c r="P1443" s="67">
        <v>510</v>
      </c>
      <c r="Q1443" s="68"/>
      <c r="R1443" s="69"/>
      <c r="S1443" s="69"/>
      <c r="T1443" s="69"/>
      <c r="U1443" s="69"/>
      <c r="V1443" s="69"/>
      <c r="W1443" s="68"/>
      <c r="X1443" s="70"/>
      <c r="Y1443" s="70"/>
      <c r="Z1443" s="70"/>
      <c r="AA1443" s="70"/>
      <c r="AB1443" s="70"/>
      <c r="AC1443" s="68"/>
      <c r="AD1443" s="71"/>
      <c r="AE1443" s="71"/>
      <c r="AF1443" s="71"/>
      <c r="AG1443" s="71"/>
      <c r="AH1443" s="71"/>
      <c r="AI1443" s="68"/>
      <c r="AJ1443" s="214">
        <v>1.872E-4</v>
      </c>
      <c r="AK1443" s="214">
        <v>1.844419</v>
      </c>
      <c r="AL1443" s="214">
        <v>1</v>
      </c>
      <c r="AM1443" s="214">
        <v>3.4319999999999999E-4</v>
      </c>
      <c r="AN1443" s="68"/>
      <c r="AO1443" s="67"/>
      <c r="AP1443" s="67"/>
      <c r="AQ1443" s="67"/>
      <c r="AR1443" s="67"/>
      <c r="AS1443" s="67"/>
      <c r="AT1443" s="68"/>
      <c r="AU1443" s="49"/>
      <c r="AV1443" s="50"/>
    </row>
    <row r="1444" spans="1:48" ht="12.75" customHeight="1" x14ac:dyDescent="0.25">
      <c r="A1444" s="72" t="s">
        <v>883</v>
      </c>
      <c r="B1444" s="43" t="s">
        <v>1580</v>
      </c>
      <c r="C1444" s="44" t="s">
        <v>1600</v>
      </c>
      <c r="D1444" s="45">
        <f>MROUND(MID($C1444,6,3)/Basis!$E$3,0.5)</f>
        <v>3</v>
      </c>
      <c r="E1444" s="45">
        <f>MROUND(MID($C1444,9,3)/Basis!$E$3,0.5)</f>
        <v>47</v>
      </c>
      <c r="F1444" s="124" t="s">
        <v>2952</v>
      </c>
      <c r="G1444" s="45">
        <f>ROUND((MROUND($F1444,5)+3)/Basis!$E$3,1)</f>
        <v>7.1</v>
      </c>
      <c r="H1444" s="120">
        <f>ROUND($P1444*Basis!$E$2*((TaH-TrH)/LN(1/µ)/Basis!$E$7)^$N1444*$AA$4*Glycol,0)</f>
        <v>1780</v>
      </c>
      <c r="I1444" s="83">
        <f>ROUND(H1444/(MID($C1444,9,3)/Basis!$E$3/Basis!$E$9)*Basis!$E$11,0)</f>
        <v>452</v>
      </c>
      <c r="J1444" s="123">
        <f>IF(Basis!$E$1=1,ROUND(H1444/((TaH-TrH)*1.163)/3600,3),ROUND(H1444/(500*(TaH-TrH)),2))</f>
        <v>0.18</v>
      </c>
      <c r="K1444" s="84"/>
      <c r="L1444" s="177">
        <f>CHOOSE(Basis!$E$1,((AJ1444*(J1444*3600/Basis!$E$5)^AK1444*(((MID(C1444,9,3)*10)-144)/1000)*AL1444+AM1444*(J1444*3600/Basis!$E$5)^2)*0.0098)/Basis!$E$10,((AJ1444*(J1444/Basis!$E$5)^AK1444*(((MID(C1444,9,3)*10)-144)/1000)*AL1444+AM1444*(J1444/Basis!$E$5)^2)*0.0098)/Basis!$E$10)</f>
        <v>2.5872466404232601E-3</v>
      </c>
      <c r="M1444" s="85"/>
      <c r="N1444" s="109">
        <v>1.4179999999999999</v>
      </c>
      <c r="O1444" s="68"/>
      <c r="P1444" s="67">
        <v>833</v>
      </c>
      <c r="Q1444" s="68"/>
      <c r="R1444" s="69"/>
      <c r="S1444" s="69"/>
      <c r="T1444" s="69"/>
      <c r="U1444" s="69"/>
      <c r="V1444" s="69"/>
      <c r="W1444" s="68"/>
      <c r="X1444" s="70"/>
      <c r="Y1444" s="70"/>
      <c r="Z1444" s="70"/>
      <c r="AA1444" s="70"/>
      <c r="AB1444" s="70"/>
      <c r="AC1444" s="68"/>
      <c r="AD1444" s="71"/>
      <c r="AE1444" s="71"/>
      <c r="AF1444" s="71"/>
      <c r="AG1444" s="71"/>
      <c r="AH1444" s="71"/>
      <c r="AI1444" s="68"/>
      <c r="AJ1444" s="214">
        <v>1.6249999999999999E-4</v>
      </c>
      <c r="AK1444" s="214">
        <v>1.76</v>
      </c>
      <c r="AL1444" s="214">
        <v>1</v>
      </c>
      <c r="AM1444" s="214">
        <v>4.0299999999999998E-4</v>
      </c>
      <c r="AN1444" s="68"/>
      <c r="AO1444" s="67"/>
      <c r="AP1444" s="67"/>
      <c r="AQ1444" s="67"/>
      <c r="AR1444" s="67"/>
      <c r="AS1444" s="67"/>
      <c r="AT1444" s="68"/>
      <c r="AU1444" s="49"/>
      <c r="AV1444" s="50"/>
    </row>
    <row r="1445" spans="1:48" ht="12.75" customHeight="1" x14ac:dyDescent="0.25">
      <c r="A1445" s="72" t="s">
        <v>883</v>
      </c>
      <c r="B1445" s="43" t="s">
        <v>1580</v>
      </c>
      <c r="C1445" s="44" t="s">
        <v>1601</v>
      </c>
      <c r="D1445" s="45">
        <f>MROUND(MID($C1445,6,3)/Basis!$E$3,0.5)</f>
        <v>3</v>
      </c>
      <c r="E1445" s="45">
        <f>MROUND(MID($C1445,9,3)/Basis!$E$3,0.5)</f>
        <v>47</v>
      </c>
      <c r="F1445" s="124" t="s">
        <v>2953</v>
      </c>
      <c r="G1445" s="45">
        <f>ROUND((MROUND($F1445,5)+3)/Basis!$E$3,1)</f>
        <v>9.1</v>
      </c>
      <c r="H1445" s="120">
        <f>ROUND($P1445*Basis!$E$2*((TaH-TrH)/LN(1/µ)/Basis!$E$7)^$N1445*$AA$4*Glycol,0)</f>
        <v>2445</v>
      </c>
      <c r="I1445" s="83">
        <f>ROUND(H1445/(MID($C1445,9,3)/Basis!$E$3/Basis!$E$9)*Basis!$E$11,0)</f>
        <v>621</v>
      </c>
      <c r="J1445" s="123">
        <f>IF(Basis!$E$1=1,ROUND(H1445/((TaH-TrH)*1.163)/3600,3),ROUND(H1445/(500*(TaH-TrH)),2))</f>
        <v>0.24</v>
      </c>
      <c r="K1445" s="84"/>
      <c r="L1445" s="177">
        <f>CHOOSE(Basis!$E$1,((AJ1445*(J1445*3600/Basis!$E$5)^AK1445*(((MID(C1445,9,3)*10)-144)/1000)*AL1445+AM1445*(J1445*3600/Basis!$E$5)^2)*0.0098)/Basis!$E$10,((AJ1445*(J1445/Basis!$E$5)^AK1445*(((MID(C1445,9,3)*10)-144)/1000)*AL1445+AM1445*(J1445/Basis!$E$5)^2)*0.0098)/Basis!$E$10)</f>
        <v>3.4692572300119339E-3</v>
      </c>
      <c r="M1445" s="85"/>
      <c r="N1445" s="109">
        <v>1.4179999999999999</v>
      </c>
      <c r="O1445" s="68"/>
      <c r="P1445" s="67">
        <v>1144</v>
      </c>
      <c r="Q1445" s="68"/>
      <c r="R1445" s="69"/>
      <c r="S1445" s="69"/>
      <c r="T1445" s="69"/>
      <c r="U1445" s="69"/>
      <c r="V1445" s="69"/>
      <c r="W1445" s="68"/>
      <c r="X1445" s="70"/>
      <c r="Y1445" s="70"/>
      <c r="Z1445" s="70"/>
      <c r="AA1445" s="70"/>
      <c r="AB1445" s="70"/>
      <c r="AC1445" s="68"/>
      <c r="AD1445" s="71"/>
      <c r="AE1445" s="71"/>
      <c r="AF1445" s="71"/>
      <c r="AG1445" s="71"/>
      <c r="AH1445" s="71"/>
      <c r="AI1445" s="68"/>
      <c r="AJ1445" s="214">
        <v>1.058E-4</v>
      </c>
      <c r="AK1445" s="214">
        <v>1.7485999999999999</v>
      </c>
      <c r="AL1445" s="214">
        <v>1</v>
      </c>
      <c r="AM1445" s="214">
        <v>3.1619999999999999E-4</v>
      </c>
      <c r="AN1445" s="68"/>
      <c r="AO1445" s="67"/>
      <c r="AP1445" s="67"/>
      <c r="AQ1445" s="67"/>
      <c r="AR1445" s="67"/>
      <c r="AS1445" s="67"/>
      <c r="AT1445" s="68"/>
      <c r="AU1445" s="49"/>
      <c r="AV1445" s="50"/>
    </row>
    <row r="1446" spans="1:48" ht="12.75" customHeight="1" x14ac:dyDescent="0.25">
      <c r="A1446" s="72" t="s">
        <v>883</v>
      </c>
      <c r="B1446" s="43" t="s">
        <v>1580</v>
      </c>
      <c r="C1446" s="44" t="s">
        <v>1602</v>
      </c>
      <c r="D1446" s="45">
        <f>MROUND(MID($C1446,6,3)/Basis!$E$3,0.5)</f>
        <v>3</v>
      </c>
      <c r="E1446" s="45">
        <f>MROUND(MID($C1446,9,3)/Basis!$E$3,0.5)</f>
        <v>55</v>
      </c>
      <c r="F1446" s="124" t="s">
        <v>2951</v>
      </c>
      <c r="G1446" s="45">
        <f>ROUND((MROUND($F1446,5)+3)/Basis!$E$3,1)</f>
        <v>5.0999999999999996</v>
      </c>
      <c r="H1446" s="120">
        <f>ROUND($P1446*Basis!$E$2*((TaH-TrH)/LN(1/µ)/Basis!$E$7)^$N1446*$AA$4*Glycol,0)</f>
        <v>1271</v>
      </c>
      <c r="I1446" s="83">
        <f>ROUND(H1446/(MID($C1446,9,3)/Basis!$E$3/Basis!$E$9)*Basis!$E$11,0)</f>
        <v>277</v>
      </c>
      <c r="J1446" s="123">
        <f>IF(Basis!$E$1=1,ROUND(H1446/((TaH-TrH)*1.163)/3600,3),ROUND(H1446/(500*(TaH-TrH)),2))</f>
        <v>0.13</v>
      </c>
      <c r="K1446" s="84"/>
      <c r="L1446" s="177">
        <f>CHOOSE(Basis!$E$1,((AJ1446*(J1446*3600/Basis!$E$5)^AK1446*(((MID(C1446,9,3)*10)-144)/1000)*AL1446+AM1446*(J1446*3600/Basis!$E$5)^2)*0.0098)/Basis!$E$10,((AJ1446*(J1446/Basis!$E$5)^AK1446*(((MID(C1446,9,3)*10)-144)/1000)*AL1446+AM1446*(J1446/Basis!$E$5)^2)*0.0098)/Basis!$E$10)</f>
        <v>1.3741088608472294E-3</v>
      </c>
      <c r="M1446" s="85"/>
      <c r="N1446" s="109">
        <v>1.4179999999999999</v>
      </c>
      <c r="O1446" s="68"/>
      <c r="P1446" s="67">
        <v>595</v>
      </c>
      <c r="Q1446" s="68"/>
      <c r="R1446" s="69"/>
      <c r="S1446" s="69"/>
      <c r="T1446" s="69"/>
      <c r="U1446" s="69"/>
      <c r="V1446" s="69"/>
      <c r="W1446" s="68"/>
      <c r="X1446" s="70"/>
      <c r="Y1446" s="70"/>
      <c r="Z1446" s="70"/>
      <c r="AA1446" s="70"/>
      <c r="AB1446" s="70"/>
      <c r="AC1446" s="68"/>
      <c r="AD1446" s="71"/>
      <c r="AE1446" s="71"/>
      <c r="AF1446" s="71"/>
      <c r="AG1446" s="71"/>
      <c r="AH1446" s="71"/>
      <c r="AI1446" s="68"/>
      <c r="AJ1446" s="214">
        <v>1.872E-4</v>
      </c>
      <c r="AK1446" s="214">
        <v>1.844419</v>
      </c>
      <c r="AL1446" s="214">
        <v>1</v>
      </c>
      <c r="AM1446" s="214">
        <v>3.4319999999999999E-4</v>
      </c>
      <c r="AN1446" s="68"/>
      <c r="AO1446" s="67"/>
      <c r="AP1446" s="67"/>
      <c r="AQ1446" s="67"/>
      <c r="AR1446" s="67"/>
      <c r="AS1446" s="67"/>
      <c r="AT1446" s="68"/>
      <c r="AU1446" s="49"/>
      <c r="AV1446" s="50"/>
    </row>
    <row r="1447" spans="1:48" ht="12.75" customHeight="1" x14ac:dyDescent="0.25">
      <c r="A1447" s="72" t="s">
        <v>883</v>
      </c>
      <c r="B1447" s="43" t="s">
        <v>1580</v>
      </c>
      <c r="C1447" s="44" t="s">
        <v>1603</v>
      </c>
      <c r="D1447" s="45">
        <f>MROUND(MID($C1447,6,3)/Basis!$E$3,0.5)</f>
        <v>3</v>
      </c>
      <c r="E1447" s="45">
        <f>MROUND(MID($C1447,9,3)/Basis!$E$3,0.5)</f>
        <v>55</v>
      </c>
      <c r="F1447" s="124" t="s">
        <v>2952</v>
      </c>
      <c r="G1447" s="45">
        <f>ROUND((MROUND($F1447,5)+3)/Basis!$E$3,1)</f>
        <v>7.1</v>
      </c>
      <c r="H1447" s="120">
        <f>ROUND($P1447*Basis!$E$2*((TaH-TrH)/LN(1/µ)/Basis!$E$7)^$N1447*$AA$4*Glycol,0)</f>
        <v>2077</v>
      </c>
      <c r="I1447" s="83">
        <f>ROUND(H1447/(MID($C1447,9,3)/Basis!$E$3/Basis!$E$9)*Basis!$E$11,0)</f>
        <v>452</v>
      </c>
      <c r="J1447" s="123">
        <f>IF(Basis!$E$1=1,ROUND(H1447/((TaH-TrH)*1.163)/3600,3),ROUND(H1447/(500*(TaH-TrH)),2))</f>
        <v>0.21</v>
      </c>
      <c r="K1447" s="84"/>
      <c r="L1447" s="177">
        <f>CHOOSE(Basis!$E$1,((AJ1447*(J1447*3600/Basis!$E$5)^AK1447*(((MID(C1447,9,3)*10)-144)/1000)*AL1447+AM1447*(J1447*3600/Basis!$E$5)^2)*0.0098)/Basis!$E$10,((AJ1447*(J1447/Basis!$E$5)^AK1447*(((MID(C1447,9,3)*10)-144)/1000)*AL1447+AM1447*(J1447/Basis!$E$5)^2)*0.0098)/Basis!$E$10)</f>
        <v>3.5981181078997559E-3</v>
      </c>
      <c r="M1447" s="85"/>
      <c r="N1447" s="109">
        <v>1.4179999999999999</v>
      </c>
      <c r="O1447" s="68"/>
      <c r="P1447" s="67">
        <v>972</v>
      </c>
      <c r="Q1447" s="68"/>
      <c r="R1447" s="69"/>
      <c r="S1447" s="69"/>
      <c r="T1447" s="69"/>
      <c r="U1447" s="69"/>
      <c r="V1447" s="69"/>
      <c r="W1447" s="68"/>
      <c r="X1447" s="70"/>
      <c r="Y1447" s="70"/>
      <c r="Z1447" s="70"/>
      <c r="AA1447" s="70"/>
      <c r="AB1447" s="70"/>
      <c r="AC1447" s="68"/>
      <c r="AD1447" s="71"/>
      <c r="AE1447" s="71"/>
      <c r="AF1447" s="71"/>
      <c r="AG1447" s="71"/>
      <c r="AH1447" s="71"/>
      <c r="AI1447" s="68"/>
      <c r="AJ1447" s="214">
        <v>1.6249999999999999E-4</v>
      </c>
      <c r="AK1447" s="214">
        <v>1.76</v>
      </c>
      <c r="AL1447" s="214">
        <v>1</v>
      </c>
      <c r="AM1447" s="214">
        <v>4.0299999999999998E-4</v>
      </c>
      <c r="AN1447" s="68"/>
      <c r="AO1447" s="67"/>
      <c r="AP1447" s="67"/>
      <c r="AQ1447" s="67"/>
      <c r="AR1447" s="67"/>
      <c r="AS1447" s="67"/>
      <c r="AT1447" s="68"/>
      <c r="AU1447" s="49"/>
      <c r="AV1447" s="50"/>
    </row>
    <row r="1448" spans="1:48" ht="12.75" customHeight="1" x14ac:dyDescent="0.25">
      <c r="A1448" s="72" t="s">
        <v>883</v>
      </c>
      <c r="B1448" s="43" t="s">
        <v>1580</v>
      </c>
      <c r="C1448" s="44" t="s">
        <v>1604</v>
      </c>
      <c r="D1448" s="45">
        <f>MROUND(MID($C1448,6,3)/Basis!$E$3,0.5)</f>
        <v>3</v>
      </c>
      <c r="E1448" s="45">
        <f>MROUND(MID($C1448,9,3)/Basis!$E$3,0.5)</f>
        <v>55</v>
      </c>
      <c r="F1448" s="124" t="s">
        <v>2953</v>
      </c>
      <c r="G1448" s="45">
        <f>ROUND((MROUND($F1448,5)+3)/Basis!$E$3,1)</f>
        <v>9.1</v>
      </c>
      <c r="H1448" s="120">
        <f>ROUND($P1448*Basis!$E$2*((TaH-TrH)/LN(1/µ)/Basis!$E$7)^$N1448*$AA$4*Glycol,0)</f>
        <v>2851</v>
      </c>
      <c r="I1448" s="83">
        <f>ROUND(H1448/(MID($C1448,9,3)/Basis!$E$3/Basis!$E$9)*Basis!$E$11,0)</f>
        <v>621</v>
      </c>
      <c r="J1448" s="123">
        <f>IF(Basis!$E$1=1,ROUND(H1448/((TaH-TrH)*1.163)/3600,3),ROUND(H1448/(500*(TaH-TrH)),2))</f>
        <v>0.28999999999999998</v>
      </c>
      <c r="K1448" s="84"/>
      <c r="L1448" s="177">
        <f>CHOOSE(Basis!$E$1,((AJ1448*(J1448*3600/Basis!$E$5)^AK1448*(((MID(C1448,9,3)*10)-144)/1000)*AL1448+AM1448*(J1448*3600/Basis!$E$5)^2)*0.0098)/Basis!$E$10,((AJ1448*(J1448/Basis!$E$5)^AK1448*(((MID(C1448,9,3)*10)-144)/1000)*AL1448+AM1448*(J1448/Basis!$E$5)^2)*0.0098)/Basis!$E$10)</f>
        <v>5.1431551782320523E-3</v>
      </c>
      <c r="M1448" s="85"/>
      <c r="N1448" s="109">
        <v>1.4179999999999999</v>
      </c>
      <c r="O1448" s="68"/>
      <c r="P1448" s="67">
        <v>1334</v>
      </c>
      <c r="Q1448" s="68"/>
      <c r="R1448" s="69"/>
      <c r="S1448" s="69"/>
      <c r="T1448" s="69"/>
      <c r="U1448" s="69"/>
      <c r="V1448" s="69"/>
      <c r="W1448" s="68"/>
      <c r="X1448" s="70"/>
      <c r="Y1448" s="70"/>
      <c r="Z1448" s="70"/>
      <c r="AA1448" s="70"/>
      <c r="AB1448" s="70"/>
      <c r="AC1448" s="68"/>
      <c r="AD1448" s="71"/>
      <c r="AE1448" s="71"/>
      <c r="AF1448" s="71"/>
      <c r="AG1448" s="71"/>
      <c r="AH1448" s="71"/>
      <c r="AI1448" s="68"/>
      <c r="AJ1448" s="214">
        <v>1.058E-4</v>
      </c>
      <c r="AK1448" s="214">
        <v>1.7485999999999999</v>
      </c>
      <c r="AL1448" s="214">
        <v>1</v>
      </c>
      <c r="AM1448" s="214">
        <v>3.1619999999999999E-4</v>
      </c>
      <c r="AN1448" s="68"/>
      <c r="AO1448" s="67"/>
      <c r="AP1448" s="67"/>
      <c r="AQ1448" s="67"/>
      <c r="AR1448" s="67"/>
      <c r="AS1448" s="67"/>
      <c r="AT1448" s="68"/>
      <c r="AU1448" s="49"/>
      <c r="AV1448" s="50"/>
    </row>
    <row r="1449" spans="1:48" ht="12.75" customHeight="1" x14ac:dyDescent="0.25">
      <c r="A1449" s="72" t="s">
        <v>883</v>
      </c>
      <c r="B1449" s="43" t="s">
        <v>1580</v>
      </c>
      <c r="C1449" s="44" t="s">
        <v>1605</v>
      </c>
      <c r="D1449" s="45">
        <f>MROUND(MID($C1449,6,3)/Basis!$E$3,0.5)</f>
        <v>3</v>
      </c>
      <c r="E1449" s="45">
        <f>MROUND(MID($C1449,9,3)/Basis!$E$3,0.5)</f>
        <v>63</v>
      </c>
      <c r="F1449" s="124" t="s">
        <v>2951</v>
      </c>
      <c r="G1449" s="45">
        <f>ROUND((MROUND($F1449,5)+3)/Basis!$E$3,1)</f>
        <v>5.0999999999999996</v>
      </c>
      <c r="H1449" s="120">
        <f>ROUND($P1449*Basis!$E$2*((TaH-TrH)/LN(1/µ)/Basis!$E$7)^$N1449*$AA$4*Glycol,0)</f>
        <v>1453</v>
      </c>
      <c r="I1449" s="83">
        <f>ROUND(H1449/(MID($C1449,9,3)/Basis!$E$3/Basis!$E$9)*Basis!$E$11,0)</f>
        <v>277</v>
      </c>
      <c r="J1449" s="123">
        <f>IF(Basis!$E$1=1,ROUND(H1449/((TaH-TrH)*1.163)/3600,3),ROUND(H1449/(500*(TaH-TrH)),2))</f>
        <v>0.15</v>
      </c>
      <c r="K1449" s="84"/>
      <c r="L1449" s="177">
        <f>CHOOSE(Basis!$E$1,((AJ1449*(J1449*3600/Basis!$E$5)^AK1449*(((MID(C1449,9,3)*10)-144)/1000)*AL1449+AM1449*(J1449*3600/Basis!$E$5)^2)*0.0098)/Basis!$E$10,((AJ1449*(J1449/Basis!$E$5)^AK1449*(((MID(C1449,9,3)*10)-144)/1000)*AL1449+AM1449*(J1449/Basis!$E$5)^2)*0.0098)/Basis!$E$10)</f>
        <v>1.8998963337054262E-3</v>
      </c>
      <c r="M1449" s="85"/>
      <c r="N1449" s="109">
        <v>1.4179999999999999</v>
      </c>
      <c r="O1449" s="68"/>
      <c r="P1449" s="67">
        <v>680</v>
      </c>
      <c r="Q1449" s="68"/>
      <c r="R1449" s="69"/>
      <c r="S1449" s="69"/>
      <c r="T1449" s="69"/>
      <c r="U1449" s="69"/>
      <c r="V1449" s="69"/>
      <c r="W1449" s="68"/>
      <c r="X1449" s="70"/>
      <c r="Y1449" s="70"/>
      <c r="Z1449" s="70"/>
      <c r="AA1449" s="70"/>
      <c r="AB1449" s="70"/>
      <c r="AC1449" s="68"/>
      <c r="AD1449" s="71"/>
      <c r="AE1449" s="71"/>
      <c r="AF1449" s="71"/>
      <c r="AG1449" s="71"/>
      <c r="AH1449" s="71"/>
      <c r="AI1449" s="68"/>
      <c r="AJ1449" s="214">
        <v>1.872E-4</v>
      </c>
      <c r="AK1449" s="214">
        <v>1.844419</v>
      </c>
      <c r="AL1449" s="214">
        <v>1</v>
      </c>
      <c r="AM1449" s="214">
        <v>3.4319999999999999E-4</v>
      </c>
      <c r="AN1449" s="68"/>
      <c r="AO1449" s="67"/>
      <c r="AP1449" s="67"/>
      <c r="AQ1449" s="67"/>
      <c r="AR1449" s="67"/>
      <c r="AS1449" s="67"/>
      <c r="AT1449" s="68"/>
      <c r="AU1449" s="49"/>
      <c r="AV1449" s="50"/>
    </row>
    <row r="1450" spans="1:48" ht="12.75" customHeight="1" x14ac:dyDescent="0.25">
      <c r="A1450" s="72" t="s">
        <v>883</v>
      </c>
      <c r="B1450" s="43" t="s">
        <v>1580</v>
      </c>
      <c r="C1450" s="44" t="s">
        <v>1606</v>
      </c>
      <c r="D1450" s="45">
        <f>MROUND(MID($C1450,6,3)/Basis!$E$3,0.5)</f>
        <v>3</v>
      </c>
      <c r="E1450" s="45">
        <f>MROUND(MID($C1450,9,3)/Basis!$E$3,0.5)</f>
        <v>63</v>
      </c>
      <c r="F1450" s="124" t="s">
        <v>2952</v>
      </c>
      <c r="G1450" s="45">
        <f>ROUND((MROUND($F1450,5)+3)/Basis!$E$3,1)</f>
        <v>7.1</v>
      </c>
      <c r="H1450" s="120">
        <f>ROUND($P1450*Basis!$E$2*((TaH-TrH)/LN(1/µ)/Basis!$E$7)^$N1450*$AA$4*Glycol,0)</f>
        <v>2372</v>
      </c>
      <c r="I1450" s="83">
        <f>ROUND(H1450/(MID($C1450,9,3)/Basis!$E$3/Basis!$E$9)*Basis!$E$11,0)</f>
        <v>452</v>
      </c>
      <c r="J1450" s="123">
        <f>IF(Basis!$E$1=1,ROUND(H1450/((TaH-TrH)*1.163)/3600,3),ROUND(H1450/(500*(TaH-TrH)),2))</f>
        <v>0.24</v>
      </c>
      <c r="K1450" s="84"/>
      <c r="L1450" s="177">
        <f>CHOOSE(Basis!$E$1,((AJ1450*(J1450*3600/Basis!$E$5)^AK1450*(((MID(C1450,9,3)*10)-144)/1000)*AL1450+AM1450*(J1450*3600/Basis!$E$5)^2)*0.0098)/Basis!$E$10,((AJ1450*(J1450/Basis!$E$5)^AK1450*(((MID(C1450,9,3)*10)-144)/1000)*AL1450+AM1450*(J1450/Basis!$E$5)^2)*0.0098)/Basis!$E$10)</f>
        <v>4.7957934644180496E-3</v>
      </c>
      <c r="M1450" s="85"/>
      <c r="N1450" s="109">
        <v>1.4179999999999999</v>
      </c>
      <c r="O1450" s="68"/>
      <c r="P1450" s="67">
        <v>1110</v>
      </c>
      <c r="Q1450" s="68"/>
      <c r="R1450" s="69"/>
      <c r="S1450" s="69"/>
      <c r="T1450" s="69"/>
      <c r="U1450" s="69"/>
      <c r="V1450" s="69"/>
      <c r="W1450" s="68"/>
      <c r="X1450" s="70"/>
      <c r="Y1450" s="70"/>
      <c r="Z1450" s="70"/>
      <c r="AA1450" s="70"/>
      <c r="AB1450" s="70"/>
      <c r="AC1450" s="68"/>
      <c r="AD1450" s="71"/>
      <c r="AE1450" s="71"/>
      <c r="AF1450" s="71"/>
      <c r="AG1450" s="71"/>
      <c r="AH1450" s="71"/>
      <c r="AI1450" s="68"/>
      <c r="AJ1450" s="214">
        <v>1.6249999999999999E-4</v>
      </c>
      <c r="AK1450" s="214">
        <v>1.76</v>
      </c>
      <c r="AL1450" s="214">
        <v>1</v>
      </c>
      <c r="AM1450" s="214">
        <v>4.0299999999999998E-4</v>
      </c>
      <c r="AN1450" s="68"/>
      <c r="AO1450" s="67"/>
      <c r="AP1450" s="67"/>
      <c r="AQ1450" s="67"/>
      <c r="AR1450" s="67"/>
      <c r="AS1450" s="67"/>
      <c r="AT1450" s="68"/>
      <c r="AU1450" s="49"/>
      <c r="AV1450" s="50"/>
    </row>
    <row r="1451" spans="1:48" ht="12.75" customHeight="1" x14ac:dyDescent="0.25">
      <c r="A1451" s="72" t="s">
        <v>883</v>
      </c>
      <c r="B1451" s="43" t="s">
        <v>1580</v>
      </c>
      <c r="C1451" s="44" t="s">
        <v>1607</v>
      </c>
      <c r="D1451" s="45">
        <f>MROUND(MID($C1451,6,3)/Basis!$E$3,0.5)</f>
        <v>3</v>
      </c>
      <c r="E1451" s="45">
        <f>MROUND(MID($C1451,9,3)/Basis!$E$3,0.5)</f>
        <v>63</v>
      </c>
      <c r="F1451" s="124" t="s">
        <v>2953</v>
      </c>
      <c r="G1451" s="45">
        <f>ROUND((MROUND($F1451,5)+3)/Basis!$E$3,1)</f>
        <v>9.1</v>
      </c>
      <c r="H1451" s="120">
        <f>ROUND($P1451*Basis!$E$2*((TaH-TrH)/LN(1/µ)/Basis!$E$7)^$N1451*$AA$4*Glycol,0)</f>
        <v>3259</v>
      </c>
      <c r="I1451" s="83">
        <f>ROUND(H1451/(MID($C1451,9,3)/Basis!$E$3/Basis!$E$9)*Basis!$E$11,0)</f>
        <v>621</v>
      </c>
      <c r="J1451" s="123">
        <f>IF(Basis!$E$1=1,ROUND(H1451/((TaH-TrH)*1.163)/3600,3),ROUND(H1451/(500*(TaH-TrH)),2))</f>
        <v>0.33</v>
      </c>
      <c r="K1451" s="84"/>
      <c r="L1451" s="177">
        <f>CHOOSE(Basis!$E$1,((AJ1451*(J1451*3600/Basis!$E$5)^AK1451*(((MID(C1451,9,3)*10)-144)/1000)*AL1451+AM1451*(J1451*3600/Basis!$E$5)^2)*0.0098)/Basis!$E$10,((AJ1451*(J1451/Basis!$E$5)^AK1451*(((MID(C1451,9,3)*10)-144)/1000)*AL1451+AM1451*(J1451/Basis!$E$5)^2)*0.0098)/Basis!$E$10)</f>
        <v>6.7638803853963302E-3</v>
      </c>
      <c r="M1451" s="85"/>
      <c r="N1451" s="109">
        <v>1.4179999999999999</v>
      </c>
      <c r="O1451" s="68"/>
      <c r="P1451" s="67">
        <v>1525</v>
      </c>
      <c r="Q1451" s="68"/>
      <c r="R1451" s="69"/>
      <c r="S1451" s="69"/>
      <c r="T1451" s="69"/>
      <c r="U1451" s="69"/>
      <c r="V1451" s="69"/>
      <c r="W1451" s="68"/>
      <c r="X1451" s="70"/>
      <c r="Y1451" s="70"/>
      <c r="Z1451" s="70"/>
      <c r="AA1451" s="70"/>
      <c r="AB1451" s="70"/>
      <c r="AC1451" s="68"/>
      <c r="AD1451" s="71"/>
      <c r="AE1451" s="71"/>
      <c r="AF1451" s="71"/>
      <c r="AG1451" s="71"/>
      <c r="AH1451" s="71"/>
      <c r="AI1451" s="68"/>
      <c r="AJ1451" s="214">
        <v>1.058E-4</v>
      </c>
      <c r="AK1451" s="214">
        <v>1.7485999999999999</v>
      </c>
      <c r="AL1451" s="214">
        <v>1</v>
      </c>
      <c r="AM1451" s="214">
        <v>3.1619999999999999E-4</v>
      </c>
      <c r="AN1451" s="68"/>
      <c r="AO1451" s="67"/>
      <c r="AP1451" s="67"/>
      <c r="AQ1451" s="67"/>
      <c r="AR1451" s="67"/>
      <c r="AS1451" s="67"/>
      <c r="AT1451" s="68"/>
      <c r="AU1451" s="49"/>
      <c r="AV1451" s="50"/>
    </row>
    <row r="1452" spans="1:48" ht="12.75" customHeight="1" x14ac:dyDescent="0.25">
      <c r="A1452" s="72" t="s">
        <v>883</v>
      </c>
      <c r="B1452" s="43" t="s">
        <v>1580</v>
      </c>
      <c r="C1452" s="44" t="s">
        <v>1608</v>
      </c>
      <c r="D1452" s="45">
        <f>MROUND(MID($C1452,6,3)/Basis!$E$3,0.5)</f>
        <v>3</v>
      </c>
      <c r="E1452" s="45">
        <f>MROUND(MID($C1452,9,3)/Basis!$E$3,0.5)</f>
        <v>71</v>
      </c>
      <c r="F1452" s="124" t="s">
        <v>2951</v>
      </c>
      <c r="G1452" s="45">
        <f>ROUND((MROUND($F1452,5)+3)/Basis!$E$3,1)</f>
        <v>5.0999999999999996</v>
      </c>
      <c r="H1452" s="120">
        <f>ROUND($P1452*Basis!$E$2*((TaH-TrH)/LN(1/µ)/Basis!$E$7)^$N1452*$AA$4*Glycol,0)</f>
        <v>1635</v>
      </c>
      <c r="I1452" s="83">
        <f>ROUND(H1452/(MID($C1452,9,3)/Basis!$E$3/Basis!$E$9)*Basis!$E$11,0)</f>
        <v>277</v>
      </c>
      <c r="J1452" s="123">
        <f>IF(Basis!$E$1=1,ROUND(H1452/((TaH-TrH)*1.163)/3600,3),ROUND(H1452/(500*(TaH-TrH)),2))</f>
        <v>0.16</v>
      </c>
      <c r="K1452" s="84"/>
      <c r="L1452" s="177">
        <f>CHOOSE(Basis!$E$1,((AJ1452*(J1452*3600/Basis!$E$5)^AK1452*(((MID(C1452,9,3)*10)-144)/1000)*AL1452+AM1452*(J1452*3600/Basis!$E$5)^2)*0.0098)/Basis!$E$10,((AJ1452*(J1452/Basis!$E$5)^AK1452*(((MID(C1452,9,3)*10)-144)/1000)*AL1452+AM1452*(J1452/Basis!$E$5)^2)*0.0098)/Basis!$E$10)</f>
        <v>2.2473065571959297E-3</v>
      </c>
      <c r="M1452" s="85"/>
      <c r="N1452" s="109">
        <v>1.4179999999999999</v>
      </c>
      <c r="O1452" s="68"/>
      <c r="P1452" s="67">
        <v>765</v>
      </c>
      <c r="Q1452" s="68"/>
      <c r="R1452" s="69"/>
      <c r="S1452" s="69"/>
      <c r="T1452" s="69"/>
      <c r="U1452" s="69"/>
      <c r="V1452" s="69"/>
      <c r="W1452" s="68"/>
      <c r="X1452" s="70"/>
      <c r="Y1452" s="70"/>
      <c r="Z1452" s="70"/>
      <c r="AA1452" s="70"/>
      <c r="AB1452" s="70"/>
      <c r="AC1452" s="68"/>
      <c r="AD1452" s="71"/>
      <c r="AE1452" s="71"/>
      <c r="AF1452" s="71"/>
      <c r="AG1452" s="71"/>
      <c r="AH1452" s="71"/>
      <c r="AI1452" s="68"/>
      <c r="AJ1452" s="214">
        <v>1.872E-4</v>
      </c>
      <c r="AK1452" s="214">
        <v>1.844419</v>
      </c>
      <c r="AL1452" s="214">
        <v>1</v>
      </c>
      <c r="AM1452" s="214">
        <v>3.4319999999999999E-4</v>
      </c>
      <c r="AN1452" s="68"/>
      <c r="AO1452" s="67"/>
      <c r="AP1452" s="67"/>
      <c r="AQ1452" s="67"/>
      <c r="AR1452" s="67"/>
      <c r="AS1452" s="67"/>
      <c r="AT1452" s="68"/>
      <c r="AU1452" s="49"/>
      <c r="AV1452" s="50"/>
    </row>
    <row r="1453" spans="1:48" ht="12.75" customHeight="1" x14ac:dyDescent="0.25">
      <c r="A1453" s="72" t="s">
        <v>883</v>
      </c>
      <c r="B1453" s="43" t="s">
        <v>1580</v>
      </c>
      <c r="C1453" s="44" t="s">
        <v>1609</v>
      </c>
      <c r="D1453" s="45">
        <f>MROUND(MID($C1453,6,3)/Basis!$E$3,0.5)</f>
        <v>3</v>
      </c>
      <c r="E1453" s="45">
        <f>MROUND(MID($C1453,9,3)/Basis!$E$3,0.5)</f>
        <v>71</v>
      </c>
      <c r="F1453" s="124" t="s">
        <v>2952</v>
      </c>
      <c r="G1453" s="45">
        <f>ROUND((MROUND($F1453,5)+3)/Basis!$E$3,1)</f>
        <v>7.1</v>
      </c>
      <c r="H1453" s="120">
        <f>ROUND($P1453*Basis!$E$2*((TaH-TrH)/LN(1/µ)/Basis!$E$7)^$N1453*$AA$4*Glycol,0)</f>
        <v>2669</v>
      </c>
      <c r="I1453" s="83">
        <f>ROUND(H1453/(MID($C1453,9,3)/Basis!$E$3/Basis!$E$9)*Basis!$E$11,0)</f>
        <v>452</v>
      </c>
      <c r="J1453" s="123">
        <f>IF(Basis!$E$1=1,ROUND(H1453/((TaH-TrH)*1.163)/3600,3),ROUND(H1453/(500*(TaH-TrH)),2))</f>
        <v>0.27</v>
      </c>
      <c r="K1453" s="84"/>
      <c r="L1453" s="177">
        <f>CHOOSE(Basis!$E$1,((AJ1453*(J1453*3600/Basis!$E$5)^AK1453*(((MID(C1453,9,3)*10)-144)/1000)*AL1453+AM1453*(J1453*3600/Basis!$E$5)^2)*0.0098)/Basis!$E$10,((AJ1453*(J1453/Basis!$E$5)^AK1453*(((MID(C1453,9,3)*10)-144)/1000)*AL1453+AM1453*(J1453/Basis!$E$5)^2)*0.0098)/Basis!$E$10)</f>
        <v>6.1874225224209031E-3</v>
      </c>
      <c r="M1453" s="85"/>
      <c r="N1453" s="109">
        <v>1.4179999999999999</v>
      </c>
      <c r="O1453" s="68"/>
      <c r="P1453" s="67">
        <v>1249</v>
      </c>
      <c r="Q1453" s="68"/>
      <c r="R1453" s="69"/>
      <c r="S1453" s="69"/>
      <c r="T1453" s="69"/>
      <c r="U1453" s="69"/>
      <c r="V1453" s="69"/>
      <c r="W1453" s="68"/>
      <c r="X1453" s="70"/>
      <c r="Y1453" s="70"/>
      <c r="Z1453" s="70"/>
      <c r="AA1453" s="70"/>
      <c r="AB1453" s="70"/>
      <c r="AC1453" s="68"/>
      <c r="AD1453" s="71"/>
      <c r="AE1453" s="71"/>
      <c r="AF1453" s="71"/>
      <c r="AG1453" s="71"/>
      <c r="AH1453" s="71"/>
      <c r="AI1453" s="68"/>
      <c r="AJ1453" s="214">
        <v>1.6249999999999999E-4</v>
      </c>
      <c r="AK1453" s="214">
        <v>1.76</v>
      </c>
      <c r="AL1453" s="214">
        <v>1</v>
      </c>
      <c r="AM1453" s="214">
        <v>4.0299999999999998E-4</v>
      </c>
      <c r="AN1453" s="68"/>
      <c r="AO1453" s="67"/>
      <c r="AP1453" s="67"/>
      <c r="AQ1453" s="67"/>
      <c r="AR1453" s="67"/>
      <c r="AS1453" s="67"/>
      <c r="AT1453" s="68"/>
      <c r="AU1453" s="49"/>
      <c r="AV1453" s="50"/>
    </row>
    <row r="1454" spans="1:48" ht="12.75" customHeight="1" x14ac:dyDescent="0.25">
      <c r="A1454" s="72" t="s">
        <v>883</v>
      </c>
      <c r="B1454" s="43" t="s">
        <v>1580</v>
      </c>
      <c r="C1454" s="44" t="s">
        <v>1610</v>
      </c>
      <c r="D1454" s="45">
        <f>MROUND(MID($C1454,6,3)/Basis!$E$3,0.5)</f>
        <v>3</v>
      </c>
      <c r="E1454" s="45">
        <f>MROUND(MID($C1454,9,3)/Basis!$E$3,0.5)</f>
        <v>71</v>
      </c>
      <c r="F1454" s="124" t="s">
        <v>2953</v>
      </c>
      <c r="G1454" s="45">
        <f>ROUND((MROUND($F1454,5)+3)/Basis!$E$3,1)</f>
        <v>9.1</v>
      </c>
      <c r="H1454" s="120">
        <f>ROUND($P1454*Basis!$E$2*((TaH-TrH)/LN(1/µ)/Basis!$E$7)^$N1454*$AA$4*Glycol,0)</f>
        <v>3665</v>
      </c>
      <c r="I1454" s="83">
        <f>ROUND(H1454/(MID($C1454,9,3)/Basis!$E$3/Basis!$E$9)*Basis!$E$11,0)</f>
        <v>621</v>
      </c>
      <c r="J1454" s="123">
        <f>IF(Basis!$E$1=1,ROUND(H1454/((TaH-TrH)*1.163)/3600,3),ROUND(H1454/(500*(TaH-TrH)),2))</f>
        <v>0.37</v>
      </c>
      <c r="K1454" s="84"/>
      <c r="L1454" s="177">
        <f>CHOOSE(Basis!$E$1,((AJ1454*(J1454*3600/Basis!$E$5)^AK1454*(((MID(C1454,9,3)*10)-144)/1000)*AL1454+AM1454*(J1454*3600/Basis!$E$5)^2)*0.0098)/Basis!$E$10,((AJ1454*(J1454/Basis!$E$5)^AK1454*(((MID(C1454,9,3)*10)-144)/1000)*AL1454+AM1454*(J1454/Basis!$E$5)^2)*0.0098)/Basis!$E$10)</f>
        <v>8.629296208351166E-3</v>
      </c>
      <c r="M1454" s="85"/>
      <c r="N1454" s="109">
        <v>1.4179999999999999</v>
      </c>
      <c r="O1454" s="68"/>
      <c r="P1454" s="67">
        <v>1715</v>
      </c>
      <c r="Q1454" s="68"/>
      <c r="R1454" s="69"/>
      <c r="S1454" s="69"/>
      <c r="T1454" s="69"/>
      <c r="U1454" s="69"/>
      <c r="V1454" s="69"/>
      <c r="W1454" s="68"/>
      <c r="X1454" s="70"/>
      <c r="Y1454" s="70"/>
      <c r="Z1454" s="70"/>
      <c r="AA1454" s="70"/>
      <c r="AB1454" s="70"/>
      <c r="AC1454" s="68"/>
      <c r="AD1454" s="71"/>
      <c r="AE1454" s="71"/>
      <c r="AF1454" s="71"/>
      <c r="AG1454" s="71"/>
      <c r="AH1454" s="71"/>
      <c r="AI1454" s="68"/>
      <c r="AJ1454" s="214">
        <v>1.058E-4</v>
      </c>
      <c r="AK1454" s="214">
        <v>1.7485999999999999</v>
      </c>
      <c r="AL1454" s="214">
        <v>1</v>
      </c>
      <c r="AM1454" s="214">
        <v>3.1619999999999999E-4</v>
      </c>
      <c r="AN1454" s="68"/>
      <c r="AO1454" s="67"/>
      <c r="AP1454" s="67"/>
      <c r="AQ1454" s="67"/>
      <c r="AR1454" s="67"/>
      <c r="AS1454" s="67"/>
      <c r="AT1454" s="68"/>
      <c r="AU1454" s="49"/>
      <c r="AV1454" s="50"/>
    </row>
    <row r="1455" spans="1:48" ht="12.75" customHeight="1" x14ac:dyDescent="0.25">
      <c r="A1455" s="72" t="s">
        <v>883</v>
      </c>
      <c r="B1455" s="43" t="s">
        <v>1580</v>
      </c>
      <c r="C1455" s="44" t="s">
        <v>1611</v>
      </c>
      <c r="D1455" s="45">
        <f>MROUND(MID($C1455,6,3)/Basis!$E$3,0.5)</f>
        <v>3</v>
      </c>
      <c r="E1455" s="45">
        <f>MROUND(MID($C1455,9,3)/Basis!$E$3,0.5)</f>
        <v>78.5</v>
      </c>
      <c r="F1455" s="124" t="s">
        <v>2951</v>
      </c>
      <c r="G1455" s="45">
        <f>ROUND((MROUND($F1455,5)+3)/Basis!$E$3,1)</f>
        <v>5.0999999999999996</v>
      </c>
      <c r="H1455" s="120">
        <f>ROUND($P1455*Basis!$E$2*((TaH-TrH)/LN(1/µ)/Basis!$E$7)^$N1455*$AA$4*Glycol,0)</f>
        <v>1816</v>
      </c>
      <c r="I1455" s="83">
        <f>ROUND(H1455/(MID($C1455,9,3)/Basis!$E$3/Basis!$E$9)*Basis!$E$11,0)</f>
        <v>277</v>
      </c>
      <c r="J1455" s="123">
        <f>IF(Basis!$E$1=1,ROUND(H1455/((TaH-TrH)*1.163)/3600,3),ROUND(H1455/(500*(TaH-TrH)),2))</f>
        <v>0.18</v>
      </c>
      <c r="K1455" s="84"/>
      <c r="L1455" s="177">
        <f>CHOOSE(Basis!$E$1,((AJ1455*(J1455*3600/Basis!$E$5)^AK1455*(((MID(C1455,9,3)*10)-144)/1000)*AL1455+AM1455*(J1455*3600/Basis!$E$5)^2)*0.0098)/Basis!$E$10,((AJ1455*(J1455/Basis!$E$5)^AK1455*(((MID(C1455,9,3)*10)-144)/1000)*AL1455+AM1455*(J1455/Basis!$E$5)^2)*0.0098)/Basis!$E$10)</f>
        <v>2.9415252292793602E-3</v>
      </c>
      <c r="M1455" s="85"/>
      <c r="N1455" s="109">
        <v>1.4179999999999999</v>
      </c>
      <c r="O1455" s="68"/>
      <c r="P1455" s="67">
        <v>850</v>
      </c>
      <c r="Q1455" s="68"/>
      <c r="R1455" s="69"/>
      <c r="S1455" s="69"/>
      <c r="T1455" s="69"/>
      <c r="U1455" s="69"/>
      <c r="V1455" s="69"/>
      <c r="W1455" s="68"/>
      <c r="X1455" s="70"/>
      <c r="Y1455" s="70"/>
      <c r="Z1455" s="70"/>
      <c r="AA1455" s="70"/>
      <c r="AB1455" s="70"/>
      <c r="AC1455" s="68"/>
      <c r="AD1455" s="71"/>
      <c r="AE1455" s="71"/>
      <c r="AF1455" s="71"/>
      <c r="AG1455" s="71"/>
      <c r="AH1455" s="71"/>
      <c r="AI1455" s="68"/>
      <c r="AJ1455" s="214">
        <v>1.872E-4</v>
      </c>
      <c r="AK1455" s="214">
        <v>1.844419</v>
      </c>
      <c r="AL1455" s="214">
        <v>1</v>
      </c>
      <c r="AM1455" s="214">
        <v>3.4319999999999999E-4</v>
      </c>
      <c r="AN1455" s="68"/>
      <c r="AO1455" s="67"/>
      <c r="AP1455" s="67"/>
      <c r="AQ1455" s="67"/>
      <c r="AR1455" s="67"/>
      <c r="AS1455" s="67"/>
      <c r="AT1455" s="68"/>
      <c r="AU1455" s="49"/>
      <c r="AV1455" s="50"/>
    </row>
    <row r="1456" spans="1:48" ht="12.75" customHeight="1" x14ac:dyDescent="0.25">
      <c r="A1456" s="72" t="s">
        <v>883</v>
      </c>
      <c r="B1456" s="43" t="s">
        <v>1580</v>
      </c>
      <c r="C1456" s="44" t="s">
        <v>1612</v>
      </c>
      <c r="D1456" s="45">
        <f>MROUND(MID($C1456,6,3)/Basis!$E$3,0.5)</f>
        <v>3</v>
      </c>
      <c r="E1456" s="45">
        <f>MROUND(MID($C1456,9,3)/Basis!$E$3,0.5)</f>
        <v>78.5</v>
      </c>
      <c r="F1456" s="124" t="s">
        <v>2952</v>
      </c>
      <c r="G1456" s="45">
        <f>ROUND((MROUND($F1456,5)+3)/Basis!$E$3,1)</f>
        <v>7.1</v>
      </c>
      <c r="H1456" s="120">
        <f>ROUND($P1456*Basis!$E$2*((TaH-TrH)/LN(1/µ)/Basis!$E$7)^$N1456*$AA$4*Glycol,0)</f>
        <v>2966</v>
      </c>
      <c r="I1456" s="83">
        <f>ROUND(H1456/(MID($C1456,9,3)/Basis!$E$3/Basis!$E$9)*Basis!$E$11,0)</f>
        <v>452</v>
      </c>
      <c r="J1456" s="123">
        <f>IF(Basis!$E$1=1,ROUND(H1456/((TaH-TrH)*1.163)/3600,3),ROUND(H1456/(500*(TaH-TrH)),2))</f>
        <v>0.3</v>
      </c>
      <c r="K1456" s="84"/>
      <c r="L1456" s="177">
        <f>CHOOSE(Basis!$E$1,((AJ1456*(J1456*3600/Basis!$E$5)^AK1456*(((MID(C1456,9,3)*10)-144)/1000)*AL1456+AM1456*(J1456*3600/Basis!$E$5)^2)*0.0098)/Basis!$E$10,((AJ1456*(J1456/Basis!$E$5)^AK1456*(((MID(C1456,9,3)*10)-144)/1000)*AL1456+AM1456*(J1456/Basis!$E$5)^2)*0.0098)/Basis!$E$10)</f>
        <v>7.7799356281206024E-3</v>
      </c>
      <c r="M1456" s="85"/>
      <c r="N1456" s="109">
        <v>1.4179999999999999</v>
      </c>
      <c r="O1456" s="68"/>
      <c r="P1456" s="67">
        <v>1388</v>
      </c>
      <c r="Q1456" s="68"/>
      <c r="R1456" s="69"/>
      <c r="S1456" s="69"/>
      <c r="T1456" s="69"/>
      <c r="U1456" s="69"/>
      <c r="V1456" s="69"/>
      <c r="W1456" s="68"/>
      <c r="X1456" s="70"/>
      <c r="Y1456" s="70"/>
      <c r="Z1456" s="70"/>
      <c r="AA1456" s="70"/>
      <c r="AB1456" s="70"/>
      <c r="AC1456" s="68"/>
      <c r="AD1456" s="71"/>
      <c r="AE1456" s="71"/>
      <c r="AF1456" s="71"/>
      <c r="AG1456" s="71"/>
      <c r="AH1456" s="71"/>
      <c r="AI1456" s="68"/>
      <c r="AJ1456" s="214">
        <v>1.6249999999999999E-4</v>
      </c>
      <c r="AK1456" s="214">
        <v>1.76</v>
      </c>
      <c r="AL1456" s="214">
        <v>1</v>
      </c>
      <c r="AM1456" s="214">
        <v>4.0299999999999998E-4</v>
      </c>
      <c r="AN1456" s="68"/>
      <c r="AO1456" s="67"/>
      <c r="AP1456" s="67"/>
      <c r="AQ1456" s="67"/>
      <c r="AR1456" s="67"/>
      <c r="AS1456" s="67"/>
      <c r="AT1456" s="68"/>
      <c r="AU1456" s="49"/>
      <c r="AV1456" s="50"/>
    </row>
    <row r="1457" spans="1:48" ht="12.75" customHeight="1" x14ac:dyDescent="0.25">
      <c r="A1457" s="72" t="s">
        <v>883</v>
      </c>
      <c r="B1457" s="43" t="s">
        <v>1580</v>
      </c>
      <c r="C1457" s="44" t="s">
        <v>1613</v>
      </c>
      <c r="D1457" s="45">
        <f>MROUND(MID($C1457,6,3)/Basis!$E$3,0.5)</f>
        <v>3</v>
      </c>
      <c r="E1457" s="45">
        <f>MROUND(MID($C1457,9,3)/Basis!$E$3,0.5)</f>
        <v>78.5</v>
      </c>
      <c r="F1457" s="124" t="s">
        <v>2953</v>
      </c>
      <c r="G1457" s="45">
        <f>ROUND((MROUND($F1457,5)+3)/Basis!$E$3,1)</f>
        <v>9.1</v>
      </c>
      <c r="H1457" s="120">
        <f>ROUND($P1457*Basis!$E$2*((TaH-TrH)/LN(1/µ)/Basis!$E$7)^$N1457*$AA$4*Glycol,0)</f>
        <v>4073</v>
      </c>
      <c r="I1457" s="83">
        <f>ROUND(H1457/(MID($C1457,9,3)/Basis!$E$3/Basis!$E$9)*Basis!$E$11,0)</f>
        <v>621</v>
      </c>
      <c r="J1457" s="123">
        <f>IF(Basis!$E$1=1,ROUND(H1457/((TaH-TrH)*1.163)/3600,3),ROUND(H1457/(500*(TaH-TrH)),2))</f>
        <v>0.41</v>
      </c>
      <c r="K1457" s="84"/>
      <c r="L1457" s="177">
        <f>CHOOSE(Basis!$E$1,((AJ1457*(J1457*3600/Basis!$E$5)^AK1457*(((MID(C1457,9,3)*10)-144)/1000)*AL1457+AM1457*(J1457*3600/Basis!$E$5)^2)*0.0098)/Basis!$E$10,((AJ1457*(J1457/Basis!$E$5)^AK1457*(((MID(C1457,9,3)*10)-144)/1000)*AL1457+AM1457*(J1457/Basis!$E$5)^2)*0.0098)/Basis!$E$10)</f>
        <v>1.074631472598642E-2</v>
      </c>
      <c r="M1457" s="85"/>
      <c r="N1457" s="109">
        <v>1.4179999999999999</v>
      </c>
      <c r="O1457" s="68"/>
      <c r="P1457" s="67">
        <v>1906</v>
      </c>
      <c r="Q1457" s="68"/>
      <c r="R1457" s="69"/>
      <c r="S1457" s="69"/>
      <c r="T1457" s="69"/>
      <c r="U1457" s="69"/>
      <c r="V1457" s="69"/>
      <c r="W1457" s="68"/>
      <c r="X1457" s="70"/>
      <c r="Y1457" s="70"/>
      <c r="Z1457" s="70"/>
      <c r="AA1457" s="70"/>
      <c r="AB1457" s="70"/>
      <c r="AC1457" s="68"/>
      <c r="AD1457" s="71"/>
      <c r="AE1457" s="71"/>
      <c r="AF1457" s="71"/>
      <c r="AG1457" s="71"/>
      <c r="AH1457" s="71"/>
      <c r="AI1457" s="68"/>
      <c r="AJ1457" s="214">
        <v>1.058E-4</v>
      </c>
      <c r="AK1457" s="214">
        <v>1.7485999999999999</v>
      </c>
      <c r="AL1457" s="214">
        <v>1</v>
      </c>
      <c r="AM1457" s="214">
        <v>3.1619999999999999E-4</v>
      </c>
      <c r="AN1457" s="68"/>
      <c r="AO1457" s="67"/>
      <c r="AP1457" s="67"/>
      <c r="AQ1457" s="67"/>
      <c r="AR1457" s="67"/>
      <c r="AS1457" s="67"/>
      <c r="AT1457" s="68"/>
      <c r="AU1457" s="49"/>
      <c r="AV1457" s="50"/>
    </row>
    <row r="1458" spans="1:48" ht="12.75" customHeight="1" x14ac:dyDescent="0.25">
      <c r="A1458" s="72" t="s">
        <v>883</v>
      </c>
      <c r="B1458" s="43" t="s">
        <v>1580</v>
      </c>
      <c r="C1458" s="44" t="s">
        <v>1614</v>
      </c>
      <c r="D1458" s="45">
        <f>MROUND(MID($C1458,6,3)/Basis!$E$3,0.5)</f>
        <v>3</v>
      </c>
      <c r="E1458" s="45">
        <f>MROUND(MID($C1458,9,3)/Basis!$E$3,0.5)</f>
        <v>86.5</v>
      </c>
      <c r="F1458" s="124" t="s">
        <v>2951</v>
      </c>
      <c r="G1458" s="45">
        <f>ROUND((MROUND($F1458,5)+3)/Basis!$E$3,1)</f>
        <v>5.0999999999999996</v>
      </c>
      <c r="H1458" s="120">
        <f>ROUND($P1458*Basis!$E$2*((TaH-TrH)/LN(1/µ)/Basis!$E$7)^$N1458*$AA$4*Glycol,0)</f>
        <v>1998</v>
      </c>
      <c r="I1458" s="83">
        <f>ROUND(H1458/(MID($C1458,9,3)/Basis!$E$3/Basis!$E$9)*Basis!$E$11,0)</f>
        <v>277</v>
      </c>
      <c r="J1458" s="123">
        <f>IF(Basis!$E$1=1,ROUND(H1458/((TaH-TrH)*1.163)/3600,3),ROUND(H1458/(500*(TaH-TrH)),2))</f>
        <v>0.2</v>
      </c>
      <c r="K1458" s="84"/>
      <c r="L1458" s="177">
        <f>CHOOSE(Basis!$E$1,((AJ1458*(J1458*3600/Basis!$E$5)^AK1458*(((MID(C1458,9,3)*10)-144)/1000)*AL1458+AM1458*(J1458*3600/Basis!$E$5)^2)*0.0098)/Basis!$E$10,((AJ1458*(J1458/Basis!$E$5)^AK1458*(((MID(C1458,9,3)*10)-144)/1000)*AL1458+AM1458*(J1458/Basis!$E$5)^2)*0.0098)/Basis!$E$10)</f>
        <v>3.7496221219072453E-3</v>
      </c>
      <c r="M1458" s="85"/>
      <c r="N1458" s="109">
        <v>1.4179999999999999</v>
      </c>
      <c r="O1458" s="68"/>
      <c r="P1458" s="67">
        <v>935</v>
      </c>
      <c r="Q1458" s="68"/>
      <c r="R1458" s="69"/>
      <c r="S1458" s="69"/>
      <c r="T1458" s="69"/>
      <c r="U1458" s="69"/>
      <c r="V1458" s="69"/>
      <c r="W1458" s="68"/>
      <c r="X1458" s="70"/>
      <c r="Y1458" s="70"/>
      <c r="Z1458" s="70"/>
      <c r="AA1458" s="70"/>
      <c r="AB1458" s="70"/>
      <c r="AC1458" s="68"/>
      <c r="AD1458" s="71"/>
      <c r="AE1458" s="71"/>
      <c r="AF1458" s="71"/>
      <c r="AG1458" s="71"/>
      <c r="AH1458" s="71"/>
      <c r="AI1458" s="68"/>
      <c r="AJ1458" s="214">
        <v>1.872E-4</v>
      </c>
      <c r="AK1458" s="214">
        <v>1.844419</v>
      </c>
      <c r="AL1458" s="214">
        <v>1</v>
      </c>
      <c r="AM1458" s="214">
        <v>3.4319999999999999E-4</v>
      </c>
      <c r="AN1458" s="68"/>
      <c r="AO1458" s="67"/>
      <c r="AP1458" s="67"/>
      <c r="AQ1458" s="67"/>
      <c r="AR1458" s="67"/>
      <c r="AS1458" s="67"/>
      <c r="AT1458" s="68"/>
      <c r="AU1458" s="49"/>
      <c r="AV1458" s="50"/>
    </row>
    <row r="1459" spans="1:48" ht="12.75" customHeight="1" x14ac:dyDescent="0.25">
      <c r="A1459" s="72" t="s">
        <v>883</v>
      </c>
      <c r="B1459" s="43" t="s">
        <v>1580</v>
      </c>
      <c r="C1459" s="44" t="s">
        <v>1615</v>
      </c>
      <c r="D1459" s="45">
        <f>MROUND(MID($C1459,6,3)/Basis!$E$3,0.5)</f>
        <v>3</v>
      </c>
      <c r="E1459" s="45">
        <f>MROUND(MID($C1459,9,3)/Basis!$E$3,0.5)</f>
        <v>86.5</v>
      </c>
      <c r="F1459" s="124" t="s">
        <v>2952</v>
      </c>
      <c r="G1459" s="45">
        <f>ROUND((MROUND($F1459,5)+3)/Basis!$E$3,1)</f>
        <v>7.1</v>
      </c>
      <c r="H1459" s="120">
        <f>ROUND($P1459*Basis!$E$2*((TaH-TrH)/LN(1/µ)/Basis!$E$7)^$N1459*$AA$4*Glycol,0)</f>
        <v>3263</v>
      </c>
      <c r="I1459" s="83">
        <f>ROUND(H1459/(MID($C1459,9,3)/Basis!$E$3/Basis!$E$9)*Basis!$E$11,0)</f>
        <v>452</v>
      </c>
      <c r="J1459" s="123">
        <f>IF(Basis!$E$1=1,ROUND(H1459/((TaH-TrH)*1.163)/3600,3),ROUND(H1459/(500*(TaH-TrH)),2))</f>
        <v>0.33</v>
      </c>
      <c r="K1459" s="84"/>
      <c r="L1459" s="177">
        <f>CHOOSE(Basis!$E$1,((AJ1459*(J1459*3600/Basis!$E$5)^AK1459*(((MID(C1459,9,3)*10)-144)/1000)*AL1459+AM1459*(J1459*3600/Basis!$E$5)^2)*0.0098)/Basis!$E$10,((AJ1459*(J1459/Basis!$E$5)^AK1459*(((MID(C1459,9,3)*10)-144)/1000)*AL1459+AM1459*(J1459/Basis!$E$5)^2)*0.0098)/Basis!$E$10)</f>
        <v>9.5800746220571897E-3</v>
      </c>
      <c r="M1459" s="85"/>
      <c r="N1459" s="109">
        <v>1.4179999999999999</v>
      </c>
      <c r="O1459" s="68"/>
      <c r="P1459" s="67">
        <v>1527</v>
      </c>
      <c r="Q1459" s="68"/>
      <c r="R1459" s="69"/>
      <c r="S1459" s="69"/>
      <c r="T1459" s="69"/>
      <c r="U1459" s="69"/>
      <c r="V1459" s="69"/>
      <c r="W1459" s="68"/>
      <c r="X1459" s="70"/>
      <c r="Y1459" s="70"/>
      <c r="Z1459" s="70"/>
      <c r="AA1459" s="70"/>
      <c r="AB1459" s="70"/>
      <c r="AC1459" s="68"/>
      <c r="AD1459" s="71"/>
      <c r="AE1459" s="71"/>
      <c r="AF1459" s="71"/>
      <c r="AG1459" s="71"/>
      <c r="AH1459" s="71"/>
      <c r="AI1459" s="68"/>
      <c r="AJ1459" s="214">
        <v>1.6249999999999999E-4</v>
      </c>
      <c r="AK1459" s="214">
        <v>1.76</v>
      </c>
      <c r="AL1459" s="214">
        <v>1</v>
      </c>
      <c r="AM1459" s="214">
        <v>4.0299999999999998E-4</v>
      </c>
      <c r="AN1459" s="68"/>
      <c r="AO1459" s="67"/>
      <c r="AP1459" s="67"/>
      <c r="AQ1459" s="67"/>
      <c r="AR1459" s="67"/>
      <c r="AS1459" s="67"/>
      <c r="AT1459" s="68"/>
      <c r="AU1459" s="49"/>
      <c r="AV1459" s="50"/>
    </row>
    <row r="1460" spans="1:48" ht="12.75" customHeight="1" x14ac:dyDescent="0.25">
      <c r="A1460" s="72" t="s">
        <v>883</v>
      </c>
      <c r="B1460" s="43" t="s">
        <v>1580</v>
      </c>
      <c r="C1460" s="44" t="s">
        <v>1616</v>
      </c>
      <c r="D1460" s="45">
        <f>MROUND(MID($C1460,6,3)/Basis!$E$3,0.5)</f>
        <v>3</v>
      </c>
      <c r="E1460" s="45">
        <f>MROUND(MID($C1460,9,3)/Basis!$E$3,0.5)</f>
        <v>86.5</v>
      </c>
      <c r="F1460" s="124" t="s">
        <v>2953</v>
      </c>
      <c r="G1460" s="45">
        <f>ROUND((MROUND($F1460,5)+3)/Basis!$E$3,1)</f>
        <v>9.1</v>
      </c>
      <c r="H1460" s="120">
        <f>ROUND($P1460*Basis!$E$2*((TaH-TrH)/LN(1/µ)/Basis!$E$7)^$N1460*$AA$4*Glycol,0)</f>
        <v>4481</v>
      </c>
      <c r="I1460" s="83">
        <f>ROUND(H1460/(MID($C1460,9,3)/Basis!$E$3/Basis!$E$9)*Basis!$E$11,0)</f>
        <v>621</v>
      </c>
      <c r="J1460" s="123">
        <f>IF(Basis!$E$1=1,ROUND(H1460/((TaH-TrH)*1.163)/3600,3),ROUND(H1460/(500*(TaH-TrH)),2))</f>
        <v>0.45</v>
      </c>
      <c r="K1460" s="84"/>
      <c r="L1460" s="177">
        <f>CHOOSE(Basis!$E$1,((AJ1460*(J1460*3600/Basis!$E$5)^AK1460*(((MID(C1460,9,3)*10)-144)/1000)*AL1460+AM1460*(J1460*3600/Basis!$E$5)^2)*0.0098)/Basis!$E$10,((AJ1460*(J1460/Basis!$E$5)^AK1460*(((MID(C1460,9,3)*10)-144)/1000)*AL1460+AM1460*(J1460/Basis!$E$5)^2)*0.0098)/Basis!$E$10)</f>
        <v>1.3121654829490365E-2</v>
      </c>
      <c r="M1460" s="85"/>
      <c r="N1460" s="109">
        <v>1.4179999999999999</v>
      </c>
      <c r="O1460" s="68"/>
      <c r="P1460" s="67">
        <v>2097</v>
      </c>
      <c r="Q1460" s="68"/>
      <c r="R1460" s="69"/>
      <c r="S1460" s="69"/>
      <c r="T1460" s="69"/>
      <c r="U1460" s="69"/>
      <c r="V1460" s="69"/>
      <c r="W1460" s="68"/>
      <c r="X1460" s="70"/>
      <c r="Y1460" s="70"/>
      <c r="Z1460" s="70"/>
      <c r="AA1460" s="70"/>
      <c r="AB1460" s="70"/>
      <c r="AC1460" s="68"/>
      <c r="AD1460" s="71"/>
      <c r="AE1460" s="71"/>
      <c r="AF1460" s="71"/>
      <c r="AG1460" s="71"/>
      <c r="AH1460" s="71"/>
      <c r="AI1460" s="68"/>
      <c r="AJ1460" s="214">
        <v>1.058E-4</v>
      </c>
      <c r="AK1460" s="214">
        <v>1.7485999999999999</v>
      </c>
      <c r="AL1460" s="214">
        <v>1</v>
      </c>
      <c r="AM1460" s="214">
        <v>3.1619999999999999E-4</v>
      </c>
      <c r="AN1460" s="68"/>
      <c r="AO1460" s="67"/>
      <c r="AP1460" s="67"/>
      <c r="AQ1460" s="67"/>
      <c r="AR1460" s="67"/>
      <c r="AS1460" s="67"/>
      <c r="AT1460" s="68"/>
      <c r="AU1460" s="49"/>
      <c r="AV1460" s="50"/>
    </row>
    <row r="1461" spans="1:48" ht="12.75" customHeight="1" x14ac:dyDescent="0.25">
      <c r="A1461" s="72" t="s">
        <v>883</v>
      </c>
      <c r="B1461" s="43" t="s">
        <v>1580</v>
      </c>
      <c r="C1461" s="44" t="s">
        <v>1617</v>
      </c>
      <c r="D1461" s="45">
        <f>MROUND(MID($C1461,6,3)/Basis!$E$3,0.5)</f>
        <v>3</v>
      </c>
      <c r="E1461" s="45">
        <f>MROUND(MID($C1461,9,3)/Basis!$E$3,0.5)</f>
        <v>94.5</v>
      </c>
      <c r="F1461" s="124" t="s">
        <v>2951</v>
      </c>
      <c r="G1461" s="45">
        <f>ROUND((MROUND($F1461,5)+3)/Basis!$E$3,1)</f>
        <v>5.0999999999999996</v>
      </c>
      <c r="H1461" s="120">
        <f>ROUND($P1461*Basis!$E$2*((TaH-TrH)/LN(1/µ)/Basis!$E$7)^$N1461*$AA$4*Glycol,0)</f>
        <v>2180</v>
      </c>
      <c r="I1461" s="83">
        <f>ROUND(H1461/(MID($C1461,9,3)/Basis!$E$3/Basis!$E$9)*Basis!$E$11,0)</f>
        <v>277</v>
      </c>
      <c r="J1461" s="123">
        <f>IF(Basis!$E$1=1,ROUND(H1461/((TaH-TrH)*1.163)/3600,3),ROUND(H1461/(500*(TaH-TrH)),2))</f>
        <v>0.22</v>
      </c>
      <c r="K1461" s="84"/>
      <c r="L1461" s="177">
        <f>CHOOSE(Basis!$E$1,((AJ1461*(J1461*3600/Basis!$E$5)^AK1461*(((MID(C1461,9,3)*10)-144)/1000)*AL1461+AM1461*(J1461*3600/Basis!$E$5)^2)*0.0098)/Basis!$E$10,((AJ1461*(J1461/Basis!$E$5)^AK1461*(((MID(C1461,9,3)*10)-144)/1000)*AL1461+AM1461*(J1461/Basis!$E$5)^2)*0.0098)/Basis!$E$10)</f>
        <v>4.67781844502027E-3</v>
      </c>
      <c r="M1461" s="85"/>
      <c r="N1461" s="109">
        <v>1.4179999999999999</v>
      </c>
      <c r="O1461" s="68"/>
      <c r="P1461" s="67">
        <v>1020</v>
      </c>
      <c r="Q1461" s="68"/>
      <c r="R1461" s="69"/>
      <c r="S1461" s="69"/>
      <c r="T1461" s="69"/>
      <c r="U1461" s="69"/>
      <c r="V1461" s="69"/>
      <c r="W1461" s="68"/>
      <c r="X1461" s="70"/>
      <c r="Y1461" s="70"/>
      <c r="Z1461" s="70"/>
      <c r="AA1461" s="70"/>
      <c r="AB1461" s="70"/>
      <c r="AC1461" s="68"/>
      <c r="AD1461" s="71"/>
      <c r="AE1461" s="71"/>
      <c r="AF1461" s="71"/>
      <c r="AG1461" s="71"/>
      <c r="AH1461" s="71"/>
      <c r="AI1461" s="68"/>
      <c r="AJ1461" s="214">
        <v>1.872E-4</v>
      </c>
      <c r="AK1461" s="214">
        <v>1.844419</v>
      </c>
      <c r="AL1461" s="214">
        <v>1</v>
      </c>
      <c r="AM1461" s="214">
        <v>3.4319999999999999E-4</v>
      </c>
      <c r="AN1461" s="68"/>
      <c r="AO1461" s="67"/>
      <c r="AP1461" s="67"/>
      <c r="AQ1461" s="67"/>
      <c r="AR1461" s="67"/>
      <c r="AS1461" s="67"/>
      <c r="AT1461" s="68"/>
      <c r="AU1461" s="49"/>
      <c r="AV1461" s="50"/>
    </row>
    <row r="1462" spans="1:48" ht="12.75" customHeight="1" x14ac:dyDescent="0.25">
      <c r="A1462" s="72" t="s">
        <v>883</v>
      </c>
      <c r="B1462" s="43" t="s">
        <v>1580</v>
      </c>
      <c r="C1462" s="44" t="s">
        <v>1618</v>
      </c>
      <c r="D1462" s="45">
        <f>MROUND(MID($C1462,6,3)/Basis!$E$3,0.5)</f>
        <v>3</v>
      </c>
      <c r="E1462" s="45">
        <f>MROUND(MID($C1462,9,3)/Basis!$E$3,0.5)</f>
        <v>94.5</v>
      </c>
      <c r="F1462" s="124" t="s">
        <v>2952</v>
      </c>
      <c r="G1462" s="45">
        <f>ROUND((MROUND($F1462,5)+3)/Basis!$E$3,1)</f>
        <v>7.1</v>
      </c>
      <c r="H1462" s="120">
        <f>ROUND($P1462*Basis!$E$2*((TaH-TrH)/LN(1/µ)/Basis!$E$7)^$N1462*$AA$4*Glycol,0)</f>
        <v>3560</v>
      </c>
      <c r="I1462" s="83">
        <f>ROUND(H1462/(MID($C1462,9,3)/Basis!$E$3/Basis!$E$9)*Basis!$E$11,0)</f>
        <v>452</v>
      </c>
      <c r="J1462" s="123">
        <f>IF(Basis!$E$1=1,ROUND(H1462/((TaH-TrH)*1.163)/3600,3),ROUND(H1462/(500*(TaH-TrH)),2))</f>
        <v>0.36</v>
      </c>
      <c r="K1462" s="84"/>
      <c r="L1462" s="177">
        <f>CHOOSE(Basis!$E$1,((AJ1462*(J1462*3600/Basis!$E$5)^AK1462*(((MID(C1462,9,3)*10)-144)/1000)*AL1462+AM1462*(J1462*3600/Basis!$E$5)^2)*0.0098)/Basis!$E$10,((AJ1462*(J1462/Basis!$E$5)^AK1462*(((MID(C1462,9,3)*10)-144)/1000)*AL1462+AM1462*(J1462/Basis!$E$5)^2)*0.0098)/Basis!$E$10)</f>
        <v>1.1594416696535836E-2</v>
      </c>
      <c r="M1462" s="85"/>
      <c r="N1462" s="109">
        <v>1.4179999999999999</v>
      </c>
      <c r="O1462" s="68"/>
      <c r="P1462" s="67">
        <v>1666</v>
      </c>
      <c r="Q1462" s="68"/>
      <c r="R1462" s="69"/>
      <c r="S1462" s="69"/>
      <c r="T1462" s="69"/>
      <c r="U1462" s="69"/>
      <c r="V1462" s="69"/>
      <c r="W1462" s="68"/>
      <c r="X1462" s="70"/>
      <c r="Y1462" s="70"/>
      <c r="Z1462" s="70"/>
      <c r="AA1462" s="70"/>
      <c r="AB1462" s="70"/>
      <c r="AC1462" s="68"/>
      <c r="AD1462" s="71"/>
      <c r="AE1462" s="71"/>
      <c r="AF1462" s="71"/>
      <c r="AG1462" s="71"/>
      <c r="AH1462" s="71"/>
      <c r="AI1462" s="68"/>
      <c r="AJ1462" s="214">
        <v>1.6249999999999999E-4</v>
      </c>
      <c r="AK1462" s="214">
        <v>1.76</v>
      </c>
      <c r="AL1462" s="214">
        <v>1</v>
      </c>
      <c r="AM1462" s="214">
        <v>4.0299999999999998E-4</v>
      </c>
      <c r="AN1462" s="68"/>
      <c r="AO1462" s="67"/>
      <c r="AP1462" s="67"/>
      <c r="AQ1462" s="67"/>
      <c r="AR1462" s="67"/>
      <c r="AS1462" s="67"/>
      <c r="AT1462" s="68"/>
      <c r="AU1462" s="49"/>
      <c r="AV1462" s="50"/>
    </row>
    <row r="1463" spans="1:48" ht="12.75" customHeight="1" x14ac:dyDescent="0.25">
      <c r="A1463" s="72" t="s">
        <v>883</v>
      </c>
      <c r="B1463" s="43" t="s">
        <v>1580</v>
      </c>
      <c r="C1463" s="44" t="s">
        <v>1619</v>
      </c>
      <c r="D1463" s="45">
        <f>MROUND(MID($C1463,6,3)/Basis!$E$3,0.5)</f>
        <v>3</v>
      </c>
      <c r="E1463" s="45">
        <f>MROUND(MID($C1463,9,3)/Basis!$E$3,0.5)</f>
        <v>94.5</v>
      </c>
      <c r="F1463" s="124" t="s">
        <v>2953</v>
      </c>
      <c r="G1463" s="45">
        <f>ROUND((MROUND($F1463,5)+3)/Basis!$E$3,1)</f>
        <v>9.1</v>
      </c>
      <c r="H1463" s="120">
        <f>ROUND($P1463*Basis!$E$2*((TaH-TrH)/LN(1/µ)/Basis!$E$7)^$N1463*$AA$4*Glycol,0)</f>
        <v>4887</v>
      </c>
      <c r="I1463" s="83">
        <f>ROUND(H1463/(MID($C1463,9,3)/Basis!$E$3/Basis!$E$9)*Basis!$E$11,0)</f>
        <v>621</v>
      </c>
      <c r="J1463" s="123">
        <f>IF(Basis!$E$1=1,ROUND(H1463/((TaH-TrH)*1.163)/3600,3),ROUND(H1463/(500*(TaH-TrH)),2))</f>
        <v>0.49</v>
      </c>
      <c r="K1463" s="84"/>
      <c r="L1463" s="177">
        <f>CHOOSE(Basis!$E$1,((AJ1463*(J1463*3600/Basis!$E$5)^AK1463*(((MID(C1463,9,3)*10)-144)/1000)*AL1463+AM1463*(J1463*3600/Basis!$E$5)^2)*0.0098)/Basis!$E$10,((AJ1463*(J1463/Basis!$E$5)^AK1463*(((MID(C1463,9,3)*10)-144)/1000)*AL1463+AM1463*(J1463/Basis!$E$5)^2)*0.0098)/Basis!$E$10)</f>
        <v>1.5761866460305841E-2</v>
      </c>
      <c r="M1463" s="85"/>
      <c r="N1463" s="109">
        <v>1.4179999999999999</v>
      </c>
      <c r="O1463" s="68"/>
      <c r="P1463" s="67">
        <v>2287</v>
      </c>
      <c r="Q1463" s="68"/>
      <c r="R1463" s="69"/>
      <c r="S1463" s="69"/>
      <c r="T1463" s="69"/>
      <c r="U1463" s="69"/>
      <c r="V1463" s="69"/>
      <c r="W1463" s="68"/>
      <c r="X1463" s="70"/>
      <c r="Y1463" s="70"/>
      <c r="Z1463" s="70"/>
      <c r="AA1463" s="70"/>
      <c r="AB1463" s="70"/>
      <c r="AC1463" s="68"/>
      <c r="AD1463" s="71"/>
      <c r="AE1463" s="71"/>
      <c r="AF1463" s="71"/>
      <c r="AG1463" s="71"/>
      <c r="AH1463" s="71"/>
      <c r="AI1463" s="68"/>
      <c r="AJ1463" s="214">
        <v>1.058E-4</v>
      </c>
      <c r="AK1463" s="214">
        <v>1.7485999999999999</v>
      </c>
      <c r="AL1463" s="214">
        <v>1</v>
      </c>
      <c r="AM1463" s="214">
        <v>3.1619999999999999E-4</v>
      </c>
      <c r="AN1463" s="68"/>
      <c r="AO1463" s="67"/>
      <c r="AP1463" s="67"/>
      <c r="AQ1463" s="67"/>
      <c r="AR1463" s="67"/>
      <c r="AS1463" s="67"/>
      <c r="AT1463" s="68"/>
      <c r="AU1463" s="49"/>
      <c r="AV1463" s="50"/>
    </row>
    <row r="1464" spans="1:48" ht="12.75" customHeight="1" x14ac:dyDescent="0.25">
      <c r="A1464" s="72" t="s">
        <v>883</v>
      </c>
      <c r="B1464" s="43" t="s">
        <v>1580</v>
      </c>
      <c r="C1464" s="44" t="s">
        <v>1620</v>
      </c>
      <c r="D1464" s="45">
        <f>MROUND(MID($C1464,6,3)/Basis!$E$3,0.5)</f>
        <v>3</v>
      </c>
      <c r="E1464" s="45">
        <f>MROUND(MID($C1464,9,3)/Basis!$E$3,0.5)</f>
        <v>102.5</v>
      </c>
      <c r="F1464" s="124" t="s">
        <v>2951</v>
      </c>
      <c r="G1464" s="45">
        <f>ROUND((MROUND($F1464,5)+3)/Basis!$E$3,1)</f>
        <v>5.0999999999999996</v>
      </c>
      <c r="H1464" s="120">
        <f>ROUND($P1464*Basis!$E$2*((TaH-TrH)/LN(1/µ)/Basis!$E$7)^$N1464*$AA$4*Glycol,0)</f>
        <v>2361</v>
      </c>
      <c r="I1464" s="83">
        <f>ROUND(H1464/(MID($C1464,9,3)/Basis!$E$3/Basis!$E$9)*Basis!$E$11,0)</f>
        <v>277</v>
      </c>
      <c r="J1464" s="123">
        <f>IF(Basis!$E$1=1,ROUND(H1464/((TaH-TrH)*1.163)/3600,3),ROUND(H1464/(500*(TaH-TrH)),2))</f>
        <v>0.24</v>
      </c>
      <c r="K1464" s="84"/>
      <c r="L1464" s="177">
        <f>CHOOSE(Basis!$E$1,((AJ1464*(J1464*3600/Basis!$E$5)^AK1464*(((MID(C1464,9,3)*10)-144)/1000)*AL1464+AM1464*(J1464*3600/Basis!$E$5)^2)*0.0098)/Basis!$E$10,((AJ1464*(J1464/Basis!$E$5)^AK1464*(((MID(C1464,9,3)*10)-144)/1000)*AL1464+AM1464*(J1464/Basis!$E$5)^2)*0.0098)/Basis!$E$10)</f>
        <v>5.7322399593863612E-3</v>
      </c>
      <c r="M1464" s="85"/>
      <c r="N1464" s="109">
        <v>1.4179999999999999</v>
      </c>
      <c r="O1464" s="68"/>
      <c r="P1464" s="67">
        <v>1105</v>
      </c>
      <c r="Q1464" s="68"/>
      <c r="R1464" s="69"/>
      <c r="S1464" s="69"/>
      <c r="T1464" s="69"/>
      <c r="U1464" s="69"/>
      <c r="V1464" s="69"/>
      <c r="W1464" s="68"/>
      <c r="X1464" s="70"/>
      <c r="Y1464" s="70"/>
      <c r="Z1464" s="70"/>
      <c r="AA1464" s="70"/>
      <c r="AB1464" s="70"/>
      <c r="AC1464" s="68"/>
      <c r="AD1464" s="71"/>
      <c r="AE1464" s="71"/>
      <c r="AF1464" s="71"/>
      <c r="AG1464" s="71"/>
      <c r="AH1464" s="71"/>
      <c r="AI1464" s="68"/>
      <c r="AJ1464" s="214">
        <v>1.872E-4</v>
      </c>
      <c r="AK1464" s="214">
        <v>1.844419</v>
      </c>
      <c r="AL1464" s="214">
        <v>1</v>
      </c>
      <c r="AM1464" s="214">
        <v>3.4319999999999999E-4</v>
      </c>
      <c r="AN1464" s="68"/>
      <c r="AO1464" s="67"/>
      <c r="AP1464" s="67"/>
      <c r="AQ1464" s="67"/>
      <c r="AR1464" s="67"/>
      <c r="AS1464" s="67"/>
      <c r="AT1464" s="68"/>
      <c r="AU1464" s="49"/>
      <c r="AV1464" s="50"/>
    </row>
    <row r="1465" spans="1:48" ht="12.75" customHeight="1" x14ac:dyDescent="0.25">
      <c r="A1465" s="72" t="s">
        <v>883</v>
      </c>
      <c r="B1465" s="43" t="s">
        <v>1580</v>
      </c>
      <c r="C1465" s="44" t="s">
        <v>1621</v>
      </c>
      <c r="D1465" s="45">
        <f>MROUND(MID($C1465,6,3)/Basis!$E$3,0.5)</f>
        <v>3</v>
      </c>
      <c r="E1465" s="45">
        <f>MROUND(MID($C1465,9,3)/Basis!$E$3,0.5)</f>
        <v>102.5</v>
      </c>
      <c r="F1465" s="124" t="s">
        <v>2952</v>
      </c>
      <c r="G1465" s="45">
        <f>ROUND((MROUND($F1465,5)+3)/Basis!$E$3,1)</f>
        <v>7.1</v>
      </c>
      <c r="H1465" s="120">
        <f>ROUND($P1465*Basis!$E$2*((TaH-TrH)/LN(1/µ)/Basis!$E$7)^$N1465*$AA$4*Glycol,0)</f>
        <v>3855</v>
      </c>
      <c r="I1465" s="83">
        <f>ROUND(H1465/(MID($C1465,9,3)/Basis!$E$3/Basis!$E$9)*Basis!$E$11,0)</f>
        <v>452</v>
      </c>
      <c r="J1465" s="123">
        <f>IF(Basis!$E$1=1,ROUND(H1465/((TaH-TrH)*1.163)/3600,3),ROUND(H1465/(500*(TaH-TrH)),2))</f>
        <v>0.39</v>
      </c>
      <c r="K1465" s="84"/>
      <c r="L1465" s="177">
        <f>CHOOSE(Basis!$E$1,((AJ1465*(J1465*3600/Basis!$E$5)^AK1465*(((MID(C1465,9,3)*10)-144)/1000)*AL1465+AM1465*(J1465*3600/Basis!$E$5)^2)*0.0098)/Basis!$E$10,((AJ1465*(J1465/Basis!$E$5)^AK1465*(((MID(C1465,9,3)*10)-144)/1000)*AL1465+AM1465*(J1465/Basis!$E$5)^2)*0.0098)/Basis!$E$10)</f>
        <v>1.3829393292884984E-2</v>
      </c>
      <c r="M1465" s="85"/>
      <c r="N1465" s="109">
        <v>1.4179999999999999</v>
      </c>
      <c r="O1465" s="68"/>
      <c r="P1465" s="67">
        <v>1804</v>
      </c>
      <c r="Q1465" s="68"/>
      <c r="R1465" s="69"/>
      <c r="S1465" s="69"/>
      <c r="T1465" s="69"/>
      <c r="U1465" s="69"/>
      <c r="V1465" s="69"/>
      <c r="W1465" s="68"/>
      <c r="X1465" s="70"/>
      <c r="Y1465" s="70"/>
      <c r="Z1465" s="70"/>
      <c r="AA1465" s="70"/>
      <c r="AB1465" s="70"/>
      <c r="AC1465" s="68"/>
      <c r="AD1465" s="71"/>
      <c r="AE1465" s="71"/>
      <c r="AF1465" s="71"/>
      <c r="AG1465" s="71"/>
      <c r="AH1465" s="71"/>
      <c r="AI1465" s="68"/>
      <c r="AJ1465" s="214">
        <v>1.6249999999999999E-4</v>
      </c>
      <c r="AK1465" s="214">
        <v>1.76</v>
      </c>
      <c r="AL1465" s="214">
        <v>1</v>
      </c>
      <c r="AM1465" s="214">
        <v>4.0299999999999998E-4</v>
      </c>
      <c r="AN1465" s="68"/>
      <c r="AO1465" s="67"/>
      <c r="AP1465" s="67"/>
      <c r="AQ1465" s="67"/>
      <c r="AR1465" s="67"/>
      <c r="AS1465" s="67"/>
      <c r="AT1465" s="68"/>
      <c r="AU1465" s="49"/>
      <c r="AV1465" s="50"/>
    </row>
    <row r="1466" spans="1:48" ht="12.75" customHeight="1" x14ac:dyDescent="0.25">
      <c r="A1466" s="72" t="s">
        <v>883</v>
      </c>
      <c r="B1466" s="43" t="s">
        <v>1580</v>
      </c>
      <c r="C1466" s="44" t="s">
        <v>1622</v>
      </c>
      <c r="D1466" s="45">
        <f>MROUND(MID($C1466,6,3)/Basis!$E$3,0.5)</f>
        <v>3</v>
      </c>
      <c r="E1466" s="45">
        <f>MROUND(MID($C1466,9,3)/Basis!$E$3,0.5)</f>
        <v>102.5</v>
      </c>
      <c r="F1466" s="124" t="s">
        <v>2953</v>
      </c>
      <c r="G1466" s="45">
        <f>ROUND((MROUND($F1466,5)+3)/Basis!$E$3,1)</f>
        <v>9.1</v>
      </c>
      <c r="H1466" s="120">
        <f>ROUND($P1466*Basis!$E$2*((TaH-TrH)/LN(1/µ)/Basis!$E$7)^$N1466*$AA$4*Glycol,0)</f>
        <v>5295</v>
      </c>
      <c r="I1466" s="83">
        <f>ROUND(H1466/(MID($C1466,9,3)/Basis!$E$3/Basis!$E$9)*Basis!$E$11,0)</f>
        <v>621</v>
      </c>
      <c r="J1466" s="123">
        <f>IF(Basis!$E$1=1,ROUND(H1466/((TaH-TrH)*1.163)/3600,3),ROUND(H1466/(500*(TaH-TrH)),2))</f>
        <v>0.53</v>
      </c>
      <c r="K1466" s="84"/>
      <c r="L1466" s="177">
        <f>CHOOSE(Basis!$E$1,((AJ1466*(J1466*3600/Basis!$E$5)^AK1466*(((MID(C1466,9,3)*10)-144)/1000)*AL1466+AM1466*(J1466*3600/Basis!$E$5)^2)*0.0098)/Basis!$E$10,((AJ1466*(J1466/Basis!$E$5)^AK1466*(((MID(C1466,9,3)*10)-144)/1000)*AL1466+AM1466*(J1466/Basis!$E$5)^2)*0.0098)/Basis!$E$10)</f>
        <v>1.8673349866844019E-2</v>
      </c>
      <c r="M1466" s="85"/>
      <c r="N1466" s="109">
        <v>1.4179999999999999</v>
      </c>
      <c r="O1466" s="68"/>
      <c r="P1466" s="67">
        <v>2478</v>
      </c>
      <c r="Q1466" s="68"/>
      <c r="R1466" s="69"/>
      <c r="S1466" s="69"/>
      <c r="T1466" s="69"/>
      <c r="U1466" s="69"/>
      <c r="V1466" s="69"/>
      <c r="W1466" s="68"/>
      <c r="X1466" s="70"/>
      <c r="Y1466" s="70"/>
      <c r="Z1466" s="70"/>
      <c r="AA1466" s="70"/>
      <c r="AB1466" s="70"/>
      <c r="AC1466" s="68"/>
      <c r="AD1466" s="71"/>
      <c r="AE1466" s="71"/>
      <c r="AF1466" s="71"/>
      <c r="AG1466" s="71"/>
      <c r="AH1466" s="71"/>
      <c r="AI1466" s="68"/>
      <c r="AJ1466" s="214">
        <v>1.058E-4</v>
      </c>
      <c r="AK1466" s="214">
        <v>1.7485999999999999</v>
      </c>
      <c r="AL1466" s="214">
        <v>1</v>
      </c>
      <c r="AM1466" s="214">
        <v>3.1619999999999999E-4</v>
      </c>
      <c r="AN1466" s="68"/>
      <c r="AO1466" s="67"/>
      <c r="AP1466" s="67"/>
      <c r="AQ1466" s="67"/>
      <c r="AR1466" s="67"/>
      <c r="AS1466" s="67"/>
      <c r="AT1466" s="68"/>
      <c r="AU1466" s="49"/>
      <c r="AV1466" s="50"/>
    </row>
    <row r="1467" spans="1:48" ht="12.75" customHeight="1" x14ac:dyDescent="0.25">
      <c r="A1467" s="72" t="s">
        <v>883</v>
      </c>
      <c r="B1467" s="43" t="s">
        <v>1580</v>
      </c>
      <c r="C1467" s="44" t="s">
        <v>1623</v>
      </c>
      <c r="D1467" s="45">
        <f>MROUND(MID($C1467,6,3)/Basis!$E$3,0.5)</f>
        <v>3</v>
      </c>
      <c r="E1467" s="45">
        <f>MROUND(MID($C1467,9,3)/Basis!$E$3,0.5)</f>
        <v>110</v>
      </c>
      <c r="F1467" s="124" t="s">
        <v>2951</v>
      </c>
      <c r="G1467" s="45">
        <f>ROUND((MROUND($F1467,5)+3)/Basis!$E$3,1)</f>
        <v>5.0999999999999996</v>
      </c>
      <c r="H1467" s="120">
        <f>ROUND($P1467*Basis!$E$2*((TaH-TrH)/LN(1/µ)/Basis!$E$7)^$N1467*$AA$4*Glycol,0)</f>
        <v>2543</v>
      </c>
      <c r="I1467" s="83">
        <f>ROUND(H1467/(MID($C1467,9,3)/Basis!$E$3/Basis!$E$9)*Basis!$E$11,0)</f>
        <v>277</v>
      </c>
      <c r="J1467" s="123">
        <f>IF(Basis!$E$1=1,ROUND(H1467/((TaH-TrH)*1.163)/3600,3),ROUND(H1467/(500*(TaH-TrH)),2))</f>
        <v>0.25</v>
      </c>
      <c r="K1467" s="84"/>
      <c r="L1467" s="177">
        <f>CHOOSE(Basis!$E$1,((AJ1467*(J1467*3600/Basis!$E$5)^AK1467*(((MID(C1467,9,3)*10)-144)/1000)*AL1467+AM1467*(J1467*3600/Basis!$E$5)^2)*0.0098)/Basis!$E$10,((AJ1467*(J1467/Basis!$E$5)^AK1467*(((MID(C1467,9,3)*10)-144)/1000)*AL1467+AM1467*(J1467/Basis!$E$5)^2)*0.0098)/Basis!$E$10)</f>
        <v>6.4139459315105448E-3</v>
      </c>
      <c r="M1467" s="85"/>
      <c r="N1467" s="109">
        <v>1.4179999999999999</v>
      </c>
      <c r="O1467" s="68"/>
      <c r="P1467" s="67">
        <v>1190</v>
      </c>
      <c r="Q1467" s="68"/>
      <c r="R1467" s="69"/>
      <c r="S1467" s="69"/>
      <c r="T1467" s="69"/>
      <c r="U1467" s="69"/>
      <c r="V1467" s="69"/>
      <c r="W1467" s="68"/>
      <c r="X1467" s="70"/>
      <c r="Y1467" s="70"/>
      <c r="Z1467" s="70"/>
      <c r="AA1467" s="70"/>
      <c r="AB1467" s="70"/>
      <c r="AC1467" s="68"/>
      <c r="AD1467" s="71"/>
      <c r="AE1467" s="71"/>
      <c r="AF1467" s="71"/>
      <c r="AG1467" s="71"/>
      <c r="AH1467" s="71"/>
      <c r="AI1467" s="68"/>
      <c r="AJ1467" s="214">
        <v>1.872E-4</v>
      </c>
      <c r="AK1467" s="214">
        <v>1.844419</v>
      </c>
      <c r="AL1467" s="214">
        <v>1</v>
      </c>
      <c r="AM1467" s="214">
        <v>3.4319999999999999E-4</v>
      </c>
      <c r="AN1467" s="68"/>
      <c r="AO1467" s="67"/>
      <c r="AP1467" s="67"/>
      <c r="AQ1467" s="67"/>
      <c r="AR1467" s="67"/>
      <c r="AS1467" s="67"/>
      <c r="AT1467" s="68"/>
      <c r="AU1467" s="49"/>
      <c r="AV1467" s="50"/>
    </row>
    <row r="1468" spans="1:48" ht="12.75" customHeight="1" x14ac:dyDescent="0.25">
      <c r="A1468" s="72" t="s">
        <v>883</v>
      </c>
      <c r="B1468" s="43" t="s">
        <v>1580</v>
      </c>
      <c r="C1468" s="44" t="s">
        <v>1624</v>
      </c>
      <c r="D1468" s="45">
        <f>MROUND(MID($C1468,6,3)/Basis!$E$3,0.5)</f>
        <v>3</v>
      </c>
      <c r="E1468" s="45">
        <f>MROUND(MID($C1468,9,3)/Basis!$E$3,0.5)</f>
        <v>110</v>
      </c>
      <c r="F1468" s="124" t="s">
        <v>2952</v>
      </c>
      <c r="G1468" s="45">
        <f>ROUND((MROUND($F1468,5)+3)/Basis!$E$3,1)</f>
        <v>7.1</v>
      </c>
      <c r="H1468" s="120">
        <f>ROUND($P1468*Basis!$E$2*((TaH-TrH)/LN(1/µ)/Basis!$E$7)^$N1468*$AA$4*Glycol,0)</f>
        <v>4152</v>
      </c>
      <c r="I1468" s="83">
        <f>ROUND(H1468/(MID($C1468,9,3)/Basis!$E$3/Basis!$E$9)*Basis!$E$11,0)</f>
        <v>452</v>
      </c>
      <c r="J1468" s="123">
        <f>IF(Basis!$E$1=1,ROUND(H1468/((TaH-TrH)*1.163)/3600,3),ROUND(H1468/(500*(TaH-TrH)),2))</f>
        <v>0.42</v>
      </c>
      <c r="K1468" s="84"/>
      <c r="L1468" s="177">
        <f>CHOOSE(Basis!$E$1,((AJ1468*(J1468*3600/Basis!$E$5)^AK1468*(((MID(C1468,9,3)*10)-144)/1000)*AL1468+AM1468*(J1468*3600/Basis!$E$5)^2)*0.0098)/Basis!$E$10,((AJ1468*(J1468/Basis!$E$5)^AK1468*(((MID(C1468,9,3)*10)-144)/1000)*AL1468+AM1468*(J1468/Basis!$E$5)^2)*0.0098)/Basis!$E$10)</f>
        <v>1.6291305406039683E-2</v>
      </c>
      <c r="M1468" s="85"/>
      <c r="N1468" s="109">
        <v>1.4179999999999999</v>
      </c>
      <c r="O1468" s="68"/>
      <c r="P1468" s="67">
        <v>1943</v>
      </c>
      <c r="Q1468" s="68"/>
      <c r="R1468" s="69"/>
      <c r="S1468" s="69"/>
      <c r="T1468" s="69"/>
      <c r="U1468" s="69"/>
      <c r="V1468" s="69"/>
      <c r="W1468" s="68"/>
      <c r="X1468" s="70"/>
      <c r="Y1468" s="70"/>
      <c r="Z1468" s="70"/>
      <c r="AA1468" s="70"/>
      <c r="AB1468" s="70"/>
      <c r="AC1468" s="68"/>
      <c r="AD1468" s="71"/>
      <c r="AE1468" s="71"/>
      <c r="AF1468" s="71"/>
      <c r="AG1468" s="71"/>
      <c r="AH1468" s="71"/>
      <c r="AI1468" s="68"/>
      <c r="AJ1468" s="214">
        <v>1.6249999999999999E-4</v>
      </c>
      <c r="AK1468" s="214">
        <v>1.76</v>
      </c>
      <c r="AL1468" s="214">
        <v>1</v>
      </c>
      <c r="AM1468" s="214">
        <v>4.0299999999999998E-4</v>
      </c>
      <c r="AN1468" s="68"/>
      <c r="AO1468" s="67"/>
      <c r="AP1468" s="67"/>
      <c r="AQ1468" s="67"/>
      <c r="AR1468" s="67"/>
      <c r="AS1468" s="67"/>
      <c r="AT1468" s="68"/>
      <c r="AU1468" s="49"/>
      <c r="AV1468" s="50"/>
    </row>
    <row r="1469" spans="1:48" ht="12.75" customHeight="1" x14ac:dyDescent="0.25">
      <c r="A1469" s="72" t="s">
        <v>883</v>
      </c>
      <c r="B1469" s="43" t="s">
        <v>1580</v>
      </c>
      <c r="C1469" s="44" t="s">
        <v>1625</v>
      </c>
      <c r="D1469" s="45">
        <f>MROUND(MID($C1469,6,3)/Basis!$E$3,0.5)</f>
        <v>3</v>
      </c>
      <c r="E1469" s="45">
        <f>MROUND(MID($C1469,9,3)/Basis!$E$3,0.5)</f>
        <v>110</v>
      </c>
      <c r="F1469" s="124" t="s">
        <v>2953</v>
      </c>
      <c r="G1469" s="45">
        <f>ROUND((MROUND($F1469,5)+3)/Basis!$E$3,1)</f>
        <v>9.1</v>
      </c>
      <c r="H1469" s="120">
        <f>ROUND($P1469*Basis!$E$2*((TaH-TrH)/LN(1/µ)/Basis!$E$7)^$N1469*$AA$4*Glycol,0)</f>
        <v>5701</v>
      </c>
      <c r="I1469" s="83">
        <f>ROUND(H1469/(MID($C1469,9,3)/Basis!$E$3/Basis!$E$9)*Basis!$E$11,0)</f>
        <v>621</v>
      </c>
      <c r="J1469" s="123">
        <f>IF(Basis!$E$1=1,ROUND(H1469/((TaH-TrH)*1.163)/3600,3),ROUND(H1469/(500*(TaH-TrH)),2))</f>
        <v>0.56999999999999995</v>
      </c>
      <c r="K1469" s="84"/>
      <c r="L1469" s="177">
        <f>CHOOSE(Basis!$E$1,((AJ1469*(J1469*3600/Basis!$E$5)^AK1469*(((MID(C1469,9,3)*10)-144)/1000)*AL1469+AM1469*(J1469*3600/Basis!$E$5)^2)*0.0098)/Basis!$E$10,((AJ1469*(J1469/Basis!$E$5)^AK1469*(((MID(C1469,9,3)*10)-144)/1000)*AL1469+AM1469*(J1469/Basis!$E$5)^2)*0.0098)/Basis!$E$10)</f>
        <v>2.1862371236756026E-2</v>
      </c>
      <c r="M1469" s="85"/>
      <c r="N1469" s="109">
        <v>1.4179999999999999</v>
      </c>
      <c r="O1469" s="68"/>
      <c r="P1469" s="67">
        <v>2668</v>
      </c>
      <c r="Q1469" s="68"/>
      <c r="R1469" s="69"/>
      <c r="S1469" s="69"/>
      <c r="T1469" s="69"/>
      <c r="U1469" s="69"/>
      <c r="V1469" s="69"/>
      <c r="W1469" s="68"/>
      <c r="X1469" s="70"/>
      <c r="Y1469" s="70"/>
      <c r="Z1469" s="70"/>
      <c r="AA1469" s="70"/>
      <c r="AB1469" s="70"/>
      <c r="AC1469" s="68"/>
      <c r="AD1469" s="71"/>
      <c r="AE1469" s="71"/>
      <c r="AF1469" s="71"/>
      <c r="AG1469" s="71"/>
      <c r="AH1469" s="71"/>
      <c r="AI1469" s="68"/>
      <c r="AJ1469" s="214">
        <v>1.058E-4</v>
      </c>
      <c r="AK1469" s="214">
        <v>1.7485999999999999</v>
      </c>
      <c r="AL1469" s="214">
        <v>1</v>
      </c>
      <c r="AM1469" s="214">
        <v>3.1619999999999999E-4</v>
      </c>
      <c r="AN1469" s="68"/>
      <c r="AO1469" s="67"/>
      <c r="AP1469" s="67"/>
      <c r="AQ1469" s="67"/>
      <c r="AR1469" s="67"/>
      <c r="AS1469" s="67"/>
      <c r="AT1469" s="68"/>
      <c r="AU1469" s="49"/>
      <c r="AV1469" s="50"/>
    </row>
    <row r="1470" spans="1:48" ht="12.75" customHeight="1" x14ac:dyDescent="0.25">
      <c r="A1470" s="72" t="s">
        <v>883</v>
      </c>
      <c r="B1470" s="43" t="s">
        <v>1580</v>
      </c>
      <c r="C1470" s="44" t="s">
        <v>1626</v>
      </c>
      <c r="D1470" s="45">
        <f>MROUND(MID($C1470,6,3)/Basis!$E$3,0.5)</f>
        <v>3</v>
      </c>
      <c r="E1470" s="45">
        <f>MROUND(MID($C1470,9,3)/Basis!$E$3,0.5)</f>
        <v>118</v>
      </c>
      <c r="F1470" s="124" t="s">
        <v>2951</v>
      </c>
      <c r="G1470" s="45">
        <f>ROUND((MROUND($F1470,5)+3)/Basis!$E$3,1)</f>
        <v>5.0999999999999996</v>
      </c>
      <c r="H1470" s="120">
        <f>ROUND($P1470*Basis!$E$2*((TaH-TrH)/LN(1/µ)/Basis!$E$7)^$N1470*$AA$4*Glycol,0)</f>
        <v>2724</v>
      </c>
      <c r="I1470" s="83">
        <f>ROUND(H1470/(MID($C1470,9,3)/Basis!$E$3/Basis!$E$9)*Basis!$E$11,0)</f>
        <v>277</v>
      </c>
      <c r="J1470" s="123">
        <f>IF(Basis!$E$1=1,ROUND(H1470/((TaH-TrH)*1.163)/3600,3),ROUND(H1470/(500*(TaH-TrH)),2))</f>
        <v>0.27</v>
      </c>
      <c r="K1470" s="84"/>
      <c r="L1470" s="177">
        <f>CHOOSE(Basis!$E$1,((AJ1470*(J1470*3600/Basis!$E$5)^AK1470*(((MID(C1470,9,3)*10)-144)/1000)*AL1470+AM1470*(J1470*3600/Basis!$E$5)^2)*0.0098)/Basis!$E$10,((AJ1470*(J1470/Basis!$E$5)^AK1470*(((MID(C1470,9,3)*10)-144)/1000)*AL1470+AM1470*(J1470/Basis!$E$5)^2)*0.0098)/Basis!$E$10)</f>
        <v>7.6850617178173966E-3</v>
      </c>
      <c r="M1470" s="85"/>
      <c r="N1470" s="109">
        <v>1.4179999999999999</v>
      </c>
      <c r="O1470" s="68"/>
      <c r="P1470" s="67">
        <v>1275</v>
      </c>
      <c r="Q1470" s="68"/>
      <c r="R1470" s="69"/>
      <c r="S1470" s="69"/>
      <c r="T1470" s="69"/>
      <c r="U1470" s="69"/>
      <c r="V1470" s="69"/>
      <c r="W1470" s="68"/>
      <c r="X1470" s="70"/>
      <c r="Y1470" s="70"/>
      <c r="Z1470" s="70"/>
      <c r="AA1470" s="70"/>
      <c r="AB1470" s="70"/>
      <c r="AC1470" s="68"/>
      <c r="AD1470" s="71"/>
      <c r="AE1470" s="71"/>
      <c r="AF1470" s="71"/>
      <c r="AG1470" s="71"/>
      <c r="AH1470" s="71"/>
      <c r="AI1470" s="68"/>
      <c r="AJ1470" s="214">
        <v>1.872E-4</v>
      </c>
      <c r="AK1470" s="214">
        <v>1.844419</v>
      </c>
      <c r="AL1470" s="214">
        <v>1</v>
      </c>
      <c r="AM1470" s="214">
        <v>3.4319999999999999E-4</v>
      </c>
      <c r="AN1470" s="68"/>
      <c r="AO1470" s="67"/>
      <c r="AP1470" s="67"/>
      <c r="AQ1470" s="67"/>
      <c r="AR1470" s="67"/>
      <c r="AS1470" s="67"/>
      <c r="AT1470" s="68"/>
      <c r="AU1470" s="49"/>
      <c r="AV1470" s="50"/>
    </row>
    <row r="1471" spans="1:48" ht="12.75" customHeight="1" x14ac:dyDescent="0.25">
      <c r="A1471" s="72" t="s">
        <v>883</v>
      </c>
      <c r="B1471" s="43" t="s">
        <v>1580</v>
      </c>
      <c r="C1471" s="44" t="s">
        <v>1627</v>
      </c>
      <c r="D1471" s="45">
        <f>MROUND(MID($C1471,6,3)/Basis!$E$3,0.5)</f>
        <v>3</v>
      </c>
      <c r="E1471" s="45">
        <f>MROUND(MID($C1471,9,3)/Basis!$E$3,0.5)</f>
        <v>118</v>
      </c>
      <c r="F1471" s="124" t="s">
        <v>2952</v>
      </c>
      <c r="G1471" s="45">
        <f>ROUND((MROUND($F1471,5)+3)/Basis!$E$3,1)</f>
        <v>7.1</v>
      </c>
      <c r="H1471" s="120">
        <f>ROUND($P1471*Basis!$E$2*((TaH-TrH)/LN(1/µ)/Basis!$E$7)^$N1471*$AA$4*Glycol,0)</f>
        <v>4449</v>
      </c>
      <c r="I1471" s="83">
        <f>ROUND(H1471/(MID($C1471,9,3)/Basis!$E$3/Basis!$E$9)*Basis!$E$11,0)</f>
        <v>452</v>
      </c>
      <c r="J1471" s="123">
        <f>IF(Basis!$E$1=1,ROUND(H1471/((TaH-TrH)*1.163)/3600,3),ROUND(H1471/(500*(TaH-TrH)),2))</f>
        <v>0.44</v>
      </c>
      <c r="K1471" s="84"/>
      <c r="L1471" s="177">
        <f>CHOOSE(Basis!$E$1,((AJ1471*(J1471*3600/Basis!$E$5)^AK1471*(((MID(C1471,9,3)*10)-144)/1000)*AL1471+AM1471*(J1471*3600/Basis!$E$5)^2)*0.0098)/Basis!$E$10,((AJ1471*(J1471/Basis!$E$5)^AK1471*(((MID(C1471,9,3)*10)-144)/1000)*AL1471+AM1471*(J1471/Basis!$E$5)^2)*0.0098)/Basis!$E$10)</f>
        <v>1.8178872588367534E-2</v>
      </c>
      <c r="M1471" s="85"/>
      <c r="N1471" s="109">
        <v>1.4179999999999999</v>
      </c>
      <c r="O1471" s="68"/>
      <c r="P1471" s="67">
        <v>2082</v>
      </c>
      <c r="Q1471" s="68"/>
      <c r="R1471" s="69"/>
      <c r="S1471" s="69"/>
      <c r="T1471" s="69"/>
      <c r="U1471" s="69"/>
      <c r="V1471" s="69"/>
      <c r="W1471" s="68"/>
      <c r="X1471" s="70"/>
      <c r="Y1471" s="70"/>
      <c r="Z1471" s="70"/>
      <c r="AA1471" s="70"/>
      <c r="AB1471" s="70"/>
      <c r="AC1471" s="68"/>
      <c r="AD1471" s="71"/>
      <c r="AE1471" s="71"/>
      <c r="AF1471" s="71"/>
      <c r="AG1471" s="71"/>
      <c r="AH1471" s="71"/>
      <c r="AI1471" s="68"/>
      <c r="AJ1471" s="214">
        <v>1.6249999999999999E-4</v>
      </c>
      <c r="AK1471" s="214">
        <v>1.76</v>
      </c>
      <c r="AL1471" s="214">
        <v>1</v>
      </c>
      <c r="AM1471" s="214">
        <v>4.0299999999999998E-4</v>
      </c>
      <c r="AN1471" s="68"/>
      <c r="AO1471" s="67"/>
      <c r="AP1471" s="67"/>
      <c r="AQ1471" s="67"/>
      <c r="AR1471" s="67"/>
      <c r="AS1471" s="67"/>
      <c r="AT1471" s="68"/>
      <c r="AU1471" s="49"/>
      <c r="AV1471" s="50"/>
    </row>
    <row r="1472" spans="1:48" ht="12.75" customHeight="1" x14ac:dyDescent="0.25">
      <c r="A1472" s="72" t="s">
        <v>883</v>
      </c>
      <c r="B1472" s="43" t="s">
        <v>1580</v>
      </c>
      <c r="C1472" s="44" t="s">
        <v>1628</v>
      </c>
      <c r="D1472" s="45">
        <f>MROUND(MID($C1472,6,3)/Basis!$E$3,0.5)</f>
        <v>3</v>
      </c>
      <c r="E1472" s="45">
        <f>MROUND(MID($C1472,9,3)/Basis!$E$3,0.5)</f>
        <v>118</v>
      </c>
      <c r="F1472" s="124" t="s">
        <v>2953</v>
      </c>
      <c r="G1472" s="45">
        <f>ROUND((MROUND($F1472,5)+3)/Basis!$E$3,1)</f>
        <v>9.1</v>
      </c>
      <c r="H1472" s="120">
        <f>ROUND($P1472*Basis!$E$2*((TaH-TrH)/LN(1/µ)/Basis!$E$7)^$N1472*$AA$4*Glycol,0)</f>
        <v>6109</v>
      </c>
      <c r="I1472" s="83">
        <f>ROUND(H1472/(MID($C1472,9,3)/Basis!$E$3/Basis!$E$9)*Basis!$E$11,0)</f>
        <v>621</v>
      </c>
      <c r="J1472" s="123">
        <f>IF(Basis!$E$1=1,ROUND(H1472/((TaH-TrH)*1.163)/3600,3),ROUND(H1472/(500*(TaH-TrH)),2))</f>
        <v>0.61</v>
      </c>
      <c r="K1472" s="84"/>
      <c r="L1472" s="177">
        <f>CHOOSE(Basis!$E$1,((AJ1472*(J1472*3600/Basis!$E$5)^AK1472*(((MID(C1472,9,3)*10)-144)/1000)*AL1472+AM1472*(J1472*3600/Basis!$E$5)^2)*0.0098)/Basis!$E$10,((AJ1472*(J1472/Basis!$E$5)^AK1472*(((MID(C1472,9,3)*10)-144)/1000)*AL1472+AM1472*(J1472/Basis!$E$5)^2)*0.0098)/Basis!$E$10)</f>
        <v>2.5335075615099054E-2</v>
      </c>
      <c r="M1472" s="85"/>
      <c r="N1472" s="109">
        <v>1.4179999999999999</v>
      </c>
      <c r="O1472" s="68"/>
      <c r="P1472" s="67">
        <v>2859</v>
      </c>
      <c r="Q1472" s="68"/>
      <c r="R1472" s="69"/>
      <c r="S1472" s="69"/>
      <c r="T1472" s="69"/>
      <c r="U1472" s="69"/>
      <c r="V1472" s="69"/>
      <c r="W1472" s="68"/>
      <c r="X1472" s="70"/>
      <c r="Y1472" s="70"/>
      <c r="Z1472" s="70"/>
      <c r="AA1472" s="70"/>
      <c r="AB1472" s="70"/>
      <c r="AC1472" s="68"/>
      <c r="AD1472" s="71"/>
      <c r="AE1472" s="71"/>
      <c r="AF1472" s="71"/>
      <c r="AG1472" s="71"/>
      <c r="AH1472" s="71"/>
      <c r="AI1472" s="68"/>
      <c r="AJ1472" s="214">
        <v>1.058E-4</v>
      </c>
      <c r="AK1472" s="214">
        <v>1.7485999999999999</v>
      </c>
      <c r="AL1472" s="214">
        <v>1</v>
      </c>
      <c r="AM1472" s="214">
        <v>3.1619999999999999E-4</v>
      </c>
      <c r="AN1472" s="68"/>
      <c r="AO1472" s="67"/>
      <c r="AP1472" s="67"/>
      <c r="AQ1472" s="67"/>
      <c r="AR1472" s="67"/>
      <c r="AS1472" s="67"/>
      <c r="AT1472" s="68"/>
      <c r="AU1472" s="49"/>
      <c r="AV1472" s="50"/>
    </row>
    <row r="1473" spans="1:48" ht="12.75" customHeight="1" x14ac:dyDescent="0.25">
      <c r="A1473" s="72" t="s">
        <v>883</v>
      </c>
      <c r="B1473" s="43" t="s">
        <v>1580</v>
      </c>
      <c r="C1473" s="44" t="s">
        <v>1629</v>
      </c>
      <c r="D1473" s="45">
        <f>MROUND(MID($C1473,6,3)/Basis!$E$3,0.5)</f>
        <v>5</v>
      </c>
      <c r="E1473" s="45">
        <f>MROUND(MID($C1473,9,3)/Basis!$E$3,0.5)</f>
        <v>23.5</v>
      </c>
      <c r="F1473" s="124" t="s">
        <v>2954</v>
      </c>
      <c r="G1473" s="45">
        <f>ROUND((MROUND($F1473,5)+3)/Basis!$E$3,1)</f>
        <v>3.1</v>
      </c>
      <c r="H1473" s="120">
        <f>ROUND($P1473*Basis!$E$2*((TaH-TrH)/LN(1/µ)/Basis!$E$7)^$N1473*$AA$4*Glycol,0)</f>
        <v>422</v>
      </c>
      <c r="I1473" s="83">
        <f>ROUND(H1473/(MID($C1473,9,3)/Basis!$E$3/Basis!$E$9)*Basis!$E$11,0)</f>
        <v>214</v>
      </c>
      <c r="J1473" s="123">
        <f>IF(Basis!$E$1=1,ROUND(H1473/((TaH-TrH)*1.163)/3600,3),ROUND(H1473/(500*(TaH-TrH)),2))</f>
        <v>0.04</v>
      </c>
      <c r="K1473" s="84"/>
      <c r="L1473" s="177">
        <f>CHOOSE(Basis!$E$1,((AJ1473*(J1473*3600/Basis!$E$5)^AK1473*(((MID(C1473,9,3)*10)-144)/1000)*AL1473+AM1473*(J1473*3600/Basis!$E$5)^2)*0.0098)/Basis!$E$10,((AJ1473*(J1473/Basis!$E$5)^AK1473*(((MID(C1473,9,3)*10)-144)/1000)*AL1473+AM1473*(J1473/Basis!$E$5)^2)*0.0098)/Basis!$E$10)</f>
        <v>2.652508379987589E-4</v>
      </c>
      <c r="M1473" s="85"/>
      <c r="N1473" s="109">
        <v>1.413</v>
      </c>
      <c r="O1473" s="68"/>
      <c r="P1473" s="67">
        <v>197</v>
      </c>
      <c r="Q1473" s="68"/>
      <c r="R1473" s="69"/>
      <c r="S1473" s="69"/>
      <c r="T1473" s="69"/>
      <c r="U1473" s="69"/>
      <c r="V1473" s="69"/>
      <c r="W1473" s="68"/>
      <c r="X1473" s="70"/>
      <c r="Y1473" s="70"/>
      <c r="Z1473" s="70"/>
      <c r="AA1473" s="70"/>
      <c r="AB1473" s="70"/>
      <c r="AC1473" s="68"/>
      <c r="AD1473" s="71"/>
      <c r="AE1473" s="71"/>
      <c r="AF1473" s="71"/>
      <c r="AG1473" s="71"/>
      <c r="AH1473" s="71"/>
      <c r="AI1473" s="68"/>
      <c r="AJ1473" s="214">
        <v>9.3669999999999995E-4</v>
      </c>
      <c r="AK1473" s="214">
        <v>1.789841</v>
      </c>
      <c r="AL1473" s="214">
        <v>2</v>
      </c>
      <c r="AM1473" s="214">
        <v>4.4559999999999999E-4</v>
      </c>
      <c r="AN1473" s="68"/>
      <c r="AO1473" s="67"/>
      <c r="AP1473" s="67"/>
      <c r="AQ1473" s="67"/>
      <c r="AR1473" s="67"/>
      <c r="AS1473" s="67"/>
      <c r="AT1473" s="68"/>
      <c r="AU1473" s="49"/>
      <c r="AV1473" s="50"/>
    </row>
    <row r="1474" spans="1:48" ht="12.75" customHeight="1" x14ac:dyDescent="0.25">
      <c r="A1474" s="72" t="s">
        <v>883</v>
      </c>
      <c r="B1474" s="43" t="s">
        <v>1580</v>
      </c>
      <c r="C1474" s="44" t="s">
        <v>1630</v>
      </c>
      <c r="D1474" s="45">
        <f>MROUND(MID($C1474,6,3)/Basis!$E$3,0.5)</f>
        <v>5</v>
      </c>
      <c r="E1474" s="45">
        <f>MROUND(MID($C1474,9,3)/Basis!$E$3,0.5)</f>
        <v>23.5</v>
      </c>
      <c r="F1474" s="124" t="s">
        <v>2943</v>
      </c>
      <c r="G1474" s="45">
        <f>ROUND((MROUND($F1474,5)+3)/Basis!$E$3,1)</f>
        <v>5.0999999999999996</v>
      </c>
      <c r="H1474" s="120">
        <f>ROUND($P1474*Basis!$E$2*((TaH-TrH)/LN(1/µ)/Basis!$E$7)^$N1474*$AA$4*Glycol,0)</f>
        <v>647</v>
      </c>
      <c r="I1474" s="83">
        <f>ROUND(H1474/(MID($C1474,9,3)/Basis!$E$3/Basis!$E$9)*Basis!$E$11,0)</f>
        <v>329</v>
      </c>
      <c r="J1474" s="123">
        <f>IF(Basis!$E$1=1,ROUND(H1474/((TaH-TrH)*1.163)/3600,3),ROUND(H1474/(500*(TaH-TrH)),2))</f>
        <v>0.06</v>
      </c>
      <c r="K1474" s="84"/>
      <c r="L1474" s="177">
        <f>CHOOSE(Basis!$E$1,((AJ1474*(J1474*3600/Basis!$E$5)^AK1474*(((MID(C1474,9,3)*10)-144)/1000)*AL1474+AM1474*(J1474*3600/Basis!$E$5)^2)*0.0098)/Basis!$E$10,((AJ1474*(J1474/Basis!$E$5)^AK1474*(((MID(C1474,9,3)*10)-144)/1000)*AL1474+AM1474*(J1474/Basis!$E$5)^2)*0.0098)/Basis!$E$10)</f>
        <v>3.3294447281161284E-4</v>
      </c>
      <c r="M1474" s="85"/>
      <c r="N1474" s="109">
        <v>1.419</v>
      </c>
      <c r="O1474" s="68"/>
      <c r="P1474" s="67">
        <v>303</v>
      </c>
      <c r="Q1474" s="68"/>
      <c r="R1474" s="69"/>
      <c r="S1474" s="69"/>
      <c r="T1474" s="69"/>
      <c r="U1474" s="69"/>
      <c r="V1474" s="69"/>
      <c r="W1474" s="68"/>
      <c r="X1474" s="70"/>
      <c r="Y1474" s="70"/>
      <c r="Z1474" s="70"/>
      <c r="AA1474" s="70"/>
      <c r="AB1474" s="70"/>
      <c r="AC1474" s="68"/>
      <c r="AD1474" s="71"/>
      <c r="AE1474" s="71"/>
      <c r="AF1474" s="71"/>
      <c r="AG1474" s="71"/>
      <c r="AH1474" s="71"/>
      <c r="AI1474" s="68"/>
      <c r="AJ1474" s="214">
        <v>3.9689999999999994E-4</v>
      </c>
      <c r="AK1474" s="214">
        <v>1.7345999999999999</v>
      </c>
      <c r="AL1474" s="214">
        <v>2</v>
      </c>
      <c r="AM1474" s="214">
        <v>3.6734700000000002E-4</v>
      </c>
      <c r="AN1474" s="68"/>
      <c r="AO1474" s="67"/>
      <c r="AP1474" s="67"/>
      <c r="AQ1474" s="67"/>
      <c r="AR1474" s="67"/>
      <c r="AS1474" s="67"/>
      <c r="AT1474" s="68"/>
      <c r="AU1474" s="49"/>
      <c r="AV1474" s="50"/>
    </row>
    <row r="1475" spans="1:48" ht="12.75" customHeight="1" x14ac:dyDescent="0.25">
      <c r="A1475" s="72" t="s">
        <v>883</v>
      </c>
      <c r="B1475" s="43" t="s">
        <v>1580</v>
      </c>
      <c r="C1475" s="44" t="s">
        <v>1631</v>
      </c>
      <c r="D1475" s="45">
        <f>MROUND(MID($C1475,6,3)/Basis!$E$3,0.5)</f>
        <v>5</v>
      </c>
      <c r="E1475" s="45">
        <f>MROUND(MID($C1475,9,3)/Basis!$E$3,0.5)</f>
        <v>23.5</v>
      </c>
      <c r="F1475" s="124" t="s">
        <v>2944</v>
      </c>
      <c r="G1475" s="45">
        <f>ROUND((MROUND($F1475,5)+3)/Basis!$E$3,1)</f>
        <v>7.1</v>
      </c>
      <c r="H1475" s="120">
        <f>ROUND($P1475*Basis!$E$2*((TaH-TrH)/LN(1/µ)/Basis!$E$7)^$N1475*$AA$4*Glycol,0)</f>
        <v>1086</v>
      </c>
      <c r="I1475" s="83">
        <f>ROUND(H1475/(MID($C1475,9,3)/Basis!$E$3/Basis!$E$9)*Basis!$E$11,0)</f>
        <v>552</v>
      </c>
      <c r="J1475" s="123">
        <f>IF(Basis!$E$1=1,ROUND(H1475/((TaH-TrH)*1.163)/3600,3),ROUND(H1475/(500*(TaH-TrH)),2))</f>
        <v>0.11</v>
      </c>
      <c r="K1475" s="84"/>
      <c r="L1475" s="177">
        <f>CHOOSE(Basis!$E$1,((AJ1475*(J1475*3600/Basis!$E$5)^AK1475*(((MID(C1475,9,3)*10)-144)/1000)*AL1475+AM1475*(J1475*3600/Basis!$E$5)^2)*0.0098)/Basis!$E$10,((AJ1475*(J1475/Basis!$E$5)^AK1475*(((MID(C1475,9,3)*10)-144)/1000)*AL1475+AM1475*(J1475/Basis!$E$5)^2)*0.0098)/Basis!$E$10)</f>
        <v>1.1020491834378111E-3</v>
      </c>
      <c r="M1475" s="85"/>
      <c r="N1475" s="109">
        <v>1.4159999999999999</v>
      </c>
      <c r="O1475" s="68"/>
      <c r="P1475" s="67">
        <v>508</v>
      </c>
      <c r="Q1475" s="68"/>
      <c r="R1475" s="69"/>
      <c r="S1475" s="69"/>
      <c r="T1475" s="69"/>
      <c r="U1475" s="69"/>
      <c r="V1475" s="69"/>
      <c r="W1475" s="68"/>
      <c r="X1475" s="70"/>
      <c r="Y1475" s="70"/>
      <c r="Z1475" s="70"/>
      <c r="AA1475" s="70"/>
      <c r="AB1475" s="70"/>
      <c r="AC1475" s="68"/>
      <c r="AD1475" s="71"/>
      <c r="AE1475" s="71"/>
      <c r="AF1475" s="71"/>
      <c r="AG1475" s="71"/>
      <c r="AH1475" s="71"/>
      <c r="AI1475" s="68"/>
      <c r="AJ1475" s="214">
        <v>2.0829999999999999E-4</v>
      </c>
      <c r="AK1475" s="214">
        <v>1.724</v>
      </c>
      <c r="AL1475" s="214">
        <v>2</v>
      </c>
      <c r="AM1475" s="214">
        <v>4.6182900000000003E-4</v>
      </c>
      <c r="AN1475" s="68"/>
      <c r="AO1475" s="67"/>
      <c r="AP1475" s="67"/>
      <c r="AQ1475" s="67"/>
      <c r="AR1475" s="67"/>
      <c r="AS1475" s="67"/>
      <c r="AT1475" s="68"/>
      <c r="AU1475" s="49"/>
      <c r="AV1475" s="50"/>
    </row>
    <row r="1476" spans="1:48" ht="12.75" customHeight="1" x14ac:dyDescent="0.25">
      <c r="A1476" s="72" t="s">
        <v>883</v>
      </c>
      <c r="B1476" s="43" t="s">
        <v>1580</v>
      </c>
      <c r="C1476" s="44" t="s">
        <v>1632</v>
      </c>
      <c r="D1476" s="45">
        <f>MROUND(MID($C1476,6,3)/Basis!$E$3,0.5)</f>
        <v>5</v>
      </c>
      <c r="E1476" s="45">
        <f>MROUND(MID($C1476,9,3)/Basis!$E$3,0.5)</f>
        <v>23.5</v>
      </c>
      <c r="F1476" s="124" t="s">
        <v>2945</v>
      </c>
      <c r="G1476" s="45">
        <f>ROUND((MROUND($F1476,5)+3)/Basis!$E$3,1)</f>
        <v>9.1</v>
      </c>
      <c r="H1476" s="120">
        <f>ROUND($P1476*Basis!$E$2*((TaH-TrH)/LN(1/µ)/Basis!$E$7)^$N1476*$AA$4*Glycol,0)</f>
        <v>1533</v>
      </c>
      <c r="I1476" s="83">
        <f>ROUND(H1476/(MID($C1476,9,3)/Basis!$E$3/Basis!$E$9)*Basis!$E$11,0)</f>
        <v>779</v>
      </c>
      <c r="J1476" s="123">
        <f>IF(Basis!$E$1=1,ROUND(H1476/((TaH-TrH)*1.163)/3600,3),ROUND(H1476/(500*(TaH-TrH)),2))</f>
        <v>0.15</v>
      </c>
      <c r="K1476" s="84"/>
      <c r="L1476" s="177">
        <f>CHOOSE(Basis!$E$1,((AJ1476*(J1476*3600/Basis!$E$5)^AK1476*(((MID(C1476,9,3)*10)-144)/1000)*AL1476+AM1476*(J1476*3600/Basis!$E$5)^2)*0.0098)/Basis!$E$10,((AJ1476*(J1476/Basis!$E$5)^AK1476*(((MID(C1476,9,3)*10)-144)/1000)*AL1476+AM1476*(J1476/Basis!$E$5)^2)*0.0098)/Basis!$E$10)</f>
        <v>1.5948144392740626E-3</v>
      </c>
      <c r="M1476" s="85"/>
      <c r="N1476" s="109">
        <v>1.4159999999999999</v>
      </c>
      <c r="O1476" s="68"/>
      <c r="P1476" s="67">
        <v>717</v>
      </c>
      <c r="Q1476" s="68"/>
      <c r="R1476" s="69"/>
      <c r="S1476" s="69"/>
      <c r="T1476" s="69"/>
      <c r="U1476" s="69"/>
      <c r="V1476" s="69"/>
      <c r="W1476" s="68"/>
      <c r="X1476" s="70"/>
      <c r="Y1476" s="70"/>
      <c r="Z1476" s="70"/>
      <c r="AA1476" s="70"/>
      <c r="AB1476" s="70"/>
      <c r="AC1476" s="68"/>
      <c r="AD1476" s="71"/>
      <c r="AE1476" s="71"/>
      <c r="AF1476" s="71"/>
      <c r="AG1476" s="71"/>
      <c r="AH1476" s="71"/>
      <c r="AI1476" s="68"/>
      <c r="AJ1476" s="214">
        <v>1.2760000000000001E-4</v>
      </c>
      <c r="AK1476" s="214">
        <v>1.7219</v>
      </c>
      <c r="AL1476" s="214">
        <v>2</v>
      </c>
      <c r="AM1476" s="214">
        <v>3.76611E-4</v>
      </c>
      <c r="AN1476" s="68"/>
      <c r="AO1476" s="67"/>
      <c r="AP1476" s="67"/>
      <c r="AQ1476" s="67"/>
      <c r="AR1476" s="67"/>
      <c r="AS1476" s="67"/>
      <c r="AT1476" s="68"/>
      <c r="AU1476" s="49"/>
      <c r="AV1476" s="50"/>
    </row>
    <row r="1477" spans="1:48" ht="12.75" customHeight="1" x14ac:dyDescent="0.25">
      <c r="A1477" s="72" t="s">
        <v>883</v>
      </c>
      <c r="B1477" s="43" t="s">
        <v>1580</v>
      </c>
      <c r="C1477" s="44" t="s">
        <v>1633</v>
      </c>
      <c r="D1477" s="45">
        <f>MROUND(MID($C1477,6,3)/Basis!$E$3,0.5)</f>
        <v>5</v>
      </c>
      <c r="E1477" s="45">
        <f>MROUND(MID($C1477,9,3)/Basis!$E$3,0.5)</f>
        <v>27.5</v>
      </c>
      <c r="F1477" s="124" t="s">
        <v>2954</v>
      </c>
      <c r="G1477" s="45">
        <f>ROUND((MROUND($F1477,5)+3)/Basis!$E$3,1)</f>
        <v>3.1</v>
      </c>
      <c r="H1477" s="120">
        <f>ROUND($P1477*Basis!$E$2*((TaH-TrH)/LN(1/µ)/Basis!$E$7)^$N1477*$AA$4*Glycol,0)</f>
        <v>492</v>
      </c>
      <c r="I1477" s="83">
        <f>ROUND(H1477/(MID($C1477,9,3)/Basis!$E$3/Basis!$E$9)*Basis!$E$11,0)</f>
        <v>214</v>
      </c>
      <c r="J1477" s="123">
        <f>IF(Basis!$E$1=1,ROUND(H1477/((TaH-TrH)*1.163)/3600,3),ROUND(H1477/(500*(TaH-TrH)),2))</f>
        <v>0.05</v>
      </c>
      <c r="K1477" s="84"/>
      <c r="L1477" s="177">
        <f>CHOOSE(Basis!$E$1,((AJ1477*(J1477*3600/Basis!$E$5)^AK1477*(((MID(C1477,9,3)*10)-144)/1000)*AL1477+AM1477*(J1477*3600/Basis!$E$5)^2)*0.0098)/Basis!$E$10,((AJ1477*(J1477/Basis!$E$5)^AK1477*(((MID(C1477,9,3)*10)-144)/1000)*AL1477+AM1477*(J1477/Basis!$E$5)^2)*0.0098)/Basis!$E$10)</f>
        <v>4.5148241192832669E-4</v>
      </c>
      <c r="M1477" s="85"/>
      <c r="N1477" s="109">
        <v>1.413</v>
      </c>
      <c r="O1477" s="68"/>
      <c r="P1477" s="67">
        <v>230</v>
      </c>
      <c r="Q1477" s="68"/>
      <c r="R1477" s="69"/>
      <c r="S1477" s="69"/>
      <c r="T1477" s="69"/>
      <c r="U1477" s="69"/>
      <c r="V1477" s="69"/>
      <c r="W1477" s="68"/>
      <c r="X1477" s="70"/>
      <c r="Y1477" s="70"/>
      <c r="Z1477" s="70"/>
      <c r="AA1477" s="70"/>
      <c r="AB1477" s="70"/>
      <c r="AC1477" s="68"/>
      <c r="AD1477" s="71"/>
      <c r="AE1477" s="71"/>
      <c r="AF1477" s="71"/>
      <c r="AG1477" s="71"/>
      <c r="AH1477" s="71"/>
      <c r="AI1477" s="68"/>
      <c r="AJ1477" s="214">
        <v>9.3669999999999995E-4</v>
      </c>
      <c r="AK1477" s="214">
        <v>1.789841</v>
      </c>
      <c r="AL1477" s="214">
        <v>2</v>
      </c>
      <c r="AM1477" s="214">
        <v>4.4559999999999999E-4</v>
      </c>
      <c r="AN1477" s="68"/>
      <c r="AO1477" s="67"/>
      <c r="AP1477" s="67"/>
      <c r="AQ1477" s="67"/>
      <c r="AR1477" s="67"/>
      <c r="AS1477" s="67"/>
      <c r="AT1477" s="68"/>
      <c r="AU1477" s="49"/>
      <c r="AV1477" s="50"/>
    </row>
    <row r="1478" spans="1:48" ht="12.75" customHeight="1" x14ac:dyDescent="0.25">
      <c r="A1478" s="72" t="s">
        <v>883</v>
      </c>
      <c r="B1478" s="43" t="s">
        <v>1580</v>
      </c>
      <c r="C1478" s="44" t="s">
        <v>1634</v>
      </c>
      <c r="D1478" s="45">
        <f>MROUND(MID($C1478,6,3)/Basis!$E$3,0.5)</f>
        <v>5</v>
      </c>
      <c r="E1478" s="45">
        <f>MROUND(MID($C1478,9,3)/Basis!$E$3,0.5)</f>
        <v>27.5</v>
      </c>
      <c r="F1478" s="124" t="s">
        <v>2943</v>
      </c>
      <c r="G1478" s="45">
        <f>ROUND((MROUND($F1478,5)+3)/Basis!$E$3,1)</f>
        <v>5.0999999999999996</v>
      </c>
      <c r="H1478" s="120">
        <f>ROUND($P1478*Basis!$E$2*((TaH-TrH)/LN(1/µ)/Basis!$E$7)^$N1478*$AA$4*Glycol,0)</f>
        <v>756</v>
      </c>
      <c r="I1478" s="83">
        <f>ROUND(H1478/(MID($C1478,9,3)/Basis!$E$3/Basis!$E$9)*Basis!$E$11,0)</f>
        <v>329</v>
      </c>
      <c r="J1478" s="123">
        <f>IF(Basis!$E$1=1,ROUND(H1478/((TaH-TrH)*1.163)/3600,3),ROUND(H1478/(500*(TaH-TrH)),2))</f>
        <v>0.08</v>
      </c>
      <c r="K1478" s="84"/>
      <c r="L1478" s="177">
        <f>CHOOSE(Basis!$E$1,((AJ1478*(J1478*3600/Basis!$E$5)^AK1478*(((MID(C1478,9,3)*10)-144)/1000)*AL1478+AM1478*(J1478*3600/Basis!$E$5)^2)*0.0098)/Basis!$E$10,((AJ1478*(J1478/Basis!$E$5)^AK1478*(((MID(C1478,9,3)*10)-144)/1000)*AL1478+AM1478*(J1478/Basis!$E$5)^2)*0.0098)/Basis!$E$10)</f>
        <v>6.1723270665958035E-4</v>
      </c>
      <c r="M1478" s="85"/>
      <c r="N1478" s="109">
        <v>1.419</v>
      </c>
      <c r="O1478" s="68"/>
      <c r="P1478" s="67">
        <v>354</v>
      </c>
      <c r="Q1478" s="68"/>
      <c r="R1478" s="69"/>
      <c r="S1478" s="69"/>
      <c r="T1478" s="69"/>
      <c r="U1478" s="69"/>
      <c r="V1478" s="69"/>
      <c r="W1478" s="68"/>
      <c r="X1478" s="70"/>
      <c r="Y1478" s="70"/>
      <c r="Z1478" s="70"/>
      <c r="AA1478" s="70"/>
      <c r="AB1478" s="70"/>
      <c r="AC1478" s="68"/>
      <c r="AD1478" s="71"/>
      <c r="AE1478" s="71"/>
      <c r="AF1478" s="71"/>
      <c r="AG1478" s="71"/>
      <c r="AH1478" s="71"/>
      <c r="AI1478" s="68"/>
      <c r="AJ1478" s="214">
        <v>3.9689999999999994E-4</v>
      </c>
      <c r="AK1478" s="214">
        <v>1.7345999999999999</v>
      </c>
      <c r="AL1478" s="214">
        <v>2</v>
      </c>
      <c r="AM1478" s="214">
        <v>3.6734700000000002E-4</v>
      </c>
      <c r="AN1478" s="68"/>
      <c r="AO1478" s="67"/>
      <c r="AP1478" s="67"/>
      <c r="AQ1478" s="67"/>
      <c r="AR1478" s="67"/>
      <c r="AS1478" s="67"/>
      <c r="AT1478" s="68"/>
      <c r="AU1478" s="49"/>
      <c r="AV1478" s="50"/>
    </row>
    <row r="1479" spans="1:48" ht="12.75" customHeight="1" x14ac:dyDescent="0.25">
      <c r="A1479" s="72" t="s">
        <v>883</v>
      </c>
      <c r="B1479" s="43" t="s">
        <v>1580</v>
      </c>
      <c r="C1479" s="44" t="s">
        <v>1635</v>
      </c>
      <c r="D1479" s="45">
        <f>MROUND(MID($C1479,6,3)/Basis!$E$3,0.5)</f>
        <v>5</v>
      </c>
      <c r="E1479" s="45">
        <f>MROUND(MID($C1479,9,3)/Basis!$E$3,0.5)</f>
        <v>27.5</v>
      </c>
      <c r="F1479" s="124" t="s">
        <v>2944</v>
      </c>
      <c r="G1479" s="45">
        <f>ROUND((MROUND($F1479,5)+3)/Basis!$E$3,1)</f>
        <v>7.1</v>
      </c>
      <c r="H1479" s="120">
        <f>ROUND($P1479*Basis!$E$2*((TaH-TrH)/LN(1/µ)/Basis!$E$7)^$N1479*$AA$4*Glycol,0)</f>
        <v>1268</v>
      </c>
      <c r="I1479" s="83">
        <f>ROUND(H1479/(MID($C1479,9,3)/Basis!$E$3/Basis!$E$9)*Basis!$E$11,0)</f>
        <v>552</v>
      </c>
      <c r="J1479" s="123">
        <f>IF(Basis!$E$1=1,ROUND(H1479/((TaH-TrH)*1.163)/3600,3),ROUND(H1479/(500*(TaH-TrH)),2))</f>
        <v>0.13</v>
      </c>
      <c r="K1479" s="84"/>
      <c r="L1479" s="177">
        <f>CHOOSE(Basis!$E$1,((AJ1479*(J1479*3600/Basis!$E$5)^AK1479*(((MID(C1479,9,3)*10)-144)/1000)*AL1479+AM1479*(J1479*3600/Basis!$E$5)^2)*0.0098)/Basis!$E$10,((AJ1479*(J1479/Basis!$E$5)^AK1479*(((MID(C1479,9,3)*10)-144)/1000)*AL1479+AM1479*(J1479/Basis!$E$5)^2)*0.0098)/Basis!$E$10)</f>
        <v>1.575839607970655E-3</v>
      </c>
      <c r="M1479" s="85"/>
      <c r="N1479" s="109">
        <v>1.4159999999999999</v>
      </c>
      <c r="O1479" s="68"/>
      <c r="P1479" s="67">
        <v>593</v>
      </c>
      <c r="Q1479" s="68"/>
      <c r="R1479" s="69"/>
      <c r="S1479" s="69"/>
      <c r="T1479" s="69"/>
      <c r="U1479" s="69"/>
      <c r="V1479" s="69"/>
      <c r="W1479" s="68"/>
      <c r="X1479" s="70"/>
      <c r="Y1479" s="70"/>
      <c r="Z1479" s="70"/>
      <c r="AA1479" s="70"/>
      <c r="AB1479" s="70"/>
      <c r="AC1479" s="68"/>
      <c r="AD1479" s="71"/>
      <c r="AE1479" s="71"/>
      <c r="AF1479" s="71"/>
      <c r="AG1479" s="71"/>
      <c r="AH1479" s="71"/>
      <c r="AI1479" s="68"/>
      <c r="AJ1479" s="214">
        <v>2.0829999999999999E-4</v>
      </c>
      <c r="AK1479" s="214">
        <v>1.724</v>
      </c>
      <c r="AL1479" s="214">
        <v>2</v>
      </c>
      <c r="AM1479" s="214">
        <v>4.6182900000000003E-4</v>
      </c>
      <c r="AN1479" s="68"/>
      <c r="AO1479" s="67"/>
      <c r="AP1479" s="67"/>
      <c r="AQ1479" s="67"/>
      <c r="AR1479" s="67"/>
      <c r="AS1479" s="67"/>
      <c r="AT1479" s="68"/>
      <c r="AU1479" s="49"/>
      <c r="AV1479" s="50"/>
    </row>
    <row r="1480" spans="1:48" ht="12.75" customHeight="1" x14ac:dyDescent="0.25">
      <c r="A1480" s="72" t="s">
        <v>883</v>
      </c>
      <c r="B1480" s="43" t="s">
        <v>1580</v>
      </c>
      <c r="C1480" s="44" t="s">
        <v>1636</v>
      </c>
      <c r="D1480" s="45">
        <f>MROUND(MID($C1480,6,3)/Basis!$E$3,0.5)</f>
        <v>5</v>
      </c>
      <c r="E1480" s="45">
        <f>MROUND(MID($C1480,9,3)/Basis!$E$3,0.5)</f>
        <v>27.5</v>
      </c>
      <c r="F1480" s="124" t="s">
        <v>2945</v>
      </c>
      <c r="G1480" s="45">
        <f>ROUND((MROUND($F1480,5)+3)/Basis!$E$3,1)</f>
        <v>9.1</v>
      </c>
      <c r="H1480" s="120">
        <f>ROUND($P1480*Basis!$E$2*((TaH-TrH)/LN(1/µ)/Basis!$E$7)^$N1480*$AA$4*Glycol,0)</f>
        <v>1790</v>
      </c>
      <c r="I1480" s="83">
        <f>ROUND(H1480/(MID($C1480,9,3)/Basis!$E$3/Basis!$E$9)*Basis!$E$11,0)</f>
        <v>779</v>
      </c>
      <c r="J1480" s="123">
        <f>IF(Basis!$E$1=1,ROUND(H1480/((TaH-TrH)*1.163)/3600,3),ROUND(H1480/(500*(TaH-TrH)),2))</f>
        <v>0.18</v>
      </c>
      <c r="K1480" s="84"/>
      <c r="L1480" s="177">
        <f>CHOOSE(Basis!$E$1,((AJ1480*(J1480*3600/Basis!$E$5)^AK1480*(((MID(C1480,9,3)*10)-144)/1000)*AL1480+AM1480*(J1480*3600/Basis!$E$5)^2)*0.0098)/Basis!$E$10,((AJ1480*(J1480/Basis!$E$5)^AK1480*(((MID(C1480,9,3)*10)-144)/1000)*AL1480+AM1480*(J1480/Basis!$E$5)^2)*0.0098)/Basis!$E$10)</f>
        <v>2.3344404011890652E-3</v>
      </c>
      <c r="M1480" s="85"/>
      <c r="N1480" s="109">
        <v>1.4159999999999999</v>
      </c>
      <c r="O1480" s="68"/>
      <c r="P1480" s="67">
        <v>837</v>
      </c>
      <c r="Q1480" s="68"/>
      <c r="R1480" s="69"/>
      <c r="S1480" s="69"/>
      <c r="T1480" s="69"/>
      <c r="U1480" s="69"/>
      <c r="V1480" s="69"/>
      <c r="W1480" s="68"/>
      <c r="X1480" s="70"/>
      <c r="Y1480" s="70"/>
      <c r="Z1480" s="70"/>
      <c r="AA1480" s="70"/>
      <c r="AB1480" s="70"/>
      <c r="AC1480" s="68"/>
      <c r="AD1480" s="71"/>
      <c r="AE1480" s="71"/>
      <c r="AF1480" s="71"/>
      <c r="AG1480" s="71"/>
      <c r="AH1480" s="71"/>
      <c r="AI1480" s="68"/>
      <c r="AJ1480" s="214">
        <v>1.2760000000000001E-4</v>
      </c>
      <c r="AK1480" s="214">
        <v>1.7219</v>
      </c>
      <c r="AL1480" s="214">
        <v>2</v>
      </c>
      <c r="AM1480" s="214">
        <v>3.76611E-4</v>
      </c>
      <c r="AN1480" s="68"/>
      <c r="AO1480" s="67"/>
      <c r="AP1480" s="67"/>
      <c r="AQ1480" s="67"/>
      <c r="AR1480" s="67"/>
      <c r="AS1480" s="67"/>
      <c r="AT1480" s="68"/>
      <c r="AU1480" s="49"/>
      <c r="AV1480" s="50"/>
    </row>
    <row r="1481" spans="1:48" ht="12.75" customHeight="1" x14ac:dyDescent="0.25">
      <c r="A1481" s="72" t="s">
        <v>883</v>
      </c>
      <c r="B1481" s="43" t="s">
        <v>1580</v>
      </c>
      <c r="C1481" s="44" t="s">
        <v>1637</v>
      </c>
      <c r="D1481" s="45">
        <f>MROUND(MID($C1481,6,3)/Basis!$E$3,0.5)</f>
        <v>5</v>
      </c>
      <c r="E1481" s="45">
        <f>MROUND(MID($C1481,9,3)/Basis!$E$3,0.5)</f>
        <v>31.5</v>
      </c>
      <c r="F1481" s="124" t="s">
        <v>2954</v>
      </c>
      <c r="G1481" s="45">
        <f>ROUND((MROUND($F1481,5)+3)/Basis!$E$3,1)</f>
        <v>3.1</v>
      </c>
      <c r="H1481" s="120">
        <f>ROUND($P1481*Basis!$E$2*((TaH-TrH)/LN(1/µ)/Basis!$E$7)^$N1481*$AA$4*Glycol,0)</f>
        <v>563</v>
      </c>
      <c r="I1481" s="83">
        <f>ROUND(H1481/(MID($C1481,9,3)/Basis!$E$3/Basis!$E$9)*Basis!$E$11,0)</f>
        <v>215</v>
      </c>
      <c r="J1481" s="123">
        <f>IF(Basis!$E$1=1,ROUND(H1481/((TaH-TrH)*1.163)/3600,3),ROUND(H1481/(500*(TaH-TrH)),2))</f>
        <v>0.06</v>
      </c>
      <c r="K1481" s="84"/>
      <c r="L1481" s="177">
        <f>CHOOSE(Basis!$E$1,((AJ1481*(J1481*3600/Basis!$E$5)^AK1481*(((MID(C1481,9,3)*10)-144)/1000)*AL1481+AM1481*(J1481*3600/Basis!$E$5)^2)*0.0098)/Basis!$E$10,((AJ1481*(J1481/Basis!$E$5)^AK1481*(((MID(C1481,9,3)*10)-144)/1000)*AL1481+AM1481*(J1481/Basis!$E$5)^2)*0.0098)/Basis!$E$10)</f>
        <v>7.0156642816093654E-4</v>
      </c>
      <c r="M1481" s="85"/>
      <c r="N1481" s="109">
        <v>1.413</v>
      </c>
      <c r="O1481" s="68"/>
      <c r="P1481" s="67">
        <v>263</v>
      </c>
      <c r="Q1481" s="68"/>
      <c r="R1481" s="69"/>
      <c r="S1481" s="69"/>
      <c r="T1481" s="69"/>
      <c r="U1481" s="69"/>
      <c r="V1481" s="69"/>
      <c r="W1481" s="68"/>
      <c r="X1481" s="70"/>
      <c r="Y1481" s="70"/>
      <c r="Z1481" s="70"/>
      <c r="AA1481" s="70"/>
      <c r="AB1481" s="70"/>
      <c r="AC1481" s="68"/>
      <c r="AD1481" s="71"/>
      <c r="AE1481" s="71"/>
      <c r="AF1481" s="71"/>
      <c r="AG1481" s="71"/>
      <c r="AH1481" s="71"/>
      <c r="AI1481" s="68"/>
      <c r="AJ1481" s="214">
        <v>9.3669999999999995E-4</v>
      </c>
      <c r="AK1481" s="214">
        <v>1.789841</v>
      </c>
      <c r="AL1481" s="214">
        <v>2</v>
      </c>
      <c r="AM1481" s="214">
        <v>4.4559999999999999E-4</v>
      </c>
      <c r="AN1481" s="68"/>
      <c r="AO1481" s="67"/>
      <c r="AP1481" s="67"/>
      <c r="AQ1481" s="67"/>
      <c r="AR1481" s="67"/>
      <c r="AS1481" s="67"/>
      <c r="AT1481" s="68"/>
      <c r="AU1481" s="49"/>
      <c r="AV1481" s="50"/>
    </row>
    <row r="1482" spans="1:48" ht="12.75" customHeight="1" x14ac:dyDescent="0.25">
      <c r="A1482" s="72" t="s">
        <v>883</v>
      </c>
      <c r="B1482" s="43" t="s">
        <v>1580</v>
      </c>
      <c r="C1482" s="44" t="s">
        <v>1638</v>
      </c>
      <c r="D1482" s="45">
        <f>MROUND(MID($C1482,6,3)/Basis!$E$3,0.5)</f>
        <v>5</v>
      </c>
      <c r="E1482" s="45">
        <f>MROUND(MID($C1482,9,3)/Basis!$E$3,0.5)</f>
        <v>31.5</v>
      </c>
      <c r="F1482" s="124" t="s">
        <v>2943</v>
      </c>
      <c r="G1482" s="45">
        <f>ROUND((MROUND($F1482,5)+3)/Basis!$E$3,1)</f>
        <v>5.0999999999999996</v>
      </c>
      <c r="H1482" s="120">
        <f>ROUND($P1482*Basis!$E$2*((TaH-TrH)/LN(1/µ)/Basis!$E$7)^$N1482*$AA$4*Glycol,0)</f>
        <v>863</v>
      </c>
      <c r="I1482" s="83">
        <f>ROUND(H1482/(MID($C1482,9,3)/Basis!$E$3/Basis!$E$9)*Basis!$E$11,0)</f>
        <v>329</v>
      </c>
      <c r="J1482" s="123">
        <f>IF(Basis!$E$1=1,ROUND(H1482/((TaH-TrH)*1.163)/3600,3),ROUND(H1482/(500*(TaH-TrH)),2))</f>
        <v>0.09</v>
      </c>
      <c r="K1482" s="84"/>
      <c r="L1482" s="177">
        <f>CHOOSE(Basis!$E$1,((AJ1482*(J1482*3600/Basis!$E$5)^AK1482*(((MID(C1482,9,3)*10)-144)/1000)*AL1482+AM1482*(J1482*3600/Basis!$E$5)^2)*0.0098)/Basis!$E$10,((AJ1482*(J1482/Basis!$E$5)^AK1482*(((MID(C1482,9,3)*10)-144)/1000)*AL1482+AM1482*(J1482/Basis!$E$5)^2)*0.0098)/Basis!$E$10)</f>
        <v>8.2127800329297922E-4</v>
      </c>
      <c r="M1482" s="85"/>
      <c r="N1482" s="109">
        <v>1.419</v>
      </c>
      <c r="O1482" s="68"/>
      <c r="P1482" s="67">
        <v>404</v>
      </c>
      <c r="Q1482" s="68"/>
      <c r="R1482" s="69"/>
      <c r="S1482" s="69"/>
      <c r="T1482" s="69"/>
      <c r="U1482" s="69"/>
      <c r="V1482" s="69"/>
      <c r="W1482" s="68"/>
      <c r="X1482" s="70"/>
      <c r="Y1482" s="70"/>
      <c r="Z1482" s="70"/>
      <c r="AA1482" s="70"/>
      <c r="AB1482" s="70"/>
      <c r="AC1482" s="68"/>
      <c r="AD1482" s="71"/>
      <c r="AE1482" s="71"/>
      <c r="AF1482" s="71"/>
      <c r="AG1482" s="71"/>
      <c r="AH1482" s="71"/>
      <c r="AI1482" s="68"/>
      <c r="AJ1482" s="214">
        <v>3.9689999999999994E-4</v>
      </c>
      <c r="AK1482" s="214">
        <v>1.7345999999999999</v>
      </c>
      <c r="AL1482" s="214">
        <v>2</v>
      </c>
      <c r="AM1482" s="214">
        <v>3.6734700000000002E-4</v>
      </c>
      <c r="AN1482" s="68"/>
      <c r="AO1482" s="67"/>
      <c r="AP1482" s="67"/>
      <c r="AQ1482" s="67"/>
      <c r="AR1482" s="67"/>
      <c r="AS1482" s="67"/>
      <c r="AT1482" s="68"/>
      <c r="AU1482" s="49"/>
      <c r="AV1482" s="50"/>
    </row>
    <row r="1483" spans="1:48" ht="12.75" customHeight="1" x14ac:dyDescent="0.25">
      <c r="A1483" s="72" t="s">
        <v>883</v>
      </c>
      <c r="B1483" s="43" t="s">
        <v>1580</v>
      </c>
      <c r="C1483" s="44" t="s">
        <v>1639</v>
      </c>
      <c r="D1483" s="45">
        <f>MROUND(MID($C1483,6,3)/Basis!$E$3,0.5)</f>
        <v>5</v>
      </c>
      <c r="E1483" s="45">
        <f>MROUND(MID($C1483,9,3)/Basis!$E$3,0.5)</f>
        <v>31.5</v>
      </c>
      <c r="F1483" s="124" t="s">
        <v>2944</v>
      </c>
      <c r="G1483" s="45">
        <f>ROUND((MROUND($F1483,5)+3)/Basis!$E$3,1)</f>
        <v>7.1</v>
      </c>
      <c r="H1483" s="120">
        <f>ROUND($P1483*Basis!$E$2*((TaH-TrH)/LN(1/µ)/Basis!$E$7)^$N1483*$AA$4*Glycol,0)</f>
        <v>1450</v>
      </c>
      <c r="I1483" s="83">
        <f>ROUND(H1483/(MID($C1483,9,3)/Basis!$E$3/Basis!$E$9)*Basis!$E$11,0)</f>
        <v>552</v>
      </c>
      <c r="J1483" s="123">
        <f>IF(Basis!$E$1=1,ROUND(H1483/((TaH-TrH)*1.163)/3600,3),ROUND(H1483/(500*(TaH-TrH)),2))</f>
        <v>0.15</v>
      </c>
      <c r="K1483" s="84"/>
      <c r="L1483" s="177">
        <f>CHOOSE(Basis!$E$1,((AJ1483*(J1483*3600/Basis!$E$5)^AK1483*(((MID(C1483,9,3)*10)-144)/1000)*AL1483+AM1483*(J1483*3600/Basis!$E$5)^2)*0.0098)/Basis!$E$10,((AJ1483*(J1483/Basis!$E$5)^AK1483*(((MID(C1483,9,3)*10)-144)/1000)*AL1483+AM1483*(J1483/Basis!$E$5)^2)*0.0098)/Basis!$E$10)</f>
        <v>2.1443431909572812E-3</v>
      </c>
      <c r="M1483" s="85"/>
      <c r="N1483" s="109">
        <v>1.4159999999999999</v>
      </c>
      <c r="O1483" s="68"/>
      <c r="P1483" s="67">
        <v>678</v>
      </c>
      <c r="Q1483" s="68"/>
      <c r="R1483" s="69"/>
      <c r="S1483" s="69"/>
      <c r="T1483" s="69"/>
      <c r="U1483" s="69"/>
      <c r="V1483" s="69"/>
      <c r="W1483" s="68"/>
      <c r="X1483" s="70"/>
      <c r="Y1483" s="70"/>
      <c r="Z1483" s="70"/>
      <c r="AA1483" s="70"/>
      <c r="AB1483" s="70"/>
      <c r="AC1483" s="68"/>
      <c r="AD1483" s="71"/>
      <c r="AE1483" s="71"/>
      <c r="AF1483" s="71"/>
      <c r="AG1483" s="71"/>
      <c r="AH1483" s="71"/>
      <c r="AI1483" s="68"/>
      <c r="AJ1483" s="214">
        <v>2.0829999999999999E-4</v>
      </c>
      <c r="AK1483" s="214">
        <v>1.724</v>
      </c>
      <c r="AL1483" s="214">
        <v>2</v>
      </c>
      <c r="AM1483" s="214">
        <v>4.6182900000000003E-4</v>
      </c>
      <c r="AN1483" s="68"/>
      <c r="AO1483" s="67"/>
      <c r="AP1483" s="67"/>
      <c r="AQ1483" s="67"/>
      <c r="AR1483" s="67"/>
      <c r="AS1483" s="67"/>
      <c r="AT1483" s="68"/>
      <c r="AU1483" s="49"/>
      <c r="AV1483" s="50"/>
    </row>
    <row r="1484" spans="1:48" ht="12.75" customHeight="1" x14ac:dyDescent="0.25">
      <c r="A1484" s="72" t="s">
        <v>883</v>
      </c>
      <c r="B1484" s="43" t="s">
        <v>1580</v>
      </c>
      <c r="C1484" s="44" t="s">
        <v>1640</v>
      </c>
      <c r="D1484" s="45">
        <f>MROUND(MID($C1484,6,3)/Basis!$E$3,0.5)</f>
        <v>5</v>
      </c>
      <c r="E1484" s="45">
        <f>MROUND(MID($C1484,9,3)/Basis!$E$3,0.5)</f>
        <v>31.5</v>
      </c>
      <c r="F1484" s="124" t="s">
        <v>2945</v>
      </c>
      <c r="G1484" s="45">
        <f>ROUND((MROUND($F1484,5)+3)/Basis!$E$3,1)</f>
        <v>9.1</v>
      </c>
      <c r="H1484" s="120">
        <f>ROUND($P1484*Basis!$E$2*((TaH-TrH)/LN(1/µ)/Basis!$E$7)^$N1484*$AA$4*Glycol,0)</f>
        <v>2044</v>
      </c>
      <c r="I1484" s="83">
        <f>ROUND(H1484/(MID($C1484,9,3)/Basis!$E$3/Basis!$E$9)*Basis!$E$11,0)</f>
        <v>779</v>
      </c>
      <c r="J1484" s="123">
        <f>IF(Basis!$E$1=1,ROUND(H1484/((TaH-TrH)*1.163)/3600,3),ROUND(H1484/(500*(TaH-TrH)),2))</f>
        <v>0.2</v>
      </c>
      <c r="K1484" s="84"/>
      <c r="L1484" s="177">
        <f>CHOOSE(Basis!$E$1,((AJ1484*(J1484*3600/Basis!$E$5)^AK1484*(((MID(C1484,9,3)*10)-144)/1000)*AL1484+AM1484*(J1484*3600/Basis!$E$5)^2)*0.0098)/Basis!$E$10,((AJ1484*(J1484/Basis!$E$5)^AK1484*(((MID(C1484,9,3)*10)-144)/1000)*AL1484+AM1484*(J1484/Basis!$E$5)^2)*0.0098)/Basis!$E$10)</f>
        <v>2.931753923640239E-3</v>
      </c>
      <c r="M1484" s="85"/>
      <c r="N1484" s="109">
        <v>1.4159999999999999</v>
      </c>
      <c r="O1484" s="68"/>
      <c r="P1484" s="67">
        <v>956</v>
      </c>
      <c r="Q1484" s="68"/>
      <c r="R1484" s="69"/>
      <c r="S1484" s="69"/>
      <c r="T1484" s="69"/>
      <c r="U1484" s="69"/>
      <c r="V1484" s="69"/>
      <c r="W1484" s="68"/>
      <c r="X1484" s="70"/>
      <c r="Y1484" s="70"/>
      <c r="Z1484" s="70"/>
      <c r="AA1484" s="70"/>
      <c r="AB1484" s="70"/>
      <c r="AC1484" s="68"/>
      <c r="AD1484" s="71"/>
      <c r="AE1484" s="71"/>
      <c r="AF1484" s="71"/>
      <c r="AG1484" s="71"/>
      <c r="AH1484" s="71"/>
      <c r="AI1484" s="68"/>
      <c r="AJ1484" s="214">
        <v>1.2760000000000001E-4</v>
      </c>
      <c r="AK1484" s="214">
        <v>1.7219</v>
      </c>
      <c r="AL1484" s="214">
        <v>2</v>
      </c>
      <c r="AM1484" s="214">
        <v>3.76611E-4</v>
      </c>
      <c r="AN1484" s="68"/>
      <c r="AO1484" s="67"/>
      <c r="AP1484" s="67"/>
      <c r="AQ1484" s="67"/>
      <c r="AR1484" s="67"/>
      <c r="AS1484" s="67"/>
      <c r="AT1484" s="68"/>
      <c r="AU1484" s="49"/>
      <c r="AV1484" s="50"/>
    </row>
    <row r="1485" spans="1:48" ht="12.75" customHeight="1" x14ac:dyDescent="0.25">
      <c r="A1485" s="72" t="s">
        <v>883</v>
      </c>
      <c r="B1485" s="43" t="s">
        <v>1580</v>
      </c>
      <c r="C1485" s="44" t="s">
        <v>1641</v>
      </c>
      <c r="D1485" s="45">
        <f>MROUND(MID($C1485,6,3)/Basis!$E$3,0.5)</f>
        <v>5</v>
      </c>
      <c r="E1485" s="45">
        <f>MROUND(MID($C1485,9,3)/Basis!$E$3,0.5)</f>
        <v>35.5</v>
      </c>
      <c r="F1485" s="124" t="s">
        <v>2954</v>
      </c>
      <c r="G1485" s="45">
        <f>ROUND((MROUND($F1485,5)+3)/Basis!$E$3,1)</f>
        <v>3.1</v>
      </c>
      <c r="H1485" s="120">
        <f>ROUND($P1485*Basis!$E$2*((TaH-TrH)/LN(1/µ)/Basis!$E$7)^$N1485*$AA$4*Glycol,0)</f>
        <v>634</v>
      </c>
      <c r="I1485" s="83">
        <f>ROUND(H1485/(MID($C1485,9,3)/Basis!$E$3/Basis!$E$9)*Basis!$E$11,0)</f>
        <v>215</v>
      </c>
      <c r="J1485" s="123">
        <f>IF(Basis!$E$1=1,ROUND(H1485/((TaH-TrH)*1.163)/3600,3),ROUND(H1485/(500*(TaH-TrH)),2))</f>
        <v>0.06</v>
      </c>
      <c r="K1485" s="84"/>
      <c r="L1485" s="177">
        <f>CHOOSE(Basis!$E$1,((AJ1485*(J1485*3600/Basis!$E$5)^AK1485*(((MID(C1485,9,3)*10)-144)/1000)*AL1485+AM1485*(J1485*3600/Basis!$E$5)^2)*0.0098)/Basis!$E$10,((AJ1485*(J1485/Basis!$E$5)^AK1485*(((MID(C1485,9,3)*10)-144)/1000)*AL1485+AM1485*(J1485/Basis!$E$5)^2)*0.0098)/Basis!$E$10)</f>
        <v>7.672665334606582E-4</v>
      </c>
      <c r="M1485" s="85"/>
      <c r="N1485" s="109">
        <v>1.413</v>
      </c>
      <c r="O1485" s="68"/>
      <c r="P1485" s="67">
        <v>296</v>
      </c>
      <c r="Q1485" s="68"/>
      <c r="R1485" s="69"/>
      <c r="S1485" s="69"/>
      <c r="T1485" s="69"/>
      <c r="U1485" s="69"/>
      <c r="V1485" s="69"/>
      <c r="W1485" s="68"/>
      <c r="X1485" s="70"/>
      <c r="Y1485" s="70"/>
      <c r="Z1485" s="70"/>
      <c r="AA1485" s="70"/>
      <c r="AB1485" s="70"/>
      <c r="AC1485" s="68"/>
      <c r="AD1485" s="71"/>
      <c r="AE1485" s="71"/>
      <c r="AF1485" s="71"/>
      <c r="AG1485" s="71"/>
      <c r="AH1485" s="71"/>
      <c r="AI1485" s="68"/>
      <c r="AJ1485" s="214">
        <v>9.3669999999999995E-4</v>
      </c>
      <c r="AK1485" s="214">
        <v>1.789841</v>
      </c>
      <c r="AL1485" s="214">
        <v>2</v>
      </c>
      <c r="AM1485" s="214">
        <v>4.4559999999999999E-4</v>
      </c>
      <c r="AN1485" s="68"/>
      <c r="AO1485" s="67"/>
      <c r="AP1485" s="67"/>
      <c r="AQ1485" s="67"/>
      <c r="AR1485" s="67"/>
      <c r="AS1485" s="67"/>
      <c r="AT1485" s="68"/>
      <c r="AU1485" s="49"/>
      <c r="AV1485" s="50"/>
    </row>
    <row r="1486" spans="1:48" ht="12.75" customHeight="1" x14ac:dyDescent="0.25">
      <c r="A1486" s="72" t="s">
        <v>883</v>
      </c>
      <c r="B1486" s="43" t="s">
        <v>1580</v>
      </c>
      <c r="C1486" s="44" t="s">
        <v>1642</v>
      </c>
      <c r="D1486" s="45">
        <f>MROUND(MID($C1486,6,3)/Basis!$E$3,0.5)</f>
        <v>5</v>
      </c>
      <c r="E1486" s="45">
        <f>MROUND(MID($C1486,9,3)/Basis!$E$3,0.5)</f>
        <v>35.5</v>
      </c>
      <c r="F1486" s="124" t="s">
        <v>2943</v>
      </c>
      <c r="G1486" s="45">
        <f>ROUND((MROUND($F1486,5)+3)/Basis!$E$3,1)</f>
        <v>5.0999999999999996</v>
      </c>
      <c r="H1486" s="120">
        <f>ROUND($P1486*Basis!$E$2*((TaH-TrH)/LN(1/µ)/Basis!$E$7)^$N1486*$AA$4*Glycol,0)</f>
        <v>972</v>
      </c>
      <c r="I1486" s="83">
        <f>ROUND(H1486/(MID($C1486,9,3)/Basis!$E$3/Basis!$E$9)*Basis!$E$11,0)</f>
        <v>329</v>
      </c>
      <c r="J1486" s="123">
        <f>IF(Basis!$E$1=1,ROUND(H1486/((TaH-TrH)*1.163)/3600,3),ROUND(H1486/(500*(TaH-TrH)),2))</f>
        <v>0.1</v>
      </c>
      <c r="K1486" s="84"/>
      <c r="L1486" s="177">
        <f>CHOOSE(Basis!$E$1,((AJ1486*(J1486*3600/Basis!$E$5)^AK1486*(((MID(C1486,9,3)*10)-144)/1000)*AL1486+AM1486*(J1486*3600/Basis!$E$5)^2)*0.0098)/Basis!$E$10,((AJ1486*(J1486/Basis!$E$5)^AK1486*(((MID(C1486,9,3)*10)-144)/1000)*AL1486+AM1486*(J1486/Basis!$E$5)^2)*0.0098)/Basis!$E$10)</f>
        <v>1.0615020534281566E-3</v>
      </c>
      <c r="M1486" s="85"/>
      <c r="N1486" s="109">
        <v>1.419</v>
      </c>
      <c r="O1486" s="68"/>
      <c r="P1486" s="67">
        <v>455</v>
      </c>
      <c r="Q1486" s="68"/>
      <c r="R1486" s="69"/>
      <c r="S1486" s="69"/>
      <c r="T1486" s="69"/>
      <c r="U1486" s="69"/>
      <c r="V1486" s="69"/>
      <c r="W1486" s="68"/>
      <c r="X1486" s="70"/>
      <c r="Y1486" s="70"/>
      <c r="Z1486" s="70"/>
      <c r="AA1486" s="70"/>
      <c r="AB1486" s="70"/>
      <c r="AC1486" s="68"/>
      <c r="AD1486" s="71"/>
      <c r="AE1486" s="71"/>
      <c r="AF1486" s="71"/>
      <c r="AG1486" s="71"/>
      <c r="AH1486" s="71"/>
      <c r="AI1486" s="68"/>
      <c r="AJ1486" s="214">
        <v>3.9689999999999994E-4</v>
      </c>
      <c r="AK1486" s="214">
        <v>1.7345999999999999</v>
      </c>
      <c r="AL1486" s="214">
        <v>2</v>
      </c>
      <c r="AM1486" s="214">
        <v>3.6734700000000002E-4</v>
      </c>
      <c r="AN1486" s="68"/>
      <c r="AO1486" s="67"/>
      <c r="AP1486" s="67"/>
      <c r="AQ1486" s="67"/>
      <c r="AR1486" s="67"/>
      <c r="AS1486" s="67"/>
      <c r="AT1486" s="68"/>
      <c r="AU1486" s="49"/>
      <c r="AV1486" s="50"/>
    </row>
    <row r="1487" spans="1:48" ht="12.75" customHeight="1" x14ac:dyDescent="0.25">
      <c r="A1487" s="72" t="s">
        <v>883</v>
      </c>
      <c r="B1487" s="43" t="s">
        <v>1580</v>
      </c>
      <c r="C1487" s="44" t="s">
        <v>1643</v>
      </c>
      <c r="D1487" s="45">
        <f>MROUND(MID($C1487,6,3)/Basis!$E$3,0.5)</f>
        <v>5</v>
      </c>
      <c r="E1487" s="45">
        <f>MROUND(MID($C1487,9,3)/Basis!$E$3,0.5)</f>
        <v>35.5</v>
      </c>
      <c r="F1487" s="124" t="s">
        <v>2944</v>
      </c>
      <c r="G1487" s="45">
        <f>ROUND((MROUND($F1487,5)+3)/Basis!$E$3,1)</f>
        <v>7.1</v>
      </c>
      <c r="H1487" s="120">
        <f>ROUND($P1487*Basis!$E$2*((TaH-TrH)/LN(1/µ)/Basis!$E$7)^$N1487*$AA$4*Glycol,0)</f>
        <v>1629</v>
      </c>
      <c r="I1487" s="83">
        <f>ROUND(H1487/(MID($C1487,9,3)/Basis!$E$3/Basis!$E$9)*Basis!$E$11,0)</f>
        <v>552</v>
      </c>
      <c r="J1487" s="123">
        <f>IF(Basis!$E$1=1,ROUND(H1487/((TaH-TrH)*1.163)/3600,3),ROUND(H1487/(500*(TaH-TrH)),2))</f>
        <v>0.16</v>
      </c>
      <c r="K1487" s="84"/>
      <c r="L1487" s="177">
        <f>CHOOSE(Basis!$E$1,((AJ1487*(J1487*3600/Basis!$E$5)^AK1487*(((MID(C1487,9,3)*10)-144)/1000)*AL1487+AM1487*(J1487*3600/Basis!$E$5)^2)*0.0098)/Basis!$E$10,((AJ1487*(J1487/Basis!$E$5)^AK1487*(((MID(C1487,9,3)*10)-144)/1000)*AL1487+AM1487*(J1487/Basis!$E$5)^2)*0.0098)/Basis!$E$10)</f>
        <v>2.498650552956136E-3</v>
      </c>
      <c r="M1487" s="85"/>
      <c r="N1487" s="109">
        <v>1.4159999999999999</v>
      </c>
      <c r="O1487" s="68"/>
      <c r="P1487" s="67">
        <v>762</v>
      </c>
      <c r="Q1487" s="68"/>
      <c r="R1487" s="69"/>
      <c r="S1487" s="69"/>
      <c r="T1487" s="69"/>
      <c r="U1487" s="69"/>
      <c r="V1487" s="69"/>
      <c r="W1487" s="68"/>
      <c r="X1487" s="70"/>
      <c r="Y1487" s="70"/>
      <c r="Z1487" s="70"/>
      <c r="AA1487" s="70"/>
      <c r="AB1487" s="70"/>
      <c r="AC1487" s="68"/>
      <c r="AD1487" s="71"/>
      <c r="AE1487" s="71"/>
      <c r="AF1487" s="71"/>
      <c r="AG1487" s="71"/>
      <c r="AH1487" s="71"/>
      <c r="AI1487" s="68"/>
      <c r="AJ1487" s="214">
        <v>2.0829999999999999E-4</v>
      </c>
      <c r="AK1487" s="214">
        <v>1.724</v>
      </c>
      <c r="AL1487" s="214">
        <v>2</v>
      </c>
      <c r="AM1487" s="214">
        <v>4.6182900000000003E-4</v>
      </c>
      <c r="AN1487" s="68"/>
      <c r="AO1487" s="67"/>
      <c r="AP1487" s="67"/>
      <c r="AQ1487" s="67"/>
      <c r="AR1487" s="67"/>
      <c r="AS1487" s="67"/>
      <c r="AT1487" s="68"/>
      <c r="AU1487" s="49"/>
      <c r="AV1487" s="50"/>
    </row>
    <row r="1488" spans="1:48" ht="12.75" customHeight="1" x14ac:dyDescent="0.25">
      <c r="A1488" s="72" t="s">
        <v>883</v>
      </c>
      <c r="B1488" s="43" t="s">
        <v>1580</v>
      </c>
      <c r="C1488" s="44" t="s">
        <v>1644</v>
      </c>
      <c r="D1488" s="45">
        <f>MROUND(MID($C1488,6,3)/Basis!$E$3,0.5)</f>
        <v>5</v>
      </c>
      <c r="E1488" s="45">
        <f>MROUND(MID($C1488,9,3)/Basis!$E$3,0.5)</f>
        <v>35.5</v>
      </c>
      <c r="F1488" s="124" t="s">
        <v>2945</v>
      </c>
      <c r="G1488" s="45">
        <f>ROUND((MROUND($F1488,5)+3)/Basis!$E$3,1)</f>
        <v>9.1</v>
      </c>
      <c r="H1488" s="120">
        <f>ROUND($P1488*Basis!$E$2*((TaH-TrH)/LN(1/µ)/Basis!$E$7)^$N1488*$AA$4*Glycol,0)</f>
        <v>2301</v>
      </c>
      <c r="I1488" s="83">
        <f>ROUND(H1488/(MID($C1488,9,3)/Basis!$E$3/Basis!$E$9)*Basis!$E$11,0)</f>
        <v>779</v>
      </c>
      <c r="J1488" s="123">
        <f>IF(Basis!$E$1=1,ROUND(H1488/((TaH-TrH)*1.163)/3600,3),ROUND(H1488/(500*(TaH-TrH)),2))</f>
        <v>0.23</v>
      </c>
      <c r="K1488" s="84"/>
      <c r="L1488" s="177">
        <f>CHOOSE(Basis!$E$1,((AJ1488*(J1488*3600/Basis!$E$5)^AK1488*(((MID(C1488,9,3)*10)-144)/1000)*AL1488+AM1488*(J1488*3600/Basis!$E$5)^2)*0.0098)/Basis!$E$10,((AJ1488*(J1488/Basis!$E$5)^AK1488*(((MID(C1488,9,3)*10)-144)/1000)*AL1488+AM1488*(J1488/Basis!$E$5)^2)*0.0098)/Basis!$E$10)</f>
        <v>3.9333287358485243E-3</v>
      </c>
      <c r="M1488" s="85"/>
      <c r="N1488" s="109">
        <v>1.4159999999999999</v>
      </c>
      <c r="O1488" s="68"/>
      <c r="P1488" s="67">
        <v>1076</v>
      </c>
      <c r="Q1488" s="68"/>
      <c r="R1488" s="69"/>
      <c r="S1488" s="69"/>
      <c r="T1488" s="69"/>
      <c r="U1488" s="69"/>
      <c r="V1488" s="69"/>
      <c r="W1488" s="68"/>
      <c r="X1488" s="70"/>
      <c r="Y1488" s="70"/>
      <c r="Z1488" s="70"/>
      <c r="AA1488" s="70"/>
      <c r="AB1488" s="70"/>
      <c r="AC1488" s="68"/>
      <c r="AD1488" s="71"/>
      <c r="AE1488" s="71"/>
      <c r="AF1488" s="71"/>
      <c r="AG1488" s="71"/>
      <c r="AH1488" s="71"/>
      <c r="AI1488" s="68"/>
      <c r="AJ1488" s="214">
        <v>1.2760000000000001E-4</v>
      </c>
      <c r="AK1488" s="214">
        <v>1.7219</v>
      </c>
      <c r="AL1488" s="214">
        <v>2</v>
      </c>
      <c r="AM1488" s="214">
        <v>3.76611E-4</v>
      </c>
      <c r="AN1488" s="68"/>
      <c r="AO1488" s="67"/>
      <c r="AP1488" s="67"/>
      <c r="AQ1488" s="67"/>
      <c r="AR1488" s="67"/>
      <c r="AS1488" s="67"/>
      <c r="AT1488" s="68"/>
      <c r="AU1488" s="49"/>
      <c r="AV1488" s="50"/>
    </row>
    <row r="1489" spans="1:48" ht="12.75" customHeight="1" x14ac:dyDescent="0.25">
      <c r="A1489" s="72" t="s">
        <v>883</v>
      </c>
      <c r="B1489" s="43" t="s">
        <v>1580</v>
      </c>
      <c r="C1489" s="44" t="s">
        <v>1645</v>
      </c>
      <c r="D1489" s="45">
        <f>MROUND(MID($C1489,6,3)/Basis!$E$3,0.5)</f>
        <v>5</v>
      </c>
      <c r="E1489" s="45">
        <f>MROUND(MID($C1489,9,3)/Basis!$E$3,0.5)</f>
        <v>39.5</v>
      </c>
      <c r="F1489" s="124" t="s">
        <v>2954</v>
      </c>
      <c r="G1489" s="45">
        <f>ROUND((MROUND($F1489,5)+3)/Basis!$E$3,1)</f>
        <v>3.1</v>
      </c>
      <c r="H1489" s="120">
        <f>ROUND($P1489*Basis!$E$2*((TaH-TrH)/LN(1/µ)/Basis!$E$7)^$N1489*$AA$4*Glycol,0)</f>
        <v>704</v>
      </c>
      <c r="I1489" s="83">
        <f>ROUND(H1489/(MID($C1489,9,3)/Basis!$E$3/Basis!$E$9)*Basis!$E$11,0)</f>
        <v>215</v>
      </c>
      <c r="J1489" s="123">
        <f>IF(Basis!$E$1=1,ROUND(H1489/((TaH-TrH)*1.163)/3600,3),ROUND(H1489/(500*(TaH-TrH)),2))</f>
        <v>7.0000000000000007E-2</v>
      </c>
      <c r="K1489" s="84"/>
      <c r="L1489" s="177">
        <f>CHOOSE(Basis!$E$1,((AJ1489*(J1489*3600/Basis!$E$5)^AK1489*(((MID(C1489,9,3)*10)-144)/1000)*AL1489+AM1489*(J1489*3600/Basis!$E$5)^2)*0.0098)/Basis!$E$10,((AJ1489*(J1489/Basis!$E$5)^AK1489*(((MID(C1489,9,3)*10)-144)/1000)*AL1489+AM1489*(J1489/Basis!$E$5)^2)*0.0098)/Basis!$E$10)</f>
        <v>1.1093589517622944E-3</v>
      </c>
      <c r="M1489" s="85"/>
      <c r="N1489" s="109">
        <v>1.413</v>
      </c>
      <c r="O1489" s="68"/>
      <c r="P1489" s="67">
        <v>329</v>
      </c>
      <c r="Q1489" s="68"/>
      <c r="R1489" s="69"/>
      <c r="S1489" s="69"/>
      <c r="T1489" s="69"/>
      <c r="U1489" s="69"/>
      <c r="V1489" s="69"/>
      <c r="W1489" s="68"/>
      <c r="X1489" s="70"/>
      <c r="Y1489" s="70"/>
      <c r="Z1489" s="70"/>
      <c r="AA1489" s="70"/>
      <c r="AB1489" s="70"/>
      <c r="AC1489" s="68"/>
      <c r="AD1489" s="71"/>
      <c r="AE1489" s="71"/>
      <c r="AF1489" s="71"/>
      <c r="AG1489" s="71"/>
      <c r="AH1489" s="71"/>
      <c r="AI1489" s="68"/>
      <c r="AJ1489" s="214">
        <v>9.3669999999999995E-4</v>
      </c>
      <c r="AK1489" s="214">
        <v>1.789841</v>
      </c>
      <c r="AL1489" s="214">
        <v>2</v>
      </c>
      <c r="AM1489" s="214">
        <v>4.4559999999999999E-4</v>
      </c>
      <c r="AN1489" s="68"/>
      <c r="AO1489" s="67"/>
      <c r="AP1489" s="67"/>
      <c r="AQ1489" s="67"/>
      <c r="AR1489" s="67"/>
      <c r="AS1489" s="67"/>
      <c r="AT1489" s="68"/>
      <c r="AU1489" s="49"/>
      <c r="AV1489" s="50"/>
    </row>
    <row r="1490" spans="1:48" ht="12.75" customHeight="1" x14ac:dyDescent="0.25">
      <c r="A1490" s="72" t="s">
        <v>883</v>
      </c>
      <c r="B1490" s="43" t="s">
        <v>1580</v>
      </c>
      <c r="C1490" s="44" t="s">
        <v>1646</v>
      </c>
      <c r="D1490" s="45">
        <f>MROUND(MID($C1490,6,3)/Basis!$E$3,0.5)</f>
        <v>5</v>
      </c>
      <c r="E1490" s="45">
        <f>MROUND(MID($C1490,9,3)/Basis!$E$3,0.5)</f>
        <v>39.5</v>
      </c>
      <c r="F1490" s="124" t="s">
        <v>2943</v>
      </c>
      <c r="G1490" s="45">
        <f>ROUND((MROUND($F1490,5)+3)/Basis!$E$3,1)</f>
        <v>5.0999999999999996</v>
      </c>
      <c r="H1490" s="120">
        <f>ROUND($P1490*Basis!$E$2*((TaH-TrH)/LN(1/µ)/Basis!$E$7)^$N1490*$AA$4*Glycol,0)</f>
        <v>1079</v>
      </c>
      <c r="I1490" s="83">
        <f>ROUND(H1490/(MID($C1490,9,3)/Basis!$E$3/Basis!$E$9)*Basis!$E$11,0)</f>
        <v>329</v>
      </c>
      <c r="J1490" s="123">
        <f>IF(Basis!$E$1=1,ROUND(H1490/((TaH-TrH)*1.163)/3600,3),ROUND(H1490/(500*(TaH-TrH)),2))</f>
        <v>0.11</v>
      </c>
      <c r="K1490" s="84"/>
      <c r="L1490" s="177">
        <f>CHOOSE(Basis!$E$1,((AJ1490*(J1490*3600/Basis!$E$5)^AK1490*(((MID(C1490,9,3)*10)-144)/1000)*AL1490+AM1490*(J1490*3600/Basis!$E$5)^2)*0.0098)/Basis!$E$10,((AJ1490*(J1490/Basis!$E$5)^AK1490*(((MID(C1490,9,3)*10)-144)/1000)*AL1490+AM1490*(J1490/Basis!$E$5)^2)*0.0098)/Basis!$E$10)</f>
        <v>1.3400221912258218E-3</v>
      </c>
      <c r="M1490" s="85"/>
      <c r="N1490" s="109">
        <v>1.419</v>
      </c>
      <c r="O1490" s="68"/>
      <c r="P1490" s="67">
        <v>505</v>
      </c>
      <c r="Q1490" s="68"/>
      <c r="R1490" s="69"/>
      <c r="S1490" s="69"/>
      <c r="T1490" s="69"/>
      <c r="U1490" s="69"/>
      <c r="V1490" s="69"/>
      <c r="W1490" s="68"/>
      <c r="X1490" s="70"/>
      <c r="Y1490" s="70"/>
      <c r="Z1490" s="70"/>
      <c r="AA1490" s="70"/>
      <c r="AB1490" s="70"/>
      <c r="AC1490" s="68"/>
      <c r="AD1490" s="71"/>
      <c r="AE1490" s="71"/>
      <c r="AF1490" s="71"/>
      <c r="AG1490" s="71"/>
      <c r="AH1490" s="71"/>
      <c r="AI1490" s="68"/>
      <c r="AJ1490" s="214">
        <v>3.9689999999999994E-4</v>
      </c>
      <c r="AK1490" s="214">
        <v>1.7345999999999999</v>
      </c>
      <c r="AL1490" s="214">
        <v>2</v>
      </c>
      <c r="AM1490" s="214">
        <v>3.6734700000000002E-4</v>
      </c>
      <c r="AN1490" s="68"/>
      <c r="AO1490" s="67"/>
      <c r="AP1490" s="67"/>
      <c r="AQ1490" s="67"/>
      <c r="AR1490" s="67"/>
      <c r="AS1490" s="67"/>
      <c r="AT1490" s="68"/>
      <c r="AU1490" s="49"/>
      <c r="AV1490" s="50"/>
    </row>
    <row r="1491" spans="1:48" ht="12.75" customHeight="1" x14ac:dyDescent="0.25">
      <c r="A1491" s="72" t="s">
        <v>883</v>
      </c>
      <c r="B1491" s="43" t="s">
        <v>1580</v>
      </c>
      <c r="C1491" s="44" t="s">
        <v>1647</v>
      </c>
      <c r="D1491" s="45">
        <f>MROUND(MID($C1491,6,3)/Basis!$E$3,0.5)</f>
        <v>5</v>
      </c>
      <c r="E1491" s="45">
        <f>MROUND(MID($C1491,9,3)/Basis!$E$3,0.5)</f>
        <v>39.5</v>
      </c>
      <c r="F1491" s="124" t="s">
        <v>2944</v>
      </c>
      <c r="G1491" s="45">
        <f>ROUND((MROUND($F1491,5)+3)/Basis!$E$3,1)</f>
        <v>7.1</v>
      </c>
      <c r="H1491" s="120">
        <f>ROUND($P1491*Basis!$E$2*((TaH-TrH)/LN(1/µ)/Basis!$E$7)^$N1491*$AA$4*Glycol,0)</f>
        <v>1811</v>
      </c>
      <c r="I1491" s="83">
        <f>ROUND(H1491/(MID($C1491,9,3)/Basis!$E$3/Basis!$E$9)*Basis!$E$11,0)</f>
        <v>552</v>
      </c>
      <c r="J1491" s="123">
        <f>IF(Basis!$E$1=1,ROUND(H1491/((TaH-TrH)*1.163)/3600,3),ROUND(H1491/(500*(TaH-TrH)),2))</f>
        <v>0.18</v>
      </c>
      <c r="K1491" s="84"/>
      <c r="L1491" s="177">
        <f>CHOOSE(Basis!$E$1,((AJ1491*(J1491*3600/Basis!$E$5)^AK1491*(((MID(C1491,9,3)*10)-144)/1000)*AL1491+AM1491*(J1491*3600/Basis!$E$5)^2)*0.0098)/Basis!$E$10,((AJ1491*(J1491/Basis!$E$5)^AK1491*(((MID(C1491,9,3)*10)-144)/1000)*AL1491+AM1491*(J1491/Basis!$E$5)^2)*0.0098)/Basis!$E$10)</f>
        <v>3.2236882733540054E-3</v>
      </c>
      <c r="M1491" s="85"/>
      <c r="N1491" s="109">
        <v>1.4159999999999999</v>
      </c>
      <c r="O1491" s="68"/>
      <c r="P1491" s="67">
        <v>847</v>
      </c>
      <c r="Q1491" s="68"/>
      <c r="R1491" s="69"/>
      <c r="S1491" s="69"/>
      <c r="T1491" s="69"/>
      <c r="U1491" s="69"/>
      <c r="V1491" s="69"/>
      <c r="W1491" s="68"/>
      <c r="X1491" s="70"/>
      <c r="Y1491" s="70"/>
      <c r="Z1491" s="70"/>
      <c r="AA1491" s="70"/>
      <c r="AB1491" s="70"/>
      <c r="AC1491" s="68"/>
      <c r="AD1491" s="71"/>
      <c r="AE1491" s="71"/>
      <c r="AF1491" s="71"/>
      <c r="AG1491" s="71"/>
      <c r="AH1491" s="71"/>
      <c r="AI1491" s="68"/>
      <c r="AJ1491" s="214">
        <v>2.0829999999999999E-4</v>
      </c>
      <c r="AK1491" s="214">
        <v>1.724</v>
      </c>
      <c r="AL1491" s="214">
        <v>2</v>
      </c>
      <c r="AM1491" s="214">
        <v>4.6182900000000003E-4</v>
      </c>
      <c r="AN1491" s="68"/>
      <c r="AO1491" s="67"/>
      <c r="AP1491" s="67"/>
      <c r="AQ1491" s="67"/>
      <c r="AR1491" s="67"/>
      <c r="AS1491" s="67"/>
      <c r="AT1491" s="68"/>
      <c r="AU1491" s="49"/>
      <c r="AV1491" s="50"/>
    </row>
    <row r="1492" spans="1:48" ht="12.75" customHeight="1" x14ac:dyDescent="0.25">
      <c r="A1492" s="72" t="s">
        <v>883</v>
      </c>
      <c r="B1492" s="43" t="s">
        <v>1580</v>
      </c>
      <c r="C1492" s="44" t="s">
        <v>1648</v>
      </c>
      <c r="D1492" s="45">
        <f>MROUND(MID($C1492,6,3)/Basis!$E$3,0.5)</f>
        <v>5</v>
      </c>
      <c r="E1492" s="45">
        <f>MROUND(MID($C1492,9,3)/Basis!$E$3,0.5)</f>
        <v>39.5</v>
      </c>
      <c r="F1492" s="124" t="s">
        <v>2945</v>
      </c>
      <c r="G1492" s="45">
        <f>ROUND((MROUND($F1492,5)+3)/Basis!$E$3,1)</f>
        <v>9.1</v>
      </c>
      <c r="H1492" s="120">
        <f>ROUND($P1492*Basis!$E$2*((TaH-TrH)/LN(1/µ)/Basis!$E$7)^$N1492*$AA$4*Glycol,0)</f>
        <v>2555</v>
      </c>
      <c r="I1492" s="83">
        <f>ROUND(H1492/(MID($C1492,9,3)/Basis!$E$3/Basis!$E$9)*Basis!$E$11,0)</f>
        <v>779</v>
      </c>
      <c r="J1492" s="123">
        <f>IF(Basis!$E$1=1,ROUND(H1492/((TaH-TrH)*1.163)/3600,3),ROUND(H1492/(500*(TaH-TrH)),2))</f>
        <v>0.26</v>
      </c>
      <c r="K1492" s="84"/>
      <c r="L1492" s="177">
        <f>CHOOSE(Basis!$E$1,((AJ1492*(J1492*3600/Basis!$E$5)^AK1492*(((MID(C1492,9,3)*10)-144)/1000)*AL1492+AM1492*(J1492*3600/Basis!$E$5)^2)*0.0098)/Basis!$E$10,((AJ1492*(J1492/Basis!$E$5)^AK1492*(((MID(C1492,9,3)*10)-144)/1000)*AL1492+AM1492*(J1492/Basis!$E$5)^2)*0.0098)/Basis!$E$10)</f>
        <v>5.0953923314744007E-3</v>
      </c>
      <c r="M1492" s="85"/>
      <c r="N1492" s="109">
        <v>1.4159999999999999</v>
      </c>
      <c r="O1492" s="68"/>
      <c r="P1492" s="67">
        <v>1195</v>
      </c>
      <c r="Q1492" s="68"/>
      <c r="R1492" s="69"/>
      <c r="S1492" s="69"/>
      <c r="T1492" s="69"/>
      <c r="U1492" s="69"/>
      <c r="V1492" s="69"/>
      <c r="W1492" s="68"/>
      <c r="X1492" s="70"/>
      <c r="Y1492" s="70"/>
      <c r="Z1492" s="70"/>
      <c r="AA1492" s="70"/>
      <c r="AB1492" s="70"/>
      <c r="AC1492" s="68"/>
      <c r="AD1492" s="71"/>
      <c r="AE1492" s="71"/>
      <c r="AF1492" s="71"/>
      <c r="AG1492" s="71"/>
      <c r="AH1492" s="71"/>
      <c r="AI1492" s="68"/>
      <c r="AJ1492" s="214">
        <v>1.2760000000000001E-4</v>
      </c>
      <c r="AK1492" s="214">
        <v>1.7219</v>
      </c>
      <c r="AL1492" s="214">
        <v>2</v>
      </c>
      <c r="AM1492" s="214">
        <v>3.76611E-4</v>
      </c>
      <c r="AN1492" s="68"/>
      <c r="AO1492" s="67"/>
      <c r="AP1492" s="67"/>
      <c r="AQ1492" s="67"/>
      <c r="AR1492" s="67"/>
      <c r="AS1492" s="67"/>
      <c r="AT1492" s="68"/>
      <c r="AU1492" s="49"/>
      <c r="AV1492" s="50"/>
    </row>
    <row r="1493" spans="1:48" ht="12.75" customHeight="1" x14ac:dyDescent="0.25">
      <c r="A1493" s="72" t="s">
        <v>883</v>
      </c>
      <c r="B1493" s="43" t="s">
        <v>1580</v>
      </c>
      <c r="C1493" s="44" t="s">
        <v>1649</v>
      </c>
      <c r="D1493" s="45">
        <f>MROUND(MID($C1493,6,3)/Basis!$E$3,0.5)</f>
        <v>5</v>
      </c>
      <c r="E1493" s="45">
        <f>MROUND(MID($C1493,9,3)/Basis!$E$3,0.5)</f>
        <v>43.5</v>
      </c>
      <c r="F1493" s="124" t="s">
        <v>2954</v>
      </c>
      <c r="G1493" s="45">
        <f>ROUND((MROUND($F1493,5)+3)/Basis!$E$3,1)</f>
        <v>3.1</v>
      </c>
      <c r="H1493" s="120">
        <f>ROUND($P1493*Basis!$E$2*((TaH-TrH)/LN(1/µ)/Basis!$E$7)^$N1493*$AA$4*Glycol,0)</f>
        <v>775</v>
      </c>
      <c r="I1493" s="83">
        <f>ROUND(H1493/(MID($C1493,9,3)/Basis!$E$3/Basis!$E$9)*Basis!$E$11,0)</f>
        <v>215</v>
      </c>
      <c r="J1493" s="123">
        <f>IF(Basis!$E$1=1,ROUND(H1493/((TaH-TrH)*1.163)/3600,3),ROUND(H1493/(500*(TaH-TrH)),2))</f>
        <v>0.08</v>
      </c>
      <c r="K1493" s="84"/>
      <c r="L1493" s="177">
        <f>CHOOSE(Basis!$E$1,((AJ1493*(J1493*3600/Basis!$E$5)^AK1493*(((MID(C1493,9,3)*10)-144)/1000)*AL1493+AM1493*(J1493*3600/Basis!$E$5)^2)*0.0098)/Basis!$E$10,((AJ1493*(J1493/Basis!$E$5)^AK1493*(((MID(C1493,9,3)*10)-144)/1000)*AL1493+AM1493*(J1493/Basis!$E$5)^2)*0.0098)/Basis!$E$10)</f>
        <v>1.5321209337746291E-3</v>
      </c>
      <c r="M1493" s="85"/>
      <c r="N1493" s="109">
        <v>1.413</v>
      </c>
      <c r="O1493" s="68"/>
      <c r="P1493" s="67">
        <v>362</v>
      </c>
      <c r="Q1493" s="68"/>
      <c r="R1493" s="69"/>
      <c r="S1493" s="69"/>
      <c r="T1493" s="69"/>
      <c r="U1493" s="69"/>
      <c r="V1493" s="69"/>
      <c r="W1493" s="68"/>
      <c r="X1493" s="70"/>
      <c r="Y1493" s="70"/>
      <c r="Z1493" s="70"/>
      <c r="AA1493" s="70"/>
      <c r="AB1493" s="70"/>
      <c r="AC1493" s="68"/>
      <c r="AD1493" s="71"/>
      <c r="AE1493" s="71"/>
      <c r="AF1493" s="71"/>
      <c r="AG1493" s="71"/>
      <c r="AH1493" s="71"/>
      <c r="AI1493" s="68"/>
      <c r="AJ1493" s="214">
        <v>9.3669999999999995E-4</v>
      </c>
      <c r="AK1493" s="214">
        <v>1.789841</v>
      </c>
      <c r="AL1493" s="214">
        <v>2</v>
      </c>
      <c r="AM1493" s="214">
        <v>4.4559999999999999E-4</v>
      </c>
      <c r="AN1493" s="68"/>
      <c r="AO1493" s="67"/>
      <c r="AP1493" s="67"/>
      <c r="AQ1493" s="67"/>
      <c r="AR1493" s="67"/>
      <c r="AS1493" s="67"/>
      <c r="AT1493" s="68"/>
      <c r="AU1493" s="49"/>
      <c r="AV1493" s="50"/>
    </row>
    <row r="1494" spans="1:48" ht="12.75" customHeight="1" x14ac:dyDescent="0.25">
      <c r="A1494" s="72" t="s">
        <v>883</v>
      </c>
      <c r="B1494" s="43" t="s">
        <v>1580</v>
      </c>
      <c r="C1494" s="44" t="s">
        <v>1650</v>
      </c>
      <c r="D1494" s="45">
        <f>MROUND(MID($C1494,6,3)/Basis!$E$3,0.5)</f>
        <v>5</v>
      </c>
      <c r="E1494" s="45">
        <f>MROUND(MID($C1494,9,3)/Basis!$E$3,0.5)</f>
        <v>43.5</v>
      </c>
      <c r="F1494" s="124" t="s">
        <v>2943</v>
      </c>
      <c r="G1494" s="45">
        <f>ROUND((MROUND($F1494,5)+3)/Basis!$E$3,1)</f>
        <v>5.0999999999999996</v>
      </c>
      <c r="H1494" s="120">
        <f>ROUND($P1494*Basis!$E$2*((TaH-TrH)/LN(1/µ)/Basis!$E$7)^$N1494*$AA$4*Glycol,0)</f>
        <v>1188</v>
      </c>
      <c r="I1494" s="83">
        <f>ROUND(H1494/(MID($C1494,9,3)/Basis!$E$3/Basis!$E$9)*Basis!$E$11,0)</f>
        <v>329</v>
      </c>
      <c r="J1494" s="123">
        <f>IF(Basis!$E$1=1,ROUND(H1494/((TaH-TrH)*1.163)/3600,3),ROUND(H1494/(500*(TaH-TrH)),2))</f>
        <v>0.12</v>
      </c>
      <c r="K1494" s="84"/>
      <c r="L1494" s="177">
        <f>CHOOSE(Basis!$E$1,((AJ1494*(J1494*3600/Basis!$E$5)^AK1494*(((MID(C1494,9,3)*10)-144)/1000)*AL1494+AM1494*(J1494*3600/Basis!$E$5)^2)*0.0098)/Basis!$E$10,((AJ1494*(J1494/Basis!$E$5)^AK1494*(((MID(C1494,9,3)*10)-144)/1000)*AL1494+AM1494*(J1494/Basis!$E$5)^2)*0.0098)/Basis!$E$10)</f>
        <v>1.6588952538128387E-3</v>
      </c>
      <c r="M1494" s="85"/>
      <c r="N1494" s="109">
        <v>1.419</v>
      </c>
      <c r="O1494" s="68"/>
      <c r="P1494" s="67">
        <v>556</v>
      </c>
      <c r="Q1494" s="68"/>
      <c r="R1494" s="69"/>
      <c r="S1494" s="69"/>
      <c r="T1494" s="69"/>
      <c r="U1494" s="69"/>
      <c r="V1494" s="69"/>
      <c r="W1494" s="68"/>
      <c r="X1494" s="70"/>
      <c r="Y1494" s="70"/>
      <c r="Z1494" s="70"/>
      <c r="AA1494" s="70"/>
      <c r="AB1494" s="70"/>
      <c r="AC1494" s="68"/>
      <c r="AD1494" s="71"/>
      <c r="AE1494" s="71"/>
      <c r="AF1494" s="71"/>
      <c r="AG1494" s="71"/>
      <c r="AH1494" s="71"/>
      <c r="AI1494" s="68"/>
      <c r="AJ1494" s="214">
        <v>3.9689999999999994E-4</v>
      </c>
      <c r="AK1494" s="214">
        <v>1.7345999999999999</v>
      </c>
      <c r="AL1494" s="214">
        <v>2</v>
      </c>
      <c r="AM1494" s="214">
        <v>3.6734700000000002E-4</v>
      </c>
      <c r="AN1494" s="68"/>
      <c r="AO1494" s="67"/>
      <c r="AP1494" s="67"/>
      <c r="AQ1494" s="67"/>
      <c r="AR1494" s="67"/>
      <c r="AS1494" s="67"/>
      <c r="AT1494" s="68"/>
      <c r="AU1494" s="49"/>
      <c r="AV1494" s="50"/>
    </row>
    <row r="1495" spans="1:48" ht="12.75" customHeight="1" x14ac:dyDescent="0.25">
      <c r="A1495" s="72" t="s">
        <v>883</v>
      </c>
      <c r="B1495" s="43" t="s">
        <v>1580</v>
      </c>
      <c r="C1495" s="44" t="s">
        <v>1651</v>
      </c>
      <c r="D1495" s="45">
        <f>MROUND(MID($C1495,6,3)/Basis!$E$3,0.5)</f>
        <v>5</v>
      </c>
      <c r="E1495" s="45">
        <f>MROUND(MID($C1495,9,3)/Basis!$E$3,0.5)</f>
        <v>43.5</v>
      </c>
      <c r="F1495" s="124" t="s">
        <v>2944</v>
      </c>
      <c r="G1495" s="45">
        <f>ROUND((MROUND($F1495,5)+3)/Basis!$E$3,1)</f>
        <v>7.1</v>
      </c>
      <c r="H1495" s="120">
        <f>ROUND($P1495*Basis!$E$2*((TaH-TrH)/LN(1/µ)/Basis!$E$7)^$N1495*$AA$4*Glycol,0)</f>
        <v>1993</v>
      </c>
      <c r="I1495" s="83">
        <f>ROUND(H1495/(MID($C1495,9,3)/Basis!$E$3/Basis!$E$9)*Basis!$E$11,0)</f>
        <v>552</v>
      </c>
      <c r="J1495" s="123">
        <f>IF(Basis!$E$1=1,ROUND(H1495/((TaH-TrH)*1.163)/3600,3),ROUND(H1495/(500*(TaH-TrH)),2))</f>
        <v>0.2</v>
      </c>
      <c r="K1495" s="84"/>
      <c r="L1495" s="177">
        <f>CHOOSE(Basis!$E$1,((AJ1495*(J1495*3600/Basis!$E$5)^AK1495*(((MID(C1495,9,3)*10)-144)/1000)*AL1495+AM1495*(J1495*3600/Basis!$E$5)^2)*0.0098)/Basis!$E$10,((AJ1495*(J1495/Basis!$E$5)^AK1495*(((MID(C1495,9,3)*10)-144)/1000)*AL1495+AM1495*(J1495/Basis!$E$5)^2)*0.0098)/Basis!$E$10)</f>
        <v>4.0531403215313486E-3</v>
      </c>
      <c r="M1495" s="85"/>
      <c r="N1495" s="109">
        <v>1.4159999999999999</v>
      </c>
      <c r="O1495" s="68"/>
      <c r="P1495" s="67">
        <v>932</v>
      </c>
      <c r="Q1495" s="68"/>
      <c r="R1495" s="69"/>
      <c r="S1495" s="69"/>
      <c r="T1495" s="69"/>
      <c r="U1495" s="69"/>
      <c r="V1495" s="69"/>
      <c r="W1495" s="68"/>
      <c r="X1495" s="70"/>
      <c r="Y1495" s="70"/>
      <c r="Z1495" s="70"/>
      <c r="AA1495" s="70"/>
      <c r="AB1495" s="70"/>
      <c r="AC1495" s="68"/>
      <c r="AD1495" s="71"/>
      <c r="AE1495" s="71"/>
      <c r="AF1495" s="71"/>
      <c r="AG1495" s="71"/>
      <c r="AH1495" s="71"/>
      <c r="AI1495" s="68"/>
      <c r="AJ1495" s="214">
        <v>2.0829999999999999E-4</v>
      </c>
      <c r="AK1495" s="214">
        <v>1.724</v>
      </c>
      <c r="AL1495" s="214">
        <v>2</v>
      </c>
      <c r="AM1495" s="214">
        <v>4.6182900000000003E-4</v>
      </c>
      <c r="AN1495" s="68"/>
      <c r="AO1495" s="67"/>
      <c r="AP1495" s="67"/>
      <c r="AQ1495" s="67"/>
      <c r="AR1495" s="67"/>
      <c r="AS1495" s="67"/>
      <c r="AT1495" s="68"/>
      <c r="AU1495" s="49"/>
      <c r="AV1495" s="50"/>
    </row>
    <row r="1496" spans="1:48" ht="12.75" customHeight="1" x14ac:dyDescent="0.25">
      <c r="A1496" s="72" t="s">
        <v>883</v>
      </c>
      <c r="B1496" s="43" t="s">
        <v>1580</v>
      </c>
      <c r="C1496" s="44" t="s">
        <v>1652</v>
      </c>
      <c r="D1496" s="45">
        <f>MROUND(MID($C1496,6,3)/Basis!$E$3,0.5)</f>
        <v>5</v>
      </c>
      <c r="E1496" s="45">
        <f>MROUND(MID($C1496,9,3)/Basis!$E$3,0.5)</f>
        <v>43.5</v>
      </c>
      <c r="F1496" s="124" t="s">
        <v>2945</v>
      </c>
      <c r="G1496" s="45">
        <f>ROUND((MROUND($F1496,5)+3)/Basis!$E$3,1)</f>
        <v>9.1</v>
      </c>
      <c r="H1496" s="120">
        <f>ROUND($P1496*Basis!$E$2*((TaH-TrH)/LN(1/µ)/Basis!$E$7)^$N1496*$AA$4*Glycol,0)</f>
        <v>2812</v>
      </c>
      <c r="I1496" s="83">
        <f>ROUND(H1496/(MID($C1496,9,3)/Basis!$E$3/Basis!$E$9)*Basis!$E$11,0)</f>
        <v>779</v>
      </c>
      <c r="J1496" s="123">
        <f>IF(Basis!$E$1=1,ROUND(H1496/((TaH-TrH)*1.163)/3600,3),ROUND(H1496/(500*(TaH-TrH)),2))</f>
        <v>0.28000000000000003</v>
      </c>
      <c r="K1496" s="84"/>
      <c r="L1496" s="177">
        <f>CHOOSE(Basis!$E$1,((AJ1496*(J1496*3600/Basis!$E$5)^AK1496*(((MID(C1496,9,3)*10)-144)/1000)*AL1496+AM1496*(J1496*3600/Basis!$E$5)^2)*0.0098)/Basis!$E$10,((AJ1496*(J1496/Basis!$E$5)^AK1496*(((MID(C1496,9,3)*10)-144)/1000)*AL1496+AM1496*(J1496/Basis!$E$5)^2)*0.0098)/Basis!$E$10)</f>
        <v>5.9968362812335618E-3</v>
      </c>
      <c r="M1496" s="85"/>
      <c r="N1496" s="109">
        <v>1.4159999999999999</v>
      </c>
      <c r="O1496" s="68"/>
      <c r="P1496" s="67">
        <v>1315</v>
      </c>
      <c r="Q1496" s="68"/>
      <c r="R1496" s="69"/>
      <c r="S1496" s="69"/>
      <c r="T1496" s="69"/>
      <c r="U1496" s="69"/>
      <c r="V1496" s="69"/>
      <c r="W1496" s="68"/>
      <c r="X1496" s="70"/>
      <c r="Y1496" s="70"/>
      <c r="Z1496" s="70"/>
      <c r="AA1496" s="70"/>
      <c r="AB1496" s="70"/>
      <c r="AC1496" s="68"/>
      <c r="AD1496" s="71"/>
      <c r="AE1496" s="71"/>
      <c r="AF1496" s="71"/>
      <c r="AG1496" s="71"/>
      <c r="AH1496" s="71"/>
      <c r="AI1496" s="68"/>
      <c r="AJ1496" s="214">
        <v>1.2760000000000001E-4</v>
      </c>
      <c r="AK1496" s="214">
        <v>1.7219</v>
      </c>
      <c r="AL1496" s="214">
        <v>2</v>
      </c>
      <c r="AM1496" s="214">
        <v>3.76611E-4</v>
      </c>
      <c r="AN1496" s="68"/>
      <c r="AO1496" s="67"/>
      <c r="AP1496" s="67"/>
      <c r="AQ1496" s="67"/>
      <c r="AR1496" s="67"/>
      <c r="AS1496" s="67"/>
      <c r="AT1496" s="68"/>
      <c r="AU1496" s="49"/>
      <c r="AV1496" s="50"/>
    </row>
    <row r="1497" spans="1:48" ht="12.75" customHeight="1" x14ac:dyDescent="0.25">
      <c r="A1497" s="72" t="s">
        <v>883</v>
      </c>
      <c r="B1497" s="43" t="s">
        <v>1580</v>
      </c>
      <c r="C1497" s="44" t="s">
        <v>1653</v>
      </c>
      <c r="D1497" s="45">
        <f>MROUND(MID($C1497,6,3)/Basis!$E$3,0.5)</f>
        <v>5</v>
      </c>
      <c r="E1497" s="45">
        <f>MROUND(MID($C1497,9,3)/Basis!$E$3,0.5)</f>
        <v>47</v>
      </c>
      <c r="F1497" s="124" t="s">
        <v>2954</v>
      </c>
      <c r="G1497" s="45">
        <f>ROUND((MROUND($F1497,5)+3)/Basis!$E$3,1)</f>
        <v>3.1</v>
      </c>
      <c r="H1497" s="120">
        <f>ROUND($P1497*Basis!$E$2*((TaH-TrH)/LN(1/µ)/Basis!$E$7)^$N1497*$AA$4*Glycol,0)</f>
        <v>845</v>
      </c>
      <c r="I1497" s="83">
        <f>ROUND(H1497/(MID($C1497,9,3)/Basis!$E$3/Basis!$E$9)*Basis!$E$11,0)</f>
        <v>215</v>
      </c>
      <c r="J1497" s="123">
        <f>IF(Basis!$E$1=1,ROUND(H1497/((TaH-TrH)*1.163)/3600,3),ROUND(H1497/(500*(TaH-TrH)),2))</f>
        <v>0.08</v>
      </c>
      <c r="K1497" s="84"/>
      <c r="L1497" s="177">
        <f>CHOOSE(Basis!$E$1,((AJ1497*(J1497*3600/Basis!$E$5)^AK1497*(((MID(C1497,9,3)*10)-144)/1000)*AL1497+AM1497*(J1497*3600/Basis!$E$5)^2)*0.0098)/Basis!$E$10,((AJ1497*(J1497/Basis!$E$5)^AK1497*(((MID(C1497,9,3)*10)-144)/1000)*AL1497+AM1497*(J1497/Basis!$E$5)^2)*0.0098)/Basis!$E$10)</f>
        <v>1.64206873253864E-3</v>
      </c>
      <c r="M1497" s="85"/>
      <c r="N1497" s="109">
        <v>1.413</v>
      </c>
      <c r="O1497" s="68"/>
      <c r="P1497" s="67">
        <v>395</v>
      </c>
      <c r="Q1497" s="68"/>
      <c r="R1497" s="69"/>
      <c r="S1497" s="69"/>
      <c r="T1497" s="69"/>
      <c r="U1497" s="69"/>
      <c r="V1497" s="69"/>
      <c r="W1497" s="68"/>
      <c r="X1497" s="70"/>
      <c r="Y1497" s="70"/>
      <c r="Z1497" s="70"/>
      <c r="AA1497" s="70"/>
      <c r="AB1497" s="70"/>
      <c r="AC1497" s="68"/>
      <c r="AD1497" s="71"/>
      <c r="AE1497" s="71"/>
      <c r="AF1497" s="71"/>
      <c r="AG1497" s="71"/>
      <c r="AH1497" s="71"/>
      <c r="AI1497" s="68"/>
      <c r="AJ1497" s="214">
        <v>9.3669999999999995E-4</v>
      </c>
      <c r="AK1497" s="214">
        <v>1.789841</v>
      </c>
      <c r="AL1497" s="214">
        <v>2</v>
      </c>
      <c r="AM1497" s="214">
        <v>4.4559999999999999E-4</v>
      </c>
      <c r="AN1497" s="68"/>
      <c r="AO1497" s="67"/>
      <c r="AP1497" s="67"/>
      <c r="AQ1497" s="67"/>
      <c r="AR1497" s="67"/>
      <c r="AS1497" s="67"/>
      <c r="AT1497" s="68"/>
      <c r="AU1497" s="49"/>
      <c r="AV1497" s="50"/>
    </row>
    <row r="1498" spans="1:48" ht="12.75" customHeight="1" x14ac:dyDescent="0.25">
      <c r="A1498" s="72" t="s">
        <v>883</v>
      </c>
      <c r="B1498" s="43" t="s">
        <v>1580</v>
      </c>
      <c r="C1498" s="44" t="s">
        <v>1654</v>
      </c>
      <c r="D1498" s="45">
        <f>MROUND(MID($C1498,6,3)/Basis!$E$3,0.5)</f>
        <v>5</v>
      </c>
      <c r="E1498" s="45">
        <f>MROUND(MID($C1498,9,3)/Basis!$E$3,0.5)</f>
        <v>47</v>
      </c>
      <c r="F1498" s="124" t="s">
        <v>2943</v>
      </c>
      <c r="G1498" s="45">
        <f>ROUND((MROUND($F1498,5)+3)/Basis!$E$3,1)</f>
        <v>5.0999999999999996</v>
      </c>
      <c r="H1498" s="120">
        <f>ROUND($P1498*Basis!$E$2*((TaH-TrH)/LN(1/µ)/Basis!$E$7)^$N1498*$AA$4*Glycol,0)</f>
        <v>1295</v>
      </c>
      <c r="I1498" s="83">
        <f>ROUND(H1498/(MID($C1498,9,3)/Basis!$E$3/Basis!$E$9)*Basis!$E$11,0)</f>
        <v>329</v>
      </c>
      <c r="J1498" s="123">
        <f>IF(Basis!$E$1=1,ROUND(H1498/((TaH-TrH)*1.163)/3600,3),ROUND(H1498/(500*(TaH-TrH)),2))</f>
        <v>0.13</v>
      </c>
      <c r="K1498" s="84"/>
      <c r="L1498" s="177">
        <f>CHOOSE(Basis!$E$1,((AJ1498*(J1498*3600/Basis!$E$5)^AK1498*(((MID(C1498,9,3)*10)-144)/1000)*AL1498+AM1498*(J1498*3600/Basis!$E$5)^2)*0.0098)/Basis!$E$10,((AJ1498*(J1498/Basis!$E$5)^AK1498*(((MID(C1498,9,3)*10)-144)/1000)*AL1498+AM1498*(J1498/Basis!$E$5)^2)*0.0098)/Basis!$E$10)</f>
        <v>2.0201250040785606E-3</v>
      </c>
      <c r="M1498" s="85"/>
      <c r="N1498" s="109">
        <v>1.419</v>
      </c>
      <c r="O1498" s="68"/>
      <c r="P1498" s="67">
        <v>606</v>
      </c>
      <c r="Q1498" s="68"/>
      <c r="R1498" s="69"/>
      <c r="S1498" s="69"/>
      <c r="T1498" s="69"/>
      <c r="U1498" s="69"/>
      <c r="V1498" s="69"/>
      <c r="W1498" s="68"/>
      <c r="X1498" s="70"/>
      <c r="Y1498" s="70"/>
      <c r="Z1498" s="70"/>
      <c r="AA1498" s="70"/>
      <c r="AB1498" s="70"/>
      <c r="AC1498" s="68"/>
      <c r="AD1498" s="71"/>
      <c r="AE1498" s="71"/>
      <c r="AF1498" s="71"/>
      <c r="AG1498" s="71"/>
      <c r="AH1498" s="71"/>
      <c r="AI1498" s="68"/>
      <c r="AJ1498" s="214">
        <v>3.9689999999999994E-4</v>
      </c>
      <c r="AK1498" s="214">
        <v>1.7345999999999999</v>
      </c>
      <c r="AL1498" s="214">
        <v>2</v>
      </c>
      <c r="AM1498" s="214">
        <v>3.6734700000000002E-4</v>
      </c>
      <c r="AN1498" s="68"/>
      <c r="AO1498" s="67"/>
      <c r="AP1498" s="67"/>
      <c r="AQ1498" s="67"/>
      <c r="AR1498" s="67"/>
      <c r="AS1498" s="67"/>
      <c r="AT1498" s="68"/>
      <c r="AU1498" s="49"/>
      <c r="AV1498" s="50"/>
    </row>
    <row r="1499" spans="1:48" ht="12.75" customHeight="1" x14ac:dyDescent="0.25">
      <c r="A1499" s="72" t="s">
        <v>883</v>
      </c>
      <c r="B1499" s="43" t="s">
        <v>1580</v>
      </c>
      <c r="C1499" s="44" t="s">
        <v>1655</v>
      </c>
      <c r="D1499" s="45">
        <f>MROUND(MID($C1499,6,3)/Basis!$E$3,0.5)</f>
        <v>5</v>
      </c>
      <c r="E1499" s="45">
        <f>MROUND(MID($C1499,9,3)/Basis!$E$3,0.5)</f>
        <v>47</v>
      </c>
      <c r="F1499" s="124" t="s">
        <v>2944</v>
      </c>
      <c r="G1499" s="45">
        <f>ROUND((MROUND($F1499,5)+3)/Basis!$E$3,1)</f>
        <v>7.1</v>
      </c>
      <c r="H1499" s="120">
        <f>ROUND($P1499*Basis!$E$2*((TaH-TrH)/LN(1/µ)/Basis!$E$7)^$N1499*$AA$4*Glycol,0)</f>
        <v>2172</v>
      </c>
      <c r="I1499" s="83">
        <f>ROUND(H1499/(MID($C1499,9,3)/Basis!$E$3/Basis!$E$9)*Basis!$E$11,0)</f>
        <v>552</v>
      </c>
      <c r="J1499" s="123">
        <f>IF(Basis!$E$1=1,ROUND(H1499/((TaH-TrH)*1.163)/3600,3),ROUND(H1499/(500*(TaH-TrH)),2))</f>
        <v>0.22</v>
      </c>
      <c r="K1499" s="84"/>
      <c r="L1499" s="177">
        <f>CHOOSE(Basis!$E$1,((AJ1499*(J1499*3600/Basis!$E$5)^AK1499*(((MID(C1499,9,3)*10)-144)/1000)*AL1499+AM1499*(J1499*3600/Basis!$E$5)^2)*0.0098)/Basis!$E$10,((AJ1499*(J1499/Basis!$E$5)^AK1499*(((MID(C1499,9,3)*10)-144)/1000)*AL1499+AM1499*(J1499/Basis!$E$5)^2)*0.0098)/Basis!$E$10)</f>
        <v>4.9904052348474269E-3</v>
      </c>
      <c r="M1499" s="85"/>
      <c r="N1499" s="109">
        <v>1.4159999999999999</v>
      </c>
      <c r="O1499" s="68"/>
      <c r="P1499" s="67">
        <v>1016</v>
      </c>
      <c r="Q1499" s="68"/>
      <c r="R1499" s="69"/>
      <c r="S1499" s="69"/>
      <c r="T1499" s="69"/>
      <c r="U1499" s="69"/>
      <c r="V1499" s="69"/>
      <c r="W1499" s="68"/>
      <c r="X1499" s="70"/>
      <c r="Y1499" s="70"/>
      <c r="Z1499" s="70"/>
      <c r="AA1499" s="70"/>
      <c r="AB1499" s="70"/>
      <c r="AC1499" s="68"/>
      <c r="AD1499" s="71"/>
      <c r="AE1499" s="71"/>
      <c r="AF1499" s="71"/>
      <c r="AG1499" s="71"/>
      <c r="AH1499" s="71"/>
      <c r="AI1499" s="68"/>
      <c r="AJ1499" s="214">
        <v>2.0829999999999999E-4</v>
      </c>
      <c r="AK1499" s="214">
        <v>1.724</v>
      </c>
      <c r="AL1499" s="214">
        <v>2</v>
      </c>
      <c r="AM1499" s="214">
        <v>4.6182900000000003E-4</v>
      </c>
      <c r="AN1499" s="68"/>
      <c r="AO1499" s="67"/>
      <c r="AP1499" s="67"/>
      <c r="AQ1499" s="67"/>
      <c r="AR1499" s="67"/>
      <c r="AS1499" s="67"/>
      <c r="AT1499" s="68"/>
      <c r="AU1499" s="49"/>
      <c r="AV1499" s="50"/>
    </row>
    <row r="1500" spans="1:48" ht="12.75" customHeight="1" x14ac:dyDescent="0.25">
      <c r="A1500" s="72" t="s">
        <v>883</v>
      </c>
      <c r="B1500" s="43" t="s">
        <v>1580</v>
      </c>
      <c r="C1500" s="44" t="s">
        <v>1656</v>
      </c>
      <c r="D1500" s="45">
        <f>MROUND(MID($C1500,6,3)/Basis!$E$3,0.5)</f>
        <v>5</v>
      </c>
      <c r="E1500" s="45">
        <f>MROUND(MID($C1500,9,3)/Basis!$E$3,0.5)</f>
        <v>47</v>
      </c>
      <c r="F1500" s="124" t="s">
        <v>2945</v>
      </c>
      <c r="G1500" s="45">
        <f>ROUND((MROUND($F1500,5)+3)/Basis!$E$3,1)</f>
        <v>9.1</v>
      </c>
      <c r="H1500" s="120">
        <f>ROUND($P1500*Basis!$E$2*((TaH-TrH)/LN(1/µ)/Basis!$E$7)^$N1500*$AA$4*Glycol,0)</f>
        <v>3066</v>
      </c>
      <c r="I1500" s="83">
        <f>ROUND(H1500/(MID($C1500,9,3)/Basis!$E$3/Basis!$E$9)*Basis!$E$11,0)</f>
        <v>779</v>
      </c>
      <c r="J1500" s="123">
        <f>IF(Basis!$E$1=1,ROUND(H1500/((TaH-TrH)*1.163)/3600,3),ROUND(H1500/(500*(TaH-TrH)),2))</f>
        <v>0.31</v>
      </c>
      <c r="K1500" s="84"/>
      <c r="L1500" s="177">
        <f>CHOOSE(Basis!$E$1,((AJ1500*(J1500*3600/Basis!$E$5)^AK1500*(((MID(C1500,9,3)*10)-144)/1000)*AL1500+AM1500*(J1500*3600/Basis!$E$5)^2)*0.0098)/Basis!$E$10,((AJ1500*(J1500/Basis!$E$5)^AK1500*(((MID(C1500,9,3)*10)-144)/1000)*AL1500+AM1500*(J1500/Basis!$E$5)^2)*0.0098)/Basis!$E$10)</f>
        <v>7.4426479552255559E-3</v>
      </c>
      <c r="M1500" s="85"/>
      <c r="N1500" s="109">
        <v>1.4159999999999999</v>
      </c>
      <c r="O1500" s="68"/>
      <c r="P1500" s="67">
        <v>1434</v>
      </c>
      <c r="Q1500" s="68"/>
      <c r="R1500" s="69"/>
      <c r="S1500" s="69"/>
      <c r="T1500" s="69"/>
      <c r="U1500" s="69"/>
      <c r="V1500" s="69"/>
      <c r="W1500" s="68"/>
      <c r="X1500" s="70"/>
      <c r="Y1500" s="70"/>
      <c r="Z1500" s="70"/>
      <c r="AA1500" s="70"/>
      <c r="AB1500" s="70"/>
      <c r="AC1500" s="68"/>
      <c r="AD1500" s="71"/>
      <c r="AE1500" s="71"/>
      <c r="AF1500" s="71"/>
      <c r="AG1500" s="71"/>
      <c r="AH1500" s="71"/>
      <c r="AI1500" s="68"/>
      <c r="AJ1500" s="214">
        <v>1.2760000000000001E-4</v>
      </c>
      <c r="AK1500" s="214">
        <v>1.7219</v>
      </c>
      <c r="AL1500" s="214">
        <v>2</v>
      </c>
      <c r="AM1500" s="214">
        <v>3.76611E-4</v>
      </c>
      <c r="AN1500" s="68"/>
      <c r="AO1500" s="67"/>
      <c r="AP1500" s="67"/>
      <c r="AQ1500" s="67"/>
      <c r="AR1500" s="67"/>
      <c r="AS1500" s="67"/>
      <c r="AT1500" s="68"/>
      <c r="AU1500" s="49"/>
      <c r="AV1500" s="50"/>
    </row>
    <row r="1501" spans="1:48" ht="12.75" customHeight="1" x14ac:dyDescent="0.25">
      <c r="A1501" s="72" t="s">
        <v>883</v>
      </c>
      <c r="B1501" s="43" t="s">
        <v>1580</v>
      </c>
      <c r="C1501" s="44" t="s">
        <v>1657</v>
      </c>
      <c r="D1501" s="45">
        <f>MROUND(MID($C1501,6,3)/Basis!$E$3,0.5)</f>
        <v>5</v>
      </c>
      <c r="E1501" s="45">
        <f>MROUND(MID($C1501,9,3)/Basis!$E$3,0.5)</f>
        <v>55</v>
      </c>
      <c r="F1501" s="124" t="s">
        <v>2954</v>
      </c>
      <c r="G1501" s="45">
        <f>ROUND((MROUND($F1501,5)+3)/Basis!$E$3,1)</f>
        <v>3.1</v>
      </c>
      <c r="H1501" s="120">
        <f>ROUND($P1501*Basis!$E$2*((TaH-TrH)/LN(1/µ)/Basis!$E$7)^$N1501*$AA$4*Glycol,0)</f>
        <v>987</v>
      </c>
      <c r="I1501" s="83">
        <f>ROUND(H1501/(MID($C1501,9,3)/Basis!$E$3/Basis!$E$9)*Basis!$E$11,0)</f>
        <v>215</v>
      </c>
      <c r="J1501" s="123">
        <f>IF(Basis!$E$1=1,ROUND(H1501/((TaH-TrH)*1.163)/3600,3),ROUND(H1501/(500*(TaH-TrH)),2))</f>
        <v>0.1</v>
      </c>
      <c r="K1501" s="84"/>
      <c r="L1501" s="177">
        <f>CHOOSE(Basis!$E$1,((AJ1501*(J1501*3600/Basis!$E$5)^AK1501*(((MID(C1501,9,3)*10)-144)/1000)*AL1501+AM1501*(J1501*3600/Basis!$E$5)^2)*0.0098)/Basis!$E$10,((AJ1501*(J1501/Basis!$E$5)^AK1501*(((MID(C1501,9,3)*10)-144)/1000)*AL1501+AM1501*(J1501/Basis!$E$5)^2)*0.0098)/Basis!$E$10)</f>
        <v>2.8104673528937625E-3</v>
      </c>
      <c r="M1501" s="85"/>
      <c r="N1501" s="109">
        <v>1.413</v>
      </c>
      <c r="O1501" s="68"/>
      <c r="P1501" s="67">
        <v>461</v>
      </c>
      <c r="Q1501" s="68"/>
      <c r="R1501" s="69"/>
      <c r="S1501" s="69"/>
      <c r="T1501" s="69"/>
      <c r="U1501" s="69"/>
      <c r="V1501" s="69"/>
      <c r="W1501" s="68"/>
      <c r="X1501" s="70"/>
      <c r="Y1501" s="70"/>
      <c r="Z1501" s="70"/>
      <c r="AA1501" s="70"/>
      <c r="AB1501" s="70"/>
      <c r="AC1501" s="68"/>
      <c r="AD1501" s="71"/>
      <c r="AE1501" s="71"/>
      <c r="AF1501" s="71"/>
      <c r="AG1501" s="71"/>
      <c r="AH1501" s="71"/>
      <c r="AI1501" s="68"/>
      <c r="AJ1501" s="214">
        <v>9.3669999999999995E-4</v>
      </c>
      <c r="AK1501" s="214">
        <v>1.789841</v>
      </c>
      <c r="AL1501" s="214">
        <v>2</v>
      </c>
      <c r="AM1501" s="214">
        <v>4.4559999999999999E-4</v>
      </c>
      <c r="AN1501" s="68"/>
      <c r="AO1501" s="67"/>
      <c r="AP1501" s="67"/>
      <c r="AQ1501" s="67"/>
      <c r="AR1501" s="67"/>
      <c r="AS1501" s="67"/>
      <c r="AT1501" s="68"/>
      <c r="AU1501" s="49"/>
      <c r="AV1501" s="50"/>
    </row>
    <row r="1502" spans="1:48" ht="12.75" customHeight="1" x14ac:dyDescent="0.25">
      <c r="A1502" s="72" t="s">
        <v>883</v>
      </c>
      <c r="B1502" s="43" t="s">
        <v>1580</v>
      </c>
      <c r="C1502" s="44" t="s">
        <v>1658</v>
      </c>
      <c r="D1502" s="45">
        <f>MROUND(MID($C1502,6,3)/Basis!$E$3,0.5)</f>
        <v>5</v>
      </c>
      <c r="E1502" s="45">
        <f>MROUND(MID($C1502,9,3)/Basis!$E$3,0.5)</f>
        <v>55</v>
      </c>
      <c r="F1502" s="124" t="s">
        <v>2943</v>
      </c>
      <c r="G1502" s="45">
        <f>ROUND((MROUND($F1502,5)+3)/Basis!$E$3,1)</f>
        <v>5.0999999999999996</v>
      </c>
      <c r="H1502" s="120">
        <f>ROUND($P1502*Basis!$E$2*((TaH-TrH)/LN(1/µ)/Basis!$E$7)^$N1502*$AA$4*Glycol,0)</f>
        <v>1510</v>
      </c>
      <c r="I1502" s="83">
        <f>ROUND(H1502/(MID($C1502,9,3)/Basis!$E$3/Basis!$E$9)*Basis!$E$11,0)</f>
        <v>329</v>
      </c>
      <c r="J1502" s="123">
        <f>IF(Basis!$E$1=1,ROUND(H1502/((TaH-TrH)*1.163)/3600,3),ROUND(H1502/(500*(TaH-TrH)),2))</f>
        <v>0.15</v>
      </c>
      <c r="K1502" s="84"/>
      <c r="L1502" s="177">
        <f>CHOOSE(Basis!$E$1,((AJ1502*(J1502*3600/Basis!$E$5)^AK1502*(((MID(C1502,9,3)*10)-144)/1000)*AL1502+AM1502*(J1502*3600/Basis!$E$5)^2)*0.0098)/Basis!$E$10,((AJ1502*(J1502/Basis!$E$5)^AK1502*(((MID(C1502,9,3)*10)-144)/1000)*AL1502+AM1502*(J1502/Basis!$E$5)^2)*0.0098)/Basis!$E$10)</f>
        <v>2.8774387883415309E-3</v>
      </c>
      <c r="M1502" s="85"/>
      <c r="N1502" s="109">
        <v>1.419</v>
      </c>
      <c r="O1502" s="68"/>
      <c r="P1502" s="67">
        <v>707</v>
      </c>
      <c r="Q1502" s="68"/>
      <c r="R1502" s="69"/>
      <c r="S1502" s="69"/>
      <c r="T1502" s="69"/>
      <c r="U1502" s="69"/>
      <c r="V1502" s="69"/>
      <c r="W1502" s="68"/>
      <c r="X1502" s="70"/>
      <c r="Y1502" s="70"/>
      <c r="Z1502" s="70"/>
      <c r="AA1502" s="70"/>
      <c r="AB1502" s="70"/>
      <c r="AC1502" s="68"/>
      <c r="AD1502" s="71"/>
      <c r="AE1502" s="71"/>
      <c r="AF1502" s="71"/>
      <c r="AG1502" s="71"/>
      <c r="AH1502" s="71"/>
      <c r="AI1502" s="68"/>
      <c r="AJ1502" s="214">
        <v>3.9689999999999994E-4</v>
      </c>
      <c r="AK1502" s="214">
        <v>1.7345999999999999</v>
      </c>
      <c r="AL1502" s="214">
        <v>2</v>
      </c>
      <c r="AM1502" s="214">
        <v>3.6734700000000002E-4</v>
      </c>
      <c r="AN1502" s="68"/>
      <c r="AO1502" s="67"/>
      <c r="AP1502" s="67"/>
      <c r="AQ1502" s="67"/>
      <c r="AR1502" s="67"/>
      <c r="AS1502" s="67"/>
      <c r="AT1502" s="68"/>
      <c r="AU1502" s="49"/>
      <c r="AV1502" s="50"/>
    </row>
    <row r="1503" spans="1:48" ht="12.75" customHeight="1" x14ac:dyDescent="0.25">
      <c r="A1503" s="72" t="s">
        <v>883</v>
      </c>
      <c r="B1503" s="43" t="s">
        <v>1580</v>
      </c>
      <c r="C1503" s="44" t="s">
        <v>1659</v>
      </c>
      <c r="D1503" s="45">
        <f>MROUND(MID($C1503,6,3)/Basis!$E$3,0.5)</f>
        <v>5</v>
      </c>
      <c r="E1503" s="45">
        <f>MROUND(MID($C1503,9,3)/Basis!$E$3,0.5)</f>
        <v>55</v>
      </c>
      <c r="F1503" s="124" t="s">
        <v>2944</v>
      </c>
      <c r="G1503" s="45">
        <f>ROUND((MROUND($F1503,5)+3)/Basis!$E$3,1)</f>
        <v>7.1</v>
      </c>
      <c r="H1503" s="120">
        <f>ROUND($P1503*Basis!$E$2*((TaH-TrH)/LN(1/µ)/Basis!$E$7)^$N1503*$AA$4*Glycol,0)</f>
        <v>2536</v>
      </c>
      <c r="I1503" s="83">
        <f>ROUND(H1503/(MID($C1503,9,3)/Basis!$E$3/Basis!$E$9)*Basis!$E$11,0)</f>
        <v>552</v>
      </c>
      <c r="J1503" s="123">
        <f>IF(Basis!$E$1=1,ROUND(H1503/((TaH-TrH)*1.163)/3600,3),ROUND(H1503/(500*(TaH-TrH)),2))</f>
        <v>0.25</v>
      </c>
      <c r="K1503" s="84"/>
      <c r="L1503" s="177">
        <f>CHOOSE(Basis!$E$1,((AJ1503*(J1503*3600/Basis!$E$5)^AK1503*(((MID(C1503,9,3)*10)-144)/1000)*AL1503+AM1503*(J1503*3600/Basis!$E$5)^2)*0.0098)/Basis!$E$10,((AJ1503*(J1503/Basis!$E$5)^AK1503*(((MID(C1503,9,3)*10)-144)/1000)*AL1503+AM1503*(J1503/Basis!$E$5)^2)*0.0098)/Basis!$E$10)</f>
        <v>6.6776760993994743E-3</v>
      </c>
      <c r="M1503" s="85"/>
      <c r="N1503" s="109">
        <v>1.4159999999999999</v>
      </c>
      <c r="O1503" s="68"/>
      <c r="P1503" s="67">
        <v>1186</v>
      </c>
      <c r="Q1503" s="68"/>
      <c r="R1503" s="69"/>
      <c r="S1503" s="69"/>
      <c r="T1503" s="69"/>
      <c r="U1503" s="69"/>
      <c r="V1503" s="69"/>
      <c r="W1503" s="68"/>
      <c r="X1503" s="70"/>
      <c r="Y1503" s="70"/>
      <c r="Z1503" s="70"/>
      <c r="AA1503" s="70"/>
      <c r="AB1503" s="70"/>
      <c r="AC1503" s="68"/>
      <c r="AD1503" s="71"/>
      <c r="AE1503" s="71"/>
      <c r="AF1503" s="71"/>
      <c r="AG1503" s="71"/>
      <c r="AH1503" s="71"/>
      <c r="AI1503" s="68"/>
      <c r="AJ1503" s="214">
        <v>2.0829999999999999E-4</v>
      </c>
      <c r="AK1503" s="214">
        <v>1.724</v>
      </c>
      <c r="AL1503" s="214">
        <v>2</v>
      </c>
      <c r="AM1503" s="214">
        <v>4.6182900000000003E-4</v>
      </c>
      <c r="AN1503" s="68"/>
      <c r="AO1503" s="67"/>
      <c r="AP1503" s="67"/>
      <c r="AQ1503" s="67"/>
      <c r="AR1503" s="67"/>
      <c r="AS1503" s="67"/>
      <c r="AT1503" s="68"/>
      <c r="AU1503" s="49"/>
      <c r="AV1503" s="50"/>
    </row>
    <row r="1504" spans="1:48" ht="12.75" customHeight="1" x14ac:dyDescent="0.25">
      <c r="A1504" s="72" t="s">
        <v>883</v>
      </c>
      <c r="B1504" s="43" t="s">
        <v>1580</v>
      </c>
      <c r="C1504" s="44" t="s">
        <v>1660</v>
      </c>
      <c r="D1504" s="45">
        <f>MROUND(MID($C1504,6,3)/Basis!$E$3,0.5)</f>
        <v>5</v>
      </c>
      <c r="E1504" s="45">
        <f>MROUND(MID($C1504,9,3)/Basis!$E$3,0.5)</f>
        <v>55</v>
      </c>
      <c r="F1504" s="124" t="s">
        <v>2945</v>
      </c>
      <c r="G1504" s="45">
        <f>ROUND((MROUND($F1504,5)+3)/Basis!$E$3,1)</f>
        <v>9.1</v>
      </c>
      <c r="H1504" s="120">
        <f>ROUND($P1504*Basis!$E$2*((TaH-TrH)/LN(1/µ)/Basis!$E$7)^$N1504*$AA$4*Glycol,0)</f>
        <v>3577</v>
      </c>
      <c r="I1504" s="83">
        <f>ROUND(H1504/(MID($C1504,9,3)/Basis!$E$3/Basis!$E$9)*Basis!$E$11,0)</f>
        <v>779</v>
      </c>
      <c r="J1504" s="123">
        <f>IF(Basis!$E$1=1,ROUND(H1504/((TaH-TrH)*1.163)/3600,3),ROUND(H1504/(500*(TaH-TrH)),2))</f>
        <v>0.36</v>
      </c>
      <c r="K1504" s="84"/>
      <c r="L1504" s="177">
        <f>CHOOSE(Basis!$E$1,((AJ1504*(J1504*3600/Basis!$E$5)^AK1504*(((MID(C1504,9,3)*10)-144)/1000)*AL1504+AM1504*(J1504*3600/Basis!$E$5)^2)*0.0098)/Basis!$E$10,((AJ1504*(J1504/Basis!$E$5)^AK1504*(((MID(C1504,9,3)*10)-144)/1000)*AL1504+AM1504*(J1504/Basis!$E$5)^2)*0.0098)/Basis!$E$10)</f>
        <v>1.0291464827402522E-2</v>
      </c>
      <c r="M1504" s="85"/>
      <c r="N1504" s="109">
        <v>1.4159999999999999</v>
      </c>
      <c r="O1504" s="68"/>
      <c r="P1504" s="67">
        <v>1673</v>
      </c>
      <c r="Q1504" s="68"/>
      <c r="R1504" s="69"/>
      <c r="S1504" s="69"/>
      <c r="T1504" s="69"/>
      <c r="U1504" s="69"/>
      <c r="V1504" s="69"/>
      <c r="W1504" s="68"/>
      <c r="X1504" s="70"/>
      <c r="Y1504" s="70"/>
      <c r="Z1504" s="70"/>
      <c r="AA1504" s="70"/>
      <c r="AB1504" s="70"/>
      <c r="AC1504" s="68"/>
      <c r="AD1504" s="71"/>
      <c r="AE1504" s="71"/>
      <c r="AF1504" s="71"/>
      <c r="AG1504" s="71"/>
      <c r="AH1504" s="71"/>
      <c r="AI1504" s="68"/>
      <c r="AJ1504" s="214">
        <v>1.2760000000000001E-4</v>
      </c>
      <c r="AK1504" s="214">
        <v>1.7219</v>
      </c>
      <c r="AL1504" s="214">
        <v>2</v>
      </c>
      <c r="AM1504" s="214">
        <v>3.76611E-4</v>
      </c>
      <c r="AN1504" s="68"/>
      <c r="AO1504" s="67"/>
      <c r="AP1504" s="67"/>
      <c r="AQ1504" s="67"/>
      <c r="AR1504" s="67"/>
      <c r="AS1504" s="67"/>
      <c r="AT1504" s="68"/>
      <c r="AU1504" s="49"/>
      <c r="AV1504" s="50"/>
    </row>
    <row r="1505" spans="1:48" ht="12.75" customHeight="1" x14ac:dyDescent="0.25">
      <c r="A1505" s="72" t="s">
        <v>883</v>
      </c>
      <c r="B1505" s="43" t="s">
        <v>1580</v>
      </c>
      <c r="C1505" s="44" t="s">
        <v>1661</v>
      </c>
      <c r="D1505" s="45">
        <f>MROUND(MID($C1505,6,3)/Basis!$E$3,0.5)</f>
        <v>5</v>
      </c>
      <c r="E1505" s="45">
        <f>MROUND(MID($C1505,9,3)/Basis!$E$3,0.5)</f>
        <v>63</v>
      </c>
      <c r="F1505" s="124" t="s">
        <v>2954</v>
      </c>
      <c r="G1505" s="45">
        <f>ROUND((MROUND($F1505,5)+3)/Basis!$E$3,1)</f>
        <v>3.1</v>
      </c>
      <c r="H1505" s="120">
        <f>ROUND($P1505*Basis!$E$2*((TaH-TrH)/LN(1/µ)/Basis!$E$7)^$N1505*$AA$4*Glycol,0)</f>
        <v>1126</v>
      </c>
      <c r="I1505" s="83">
        <f>ROUND(H1505/(MID($C1505,9,3)/Basis!$E$3/Basis!$E$9)*Basis!$E$11,0)</f>
        <v>215</v>
      </c>
      <c r="J1505" s="123">
        <f>IF(Basis!$E$1=1,ROUND(H1505/((TaH-TrH)*1.163)/3600,3),ROUND(H1505/(500*(TaH-TrH)),2))</f>
        <v>0.11</v>
      </c>
      <c r="K1505" s="84"/>
      <c r="L1505" s="177">
        <f>CHOOSE(Basis!$E$1,((AJ1505*(J1505*3600/Basis!$E$5)^AK1505*(((MID(C1505,9,3)*10)-144)/1000)*AL1505+AM1505*(J1505*3600/Basis!$E$5)^2)*0.0098)/Basis!$E$10,((AJ1505*(J1505/Basis!$E$5)^AK1505*(((MID(C1505,9,3)*10)-144)/1000)*AL1505+AM1505*(J1505/Basis!$E$5)^2)*0.0098)/Basis!$E$10)</f>
        <v>3.7400886917769178E-3</v>
      </c>
      <c r="M1505" s="85"/>
      <c r="N1505" s="109">
        <v>1.413</v>
      </c>
      <c r="O1505" s="68"/>
      <c r="P1505" s="67">
        <v>526</v>
      </c>
      <c r="Q1505" s="68"/>
      <c r="R1505" s="69"/>
      <c r="S1505" s="69"/>
      <c r="T1505" s="69"/>
      <c r="U1505" s="69"/>
      <c r="V1505" s="69"/>
      <c r="W1505" s="68"/>
      <c r="X1505" s="70"/>
      <c r="Y1505" s="70"/>
      <c r="Z1505" s="70"/>
      <c r="AA1505" s="70"/>
      <c r="AB1505" s="70"/>
      <c r="AC1505" s="68"/>
      <c r="AD1505" s="71"/>
      <c r="AE1505" s="71"/>
      <c r="AF1505" s="71"/>
      <c r="AG1505" s="71"/>
      <c r="AH1505" s="71"/>
      <c r="AI1505" s="68"/>
      <c r="AJ1505" s="214">
        <v>9.3669999999999995E-4</v>
      </c>
      <c r="AK1505" s="214">
        <v>1.789841</v>
      </c>
      <c r="AL1505" s="214">
        <v>2</v>
      </c>
      <c r="AM1505" s="214">
        <v>4.4559999999999999E-4</v>
      </c>
      <c r="AN1505" s="68"/>
      <c r="AO1505" s="67"/>
      <c r="AP1505" s="67"/>
      <c r="AQ1505" s="67"/>
      <c r="AR1505" s="67"/>
      <c r="AS1505" s="67"/>
      <c r="AT1505" s="68"/>
      <c r="AU1505" s="49"/>
      <c r="AV1505" s="50"/>
    </row>
    <row r="1506" spans="1:48" ht="12.75" customHeight="1" x14ac:dyDescent="0.25">
      <c r="A1506" s="72" t="s">
        <v>883</v>
      </c>
      <c r="B1506" s="43" t="s">
        <v>1580</v>
      </c>
      <c r="C1506" s="44" t="s">
        <v>1662</v>
      </c>
      <c r="D1506" s="45">
        <f>MROUND(MID($C1506,6,3)/Basis!$E$3,0.5)</f>
        <v>5</v>
      </c>
      <c r="E1506" s="45">
        <f>MROUND(MID($C1506,9,3)/Basis!$E$3,0.5)</f>
        <v>63</v>
      </c>
      <c r="F1506" s="124" t="s">
        <v>2943</v>
      </c>
      <c r="G1506" s="45">
        <f>ROUND((MROUND($F1506,5)+3)/Basis!$E$3,1)</f>
        <v>5.0999999999999996</v>
      </c>
      <c r="H1506" s="120">
        <f>ROUND($P1506*Basis!$E$2*((TaH-TrH)/LN(1/µ)/Basis!$E$7)^$N1506*$AA$4*Glycol,0)</f>
        <v>1726</v>
      </c>
      <c r="I1506" s="83">
        <f>ROUND(H1506/(MID($C1506,9,3)/Basis!$E$3/Basis!$E$9)*Basis!$E$11,0)</f>
        <v>329</v>
      </c>
      <c r="J1506" s="123">
        <f>IF(Basis!$E$1=1,ROUND(H1506/((TaH-TrH)*1.163)/3600,3),ROUND(H1506/(500*(TaH-TrH)),2))</f>
        <v>0.17</v>
      </c>
      <c r="K1506" s="84"/>
      <c r="L1506" s="177">
        <f>CHOOSE(Basis!$E$1,((AJ1506*(J1506*3600/Basis!$E$5)^AK1506*(((MID(C1506,9,3)*10)-144)/1000)*AL1506+AM1506*(J1506*3600/Basis!$E$5)^2)*0.0098)/Basis!$E$10,((AJ1506*(J1506/Basis!$E$5)^AK1506*(((MID(C1506,9,3)*10)-144)/1000)*AL1506+AM1506*(J1506/Basis!$E$5)^2)*0.0098)/Basis!$E$10)</f>
        <v>3.9271326018874095E-3</v>
      </c>
      <c r="M1506" s="85"/>
      <c r="N1506" s="109">
        <v>1.419</v>
      </c>
      <c r="O1506" s="68"/>
      <c r="P1506" s="67">
        <v>808</v>
      </c>
      <c r="Q1506" s="68"/>
      <c r="R1506" s="69"/>
      <c r="S1506" s="69"/>
      <c r="T1506" s="69"/>
      <c r="U1506" s="69"/>
      <c r="V1506" s="69"/>
      <c r="W1506" s="68"/>
      <c r="X1506" s="70"/>
      <c r="Y1506" s="70"/>
      <c r="Z1506" s="70"/>
      <c r="AA1506" s="70"/>
      <c r="AB1506" s="70"/>
      <c r="AC1506" s="68"/>
      <c r="AD1506" s="71"/>
      <c r="AE1506" s="71"/>
      <c r="AF1506" s="71"/>
      <c r="AG1506" s="71"/>
      <c r="AH1506" s="71"/>
      <c r="AI1506" s="68"/>
      <c r="AJ1506" s="214">
        <v>3.9689999999999994E-4</v>
      </c>
      <c r="AK1506" s="214">
        <v>1.7345999999999999</v>
      </c>
      <c r="AL1506" s="214">
        <v>2</v>
      </c>
      <c r="AM1506" s="214">
        <v>3.6734700000000002E-4</v>
      </c>
      <c r="AN1506" s="68"/>
      <c r="AO1506" s="67"/>
      <c r="AP1506" s="67"/>
      <c r="AQ1506" s="67"/>
      <c r="AR1506" s="67"/>
      <c r="AS1506" s="67"/>
      <c r="AT1506" s="68"/>
      <c r="AU1506" s="49"/>
      <c r="AV1506" s="50"/>
    </row>
    <row r="1507" spans="1:48" ht="12.75" customHeight="1" x14ac:dyDescent="0.25">
      <c r="A1507" s="72" t="s">
        <v>883</v>
      </c>
      <c r="B1507" s="43" t="s">
        <v>1580</v>
      </c>
      <c r="C1507" s="44" t="s">
        <v>1663</v>
      </c>
      <c r="D1507" s="45">
        <f>MROUND(MID($C1507,6,3)/Basis!$E$3,0.5)</f>
        <v>5</v>
      </c>
      <c r="E1507" s="45">
        <f>MROUND(MID($C1507,9,3)/Basis!$E$3,0.5)</f>
        <v>63</v>
      </c>
      <c r="F1507" s="124" t="s">
        <v>2944</v>
      </c>
      <c r="G1507" s="45">
        <f>ROUND((MROUND($F1507,5)+3)/Basis!$E$3,1)</f>
        <v>7.1</v>
      </c>
      <c r="H1507" s="120">
        <f>ROUND($P1507*Basis!$E$2*((TaH-TrH)/LN(1/µ)/Basis!$E$7)^$N1507*$AA$4*Glycol,0)</f>
        <v>2897</v>
      </c>
      <c r="I1507" s="83">
        <f>ROUND(H1507/(MID($C1507,9,3)/Basis!$E$3/Basis!$E$9)*Basis!$E$11,0)</f>
        <v>552</v>
      </c>
      <c r="J1507" s="123">
        <f>IF(Basis!$E$1=1,ROUND(H1507/((TaH-TrH)*1.163)/3600,3),ROUND(H1507/(500*(TaH-TrH)),2))</f>
        <v>0.28999999999999998</v>
      </c>
      <c r="K1507" s="84"/>
      <c r="L1507" s="177">
        <f>CHOOSE(Basis!$E$1,((AJ1507*(J1507*3600/Basis!$E$5)^AK1507*(((MID(C1507,9,3)*10)-144)/1000)*AL1507+AM1507*(J1507*3600/Basis!$E$5)^2)*0.0098)/Basis!$E$10,((AJ1507*(J1507/Basis!$E$5)^AK1507*(((MID(C1507,9,3)*10)-144)/1000)*AL1507+AM1507*(J1507/Basis!$E$5)^2)*0.0098)/Basis!$E$10)</f>
        <v>9.2598543446652491E-3</v>
      </c>
      <c r="M1507" s="85"/>
      <c r="N1507" s="109">
        <v>1.4159999999999999</v>
      </c>
      <c r="O1507" s="68"/>
      <c r="P1507" s="67">
        <v>1355</v>
      </c>
      <c r="Q1507" s="68"/>
      <c r="R1507" s="69"/>
      <c r="S1507" s="69"/>
      <c r="T1507" s="69"/>
      <c r="U1507" s="69"/>
      <c r="V1507" s="69"/>
      <c r="W1507" s="68"/>
      <c r="X1507" s="70"/>
      <c r="Y1507" s="70"/>
      <c r="Z1507" s="70"/>
      <c r="AA1507" s="70"/>
      <c r="AB1507" s="70"/>
      <c r="AC1507" s="68"/>
      <c r="AD1507" s="71"/>
      <c r="AE1507" s="71"/>
      <c r="AF1507" s="71"/>
      <c r="AG1507" s="71"/>
      <c r="AH1507" s="71"/>
      <c r="AI1507" s="68"/>
      <c r="AJ1507" s="214">
        <v>2.0829999999999999E-4</v>
      </c>
      <c r="AK1507" s="214">
        <v>1.724</v>
      </c>
      <c r="AL1507" s="214">
        <v>2</v>
      </c>
      <c r="AM1507" s="214">
        <v>4.6182900000000003E-4</v>
      </c>
      <c r="AN1507" s="68"/>
      <c r="AO1507" s="67"/>
      <c r="AP1507" s="67"/>
      <c r="AQ1507" s="67"/>
      <c r="AR1507" s="67"/>
      <c r="AS1507" s="67"/>
      <c r="AT1507" s="68"/>
      <c r="AU1507" s="49"/>
      <c r="AV1507" s="50"/>
    </row>
    <row r="1508" spans="1:48" ht="12.75" customHeight="1" x14ac:dyDescent="0.25">
      <c r="A1508" s="72" t="s">
        <v>883</v>
      </c>
      <c r="B1508" s="43" t="s">
        <v>1580</v>
      </c>
      <c r="C1508" s="44" t="s">
        <v>1664</v>
      </c>
      <c r="D1508" s="45">
        <f>MROUND(MID($C1508,6,3)/Basis!$E$3,0.5)</f>
        <v>5</v>
      </c>
      <c r="E1508" s="45">
        <f>MROUND(MID($C1508,9,3)/Basis!$E$3,0.5)</f>
        <v>63</v>
      </c>
      <c r="F1508" s="124" t="s">
        <v>2945</v>
      </c>
      <c r="G1508" s="45">
        <f>ROUND((MROUND($F1508,5)+3)/Basis!$E$3,1)</f>
        <v>9.1</v>
      </c>
      <c r="H1508" s="120">
        <f>ROUND($P1508*Basis!$E$2*((TaH-TrH)/LN(1/µ)/Basis!$E$7)^$N1508*$AA$4*Glycol,0)</f>
        <v>4088</v>
      </c>
      <c r="I1508" s="83">
        <f>ROUND(H1508/(MID($C1508,9,3)/Basis!$E$3/Basis!$E$9)*Basis!$E$11,0)</f>
        <v>779</v>
      </c>
      <c r="J1508" s="123">
        <f>IF(Basis!$E$1=1,ROUND(H1508/((TaH-TrH)*1.163)/3600,3),ROUND(H1508/(500*(TaH-TrH)),2))</f>
        <v>0.41</v>
      </c>
      <c r="K1508" s="84"/>
      <c r="L1508" s="177">
        <f>CHOOSE(Basis!$E$1,((AJ1508*(J1508*3600/Basis!$E$5)^AK1508*(((MID(C1508,9,3)*10)-144)/1000)*AL1508+AM1508*(J1508*3600/Basis!$E$5)^2)*0.0098)/Basis!$E$10,((AJ1508*(J1508/Basis!$E$5)^AK1508*(((MID(C1508,9,3)*10)-144)/1000)*AL1508+AM1508*(J1508/Basis!$E$5)^2)*0.0098)/Basis!$E$10)</f>
        <v>1.366400372455449E-2</v>
      </c>
      <c r="M1508" s="85"/>
      <c r="N1508" s="109">
        <v>1.4159999999999999</v>
      </c>
      <c r="O1508" s="68"/>
      <c r="P1508" s="67">
        <v>1912</v>
      </c>
      <c r="Q1508" s="68"/>
      <c r="R1508" s="69"/>
      <c r="S1508" s="69"/>
      <c r="T1508" s="69"/>
      <c r="U1508" s="69"/>
      <c r="V1508" s="69"/>
      <c r="W1508" s="68"/>
      <c r="X1508" s="70"/>
      <c r="Y1508" s="70"/>
      <c r="Z1508" s="70"/>
      <c r="AA1508" s="70"/>
      <c r="AB1508" s="70"/>
      <c r="AC1508" s="68"/>
      <c r="AD1508" s="71"/>
      <c r="AE1508" s="71"/>
      <c r="AF1508" s="71"/>
      <c r="AG1508" s="71"/>
      <c r="AH1508" s="71"/>
      <c r="AI1508" s="68"/>
      <c r="AJ1508" s="214">
        <v>1.2760000000000001E-4</v>
      </c>
      <c r="AK1508" s="214">
        <v>1.7219</v>
      </c>
      <c r="AL1508" s="214">
        <v>2</v>
      </c>
      <c r="AM1508" s="214">
        <v>3.76611E-4</v>
      </c>
      <c r="AN1508" s="68"/>
      <c r="AO1508" s="67"/>
      <c r="AP1508" s="67"/>
      <c r="AQ1508" s="67"/>
      <c r="AR1508" s="67"/>
      <c r="AS1508" s="67"/>
      <c r="AT1508" s="68"/>
      <c r="AU1508" s="49"/>
      <c r="AV1508" s="50"/>
    </row>
    <row r="1509" spans="1:48" ht="12.75" customHeight="1" x14ac:dyDescent="0.25">
      <c r="A1509" s="72" t="s">
        <v>883</v>
      </c>
      <c r="B1509" s="43" t="s">
        <v>1580</v>
      </c>
      <c r="C1509" s="44" t="s">
        <v>1665</v>
      </c>
      <c r="D1509" s="45">
        <f>MROUND(MID($C1509,6,3)/Basis!$E$3,0.5)</f>
        <v>5</v>
      </c>
      <c r="E1509" s="45">
        <f>MROUND(MID($C1509,9,3)/Basis!$E$3,0.5)</f>
        <v>71</v>
      </c>
      <c r="F1509" s="124" t="s">
        <v>2954</v>
      </c>
      <c r="G1509" s="45">
        <f>ROUND((MROUND($F1509,5)+3)/Basis!$E$3,1)</f>
        <v>3.1</v>
      </c>
      <c r="H1509" s="120">
        <f>ROUND($P1509*Basis!$E$2*((TaH-TrH)/LN(1/µ)/Basis!$E$7)^$N1509*$AA$4*Glycol,0)</f>
        <v>1267</v>
      </c>
      <c r="I1509" s="83">
        <f>ROUND(H1509/(MID($C1509,9,3)/Basis!$E$3/Basis!$E$9)*Basis!$E$11,0)</f>
        <v>215</v>
      </c>
      <c r="J1509" s="123">
        <f>IF(Basis!$E$1=1,ROUND(H1509/((TaH-TrH)*1.163)/3600,3),ROUND(H1509/(500*(TaH-TrH)),2))</f>
        <v>0.13</v>
      </c>
      <c r="K1509" s="84"/>
      <c r="L1509" s="177">
        <f>CHOOSE(Basis!$E$1,((AJ1509*(J1509*3600/Basis!$E$5)^AK1509*(((MID(C1509,9,3)*10)-144)/1000)*AL1509+AM1509*(J1509*3600/Basis!$E$5)^2)*0.0098)/Basis!$E$10,((AJ1509*(J1509/Basis!$E$5)^AK1509*(((MID(C1509,9,3)*10)-144)/1000)*AL1509+AM1509*(J1509/Basis!$E$5)^2)*0.0098)/Basis!$E$10)</f>
        <v>5.6117040168667861E-3</v>
      </c>
      <c r="M1509" s="85"/>
      <c r="N1509" s="109">
        <v>1.413</v>
      </c>
      <c r="O1509" s="68"/>
      <c r="P1509" s="67">
        <v>592</v>
      </c>
      <c r="Q1509" s="68"/>
      <c r="R1509" s="69"/>
      <c r="S1509" s="69"/>
      <c r="T1509" s="69"/>
      <c r="U1509" s="69"/>
      <c r="V1509" s="69"/>
      <c r="W1509" s="68"/>
      <c r="X1509" s="70"/>
      <c r="Y1509" s="70"/>
      <c r="Z1509" s="70"/>
      <c r="AA1509" s="70"/>
      <c r="AB1509" s="70"/>
      <c r="AC1509" s="68"/>
      <c r="AD1509" s="71"/>
      <c r="AE1509" s="71"/>
      <c r="AF1509" s="71"/>
      <c r="AG1509" s="71"/>
      <c r="AH1509" s="71"/>
      <c r="AI1509" s="68"/>
      <c r="AJ1509" s="214">
        <v>9.3669999999999995E-4</v>
      </c>
      <c r="AK1509" s="214">
        <v>1.789841</v>
      </c>
      <c r="AL1509" s="214">
        <v>2</v>
      </c>
      <c r="AM1509" s="214">
        <v>4.4559999999999999E-4</v>
      </c>
      <c r="AN1509" s="68"/>
      <c r="AO1509" s="67"/>
      <c r="AP1509" s="67"/>
      <c r="AQ1509" s="67"/>
      <c r="AR1509" s="67"/>
      <c r="AS1509" s="67"/>
      <c r="AT1509" s="68"/>
      <c r="AU1509" s="49"/>
      <c r="AV1509" s="50"/>
    </row>
    <row r="1510" spans="1:48" ht="12.75" customHeight="1" x14ac:dyDescent="0.25">
      <c r="A1510" s="72" t="s">
        <v>883</v>
      </c>
      <c r="B1510" s="43" t="s">
        <v>1580</v>
      </c>
      <c r="C1510" s="44" t="s">
        <v>1666</v>
      </c>
      <c r="D1510" s="45">
        <f>MROUND(MID($C1510,6,3)/Basis!$E$3,0.5)</f>
        <v>5</v>
      </c>
      <c r="E1510" s="45">
        <f>MROUND(MID($C1510,9,3)/Basis!$E$3,0.5)</f>
        <v>71</v>
      </c>
      <c r="F1510" s="124" t="s">
        <v>2943</v>
      </c>
      <c r="G1510" s="45">
        <f>ROUND((MROUND($F1510,5)+3)/Basis!$E$3,1)</f>
        <v>5.0999999999999996</v>
      </c>
      <c r="H1510" s="120">
        <f>ROUND($P1510*Basis!$E$2*((TaH-TrH)/LN(1/µ)/Basis!$E$7)^$N1510*$AA$4*Glycol,0)</f>
        <v>1942</v>
      </c>
      <c r="I1510" s="83">
        <f>ROUND(H1510/(MID($C1510,9,3)/Basis!$E$3/Basis!$E$9)*Basis!$E$11,0)</f>
        <v>329</v>
      </c>
      <c r="J1510" s="123">
        <f>IF(Basis!$E$1=1,ROUND(H1510/((TaH-TrH)*1.163)/3600,3),ROUND(H1510/(500*(TaH-TrH)),2))</f>
        <v>0.19</v>
      </c>
      <c r="K1510" s="84"/>
      <c r="L1510" s="177">
        <f>CHOOSE(Basis!$E$1,((AJ1510*(J1510*3600/Basis!$E$5)^AK1510*(((MID(C1510,9,3)*10)-144)/1000)*AL1510+AM1510*(J1510*3600/Basis!$E$5)^2)*0.0098)/Basis!$E$10,((AJ1510*(J1510/Basis!$E$5)^AK1510*(((MID(C1510,9,3)*10)-144)/1000)*AL1510+AM1510*(J1510/Basis!$E$5)^2)*0.0098)/Basis!$E$10)</f>
        <v>5.1838133937901869E-3</v>
      </c>
      <c r="M1510" s="85"/>
      <c r="N1510" s="109">
        <v>1.419</v>
      </c>
      <c r="O1510" s="68"/>
      <c r="P1510" s="67">
        <v>909</v>
      </c>
      <c r="Q1510" s="68"/>
      <c r="R1510" s="69"/>
      <c r="S1510" s="69"/>
      <c r="T1510" s="69"/>
      <c r="U1510" s="69"/>
      <c r="V1510" s="69"/>
      <c r="W1510" s="68"/>
      <c r="X1510" s="70"/>
      <c r="Y1510" s="70"/>
      <c r="Z1510" s="70"/>
      <c r="AA1510" s="70"/>
      <c r="AB1510" s="70"/>
      <c r="AC1510" s="68"/>
      <c r="AD1510" s="71"/>
      <c r="AE1510" s="71"/>
      <c r="AF1510" s="71"/>
      <c r="AG1510" s="71"/>
      <c r="AH1510" s="71"/>
      <c r="AI1510" s="68"/>
      <c r="AJ1510" s="214">
        <v>3.9689999999999994E-4</v>
      </c>
      <c r="AK1510" s="214">
        <v>1.7345999999999999</v>
      </c>
      <c r="AL1510" s="214">
        <v>2</v>
      </c>
      <c r="AM1510" s="214">
        <v>3.6734700000000002E-4</v>
      </c>
      <c r="AN1510" s="68"/>
      <c r="AO1510" s="67"/>
      <c r="AP1510" s="67"/>
      <c r="AQ1510" s="67"/>
      <c r="AR1510" s="67"/>
      <c r="AS1510" s="67"/>
      <c r="AT1510" s="68"/>
      <c r="AU1510" s="49"/>
      <c r="AV1510" s="50"/>
    </row>
    <row r="1511" spans="1:48" ht="12.75" customHeight="1" x14ac:dyDescent="0.25">
      <c r="A1511" s="72" t="s">
        <v>883</v>
      </c>
      <c r="B1511" s="43" t="s">
        <v>1580</v>
      </c>
      <c r="C1511" s="44" t="s">
        <v>1667</v>
      </c>
      <c r="D1511" s="45">
        <f>MROUND(MID($C1511,6,3)/Basis!$E$3,0.5)</f>
        <v>5</v>
      </c>
      <c r="E1511" s="45">
        <f>MROUND(MID($C1511,9,3)/Basis!$E$3,0.5)</f>
        <v>71</v>
      </c>
      <c r="F1511" s="124" t="s">
        <v>2944</v>
      </c>
      <c r="G1511" s="45">
        <f>ROUND((MROUND($F1511,5)+3)/Basis!$E$3,1)</f>
        <v>7.1</v>
      </c>
      <c r="H1511" s="120">
        <f>ROUND($P1511*Basis!$E$2*((TaH-TrH)/LN(1/µ)/Basis!$E$7)^$N1511*$AA$4*Glycol,0)</f>
        <v>3261</v>
      </c>
      <c r="I1511" s="83">
        <f>ROUND(H1511/(MID($C1511,9,3)/Basis!$E$3/Basis!$E$9)*Basis!$E$11,0)</f>
        <v>552</v>
      </c>
      <c r="J1511" s="123">
        <f>IF(Basis!$E$1=1,ROUND(H1511/((TaH-TrH)*1.163)/3600,3),ROUND(H1511/(500*(TaH-TrH)),2))</f>
        <v>0.33</v>
      </c>
      <c r="K1511" s="84"/>
      <c r="L1511" s="177">
        <f>CHOOSE(Basis!$E$1,((AJ1511*(J1511*3600/Basis!$E$5)^AK1511*(((MID(C1511,9,3)*10)-144)/1000)*AL1511+AM1511*(J1511*3600/Basis!$E$5)^2)*0.0098)/Basis!$E$10,((AJ1511*(J1511/Basis!$E$5)^AK1511*(((MID(C1511,9,3)*10)-144)/1000)*AL1511+AM1511*(J1511/Basis!$E$5)^2)*0.0098)/Basis!$E$10)</f>
        <v>1.2332504858547245E-2</v>
      </c>
      <c r="M1511" s="85"/>
      <c r="N1511" s="109">
        <v>1.4159999999999999</v>
      </c>
      <c r="O1511" s="68"/>
      <c r="P1511" s="67">
        <v>1525</v>
      </c>
      <c r="Q1511" s="68"/>
      <c r="R1511" s="69"/>
      <c r="S1511" s="69"/>
      <c r="T1511" s="69"/>
      <c r="U1511" s="69"/>
      <c r="V1511" s="69"/>
      <c r="W1511" s="68"/>
      <c r="X1511" s="70"/>
      <c r="Y1511" s="70"/>
      <c r="Z1511" s="70"/>
      <c r="AA1511" s="70"/>
      <c r="AB1511" s="70"/>
      <c r="AC1511" s="68"/>
      <c r="AD1511" s="71"/>
      <c r="AE1511" s="71"/>
      <c r="AF1511" s="71"/>
      <c r="AG1511" s="71"/>
      <c r="AH1511" s="71"/>
      <c r="AI1511" s="68"/>
      <c r="AJ1511" s="214">
        <v>2.0829999999999999E-4</v>
      </c>
      <c r="AK1511" s="214">
        <v>1.724</v>
      </c>
      <c r="AL1511" s="214">
        <v>2</v>
      </c>
      <c r="AM1511" s="214">
        <v>4.6182900000000003E-4</v>
      </c>
      <c r="AN1511" s="68"/>
      <c r="AO1511" s="67"/>
      <c r="AP1511" s="67"/>
      <c r="AQ1511" s="67"/>
      <c r="AR1511" s="67"/>
      <c r="AS1511" s="67"/>
      <c r="AT1511" s="68"/>
      <c r="AU1511" s="49"/>
      <c r="AV1511" s="50"/>
    </row>
    <row r="1512" spans="1:48" ht="12.75" customHeight="1" x14ac:dyDescent="0.25">
      <c r="A1512" s="72" t="s">
        <v>883</v>
      </c>
      <c r="B1512" s="43" t="s">
        <v>1580</v>
      </c>
      <c r="C1512" s="44" t="s">
        <v>1668</v>
      </c>
      <c r="D1512" s="45">
        <f>MROUND(MID($C1512,6,3)/Basis!$E$3,0.5)</f>
        <v>5</v>
      </c>
      <c r="E1512" s="45">
        <f>MROUND(MID($C1512,9,3)/Basis!$E$3,0.5)</f>
        <v>71</v>
      </c>
      <c r="F1512" s="124" t="s">
        <v>2945</v>
      </c>
      <c r="G1512" s="45">
        <f>ROUND((MROUND($F1512,5)+3)/Basis!$E$3,1)</f>
        <v>9.1</v>
      </c>
      <c r="H1512" s="120">
        <f>ROUND($P1512*Basis!$E$2*((TaH-TrH)/LN(1/µ)/Basis!$E$7)^$N1512*$AA$4*Glycol,0)</f>
        <v>4599</v>
      </c>
      <c r="I1512" s="83">
        <f>ROUND(H1512/(MID($C1512,9,3)/Basis!$E$3/Basis!$E$9)*Basis!$E$11,0)</f>
        <v>779</v>
      </c>
      <c r="J1512" s="123">
        <f>IF(Basis!$E$1=1,ROUND(H1512/((TaH-TrH)*1.163)/3600,3),ROUND(H1512/(500*(TaH-TrH)),2))</f>
        <v>0.46</v>
      </c>
      <c r="K1512" s="84"/>
      <c r="L1512" s="177">
        <f>CHOOSE(Basis!$E$1,((AJ1512*(J1512*3600/Basis!$E$5)^AK1512*(((MID(C1512,9,3)*10)-144)/1000)*AL1512+AM1512*(J1512*3600/Basis!$E$5)^2)*0.0098)/Basis!$E$10,((AJ1512*(J1512/Basis!$E$5)^AK1512*(((MID(C1512,9,3)*10)-144)/1000)*AL1512+AM1512*(J1512/Basis!$E$5)^2)*0.0098)/Basis!$E$10)</f>
        <v>1.7581540223983557E-2</v>
      </c>
      <c r="M1512" s="85"/>
      <c r="N1512" s="109">
        <v>1.4159999999999999</v>
      </c>
      <c r="O1512" s="68"/>
      <c r="P1512" s="67">
        <v>2151</v>
      </c>
      <c r="Q1512" s="68"/>
      <c r="R1512" s="69"/>
      <c r="S1512" s="69"/>
      <c r="T1512" s="69"/>
      <c r="U1512" s="69"/>
      <c r="V1512" s="69"/>
      <c r="W1512" s="68"/>
      <c r="X1512" s="70"/>
      <c r="Y1512" s="70"/>
      <c r="Z1512" s="70"/>
      <c r="AA1512" s="70"/>
      <c r="AB1512" s="70"/>
      <c r="AC1512" s="68"/>
      <c r="AD1512" s="71"/>
      <c r="AE1512" s="71"/>
      <c r="AF1512" s="71"/>
      <c r="AG1512" s="71"/>
      <c r="AH1512" s="71"/>
      <c r="AI1512" s="68"/>
      <c r="AJ1512" s="214">
        <v>1.2760000000000001E-4</v>
      </c>
      <c r="AK1512" s="214">
        <v>1.7219</v>
      </c>
      <c r="AL1512" s="214">
        <v>2</v>
      </c>
      <c r="AM1512" s="214">
        <v>3.76611E-4</v>
      </c>
      <c r="AN1512" s="68"/>
      <c r="AO1512" s="67"/>
      <c r="AP1512" s="67"/>
      <c r="AQ1512" s="67"/>
      <c r="AR1512" s="67"/>
      <c r="AS1512" s="67"/>
      <c r="AT1512" s="68"/>
      <c r="AU1512" s="49"/>
      <c r="AV1512" s="50"/>
    </row>
    <row r="1513" spans="1:48" ht="12.75" customHeight="1" x14ac:dyDescent="0.25">
      <c r="A1513" s="72" t="s">
        <v>883</v>
      </c>
      <c r="B1513" s="43" t="s">
        <v>1580</v>
      </c>
      <c r="C1513" s="44" t="s">
        <v>1669</v>
      </c>
      <c r="D1513" s="45">
        <f>MROUND(MID($C1513,6,3)/Basis!$E$3,0.5)</f>
        <v>5</v>
      </c>
      <c r="E1513" s="45">
        <f>MROUND(MID($C1513,9,3)/Basis!$E$3,0.5)</f>
        <v>78.5</v>
      </c>
      <c r="F1513" s="124" t="s">
        <v>2954</v>
      </c>
      <c r="G1513" s="45">
        <f>ROUND((MROUND($F1513,5)+3)/Basis!$E$3,1)</f>
        <v>3.1</v>
      </c>
      <c r="H1513" s="120">
        <f>ROUND($P1513*Basis!$E$2*((TaH-TrH)/LN(1/µ)/Basis!$E$7)^$N1513*$AA$4*Glycol,0)</f>
        <v>1408</v>
      </c>
      <c r="I1513" s="83">
        <f>ROUND(H1513/(MID($C1513,9,3)/Basis!$E$3/Basis!$E$9)*Basis!$E$11,0)</f>
        <v>215</v>
      </c>
      <c r="J1513" s="123">
        <f>IF(Basis!$E$1=1,ROUND(H1513/((TaH-TrH)*1.163)/3600,3),ROUND(H1513/(500*(TaH-TrH)),2))</f>
        <v>0.14000000000000001</v>
      </c>
      <c r="K1513" s="84"/>
      <c r="L1513" s="177">
        <f>CHOOSE(Basis!$E$1,((AJ1513*(J1513*3600/Basis!$E$5)^AK1513*(((MID(C1513,9,3)*10)-144)/1000)*AL1513+AM1513*(J1513*3600/Basis!$E$5)^2)*0.0098)/Basis!$E$10,((AJ1513*(J1513/Basis!$E$5)^AK1513*(((MID(C1513,9,3)*10)-144)/1000)*AL1513+AM1513*(J1513/Basis!$E$5)^2)*0.0098)/Basis!$E$10)</f>
        <v>7.0291459134270776E-3</v>
      </c>
      <c r="M1513" s="85"/>
      <c r="N1513" s="109">
        <v>1.413</v>
      </c>
      <c r="O1513" s="68"/>
      <c r="P1513" s="67">
        <v>658</v>
      </c>
      <c r="Q1513" s="68"/>
      <c r="R1513" s="69"/>
      <c r="S1513" s="69"/>
      <c r="T1513" s="69"/>
      <c r="U1513" s="69"/>
      <c r="V1513" s="69"/>
      <c r="W1513" s="68"/>
      <c r="X1513" s="70"/>
      <c r="Y1513" s="70"/>
      <c r="Z1513" s="70"/>
      <c r="AA1513" s="70"/>
      <c r="AB1513" s="70"/>
      <c r="AC1513" s="68"/>
      <c r="AD1513" s="71"/>
      <c r="AE1513" s="71"/>
      <c r="AF1513" s="71"/>
      <c r="AG1513" s="71"/>
      <c r="AH1513" s="71"/>
      <c r="AI1513" s="68"/>
      <c r="AJ1513" s="214">
        <v>9.3669999999999995E-4</v>
      </c>
      <c r="AK1513" s="214">
        <v>1.789841</v>
      </c>
      <c r="AL1513" s="214">
        <v>2</v>
      </c>
      <c r="AM1513" s="214">
        <v>4.4559999999999999E-4</v>
      </c>
      <c r="AN1513" s="68"/>
      <c r="AO1513" s="67"/>
      <c r="AP1513" s="67"/>
      <c r="AQ1513" s="67"/>
      <c r="AR1513" s="67"/>
      <c r="AS1513" s="67"/>
      <c r="AT1513" s="68"/>
      <c r="AU1513" s="49"/>
      <c r="AV1513" s="50"/>
    </row>
    <row r="1514" spans="1:48" ht="12.75" customHeight="1" x14ac:dyDescent="0.25">
      <c r="A1514" s="72" t="s">
        <v>883</v>
      </c>
      <c r="B1514" s="43" t="s">
        <v>1580</v>
      </c>
      <c r="C1514" s="44" t="s">
        <v>1670</v>
      </c>
      <c r="D1514" s="45">
        <f>MROUND(MID($C1514,6,3)/Basis!$E$3,0.5)</f>
        <v>5</v>
      </c>
      <c r="E1514" s="45">
        <f>MROUND(MID($C1514,9,3)/Basis!$E$3,0.5)</f>
        <v>78.5</v>
      </c>
      <c r="F1514" s="124" t="s">
        <v>2943</v>
      </c>
      <c r="G1514" s="45">
        <f>ROUND((MROUND($F1514,5)+3)/Basis!$E$3,1)</f>
        <v>5.0999999999999996</v>
      </c>
      <c r="H1514" s="120">
        <f>ROUND($P1514*Basis!$E$2*((TaH-TrH)/LN(1/µ)/Basis!$E$7)^$N1514*$AA$4*Glycol,0)</f>
        <v>2158</v>
      </c>
      <c r="I1514" s="83">
        <f>ROUND(H1514/(MID($C1514,9,3)/Basis!$E$3/Basis!$E$9)*Basis!$E$11,0)</f>
        <v>329</v>
      </c>
      <c r="J1514" s="123">
        <f>IF(Basis!$E$1=1,ROUND(H1514/((TaH-TrH)*1.163)/3600,3),ROUND(H1514/(500*(TaH-TrH)),2))</f>
        <v>0.22</v>
      </c>
      <c r="K1514" s="84"/>
      <c r="L1514" s="177">
        <f>CHOOSE(Basis!$E$1,((AJ1514*(J1514*3600/Basis!$E$5)^AK1514*(((MID(C1514,9,3)*10)-144)/1000)*AL1514+AM1514*(J1514*3600/Basis!$E$5)^2)*0.0098)/Basis!$E$10,((AJ1514*(J1514/Basis!$E$5)^AK1514*(((MID(C1514,9,3)*10)-144)/1000)*AL1514+AM1514*(J1514/Basis!$E$5)^2)*0.0098)/Basis!$E$10)</f>
        <v>7.2582446332216692E-3</v>
      </c>
      <c r="M1514" s="85"/>
      <c r="N1514" s="109">
        <v>1.419</v>
      </c>
      <c r="O1514" s="68"/>
      <c r="P1514" s="67">
        <v>1010</v>
      </c>
      <c r="Q1514" s="68"/>
      <c r="R1514" s="69"/>
      <c r="S1514" s="69"/>
      <c r="T1514" s="69"/>
      <c r="U1514" s="69"/>
      <c r="V1514" s="69"/>
      <c r="W1514" s="68"/>
      <c r="X1514" s="70"/>
      <c r="Y1514" s="70"/>
      <c r="Z1514" s="70"/>
      <c r="AA1514" s="70"/>
      <c r="AB1514" s="70"/>
      <c r="AC1514" s="68"/>
      <c r="AD1514" s="71"/>
      <c r="AE1514" s="71"/>
      <c r="AF1514" s="71"/>
      <c r="AG1514" s="71"/>
      <c r="AH1514" s="71"/>
      <c r="AI1514" s="68"/>
      <c r="AJ1514" s="214">
        <v>3.9689999999999994E-4</v>
      </c>
      <c r="AK1514" s="214">
        <v>1.7345999999999999</v>
      </c>
      <c r="AL1514" s="214">
        <v>2</v>
      </c>
      <c r="AM1514" s="214">
        <v>3.6734700000000002E-4</v>
      </c>
      <c r="AN1514" s="68"/>
      <c r="AO1514" s="67"/>
      <c r="AP1514" s="67"/>
      <c r="AQ1514" s="67"/>
      <c r="AR1514" s="67"/>
      <c r="AS1514" s="67"/>
      <c r="AT1514" s="68"/>
      <c r="AU1514" s="49"/>
      <c r="AV1514" s="50"/>
    </row>
    <row r="1515" spans="1:48" ht="12.75" customHeight="1" x14ac:dyDescent="0.25">
      <c r="A1515" s="72" t="s">
        <v>883</v>
      </c>
      <c r="B1515" s="43" t="s">
        <v>1580</v>
      </c>
      <c r="C1515" s="44" t="s">
        <v>1671</v>
      </c>
      <c r="D1515" s="45">
        <f>MROUND(MID($C1515,6,3)/Basis!$E$3,0.5)</f>
        <v>5</v>
      </c>
      <c r="E1515" s="45">
        <f>MROUND(MID($C1515,9,3)/Basis!$E$3,0.5)</f>
        <v>78.5</v>
      </c>
      <c r="F1515" s="124" t="s">
        <v>2944</v>
      </c>
      <c r="G1515" s="45">
        <f>ROUND((MROUND($F1515,5)+3)/Basis!$E$3,1)</f>
        <v>7.1</v>
      </c>
      <c r="H1515" s="120">
        <f>ROUND($P1515*Basis!$E$2*((TaH-TrH)/LN(1/µ)/Basis!$E$7)^$N1515*$AA$4*Glycol,0)</f>
        <v>3622</v>
      </c>
      <c r="I1515" s="83">
        <f>ROUND(H1515/(MID($C1515,9,3)/Basis!$E$3/Basis!$E$9)*Basis!$E$11,0)</f>
        <v>552</v>
      </c>
      <c r="J1515" s="123">
        <f>IF(Basis!$E$1=1,ROUND(H1515/((TaH-TrH)*1.163)/3600,3),ROUND(H1515/(500*(TaH-TrH)),2))</f>
        <v>0.36</v>
      </c>
      <c r="K1515" s="84"/>
      <c r="L1515" s="177">
        <f>CHOOSE(Basis!$E$1,((AJ1515*(J1515*3600/Basis!$E$5)^AK1515*(((MID(C1515,9,3)*10)-144)/1000)*AL1515+AM1515*(J1515*3600/Basis!$E$5)^2)*0.0098)/Basis!$E$10,((AJ1515*(J1515/Basis!$E$5)^AK1515*(((MID(C1515,9,3)*10)-144)/1000)*AL1515+AM1515*(J1515/Basis!$E$5)^2)*0.0098)/Basis!$E$10)</f>
        <v>1.5108156502633432E-2</v>
      </c>
      <c r="M1515" s="85"/>
      <c r="N1515" s="109">
        <v>1.4159999999999999</v>
      </c>
      <c r="O1515" s="68"/>
      <c r="P1515" s="67">
        <v>1694</v>
      </c>
      <c r="Q1515" s="68"/>
      <c r="R1515" s="69"/>
      <c r="S1515" s="69"/>
      <c r="T1515" s="69"/>
      <c r="U1515" s="69"/>
      <c r="V1515" s="69"/>
      <c r="W1515" s="68"/>
      <c r="X1515" s="70"/>
      <c r="Y1515" s="70"/>
      <c r="Z1515" s="70"/>
      <c r="AA1515" s="70"/>
      <c r="AB1515" s="70"/>
      <c r="AC1515" s="68"/>
      <c r="AD1515" s="71"/>
      <c r="AE1515" s="71"/>
      <c r="AF1515" s="71"/>
      <c r="AG1515" s="71"/>
      <c r="AH1515" s="71"/>
      <c r="AI1515" s="68"/>
      <c r="AJ1515" s="214">
        <v>2.0829999999999999E-4</v>
      </c>
      <c r="AK1515" s="214">
        <v>1.724</v>
      </c>
      <c r="AL1515" s="214">
        <v>2</v>
      </c>
      <c r="AM1515" s="214">
        <v>4.6182900000000003E-4</v>
      </c>
      <c r="AN1515" s="68"/>
      <c r="AO1515" s="67"/>
      <c r="AP1515" s="67"/>
      <c r="AQ1515" s="67"/>
      <c r="AR1515" s="67"/>
      <c r="AS1515" s="67"/>
      <c r="AT1515" s="68"/>
      <c r="AU1515" s="49"/>
      <c r="AV1515" s="50"/>
    </row>
    <row r="1516" spans="1:48" ht="12.75" customHeight="1" x14ac:dyDescent="0.25">
      <c r="A1516" s="72" t="s">
        <v>883</v>
      </c>
      <c r="B1516" s="43" t="s">
        <v>1580</v>
      </c>
      <c r="C1516" s="44" t="s">
        <v>1672</v>
      </c>
      <c r="D1516" s="45">
        <f>MROUND(MID($C1516,6,3)/Basis!$E$3,0.5)</f>
        <v>5</v>
      </c>
      <c r="E1516" s="45">
        <f>MROUND(MID($C1516,9,3)/Basis!$E$3,0.5)</f>
        <v>78.5</v>
      </c>
      <c r="F1516" s="124" t="s">
        <v>2945</v>
      </c>
      <c r="G1516" s="45">
        <f>ROUND((MROUND($F1516,5)+3)/Basis!$E$3,1)</f>
        <v>9.1</v>
      </c>
      <c r="H1516" s="120">
        <f>ROUND($P1516*Basis!$E$2*((TaH-TrH)/LN(1/µ)/Basis!$E$7)^$N1516*$AA$4*Glycol,0)</f>
        <v>5110</v>
      </c>
      <c r="I1516" s="83">
        <f>ROUND(H1516/(MID($C1516,9,3)/Basis!$E$3/Basis!$E$9)*Basis!$E$11,0)</f>
        <v>779</v>
      </c>
      <c r="J1516" s="123">
        <f>IF(Basis!$E$1=1,ROUND(H1516/((TaH-TrH)*1.163)/3600,3),ROUND(H1516/(500*(TaH-TrH)),2))</f>
        <v>0.51</v>
      </c>
      <c r="K1516" s="84"/>
      <c r="L1516" s="177">
        <f>CHOOSE(Basis!$E$1,((AJ1516*(J1516*3600/Basis!$E$5)^AK1516*(((MID(C1516,9,3)*10)-144)/1000)*AL1516+AM1516*(J1516*3600/Basis!$E$5)^2)*0.0098)/Basis!$E$10,((AJ1516*(J1516/Basis!$E$5)^AK1516*(((MID(C1516,9,3)*10)-144)/1000)*AL1516+AM1516*(J1516/Basis!$E$5)^2)*0.0098)/Basis!$E$10)</f>
        <v>2.2064607284144576E-2</v>
      </c>
      <c r="M1516" s="85"/>
      <c r="N1516" s="109">
        <v>1.4159999999999999</v>
      </c>
      <c r="O1516" s="68"/>
      <c r="P1516" s="67">
        <v>2390</v>
      </c>
      <c r="Q1516" s="68"/>
      <c r="R1516" s="69"/>
      <c r="S1516" s="69"/>
      <c r="T1516" s="69"/>
      <c r="U1516" s="69"/>
      <c r="V1516" s="69"/>
      <c r="W1516" s="68"/>
      <c r="X1516" s="70"/>
      <c r="Y1516" s="70"/>
      <c r="Z1516" s="70"/>
      <c r="AA1516" s="70"/>
      <c r="AB1516" s="70"/>
      <c r="AC1516" s="68"/>
      <c r="AD1516" s="71"/>
      <c r="AE1516" s="71"/>
      <c r="AF1516" s="71"/>
      <c r="AG1516" s="71"/>
      <c r="AH1516" s="71"/>
      <c r="AI1516" s="68"/>
      <c r="AJ1516" s="214">
        <v>1.2760000000000001E-4</v>
      </c>
      <c r="AK1516" s="214">
        <v>1.7219</v>
      </c>
      <c r="AL1516" s="214">
        <v>2</v>
      </c>
      <c r="AM1516" s="214">
        <v>3.76611E-4</v>
      </c>
      <c r="AN1516" s="68"/>
      <c r="AO1516" s="67"/>
      <c r="AP1516" s="67"/>
      <c r="AQ1516" s="67"/>
      <c r="AR1516" s="67"/>
      <c r="AS1516" s="67"/>
      <c r="AT1516" s="68"/>
      <c r="AU1516" s="49"/>
      <c r="AV1516" s="50"/>
    </row>
    <row r="1517" spans="1:48" ht="12.75" customHeight="1" x14ac:dyDescent="0.25">
      <c r="A1517" s="72" t="s">
        <v>883</v>
      </c>
      <c r="B1517" s="43" t="s">
        <v>1580</v>
      </c>
      <c r="C1517" s="44" t="s">
        <v>1673</v>
      </c>
      <c r="D1517" s="45">
        <f>MROUND(MID($C1517,6,3)/Basis!$E$3,0.5)</f>
        <v>5</v>
      </c>
      <c r="E1517" s="45">
        <f>MROUND(MID($C1517,9,3)/Basis!$E$3,0.5)</f>
        <v>86.5</v>
      </c>
      <c r="F1517" s="124" t="s">
        <v>2954</v>
      </c>
      <c r="G1517" s="45">
        <f>ROUND((MROUND($F1517,5)+3)/Basis!$E$3,1)</f>
        <v>3.1</v>
      </c>
      <c r="H1517" s="120">
        <f>ROUND($P1517*Basis!$E$2*((TaH-TrH)/LN(1/µ)/Basis!$E$7)^$N1517*$AA$4*Glycol,0)</f>
        <v>1550</v>
      </c>
      <c r="I1517" s="83">
        <f>ROUND(H1517/(MID($C1517,9,3)/Basis!$E$3/Basis!$E$9)*Basis!$E$11,0)</f>
        <v>215</v>
      </c>
      <c r="J1517" s="123">
        <f>IF(Basis!$E$1=1,ROUND(H1517/((TaH-TrH)*1.163)/3600,3),ROUND(H1517/(500*(TaH-TrH)),2))</f>
        <v>0.16</v>
      </c>
      <c r="K1517" s="84"/>
      <c r="L1517" s="177">
        <f>CHOOSE(Basis!$E$1,((AJ1517*(J1517*3600/Basis!$E$5)^AK1517*(((MID(C1517,9,3)*10)-144)/1000)*AL1517+AM1517*(J1517*3600/Basis!$E$5)^2)*0.0098)/Basis!$E$10,((AJ1517*(J1517/Basis!$E$5)^AK1517*(((MID(C1517,9,3)*10)-144)/1000)*AL1517+AM1517*(J1517/Basis!$E$5)^2)*0.0098)/Basis!$E$10)</f>
        <v>9.7404565422202199E-3</v>
      </c>
      <c r="M1517" s="85"/>
      <c r="N1517" s="109">
        <v>1.413</v>
      </c>
      <c r="O1517" s="68"/>
      <c r="P1517" s="67">
        <v>724</v>
      </c>
      <c r="Q1517" s="68"/>
      <c r="R1517" s="69"/>
      <c r="S1517" s="69"/>
      <c r="T1517" s="69"/>
      <c r="U1517" s="69"/>
      <c r="V1517" s="69"/>
      <c r="W1517" s="68"/>
      <c r="X1517" s="70"/>
      <c r="Y1517" s="70"/>
      <c r="Z1517" s="70"/>
      <c r="AA1517" s="70"/>
      <c r="AB1517" s="70"/>
      <c r="AC1517" s="68"/>
      <c r="AD1517" s="71"/>
      <c r="AE1517" s="71"/>
      <c r="AF1517" s="71"/>
      <c r="AG1517" s="71"/>
      <c r="AH1517" s="71"/>
      <c r="AI1517" s="68"/>
      <c r="AJ1517" s="214">
        <v>9.3669999999999995E-4</v>
      </c>
      <c r="AK1517" s="214">
        <v>1.789841</v>
      </c>
      <c r="AL1517" s="214">
        <v>2</v>
      </c>
      <c r="AM1517" s="214">
        <v>4.4559999999999999E-4</v>
      </c>
      <c r="AN1517" s="68"/>
      <c r="AO1517" s="67"/>
      <c r="AP1517" s="67"/>
      <c r="AQ1517" s="67"/>
      <c r="AR1517" s="67"/>
      <c r="AS1517" s="67"/>
      <c r="AT1517" s="68"/>
      <c r="AU1517" s="49"/>
      <c r="AV1517" s="50"/>
    </row>
    <row r="1518" spans="1:48" ht="12.75" customHeight="1" x14ac:dyDescent="0.25">
      <c r="A1518" s="72" t="s">
        <v>883</v>
      </c>
      <c r="B1518" s="43" t="s">
        <v>1580</v>
      </c>
      <c r="C1518" s="44" t="s">
        <v>1674</v>
      </c>
      <c r="D1518" s="45">
        <f>MROUND(MID($C1518,6,3)/Basis!$E$3,0.5)</f>
        <v>5</v>
      </c>
      <c r="E1518" s="45">
        <f>MROUND(MID($C1518,9,3)/Basis!$E$3,0.5)</f>
        <v>86.5</v>
      </c>
      <c r="F1518" s="124" t="s">
        <v>2943</v>
      </c>
      <c r="G1518" s="45">
        <f>ROUND((MROUND($F1518,5)+3)/Basis!$E$3,1)</f>
        <v>5.0999999999999996</v>
      </c>
      <c r="H1518" s="120">
        <f>ROUND($P1518*Basis!$E$2*((TaH-TrH)/LN(1/µ)/Basis!$E$7)^$N1518*$AA$4*Glycol,0)</f>
        <v>2373</v>
      </c>
      <c r="I1518" s="83">
        <f>ROUND(H1518/(MID($C1518,9,3)/Basis!$E$3/Basis!$E$9)*Basis!$E$11,0)</f>
        <v>329</v>
      </c>
      <c r="J1518" s="123">
        <f>IF(Basis!$E$1=1,ROUND(H1518/((TaH-TrH)*1.163)/3600,3),ROUND(H1518/(500*(TaH-TrH)),2))</f>
        <v>0.24</v>
      </c>
      <c r="K1518" s="84"/>
      <c r="L1518" s="177">
        <f>CHOOSE(Basis!$E$1,((AJ1518*(J1518*3600/Basis!$E$5)^AK1518*(((MID(C1518,9,3)*10)-144)/1000)*AL1518+AM1518*(J1518*3600/Basis!$E$5)^2)*0.0098)/Basis!$E$10,((AJ1518*(J1518/Basis!$E$5)^AK1518*(((MID(C1518,9,3)*10)-144)/1000)*AL1518+AM1518*(J1518/Basis!$E$5)^2)*0.0098)/Basis!$E$10)</f>
        <v>9.0559529109777402E-3</v>
      </c>
      <c r="M1518" s="85"/>
      <c r="N1518" s="109">
        <v>1.419</v>
      </c>
      <c r="O1518" s="68"/>
      <c r="P1518" s="67">
        <v>1111</v>
      </c>
      <c r="Q1518" s="68"/>
      <c r="R1518" s="69"/>
      <c r="S1518" s="69"/>
      <c r="T1518" s="69"/>
      <c r="U1518" s="69"/>
      <c r="V1518" s="69"/>
      <c r="W1518" s="68"/>
      <c r="X1518" s="70"/>
      <c r="Y1518" s="70"/>
      <c r="Z1518" s="70"/>
      <c r="AA1518" s="70"/>
      <c r="AB1518" s="70"/>
      <c r="AC1518" s="68"/>
      <c r="AD1518" s="71"/>
      <c r="AE1518" s="71"/>
      <c r="AF1518" s="71"/>
      <c r="AG1518" s="71"/>
      <c r="AH1518" s="71"/>
      <c r="AI1518" s="68"/>
      <c r="AJ1518" s="214">
        <v>3.9689999999999994E-4</v>
      </c>
      <c r="AK1518" s="214">
        <v>1.7345999999999999</v>
      </c>
      <c r="AL1518" s="214">
        <v>2</v>
      </c>
      <c r="AM1518" s="214">
        <v>3.6734700000000002E-4</v>
      </c>
      <c r="AN1518" s="68"/>
      <c r="AO1518" s="67"/>
      <c r="AP1518" s="67"/>
      <c r="AQ1518" s="67"/>
      <c r="AR1518" s="67"/>
      <c r="AS1518" s="67"/>
      <c r="AT1518" s="68"/>
      <c r="AU1518" s="49"/>
      <c r="AV1518" s="50"/>
    </row>
    <row r="1519" spans="1:48" ht="12.75" customHeight="1" x14ac:dyDescent="0.25">
      <c r="A1519" s="72" t="s">
        <v>883</v>
      </c>
      <c r="B1519" s="43" t="s">
        <v>1580</v>
      </c>
      <c r="C1519" s="44" t="s">
        <v>1675</v>
      </c>
      <c r="D1519" s="45">
        <f>MROUND(MID($C1519,6,3)/Basis!$E$3,0.5)</f>
        <v>5</v>
      </c>
      <c r="E1519" s="45">
        <f>MROUND(MID($C1519,9,3)/Basis!$E$3,0.5)</f>
        <v>86.5</v>
      </c>
      <c r="F1519" s="124" t="s">
        <v>2944</v>
      </c>
      <c r="G1519" s="45">
        <f>ROUND((MROUND($F1519,5)+3)/Basis!$E$3,1)</f>
        <v>7.1</v>
      </c>
      <c r="H1519" s="120">
        <f>ROUND($P1519*Basis!$E$2*((TaH-TrH)/LN(1/µ)/Basis!$E$7)^$N1519*$AA$4*Glycol,0)</f>
        <v>3984</v>
      </c>
      <c r="I1519" s="83">
        <f>ROUND(H1519/(MID($C1519,9,3)/Basis!$E$3/Basis!$E$9)*Basis!$E$11,0)</f>
        <v>552</v>
      </c>
      <c r="J1519" s="123">
        <f>IF(Basis!$E$1=1,ROUND(H1519/((TaH-TrH)*1.163)/3600,3),ROUND(H1519/(500*(TaH-TrH)),2))</f>
        <v>0.4</v>
      </c>
      <c r="K1519" s="84"/>
      <c r="L1519" s="177">
        <f>CHOOSE(Basis!$E$1,((AJ1519*(J1519*3600/Basis!$E$5)^AK1519*(((MID(C1519,9,3)*10)-144)/1000)*AL1519+AM1519*(J1519*3600/Basis!$E$5)^2)*0.0098)/Basis!$E$10,((AJ1519*(J1519/Basis!$E$5)^AK1519*(((MID(C1519,9,3)*10)-144)/1000)*AL1519+AM1519*(J1519/Basis!$E$5)^2)*0.0098)/Basis!$E$10)</f>
        <v>1.9122434663533364E-2</v>
      </c>
      <c r="M1519" s="85"/>
      <c r="N1519" s="109">
        <v>1.4159999999999999</v>
      </c>
      <c r="O1519" s="68"/>
      <c r="P1519" s="67">
        <v>1863</v>
      </c>
      <c r="Q1519" s="68"/>
      <c r="R1519" s="69"/>
      <c r="S1519" s="69"/>
      <c r="T1519" s="69"/>
      <c r="U1519" s="69"/>
      <c r="V1519" s="69"/>
      <c r="W1519" s="68"/>
      <c r="X1519" s="70"/>
      <c r="Y1519" s="70"/>
      <c r="Z1519" s="70"/>
      <c r="AA1519" s="70"/>
      <c r="AB1519" s="70"/>
      <c r="AC1519" s="68"/>
      <c r="AD1519" s="71"/>
      <c r="AE1519" s="71"/>
      <c r="AF1519" s="71"/>
      <c r="AG1519" s="71"/>
      <c r="AH1519" s="71"/>
      <c r="AI1519" s="68"/>
      <c r="AJ1519" s="214">
        <v>2.0829999999999999E-4</v>
      </c>
      <c r="AK1519" s="214">
        <v>1.724</v>
      </c>
      <c r="AL1519" s="214">
        <v>2</v>
      </c>
      <c r="AM1519" s="214">
        <v>4.6182900000000003E-4</v>
      </c>
      <c r="AN1519" s="68"/>
      <c r="AO1519" s="67"/>
      <c r="AP1519" s="67"/>
      <c r="AQ1519" s="67"/>
      <c r="AR1519" s="67"/>
      <c r="AS1519" s="67"/>
      <c r="AT1519" s="68"/>
      <c r="AU1519" s="49"/>
      <c r="AV1519" s="50"/>
    </row>
    <row r="1520" spans="1:48" ht="12.75" customHeight="1" x14ac:dyDescent="0.25">
      <c r="A1520" s="72" t="s">
        <v>883</v>
      </c>
      <c r="B1520" s="43" t="s">
        <v>1580</v>
      </c>
      <c r="C1520" s="44" t="s">
        <v>1676</v>
      </c>
      <c r="D1520" s="45">
        <f>MROUND(MID($C1520,6,3)/Basis!$E$3,0.5)</f>
        <v>5</v>
      </c>
      <c r="E1520" s="45">
        <f>MROUND(MID($C1520,9,3)/Basis!$E$3,0.5)</f>
        <v>86.5</v>
      </c>
      <c r="F1520" s="124" t="s">
        <v>2945</v>
      </c>
      <c r="G1520" s="45">
        <f>ROUND((MROUND($F1520,5)+3)/Basis!$E$3,1)</f>
        <v>9.1</v>
      </c>
      <c r="H1520" s="120">
        <f>ROUND($P1520*Basis!$E$2*((TaH-TrH)/LN(1/µ)/Basis!$E$7)^$N1520*$AA$4*Glycol,0)</f>
        <v>5621</v>
      </c>
      <c r="I1520" s="83">
        <f>ROUND(H1520/(MID($C1520,9,3)/Basis!$E$3/Basis!$E$9)*Basis!$E$11,0)</f>
        <v>779</v>
      </c>
      <c r="J1520" s="123">
        <f>IF(Basis!$E$1=1,ROUND(H1520/((TaH-TrH)*1.163)/3600,3),ROUND(H1520/(500*(TaH-TrH)),2))</f>
        <v>0.56000000000000005</v>
      </c>
      <c r="K1520" s="84"/>
      <c r="L1520" s="177">
        <f>CHOOSE(Basis!$E$1,((AJ1520*(J1520*3600/Basis!$E$5)^AK1520*(((MID(C1520,9,3)*10)-144)/1000)*AL1520+AM1520*(J1520*3600/Basis!$E$5)^2)*0.0098)/Basis!$E$10,((AJ1520*(J1520/Basis!$E$5)^AK1520*(((MID(C1520,9,3)*10)-144)/1000)*AL1520+AM1520*(J1520/Basis!$E$5)^2)*0.0098)/Basis!$E$10)</f>
        <v>2.7133101370963423E-2</v>
      </c>
      <c r="M1520" s="85"/>
      <c r="N1520" s="109">
        <v>1.4159999999999999</v>
      </c>
      <c r="O1520" s="68"/>
      <c r="P1520" s="67">
        <v>2629</v>
      </c>
      <c r="Q1520" s="68"/>
      <c r="R1520" s="69"/>
      <c r="S1520" s="69"/>
      <c r="T1520" s="69"/>
      <c r="U1520" s="69"/>
      <c r="V1520" s="69"/>
      <c r="W1520" s="68"/>
      <c r="X1520" s="70"/>
      <c r="Y1520" s="70"/>
      <c r="Z1520" s="70"/>
      <c r="AA1520" s="70"/>
      <c r="AB1520" s="70"/>
      <c r="AC1520" s="68"/>
      <c r="AD1520" s="71"/>
      <c r="AE1520" s="71"/>
      <c r="AF1520" s="71"/>
      <c r="AG1520" s="71"/>
      <c r="AH1520" s="71"/>
      <c r="AI1520" s="68"/>
      <c r="AJ1520" s="214">
        <v>1.2760000000000001E-4</v>
      </c>
      <c r="AK1520" s="214">
        <v>1.7219</v>
      </c>
      <c r="AL1520" s="214">
        <v>2</v>
      </c>
      <c r="AM1520" s="214">
        <v>3.76611E-4</v>
      </c>
      <c r="AN1520" s="68"/>
      <c r="AO1520" s="67"/>
      <c r="AP1520" s="67"/>
      <c r="AQ1520" s="67"/>
      <c r="AR1520" s="67"/>
      <c r="AS1520" s="67"/>
      <c r="AT1520" s="68"/>
      <c r="AU1520" s="49"/>
      <c r="AV1520" s="50"/>
    </row>
    <row r="1521" spans="1:48" ht="12.75" customHeight="1" x14ac:dyDescent="0.25">
      <c r="A1521" s="72" t="s">
        <v>883</v>
      </c>
      <c r="B1521" s="43" t="s">
        <v>1580</v>
      </c>
      <c r="C1521" s="44" t="s">
        <v>1677</v>
      </c>
      <c r="D1521" s="45">
        <f>MROUND(MID($C1521,6,3)/Basis!$E$3,0.5)</f>
        <v>5</v>
      </c>
      <c r="E1521" s="45">
        <f>MROUND(MID($C1521,9,3)/Basis!$E$3,0.5)</f>
        <v>94.5</v>
      </c>
      <c r="F1521" s="124" t="s">
        <v>2954</v>
      </c>
      <c r="G1521" s="45">
        <f>ROUND((MROUND($F1521,5)+3)/Basis!$E$3,1)</f>
        <v>3.1</v>
      </c>
      <c r="H1521" s="120">
        <f>ROUND($P1521*Basis!$E$2*((TaH-TrH)/LN(1/µ)/Basis!$E$7)^$N1521*$AA$4*Glycol,0)</f>
        <v>1691</v>
      </c>
      <c r="I1521" s="83">
        <f>ROUND(H1521/(MID($C1521,9,3)/Basis!$E$3/Basis!$E$9)*Basis!$E$11,0)</f>
        <v>215</v>
      </c>
      <c r="J1521" s="123">
        <f>IF(Basis!$E$1=1,ROUND(H1521/((TaH-TrH)*1.163)/3600,3),ROUND(H1521/(500*(TaH-TrH)),2))</f>
        <v>0.17</v>
      </c>
      <c r="K1521" s="84"/>
      <c r="L1521" s="177">
        <f>CHOOSE(Basis!$E$1,((AJ1521*(J1521*3600/Basis!$E$5)^AK1521*(((MID(C1521,9,3)*10)-144)/1000)*AL1521+AM1521*(J1521*3600/Basis!$E$5)^2)*0.0098)/Basis!$E$10,((AJ1521*(J1521/Basis!$E$5)^AK1521*(((MID(C1521,9,3)*10)-144)/1000)*AL1521+AM1521*(J1521/Basis!$E$5)^2)*0.0098)/Basis!$E$10)</f>
        <v>1.1731845746523341E-2</v>
      </c>
      <c r="M1521" s="85"/>
      <c r="N1521" s="109">
        <v>1.413</v>
      </c>
      <c r="O1521" s="68"/>
      <c r="P1521" s="67">
        <v>790</v>
      </c>
      <c r="Q1521" s="68"/>
      <c r="R1521" s="69"/>
      <c r="S1521" s="69"/>
      <c r="T1521" s="69"/>
      <c r="U1521" s="69"/>
      <c r="V1521" s="69"/>
      <c r="W1521" s="68"/>
      <c r="X1521" s="70"/>
      <c r="Y1521" s="70"/>
      <c r="Z1521" s="70"/>
      <c r="AA1521" s="70"/>
      <c r="AB1521" s="70"/>
      <c r="AC1521" s="68"/>
      <c r="AD1521" s="71"/>
      <c r="AE1521" s="71"/>
      <c r="AF1521" s="71"/>
      <c r="AG1521" s="71"/>
      <c r="AH1521" s="71"/>
      <c r="AI1521" s="68"/>
      <c r="AJ1521" s="214">
        <v>9.3669999999999995E-4</v>
      </c>
      <c r="AK1521" s="214">
        <v>1.789841</v>
      </c>
      <c r="AL1521" s="214">
        <v>2</v>
      </c>
      <c r="AM1521" s="214">
        <v>4.4559999999999999E-4</v>
      </c>
      <c r="AN1521" s="68"/>
      <c r="AO1521" s="67"/>
      <c r="AP1521" s="67"/>
      <c r="AQ1521" s="67"/>
      <c r="AR1521" s="67"/>
      <c r="AS1521" s="67"/>
      <c r="AT1521" s="68"/>
      <c r="AU1521" s="49"/>
      <c r="AV1521" s="50"/>
    </row>
    <row r="1522" spans="1:48" ht="12.75" customHeight="1" x14ac:dyDescent="0.25">
      <c r="A1522" s="72" t="s">
        <v>883</v>
      </c>
      <c r="B1522" s="43" t="s">
        <v>1580</v>
      </c>
      <c r="C1522" s="44" t="s">
        <v>1678</v>
      </c>
      <c r="D1522" s="45">
        <f>MROUND(MID($C1522,6,3)/Basis!$E$3,0.5)</f>
        <v>5</v>
      </c>
      <c r="E1522" s="45">
        <f>MROUND(MID($C1522,9,3)/Basis!$E$3,0.5)</f>
        <v>94.5</v>
      </c>
      <c r="F1522" s="124" t="s">
        <v>2943</v>
      </c>
      <c r="G1522" s="45">
        <f>ROUND((MROUND($F1522,5)+3)/Basis!$E$3,1)</f>
        <v>5.0999999999999996</v>
      </c>
      <c r="H1522" s="120">
        <f>ROUND($P1522*Basis!$E$2*((TaH-TrH)/LN(1/µ)/Basis!$E$7)^$N1522*$AA$4*Glycol,0)</f>
        <v>2589</v>
      </c>
      <c r="I1522" s="83">
        <f>ROUND(H1522/(MID($C1522,9,3)/Basis!$E$3/Basis!$E$9)*Basis!$E$11,0)</f>
        <v>329</v>
      </c>
      <c r="J1522" s="123">
        <f>IF(Basis!$E$1=1,ROUND(H1522/((TaH-TrH)*1.163)/3600,3),ROUND(H1522/(500*(TaH-TrH)),2))</f>
        <v>0.26</v>
      </c>
      <c r="K1522" s="84"/>
      <c r="L1522" s="177">
        <f>CHOOSE(Basis!$E$1,((AJ1522*(J1522*3600/Basis!$E$5)^AK1522*(((MID(C1522,9,3)*10)-144)/1000)*AL1522+AM1522*(J1522*3600/Basis!$E$5)^2)*0.0098)/Basis!$E$10,((AJ1522*(J1522/Basis!$E$5)^AK1522*(((MID(C1522,9,3)*10)-144)/1000)*AL1522+AM1522*(J1522/Basis!$E$5)^2)*0.0098)/Basis!$E$10)</f>
        <v>1.1106067589089989E-2</v>
      </c>
      <c r="M1522" s="85"/>
      <c r="N1522" s="109">
        <v>1.419</v>
      </c>
      <c r="O1522" s="68"/>
      <c r="P1522" s="67">
        <v>1212</v>
      </c>
      <c r="Q1522" s="68"/>
      <c r="R1522" s="69"/>
      <c r="S1522" s="69"/>
      <c r="T1522" s="69"/>
      <c r="U1522" s="69"/>
      <c r="V1522" s="69"/>
      <c r="W1522" s="68"/>
      <c r="X1522" s="70"/>
      <c r="Y1522" s="70"/>
      <c r="Z1522" s="70"/>
      <c r="AA1522" s="70"/>
      <c r="AB1522" s="70"/>
      <c r="AC1522" s="68"/>
      <c r="AD1522" s="71"/>
      <c r="AE1522" s="71"/>
      <c r="AF1522" s="71"/>
      <c r="AG1522" s="71"/>
      <c r="AH1522" s="71"/>
      <c r="AI1522" s="68"/>
      <c r="AJ1522" s="214">
        <v>3.9689999999999994E-4</v>
      </c>
      <c r="AK1522" s="214">
        <v>1.7345999999999999</v>
      </c>
      <c r="AL1522" s="214">
        <v>2</v>
      </c>
      <c r="AM1522" s="214">
        <v>3.6734700000000002E-4</v>
      </c>
      <c r="AN1522" s="68"/>
      <c r="AO1522" s="67"/>
      <c r="AP1522" s="67"/>
      <c r="AQ1522" s="67"/>
      <c r="AR1522" s="67"/>
      <c r="AS1522" s="67"/>
      <c r="AT1522" s="68"/>
      <c r="AU1522" s="49"/>
      <c r="AV1522" s="50"/>
    </row>
    <row r="1523" spans="1:48" ht="12.75" customHeight="1" x14ac:dyDescent="0.25">
      <c r="A1523" s="72" t="s">
        <v>883</v>
      </c>
      <c r="B1523" s="43" t="s">
        <v>1580</v>
      </c>
      <c r="C1523" s="44" t="s">
        <v>1679</v>
      </c>
      <c r="D1523" s="45">
        <f>MROUND(MID($C1523,6,3)/Basis!$E$3,0.5)</f>
        <v>5</v>
      </c>
      <c r="E1523" s="45">
        <f>MROUND(MID($C1523,9,3)/Basis!$E$3,0.5)</f>
        <v>94.5</v>
      </c>
      <c r="F1523" s="124" t="s">
        <v>2944</v>
      </c>
      <c r="G1523" s="45">
        <f>ROUND((MROUND($F1523,5)+3)/Basis!$E$3,1)</f>
        <v>7.1</v>
      </c>
      <c r="H1523" s="120">
        <f>ROUND($P1523*Basis!$E$2*((TaH-TrH)/LN(1/µ)/Basis!$E$7)^$N1523*$AA$4*Glycol,0)</f>
        <v>4347</v>
      </c>
      <c r="I1523" s="83">
        <f>ROUND(H1523/(MID($C1523,9,3)/Basis!$E$3/Basis!$E$9)*Basis!$E$11,0)</f>
        <v>552</v>
      </c>
      <c r="J1523" s="123">
        <f>IF(Basis!$E$1=1,ROUND(H1523/((TaH-TrH)*1.163)/3600,3),ROUND(H1523/(500*(TaH-TrH)),2))</f>
        <v>0.43</v>
      </c>
      <c r="K1523" s="84"/>
      <c r="L1523" s="177">
        <f>CHOOSE(Basis!$E$1,((AJ1523*(J1523*3600/Basis!$E$5)^AK1523*(((MID(C1523,9,3)*10)-144)/1000)*AL1523+AM1523*(J1523*3600/Basis!$E$5)^2)*0.0098)/Basis!$E$10,((AJ1523*(J1523/Basis!$E$5)^AK1523*(((MID(C1523,9,3)*10)-144)/1000)*AL1523+AM1523*(J1523/Basis!$E$5)^2)*0.0098)/Basis!$E$10)</f>
        <v>2.2680057692829714E-2</v>
      </c>
      <c r="M1523" s="85"/>
      <c r="N1523" s="109">
        <v>1.4159999999999999</v>
      </c>
      <c r="O1523" s="68"/>
      <c r="P1523" s="67">
        <v>2033</v>
      </c>
      <c r="Q1523" s="68"/>
      <c r="R1523" s="69"/>
      <c r="S1523" s="69"/>
      <c r="T1523" s="69"/>
      <c r="U1523" s="69"/>
      <c r="V1523" s="69"/>
      <c r="W1523" s="68"/>
      <c r="X1523" s="70"/>
      <c r="Y1523" s="70"/>
      <c r="Z1523" s="70"/>
      <c r="AA1523" s="70"/>
      <c r="AB1523" s="70"/>
      <c r="AC1523" s="68"/>
      <c r="AD1523" s="71"/>
      <c r="AE1523" s="71"/>
      <c r="AF1523" s="71"/>
      <c r="AG1523" s="71"/>
      <c r="AH1523" s="71"/>
      <c r="AI1523" s="68"/>
      <c r="AJ1523" s="214">
        <v>2.0829999999999999E-4</v>
      </c>
      <c r="AK1523" s="214">
        <v>1.724</v>
      </c>
      <c r="AL1523" s="214">
        <v>2</v>
      </c>
      <c r="AM1523" s="214">
        <v>4.6182900000000003E-4</v>
      </c>
      <c r="AN1523" s="68"/>
      <c r="AO1523" s="67"/>
      <c r="AP1523" s="67"/>
      <c r="AQ1523" s="67"/>
      <c r="AR1523" s="67"/>
      <c r="AS1523" s="67"/>
      <c r="AT1523" s="68"/>
      <c r="AU1523" s="49"/>
      <c r="AV1523" s="50"/>
    </row>
    <row r="1524" spans="1:48" ht="12.75" customHeight="1" x14ac:dyDescent="0.25">
      <c r="A1524" s="72" t="s">
        <v>883</v>
      </c>
      <c r="B1524" s="43" t="s">
        <v>1580</v>
      </c>
      <c r="C1524" s="44" t="s">
        <v>1680</v>
      </c>
      <c r="D1524" s="45">
        <f>MROUND(MID($C1524,6,3)/Basis!$E$3,0.5)</f>
        <v>5</v>
      </c>
      <c r="E1524" s="45">
        <f>MROUND(MID($C1524,9,3)/Basis!$E$3,0.5)</f>
        <v>94.5</v>
      </c>
      <c r="F1524" s="124" t="s">
        <v>2945</v>
      </c>
      <c r="G1524" s="45">
        <f>ROUND((MROUND($F1524,5)+3)/Basis!$E$3,1)</f>
        <v>9.1</v>
      </c>
      <c r="H1524" s="120">
        <f>ROUND($P1524*Basis!$E$2*((TaH-TrH)/LN(1/µ)/Basis!$E$7)^$N1524*$AA$4*Glycol,0)</f>
        <v>6133</v>
      </c>
      <c r="I1524" s="83">
        <f>ROUND(H1524/(MID($C1524,9,3)/Basis!$E$3/Basis!$E$9)*Basis!$E$11,0)</f>
        <v>779</v>
      </c>
      <c r="J1524" s="123">
        <f>IF(Basis!$E$1=1,ROUND(H1524/((TaH-TrH)*1.163)/3600,3),ROUND(H1524/(500*(TaH-TrH)),2))</f>
        <v>0.61</v>
      </c>
      <c r="K1524" s="84"/>
      <c r="L1524" s="177">
        <f>CHOOSE(Basis!$E$1,((AJ1524*(J1524*3600/Basis!$E$5)^AK1524*(((MID(C1524,9,3)*10)-144)/1000)*AL1524+AM1524*(J1524*3600/Basis!$E$5)^2)*0.0098)/Basis!$E$10,((AJ1524*(J1524/Basis!$E$5)^AK1524*(((MID(C1524,9,3)*10)-144)/1000)*AL1524+AM1524*(J1524/Basis!$E$5)^2)*0.0098)/Basis!$E$10)</f>
        <v>3.2806364216142955E-2</v>
      </c>
      <c r="M1524" s="85"/>
      <c r="N1524" s="109">
        <v>1.4159999999999999</v>
      </c>
      <c r="O1524" s="68"/>
      <c r="P1524" s="67">
        <v>2868</v>
      </c>
      <c r="Q1524" s="68"/>
      <c r="R1524" s="69"/>
      <c r="S1524" s="69"/>
      <c r="T1524" s="69"/>
      <c r="U1524" s="69"/>
      <c r="V1524" s="69"/>
      <c r="W1524" s="68"/>
      <c r="X1524" s="70"/>
      <c r="Y1524" s="70"/>
      <c r="Z1524" s="70"/>
      <c r="AA1524" s="70"/>
      <c r="AB1524" s="70"/>
      <c r="AC1524" s="68"/>
      <c r="AD1524" s="71"/>
      <c r="AE1524" s="71"/>
      <c r="AF1524" s="71"/>
      <c r="AG1524" s="71"/>
      <c r="AH1524" s="71"/>
      <c r="AI1524" s="68"/>
      <c r="AJ1524" s="214">
        <v>1.2760000000000001E-4</v>
      </c>
      <c r="AK1524" s="214">
        <v>1.7219</v>
      </c>
      <c r="AL1524" s="214">
        <v>2</v>
      </c>
      <c r="AM1524" s="214">
        <v>3.76611E-4</v>
      </c>
      <c r="AN1524" s="68"/>
      <c r="AO1524" s="67"/>
      <c r="AP1524" s="67"/>
      <c r="AQ1524" s="67"/>
      <c r="AR1524" s="67"/>
      <c r="AS1524" s="67"/>
      <c r="AT1524" s="68"/>
      <c r="AU1524" s="49"/>
      <c r="AV1524" s="50"/>
    </row>
    <row r="1525" spans="1:48" ht="12.75" customHeight="1" x14ac:dyDescent="0.25">
      <c r="A1525" s="72" t="s">
        <v>883</v>
      </c>
      <c r="B1525" s="43" t="s">
        <v>1580</v>
      </c>
      <c r="C1525" s="44" t="s">
        <v>1681</v>
      </c>
      <c r="D1525" s="45">
        <f>MROUND(MID($C1525,6,3)/Basis!$E$3,0.5)</f>
        <v>5</v>
      </c>
      <c r="E1525" s="45">
        <f>MROUND(MID($C1525,9,3)/Basis!$E$3,0.5)</f>
        <v>102.5</v>
      </c>
      <c r="F1525" s="124" t="s">
        <v>2954</v>
      </c>
      <c r="G1525" s="45">
        <f>ROUND((MROUND($F1525,5)+3)/Basis!$E$3,1)</f>
        <v>3.1</v>
      </c>
      <c r="H1525" s="120">
        <f>ROUND($P1525*Basis!$E$2*((TaH-TrH)/LN(1/µ)/Basis!$E$7)^$N1525*$AA$4*Glycol,0)</f>
        <v>1830</v>
      </c>
      <c r="I1525" s="83">
        <f>ROUND(H1525/(MID($C1525,9,3)/Basis!$E$3/Basis!$E$9)*Basis!$E$11,0)</f>
        <v>215</v>
      </c>
      <c r="J1525" s="123">
        <f>IF(Basis!$E$1=1,ROUND(H1525/((TaH-TrH)*1.163)/3600,3),ROUND(H1525/(500*(TaH-TrH)),2))</f>
        <v>0.18</v>
      </c>
      <c r="K1525" s="84"/>
      <c r="L1525" s="177">
        <f>CHOOSE(Basis!$E$1,((AJ1525*(J1525*3600/Basis!$E$5)^AK1525*(((MID(C1525,9,3)*10)-144)/1000)*AL1525+AM1525*(J1525*3600/Basis!$E$5)^2)*0.0098)/Basis!$E$10,((AJ1525*(J1525/Basis!$E$5)^AK1525*(((MID(C1525,9,3)*10)-144)/1000)*AL1525+AM1525*(J1525/Basis!$E$5)^2)*0.0098)/Basis!$E$10)</f>
        <v>1.3963472720052808E-2</v>
      </c>
      <c r="M1525" s="85"/>
      <c r="N1525" s="109">
        <v>1.413</v>
      </c>
      <c r="O1525" s="68"/>
      <c r="P1525" s="67">
        <v>855</v>
      </c>
      <c r="Q1525" s="68"/>
      <c r="R1525" s="69"/>
      <c r="S1525" s="69"/>
      <c r="T1525" s="69"/>
      <c r="U1525" s="69"/>
      <c r="V1525" s="69"/>
      <c r="W1525" s="68"/>
      <c r="X1525" s="70"/>
      <c r="Y1525" s="70"/>
      <c r="Z1525" s="70"/>
      <c r="AA1525" s="70"/>
      <c r="AB1525" s="70"/>
      <c r="AC1525" s="68"/>
      <c r="AD1525" s="71"/>
      <c r="AE1525" s="71"/>
      <c r="AF1525" s="71"/>
      <c r="AG1525" s="71"/>
      <c r="AH1525" s="71"/>
      <c r="AI1525" s="68"/>
      <c r="AJ1525" s="214">
        <v>9.3669999999999995E-4</v>
      </c>
      <c r="AK1525" s="214">
        <v>1.789841</v>
      </c>
      <c r="AL1525" s="214">
        <v>2</v>
      </c>
      <c r="AM1525" s="214">
        <v>4.4559999999999999E-4</v>
      </c>
      <c r="AN1525" s="68"/>
      <c r="AO1525" s="67"/>
      <c r="AP1525" s="67"/>
      <c r="AQ1525" s="67"/>
      <c r="AR1525" s="67"/>
      <c r="AS1525" s="67"/>
      <c r="AT1525" s="68"/>
      <c r="AU1525" s="49"/>
      <c r="AV1525" s="50"/>
    </row>
    <row r="1526" spans="1:48" ht="12.75" customHeight="1" x14ac:dyDescent="0.25">
      <c r="A1526" s="72" t="s">
        <v>883</v>
      </c>
      <c r="B1526" s="43" t="s">
        <v>1580</v>
      </c>
      <c r="C1526" s="44" t="s">
        <v>1682</v>
      </c>
      <c r="D1526" s="45">
        <f>MROUND(MID($C1526,6,3)/Basis!$E$3,0.5)</f>
        <v>5</v>
      </c>
      <c r="E1526" s="45">
        <f>MROUND(MID($C1526,9,3)/Basis!$E$3,0.5)</f>
        <v>102.5</v>
      </c>
      <c r="F1526" s="124" t="s">
        <v>2943</v>
      </c>
      <c r="G1526" s="45">
        <f>ROUND((MROUND($F1526,5)+3)/Basis!$E$3,1)</f>
        <v>5.0999999999999996</v>
      </c>
      <c r="H1526" s="120">
        <f>ROUND($P1526*Basis!$E$2*((TaH-TrH)/LN(1/µ)/Basis!$E$7)^$N1526*$AA$4*Glycol,0)</f>
        <v>2805</v>
      </c>
      <c r="I1526" s="83">
        <f>ROUND(H1526/(MID($C1526,9,3)/Basis!$E$3/Basis!$E$9)*Basis!$E$11,0)</f>
        <v>329</v>
      </c>
      <c r="J1526" s="123">
        <f>IF(Basis!$E$1=1,ROUND(H1526/((TaH-TrH)*1.163)/3600,3),ROUND(H1526/(500*(TaH-TrH)),2))</f>
        <v>0.28000000000000003</v>
      </c>
      <c r="K1526" s="84"/>
      <c r="L1526" s="177">
        <f>CHOOSE(Basis!$E$1,((AJ1526*(J1526*3600/Basis!$E$5)^AK1526*(((MID(C1526,9,3)*10)-144)/1000)*AL1526+AM1526*(J1526*3600/Basis!$E$5)^2)*0.0098)/Basis!$E$10,((AJ1526*(J1526/Basis!$E$5)^AK1526*(((MID(C1526,9,3)*10)-144)/1000)*AL1526+AM1526*(J1526/Basis!$E$5)^2)*0.0098)/Basis!$E$10)</f>
        <v>1.3421539888765679E-2</v>
      </c>
      <c r="M1526" s="85"/>
      <c r="N1526" s="109">
        <v>1.419</v>
      </c>
      <c r="O1526" s="68"/>
      <c r="P1526" s="67">
        <v>1313</v>
      </c>
      <c r="Q1526" s="68"/>
      <c r="R1526" s="69"/>
      <c r="S1526" s="69"/>
      <c r="T1526" s="69"/>
      <c r="U1526" s="69"/>
      <c r="V1526" s="69"/>
      <c r="W1526" s="68"/>
      <c r="X1526" s="70"/>
      <c r="Y1526" s="70"/>
      <c r="Z1526" s="70"/>
      <c r="AA1526" s="70"/>
      <c r="AB1526" s="70"/>
      <c r="AC1526" s="68"/>
      <c r="AD1526" s="71"/>
      <c r="AE1526" s="71"/>
      <c r="AF1526" s="71"/>
      <c r="AG1526" s="71"/>
      <c r="AH1526" s="71"/>
      <c r="AI1526" s="68"/>
      <c r="AJ1526" s="214">
        <v>3.9689999999999994E-4</v>
      </c>
      <c r="AK1526" s="214">
        <v>1.7345999999999999</v>
      </c>
      <c r="AL1526" s="214">
        <v>2</v>
      </c>
      <c r="AM1526" s="214">
        <v>3.6734700000000002E-4</v>
      </c>
      <c r="AN1526" s="68"/>
      <c r="AO1526" s="67"/>
      <c r="AP1526" s="67"/>
      <c r="AQ1526" s="67"/>
      <c r="AR1526" s="67"/>
      <c r="AS1526" s="67"/>
      <c r="AT1526" s="68"/>
      <c r="AU1526" s="49"/>
      <c r="AV1526" s="50"/>
    </row>
    <row r="1527" spans="1:48" ht="12.75" customHeight="1" x14ac:dyDescent="0.25">
      <c r="A1527" s="72" t="s">
        <v>883</v>
      </c>
      <c r="B1527" s="43" t="s">
        <v>1580</v>
      </c>
      <c r="C1527" s="44" t="s">
        <v>1683</v>
      </c>
      <c r="D1527" s="45">
        <f>MROUND(MID($C1527,6,3)/Basis!$E$3,0.5)</f>
        <v>5</v>
      </c>
      <c r="E1527" s="45">
        <f>MROUND(MID($C1527,9,3)/Basis!$E$3,0.5)</f>
        <v>102.5</v>
      </c>
      <c r="F1527" s="124" t="s">
        <v>2944</v>
      </c>
      <c r="G1527" s="45">
        <f>ROUND((MROUND($F1527,5)+3)/Basis!$E$3,1)</f>
        <v>7.1</v>
      </c>
      <c r="H1527" s="120">
        <f>ROUND($P1527*Basis!$E$2*((TaH-TrH)/LN(1/µ)/Basis!$E$7)^$N1527*$AA$4*Glycol,0)</f>
        <v>4708</v>
      </c>
      <c r="I1527" s="83">
        <f>ROUND(H1527/(MID($C1527,9,3)/Basis!$E$3/Basis!$E$9)*Basis!$E$11,0)</f>
        <v>552</v>
      </c>
      <c r="J1527" s="123">
        <f>IF(Basis!$E$1=1,ROUND(H1527/((TaH-TrH)*1.163)/3600,3),ROUND(H1527/(500*(TaH-TrH)),2))</f>
        <v>0.47</v>
      </c>
      <c r="K1527" s="84"/>
      <c r="L1527" s="177">
        <f>CHOOSE(Basis!$E$1,((AJ1527*(J1527*3600/Basis!$E$5)^AK1527*(((MID(C1527,9,3)*10)-144)/1000)*AL1527+AM1527*(J1527*3600/Basis!$E$5)^2)*0.0098)/Basis!$E$10,((AJ1527*(J1527/Basis!$E$5)^AK1527*(((MID(C1527,9,3)*10)-144)/1000)*AL1527+AM1527*(J1527/Basis!$E$5)^2)*0.0098)/Basis!$E$10)</f>
        <v>2.7711438544439259E-2</v>
      </c>
      <c r="M1527" s="85"/>
      <c r="N1527" s="109">
        <v>1.4159999999999999</v>
      </c>
      <c r="O1527" s="68"/>
      <c r="P1527" s="67">
        <v>2202</v>
      </c>
      <c r="Q1527" s="68"/>
      <c r="R1527" s="69"/>
      <c r="S1527" s="69"/>
      <c r="T1527" s="69"/>
      <c r="U1527" s="69"/>
      <c r="V1527" s="69"/>
      <c r="W1527" s="68"/>
      <c r="X1527" s="70"/>
      <c r="Y1527" s="70"/>
      <c r="Z1527" s="70"/>
      <c r="AA1527" s="70"/>
      <c r="AB1527" s="70"/>
      <c r="AC1527" s="68"/>
      <c r="AD1527" s="71"/>
      <c r="AE1527" s="71"/>
      <c r="AF1527" s="71"/>
      <c r="AG1527" s="71"/>
      <c r="AH1527" s="71"/>
      <c r="AI1527" s="68"/>
      <c r="AJ1527" s="214">
        <v>2.0829999999999999E-4</v>
      </c>
      <c r="AK1527" s="214">
        <v>1.724</v>
      </c>
      <c r="AL1527" s="214">
        <v>2</v>
      </c>
      <c r="AM1527" s="214">
        <v>4.6182900000000003E-4</v>
      </c>
      <c r="AN1527" s="68"/>
      <c r="AO1527" s="67"/>
      <c r="AP1527" s="67"/>
      <c r="AQ1527" s="67"/>
      <c r="AR1527" s="67"/>
      <c r="AS1527" s="67"/>
      <c r="AT1527" s="68"/>
      <c r="AU1527" s="49"/>
      <c r="AV1527" s="50"/>
    </row>
    <row r="1528" spans="1:48" ht="12.75" customHeight="1" x14ac:dyDescent="0.25">
      <c r="A1528" s="72" t="s">
        <v>883</v>
      </c>
      <c r="B1528" s="43" t="s">
        <v>1580</v>
      </c>
      <c r="C1528" s="44" t="s">
        <v>1684</v>
      </c>
      <c r="D1528" s="45">
        <f>MROUND(MID($C1528,6,3)/Basis!$E$3,0.5)</f>
        <v>5</v>
      </c>
      <c r="E1528" s="45">
        <f>MROUND(MID($C1528,9,3)/Basis!$E$3,0.5)</f>
        <v>102.5</v>
      </c>
      <c r="F1528" s="124" t="s">
        <v>2945</v>
      </c>
      <c r="G1528" s="45">
        <f>ROUND((MROUND($F1528,5)+3)/Basis!$E$3,1)</f>
        <v>9.1</v>
      </c>
      <c r="H1528" s="120">
        <f>ROUND($P1528*Basis!$E$2*((TaH-TrH)/LN(1/µ)/Basis!$E$7)^$N1528*$AA$4*Glycol,0)</f>
        <v>6644</v>
      </c>
      <c r="I1528" s="83">
        <f>ROUND(H1528/(MID($C1528,9,3)/Basis!$E$3/Basis!$E$9)*Basis!$E$11,0)</f>
        <v>779</v>
      </c>
      <c r="J1528" s="123">
        <f>IF(Basis!$E$1=1,ROUND(H1528/((TaH-TrH)*1.163)/3600,3),ROUND(H1528/(500*(TaH-TrH)),2))</f>
        <v>0.66</v>
      </c>
      <c r="K1528" s="84"/>
      <c r="L1528" s="177">
        <f>CHOOSE(Basis!$E$1,((AJ1528*(J1528*3600/Basis!$E$5)^AK1528*(((MID(C1528,9,3)*10)-144)/1000)*AL1528+AM1528*(J1528*3600/Basis!$E$5)^2)*0.0098)/Basis!$E$10,((AJ1528*(J1528/Basis!$E$5)^AK1528*(((MID(C1528,9,3)*10)-144)/1000)*AL1528+AM1528*(J1528/Basis!$E$5)^2)*0.0098)/Basis!$E$10)</f>
        <v>3.9103247535263709E-2</v>
      </c>
      <c r="M1528" s="85"/>
      <c r="N1528" s="109">
        <v>1.4159999999999999</v>
      </c>
      <c r="O1528" s="68"/>
      <c r="P1528" s="67">
        <v>3107</v>
      </c>
      <c r="Q1528" s="68"/>
      <c r="R1528" s="69"/>
      <c r="S1528" s="69"/>
      <c r="T1528" s="69"/>
      <c r="U1528" s="69"/>
      <c r="V1528" s="69"/>
      <c r="W1528" s="68"/>
      <c r="X1528" s="70"/>
      <c r="Y1528" s="70"/>
      <c r="Z1528" s="70"/>
      <c r="AA1528" s="70"/>
      <c r="AB1528" s="70"/>
      <c r="AC1528" s="68"/>
      <c r="AD1528" s="71"/>
      <c r="AE1528" s="71"/>
      <c r="AF1528" s="71"/>
      <c r="AG1528" s="71"/>
      <c r="AH1528" s="71"/>
      <c r="AI1528" s="68"/>
      <c r="AJ1528" s="214">
        <v>1.2760000000000001E-4</v>
      </c>
      <c r="AK1528" s="214">
        <v>1.7219</v>
      </c>
      <c r="AL1528" s="214">
        <v>2</v>
      </c>
      <c r="AM1528" s="214">
        <v>3.76611E-4</v>
      </c>
      <c r="AN1528" s="68"/>
      <c r="AO1528" s="67"/>
      <c r="AP1528" s="67"/>
      <c r="AQ1528" s="67"/>
      <c r="AR1528" s="67"/>
      <c r="AS1528" s="67"/>
      <c r="AT1528" s="68"/>
      <c r="AU1528" s="49"/>
      <c r="AV1528" s="50"/>
    </row>
    <row r="1529" spans="1:48" ht="12.75" customHeight="1" x14ac:dyDescent="0.25">
      <c r="A1529" s="72" t="s">
        <v>883</v>
      </c>
      <c r="B1529" s="43" t="s">
        <v>1580</v>
      </c>
      <c r="C1529" s="44" t="s">
        <v>1685</v>
      </c>
      <c r="D1529" s="45">
        <f>MROUND(MID($C1529,6,3)/Basis!$E$3,0.5)</f>
        <v>5</v>
      </c>
      <c r="E1529" s="45">
        <f>MROUND(MID($C1529,9,3)/Basis!$E$3,0.5)</f>
        <v>110</v>
      </c>
      <c r="F1529" s="124" t="s">
        <v>2954</v>
      </c>
      <c r="G1529" s="45">
        <f>ROUND((MROUND($F1529,5)+3)/Basis!$E$3,1)</f>
        <v>3.1</v>
      </c>
      <c r="H1529" s="120">
        <f>ROUND($P1529*Basis!$E$2*((TaH-TrH)/LN(1/µ)/Basis!$E$7)^$N1529*$AA$4*Glycol,0)</f>
        <v>1971</v>
      </c>
      <c r="I1529" s="83">
        <f>ROUND(H1529/(MID($C1529,9,3)/Basis!$E$3/Basis!$E$9)*Basis!$E$11,0)</f>
        <v>215</v>
      </c>
      <c r="J1529" s="123">
        <f>IF(Basis!$E$1=1,ROUND(H1529/((TaH-TrH)*1.163)/3600,3),ROUND(H1529/(500*(TaH-TrH)),2))</f>
        <v>0.2</v>
      </c>
      <c r="K1529" s="84"/>
      <c r="L1529" s="177">
        <f>CHOOSE(Basis!$E$1,((AJ1529*(J1529*3600/Basis!$E$5)^AK1529*(((MID(C1529,9,3)*10)-144)/1000)*AL1529+AM1529*(J1529*3600/Basis!$E$5)^2)*0.0098)/Basis!$E$10,((AJ1529*(J1529/Basis!$E$5)^AK1529*(((MID(C1529,9,3)*10)-144)/1000)*AL1529+AM1529*(J1529/Basis!$E$5)^2)*0.0098)/Basis!$E$10)</f>
        <v>1.8060792242485319E-2</v>
      </c>
      <c r="M1529" s="85"/>
      <c r="N1529" s="109">
        <v>1.413</v>
      </c>
      <c r="O1529" s="68"/>
      <c r="P1529" s="67">
        <v>921</v>
      </c>
      <c r="Q1529" s="68"/>
      <c r="R1529" s="69"/>
      <c r="S1529" s="69"/>
      <c r="T1529" s="69"/>
      <c r="U1529" s="69"/>
      <c r="V1529" s="69"/>
      <c r="W1529" s="68"/>
      <c r="X1529" s="70"/>
      <c r="Y1529" s="70"/>
      <c r="Z1529" s="70"/>
      <c r="AA1529" s="70"/>
      <c r="AB1529" s="70"/>
      <c r="AC1529" s="68"/>
      <c r="AD1529" s="71"/>
      <c r="AE1529" s="71"/>
      <c r="AF1529" s="71"/>
      <c r="AG1529" s="71"/>
      <c r="AH1529" s="71"/>
      <c r="AI1529" s="68"/>
      <c r="AJ1529" s="214">
        <v>9.3669999999999995E-4</v>
      </c>
      <c r="AK1529" s="214">
        <v>1.789841</v>
      </c>
      <c r="AL1529" s="214">
        <v>2</v>
      </c>
      <c r="AM1529" s="214">
        <v>4.4559999999999999E-4</v>
      </c>
      <c r="AN1529" s="68"/>
      <c r="AO1529" s="67"/>
      <c r="AP1529" s="67"/>
      <c r="AQ1529" s="67"/>
      <c r="AR1529" s="67"/>
      <c r="AS1529" s="67"/>
      <c r="AT1529" s="68"/>
      <c r="AU1529" s="49"/>
      <c r="AV1529" s="50"/>
    </row>
    <row r="1530" spans="1:48" ht="12.75" customHeight="1" x14ac:dyDescent="0.25">
      <c r="A1530" s="72" t="s">
        <v>883</v>
      </c>
      <c r="B1530" s="43" t="s">
        <v>1580</v>
      </c>
      <c r="C1530" s="44" t="s">
        <v>1686</v>
      </c>
      <c r="D1530" s="45">
        <f>MROUND(MID($C1530,6,3)/Basis!$E$3,0.5)</f>
        <v>5</v>
      </c>
      <c r="E1530" s="45">
        <f>MROUND(MID($C1530,9,3)/Basis!$E$3,0.5)</f>
        <v>110</v>
      </c>
      <c r="F1530" s="124" t="s">
        <v>2943</v>
      </c>
      <c r="G1530" s="45">
        <f>ROUND((MROUND($F1530,5)+3)/Basis!$E$3,1)</f>
        <v>5.0999999999999996</v>
      </c>
      <c r="H1530" s="120">
        <f>ROUND($P1530*Basis!$E$2*((TaH-TrH)/LN(1/µ)/Basis!$E$7)^$N1530*$AA$4*Glycol,0)</f>
        <v>3021</v>
      </c>
      <c r="I1530" s="83">
        <f>ROUND(H1530/(MID($C1530,9,3)/Basis!$E$3/Basis!$E$9)*Basis!$E$11,0)</f>
        <v>329</v>
      </c>
      <c r="J1530" s="123">
        <f>IF(Basis!$E$1=1,ROUND(H1530/((TaH-TrH)*1.163)/3600,3),ROUND(H1530/(500*(TaH-TrH)),2))</f>
        <v>0.3</v>
      </c>
      <c r="K1530" s="84"/>
      <c r="L1530" s="177">
        <f>CHOOSE(Basis!$E$1,((AJ1530*(J1530*3600/Basis!$E$5)^AK1530*(((MID(C1530,9,3)*10)-144)/1000)*AL1530+AM1530*(J1530*3600/Basis!$E$5)^2)*0.0098)/Basis!$E$10,((AJ1530*(J1530/Basis!$E$5)^AK1530*(((MID(C1530,9,3)*10)-144)/1000)*AL1530+AM1530*(J1530/Basis!$E$5)^2)*0.0098)/Basis!$E$10)</f>
        <v>1.6015046234668047E-2</v>
      </c>
      <c r="M1530" s="85"/>
      <c r="N1530" s="109">
        <v>1.419</v>
      </c>
      <c r="O1530" s="68"/>
      <c r="P1530" s="67">
        <v>1414</v>
      </c>
      <c r="Q1530" s="68"/>
      <c r="R1530" s="69"/>
      <c r="S1530" s="69"/>
      <c r="T1530" s="69"/>
      <c r="U1530" s="69"/>
      <c r="V1530" s="69"/>
      <c r="W1530" s="68"/>
      <c r="X1530" s="70"/>
      <c r="Y1530" s="70"/>
      <c r="Z1530" s="70"/>
      <c r="AA1530" s="70"/>
      <c r="AB1530" s="70"/>
      <c r="AC1530" s="68"/>
      <c r="AD1530" s="71"/>
      <c r="AE1530" s="71"/>
      <c r="AF1530" s="71"/>
      <c r="AG1530" s="71"/>
      <c r="AH1530" s="71"/>
      <c r="AI1530" s="68"/>
      <c r="AJ1530" s="214">
        <v>3.9689999999999994E-4</v>
      </c>
      <c r="AK1530" s="214">
        <v>1.7345999999999999</v>
      </c>
      <c r="AL1530" s="214">
        <v>2</v>
      </c>
      <c r="AM1530" s="214">
        <v>3.6734700000000002E-4</v>
      </c>
      <c r="AN1530" s="68"/>
      <c r="AO1530" s="67"/>
      <c r="AP1530" s="67"/>
      <c r="AQ1530" s="67"/>
      <c r="AR1530" s="67"/>
      <c r="AS1530" s="67"/>
      <c r="AT1530" s="68"/>
      <c r="AU1530" s="49"/>
      <c r="AV1530" s="50"/>
    </row>
    <row r="1531" spans="1:48" ht="12.75" customHeight="1" x14ac:dyDescent="0.25">
      <c r="A1531" s="72" t="s">
        <v>883</v>
      </c>
      <c r="B1531" s="43" t="s">
        <v>1580</v>
      </c>
      <c r="C1531" s="44" t="s">
        <v>1687</v>
      </c>
      <c r="D1531" s="45">
        <f>MROUND(MID($C1531,6,3)/Basis!$E$3,0.5)</f>
        <v>5</v>
      </c>
      <c r="E1531" s="45">
        <f>MROUND(MID($C1531,9,3)/Basis!$E$3,0.5)</f>
        <v>110</v>
      </c>
      <c r="F1531" s="124" t="s">
        <v>2944</v>
      </c>
      <c r="G1531" s="45">
        <f>ROUND((MROUND($F1531,5)+3)/Basis!$E$3,1)</f>
        <v>7.1</v>
      </c>
      <c r="H1531" s="120">
        <f>ROUND($P1531*Basis!$E$2*((TaH-TrH)/LN(1/µ)/Basis!$E$7)^$N1531*$AA$4*Glycol,0)</f>
        <v>5072</v>
      </c>
      <c r="I1531" s="83">
        <f>ROUND(H1531/(MID($C1531,9,3)/Basis!$E$3/Basis!$E$9)*Basis!$E$11,0)</f>
        <v>552</v>
      </c>
      <c r="J1531" s="123">
        <f>IF(Basis!$E$1=1,ROUND(H1531/((TaH-TrH)*1.163)/3600,3),ROUND(H1531/(500*(TaH-TrH)),2))</f>
        <v>0.51</v>
      </c>
      <c r="K1531" s="84"/>
      <c r="L1531" s="177">
        <f>CHOOSE(Basis!$E$1,((AJ1531*(J1531*3600/Basis!$E$5)^AK1531*(((MID(C1531,9,3)*10)-144)/1000)*AL1531+AM1531*(J1531*3600/Basis!$E$5)^2)*0.0098)/Basis!$E$10,((AJ1531*(J1531/Basis!$E$5)^AK1531*(((MID(C1531,9,3)*10)-144)/1000)*AL1531+AM1531*(J1531/Basis!$E$5)^2)*0.0098)/Basis!$E$10)</f>
        <v>3.3338020296094777E-2</v>
      </c>
      <c r="M1531" s="85"/>
      <c r="N1531" s="109">
        <v>1.4159999999999999</v>
      </c>
      <c r="O1531" s="68"/>
      <c r="P1531" s="67">
        <v>2372</v>
      </c>
      <c r="Q1531" s="68"/>
      <c r="R1531" s="69"/>
      <c r="S1531" s="69"/>
      <c r="T1531" s="69"/>
      <c r="U1531" s="69"/>
      <c r="V1531" s="69"/>
      <c r="W1531" s="68"/>
      <c r="X1531" s="70"/>
      <c r="Y1531" s="70"/>
      <c r="Z1531" s="70"/>
      <c r="AA1531" s="70"/>
      <c r="AB1531" s="70"/>
      <c r="AC1531" s="68"/>
      <c r="AD1531" s="71"/>
      <c r="AE1531" s="71"/>
      <c r="AF1531" s="71"/>
      <c r="AG1531" s="71"/>
      <c r="AH1531" s="71"/>
      <c r="AI1531" s="68"/>
      <c r="AJ1531" s="214">
        <v>2.0829999999999999E-4</v>
      </c>
      <c r="AK1531" s="214">
        <v>1.724</v>
      </c>
      <c r="AL1531" s="214">
        <v>2</v>
      </c>
      <c r="AM1531" s="214">
        <v>4.6182900000000003E-4</v>
      </c>
      <c r="AN1531" s="68"/>
      <c r="AO1531" s="67"/>
      <c r="AP1531" s="67"/>
      <c r="AQ1531" s="67"/>
      <c r="AR1531" s="67"/>
      <c r="AS1531" s="67"/>
      <c r="AT1531" s="68"/>
      <c r="AU1531" s="49"/>
      <c r="AV1531" s="50"/>
    </row>
    <row r="1532" spans="1:48" ht="12.75" customHeight="1" x14ac:dyDescent="0.25">
      <c r="A1532" s="72" t="s">
        <v>883</v>
      </c>
      <c r="B1532" s="43" t="s">
        <v>1580</v>
      </c>
      <c r="C1532" s="44" t="s">
        <v>1688</v>
      </c>
      <c r="D1532" s="45">
        <f>MROUND(MID($C1532,6,3)/Basis!$E$3,0.5)</f>
        <v>5</v>
      </c>
      <c r="E1532" s="45">
        <f>MROUND(MID($C1532,9,3)/Basis!$E$3,0.5)</f>
        <v>110</v>
      </c>
      <c r="F1532" s="124" t="s">
        <v>2945</v>
      </c>
      <c r="G1532" s="45">
        <f>ROUND((MROUND($F1532,5)+3)/Basis!$E$3,1)</f>
        <v>9.1</v>
      </c>
      <c r="H1532" s="120">
        <f>ROUND($P1532*Basis!$E$2*((TaH-TrH)/LN(1/µ)/Basis!$E$7)^$N1532*$AA$4*Glycol,0)</f>
        <v>7155</v>
      </c>
      <c r="I1532" s="83">
        <f>ROUND(H1532/(MID($C1532,9,3)/Basis!$E$3/Basis!$E$9)*Basis!$E$11,0)</f>
        <v>779</v>
      </c>
      <c r="J1532" s="123">
        <f>IF(Basis!$E$1=1,ROUND(H1532/((TaH-TrH)*1.163)/3600,3),ROUND(H1532/(500*(TaH-TrH)),2))</f>
        <v>0.72</v>
      </c>
      <c r="K1532" s="84"/>
      <c r="L1532" s="177">
        <f>CHOOSE(Basis!$E$1,((AJ1532*(J1532*3600/Basis!$E$5)^AK1532*(((MID(C1532,9,3)*10)-144)/1000)*AL1532+AM1532*(J1532*3600/Basis!$E$5)^2)*0.0098)/Basis!$E$10,((AJ1532*(J1532/Basis!$E$5)^AK1532*(((MID(C1532,9,3)*10)-144)/1000)*AL1532+AM1532*(J1532/Basis!$E$5)^2)*0.0098)/Basis!$E$10)</f>
        <v>4.72922906122192E-2</v>
      </c>
      <c r="M1532" s="85"/>
      <c r="N1532" s="109">
        <v>1.4159999999999999</v>
      </c>
      <c r="O1532" s="68"/>
      <c r="P1532" s="67">
        <v>3346</v>
      </c>
      <c r="Q1532" s="68"/>
      <c r="R1532" s="69"/>
      <c r="S1532" s="69"/>
      <c r="T1532" s="69"/>
      <c r="U1532" s="69"/>
      <c r="V1532" s="69"/>
      <c r="W1532" s="68"/>
      <c r="X1532" s="70"/>
      <c r="Y1532" s="70"/>
      <c r="Z1532" s="70"/>
      <c r="AA1532" s="70"/>
      <c r="AB1532" s="70"/>
      <c r="AC1532" s="68"/>
      <c r="AD1532" s="71"/>
      <c r="AE1532" s="71"/>
      <c r="AF1532" s="71"/>
      <c r="AG1532" s="71"/>
      <c r="AH1532" s="71"/>
      <c r="AI1532" s="68"/>
      <c r="AJ1532" s="214">
        <v>1.2760000000000001E-4</v>
      </c>
      <c r="AK1532" s="214">
        <v>1.7219</v>
      </c>
      <c r="AL1532" s="214">
        <v>2</v>
      </c>
      <c r="AM1532" s="214">
        <v>3.76611E-4</v>
      </c>
      <c r="AN1532" s="68"/>
      <c r="AO1532" s="67"/>
      <c r="AP1532" s="67"/>
      <c r="AQ1532" s="67"/>
      <c r="AR1532" s="67"/>
      <c r="AS1532" s="67"/>
      <c r="AT1532" s="68"/>
      <c r="AU1532" s="49"/>
      <c r="AV1532" s="50"/>
    </row>
    <row r="1533" spans="1:48" ht="12.75" customHeight="1" x14ac:dyDescent="0.25">
      <c r="A1533" s="72" t="s">
        <v>883</v>
      </c>
      <c r="B1533" s="43" t="s">
        <v>1580</v>
      </c>
      <c r="C1533" s="44" t="s">
        <v>1689</v>
      </c>
      <c r="D1533" s="45">
        <f>MROUND(MID($C1533,6,3)/Basis!$E$3,0.5)</f>
        <v>5</v>
      </c>
      <c r="E1533" s="45">
        <f>MROUND(MID($C1533,9,3)/Basis!$E$3,0.5)</f>
        <v>118</v>
      </c>
      <c r="F1533" s="124" t="s">
        <v>2954</v>
      </c>
      <c r="G1533" s="45">
        <f>ROUND((MROUND($F1533,5)+3)/Basis!$E$3,1)</f>
        <v>3.1</v>
      </c>
      <c r="H1533" s="120">
        <f>ROUND($P1533*Basis!$E$2*((TaH-TrH)/LN(1/µ)/Basis!$E$7)^$N1533*$AA$4*Glycol,0)</f>
        <v>2113</v>
      </c>
      <c r="I1533" s="83">
        <f>ROUND(H1533/(MID($C1533,9,3)/Basis!$E$3/Basis!$E$9)*Basis!$E$11,0)</f>
        <v>215</v>
      </c>
      <c r="J1533" s="123">
        <f>IF(Basis!$E$1=1,ROUND(H1533/((TaH-TrH)*1.163)/3600,3),ROUND(H1533/(500*(TaH-TrH)),2))</f>
        <v>0.21</v>
      </c>
      <c r="K1533" s="84"/>
      <c r="L1533" s="177">
        <f>CHOOSE(Basis!$E$1,((AJ1533*(J1533*3600/Basis!$E$5)^AK1533*(((MID(C1533,9,3)*10)-144)/1000)*AL1533+AM1533*(J1533*3600/Basis!$E$5)^2)*0.0098)/Basis!$E$10,((AJ1533*(J1533/Basis!$E$5)^AK1533*(((MID(C1533,9,3)*10)-144)/1000)*AL1533+AM1533*(J1533/Basis!$E$5)^2)*0.0098)/Basis!$E$10)</f>
        <v>2.097976906216787E-2</v>
      </c>
      <c r="M1533" s="85"/>
      <c r="N1533" s="109">
        <v>1.413</v>
      </c>
      <c r="O1533" s="68"/>
      <c r="P1533" s="67">
        <v>987</v>
      </c>
      <c r="Q1533" s="68"/>
      <c r="R1533" s="69"/>
      <c r="S1533" s="69"/>
      <c r="T1533" s="69"/>
      <c r="U1533" s="69"/>
      <c r="V1533" s="69"/>
      <c r="W1533" s="68"/>
      <c r="X1533" s="70"/>
      <c r="Y1533" s="70"/>
      <c r="Z1533" s="70"/>
      <c r="AA1533" s="70"/>
      <c r="AB1533" s="70"/>
      <c r="AC1533" s="68"/>
      <c r="AD1533" s="71"/>
      <c r="AE1533" s="71"/>
      <c r="AF1533" s="71"/>
      <c r="AG1533" s="71"/>
      <c r="AH1533" s="71"/>
      <c r="AI1533" s="68"/>
      <c r="AJ1533" s="214">
        <v>9.3669999999999995E-4</v>
      </c>
      <c r="AK1533" s="214">
        <v>1.789841</v>
      </c>
      <c r="AL1533" s="214">
        <v>2</v>
      </c>
      <c r="AM1533" s="214">
        <v>4.4559999999999999E-4</v>
      </c>
      <c r="AN1533" s="68"/>
      <c r="AO1533" s="67"/>
      <c r="AP1533" s="67"/>
      <c r="AQ1533" s="67"/>
      <c r="AR1533" s="67"/>
      <c r="AS1533" s="67"/>
      <c r="AT1533" s="68"/>
      <c r="AU1533" s="49"/>
      <c r="AV1533" s="50"/>
    </row>
    <row r="1534" spans="1:48" ht="12.75" customHeight="1" x14ac:dyDescent="0.25">
      <c r="A1534" s="72" t="s">
        <v>883</v>
      </c>
      <c r="B1534" s="43" t="s">
        <v>1580</v>
      </c>
      <c r="C1534" s="44" t="s">
        <v>1690</v>
      </c>
      <c r="D1534" s="45">
        <f>MROUND(MID($C1534,6,3)/Basis!$E$3,0.5)</f>
        <v>5</v>
      </c>
      <c r="E1534" s="45">
        <f>MROUND(MID($C1534,9,3)/Basis!$E$3,0.5)</f>
        <v>118</v>
      </c>
      <c r="F1534" s="124" t="s">
        <v>2943</v>
      </c>
      <c r="G1534" s="45">
        <f>ROUND((MROUND($F1534,5)+3)/Basis!$E$3,1)</f>
        <v>5.0999999999999996</v>
      </c>
      <c r="H1534" s="120">
        <f>ROUND($P1534*Basis!$E$2*((TaH-TrH)/LN(1/µ)/Basis!$E$7)^$N1534*$AA$4*Glycol,0)</f>
        <v>3236</v>
      </c>
      <c r="I1534" s="83">
        <f>ROUND(H1534/(MID($C1534,9,3)/Basis!$E$3/Basis!$E$9)*Basis!$E$11,0)</f>
        <v>329</v>
      </c>
      <c r="J1534" s="123">
        <f>IF(Basis!$E$1=1,ROUND(H1534/((TaH-TrH)*1.163)/3600,3),ROUND(H1534/(500*(TaH-TrH)),2))</f>
        <v>0.32</v>
      </c>
      <c r="K1534" s="84"/>
      <c r="L1534" s="177">
        <f>CHOOSE(Basis!$E$1,((AJ1534*(J1534*3600/Basis!$E$5)^AK1534*(((MID(C1534,9,3)*10)-144)/1000)*AL1534+AM1534*(J1534*3600/Basis!$E$5)^2)*0.0098)/Basis!$E$10,((AJ1534*(J1534/Basis!$E$5)^AK1534*(((MID(C1534,9,3)*10)-144)/1000)*AL1534+AM1534*(J1534/Basis!$E$5)^2)*0.0098)/Basis!$E$10)</f>
        <v>1.8899013994608766E-2</v>
      </c>
      <c r="M1534" s="85"/>
      <c r="N1534" s="109">
        <v>1.419</v>
      </c>
      <c r="O1534" s="68"/>
      <c r="P1534" s="67">
        <v>1515</v>
      </c>
      <c r="Q1534" s="68"/>
      <c r="R1534" s="69"/>
      <c r="S1534" s="69"/>
      <c r="T1534" s="69"/>
      <c r="U1534" s="69"/>
      <c r="V1534" s="69"/>
      <c r="W1534" s="68"/>
      <c r="X1534" s="70"/>
      <c r="Y1534" s="70"/>
      <c r="Z1534" s="70"/>
      <c r="AA1534" s="70"/>
      <c r="AB1534" s="70"/>
      <c r="AC1534" s="68"/>
      <c r="AD1534" s="71"/>
      <c r="AE1534" s="71"/>
      <c r="AF1534" s="71"/>
      <c r="AG1534" s="71"/>
      <c r="AH1534" s="71"/>
      <c r="AI1534" s="68"/>
      <c r="AJ1534" s="214">
        <v>3.9689999999999994E-4</v>
      </c>
      <c r="AK1534" s="214">
        <v>1.7345999999999999</v>
      </c>
      <c r="AL1534" s="214">
        <v>2</v>
      </c>
      <c r="AM1534" s="214">
        <v>3.6734700000000002E-4</v>
      </c>
      <c r="AN1534" s="68"/>
      <c r="AO1534" s="67"/>
      <c r="AP1534" s="67"/>
      <c r="AQ1534" s="67"/>
      <c r="AR1534" s="67"/>
      <c r="AS1534" s="67"/>
      <c r="AT1534" s="68"/>
      <c r="AU1534" s="49"/>
      <c r="AV1534" s="50"/>
    </row>
    <row r="1535" spans="1:48" ht="12.75" customHeight="1" x14ac:dyDescent="0.25">
      <c r="A1535" s="72" t="s">
        <v>883</v>
      </c>
      <c r="B1535" s="43" t="s">
        <v>1580</v>
      </c>
      <c r="C1535" s="44" t="s">
        <v>1691</v>
      </c>
      <c r="D1535" s="45">
        <f>MROUND(MID($C1535,6,3)/Basis!$E$3,0.5)</f>
        <v>5</v>
      </c>
      <c r="E1535" s="45">
        <f>MROUND(MID($C1535,9,3)/Basis!$E$3,0.5)</f>
        <v>118</v>
      </c>
      <c r="F1535" s="124" t="s">
        <v>2944</v>
      </c>
      <c r="G1535" s="45">
        <f>ROUND((MROUND($F1535,5)+3)/Basis!$E$3,1)</f>
        <v>7.1</v>
      </c>
      <c r="H1535" s="120">
        <f>ROUND($P1535*Basis!$E$2*((TaH-TrH)/LN(1/µ)/Basis!$E$7)^$N1535*$AA$4*Glycol,0)</f>
        <v>5433</v>
      </c>
      <c r="I1535" s="83">
        <f>ROUND(H1535/(MID($C1535,9,3)/Basis!$E$3/Basis!$E$9)*Basis!$E$11,0)</f>
        <v>552</v>
      </c>
      <c r="J1535" s="123">
        <f>IF(Basis!$E$1=1,ROUND(H1535/((TaH-TrH)*1.163)/3600,3),ROUND(H1535/(500*(TaH-TrH)),2))</f>
        <v>0.54</v>
      </c>
      <c r="K1535" s="84"/>
      <c r="L1535" s="177">
        <f>CHOOSE(Basis!$E$1,((AJ1535*(J1535*3600/Basis!$E$5)^AK1535*(((MID(C1535,9,3)*10)-144)/1000)*AL1535+AM1535*(J1535*3600/Basis!$E$5)^2)*0.0098)/Basis!$E$10,((AJ1535*(J1535/Basis!$E$5)^AK1535*(((MID(C1535,9,3)*10)-144)/1000)*AL1535+AM1535*(J1535/Basis!$E$5)^2)*0.0098)/Basis!$E$10)</f>
        <v>3.8232724237176476E-2</v>
      </c>
      <c r="M1535" s="85"/>
      <c r="N1535" s="109">
        <v>1.4159999999999999</v>
      </c>
      <c r="O1535" s="68"/>
      <c r="P1535" s="67">
        <v>2541</v>
      </c>
      <c r="Q1535" s="68"/>
      <c r="R1535" s="69"/>
      <c r="S1535" s="69"/>
      <c r="T1535" s="69"/>
      <c r="U1535" s="69"/>
      <c r="V1535" s="69"/>
      <c r="W1535" s="68"/>
      <c r="X1535" s="70"/>
      <c r="Y1535" s="70"/>
      <c r="Z1535" s="70"/>
      <c r="AA1535" s="70"/>
      <c r="AB1535" s="70"/>
      <c r="AC1535" s="68"/>
      <c r="AD1535" s="71"/>
      <c r="AE1535" s="71"/>
      <c r="AF1535" s="71"/>
      <c r="AG1535" s="71"/>
      <c r="AH1535" s="71"/>
      <c r="AI1535" s="68"/>
      <c r="AJ1535" s="214">
        <v>2.0829999999999999E-4</v>
      </c>
      <c r="AK1535" s="214">
        <v>1.724</v>
      </c>
      <c r="AL1535" s="214">
        <v>2</v>
      </c>
      <c r="AM1535" s="214">
        <v>4.6182900000000003E-4</v>
      </c>
      <c r="AN1535" s="68"/>
      <c r="AO1535" s="67"/>
      <c r="AP1535" s="67"/>
      <c r="AQ1535" s="67"/>
      <c r="AR1535" s="67"/>
      <c r="AS1535" s="67"/>
      <c r="AT1535" s="68"/>
      <c r="AU1535" s="49"/>
      <c r="AV1535" s="50"/>
    </row>
    <row r="1536" spans="1:48" ht="12.75" customHeight="1" x14ac:dyDescent="0.25">
      <c r="A1536" s="72" t="s">
        <v>883</v>
      </c>
      <c r="B1536" s="43" t="s">
        <v>1580</v>
      </c>
      <c r="C1536" s="44" t="s">
        <v>1692</v>
      </c>
      <c r="D1536" s="45">
        <f>MROUND(MID($C1536,6,3)/Basis!$E$3,0.5)</f>
        <v>5</v>
      </c>
      <c r="E1536" s="45">
        <f>MROUND(MID($C1536,9,3)/Basis!$E$3,0.5)</f>
        <v>118</v>
      </c>
      <c r="F1536" s="124" t="s">
        <v>2945</v>
      </c>
      <c r="G1536" s="45">
        <f>ROUND((MROUND($F1536,5)+3)/Basis!$E$3,1)</f>
        <v>9.1</v>
      </c>
      <c r="H1536" s="120">
        <f>ROUND($P1536*Basis!$E$2*((TaH-TrH)/LN(1/µ)/Basis!$E$7)^$N1536*$AA$4*Glycol,0)</f>
        <v>7666</v>
      </c>
      <c r="I1536" s="83">
        <f>ROUND(H1536/(MID($C1536,9,3)/Basis!$E$3/Basis!$E$9)*Basis!$E$11,0)</f>
        <v>779</v>
      </c>
      <c r="J1536" s="123">
        <f>IF(Basis!$E$1=1,ROUND(H1536/((TaH-TrH)*1.163)/3600,3),ROUND(H1536/(500*(TaH-TrH)),2))</f>
        <v>0.77</v>
      </c>
      <c r="K1536" s="84"/>
      <c r="L1536" s="177">
        <f>CHOOSE(Basis!$E$1,((AJ1536*(J1536*3600/Basis!$E$5)^AK1536*(((MID(C1536,9,3)*10)-144)/1000)*AL1536+AM1536*(J1536*3600/Basis!$E$5)^2)*0.0098)/Basis!$E$10,((AJ1536*(J1536/Basis!$E$5)^AK1536*(((MID(C1536,9,3)*10)-144)/1000)*AL1536+AM1536*(J1536/Basis!$E$5)^2)*0.0098)/Basis!$E$10)</f>
        <v>5.4998895683067102E-2</v>
      </c>
      <c r="M1536" s="85"/>
      <c r="N1536" s="109">
        <v>1.4159999999999999</v>
      </c>
      <c r="O1536" s="68"/>
      <c r="P1536" s="67">
        <v>3585</v>
      </c>
      <c r="Q1536" s="68"/>
      <c r="R1536" s="69"/>
      <c r="S1536" s="69"/>
      <c r="T1536" s="69"/>
      <c r="U1536" s="69"/>
      <c r="V1536" s="69"/>
      <c r="W1536" s="68"/>
      <c r="X1536" s="70"/>
      <c r="Y1536" s="70"/>
      <c r="Z1536" s="70"/>
      <c r="AA1536" s="70"/>
      <c r="AB1536" s="70"/>
      <c r="AC1536" s="68"/>
      <c r="AD1536" s="71"/>
      <c r="AE1536" s="71"/>
      <c r="AF1536" s="71"/>
      <c r="AG1536" s="71"/>
      <c r="AH1536" s="71"/>
      <c r="AI1536" s="68"/>
      <c r="AJ1536" s="214">
        <v>1.2760000000000001E-4</v>
      </c>
      <c r="AK1536" s="214">
        <v>1.7219</v>
      </c>
      <c r="AL1536" s="214">
        <v>2</v>
      </c>
      <c r="AM1536" s="214">
        <v>3.76611E-4</v>
      </c>
      <c r="AN1536" s="68"/>
      <c r="AO1536" s="67"/>
      <c r="AP1536" s="67"/>
      <c r="AQ1536" s="67"/>
      <c r="AR1536" s="67"/>
      <c r="AS1536" s="67"/>
      <c r="AT1536" s="68"/>
      <c r="AU1536" s="49"/>
      <c r="AV1536" s="50"/>
    </row>
    <row r="1537" spans="1:48" ht="12.75" customHeight="1" x14ac:dyDescent="0.25">
      <c r="A1537" s="72" t="s">
        <v>883</v>
      </c>
      <c r="B1537" s="43" t="s">
        <v>1580</v>
      </c>
      <c r="C1537" s="44" t="s">
        <v>1693</v>
      </c>
      <c r="D1537" s="45">
        <f>MROUND(MID($C1537,6,3)/Basis!$E$3,0.5)</f>
        <v>9</v>
      </c>
      <c r="E1537" s="45">
        <f>MROUND(MID($C1537,9,3)/Basis!$E$3,0.5)</f>
        <v>23.5</v>
      </c>
      <c r="F1537" s="124" t="s">
        <v>2949</v>
      </c>
      <c r="G1537" s="45">
        <f>ROUND((MROUND($F1537,5)+3)/Basis!$E$3,1)</f>
        <v>3.1</v>
      </c>
      <c r="H1537" s="120">
        <f>ROUND($P1537*Basis!$E$2*((TaH-TrH)/LN(1/µ)/Basis!$E$7)^$N1537*$AA$4*Glycol,0)</f>
        <v>692</v>
      </c>
      <c r="I1537" s="83">
        <f>ROUND(H1537/(MID($C1537,9,3)/Basis!$E$3/Basis!$E$9)*Basis!$E$11,0)</f>
        <v>352</v>
      </c>
      <c r="J1537" s="123">
        <f>IF(Basis!$E$1=1,ROUND(H1537/((TaH-TrH)*1.163)/3600,3),ROUND(H1537/(500*(TaH-TrH)),2))</f>
        <v>7.0000000000000007E-2</v>
      </c>
      <c r="K1537" s="84"/>
      <c r="L1537" s="177">
        <f>CHOOSE(Basis!$E$1,((AJ1537*(J1537*3600/Basis!$E$5)^AK1537*(((MID(C1537,9,3)*10)-144)/1000)*AL1537+AM1537*(J1537*3600/Basis!$E$5)^2)*0.0098)/Basis!$E$10,((AJ1537*(J1537/Basis!$E$5)^AK1537*(((MID(C1537,9,3)*10)-144)/1000)*AL1537+AM1537*(J1537/Basis!$E$5)^2)*0.0098)/Basis!$E$10)</f>
        <v>1.3739895470624315E-3</v>
      </c>
      <c r="M1537" s="85"/>
      <c r="N1537" s="109">
        <v>1.411</v>
      </c>
      <c r="O1537" s="68"/>
      <c r="P1537" s="67">
        <v>323</v>
      </c>
      <c r="Q1537" s="68"/>
      <c r="R1537" s="69"/>
      <c r="S1537" s="69"/>
      <c r="T1537" s="69"/>
      <c r="U1537" s="69"/>
      <c r="V1537" s="69"/>
      <c r="W1537" s="68"/>
      <c r="X1537" s="70"/>
      <c r="Y1537" s="70"/>
      <c r="Z1537" s="70"/>
      <c r="AA1537" s="70"/>
      <c r="AB1537" s="70"/>
      <c r="AC1537" s="68"/>
      <c r="AD1537" s="71"/>
      <c r="AE1537" s="71"/>
      <c r="AF1537" s="71"/>
      <c r="AG1537" s="71"/>
      <c r="AH1537" s="71"/>
      <c r="AI1537" s="68"/>
      <c r="AJ1537" s="214">
        <v>4.1688828699999996E-3</v>
      </c>
      <c r="AK1537" s="214">
        <v>1.411581940642</v>
      </c>
      <c r="AL1537" s="214">
        <v>3</v>
      </c>
      <c r="AM1537" s="214">
        <v>5.4247339961626003E-4</v>
      </c>
      <c r="AN1537" s="68"/>
      <c r="AO1537" s="67"/>
      <c r="AP1537" s="67"/>
      <c r="AQ1537" s="67"/>
      <c r="AR1537" s="67"/>
      <c r="AS1537" s="67"/>
      <c r="AT1537" s="68"/>
      <c r="AU1537" s="49"/>
      <c r="AV1537" s="50"/>
    </row>
    <row r="1538" spans="1:48" ht="12.75" customHeight="1" x14ac:dyDescent="0.25">
      <c r="A1538" s="72" t="s">
        <v>883</v>
      </c>
      <c r="B1538" s="43" t="s">
        <v>1580</v>
      </c>
      <c r="C1538" s="44" t="s">
        <v>1694</v>
      </c>
      <c r="D1538" s="45">
        <f>MROUND(MID($C1538,6,3)/Basis!$E$3,0.5)</f>
        <v>9</v>
      </c>
      <c r="E1538" s="45">
        <f>MROUND(MID($C1538,9,3)/Basis!$E$3,0.5)</f>
        <v>23.5</v>
      </c>
      <c r="F1538" s="124" t="s">
        <v>2946</v>
      </c>
      <c r="G1538" s="45">
        <f>ROUND((MROUND($F1538,5)+3)/Basis!$E$3,1)</f>
        <v>5.0999999999999996</v>
      </c>
      <c r="H1538" s="120">
        <f>ROUND($P1538*Basis!$E$2*((TaH-TrH)/LN(1/µ)/Basis!$E$7)^$N1538*$AA$4*Glycol,0)</f>
        <v>1275</v>
      </c>
      <c r="I1538" s="83">
        <f>ROUND(H1538/(MID($C1538,9,3)/Basis!$E$3/Basis!$E$9)*Basis!$E$11,0)</f>
        <v>648</v>
      </c>
      <c r="J1538" s="123">
        <f>IF(Basis!$E$1=1,ROUND(H1538/((TaH-TrH)*1.163)/3600,3),ROUND(H1538/(500*(TaH-TrH)),2))</f>
        <v>0.13</v>
      </c>
      <c r="K1538" s="84"/>
      <c r="L1538" s="177">
        <f>CHOOSE(Basis!$E$1,((AJ1538*(J1538*3600/Basis!$E$5)^AK1538*(((MID(C1538,9,3)*10)-144)/1000)*AL1538+AM1538*(J1538*3600/Basis!$E$5)^2)*0.0098)/Basis!$E$10,((AJ1538*(J1538/Basis!$E$5)^AK1538*(((MID(C1538,9,3)*10)-144)/1000)*AL1538+AM1538*(J1538/Basis!$E$5)^2)*0.0098)/Basis!$E$10)</f>
        <v>2.477334283628068E-3</v>
      </c>
      <c r="M1538" s="85"/>
      <c r="N1538" s="109">
        <v>1.4410000000000001</v>
      </c>
      <c r="O1538" s="68"/>
      <c r="P1538" s="67">
        <v>601</v>
      </c>
      <c r="Q1538" s="68"/>
      <c r="R1538" s="69"/>
      <c r="S1538" s="69"/>
      <c r="T1538" s="69"/>
      <c r="U1538" s="69"/>
      <c r="V1538" s="69"/>
      <c r="W1538" s="68"/>
      <c r="X1538" s="70"/>
      <c r="Y1538" s="70"/>
      <c r="Z1538" s="70"/>
      <c r="AA1538" s="70"/>
      <c r="AB1538" s="70"/>
      <c r="AC1538" s="68"/>
      <c r="AD1538" s="71"/>
      <c r="AE1538" s="71"/>
      <c r="AF1538" s="71"/>
      <c r="AG1538" s="71"/>
      <c r="AH1538" s="71"/>
      <c r="AI1538" s="68"/>
      <c r="AJ1538" s="214">
        <v>3.9689999999999994E-4</v>
      </c>
      <c r="AK1538" s="214">
        <v>1.7345999999999999</v>
      </c>
      <c r="AL1538" s="214">
        <v>4</v>
      </c>
      <c r="AM1538" s="214">
        <v>5.7428799999999995E-4</v>
      </c>
      <c r="AN1538" s="68"/>
      <c r="AO1538" s="67"/>
      <c r="AP1538" s="67"/>
      <c r="AQ1538" s="67"/>
      <c r="AR1538" s="67"/>
      <c r="AS1538" s="67"/>
      <c r="AT1538" s="68"/>
      <c r="AU1538" s="49"/>
      <c r="AV1538" s="50"/>
    </row>
    <row r="1539" spans="1:48" ht="12.75" customHeight="1" x14ac:dyDescent="0.25">
      <c r="A1539" s="72" t="s">
        <v>883</v>
      </c>
      <c r="B1539" s="43" t="s">
        <v>1580</v>
      </c>
      <c r="C1539" s="44" t="s">
        <v>1695</v>
      </c>
      <c r="D1539" s="45">
        <f>MROUND(MID($C1539,6,3)/Basis!$E$3,0.5)</f>
        <v>9</v>
      </c>
      <c r="E1539" s="45">
        <f>MROUND(MID($C1539,9,3)/Basis!$E$3,0.5)</f>
        <v>23.5</v>
      </c>
      <c r="F1539" s="124" t="s">
        <v>2947</v>
      </c>
      <c r="G1539" s="45">
        <f>ROUND((MROUND($F1539,5)+3)/Basis!$E$3,1)</f>
        <v>7.1</v>
      </c>
      <c r="H1539" s="120">
        <f>ROUND($P1539*Basis!$E$2*((TaH-TrH)/LN(1/µ)/Basis!$E$7)^$N1539*$AA$4*Glycol,0)</f>
        <v>1658</v>
      </c>
      <c r="I1539" s="83">
        <f>ROUND(H1539/(MID($C1539,9,3)/Basis!$E$3/Basis!$E$9)*Basis!$E$11,0)</f>
        <v>842</v>
      </c>
      <c r="J1539" s="123">
        <f>IF(Basis!$E$1=1,ROUND(H1539/((TaH-TrH)*1.163)/3600,3),ROUND(H1539/(500*(TaH-TrH)),2))</f>
        <v>0.17</v>
      </c>
      <c r="K1539" s="84"/>
      <c r="L1539" s="177">
        <f>CHOOSE(Basis!$E$1,((AJ1539*(J1539*3600/Basis!$E$5)^AK1539*(((MID(C1539,9,3)*10)-144)/1000)*AL1539+AM1539*(J1539*3600/Basis!$E$5)^2)*0.0098)/Basis!$E$10,((AJ1539*(J1539/Basis!$E$5)^AK1539*(((MID(C1539,9,3)*10)-144)/1000)*AL1539+AM1539*(J1539/Basis!$E$5)^2)*0.0098)/Basis!$E$10)</f>
        <v>7.4649218329559484E-3</v>
      </c>
      <c r="M1539" s="85"/>
      <c r="N1539" s="109">
        <v>1.4530000000000001</v>
      </c>
      <c r="O1539" s="68"/>
      <c r="P1539" s="67">
        <v>785</v>
      </c>
      <c r="Q1539" s="68"/>
      <c r="R1539" s="69"/>
      <c r="S1539" s="69"/>
      <c r="T1539" s="69"/>
      <c r="U1539" s="69"/>
      <c r="V1539" s="69"/>
      <c r="W1539" s="68"/>
      <c r="X1539" s="70"/>
      <c r="Y1539" s="70"/>
      <c r="Z1539" s="70"/>
      <c r="AA1539" s="70"/>
      <c r="AB1539" s="70"/>
      <c r="AC1539" s="68"/>
      <c r="AD1539" s="71"/>
      <c r="AE1539" s="71"/>
      <c r="AF1539" s="71"/>
      <c r="AG1539" s="71"/>
      <c r="AH1539" s="71"/>
      <c r="AI1539" s="68"/>
      <c r="AJ1539" s="214">
        <v>2.0829999999999999E-4</v>
      </c>
      <c r="AK1539" s="214">
        <v>1.724</v>
      </c>
      <c r="AL1539" s="214">
        <v>4</v>
      </c>
      <c r="AM1539" s="214">
        <v>1.392796E-3</v>
      </c>
      <c r="AN1539" s="68"/>
      <c r="AO1539" s="67"/>
      <c r="AP1539" s="67"/>
      <c r="AQ1539" s="67"/>
      <c r="AR1539" s="67"/>
      <c r="AS1539" s="67"/>
      <c r="AT1539" s="68"/>
      <c r="AU1539" s="49"/>
      <c r="AV1539" s="50"/>
    </row>
    <row r="1540" spans="1:48" ht="12.75" customHeight="1" x14ac:dyDescent="0.25">
      <c r="A1540" s="72" t="s">
        <v>883</v>
      </c>
      <c r="B1540" s="43" t="s">
        <v>1580</v>
      </c>
      <c r="C1540" s="44" t="s">
        <v>1696</v>
      </c>
      <c r="D1540" s="45">
        <f>MROUND(MID($C1540,6,3)/Basis!$E$3,0.5)</f>
        <v>9</v>
      </c>
      <c r="E1540" s="45">
        <f>MROUND(MID($C1540,9,3)/Basis!$E$3,0.5)</f>
        <v>23.5</v>
      </c>
      <c r="F1540" s="124" t="s">
        <v>2948</v>
      </c>
      <c r="G1540" s="45">
        <f>ROUND((MROUND($F1540,5)+3)/Basis!$E$3,1)</f>
        <v>9.1</v>
      </c>
      <c r="H1540" s="120">
        <f>ROUND($P1540*Basis!$E$2*((TaH-TrH)/LN(1/µ)/Basis!$E$7)^$N1540*$AA$4*Glycol,0)</f>
        <v>2150</v>
      </c>
      <c r="I1540" s="83">
        <f>ROUND(H1540/(MID($C1540,9,3)/Basis!$E$3/Basis!$E$9)*Basis!$E$11,0)</f>
        <v>1092</v>
      </c>
      <c r="J1540" s="123">
        <f>IF(Basis!$E$1=1,ROUND(H1540/((TaH-TrH)*1.163)/3600,3),ROUND(H1540/(500*(TaH-TrH)),2))</f>
        <v>0.22</v>
      </c>
      <c r="K1540" s="84"/>
      <c r="L1540" s="177">
        <f>CHOOSE(Basis!$E$1,((AJ1540*(J1540*3600/Basis!$E$5)^AK1540*(((MID(C1540,9,3)*10)-144)/1000)*AL1540+AM1540*(J1540*3600/Basis!$E$5)^2)*0.0098)/Basis!$E$10,((AJ1540*(J1540/Basis!$E$5)^AK1540*(((MID(C1540,9,3)*10)-144)/1000)*AL1540+AM1540*(J1540/Basis!$E$5)^2)*0.0098)/Basis!$E$10)</f>
        <v>4.8380085676901921E-3</v>
      </c>
      <c r="M1540" s="85"/>
      <c r="N1540" s="109">
        <v>1.4630000000000001</v>
      </c>
      <c r="O1540" s="68"/>
      <c r="P1540" s="67">
        <v>1021</v>
      </c>
      <c r="Q1540" s="68"/>
      <c r="R1540" s="69"/>
      <c r="S1540" s="69"/>
      <c r="T1540" s="69"/>
      <c r="U1540" s="69"/>
      <c r="V1540" s="69"/>
      <c r="W1540" s="68"/>
      <c r="X1540" s="70"/>
      <c r="Y1540" s="70"/>
      <c r="Z1540" s="70"/>
      <c r="AA1540" s="70"/>
      <c r="AB1540" s="70"/>
      <c r="AC1540" s="68"/>
      <c r="AD1540" s="71"/>
      <c r="AE1540" s="71"/>
      <c r="AF1540" s="71"/>
      <c r="AG1540" s="71"/>
      <c r="AH1540" s="71"/>
      <c r="AI1540" s="68"/>
      <c r="AJ1540" s="214">
        <v>1.2760000000000001E-4</v>
      </c>
      <c r="AK1540" s="214">
        <v>1.7219</v>
      </c>
      <c r="AL1540" s="214">
        <v>4</v>
      </c>
      <c r="AM1540" s="214">
        <v>5.1420100000000005E-4</v>
      </c>
      <c r="AN1540" s="68"/>
      <c r="AO1540" s="67"/>
      <c r="AP1540" s="67"/>
      <c r="AQ1540" s="67"/>
      <c r="AR1540" s="67"/>
      <c r="AS1540" s="67"/>
      <c r="AT1540" s="68"/>
      <c r="AU1540" s="49"/>
      <c r="AV1540" s="50"/>
    </row>
    <row r="1541" spans="1:48" ht="12.75" customHeight="1" x14ac:dyDescent="0.25">
      <c r="A1541" s="72" t="s">
        <v>883</v>
      </c>
      <c r="B1541" s="43" t="s">
        <v>1580</v>
      </c>
      <c r="C1541" s="44" t="s">
        <v>1697</v>
      </c>
      <c r="D1541" s="45">
        <f>MROUND(MID($C1541,6,3)/Basis!$E$3,0.5)</f>
        <v>9</v>
      </c>
      <c r="E1541" s="45">
        <f>MROUND(MID($C1541,9,3)/Basis!$E$3,0.5)</f>
        <v>27.5</v>
      </c>
      <c r="F1541" s="124" t="s">
        <v>2949</v>
      </c>
      <c r="G1541" s="45">
        <f>ROUND((MROUND($F1541,5)+3)/Basis!$E$3,1)</f>
        <v>3.1</v>
      </c>
      <c r="H1541" s="120">
        <f>ROUND($P1541*Basis!$E$2*((TaH-TrH)/LN(1/µ)/Basis!$E$7)^$N1541*$AA$4*Glycol,0)</f>
        <v>807</v>
      </c>
      <c r="I1541" s="83">
        <f>ROUND(H1541/(MID($C1541,9,3)/Basis!$E$3/Basis!$E$9)*Basis!$E$11,0)</f>
        <v>351</v>
      </c>
      <c r="J1541" s="123">
        <f>IF(Basis!$E$1=1,ROUND(H1541/((TaH-TrH)*1.163)/3600,3),ROUND(H1541/(500*(TaH-TrH)),2))</f>
        <v>0.08</v>
      </c>
      <c r="K1541" s="84"/>
      <c r="L1541" s="177">
        <f>CHOOSE(Basis!$E$1,((AJ1541*(J1541*3600/Basis!$E$5)^AK1541*(((MID(C1541,9,3)*10)-144)/1000)*AL1541+AM1541*(J1541*3600/Basis!$E$5)^2)*0.0098)/Basis!$E$10,((AJ1541*(J1541/Basis!$E$5)^AK1541*(((MID(C1541,9,3)*10)-144)/1000)*AL1541+AM1541*(J1541/Basis!$E$5)^2)*0.0098)/Basis!$E$10)</f>
        <v>1.9483383921102188E-3</v>
      </c>
      <c r="M1541" s="85"/>
      <c r="N1541" s="109">
        <v>1.411</v>
      </c>
      <c r="O1541" s="68"/>
      <c r="P1541" s="67">
        <v>377</v>
      </c>
      <c r="Q1541" s="68"/>
      <c r="R1541" s="69"/>
      <c r="S1541" s="69"/>
      <c r="T1541" s="69"/>
      <c r="U1541" s="69"/>
      <c r="V1541" s="69"/>
      <c r="W1541" s="68"/>
      <c r="X1541" s="70"/>
      <c r="Y1541" s="70"/>
      <c r="Z1541" s="70"/>
      <c r="AA1541" s="70"/>
      <c r="AB1541" s="70"/>
      <c r="AC1541" s="68"/>
      <c r="AD1541" s="71"/>
      <c r="AE1541" s="71"/>
      <c r="AF1541" s="71"/>
      <c r="AG1541" s="71"/>
      <c r="AH1541" s="71"/>
      <c r="AI1541" s="68"/>
      <c r="AJ1541" s="214">
        <v>4.1688828699999996E-3</v>
      </c>
      <c r="AK1541" s="214">
        <v>1.411581940642</v>
      </c>
      <c r="AL1541" s="214">
        <v>3</v>
      </c>
      <c r="AM1541" s="214">
        <v>5.4247339961626003E-4</v>
      </c>
      <c r="AN1541" s="68"/>
      <c r="AO1541" s="67"/>
      <c r="AP1541" s="67"/>
      <c r="AQ1541" s="67"/>
      <c r="AR1541" s="67"/>
      <c r="AS1541" s="67"/>
      <c r="AT1541" s="68"/>
      <c r="AU1541" s="49"/>
      <c r="AV1541" s="50"/>
    </row>
    <row r="1542" spans="1:48" ht="12.75" customHeight="1" x14ac:dyDescent="0.25">
      <c r="A1542" s="72" t="s">
        <v>883</v>
      </c>
      <c r="B1542" s="43" t="s">
        <v>1580</v>
      </c>
      <c r="C1542" s="44" t="s">
        <v>1698</v>
      </c>
      <c r="D1542" s="45">
        <f>MROUND(MID($C1542,6,3)/Basis!$E$3,0.5)</f>
        <v>9</v>
      </c>
      <c r="E1542" s="45">
        <f>MROUND(MID($C1542,9,3)/Basis!$E$3,0.5)</f>
        <v>27.5</v>
      </c>
      <c r="F1542" s="124" t="s">
        <v>2946</v>
      </c>
      <c r="G1542" s="45">
        <f>ROUND((MROUND($F1542,5)+3)/Basis!$E$3,1)</f>
        <v>5.0999999999999996</v>
      </c>
      <c r="H1542" s="120">
        <f>ROUND($P1542*Basis!$E$2*((TaH-TrH)/LN(1/µ)/Basis!$E$7)^$N1542*$AA$4*Glycol,0)</f>
        <v>1487</v>
      </c>
      <c r="I1542" s="83">
        <f>ROUND(H1542/(MID($C1542,9,3)/Basis!$E$3/Basis!$E$9)*Basis!$E$11,0)</f>
        <v>647</v>
      </c>
      <c r="J1542" s="123">
        <f>IF(Basis!$E$1=1,ROUND(H1542/((TaH-TrH)*1.163)/3600,3),ROUND(H1542/(500*(TaH-TrH)),2))</f>
        <v>0.15</v>
      </c>
      <c r="K1542" s="84"/>
      <c r="L1542" s="177">
        <f>CHOOSE(Basis!$E$1,((AJ1542*(J1542*3600/Basis!$E$5)^AK1542*(((MID(C1542,9,3)*10)-144)/1000)*AL1542+AM1542*(J1542*3600/Basis!$E$5)^2)*0.0098)/Basis!$E$10,((AJ1542*(J1542/Basis!$E$5)^AK1542*(((MID(C1542,9,3)*10)-144)/1000)*AL1542+AM1542*(J1542/Basis!$E$5)^2)*0.0098)/Basis!$E$10)</f>
        <v>3.4927324089886061E-3</v>
      </c>
      <c r="M1542" s="85"/>
      <c r="N1542" s="109">
        <v>1.4410000000000001</v>
      </c>
      <c r="O1542" s="68"/>
      <c r="P1542" s="67">
        <v>701</v>
      </c>
      <c r="Q1542" s="68"/>
      <c r="R1542" s="69"/>
      <c r="S1542" s="69"/>
      <c r="T1542" s="69"/>
      <c r="U1542" s="69"/>
      <c r="V1542" s="69"/>
      <c r="W1542" s="68"/>
      <c r="X1542" s="70"/>
      <c r="Y1542" s="70"/>
      <c r="Z1542" s="70"/>
      <c r="AA1542" s="70"/>
      <c r="AB1542" s="70"/>
      <c r="AC1542" s="68"/>
      <c r="AD1542" s="71"/>
      <c r="AE1542" s="71"/>
      <c r="AF1542" s="71"/>
      <c r="AG1542" s="71"/>
      <c r="AH1542" s="71"/>
      <c r="AI1542" s="68"/>
      <c r="AJ1542" s="214">
        <v>3.9689999999999994E-4</v>
      </c>
      <c r="AK1542" s="214">
        <v>1.7345999999999999</v>
      </c>
      <c r="AL1542" s="214">
        <v>4</v>
      </c>
      <c r="AM1542" s="214">
        <v>5.7428799999999995E-4</v>
      </c>
      <c r="AN1542" s="68"/>
      <c r="AO1542" s="67"/>
      <c r="AP1542" s="67"/>
      <c r="AQ1542" s="67"/>
      <c r="AR1542" s="67"/>
      <c r="AS1542" s="67"/>
      <c r="AT1542" s="68"/>
      <c r="AU1542" s="49"/>
      <c r="AV1542" s="50"/>
    </row>
    <row r="1543" spans="1:48" ht="12.75" customHeight="1" x14ac:dyDescent="0.25">
      <c r="A1543" s="72" t="s">
        <v>883</v>
      </c>
      <c r="B1543" s="43" t="s">
        <v>1580</v>
      </c>
      <c r="C1543" s="44" t="s">
        <v>1699</v>
      </c>
      <c r="D1543" s="45">
        <f>MROUND(MID($C1543,6,3)/Basis!$E$3,0.5)</f>
        <v>9</v>
      </c>
      <c r="E1543" s="45">
        <f>MROUND(MID($C1543,9,3)/Basis!$E$3,0.5)</f>
        <v>27.5</v>
      </c>
      <c r="F1543" s="124" t="s">
        <v>2947</v>
      </c>
      <c r="G1543" s="45">
        <f>ROUND((MROUND($F1543,5)+3)/Basis!$E$3,1)</f>
        <v>7.1</v>
      </c>
      <c r="H1543" s="120">
        <f>ROUND($P1543*Basis!$E$2*((TaH-TrH)/LN(1/µ)/Basis!$E$7)^$N1543*$AA$4*Glycol,0)</f>
        <v>1935</v>
      </c>
      <c r="I1543" s="83">
        <f>ROUND(H1543/(MID($C1543,9,3)/Basis!$E$3/Basis!$E$9)*Basis!$E$11,0)</f>
        <v>843</v>
      </c>
      <c r="J1543" s="123">
        <f>IF(Basis!$E$1=1,ROUND(H1543/((TaH-TrH)*1.163)/3600,3),ROUND(H1543/(500*(TaH-TrH)),2))</f>
        <v>0.19</v>
      </c>
      <c r="K1543" s="84"/>
      <c r="L1543" s="177">
        <f>CHOOSE(Basis!$E$1,((AJ1543*(J1543*3600/Basis!$E$5)^AK1543*(((MID(C1543,9,3)*10)-144)/1000)*AL1543+AM1543*(J1543*3600/Basis!$E$5)^2)*0.0098)/Basis!$E$10,((AJ1543*(J1543/Basis!$E$5)^AK1543*(((MID(C1543,9,3)*10)-144)/1000)*AL1543+AM1543*(J1543/Basis!$E$5)^2)*0.0098)/Basis!$E$10)</f>
        <v>9.4786668081047448E-3</v>
      </c>
      <c r="M1543" s="85"/>
      <c r="N1543" s="109">
        <v>1.4530000000000001</v>
      </c>
      <c r="O1543" s="68"/>
      <c r="P1543" s="67">
        <v>916</v>
      </c>
      <c r="Q1543" s="68"/>
      <c r="R1543" s="69"/>
      <c r="S1543" s="69"/>
      <c r="T1543" s="69"/>
      <c r="U1543" s="69"/>
      <c r="V1543" s="69"/>
      <c r="W1543" s="68"/>
      <c r="X1543" s="70"/>
      <c r="Y1543" s="70"/>
      <c r="Z1543" s="70"/>
      <c r="AA1543" s="70"/>
      <c r="AB1543" s="70"/>
      <c r="AC1543" s="68"/>
      <c r="AD1543" s="71"/>
      <c r="AE1543" s="71"/>
      <c r="AF1543" s="71"/>
      <c r="AG1543" s="71"/>
      <c r="AH1543" s="71"/>
      <c r="AI1543" s="68"/>
      <c r="AJ1543" s="214">
        <v>2.0829999999999999E-4</v>
      </c>
      <c r="AK1543" s="214">
        <v>1.724</v>
      </c>
      <c r="AL1543" s="214">
        <v>4</v>
      </c>
      <c r="AM1543" s="214">
        <v>1.392796E-3</v>
      </c>
      <c r="AN1543" s="68"/>
      <c r="AO1543" s="67"/>
      <c r="AP1543" s="67"/>
      <c r="AQ1543" s="67"/>
      <c r="AR1543" s="67"/>
      <c r="AS1543" s="67"/>
      <c r="AT1543" s="68"/>
      <c r="AU1543" s="49"/>
      <c r="AV1543" s="50"/>
    </row>
    <row r="1544" spans="1:48" ht="12.75" customHeight="1" x14ac:dyDescent="0.25">
      <c r="A1544" s="72" t="s">
        <v>883</v>
      </c>
      <c r="B1544" s="43" t="s">
        <v>1580</v>
      </c>
      <c r="C1544" s="44" t="s">
        <v>1700</v>
      </c>
      <c r="D1544" s="45">
        <f>MROUND(MID($C1544,6,3)/Basis!$E$3,0.5)</f>
        <v>9</v>
      </c>
      <c r="E1544" s="45">
        <f>MROUND(MID($C1544,9,3)/Basis!$E$3,0.5)</f>
        <v>27.5</v>
      </c>
      <c r="F1544" s="124" t="s">
        <v>2948</v>
      </c>
      <c r="G1544" s="45">
        <f>ROUND((MROUND($F1544,5)+3)/Basis!$E$3,1)</f>
        <v>9.1</v>
      </c>
      <c r="H1544" s="120">
        <f>ROUND($P1544*Basis!$E$2*((TaH-TrH)/LN(1/µ)/Basis!$E$7)^$N1544*$AA$4*Glycol,0)</f>
        <v>2507</v>
      </c>
      <c r="I1544" s="83">
        <f>ROUND(H1544/(MID($C1544,9,3)/Basis!$E$3/Basis!$E$9)*Basis!$E$11,0)</f>
        <v>1092</v>
      </c>
      <c r="J1544" s="123">
        <f>IF(Basis!$E$1=1,ROUND(H1544/((TaH-TrH)*1.163)/3600,3),ROUND(H1544/(500*(TaH-TrH)),2))</f>
        <v>0.25</v>
      </c>
      <c r="K1544" s="84"/>
      <c r="L1544" s="177">
        <f>CHOOSE(Basis!$E$1,((AJ1544*(J1544*3600/Basis!$E$5)^AK1544*(((MID(C1544,9,3)*10)-144)/1000)*AL1544+AM1544*(J1544*3600/Basis!$E$5)^2)*0.0098)/Basis!$E$10,((AJ1544*(J1544/Basis!$E$5)^AK1544*(((MID(C1544,9,3)*10)-144)/1000)*AL1544+AM1544*(J1544/Basis!$E$5)^2)*0.0098)/Basis!$E$10)</f>
        <v>6.3935320251952369E-3</v>
      </c>
      <c r="M1544" s="85"/>
      <c r="N1544" s="109">
        <v>1.4630000000000001</v>
      </c>
      <c r="O1544" s="68"/>
      <c r="P1544" s="67">
        <v>1191</v>
      </c>
      <c r="Q1544" s="68"/>
      <c r="R1544" s="69"/>
      <c r="S1544" s="69"/>
      <c r="T1544" s="69"/>
      <c r="U1544" s="69"/>
      <c r="V1544" s="69"/>
      <c r="W1544" s="68"/>
      <c r="X1544" s="70"/>
      <c r="Y1544" s="70"/>
      <c r="Z1544" s="70"/>
      <c r="AA1544" s="70"/>
      <c r="AB1544" s="70"/>
      <c r="AC1544" s="68"/>
      <c r="AD1544" s="71"/>
      <c r="AE1544" s="71"/>
      <c r="AF1544" s="71"/>
      <c r="AG1544" s="71"/>
      <c r="AH1544" s="71"/>
      <c r="AI1544" s="68"/>
      <c r="AJ1544" s="214">
        <v>1.2760000000000001E-4</v>
      </c>
      <c r="AK1544" s="214">
        <v>1.7219</v>
      </c>
      <c r="AL1544" s="214">
        <v>4</v>
      </c>
      <c r="AM1544" s="214">
        <v>5.1420100000000005E-4</v>
      </c>
      <c r="AN1544" s="68"/>
      <c r="AO1544" s="67"/>
      <c r="AP1544" s="67"/>
      <c r="AQ1544" s="67"/>
      <c r="AR1544" s="67"/>
      <c r="AS1544" s="67"/>
      <c r="AT1544" s="68"/>
      <c r="AU1544" s="49"/>
      <c r="AV1544" s="50"/>
    </row>
    <row r="1545" spans="1:48" ht="12.75" customHeight="1" x14ac:dyDescent="0.25">
      <c r="A1545" s="72" t="s">
        <v>883</v>
      </c>
      <c r="B1545" s="43" t="s">
        <v>1580</v>
      </c>
      <c r="C1545" s="44" t="s">
        <v>1701</v>
      </c>
      <c r="D1545" s="45">
        <f>MROUND(MID($C1545,6,3)/Basis!$E$3,0.5)</f>
        <v>9</v>
      </c>
      <c r="E1545" s="45">
        <f>MROUND(MID($C1545,9,3)/Basis!$E$3,0.5)</f>
        <v>31.5</v>
      </c>
      <c r="F1545" s="124" t="s">
        <v>2949</v>
      </c>
      <c r="G1545" s="45">
        <f>ROUND((MROUND($F1545,5)+3)/Basis!$E$3,1)</f>
        <v>3.1</v>
      </c>
      <c r="H1545" s="120">
        <f>ROUND($P1545*Basis!$E$2*((TaH-TrH)/LN(1/µ)/Basis!$E$7)^$N1545*$AA$4*Glycol,0)</f>
        <v>923</v>
      </c>
      <c r="I1545" s="83">
        <f>ROUND(H1545/(MID($C1545,9,3)/Basis!$E$3/Basis!$E$9)*Basis!$E$11,0)</f>
        <v>352</v>
      </c>
      <c r="J1545" s="123">
        <f>IF(Basis!$E$1=1,ROUND(H1545/((TaH-TrH)*1.163)/3600,3),ROUND(H1545/(500*(TaH-TrH)),2))</f>
        <v>0.09</v>
      </c>
      <c r="K1545" s="84"/>
      <c r="L1545" s="177">
        <f>CHOOSE(Basis!$E$1,((AJ1545*(J1545*3600/Basis!$E$5)^AK1545*(((MID(C1545,9,3)*10)-144)/1000)*AL1545+AM1545*(J1545*3600/Basis!$E$5)^2)*0.0098)/Basis!$E$10,((AJ1545*(J1545/Basis!$E$5)^AK1545*(((MID(C1545,9,3)*10)-144)/1000)*AL1545+AM1545*(J1545/Basis!$E$5)^2)*0.0098)/Basis!$E$10)</f>
        <v>2.6398121845134476E-3</v>
      </c>
      <c r="M1545" s="85"/>
      <c r="N1545" s="109">
        <v>1.411</v>
      </c>
      <c r="O1545" s="68"/>
      <c r="P1545" s="67">
        <v>431</v>
      </c>
      <c r="Q1545" s="68"/>
      <c r="R1545" s="69"/>
      <c r="S1545" s="69"/>
      <c r="T1545" s="69"/>
      <c r="U1545" s="69"/>
      <c r="V1545" s="69"/>
      <c r="W1545" s="68"/>
      <c r="X1545" s="70"/>
      <c r="Y1545" s="70"/>
      <c r="Z1545" s="70"/>
      <c r="AA1545" s="70"/>
      <c r="AB1545" s="70"/>
      <c r="AC1545" s="68"/>
      <c r="AD1545" s="71"/>
      <c r="AE1545" s="71"/>
      <c r="AF1545" s="71"/>
      <c r="AG1545" s="71"/>
      <c r="AH1545" s="71"/>
      <c r="AI1545" s="68"/>
      <c r="AJ1545" s="214">
        <v>4.1688828699999996E-3</v>
      </c>
      <c r="AK1545" s="214">
        <v>1.411581940642</v>
      </c>
      <c r="AL1545" s="214">
        <v>3</v>
      </c>
      <c r="AM1545" s="214">
        <v>5.4247339961626003E-4</v>
      </c>
      <c r="AN1545" s="68"/>
      <c r="AO1545" s="67"/>
      <c r="AP1545" s="67"/>
      <c r="AQ1545" s="67"/>
      <c r="AR1545" s="67"/>
      <c r="AS1545" s="67"/>
      <c r="AT1545" s="68"/>
      <c r="AU1545" s="49"/>
      <c r="AV1545" s="50"/>
    </row>
    <row r="1546" spans="1:48" ht="12.75" customHeight="1" x14ac:dyDescent="0.25">
      <c r="A1546" s="72" t="s">
        <v>883</v>
      </c>
      <c r="B1546" s="43" t="s">
        <v>1580</v>
      </c>
      <c r="C1546" s="44" t="s">
        <v>1702</v>
      </c>
      <c r="D1546" s="45">
        <f>MROUND(MID($C1546,6,3)/Basis!$E$3,0.5)</f>
        <v>9</v>
      </c>
      <c r="E1546" s="45">
        <f>MROUND(MID($C1546,9,3)/Basis!$E$3,0.5)</f>
        <v>31.5</v>
      </c>
      <c r="F1546" s="124" t="s">
        <v>2946</v>
      </c>
      <c r="G1546" s="45">
        <f>ROUND((MROUND($F1546,5)+3)/Basis!$E$3,1)</f>
        <v>5.0999999999999996</v>
      </c>
      <c r="H1546" s="120">
        <f>ROUND($P1546*Basis!$E$2*((TaH-TrH)/LN(1/µ)/Basis!$E$7)^$N1546*$AA$4*Glycol,0)</f>
        <v>1701</v>
      </c>
      <c r="I1546" s="83">
        <f>ROUND(H1546/(MID($C1546,9,3)/Basis!$E$3/Basis!$E$9)*Basis!$E$11,0)</f>
        <v>648</v>
      </c>
      <c r="J1546" s="123">
        <f>IF(Basis!$E$1=1,ROUND(H1546/((TaH-TrH)*1.163)/3600,3),ROUND(H1546/(500*(TaH-TrH)),2))</f>
        <v>0.17</v>
      </c>
      <c r="K1546" s="84"/>
      <c r="L1546" s="177">
        <f>CHOOSE(Basis!$E$1,((AJ1546*(J1546*3600/Basis!$E$5)^AK1546*(((MID(C1546,9,3)*10)-144)/1000)*AL1546+AM1546*(J1546*3600/Basis!$E$5)^2)*0.0098)/Basis!$E$10,((AJ1546*(J1546/Basis!$E$5)^AK1546*(((MID(C1546,9,3)*10)-144)/1000)*AL1546+AM1546*(J1546/Basis!$E$5)^2)*0.0098)/Basis!$E$10)</f>
        <v>4.7245799769426583E-3</v>
      </c>
      <c r="M1546" s="85"/>
      <c r="N1546" s="109">
        <v>1.4410000000000001</v>
      </c>
      <c r="O1546" s="68"/>
      <c r="P1546" s="67">
        <v>802</v>
      </c>
      <c r="Q1546" s="68"/>
      <c r="R1546" s="69"/>
      <c r="S1546" s="69"/>
      <c r="T1546" s="69"/>
      <c r="U1546" s="69"/>
      <c r="V1546" s="69"/>
      <c r="W1546" s="68"/>
      <c r="X1546" s="70"/>
      <c r="Y1546" s="70"/>
      <c r="Z1546" s="70"/>
      <c r="AA1546" s="70"/>
      <c r="AB1546" s="70"/>
      <c r="AC1546" s="68"/>
      <c r="AD1546" s="71"/>
      <c r="AE1546" s="71"/>
      <c r="AF1546" s="71"/>
      <c r="AG1546" s="71"/>
      <c r="AH1546" s="71"/>
      <c r="AI1546" s="68"/>
      <c r="AJ1546" s="214">
        <v>3.9689999999999994E-4</v>
      </c>
      <c r="AK1546" s="214">
        <v>1.7345999999999999</v>
      </c>
      <c r="AL1546" s="214">
        <v>4</v>
      </c>
      <c r="AM1546" s="214">
        <v>5.7428799999999995E-4</v>
      </c>
      <c r="AN1546" s="68"/>
      <c r="AO1546" s="67"/>
      <c r="AP1546" s="67"/>
      <c r="AQ1546" s="67"/>
      <c r="AR1546" s="67"/>
      <c r="AS1546" s="67"/>
      <c r="AT1546" s="68"/>
      <c r="AU1546" s="49"/>
      <c r="AV1546" s="50"/>
    </row>
    <row r="1547" spans="1:48" ht="12.75" customHeight="1" x14ac:dyDescent="0.25">
      <c r="A1547" s="72" t="s">
        <v>883</v>
      </c>
      <c r="B1547" s="43" t="s">
        <v>1580</v>
      </c>
      <c r="C1547" s="44" t="s">
        <v>1703</v>
      </c>
      <c r="D1547" s="45">
        <f>MROUND(MID($C1547,6,3)/Basis!$E$3,0.5)</f>
        <v>9</v>
      </c>
      <c r="E1547" s="45">
        <f>MROUND(MID($C1547,9,3)/Basis!$E$3,0.5)</f>
        <v>31.5</v>
      </c>
      <c r="F1547" s="124" t="s">
        <v>2947</v>
      </c>
      <c r="G1547" s="45">
        <f>ROUND((MROUND($F1547,5)+3)/Basis!$E$3,1)</f>
        <v>7.1</v>
      </c>
      <c r="H1547" s="120">
        <f>ROUND($P1547*Basis!$E$2*((TaH-TrH)/LN(1/µ)/Basis!$E$7)^$N1547*$AA$4*Glycol,0)</f>
        <v>2209</v>
      </c>
      <c r="I1547" s="83">
        <f>ROUND(H1547/(MID($C1547,9,3)/Basis!$E$3/Basis!$E$9)*Basis!$E$11,0)</f>
        <v>842</v>
      </c>
      <c r="J1547" s="123">
        <f>IF(Basis!$E$1=1,ROUND(H1547/((TaH-TrH)*1.163)/3600,3),ROUND(H1547/(500*(TaH-TrH)),2))</f>
        <v>0.22</v>
      </c>
      <c r="K1547" s="84"/>
      <c r="L1547" s="177">
        <f>CHOOSE(Basis!$E$1,((AJ1547*(J1547*3600/Basis!$E$5)^AK1547*(((MID(C1547,9,3)*10)-144)/1000)*AL1547+AM1547*(J1547*3600/Basis!$E$5)^2)*0.0098)/Basis!$E$10,((AJ1547*(J1547/Basis!$E$5)^AK1547*(((MID(C1547,9,3)*10)-144)/1000)*AL1547+AM1547*(J1547/Basis!$E$5)^2)*0.0098)/Basis!$E$10)</f>
        <v>1.2886282529625032E-2</v>
      </c>
      <c r="M1547" s="85"/>
      <c r="N1547" s="109">
        <v>1.4530000000000001</v>
      </c>
      <c r="O1547" s="68"/>
      <c r="P1547" s="67">
        <v>1046</v>
      </c>
      <c r="Q1547" s="68"/>
      <c r="R1547" s="69"/>
      <c r="S1547" s="69"/>
      <c r="T1547" s="69"/>
      <c r="U1547" s="69"/>
      <c r="V1547" s="69"/>
      <c r="W1547" s="68"/>
      <c r="X1547" s="70"/>
      <c r="Y1547" s="70"/>
      <c r="Z1547" s="70"/>
      <c r="AA1547" s="70"/>
      <c r="AB1547" s="70"/>
      <c r="AC1547" s="68"/>
      <c r="AD1547" s="71"/>
      <c r="AE1547" s="71"/>
      <c r="AF1547" s="71"/>
      <c r="AG1547" s="71"/>
      <c r="AH1547" s="71"/>
      <c r="AI1547" s="68"/>
      <c r="AJ1547" s="214">
        <v>2.0829999999999999E-4</v>
      </c>
      <c r="AK1547" s="214">
        <v>1.724</v>
      </c>
      <c r="AL1547" s="214">
        <v>4</v>
      </c>
      <c r="AM1547" s="214">
        <v>1.392796E-3</v>
      </c>
      <c r="AN1547" s="68"/>
      <c r="AO1547" s="67"/>
      <c r="AP1547" s="67"/>
      <c r="AQ1547" s="67"/>
      <c r="AR1547" s="67"/>
      <c r="AS1547" s="67"/>
      <c r="AT1547" s="68"/>
      <c r="AU1547" s="49"/>
      <c r="AV1547" s="50"/>
    </row>
    <row r="1548" spans="1:48" ht="12.75" customHeight="1" x14ac:dyDescent="0.25">
      <c r="A1548" s="72" t="s">
        <v>883</v>
      </c>
      <c r="B1548" s="43" t="s">
        <v>1580</v>
      </c>
      <c r="C1548" s="44" t="s">
        <v>1704</v>
      </c>
      <c r="D1548" s="45">
        <f>MROUND(MID($C1548,6,3)/Basis!$E$3,0.5)</f>
        <v>9</v>
      </c>
      <c r="E1548" s="45">
        <f>MROUND(MID($C1548,9,3)/Basis!$E$3,0.5)</f>
        <v>31.5</v>
      </c>
      <c r="F1548" s="124" t="s">
        <v>2948</v>
      </c>
      <c r="G1548" s="45">
        <f>ROUND((MROUND($F1548,5)+3)/Basis!$E$3,1)</f>
        <v>9.1</v>
      </c>
      <c r="H1548" s="120">
        <f>ROUND($P1548*Basis!$E$2*((TaH-TrH)/LN(1/µ)/Basis!$E$7)^$N1548*$AA$4*Glycol,0)</f>
        <v>2865</v>
      </c>
      <c r="I1548" s="83">
        <f>ROUND(H1548/(MID($C1548,9,3)/Basis!$E$3/Basis!$E$9)*Basis!$E$11,0)</f>
        <v>1092</v>
      </c>
      <c r="J1548" s="123">
        <f>IF(Basis!$E$1=1,ROUND(H1548/((TaH-TrH)*1.163)/3600,3),ROUND(H1548/(500*(TaH-TrH)),2))</f>
        <v>0.28999999999999998</v>
      </c>
      <c r="K1548" s="84"/>
      <c r="L1548" s="177">
        <f>CHOOSE(Basis!$E$1,((AJ1548*(J1548*3600/Basis!$E$5)^AK1548*(((MID(C1548,9,3)*10)-144)/1000)*AL1548+AM1548*(J1548*3600/Basis!$E$5)^2)*0.0098)/Basis!$E$10,((AJ1548*(J1548/Basis!$E$5)^AK1548*(((MID(C1548,9,3)*10)-144)/1000)*AL1548+AM1548*(J1548/Basis!$E$5)^2)*0.0098)/Basis!$E$10)</f>
        <v>8.7761342860982732E-3</v>
      </c>
      <c r="M1548" s="85"/>
      <c r="N1548" s="109">
        <v>1.4630000000000001</v>
      </c>
      <c r="O1548" s="68"/>
      <c r="P1548" s="67">
        <v>1361</v>
      </c>
      <c r="Q1548" s="68"/>
      <c r="R1548" s="69"/>
      <c r="S1548" s="69"/>
      <c r="T1548" s="69"/>
      <c r="U1548" s="69"/>
      <c r="V1548" s="69"/>
      <c r="W1548" s="68"/>
      <c r="X1548" s="70"/>
      <c r="Y1548" s="70"/>
      <c r="Z1548" s="70"/>
      <c r="AA1548" s="70"/>
      <c r="AB1548" s="70"/>
      <c r="AC1548" s="68"/>
      <c r="AD1548" s="71"/>
      <c r="AE1548" s="71"/>
      <c r="AF1548" s="71"/>
      <c r="AG1548" s="71"/>
      <c r="AH1548" s="71"/>
      <c r="AI1548" s="68"/>
      <c r="AJ1548" s="214">
        <v>1.2760000000000001E-4</v>
      </c>
      <c r="AK1548" s="214">
        <v>1.7219</v>
      </c>
      <c r="AL1548" s="214">
        <v>4</v>
      </c>
      <c r="AM1548" s="214">
        <v>5.1420100000000005E-4</v>
      </c>
      <c r="AN1548" s="68"/>
      <c r="AO1548" s="67"/>
      <c r="AP1548" s="67"/>
      <c r="AQ1548" s="67"/>
      <c r="AR1548" s="67"/>
      <c r="AS1548" s="67"/>
      <c r="AT1548" s="68"/>
      <c r="AU1548" s="49"/>
      <c r="AV1548" s="50"/>
    </row>
    <row r="1549" spans="1:48" ht="12.75" customHeight="1" x14ac:dyDescent="0.25">
      <c r="A1549" s="72" t="s">
        <v>883</v>
      </c>
      <c r="B1549" s="43" t="s">
        <v>1580</v>
      </c>
      <c r="C1549" s="44" t="s">
        <v>1705</v>
      </c>
      <c r="D1549" s="45">
        <f>MROUND(MID($C1549,6,3)/Basis!$E$3,0.5)</f>
        <v>9</v>
      </c>
      <c r="E1549" s="45">
        <f>MROUND(MID($C1549,9,3)/Basis!$E$3,0.5)</f>
        <v>35.5</v>
      </c>
      <c r="F1549" s="124" t="s">
        <v>2949</v>
      </c>
      <c r="G1549" s="45">
        <f>ROUND((MROUND($F1549,5)+3)/Basis!$E$3,1)</f>
        <v>3.1</v>
      </c>
      <c r="H1549" s="120">
        <f>ROUND($P1549*Basis!$E$2*((TaH-TrH)/LN(1/µ)/Basis!$E$7)^$N1549*$AA$4*Glycol,0)</f>
        <v>1039</v>
      </c>
      <c r="I1549" s="83">
        <f>ROUND(H1549/(MID($C1549,9,3)/Basis!$E$3/Basis!$E$9)*Basis!$E$11,0)</f>
        <v>352</v>
      </c>
      <c r="J1549" s="123">
        <f>IF(Basis!$E$1=1,ROUND(H1549/((TaH-TrH)*1.163)/3600,3),ROUND(H1549/(500*(TaH-TrH)),2))</f>
        <v>0.1</v>
      </c>
      <c r="K1549" s="84"/>
      <c r="L1549" s="177">
        <f>CHOOSE(Basis!$E$1,((AJ1549*(J1549*3600/Basis!$E$5)^AK1549*(((MID(C1549,9,3)*10)-144)/1000)*AL1549+AM1549*(J1549*3600/Basis!$E$5)^2)*0.0098)/Basis!$E$10,((AJ1549*(J1549/Basis!$E$5)^AK1549*(((MID(C1549,9,3)*10)-144)/1000)*AL1549+AM1549*(J1549/Basis!$E$5)^2)*0.0098)/Basis!$E$10)</f>
        <v>3.4539622555639278E-3</v>
      </c>
      <c r="M1549" s="85"/>
      <c r="N1549" s="109">
        <v>1.411</v>
      </c>
      <c r="O1549" s="68"/>
      <c r="P1549" s="67">
        <v>485</v>
      </c>
      <c r="Q1549" s="68"/>
      <c r="R1549" s="69"/>
      <c r="S1549" s="69"/>
      <c r="T1549" s="69"/>
      <c r="U1549" s="69"/>
      <c r="V1549" s="69"/>
      <c r="W1549" s="68"/>
      <c r="X1549" s="70"/>
      <c r="Y1549" s="70"/>
      <c r="Z1549" s="70"/>
      <c r="AA1549" s="70"/>
      <c r="AB1549" s="70"/>
      <c r="AC1549" s="68"/>
      <c r="AD1549" s="71"/>
      <c r="AE1549" s="71"/>
      <c r="AF1549" s="71"/>
      <c r="AG1549" s="71"/>
      <c r="AH1549" s="71"/>
      <c r="AI1549" s="68"/>
      <c r="AJ1549" s="214">
        <v>4.1688828699999996E-3</v>
      </c>
      <c r="AK1549" s="214">
        <v>1.411581940642</v>
      </c>
      <c r="AL1549" s="214">
        <v>3</v>
      </c>
      <c r="AM1549" s="214">
        <v>5.4247339961626003E-4</v>
      </c>
      <c r="AN1549" s="68"/>
      <c r="AO1549" s="67"/>
      <c r="AP1549" s="67"/>
      <c r="AQ1549" s="67"/>
      <c r="AR1549" s="67"/>
      <c r="AS1549" s="67"/>
      <c r="AT1549" s="68"/>
      <c r="AU1549" s="49"/>
      <c r="AV1549" s="50"/>
    </row>
    <row r="1550" spans="1:48" ht="12.75" customHeight="1" x14ac:dyDescent="0.25">
      <c r="A1550" s="72" t="s">
        <v>883</v>
      </c>
      <c r="B1550" s="43" t="s">
        <v>1580</v>
      </c>
      <c r="C1550" s="44" t="s">
        <v>1706</v>
      </c>
      <c r="D1550" s="45">
        <f>MROUND(MID($C1550,6,3)/Basis!$E$3,0.5)</f>
        <v>9</v>
      </c>
      <c r="E1550" s="45">
        <f>MROUND(MID($C1550,9,3)/Basis!$E$3,0.5)</f>
        <v>35.5</v>
      </c>
      <c r="F1550" s="124" t="s">
        <v>2946</v>
      </c>
      <c r="G1550" s="45">
        <f>ROUND((MROUND($F1550,5)+3)/Basis!$E$3,1)</f>
        <v>5.0999999999999996</v>
      </c>
      <c r="H1550" s="120">
        <f>ROUND($P1550*Basis!$E$2*((TaH-TrH)/LN(1/µ)/Basis!$E$7)^$N1550*$AA$4*Glycol,0)</f>
        <v>1913</v>
      </c>
      <c r="I1550" s="83">
        <f>ROUND(H1550/(MID($C1550,9,3)/Basis!$E$3/Basis!$E$9)*Basis!$E$11,0)</f>
        <v>648</v>
      </c>
      <c r="J1550" s="123">
        <f>IF(Basis!$E$1=1,ROUND(H1550/((TaH-TrH)*1.163)/3600,3),ROUND(H1550/(500*(TaH-TrH)),2))</f>
        <v>0.19</v>
      </c>
      <c r="K1550" s="84"/>
      <c r="L1550" s="177">
        <f>CHOOSE(Basis!$E$1,((AJ1550*(J1550*3600/Basis!$E$5)^AK1550*(((MID(C1550,9,3)*10)-144)/1000)*AL1550+AM1550*(J1550*3600/Basis!$E$5)^2)*0.0098)/Basis!$E$10,((AJ1550*(J1550/Basis!$E$5)^AK1550*(((MID(C1550,9,3)*10)-144)/1000)*AL1550+AM1550*(J1550/Basis!$E$5)^2)*0.0098)/Basis!$E$10)</f>
        <v>6.1876102832786641E-3</v>
      </c>
      <c r="M1550" s="85"/>
      <c r="N1550" s="109">
        <v>1.4410000000000001</v>
      </c>
      <c r="O1550" s="68"/>
      <c r="P1550" s="67">
        <v>902</v>
      </c>
      <c r="Q1550" s="68"/>
      <c r="R1550" s="69"/>
      <c r="S1550" s="69"/>
      <c r="T1550" s="69"/>
      <c r="U1550" s="69"/>
      <c r="V1550" s="69"/>
      <c r="W1550" s="68"/>
      <c r="X1550" s="70"/>
      <c r="Y1550" s="70"/>
      <c r="Z1550" s="70"/>
      <c r="AA1550" s="70"/>
      <c r="AB1550" s="70"/>
      <c r="AC1550" s="68"/>
      <c r="AD1550" s="71"/>
      <c r="AE1550" s="71"/>
      <c r="AF1550" s="71"/>
      <c r="AG1550" s="71"/>
      <c r="AH1550" s="71"/>
      <c r="AI1550" s="68"/>
      <c r="AJ1550" s="214">
        <v>3.9689999999999994E-4</v>
      </c>
      <c r="AK1550" s="214">
        <v>1.7345999999999999</v>
      </c>
      <c r="AL1550" s="214">
        <v>4</v>
      </c>
      <c r="AM1550" s="214">
        <v>5.7428799999999995E-4</v>
      </c>
      <c r="AN1550" s="68"/>
      <c r="AO1550" s="67"/>
      <c r="AP1550" s="67"/>
      <c r="AQ1550" s="67"/>
      <c r="AR1550" s="67"/>
      <c r="AS1550" s="67"/>
      <c r="AT1550" s="68"/>
      <c r="AU1550" s="49"/>
      <c r="AV1550" s="50"/>
    </row>
    <row r="1551" spans="1:48" ht="12.75" customHeight="1" x14ac:dyDescent="0.25">
      <c r="A1551" s="72" t="s">
        <v>883</v>
      </c>
      <c r="B1551" s="43" t="s">
        <v>1580</v>
      </c>
      <c r="C1551" s="44" t="s">
        <v>1707</v>
      </c>
      <c r="D1551" s="45">
        <f>MROUND(MID($C1551,6,3)/Basis!$E$3,0.5)</f>
        <v>9</v>
      </c>
      <c r="E1551" s="45">
        <f>MROUND(MID($C1551,9,3)/Basis!$E$3,0.5)</f>
        <v>35.5</v>
      </c>
      <c r="F1551" s="124" t="s">
        <v>2947</v>
      </c>
      <c r="G1551" s="45">
        <f>ROUND((MROUND($F1551,5)+3)/Basis!$E$3,1)</f>
        <v>7.1</v>
      </c>
      <c r="H1551" s="120">
        <f>ROUND($P1551*Basis!$E$2*((TaH-TrH)/LN(1/µ)/Basis!$E$7)^$N1551*$AA$4*Glycol,0)</f>
        <v>2486</v>
      </c>
      <c r="I1551" s="83">
        <f>ROUND(H1551/(MID($C1551,9,3)/Basis!$E$3/Basis!$E$9)*Basis!$E$11,0)</f>
        <v>842</v>
      </c>
      <c r="J1551" s="123">
        <f>IF(Basis!$E$1=1,ROUND(H1551/((TaH-TrH)*1.163)/3600,3),ROUND(H1551/(500*(TaH-TrH)),2))</f>
        <v>0.25</v>
      </c>
      <c r="K1551" s="84"/>
      <c r="L1551" s="177">
        <f>CHOOSE(Basis!$E$1,((AJ1551*(J1551*3600/Basis!$E$5)^AK1551*(((MID(C1551,9,3)*10)-144)/1000)*AL1551+AM1551*(J1551*3600/Basis!$E$5)^2)*0.0098)/Basis!$E$10,((AJ1551*(J1551/Basis!$E$5)^AK1551*(((MID(C1551,9,3)*10)-144)/1000)*AL1551+AM1551*(J1551/Basis!$E$5)^2)*0.0098)/Basis!$E$10)</f>
        <v>1.6860556515373475E-2</v>
      </c>
      <c r="M1551" s="85"/>
      <c r="N1551" s="109">
        <v>1.4530000000000001</v>
      </c>
      <c r="O1551" s="68"/>
      <c r="P1551" s="67">
        <v>1177</v>
      </c>
      <c r="Q1551" s="68"/>
      <c r="R1551" s="69"/>
      <c r="S1551" s="69"/>
      <c r="T1551" s="69"/>
      <c r="U1551" s="69"/>
      <c r="V1551" s="69"/>
      <c r="W1551" s="68"/>
      <c r="X1551" s="70"/>
      <c r="Y1551" s="70"/>
      <c r="Z1551" s="70"/>
      <c r="AA1551" s="70"/>
      <c r="AB1551" s="70"/>
      <c r="AC1551" s="68"/>
      <c r="AD1551" s="71"/>
      <c r="AE1551" s="71"/>
      <c r="AF1551" s="71"/>
      <c r="AG1551" s="71"/>
      <c r="AH1551" s="71"/>
      <c r="AI1551" s="68"/>
      <c r="AJ1551" s="214">
        <v>2.0829999999999999E-4</v>
      </c>
      <c r="AK1551" s="214">
        <v>1.724</v>
      </c>
      <c r="AL1551" s="214">
        <v>4</v>
      </c>
      <c r="AM1551" s="214">
        <v>1.392796E-3</v>
      </c>
      <c r="AN1551" s="68"/>
      <c r="AO1551" s="67"/>
      <c r="AP1551" s="67"/>
      <c r="AQ1551" s="67"/>
      <c r="AR1551" s="67"/>
      <c r="AS1551" s="67"/>
      <c r="AT1551" s="68"/>
      <c r="AU1551" s="49"/>
      <c r="AV1551" s="50"/>
    </row>
    <row r="1552" spans="1:48" ht="12.75" customHeight="1" x14ac:dyDescent="0.25">
      <c r="A1552" s="72" t="s">
        <v>883</v>
      </c>
      <c r="B1552" s="43" t="s">
        <v>1580</v>
      </c>
      <c r="C1552" s="44" t="s">
        <v>1708</v>
      </c>
      <c r="D1552" s="45">
        <f>MROUND(MID($C1552,6,3)/Basis!$E$3,0.5)</f>
        <v>9</v>
      </c>
      <c r="E1552" s="45">
        <f>MROUND(MID($C1552,9,3)/Basis!$E$3,0.5)</f>
        <v>35.5</v>
      </c>
      <c r="F1552" s="124" t="s">
        <v>2948</v>
      </c>
      <c r="G1552" s="45">
        <f>ROUND((MROUND($F1552,5)+3)/Basis!$E$3,1)</f>
        <v>9.1</v>
      </c>
      <c r="H1552" s="120">
        <f>ROUND($P1552*Basis!$E$2*((TaH-TrH)/LN(1/µ)/Basis!$E$7)^$N1552*$AA$4*Glycol,0)</f>
        <v>3223</v>
      </c>
      <c r="I1552" s="83">
        <f>ROUND(H1552/(MID($C1552,9,3)/Basis!$E$3/Basis!$E$9)*Basis!$E$11,0)</f>
        <v>1092</v>
      </c>
      <c r="J1552" s="123">
        <f>IF(Basis!$E$1=1,ROUND(H1552/((TaH-TrH)*1.163)/3600,3),ROUND(H1552/(500*(TaH-TrH)),2))</f>
        <v>0.32</v>
      </c>
      <c r="K1552" s="84"/>
      <c r="L1552" s="177">
        <f>CHOOSE(Basis!$E$1,((AJ1552*(J1552*3600/Basis!$E$5)^AK1552*(((MID(C1552,9,3)*10)-144)/1000)*AL1552+AM1552*(J1552*3600/Basis!$E$5)^2)*0.0098)/Basis!$E$10,((AJ1552*(J1552/Basis!$E$5)^AK1552*(((MID(C1552,9,3)*10)-144)/1000)*AL1552+AM1552*(J1552/Basis!$E$5)^2)*0.0098)/Basis!$E$10)</f>
        <v>1.090473667897069E-2</v>
      </c>
      <c r="M1552" s="85"/>
      <c r="N1552" s="109">
        <v>1.4630000000000001</v>
      </c>
      <c r="O1552" s="68"/>
      <c r="P1552" s="67">
        <v>1531</v>
      </c>
      <c r="Q1552" s="68"/>
      <c r="R1552" s="69"/>
      <c r="S1552" s="69"/>
      <c r="T1552" s="69"/>
      <c r="U1552" s="69"/>
      <c r="V1552" s="69"/>
      <c r="W1552" s="68"/>
      <c r="X1552" s="70"/>
      <c r="Y1552" s="70"/>
      <c r="Z1552" s="70"/>
      <c r="AA1552" s="70"/>
      <c r="AB1552" s="70"/>
      <c r="AC1552" s="68"/>
      <c r="AD1552" s="71"/>
      <c r="AE1552" s="71"/>
      <c r="AF1552" s="71"/>
      <c r="AG1552" s="71"/>
      <c r="AH1552" s="71"/>
      <c r="AI1552" s="68"/>
      <c r="AJ1552" s="214">
        <v>1.2760000000000001E-4</v>
      </c>
      <c r="AK1552" s="214">
        <v>1.7219</v>
      </c>
      <c r="AL1552" s="214">
        <v>4</v>
      </c>
      <c r="AM1552" s="214">
        <v>5.1420100000000005E-4</v>
      </c>
      <c r="AN1552" s="68"/>
      <c r="AO1552" s="67"/>
      <c r="AP1552" s="67"/>
      <c r="AQ1552" s="67"/>
      <c r="AR1552" s="67"/>
      <c r="AS1552" s="67"/>
      <c r="AT1552" s="68"/>
      <c r="AU1552" s="49"/>
      <c r="AV1552" s="50"/>
    </row>
    <row r="1553" spans="1:48" ht="12.75" customHeight="1" x14ac:dyDescent="0.25">
      <c r="A1553" s="72" t="s">
        <v>883</v>
      </c>
      <c r="B1553" s="43" t="s">
        <v>1580</v>
      </c>
      <c r="C1553" s="44" t="s">
        <v>1709</v>
      </c>
      <c r="D1553" s="45">
        <f>MROUND(MID($C1553,6,3)/Basis!$E$3,0.5)</f>
        <v>9</v>
      </c>
      <c r="E1553" s="45">
        <f>MROUND(MID($C1553,9,3)/Basis!$E$3,0.5)</f>
        <v>39.5</v>
      </c>
      <c r="F1553" s="124" t="s">
        <v>2949</v>
      </c>
      <c r="G1553" s="45">
        <f>ROUND((MROUND($F1553,5)+3)/Basis!$E$3,1)</f>
        <v>3.1</v>
      </c>
      <c r="H1553" s="120">
        <f>ROUND($P1553*Basis!$E$2*((TaH-TrH)/LN(1/µ)/Basis!$E$7)^$N1553*$AA$4*Glycol,0)</f>
        <v>1154</v>
      </c>
      <c r="I1553" s="83">
        <f>ROUND(H1553/(MID($C1553,9,3)/Basis!$E$3/Basis!$E$9)*Basis!$E$11,0)</f>
        <v>352</v>
      </c>
      <c r="J1553" s="123">
        <f>IF(Basis!$E$1=1,ROUND(H1553/((TaH-TrH)*1.163)/3600,3),ROUND(H1553/(500*(TaH-TrH)),2))</f>
        <v>0.12</v>
      </c>
      <c r="K1553" s="84"/>
      <c r="L1553" s="177">
        <f>CHOOSE(Basis!$E$1,((AJ1553*(J1553*3600/Basis!$E$5)^AK1553*(((MID(C1553,9,3)*10)-144)/1000)*AL1553+AM1553*(J1553*3600/Basis!$E$5)^2)*0.0098)/Basis!$E$10,((AJ1553*(J1553/Basis!$E$5)^AK1553*(((MID(C1553,9,3)*10)-144)/1000)*AL1553+AM1553*(J1553/Basis!$E$5)^2)*0.0098)/Basis!$E$10)</f>
        <v>5.0361965256914892E-3</v>
      </c>
      <c r="M1553" s="85"/>
      <c r="N1553" s="109">
        <v>1.411</v>
      </c>
      <c r="O1553" s="68"/>
      <c r="P1553" s="67">
        <v>539</v>
      </c>
      <c r="Q1553" s="68"/>
      <c r="R1553" s="69"/>
      <c r="S1553" s="69"/>
      <c r="T1553" s="69"/>
      <c r="U1553" s="69"/>
      <c r="V1553" s="69"/>
      <c r="W1553" s="68"/>
      <c r="X1553" s="70"/>
      <c r="Y1553" s="70"/>
      <c r="Z1553" s="70"/>
      <c r="AA1553" s="70"/>
      <c r="AB1553" s="70"/>
      <c r="AC1553" s="68"/>
      <c r="AD1553" s="71"/>
      <c r="AE1553" s="71"/>
      <c r="AF1553" s="71"/>
      <c r="AG1553" s="71"/>
      <c r="AH1553" s="71"/>
      <c r="AI1553" s="68"/>
      <c r="AJ1553" s="214">
        <v>4.1688828699999996E-3</v>
      </c>
      <c r="AK1553" s="214">
        <v>1.411581940642</v>
      </c>
      <c r="AL1553" s="214">
        <v>3</v>
      </c>
      <c r="AM1553" s="214">
        <v>5.4247339961626003E-4</v>
      </c>
      <c r="AN1553" s="68"/>
      <c r="AO1553" s="67"/>
      <c r="AP1553" s="67"/>
      <c r="AQ1553" s="67"/>
      <c r="AR1553" s="67"/>
      <c r="AS1553" s="67"/>
      <c r="AT1553" s="68"/>
      <c r="AU1553" s="49"/>
      <c r="AV1553" s="50"/>
    </row>
    <row r="1554" spans="1:48" ht="12.75" customHeight="1" x14ac:dyDescent="0.25">
      <c r="A1554" s="72" t="s">
        <v>883</v>
      </c>
      <c r="B1554" s="43" t="s">
        <v>1580</v>
      </c>
      <c r="C1554" s="44" t="s">
        <v>1710</v>
      </c>
      <c r="D1554" s="45">
        <f>MROUND(MID($C1554,6,3)/Basis!$E$3,0.5)</f>
        <v>9</v>
      </c>
      <c r="E1554" s="45">
        <f>MROUND(MID($C1554,9,3)/Basis!$E$3,0.5)</f>
        <v>39.5</v>
      </c>
      <c r="F1554" s="124" t="s">
        <v>2946</v>
      </c>
      <c r="G1554" s="45">
        <f>ROUND((MROUND($F1554,5)+3)/Basis!$E$3,1)</f>
        <v>5.0999999999999996</v>
      </c>
      <c r="H1554" s="120">
        <f>ROUND($P1554*Basis!$E$2*((TaH-TrH)/LN(1/µ)/Basis!$E$7)^$N1554*$AA$4*Glycol,0)</f>
        <v>2125</v>
      </c>
      <c r="I1554" s="83">
        <f>ROUND(H1554/(MID($C1554,9,3)/Basis!$E$3/Basis!$E$9)*Basis!$E$11,0)</f>
        <v>648</v>
      </c>
      <c r="J1554" s="123">
        <f>IF(Basis!$E$1=1,ROUND(H1554/((TaH-TrH)*1.163)/3600,3),ROUND(H1554/(500*(TaH-TrH)),2))</f>
        <v>0.21</v>
      </c>
      <c r="K1554" s="84"/>
      <c r="L1554" s="177">
        <f>CHOOSE(Basis!$E$1,((AJ1554*(J1554*3600/Basis!$E$5)^AK1554*(((MID(C1554,9,3)*10)-144)/1000)*AL1554+AM1554*(J1554*3600/Basis!$E$5)^2)*0.0098)/Basis!$E$10,((AJ1554*(J1554/Basis!$E$5)^AK1554*(((MID(C1554,9,3)*10)-144)/1000)*AL1554+AM1554*(J1554/Basis!$E$5)^2)*0.0098)/Basis!$E$10)</f>
        <v>7.8960642376306994E-3</v>
      </c>
      <c r="M1554" s="85"/>
      <c r="N1554" s="109">
        <v>1.4410000000000001</v>
      </c>
      <c r="O1554" s="68"/>
      <c r="P1554" s="67">
        <v>1002</v>
      </c>
      <c r="Q1554" s="68"/>
      <c r="R1554" s="69"/>
      <c r="S1554" s="69"/>
      <c r="T1554" s="69"/>
      <c r="U1554" s="69"/>
      <c r="V1554" s="69"/>
      <c r="W1554" s="68"/>
      <c r="X1554" s="70"/>
      <c r="Y1554" s="70"/>
      <c r="Z1554" s="70"/>
      <c r="AA1554" s="70"/>
      <c r="AB1554" s="70"/>
      <c r="AC1554" s="68"/>
      <c r="AD1554" s="71"/>
      <c r="AE1554" s="71"/>
      <c r="AF1554" s="71"/>
      <c r="AG1554" s="71"/>
      <c r="AH1554" s="71"/>
      <c r="AI1554" s="68"/>
      <c r="AJ1554" s="214">
        <v>3.9689999999999994E-4</v>
      </c>
      <c r="AK1554" s="214">
        <v>1.7345999999999999</v>
      </c>
      <c r="AL1554" s="214">
        <v>4</v>
      </c>
      <c r="AM1554" s="214">
        <v>5.7428799999999995E-4</v>
      </c>
      <c r="AN1554" s="68"/>
      <c r="AO1554" s="67"/>
      <c r="AP1554" s="67"/>
      <c r="AQ1554" s="67"/>
      <c r="AR1554" s="67"/>
      <c r="AS1554" s="67"/>
      <c r="AT1554" s="68"/>
      <c r="AU1554" s="49"/>
      <c r="AV1554" s="50"/>
    </row>
    <row r="1555" spans="1:48" ht="12.75" customHeight="1" x14ac:dyDescent="0.25">
      <c r="A1555" s="72" t="s">
        <v>883</v>
      </c>
      <c r="B1555" s="43" t="s">
        <v>1580</v>
      </c>
      <c r="C1555" s="44" t="s">
        <v>1711</v>
      </c>
      <c r="D1555" s="45">
        <f>MROUND(MID($C1555,6,3)/Basis!$E$3,0.5)</f>
        <v>9</v>
      </c>
      <c r="E1555" s="45">
        <f>MROUND(MID($C1555,9,3)/Basis!$E$3,0.5)</f>
        <v>39.5</v>
      </c>
      <c r="F1555" s="124" t="s">
        <v>2947</v>
      </c>
      <c r="G1555" s="45">
        <f>ROUND((MROUND($F1555,5)+3)/Basis!$E$3,1)</f>
        <v>7.1</v>
      </c>
      <c r="H1555" s="120">
        <f>ROUND($P1555*Basis!$E$2*((TaH-TrH)/LN(1/µ)/Basis!$E$7)^$N1555*$AA$4*Glycol,0)</f>
        <v>2763</v>
      </c>
      <c r="I1555" s="83">
        <f>ROUND(H1555/(MID($C1555,9,3)/Basis!$E$3/Basis!$E$9)*Basis!$E$11,0)</f>
        <v>842</v>
      </c>
      <c r="J1555" s="123">
        <f>IF(Basis!$E$1=1,ROUND(H1555/((TaH-TrH)*1.163)/3600,3),ROUND(H1555/(500*(TaH-TrH)),2))</f>
        <v>0.28000000000000003</v>
      </c>
      <c r="K1555" s="84"/>
      <c r="L1555" s="177">
        <f>CHOOSE(Basis!$E$1,((AJ1555*(J1555*3600/Basis!$E$5)^AK1555*(((MID(C1555,9,3)*10)-144)/1000)*AL1555+AM1555*(J1555*3600/Basis!$E$5)^2)*0.0098)/Basis!$E$10,((AJ1555*(J1555/Basis!$E$5)^AK1555*(((MID(C1555,9,3)*10)-144)/1000)*AL1555+AM1555*(J1555/Basis!$E$5)^2)*0.0098)/Basis!$E$10)</f>
        <v>2.1415990879781119E-2</v>
      </c>
      <c r="M1555" s="85"/>
      <c r="N1555" s="109">
        <v>1.4530000000000001</v>
      </c>
      <c r="O1555" s="68"/>
      <c r="P1555" s="67">
        <v>1308</v>
      </c>
      <c r="Q1555" s="68"/>
      <c r="R1555" s="69"/>
      <c r="S1555" s="69"/>
      <c r="T1555" s="69"/>
      <c r="U1555" s="69"/>
      <c r="V1555" s="69"/>
      <c r="W1555" s="68"/>
      <c r="X1555" s="70"/>
      <c r="Y1555" s="70"/>
      <c r="Z1555" s="70"/>
      <c r="AA1555" s="70"/>
      <c r="AB1555" s="70"/>
      <c r="AC1555" s="68"/>
      <c r="AD1555" s="71"/>
      <c r="AE1555" s="71"/>
      <c r="AF1555" s="71"/>
      <c r="AG1555" s="71"/>
      <c r="AH1555" s="71"/>
      <c r="AI1555" s="68"/>
      <c r="AJ1555" s="214">
        <v>2.0829999999999999E-4</v>
      </c>
      <c r="AK1555" s="214">
        <v>1.724</v>
      </c>
      <c r="AL1555" s="214">
        <v>4</v>
      </c>
      <c r="AM1555" s="214">
        <v>1.392796E-3</v>
      </c>
      <c r="AN1555" s="68"/>
      <c r="AO1555" s="67"/>
      <c r="AP1555" s="67"/>
      <c r="AQ1555" s="67"/>
      <c r="AR1555" s="67"/>
      <c r="AS1555" s="67"/>
      <c r="AT1555" s="68"/>
      <c r="AU1555" s="49"/>
      <c r="AV1555" s="50"/>
    </row>
    <row r="1556" spans="1:48" ht="12.75" customHeight="1" x14ac:dyDescent="0.25">
      <c r="A1556" s="72" t="s">
        <v>883</v>
      </c>
      <c r="B1556" s="43" t="s">
        <v>1580</v>
      </c>
      <c r="C1556" s="44" t="s">
        <v>1712</v>
      </c>
      <c r="D1556" s="45">
        <f>MROUND(MID($C1556,6,3)/Basis!$E$3,0.5)</f>
        <v>9</v>
      </c>
      <c r="E1556" s="45">
        <f>MROUND(MID($C1556,9,3)/Basis!$E$3,0.5)</f>
        <v>39.5</v>
      </c>
      <c r="F1556" s="124" t="s">
        <v>2948</v>
      </c>
      <c r="G1556" s="45">
        <f>ROUND((MROUND($F1556,5)+3)/Basis!$E$3,1)</f>
        <v>9.1</v>
      </c>
      <c r="H1556" s="120">
        <f>ROUND($P1556*Basis!$E$2*((TaH-TrH)/LN(1/µ)/Basis!$E$7)^$N1556*$AA$4*Glycol,0)</f>
        <v>3581</v>
      </c>
      <c r="I1556" s="83">
        <f>ROUND(H1556/(MID($C1556,9,3)/Basis!$E$3/Basis!$E$9)*Basis!$E$11,0)</f>
        <v>1091</v>
      </c>
      <c r="J1556" s="123">
        <f>IF(Basis!$E$1=1,ROUND(H1556/((TaH-TrH)*1.163)/3600,3),ROUND(H1556/(500*(TaH-TrH)),2))</f>
        <v>0.36</v>
      </c>
      <c r="K1556" s="84"/>
      <c r="L1556" s="177">
        <f>CHOOSE(Basis!$E$1,((AJ1556*(J1556*3600/Basis!$E$5)^AK1556*(((MID(C1556,9,3)*10)-144)/1000)*AL1556+AM1556*(J1556*3600/Basis!$E$5)^2)*0.0098)/Basis!$E$10,((AJ1556*(J1556/Basis!$E$5)^AK1556*(((MID(C1556,9,3)*10)-144)/1000)*AL1556+AM1556*(J1556/Basis!$E$5)^2)*0.0098)/Basis!$E$10)</f>
        <v>1.4046625591089859E-2</v>
      </c>
      <c r="M1556" s="85"/>
      <c r="N1556" s="109">
        <v>1.4630000000000001</v>
      </c>
      <c r="O1556" s="68"/>
      <c r="P1556" s="67">
        <v>1701</v>
      </c>
      <c r="Q1556" s="68"/>
      <c r="R1556" s="69"/>
      <c r="S1556" s="69"/>
      <c r="T1556" s="69"/>
      <c r="U1556" s="69"/>
      <c r="V1556" s="69"/>
      <c r="W1556" s="68"/>
      <c r="X1556" s="70"/>
      <c r="Y1556" s="70"/>
      <c r="Z1556" s="70"/>
      <c r="AA1556" s="70"/>
      <c r="AB1556" s="70"/>
      <c r="AC1556" s="68"/>
      <c r="AD1556" s="71"/>
      <c r="AE1556" s="71"/>
      <c r="AF1556" s="71"/>
      <c r="AG1556" s="71"/>
      <c r="AH1556" s="71"/>
      <c r="AI1556" s="68"/>
      <c r="AJ1556" s="214">
        <v>1.2760000000000001E-4</v>
      </c>
      <c r="AK1556" s="214">
        <v>1.7219</v>
      </c>
      <c r="AL1556" s="214">
        <v>4</v>
      </c>
      <c r="AM1556" s="214">
        <v>5.1420100000000005E-4</v>
      </c>
      <c r="AN1556" s="68"/>
      <c r="AO1556" s="67"/>
      <c r="AP1556" s="67"/>
      <c r="AQ1556" s="67"/>
      <c r="AR1556" s="67"/>
      <c r="AS1556" s="67"/>
      <c r="AT1556" s="68"/>
      <c r="AU1556" s="49"/>
      <c r="AV1556" s="50"/>
    </row>
    <row r="1557" spans="1:48" ht="12.75" customHeight="1" x14ac:dyDescent="0.25">
      <c r="A1557" s="72" t="s">
        <v>883</v>
      </c>
      <c r="B1557" s="43" t="s">
        <v>1580</v>
      </c>
      <c r="C1557" s="44" t="s">
        <v>1713</v>
      </c>
      <c r="D1557" s="45">
        <f>MROUND(MID($C1557,6,3)/Basis!$E$3,0.5)</f>
        <v>9</v>
      </c>
      <c r="E1557" s="45">
        <f>MROUND(MID($C1557,9,3)/Basis!$E$3,0.5)</f>
        <v>43.5</v>
      </c>
      <c r="F1557" s="124" t="s">
        <v>2949</v>
      </c>
      <c r="G1557" s="45">
        <f>ROUND((MROUND($F1557,5)+3)/Basis!$E$3,1)</f>
        <v>3.1</v>
      </c>
      <c r="H1557" s="120">
        <f>ROUND($P1557*Basis!$E$2*((TaH-TrH)/LN(1/µ)/Basis!$E$7)^$N1557*$AA$4*Glycol,0)</f>
        <v>1270</v>
      </c>
      <c r="I1557" s="83">
        <f>ROUND(H1557/(MID($C1557,9,3)/Basis!$E$3/Basis!$E$9)*Basis!$E$11,0)</f>
        <v>352</v>
      </c>
      <c r="J1557" s="123">
        <f>IF(Basis!$E$1=1,ROUND(H1557/((TaH-TrH)*1.163)/3600,3),ROUND(H1557/(500*(TaH-TrH)),2))</f>
        <v>0.13</v>
      </c>
      <c r="K1557" s="84"/>
      <c r="L1557" s="177">
        <f>CHOOSE(Basis!$E$1,((AJ1557*(J1557*3600/Basis!$E$5)^AK1557*(((MID(C1557,9,3)*10)-144)/1000)*AL1557+AM1557*(J1557*3600/Basis!$E$5)^2)*0.0098)/Basis!$E$10,((AJ1557*(J1557/Basis!$E$5)^AK1557*(((MID(C1557,9,3)*10)-144)/1000)*AL1557+AM1557*(J1557/Basis!$E$5)^2)*0.0098)/Basis!$E$10)</f>
        <v>6.1961347657117881E-3</v>
      </c>
      <c r="M1557" s="85"/>
      <c r="N1557" s="109">
        <v>1.411</v>
      </c>
      <c r="O1557" s="68"/>
      <c r="P1557" s="67">
        <v>593</v>
      </c>
      <c r="Q1557" s="68"/>
      <c r="R1557" s="69"/>
      <c r="S1557" s="69"/>
      <c r="T1557" s="69"/>
      <c r="U1557" s="69"/>
      <c r="V1557" s="69"/>
      <c r="W1557" s="68"/>
      <c r="X1557" s="70"/>
      <c r="Y1557" s="70"/>
      <c r="Z1557" s="70"/>
      <c r="AA1557" s="70"/>
      <c r="AB1557" s="70"/>
      <c r="AC1557" s="68"/>
      <c r="AD1557" s="71"/>
      <c r="AE1557" s="71"/>
      <c r="AF1557" s="71"/>
      <c r="AG1557" s="71"/>
      <c r="AH1557" s="71"/>
      <c r="AI1557" s="68"/>
      <c r="AJ1557" s="214">
        <v>4.1688828699999996E-3</v>
      </c>
      <c r="AK1557" s="214">
        <v>1.411581940642</v>
      </c>
      <c r="AL1557" s="214">
        <v>3</v>
      </c>
      <c r="AM1557" s="214">
        <v>5.4247339961626003E-4</v>
      </c>
      <c r="AN1557" s="68"/>
      <c r="AO1557" s="67"/>
      <c r="AP1557" s="67"/>
      <c r="AQ1557" s="67"/>
      <c r="AR1557" s="67"/>
      <c r="AS1557" s="67"/>
      <c r="AT1557" s="68"/>
      <c r="AU1557" s="49"/>
      <c r="AV1557" s="50"/>
    </row>
    <row r="1558" spans="1:48" ht="12.75" customHeight="1" x14ac:dyDescent="0.25">
      <c r="A1558" s="72" t="s">
        <v>883</v>
      </c>
      <c r="B1558" s="43" t="s">
        <v>1580</v>
      </c>
      <c r="C1558" s="44" t="s">
        <v>1714</v>
      </c>
      <c r="D1558" s="45">
        <f>MROUND(MID($C1558,6,3)/Basis!$E$3,0.5)</f>
        <v>9</v>
      </c>
      <c r="E1558" s="45">
        <f>MROUND(MID($C1558,9,3)/Basis!$E$3,0.5)</f>
        <v>43.5</v>
      </c>
      <c r="F1558" s="124" t="s">
        <v>2946</v>
      </c>
      <c r="G1558" s="45">
        <f>ROUND((MROUND($F1558,5)+3)/Basis!$E$3,1)</f>
        <v>5.0999999999999996</v>
      </c>
      <c r="H1558" s="120">
        <f>ROUND($P1558*Basis!$E$2*((TaH-TrH)/LN(1/µ)/Basis!$E$7)^$N1558*$AA$4*Glycol,0)</f>
        <v>2337</v>
      </c>
      <c r="I1558" s="83">
        <f>ROUND(H1558/(MID($C1558,9,3)/Basis!$E$3/Basis!$E$9)*Basis!$E$11,0)</f>
        <v>648</v>
      </c>
      <c r="J1558" s="123">
        <f>IF(Basis!$E$1=1,ROUND(H1558/((TaH-TrH)*1.163)/3600,3),ROUND(H1558/(500*(TaH-TrH)),2))</f>
        <v>0.23</v>
      </c>
      <c r="K1558" s="84"/>
      <c r="L1558" s="177">
        <f>CHOOSE(Basis!$E$1,((AJ1558*(J1558*3600/Basis!$E$5)^AK1558*(((MID(C1558,9,3)*10)-144)/1000)*AL1558+AM1558*(J1558*3600/Basis!$E$5)^2)*0.0098)/Basis!$E$10,((AJ1558*(J1558/Basis!$E$5)^AK1558*(((MID(C1558,9,3)*10)-144)/1000)*AL1558+AM1558*(J1558/Basis!$E$5)^2)*0.0098)/Basis!$E$10)</f>
        <v>9.8637599997498816E-3</v>
      </c>
      <c r="M1558" s="85"/>
      <c r="N1558" s="109">
        <v>1.4410000000000001</v>
      </c>
      <c r="O1558" s="68"/>
      <c r="P1558" s="67">
        <v>1102</v>
      </c>
      <c r="Q1558" s="68"/>
      <c r="R1558" s="69"/>
      <c r="S1558" s="69"/>
      <c r="T1558" s="69"/>
      <c r="U1558" s="69"/>
      <c r="V1558" s="69"/>
      <c r="W1558" s="68"/>
      <c r="X1558" s="70"/>
      <c r="Y1558" s="70"/>
      <c r="Z1558" s="70"/>
      <c r="AA1558" s="70"/>
      <c r="AB1558" s="70"/>
      <c r="AC1558" s="68"/>
      <c r="AD1558" s="71"/>
      <c r="AE1558" s="71"/>
      <c r="AF1558" s="71"/>
      <c r="AG1558" s="71"/>
      <c r="AH1558" s="71"/>
      <c r="AI1558" s="68"/>
      <c r="AJ1558" s="214">
        <v>3.9689999999999994E-4</v>
      </c>
      <c r="AK1558" s="214">
        <v>1.7345999999999999</v>
      </c>
      <c r="AL1558" s="214">
        <v>4</v>
      </c>
      <c r="AM1558" s="214">
        <v>5.7428799999999995E-4</v>
      </c>
      <c r="AN1558" s="68"/>
      <c r="AO1558" s="67"/>
      <c r="AP1558" s="67"/>
      <c r="AQ1558" s="67"/>
      <c r="AR1558" s="67"/>
      <c r="AS1558" s="67"/>
      <c r="AT1558" s="68"/>
      <c r="AU1558" s="49"/>
      <c r="AV1558" s="50"/>
    </row>
    <row r="1559" spans="1:48" ht="12.75" customHeight="1" x14ac:dyDescent="0.25">
      <c r="A1559" s="72" t="s">
        <v>883</v>
      </c>
      <c r="B1559" s="43" t="s">
        <v>1580</v>
      </c>
      <c r="C1559" s="44" t="s">
        <v>1715</v>
      </c>
      <c r="D1559" s="45">
        <f>MROUND(MID($C1559,6,3)/Basis!$E$3,0.5)</f>
        <v>9</v>
      </c>
      <c r="E1559" s="45">
        <f>MROUND(MID($C1559,9,3)/Basis!$E$3,0.5)</f>
        <v>43.5</v>
      </c>
      <c r="F1559" s="124" t="s">
        <v>2947</v>
      </c>
      <c r="G1559" s="45">
        <f>ROUND((MROUND($F1559,5)+3)/Basis!$E$3,1)</f>
        <v>7.1</v>
      </c>
      <c r="H1559" s="120">
        <f>ROUND($P1559*Basis!$E$2*((TaH-TrH)/LN(1/µ)/Basis!$E$7)^$N1559*$AA$4*Glycol,0)</f>
        <v>3040</v>
      </c>
      <c r="I1559" s="83">
        <f>ROUND(H1559/(MID($C1559,9,3)/Basis!$E$3/Basis!$E$9)*Basis!$E$11,0)</f>
        <v>842</v>
      </c>
      <c r="J1559" s="123">
        <f>IF(Basis!$E$1=1,ROUND(H1559/((TaH-TrH)*1.163)/3600,3),ROUND(H1559/(500*(TaH-TrH)),2))</f>
        <v>0.3</v>
      </c>
      <c r="K1559" s="84"/>
      <c r="L1559" s="177">
        <f>CHOOSE(Basis!$E$1,((AJ1559*(J1559*3600/Basis!$E$5)^AK1559*(((MID(C1559,9,3)*10)-144)/1000)*AL1559+AM1559*(J1559*3600/Basis!$E$5)^2)*0.0098)/Basis!$E$10,((AJ1559*(J1559/Basis!$E$5)^AK1559*(((MID(C1559,9,3)*10)-144)/1000)*AL1559+AM1559*(J1559/Basis!$E$5)^2)*0.0098)/Basis!$E$10)</f>
        <v>2.4914242518508049E-2</v>
      </c>
      <c r="M1559" s="85"/>
      <c r="N1559" s="109">
        <v>1.4530000000000001</v>
      </c>
      <c r="O1559" s="68"/>
      <c r="P1559" s="67">
        <v>1439</v>
      </c>
      <c r="Q1559" s="68"/>
      <c r="R1559" s="69"/>
      <c r="S1559" s="69"/>
      <c r="T1559" s="69"/>
      <c r="U1559" s="69"/>
      <c r="V1559" s="69"/>
      <c r="W1559" s="68"/>
      <c r="X1559" s="70"/>
      <c r="Y1559" s="70"/>
      <c r="Z1559" s="70"/>
      <c r="AA1559" s="70"/>
      <c r="AB1559" s="70"/>
      <c r="AC1559" s="68"/>
      <c r="AD1559" s="71"/>
      <c r="AE1559" s="71"/>
      <c r="AF1559" s="71"/>
      <c r="AG1559" s="71"/>
      <c r="AH1559" s="71"/>
      <c r="AI1559" s="68"/>
      <c r="AJ1559" s="214">
        <v>2.0829999999999999E-4</v>
      </c>
      <c r="AK1559" s="214">
        <v>1.724</v>
      </c>
      <c r="AL1559" s="214">
        <v>4</v>
      </c>
      <c r="AM1559" s="214">
        <v>1.392796E-3</v>
      </c>
      <c r="AN1559" s="68"/>
      <c r="AO1559" s="67"/>
      <c r="AP1559" s="67"/>
      <c r="AQ1559" s="67"/>
      <c r="AR1559" s="67"/>
      <c r="AS1559" s="67"/>
      <c r="AT1559" s="68"/>
      <c r="AU1559" s="49"/>
      <c r="AV1559" s="50"/>
    </row>
    <row r="1560" spans="1:48" ht="12.75" customHeight="1" x14ac:dyDescent="0.25">
      <c r="A1560" s="72" t="s">
        <v>883</v>
      </c>
      <c r="B1560" s="43" t="s">
        <v>1580</v>
      </c>
      <c r="C1560" s="44" t="s">
        <v>1716</v>
      </c>
      <c r="D1560" s="45">
        <f>MROUND(MID($C1560,6,3)/Basis!$E$3,0.5)</f>
        <v>9</v>
      </c>
      <c r="E1560" s="45">
        <f>MROUND(MID($C1560,9,3)/Basis!$E$3,0.5)</f>
        <v>43.5</v>
      </c>
      <c r="F1560" s="124" t="s">
        <v>2948</v>
      </c>
      <c r="G1560" s="45">
        <f>ROUND((MROUND($F1560,5)+3)/Basis!$E$3,1)</f>
        <v>9.1</v>
      </c>
      <c r="H1560" s="120">
        <f>ROUND($P1560*Basis!$E$2*((TaH-TrH)/LN(1/µ)/Basis!$E$7)^$N1560*$AA$4*Glycol,0)</f>
        <v>3939</v>
      </c>
      <c r="I1560" s="83">
        <f>ROUND(H1560/(MID($C1560,9,3)/Basis!$E$3/Basis!$E$9)*Basis!$E$11,0)</f>
        <v>1091</v>
      </c>
      <c r="J1560" s="123">
        <f>IF(Basis!$E$1=1,ROUND(H1560/((TaH-TrH)*1.163)/3600,3),ROUND(H1560/(500*(TaH-TrH)),2))</f>
        <v>0.39</v>
      </c>
      <c r="K1560" s="84"/>
      <c r="L1560" s="177">
        <f>CHOOSE(Basis!$E$1,((AJ1560*(J1560*3600/Basis!$E$5)^AK1560*(((MID(C1560,9,3)*10)-144)/1000)*AL1560+AM1560*(J1560*3600/Basis!$E$5)^2)*0.0098)/Basis!$E$10,((AJ1560*(J1560/Basis!$E$5)^AK1560*(((MID(C1560,9,3)*10)-144)/1000)*AL1560+AM1560*(J1560/Basis!$E$5)^2)*0.0098)/Basis!$E$10)</f>
        <v>1.6789066507146434E-2</v>
      </c>
      <c r="M1560" s="85"/>
      <c r="N1560" s="109">
        <v>1.4630000000000001</v>
      </c>
      <c r="O1560" s="68"/>
      <c r="P1560" s="67">
        <v>1871</v>
      </c>
      <c r="Q1560" s="68"/>
      <c r="R1560" s="69"/>
      <c r="S1560" s="69"/>
      <c r="T1560" s="69"/>
      <c r="U1560" s="69"/>
      <c r="V1560" s="69"/>
      <c r="W1560" s="68"/>
      <c r="X1560" s="70"/>
      <c r="Y1560" s="70"/>
      <c r="Z1560" s="70"/>
      <c r="AA1560" s="70"/>
      <c r="AB1560" s="70"/>
      <c r="AC1560" s="68"/>
      <c r="AD1560" s="71"/>
      <c r="AE1560" s="71"/>
      <c r="AF1560" s="71"/>
      <c r="AG1560" s="71"/>
      <c r="AH1560" s="71"/>
      <c r="AI1560" s="68"/>
      <c r="AJ1560" s="214">
        <v>1.2760000000000001E-4</v>
      </c>
      <c r="AK1560" s="214">
        <v>1.7219</v>
      </c>
      <c r="AL1560" s="214">
        <v>4</v>
      </c>
      <c r="AM1560" s="214">
        <v>5.1420100000000005E-4</v>
      </c>
      <c r="AN1560" s="68"/>
      <c r="AO1560" s="67"/>
      <c r="AP1560" s="67"/>
      <c r="AQ1560" s="67"/>
      <c r="AR1560" s="67"/>
      <c r="AS1560" s="67"/>
      <c r="AT1560" s="68"/>
      <c r="AU1560" s="49"/>
      <c r="AV1560" s="50"/>
    </row>
    <row r="1561" spans="1:48" ht="12.75" customHeight="1" x14ac:dyDescent="0.25">
      <c r="A1561" s="72" t="s">
        <v>883</v>
      </c>
      <c r="B1561" s="43" t="s">
        <v>1580</v>
      </c>
      <c r="C1561" s="44" t="s">
        <v>1717</v>
      </c>
      <c r="D1561" s="45">
        <f>MROUND(MID($C1561,6,3)/Basis!$E$3,0.5)</f>
        <v>9</v>
      </c>
      <c r="E1561" s="45">
        <f>MROUND(MID($C1561,9,3)/Basis!$E$3,0.5)</f>
        <v>47</v>
      </c>
      <c r="F1561" s="124" t="s">
        <v>2949</v>
      </c>
      <c r="G1561" s="45">
        <f>ROUND((MROUND($F1561,5)+3)/Basis!$E$3,1)</f>
        <v>3.1</v>
      </c>
      <c r="H1561" s="120">
        <f>ROUND($P1561*Basis!$E$2*((TaH-TrH)/LN(1/µ)/Basis!$E$7)^$N1561*$AA$4*Glycol,0)</f>
        <v>1386</v>
      </c>
      <c r="I1561" s="83">
        <f>ROUND(H1561/(MID($C1561,9,3)/Basis!$E$3/Basis!$E$9)*Basis!$E$11,0)</f>
        <v>352</v>
      </c>
      <c r="J1561" s="123">
        <f>IF(Basis!$E$1=1,ROUND(H1561/((TaH-TrH)*1.163)/3600,3),ROUND(H1561/(500*(TaH-TrH)),2))</f>
        <v>0.14000000000000001</v>
      </c>
      <c r="K1561" s="84"/>
      <c r="L1561" s="177">
        <f>CHOOSE(Basis!$E$1,((AJ1561*(J1561*3600/Basis!$E$5)^AK1561*(((MID(C1561,9,3)*10)-144)/1000)*AL1561+AM1561*(J1561*3600/Basis!$E$5)^2)*0.0098)/Basis!$E$10,((AJ1561*(J1561/Basis!$E$5)^AK1561*(((MID(C1561,9,3)*10)-144)/1000)*AL1561+AM1561*(J1561/Basis!$E$5)^2)*0.0098)/Basis!$E$10)</f>
        <v>7.4959654532071847E-3</v>
      </c>
      <c r="M1561" s="85"/>
      <c r="N1561" s="109">
        <v>1.411</v>
      </c>
      <c r="O1561" s="68"/>
      <c r="P1561" s="67">
        <v>647</v>
      </c>
      <c r="Q1561" s="68"/>
      <c r="R1561" s="69"/>
      <c r="S1561" s="69"/>
      <c r="T1561" s="69"/>
      <c r="U1561" s="69"/>
      <c r="V1561" s="69"/>
      <c r="W1561" s="68"/>
      <c r="X1561" s="70"/>
      <c r="Y1561" s="70"/>
      <c r="Z1561" s="70"/>
      <c r="AA1561" s="70"/>
      <c r="AB1561" s="70"/>
      <c r="AC1561" s="68"/>
      <c r="AD1561" s="71"/>
      <c r="AE1561" s="71"/>
      <c r="AF1561" s="71"/>
      <c r="AG1561" s="71"/>
      <c r="AH1561" s="71"/>
      <c r="AI1561" s="68"/>
      <c r="AJ1561" s="214">
        <v>4.1688828699999996E-3</v>
      </c>
      <c r="AK1561" s="214">
        <v>1.411581940642</v>
      </c>
      <c r="AL1561" s="214">
        <v>3</v>
      </c>
      <c r="AM1561" s="214">
        <v>5.4247339961626003E-4</v>
      </c>
      <c r="AN1561" s="68"/>
      <c r="AO1561" s="67"/>
      <c r="AP1561" s="67"/>
      <c r="AQ1561" s="67"/>
      <c r="AR1561" s="67"/>
      <c r="AS1561" s="67"/>
      <c r="AT1561" s="68"/>
      <c r="AU1561" s="49"/>
      <c r="AV1561" s="50"/>
    </row>
    <row r="1562" spans="1:48" ht="12.75" customHeight="1" x14ac:dyDescent="0.25">
      <c r="A1562" s="72" t="s">
        <v>883</v>
      </c>
      <c r="B1562" s="43" t="s">
        <v>1580</v>
      </c>
      <c r="C1562" s="44" t="s">
        <v>1718</v>
      </c>
      <c r="D1562" s="45">
        <f>MROUND(MID($C1562,6,3)/Basis!$E$3,0.5)</f>
        <v>9</v>
      </c>
      <c r="E1562" s="45">
        <f>MROUND(MID($C1562,9,3)/Basis!$E$3,0.5)</f>
        <v>47</v>
      </c>
      <c r="F1562" s="124" t="s">
        <v>2946</v>
      </c>
      <c r="G1562" s="45">
        <f>ROUND((MROUND($F1562,5)+3)/Basis!$E$3,1)</f>
        <v>5.0999999999999996</v>
      </c>
      <c r="H1562" s="120">
        <f>ROUND($P1562*Basis!$E$2*((TaH-TrH)/LN(1/µ)/Basis!$E$7)^$N1562*$AA$4*Glycol,0)</f>
        <v>2549</v>
      </c>
      <c r="I1562" s="83">
        <f>ROUND(H1562/(MID($C1562,9,3)/Basis!$E$3/Basis!$E$9)*Basis!$E$11,0)</f>
        <v>647</v>
      </c>
      <c r="J1562" s="123">
        <f>IF(Basis!$E$1=1,ROUND(H1562/((TaH-TrH)*1.163)/3600,3),ROUND(H1562/(500*(TaH-TrH)),2))</f>
        <v>0.25</v>
      </c>
      <c r="K1562" s="84"/>
      <c r="L1562" s="177">
        <f>CHOOSE(Basis!$E$1,((AJ1562*(J1562*3600/Basis!$E$5)^AK1562*(((MID(C1562,9,3)*10)-144)/1000)*AL1562+AM1562*(J1562*3600/Basis!$E$5)^2)*0.0098)/Basis!$E$10,((AJ1562*(J1562/Basis!$E$5)^AK1562*(((MID(C1562,9,3)*10)-144)/1000)*AL1562+AM1562*(J1562/Basis!$E$5)^2)*0.0098)/Basis!$E$10)</f>
        <v>1.2104146759782872E-2</v>
      </c>
      <c r="M1562" s="85"/>
      <c r="N1562" s="109">
        <v>1.4410000000000001</v>
      </c>
      <c r="O1562" s="68"/>
      <c r="P1562" s="67">
        <v>1202</v>
      </c>
      <c r="Q1562" s="68"/>
      <c r="R1562" s="69"/>
      <c r="S1562" s="69"/>
      <c r="T1562" s="69"/>
      <c r="U1562" s="69"/>
      <c r="V1562" s="69"/>
      <c r="W1562" s="68"/>
      <c r="X1562" s="70"/>
      <c r="Y1562" s="70"/>
      <c r="Z1562" s="70"/>
      <c r="AA1562" s="70"/>
      <c r="AB1562" s="70"/>
      <c r="AC1562" s="68"/>
      <c r="AD1562" s="71"/>
      <c r="AE1562" s="71"/>
      <c r="AF1562" s="71"/>
      <c r="AG1562" s="71"/>
      <c r="AH1562" s="71"/>
      <c r="AI1562" s="68"/>
      <c r="AJ1562" s="214">
        <v>3.9689999999999994E-4</v>
      </c>
      <c r="AK1562" s="214">
        <v>1.7345999999999999</v>
      </c>
      <c r="AL1562" s="214">
        <v>4</v>
      </c>
      <c r="AM1562" s="214">
        <v>5.7428799999999995E-4</v>
      </c>
      <c r="AN1562" s="68"/>
      <c r="AO1562" s="67"/>
      <c r="AP1562" s="67"/>
      <c r="AQ1562" s="67"/>
      <c r="AR1562" s="67"/>
      <c r="AS1562" s="67"/>
      <c r="AT1562" s="68"/>
      <c r="AU1562" s="49"/>
      <c r="AV1562" s="50"/>
    </row>
    <row r="1563" spans="1:48" ht="12.75" customHeight="1" x14ac:dyDescent="0.25">
      <c r="A1563" s="72" t="s">
        <v>883</v>
      </c>
      <c r="B1563" s="43" t="s">
        <v>1580</v>
      </c>
      <c r="C1563" s="44" t="s">
        <v>1719</v>
      </c>
      <c r="D1563" s="45">
        <f>MROUND(MID($C1563,6,3)/Basis!$E$3,0.5)</f>
        <v>9</v>
      </c>
      <c r="E1563" s="45">
        <f>MROUND(MID($C1563,9,3)/Basis!$E$3,0.5)</f>
        <v>47</v>
      </c>
      <c r="F1563" s="124" t="s">
        <v>2947</v>
      </c>
      <c r="G1563" s="45">
        <f>ROUND((MROUND($F1563,5)+3)/Basis!$E$3,1)</f>
        <v>7.1</v>
      </c>
      <c r="H1563" s="120">
        <f>ROUND($P1563*Basis!$E$2*((TaH-TrH)/LN(1/µ)/Basis!$E$7)^$N1563*$AA$4*Glycol,0)</f>
        <v>3316</v>
      </c>
      <c r="I1563" s="83">
        <f>ROUND(H1563/(MID($C1563,9,3)/Basis!$E$3/Basis!$E$9)*Basis!$E$11,0)</f>
        <v>842</v>
      </c>
      <c r="J1563" s="123">
        <f>IF(Basis!$E$1=1,ROUND(H1563/((TaH-TrH)*1.163)/3600,3),ROUND(H1563/(500*(TaH-TrH)),2))</f>
        <v>0.33</v>
      </c>
      <c r="K1563" s="84"/>
      <c r="L1563" s="177">
        <f>CHOOSE(Basis!$E$1,((AJ1563*(J1563*3600/Basis!$E$5)^AK1563*(((MID(C1563,9,3)*10)-144)/1000)*AL1563+AM1563*(J1563*3600/Basis!$E$5)^2)*0.0098)/Basis!$E$10,((AJ1563*(J1563/Basis!$E$5)^AK1563*(((MID(C1563,9,3)*10)-144)/1000)*AL1563+AM1563*(J1563/Basis!$E$5)^2)*0.0098)/Basis!$E$10)</f>
        <v>3.0492684548395269E-2</v>
      </c>
      <c r="M1563" s="85"/>
      <c r="N1563" s="109">
        <v>1.4530000000000001</v>
      </c>
      <c r="O1563" s="68"/>
      <c r="P1563" s="67">
        <v>1570</v>
      </c>
      <c r="Q1563" s="68"/>
      <c r="R1563" s="69"/>
      <c r="S1563" s="69"/>
      <c r="T1563" s="69"/>
      <c r="U1563" s="69"/>
      <c r="V1563" s="69"/>
      <c r="W1563" s="68"/>
      <c r="X1563" s="70"/>
      <c r="Y1563" s="70"/>
      <c r="Z1563" s="70"/>
      <c r="AA1563" s="70"/>
      <c r="AB1563" s="70"/>
      <c r="AC1563" s="68"/>
      <c r="AD1563" s="71"/>
      <c r="AE1563" s="71"/>
      <c r="AF1563" s="71"/>
      <c r="AG1563" s="71"/>
      <c r="AH1563" s="71"/>
      <c r="AI1563" s="68"/>
      <c r="AJ1563" s="214">
        <v>2.0829999999999999E-4</v>
      </c>
      <c r="AK1563" s="214">
        <v>1.724</v>
      </c>
      <c r="AL1563" s="214">
        <v>4</v>
      </c>
      <c r="AM1563" s="214">
        <v>1.392796E-3</v>
      </c>
      <c r="AN1563" s="68"/>
      <c r="AO1563" s="67"/>
      <c r="AP1563" s="67"/>
      <c r="AQ1563" s="67"/>
      <c r="AR1563" s="67"/>
      <c r="AS1563" s="67"/>
      <c r="AT1563" s="68"/>
      <c r="AU1563" s="49"/>
      <c r="AV1563" s="50"/>
    </row>
    <row r="1564" spans="1:48" ht="12.75" customHeight="1" x14ac:dyDescent="0.25">
      <c r="A1564" s="72" t="s">
        <v>883</v>
      </c>
      <c r="B1564" s="43" t="s">
        <v>1580</v>
      </c>
      <c r="C1564" s="44" t="s">
        <v>1720</v>
      </c>
      <c r="D1564" s="45">
        <f>MROUND(MID($C1564,6,3)/Basis!$E$3,0.5)</f>
        <v>9</v>
      </c>
      <c r="E1564" s="45">
        <f>MROUND(MID($C1564,9,3)/Basis!$E$3,0.5)</f>
        <v>47</v>
      </c>
      <c r="F1564" s="124" t="s">
        <v>2948</v>
      </c>
      <c r="G1564" s="45">
        <f>ROUND((MROUND($F1564,5)+3)/Basis!$E$3,1)</f>
        <v>9.1</v>
      </c>
      <c r="H1564" s="120">
        <f>ROUND($P1564*Basis!$E$2*((TaH-TrH)/LN(1/µ)/Basis!$E$7)^$N1564*$AA$4*Glycol,0)</f>
        <v>4297</v>
      </c>
      <c r="I1564" s="83">
        <f>ROUND(H1564/(MID($C1564,9,3)/Basis!$E$3/Basis!$E$9)*Basis!$E$11,0)</f>
        <v>1091</v>
      </c>
      <c r="J1564" s="123">
        <f>IF(Basis!$E$1=1,ROUND(H1564/((TaH-TrH)*1.163)/3600,3),ROUND(H1564/(500*(TaH-TrH)),2))</f>
        <v>0.43</v>
      </c>
      <c r="K1564" s="84"/>
      <c r="L1564" s="177">
        <f>CHOOSE(Basis!$E$1,((AJ1564*(J1564*3600/Basis!$E$5)^AK1564*(((MID(C1564,9,3)*10)-144)/1000)*AL1564+AM1564*(J1564*3600/Basis!$E$5)^2)*0.0098)/Basis!$E$10,((AJ1564*(J1564/Basis!$E$5)^AK1564*(((MID(C1564,9,3)*10)-144)/1000)*AL1564+AM1564*(J1564/Basis!$E$5)^2)*0.0098)/Basis!$E$10)</f>
        <v>2.0737629714341791E-2</v>
      </c>
      <c r="M1564" s="85"/>
      <c r="N1564" s="109">
        <v>1.4630000000000001</v>
      </c>
      <c r="O1564" s="68"/>
      <c r="P1564" s="67">
        <v>2041</v>
      </c>
      <c r="Q1564" s="68"/>
      <c r="R1564" s="69"/>
      <c r="S1564" s="69"/>
      <c r="T1564" s="69"/>
      <c r="U1564" s="69"/>
      <c r="V1564" s="69"/>
      <c r="W1564" s="68"/>
      <c r="X1564" s="70"/>
      <c r="Y1564" s="70"/>
      <c r="Z1564" s="70"/>
      <c r="AA1564" s="70"/>
      <c r="AB1564" s="70"/>
      <c r="AC1564" s="68"/>
      <c r="AD1564" s="71"/>
      <c r="AE1564" s="71"/>
      <c r="AF1564" s="71"/>
      <c r="AG1564" s="71"/>
      <c r="AH1564" s="71"/>
      <c r="AI1564" s="68"/>
      <c r="AJ1564" s="214">
        <v>1.2760000000000001E-4</v>
      </c>
      <c r="AK1564" s="214">
        <v>1.7219</v>
      </c>
      <c r="AL1564" s="214">
        <v>4</v>
      </c>
      <c r="AM1564" s="214">
        <v>5.1420100000000005E-4</v>
      </c>
      <c r="AN1564" s="68"/>
      <c r="AO1564" s="67"/>
      <c r="AP1564" s="67"/>
      <c r="AQ1564" s="67"/>
      <c r="AR1564" s="67"/>
      <c r="AS1564" s="67"/>
      <c r="AT1564" s="68"/>
      <c r="AU1564" s="49"/>
      <c r="AV1564" s="50"/>
    </row>
    <row r="1565" spans="1:48" ht="12.75" customHeight="1" x14ac:dyDescent="0.25">
      <c r="A1565" s="72" t="s">
        <v>883</v>
      </c>
      <c r="B1565" s="43" t="s">
        <v>1580</v>
      </c>
      <c r="C1565" s="44" t="s">
        <v>1721</v>
      </c>
      <c r="D1565" s="45">
        <f>MROUND(MID($C1565,6,3)/Basis!$E$3,0.5)</f>
        <v>9</v>
      </c>
      <c r="E1565" s="45">
        <f>MROUND(MID($C1565,9,3)/Basis!$E$3,0.5)</f>
        <v>55</v>
      </c>
      <c r="F1565" s="124" t="s">
        <v>2949</v>
      </c>
      <c r="G1565" s="45">
        <f>ROUND((MROUND($F1565,5)+3)/Basis!$E$3,1)</f>
        <v>3.1</v>
      </c>
      <c r="H1565" s="120">
        <f>ROUND($P1565*Basis!$E$2*((TaH-TrH)/LN(1/µ)/Basis!$E$7)^$N1565*$AA$4*Glycol,0)</f>
        <v>1617</v>
      </c>
      <c r="I1565" s="83">
        <f>ROUND(H1565/(MID($C1565,9,3)/Basis!$E$3/Basis!$E$9)*Basis!$E$11,0)</f>
        <v>352</v>
      </c>
      <c r="J1565" s="123">
        <f>IF(Basis!$E$1=1,ROUND(H1565/((TaH-TrH)*1.163)/3600,3),ROUND(H1565/(500*(TaH-TrH)),2))</f>
        <v>0.16</v>
      </c>
      <c r="K1565" s="84"/>
      <c r="L1565" s="177">
        <f>CHOOSE(Basis!$E$1,((AJ1565*(J1565*3600/Basis!$E$5)^AK1565*(((MID(C1565,9,3)*10)-144)/1000)*AL1565+AM1565*(J1565*3600/Basis!$E$5)^2)*0.0098)/Basis!$E$10,((AJ1565*(J1565/Basis!$E$5)^AK1565*(((MID(C1565,9,3)*10)-144)/1000)*AL1565+AM1565*(J1565/Basis!$E$5)^2)*0.0098)/Basis!$E$10)</f>
        <v>1.0531883617689669E-2</v>
      </c>
      <c r="M1565" s="85"/>
      <c r="N1565" s="109">
        <v>1.411</v>
      </c>
      <c r="O1565" s="68"/>
      <c r="P1565" s="67">
        <v>755</v>
      </c>
      <c r="Q1565" s="68"/>
      <c r="R1565" s="69"/>
      <c r="S1565" s="69"/>
      <c r="T1565" s="69"/>
      <c r="U1565" s="69"/>
      <c r="V1565" s="69"/>
      <c r="W1565" s="68"/>
      <c r="X1565" s="70"/>
      <c r="Y1565" s="70"/>
      <c r="Z1565" s="70"/>
      <c r="AA1565" s="70"/>
      <c r="AB1565" s="70"/>
      <c r="AC1565" s="68"/>
      <c r="AD1565" s="71"/>
      <c r="AE1565" s="71"/>
      <c r="AF1565" s="71"/>
      <c r="AG1565" s="71"/>
      <c r="AH1565" s="71"/>
      <c r="AI1565" s="68"/>
      <c r="AJ1565" s="214">
        <v>4.1688828699999996E-3</v>
      </c>
      <c r="AK1565" s="214">
        <v>1.411581940642</v>
      </c>
      <c r="AL1565" s="214">
        <v>3</v>
      </c>
      <c r="AM1565" s="214">
        <v>5.4247339961626003E-4</v>
      </c>
      <c r="AN1565" s="68"/>
      <c r="AO1565" s="67"/>
      <c r="AP1565" s="67"/>
      <c r="AQ1565" s="67"/>
      <c r="AR1565" s="67"/>
      <c r="AS1565" s="67"/>
      <c r="AT1565" s="68"/>
      <c r="AU1565" s="49"/>
      <c r="AV1565" s="50"/>
    </row>
    <row r="1566" spans="1:48" ht="12.75" customHeight="1" x14ac:dyDescent="0.25">
      <c r="A1566" s="72" t="s">
        <v>883</v>
      </c>
      <c r="B1566" s="43" t="s">
        <v>1580</v>
      </c>
      <c r="C1566" s="44" t="s">
        <v>1722</v>
      </c>
      <c r="D1566" s="45">
        <f>MROUND(MID($C1566,6,3)/Basis!$E$3,0.5)</f>
        <v>9</v>
      </c>
      <c r="E1566" s="45">
        <f>MROUND(MID($C1566,9,3)/Basis!$E$3,0.5)</f>
        <v>55</v>
      </c>
      <c r="F1566" s="124" t="s">
        <v>2946</v>
      </c>
      <c r="G1566" s="45">
        <f>ROUND((MROUND($F1566,5)+3)/Basis!$E$3,1)</f>
        <v>5.0999999999999996</v>
      </c>
      <c r="H1566" s="120">
        <f>ROUND($P1566*Basis!$E$2*((TaH-TrH)/LN(1/µ)/Basis!$E$7)^$N1566*$AA$4*Glycol,0)</f>
        <v>2975</v>
      </c>
      <c r="I1566" s="83">
        <f>ROUND(H1566/(MID($C1566,9,3)/Basis!$E$3/Basis!$E$9)*Basis!$E$11,0)</f>
        <v>648</v>
      </c>
      <c r="J1566" s="123">
        <f>IF(Basis!$E$1=1,ROUND(H1566/((TaH-TrH)*1.163)/3600,3),ROUND(H1566/(500*(TaH-TrH)),2))</f>
        <v>0.3</v>
      </c>
      <c r="K1566" s="84"/>
      <c r="L1566" s="177">
        <f>CHOOSE(Basis!$E$1,((AJ1566*(J1566*3600/Basis!$E$5)^AK1566*(((MID(C1566,9,3)*10)-144)/1000)*AL1566+AM1566*(J1566*3600/Basis!$E$5)^2)*0.0098)/Basis!$E$10,((AJ1566*(J1566/Basis!$E$5)^AK1566*(((MID(C1566,9,3)*10)-144)/1000)*AL1566+AM1566*(J1566/Basis!$E$5)^2)*0.0098)/Basis!$E$10)</f>
        <v>1.8590524932941058E-2</v>
      </c>
      <c r="M1566" s="85"/>
      <c r="N1566" s="109">
        <v>1.4410000000000001</v>
      </c>
      <c r="O1566" s="68"/>
      <c r="P1566" s="67">
        <v>1403</v>
      </c>
      <c r="Q1566" s="68"/>
      <c r="R1566" s="69"/>
      <c r="S1566" s="69"/>
      <c r="T1566" s="69"/>
      <c r="U1566" s="69"/>
      <c r="V1566" s="69"/>
      <c r="W1566" s="68"/>
      <c r="X1566" s="70"/>
      <c r="Y1566" s="70"/>
      <c r="Z1566" s="70"/>
      <c r="AA1566" s="70"/>
      <c r="AB1566" s="70"/>
      <c r="AC1566" s="68"/>
      <c r="AD1566" s="71"/>
      <c r="AE1566" s="71"/>
      <c r="AF1566" s="71"/>
      <c r="AG1566" s="71"/>
      <c r="AH1566" s="71"/>
      <c r="AI1566" s="68"/>
      <c r="AJ1566" s="214">
        <v>3.9689999999999994E-4</v>
      </c>
      <c r="AK1566" s="214">
        <v>1.7345999999999999</v>
      </c>
      <c r="AL1566" s="214">
        <v>4</v>
      </c>
      <c r="AM1566" s="214">
        <v>5.7428799999999995E-4</v>
      </c>
      <c r="AN1566" s="68"/>
      <c r="AO1566" s="67"/>
      <c r="AP1566" s="67"/>
      <c r="AQ1566" s="67"/>
      <c r="AR1566" s="67"/>
      <c r="AS1566" s="67"/>
      <c r="AT1566" s="68"/>
      <c r="AU1566" s="49"/>
      <c r="AV1566" s="50"/>
    </row>
    <row r="1567" spans="1:48" ht="12.75" customHeight="1" x14ac:dyDescent="0.25">
      <c r="A1567" s="72" t="s">
        <v>883</v>
      </c>
      <c r="B1567" s="43" t="s">
        <v>1580</v>
      </c>
      <c r="C1567" s="44" t="s">
        <v>1723</v>
      </c>
      <c r="D1567" s="45">
        <f>MROUND(MID($C1567,6,3)/Basis!$E$3,0.5)</f>
        <v>9</v>
      </c>
      <c r="E1567" s="45">
        <f>MROUND(MID($C1567,9,3)/Basis!$E$3,0.5)</f>
        <v>55</v>
      </c>
      <c r="F1567" s="124" t="s">
        <v>2947</v>
      </c>
      <c r="G1567" s="45">
        <f>ROUND((MROUND($F1567,5)+3)/Basis!$E$3,1)</f>
        <v>7.1</v>
      </c>
      <c r="H1567" s="120">
        <f>ROUND($P1567*Basis!$E$2*((TaH-TrH)/LN(1/µ)/Basis!$E$7)^$N1567*$AA$4*Glycol,0)</f>
        <v>3868</v>
      </c>
      <c r="I1567" s="83">
        <f>ROUND(H1567/(MID($C1567,9,3)/Basis!$E$3/Basis!$E$9)*Basis!$E$11,0)</f>
        <v>842</v>
      </c>
      <c r="J1567" s="123">
        <f>IF(Basis!$E$1=1,ROUND(H1567/((TaH-TrH)*1.163)/3600,3),ROUND(H1567/(500*(TaH-TrH)),2))</f>
        <v>0.39</v>
      </c>
      <c r="K1567" s="84"/>
      <c r="L1567" s="177">
        <f>CHOOSE(Basis!$E$1,((AJ1567*(J1567*3600/Basis!$E$5)^AK1567*(((MID(C1567,9,3)*10)-144)/1000)*AL1567+AM1567*(J1567*3600/Basis!$E$5)^2)*0.0098)/Basis!$E$10,((AJ1567*(J1567/Basis!$E$5)^AK1567*(((MID(C1567,9,3)*10)-144)/1000)*AL1567+AM1567*(J1567/Basis!$E$5)^2)*0.0098)/Basis!$E$10)</f>
        <v>4.352015798956696E-2</v>
      </c>
      <c r="M1567" s="85"/>
      <c r="N1567" s="109">
        <v>1.4530000000000001</v>
      </c>
      <c r="O1567" s="68"/>
      <c r="P1567" s="67">
        <v>1831</v>
      </c>
      <c r="Q1567" s="68"/>
      <c r="R1567" s="69"/>
      <c r="S1567" s="69"/>
      <c r="T1567" s="69"/>
      <c r="U1567" s="69"/>
      <c r="V1567" s="69"/>
      <c r="W1567" s="68"/>
      <c r="X1567" s="70"/>
      <c r="Y1567" s="70"/>
      <c r="Z1567" s="70"/>
      <c r="AA1567" s="70"/>
      <c r="AB1567" s="70"/>
      <c r="AC1567" s="68"/>
      <c r="AD1567" s="71"/>
      <c r="AE1567" s="71"/>
      <c r="AF1567" s="71"/>
      <c r="AG1567" s="71"/>
      <c r="AH1567" s="71"/>
      <c r="AI1567" s="68"/>
      <c r="AJ1567" s="214">
        <v>2.0829999999999999E-4</v>
      </c>
      <c r="AK1567" s="214">
        <v>1.724</v>
      </c>
      <c r="AL1567" s="214">
        <v>4</v>
      </c>
      <c r="AM1567" s="214">
        <v>1.392796E-3</v>
      </c>
      <c r="AN1567" s="68"/>
      <c r="AO1567" s="67"/>
      <c r="AP1567" s="67"/>
      <c r="AQ1567" s="67"/>
      <c r="AR1567" s="67"/>
      <c r="AS1567" s="67"/>
      <c r="AT1567" s="68"/>
      <c r="AU1567" s="49"/>
      <c r="AV1567" s="50"/>
    </row>
    <row r="1568" spans="1:48" ht="12.75" customHeight="1" x14ac:dyDescent="0.25">
      <c r="A1568" s="72" t="s">
        <v>883</v>
      </c>
      <c r="B1568" s="43" t="s">
        <v>1580</v>
      </c>
      <c r="C1568" s="44" t="s">
        <v>1724</v>
      </c>
      <c r="D1568" s="45">
        <f>MROUND(MID($C1568,6,3)/Basis!$E$3,0.5)</f>
        <v>9</v>
      </c>
      <c r="E1568" s="45">
        <f>MROUND(MID($C1568,9,3)/Basis!$E$3,0.5)</f>
        <v>55</v>
      </c>
      <c r="F1568" s="124" t="s">
        <v>2948</v>
      </c>
      <c r="G1568" s="45">
        <f>ROUND((MROUND($F1568,5)+3)/Basis!$E$3,1)</f>
        <v>9.1</v>
      </c>
      <c r="H1568" s="120">
        <f>ROUND($P1568*Basis!$E$2*((TaH-TrH)/LN(1/µ)/Basis!$E$7)^$N1568*$AA$4*Glycol,0)</f>
        <v>5013</v>
      </c>
      <c r="I1568" s="83">
        <f>ROUND(H1568/(MID($C1568,9,3)/Basis!$E$3/Basis!$E$9)*Basis!$E$11,0)</f>
        <v>1091</v>
      </c>
      <c r="J1568" s="123">
        <f>IF(Basis!$E$1=1,ROUND(H1568/((TaH-TrH)*1.163)/3600,3),ROUND(H1568/(500*(TaH-TrH)),2))</f>
        <v>0.5</v>
      </c>
      <c r="K1568" s="84"/>
      <c r="L1568" s="177">
        <f>CHOOSE(Basis!$E$1,((AJ1568*(J1568*3600/Basis!$E$5)^AK1568*(((MID(C1568,9,3)*10)-144)/1000)*AL1568+AM1568*(J1568*3600/Basis!$E$5)^2)*0.0098)/Basis!$E$10,((AJ1568*(J1568/Basis!$E$5)^AK1568*(((MID(C1568,9,3)*10)-144)/1000)*AL1568+AM1568*(J1568/Basis!$E$5)^2)*0.0098)/Basis!$E$10)</f>
        <v>2.8932296110825574E-2</v>
      </c>
      <c r="M1568" s="85"/>
      <c r="N1568" s="109">
        <v>1.4630000000000001</v>
      </c>
      <c r="O1568" s="68"/>
      <c r="P1568" s="67">
        <v>2381</v>
      </c>
      <c r="Q1568" s="68"/>
      <c r="R1568" s="69"/>
      <c r="S1568" s="69"/>
      <c r="T1568" s="69"/>
      <c r="U1568" s="69"/>
      <c r="V1568" s="69"/>
      <c r="W1568" s="68"/>
      <c r="X1568" s="70"/>
      <c r="Y1568" s="70"/>
      <c r="Z1568" s="70"/>
      <c r="AA1568" s="70"/>
      <c r="AB1568" s="70"/>
      <c r="AC1568" s="68"/>
      <c r="AD1568" s="71"/>
      <c r="AE1568" s="71"/>
      <c r="AF1568" s="71"/>
      <c r="AG1568" s="71"/>
      <c r="AH1568" s="71"/>
      <c r="AI1568" s="68"/>
      <c r="AJ1568" s="214">
        <v>1.2760000000000001E-4</v>
      </c>
      <c r="AK1568" s="214">
        <v>1.7219</v>
      </c>
      <c r="AL1568" s="214">
        <v>4</v>
      </c>
      <c r="AM1568" s="214">
        <v>5.1420100000000005E-4</v>
      </c>
      <c r="AN1568" s="68"/>
      <c r="AO1568" s="67"/>
      <c r="AP1568" s="67"/>
      <c r="AQ1568" s="67"/>
      <c r="AR1568" s="67"/>
      <c r="AS1568" s="67"/>
      <c r="AT1568" s="68"/>
      <c r="AU1568" s="49"/>
      <c r="AV1568" s="50"/>
    </row>
    <row r="1569" spans="1:48" ht="12.75" customHeight="1" x14ac:dyDescent="0.25">
      <c r="A1569" s="72" t="s">
        <v>883</v>
      </c>
      <c r="B1569" s="43" t="s">
        <v>1580</v>
      </c>
      <c r="C1569" s="44" t="s">
        <v>1725</v>
      </c>
      <c r="D1569" s="45">
        <f>MROUND(MID($C1569,6,3)/Basis!$E$3,0.5)</f>
        <v>9</v>
      </c>
      <c r="E1569" s="45">
        <f>MROUND(MID($C1569,9,3)/Basis!$E$3,0.5)</f>
        <v>63</v>
      </c>
      <c r="F1569" s="124" t="s">
        <v>2949</v>
      </c>
      <c r="G1569" s="45">
        <f>ROUND((MROUND($F1569,5)+3)/Basis!$E$3,1)</f>
        <v>3.1</v>
      </c>
      <c r="H1569" s="120">
        <f>ROUND($P1569*Basis!$E$2*((TaH-TrH)/LN(1/µ)/Basis!$E$7)^$N1569*$AA$4*Glycol,0)</f>
        <v>1846</v>
      </c>
      <c r="I1569" s="83">
        <f>ROUND(H1569/(MID($C1569,9,3)/Basis!$E$3/Basis!$E$9)*Basis!$E$11,0)</f>
        <v>352</v>
      </c>
      <c r="J1569" s="123">
        <f>IF(Basis!$E$1=1,ROUND(H1569/((TaH-TrH)*1.163)/3600,3),ROUND(H1569/(500*(TaH-TrH)),2))</f>
        <v>0.18</v>
      </c>
      <c r="K1569" s="84"/>
      <c r="L1569" s="177">
        <f>CHOOSE(Basis!$E$1,((AJ1569*(J1569*3600/Basis!$E$5)^AK1569*(((MID(C1569,9,3)*10)-144)/1000)*AL1569+AM1569*(J1569*3600/Basis!$E$5)^2)*0.0098)/Basis!$E$10,((AJ1569*(J1569/Basis!$E$5)^AK1569*(((MID(C1569,9,3)*10)-144)/1000)*AL1569+AM1569*(J1569/Basis!$E$5)^2)*0.0098)/Basis!$E$10)</f>
        <v>1.4175341333478964E-2</v>
      </c>
      <c r="M1569" s="85"/>
      <c r="N1569" s="109">
        <v>1.411</v>
      </c>
      <c r="O1569" s="68"/>
      <c r="P1569" s="67">
        <v>862</v>
      </c>
      <c r="Q1569" s="68"/>
      <c r="R1569" s="69"/>
      <c r="S1569" s="69"/>
      <c r="T1569" s="69"/>
      <c r="U1569" s="69"/>
      <c r="V1569" s="69"/>
      <c r="W1569" s="68"/>
      <c r="X1569" s="70"/>
      <c r="Y1569" s="70"/>
      <c r="Z1569" s="70"/>
      <c r="AA1569" s="70"/>
      <c r="AB1569" s="70"/>
      <c r="AC1569" s="68"/>
      <c r="AD1569" s="71"/>
      <c r="AE1569" s="71"/>
      <c r="AF1569" s="71"/>
      <c r="AG1569" s="71"/>
      <c r="AH1569" s="71"/>
      <c r="AI1569" s="68"/>
      <c r="AJ1569" s="214">
        <v>4.1688828699999996E-3</v>
      </c>
      <c r="AK1569" s="214">
        <v>1.411581940642</v>
      </c>
      <c r="AL1569" s="214">
        <v>3</v>
      </c>
      <c r="AM1569" s="214">
        <v>5.4247339961626003E-4</v>
      </c>
      <c r="AN1569" s="68"/>
      <c r="AO1569" s="67"/>
      <c r="AP1569" s="67"/>
      <c r="AQ1569" s="67"/>
      <c r="AR1569" s="67"/>
      <c r="AS1569" s="67"/>
      <c r="AT1569" s="68"/>
      <c r="AU1569" s="49"/>
      <c r="AV1569" s="50"/>
    </row>
    <row r="1570" spans="1:48" ht="12.75" customHeight="1" x14ac:dyDescent="0.25">
      <c r="A1570" s="72" t="s">
        <v>883</v>
      </c>
      <c r="B1570" s="43" t="s">
        <v>1580</v>
      </c>
      <c r="C1570" s="44" t="s">
        <v>1726</v>
      </c>
      <c r="D1570" s="45">
        <f>MROUND(MID($C1570,6,3)/Basis!$E$3,0.5)</f>
        <v>9</v>
      </c>
      <c r="E1570" s="45">
        <f>MROUND(MID($C1570,9,3)/Basis!$E$3,0.5)</f>
        <v>63</v>
      </c>
      <c r="F1570" s="124" t="s">
        <v>2946</v>
      </c>
      <c r="G1570" s="45">
        <f>ROUND((MROUND($F1570,5)+3)/Basis!$E$3,1)</f>
        <v>5.0999999999999996</v>
      </c>
      <c r="H1570" s="120">
        <f>ROUND($P1570*Basis!$E$2*((TaH-TrH)/LN(1/µ)/Basis!$E$7)^$N1570*$AA$4*Glycol,0)</f>
        <v>3399</v>
      </c>
      <c r="I1570" s="83">
        <f>ROUND(H1570/(MID($C1570,9,3)/Basis!$E$3/Basis!$E$9)*Basis!$E$11,0)</f>
        <v>648</v>
      </c>
      <c r="J1570" s="123">
        <f>IF(Basis!$E$1=1,ROUND(H1570/((TaH-TrH)*1.163)/3600,3),ROUND(H1570/(500*(TaH-TrH)),2))</f>
        <v>0.34</v>
      </c>
      <c r="K1570" s="84"/>
      <c r="L1570" s="177">
        <f>CHOOSE(Basis!$E$1,((AJ1570*(J1570*3600/Basis!$E$5)^AK1570*(((MID(C1570,9,3)*10)-144)/1000)*AL1570+AM1570*(J1570*3600/Basis!$E$5)^2)*0.0098)/Basis!$E$10,((AJ1570*(J1570/Basis!$E$5)^AK1570*(((MID(C1570,9,3)*10)-144)/1000)*AL1570+AM1570*(J1570/Basis!$E$5)^2)*0.0098)/Basis!$E$10)</f>
        <v>2.5417453204327554E-2</v>
      </c>
      <c r="M1570" s="85"/>
      <c r="N1570" s="109">
        <v>1.4410000000000001</v>
      </c>
      <c r="O1570" s="68"/>
      <c r="P1570" s="67">
        <v>1603</v>
      </c>
      <c r="Q1570" s="68"/>
      <c r="R1570" s="69"/>
      <c r="S1570" s="69"/>
      <c r="T1570" s="69"/>
      <c r="U1570" s="69"/>
      <c r="V1570" s="69"/>
      <c r="W1570" s="68"/>
      <c r="X1570" s="70"/>
      <c r="Y1570" s="70"/>
      <c r="Z1570" s="70"/>
      <c r="AA1570" s="70"/>
      <c r="AB1570" s="70"/>
      <c r="AC1570" s="68"/>
      <c r="AD1570" s="71"/>
      <c r="AE1570" s="71"/>
      <c r="AF1570" s="71"/>
      <c r="AG1570" s="71"/>
      <c r="AH1570" s="71"/>
      <c r="AI1570" s="68"/>
      <c r="AJ1570" s="214">
        <v>3.9689999999999994E-4</v>
      </c>
      <c r="AK1570" s="214">
        <v>1.7345999999999999</v>
      </c>
      <c r="AL1570" s="214">
        <v>4</v>
      </c>
      <c r="AM1570" s="214">
        <v>5.7428799999999995E-4</v>
      </c>
      <c r="AN1570" s="68"/>
      <c r="AO1570" s="67"/>
      <c r="AP1570" s="67"/>
      <c r="AQ1570" s="67"/>
      <c r="AR1570" s="67"/>
      <c r="AS1570" s="67"/>
      <c r="AT1570" s="68"/>
      <c r="AU1570" s="49"/>
      <c r="AV1570" s="50"/>
    </row>
    <row r="1571" spans="1:48" ht="12.75" customHeight="1" x14ac:dyDescent="0.25">
      <c r="A1571" s="72" t="s">
        <v>883</v>
      </c>
      <c r="B1571" s="43" t="s">
        <v>1580</v>
      </c>
      <c r="C1571" s="44" t="s">
        <v>1727</v>
      </c>
      <c r="D1571" s="45">
        <f>MROUND(MID($C1571,6,3)/Basis!$E$3,0.5)</f>
        <v>9</v>
      </c>
      <c r="E1571" s="45">
        <f>MROUND(MID($C1571,9,3)/Basis!$E$3,0.5)</f>
        <v>63</v>
      </c>
      <c r="F1571" s="124" t="s">
        <v>2947</v>
      </c>
      <c r="G1571" s="45">
        <f>ROUND((MROUND($F1571,5)+3)/Basis!$E$3,1)</f>
        <v>7.1</v>
      </c>
      <c r="H1571" s="120">
        <f>ROUND($P1571*Basis!$E$2*((TaH-TrH)/LN(1/µ)/Basis!$E$7)^$N1571*$AA$4*Glycol,0)</f>
        <v>4421</v>
      </c>
      <c r="I1571" s="83">
        <f>ROUND(H1571/(MID($C1571,9,3)/Basis!$E$3/Basis!$E$9)*Basis!$E$11,0)</f>
        <v>842</v>
      </c>
      <c r="J1571" s="123">
        <f>IF(Basis!$E$1=1,ROUND(H1571/((TaH-TrH)*1.163)/3600,3),ROUND(H1571/(500*(TaH-TrH)),2))</f>
        <v>0.44</v>
      </c>
      <c r="K1571" s="84"/>
      <c r="L1571" s="177">
        <f>CHOOSE(Basis!$E$1,((AJ1571*(J1571*3600/Basis!$E$5)^AK1571*(((MID(C1571,9,3)*10)-144)/1000)*AL1571+AM1571*(J1571*3600/Basis!$E$5)^2)*0.0098)/Basis!$E$10,((AJ1571*(J1571/Basis!$E$5)^AK1571*(((MID(C1571,9,3)*10)-144)/1000)*AL1571+AM1571*(J1571/Basis!$E$5)^2)*0.0098)/Basis!$E$10)</f>
        <v>5.6596755501333793E-2</v>
      </c>
      <c r="M1571" s="85"/>
      <c r="N1571" s="109">
        <v>1.4530000000000001</v>
      </c>
      <c r="O1571" s="68"/>
      <c r="P1571" s="67">
        <v>2093</v>
      </c>
      <c r="Q1571" s="68"/>
      <c r="R1571" s="69"/>
      <c r="S1571" s="69"/>
      <c r="T1571" s="69"/>
      <c r="U1571" s="69"/>
      <c r="V1571" s="69"/>
      <c r="W1571" s="68"/>
      <c r="X1571" s="70"/>
      <c r="Y1571" s="70"/>
      <c r="Z1571" s="70"/>
      <c r="AA1571" s="70"/>
      <c r="AB1571" s="70"/>
      <c r="AC1571" s="68"/>
      <c r="AD1571" s="71"/>
      <c r="AE1571" s="71"/>
      <c r="AF1571" s="71"/>
      <c r="AG1571" s="71"/>
      <c r="AH1571" s="71"/>
      <c r="AI1571" s="68"/>
      <c r="AJ1571" s="214">
        <v>2.0829999999999999E-4</v>
      </c>
      <c r="AK1571" s="214">
        <v>1.724</v>
      </c>
      <c r="AL1571" s="214">
        <v>4</v>
      </c>
      <c r="AM1571" s="214">
        <v>1.392796E-3</v>
      </c>
      <c r="AN1571" s="68"/>
      <c r="AO1571" s="67"/>
      <c r="AP1571" s="67"/>
      <c r="AQ1571" s="67"/>
      <c r="AR1571" s="67"/>
      <c r="AS1571" s="67"/>
      <c r="AT1571" s="68"/>
      <c r="AU1571" s="49"/>
      <c r="AV1571" s="50"/>
    </row>
    <row r="1572" spans="1:48" ht="12.75" customHeight="1" x14ac:dyDescent="0.25">
      <c r="A1572" s="72" t="s">
        <v>883</v>
      </c>
      <c r="B1572" s="43" t="s">
        <v>1580</v>
      </c>
      <c r="C1572" s="44" t="s">
        <v>1728</v>
      </c>
      <c r="D1572" s="45">
        <f>MROUND(MID($C1572,6,3)/Basis!$E$3,0.5)</f>
        <v>9</v>
      </c>
      <c r="E1572" s="45">
        <f>MROUND(MID($C1572,9,3)/Basis!$E$3,0.5)</f>
        <v>63</v>
      </c>
      <c r="F1572" s="124" t="s">
        <v>2948</v>
      </c>
      <c r="G1572" s="45">
        <f>ROUND((MROUND($F1572,5)+3)/Basis!$E$3,1)</f>
        <v>9.1</v>
      </c>
      <c r="H1572" s="120">
        <f>ROUND($P1572*Basis!$E$2*((TaH-TrH)/LN(1/µ)/Basis!$E$7)^$N1572*$AA$4*Glycol,0)</f>
        <v>5731</v>
      </c>
      <c r="I1572" s="83">
        <f>ROUND(H1572/(MID($C1572,9,3)/Basis!$E$3/Basis!$E$9)*Basis!$E$11,0)</f>
        <v>1092</v>
      </c>
      <c r="J1572" s="123">
        <f>IF(Basis!$E$1=1,ROUND(H1572/((TaH-TrH)*1.163)/3600,3),ROUND(H1572/(500*(TaH-TrH)),2))</f>
        <v>0.56999999999999995</v>
      </c>
      <c r="K1572" s="84"/>
      <c r="L1572" s="177">
        <f>CHOOSE(Basis!$E$1,((AJ1572*(J1572*3600/Basis!$E$5)^AK1572*(((MID(C1572,9,3)*10)-144)/1000)*AL1572+AM1572*(J1572*3600/Basis!$E$5)^2)*0.0098)/Basis!$E$10,((AJ1572*(J1572/Basis!$E$5)^AK1572*(((MID(C1572,9,3)*10)-144)/1000)*AL1572+AM1572*(J1572/Basis!$E$5)^2)*0.0098)/Basis!$E$10)</f>
        <v>3.8709865506585561E-2</v>
      </c>
      <c r="M1572" s="85"/>
      <c r="N1572" s="109">
        <v>1.4630000000000001</v>
      </c>
      <c r="O1572" s="68"/>
      <c r="P1572" s="67">
        <v>2722</v>
      </c>
      <c r="Q1572" s="68"/>
      <c r="R1572" s="69"/>
      <c r="S1572" s="69"/>
      <c r="T1572" s="69"/>
      <c r="U1572" s="69"/>
      <c r="V1572" s="69"/>
      <c r="W1572" s="68"/>
      <c r="X1572" s="70"/>
      <c r="Y1572" s="70"/>
      <c r="Z1572" s="70"/>
      <c r="AA1572" s="70"/>
      <c r="AB1572" s="70"/>
      <c r="AC1572" s="68"/>
      <c r="AD1572" s="71"/>
      <c r="AE1572" s="71"/>
      <c r="AF1572" s="71"/>
      <c r="AG1572" s="71"/>
      <c r="AH1572" s="71"/>
      <c r="AI1572" s="68"/>
      <c r="AJ1572" s="214">
        <v>1.2760000000000001E-4</v>
      </c>
      <c r="AK1572" s="214">
        <v>1.7219</v>
      </c>
      <c r="AL1572" s="214">
        <v>4</v>
      </c>
      <c r="AM1572" s="214">
        <v>5.1420100000000005E-4</v>
      </c>
      <c r="AN1572" s="68"/>
      <c r="AO1572" s="67"/>
      <c r="AP1572" s="67"/>
      <c r="AQ1572" s="67"/>
      <c r="AR1572" s="67"/>
      <c r="AS1572" s="67"/>
      <c r="AT1572" s="68"/>
      <c r="AU1572" s="49"/>
      <c r="AV1572" s="50"/>
    </row>
    <row r="1573" spans="1:48" ht="12.75" customHeight="1" x14ac:dyDescent="0.25">
      <c r="A1573" s="72" t="s">
        <v>883</v>
      </c>
      <c r="B1573" s="43" t="s">
        <v>1580</v>
      </c>
      <c r="C1573" s="44" t="s">
        <v>1729</v>
      </c>
      <c r="D1573" s="45">
        <f>MROUND(MID($C1573,6,3)/Basis!$E$3,0.5)</f>
        <v>9</v>
      </c>
      <c r="E1573" s="45">
        <f>MROUND(MID($C1573,9,3)/Basis!$E$3,0.5)</f>
        <v>71</v>
      </c>
      <c r="F1573" s="124" t="s">
        <v>2949</v>
      </c>
      <c r="G1573" s="45">
        <f>ROUND((MROUND($F1573,5)+3)/Basis!$E$3,1)</f>
        <v>3.1</v>
      </c>
      <c r="H1573" s="120">
        <f>ROUND($P1573*Basis!$E$2*((TaH-TrH)/LN(1/µ)/Basis!$E$7)^$N1573*$AA$4*Glycol,0)</f>
        <v>2078</v>
      </c>
      <c r="I1573" s="83">
        <f>ROUND(H1573/(MID($C1573,9,3)/Basis!$E$3/Basis!$E$9)*Basis!$E$11,0)</f>
        <v>352</v>
      </c>
      <c r="J1573" s="123">
        <f>IF(Basis!$E$1=1,ROUND(H1573/((TaH-TrH)*1.163)/3600,3),ROUND(H1573/(500*(TaH-TrH)),2))</f>
        <v>0.21</v>
      </c>
      <c r="K1573" s="84"/>
      <c r="L1573" s="177">
        <f>CHOOSE(Basis!$E$1,((AJ1573*(J1573*3600/Basis!$E$5)^AK1573*(((MID(C1573,9,3)*10)-144)/1000)*AL1573+AM1573*(J1573*3600/Basis!$E$5)^2)*0.0098)/Basis!$E$10,((AJ1573*(J1573/Basis!$E$5)^AK1573*(((MID(C1573,9,3)*10)-144)/1000)*AL1573+AM1573*(J1573/Basis!$E$5)^2)*0.0098)/Basis!$E$10)</f>
        <v>1.9885330603401204E-2</v>
      </c>
      <c r="M1573" s="85"/>
      <c r="N1573" s="109">
        <v>1.411</v>
      </c>
      <c r="O1573" s="68"/>
      <c r="P1573" s="67">
        <v>970</v>
      </c>
      <c r="Q1573" s="68"/>
      <c r="R1573" s="69"/>
      <c r="S1573" s="69"/>
      <c r="T1573" s="69"/>
      <c r="U1573" s="69"/>
      <c r="V1573" s="69"/>
      <c r="W1573" s="68"/>
      <c r="X1573" s="70"/>
      <c r="Y1573" s="70"/>
      <c r="Z1573" s="70"/>
      <c r="AA1573" s="70"/>
      <c r="AB1573" s="70"/>
      <c r="AC1573" s="68"/>
      <c r="AD1573" s="71"/>
      <c r="AE1573" s="71"/>
      <c r="AF1573" s="71"/>
      <c r="AG1573" s="71"/>
      <c r="AH1573" s="71"/>
      <c r="AI1573" s="68"/>
      <c r="AJ1573" s="214">
        <v>4.1688828699999996E-3</v>
      </c>
      <c r="AK1573" s="214">
        <v>1.411581940642</v>
      </c>
      <c r="AL1573" s="214">
        <v>3</v>
      </c>
      <c r="AM1573" s="214">
        <v>5.4247339961626003E-4</v>
      </c>
      <c r="AN1573" s="68"/>
      <c r="AO1573" s="67"/>
      <c r="AP1573" s="67"/>
      <c r="AQ1573" s="67"/>
      <c r="AR1573" s="67"/>
      <c r="AS1573" s="67"/>
      <c r="AT1573" s="68"/>
      <c r="AU1573" s="49"/>
      <c r="AV1573" s="50"/>
    </row>
    <row r="1574" spans="1:48" ht="12.75" customHeight="1" x14ac:dyDescent="0.25">
      <c r="A1574" s="72" t="s">
        <v>883</v>
      </c>
      <c r="B1574" s="43" t="s">
        <v>1580</v>
      </c>
      <c r="C1574" s="44" t="s">
        <v>1730</v>
      </c>
      <c r="D1574" s="45">
        <f>MROUND(MID($C1574,6,3)/Basis!$E$3,0.5)</f>
        <v>9</v>
      </c>
      <c r="E1574" s="45">
        <f>MROUND(MID($C1574,9,3)/Basis!$E$3,0.5)</f>
        <v>71</v>
      </c>
      <c r="F1574" s="124" t="s">
        <v>2946</v>
      </c>
      <c r="G1574" s="45">
        <f>ROUND((MROUND($F1574,5)+3)/Basis!$E$3,1)</f>
        <v>5.0999999999999996</v>
      </c>
      <c r="H1574" s="120">
        <f>ROUND($P1574*Basis!$E$2*((TaH-TrH)/LN(1/µ)/Basis!$E$7)^$N1574*$AA$4*Glycol,0)</f>
        <v>3826</v>
      </c>
      <c r="I1574" s="83">
        <f>ROUND(H1574/(MID($C1574,9,3)/Basis!$E$3/Basis!$E$9)*Basis!$E$11,0)</f>
        <v>648</v>
      </c>
      <c r="J1574" s="123">
        <f>IF(Basis!$E$1=1,ROUND(H1574/((TaH-TrH)*1.163)/3600,3),ROUND(H1574/(500*(TaH-TrH)),2))</f>
        <v>0.38</v>
      </c>
      <c r="K1574" s="84"/>
      <c r="L1574" s="177">
        <f>CHOOSE(Basis!$E$1,((AJ1574*(J1574*3600/Basis!$E$5)^AK1574*(((MID(C1574,9,3)*10)-144)/1000)*AL1574+AM1574*(J1574*3600/Basis!$E$5)^2)*0.0098)/Basis!$E$10,((AJ1574*(J1574/Basis!$E$5)^AK1574*(((MID(C1574,9,3)*10)-144)/1000)*AL1574+AM1574*(J1574/Basis!$E$5)^2)*0.0098)/Basis!$E$10)</f>
        <v>3.3602088205773532E-2</v>
      </c>
      <c r="M1574" s="85"/>
      <c r="N1574" s="109">
        <v>1.4410000000000001</v>
      </c>
      <c r="O1574" s="68"/>
      <c r="P1574" s="67">
        <v>1804</v>
      </c>
      <c r="Q1574" s="68"/>
      <c r="R1574" s="69"/>
      <c r="S1574" s="69"/>
      <c r="T1574" s="69"/>
      <c r="U1574" s="69"/>
      <c r="V1574" s="69"/>
      <c r="W1574" s="68"/>
      <c r="X1574" s="70"/>
      <c r="Y1574" s="70"/>
      <c r="Z1574" s="70"/>
      <c r="AA1574" s="70"/>
      <c r="AB1574" s="70"/>
      <c r="AC1574" s="68"/>
      <c r="AD1574" s="71"/>
      <c r="AE1574" s="71"/>
      <c r="AF1574" s="71"/>
      <c r="AG1574" s="71"/>
      <c r="AH1574" s="71"/>
      <c r="AI1574" s="68"/>
      <c r="AJ1574" s="214">
        <v>3.9689999999999994E-4</v>
      </c>
      <c r="AK1574" s="214">
        <v>1.7345999999999999</v>
      </c>
      <c r="AL1574" s="214">
        <v>4</v>
      </c>
      <c r="AM1574" s="214">
        <v>5.7428799999999995E-4</v>
      </c>
      <c r="AN1574" s="68"/>
      <c r="AO1574" s="67"/>
      <c r="AP1574" s="67"/>
      <c r="AQ1574" s="67"/>
      <c r="AR1574" s="67"/>
      <c r="AS1574" s="67"/>
      <c r="AT1574" s="68"/>
      <c r="AU1574" s="49"/>
      <c r="AV1574" s="50"/>
    </row>
    <row r="1575" spans="1:48" ht="12.75" customHeight="1" x14ac:dyDescent="0.25">
      <c r="A1575" s="72" t="s">
        <v>883</v>
      </c>
      <c r="B1575" s="43" t="s">
        <v>1580</v>
      </c>
      <c r="C1575" s="44" t="s">
        <v>1731</v>
      </c>
      <c r="D1575" s="45">
        <f>MROUND(MID($C1575,6,3)/Basis!$E$3,0.5)</f>
        <v>9</v>
      </c>
      <c r="E1575" s="45">
        <f>MROUND(MID($C1575,9,3)/Basis!$E$3,0.5)</f>
        <v>71</v>
      </c>
      <c r="F1575" s="124" t="s">
        <v>2947</v>
      </c>
      <c r="G1575" s="45">
        <f>ROUND((MROUND($F1575,5)+3)/Basis!$E$3,1)</f>
        <v>7.1</v>
      </c>
      <c r="H1575" s="120">
        <f>ROUND($P1575*Basis!$E$2*((TaH-TrH)/LN(1/µ)/Basis!$E$7)^$N1575*$AA$4*Glycol,0)</f>
        <v>4972</v>
      </c>
      <c r="I1575" s="83">
        <f>ROUND(H1575/(MID($C1575,9,3)/Basis!$E$3/Basis!$E$9)*Basis!$E$11,0)</f>
        <v>842</v>
      </c>
      <c r="J1575" s="123">
        <f>IF(Basis!$E$1=1,ROUND(H1575/((TaH-TrH)*1.163)/3600,3),ROUND(H1575/(500*(TaH-TrH)),2))</f>
        <v>0.5</v>
      </c>
      <c r="K1575" s="84"/>
      <c r="L1575" s="177">
        <f>CHOOSE(Basis!$E$1,((AJ1575*(J1575*3600/Basis!$E$5)^AK1575*(((MID(C1575,9,3)*10)-144)/1000)*AL1575+AM1575*(J1575*3600/Basis!$E$5)^2)*0.0098)/Basis!$E$10,((AJ1575*(J1575/Basis!$E$5)^AK1575*(((MID(C1575,9,3)*10)-144)/1000)*AL1575+AM1575*(J1575/Basis!$E$5)^2)*0.0098)/Basis!$E$10)</f>
        <v>7.4490387220873505E-2</v>
      </c>
      <c r="M1575" s="85"/>
      <c r="N1575" s="109">
        <v>1.4530000000000001</v>
      </c>
      <c r="O1575" s="68"/>
      <c r="P1575" s="67">
        <v>2354</v>
      </c>
      <c r="Q1575" s="68"/>
      <c r="R1575" s="69"/>
      <c r="S1575" s="69"/>
      <c r="T1575" s="69"/>
      <c r="U1575" s="69"/>
      <c r="V1575" s="69"/>
      <c r="W1575" s="68"/>
      <c r="X1575" s="70"/>
      <c r="Y1575" s="70"/>
      <c r="Z1575" s="70"/>
      <c r="AA1575" s="70"/>
      <c r="AB1575" s="70"/>
      <c r="AC1575" s="68"/>
      <c r="AD1575" s="71"/>
      <c r="AE1575" s="71"/>
      <c r="AF1575" s="71"/>
      <c r="AG1575" s="71"/>
      <c r="AH1575" s="71"/>
      <c r="AI1575" s="68"/>
      <c r="AJ1575" s="214">
        <v>2.0829999999999999E-4</v>
      </c>
      <c r="AK1575" s="214">
        <v>1.724</v>
      </c>
      <c r="AL1575" s="214">
        <v>4</v>
      </c>
      <c r="AM1575" s="214">
        <v>1.392796E-3</v>
      </c>
      <c r="AN1575" s="68"/>
      <c r="AO1575" s="67"/>
      <c r="AP1575" s="67"/>
      <c r="AQ1575" s="67"/>
      <c r="AR1575" s="67"/>
      <c r="AS1575" s="67"/>
      <c r="AT1575" s="68"/>
      <c r="AU1575" s="49"/>
      <c r="AV1575" s="50"/>
    </row>
    <row r="1576" spans="1:48" ht="12.75" customHeight="1" x14ac:dyDescent="0.25">
      <c r="A1576" s="72" t="s">
        <v>883</v>
      </c>
      <c r="B1576" s="43" t="s">
        <v>1580</v>
      </c>
      <c r="C1576" s="44" t="s">
        <v>1732</v>
      </c>
      <c r="D1576" s="45">
        <f>MROUND(MID($C1576,6,3)/Basis!$E$3,0.5)</f>
        <v>9</v>
      </c>
      <c r="E1576" s="45">
        <f>MROUND(MID($C1576,9,3)/Basis!$E$3,0.5)</f>
        <v>71</v>
      </c>
      <c r="F1576" s="124" t="s">
        <v>2948</v>
      </c>
      <c r="G1576" s="45">
        <f>ROUND((MROUND($F1576,5)+3)/Basis!$E$3,1)</f>
        <v>9.1</v>
      </c>
      <c r="H1576" s="120">
        <f>ROUND($P1576*Basis!$E$2*((TaH-TrH)/LN(1/µ)/Basis!$E$7)^$N1576*$AA$4*Glycol,0)</f>
        <v>6447</v>
      </c>
      <c r="I1576" s="83">
        <f>ROUND(H1576/(MID($C1576,9,3)/Basis!$E$3/Basis!$E$9)*Basis!$E$11,0)</f>
        <v>1092</v>
      </c>
      <c r="J1576" s="123">
        <f>IF(Basis!$E$1=1,ROUND(H1576/((TaH-TrH)*1.163)/3600,3),ROUND(H1576/(500*(TaH-TrH)),2))</f>
        <v>0.64</v>
      </c>
      <c r="K1576" s="84"/>
      <c r="L1576" s="177">
        <f>CHOOSE(Basis!$E$1,((AJ1576*(J1576*3600/Basis!$E$5)^AK1576*(((MID(C1576,9,3)*10)-144)/1000)*AL1576+AM1576*(J1576*3600/Basis!$E$5)^2)*0.0098)/Basis!$E$10,((AJ1576*(J1576/Basis!$E$5)^AK1576*(((MID(C1576,9,3)*10)-144)/1000)*AL1576+AM1576*(J1576/Basis!$E$5)^2)*0.0098)/Basis!$E$10)</f>
        <v>5.0146395739321177E-2</v>
      </c>
      <c r="M1576" s="85"/>
      <c r="N1576" s="109">
        <v>1.4630000000000001</v>
      </c>
      <c r="O1576" s="68"/>
      <c r="P1576" s="67">
        <v>3062</v>
      </c>
      <c r="Q1576" s="68"/>
      <c r="R1576" s="69"/>
      <c r="S1576" s="69"/>
      <c r="T1576" s="69"/>
      <c r="U1576" s="69"/>
      <c r="V1576" s="69"/>
      <c r="W1576" s="68"/>
      <c r="X1576" s="70"/>
      <c r="Y1576" s="70"/>
      <c r="Z1576" s="70"/>
      <c r="AA1576" s="70"/>
      <c r="AB1576" s="70"/>
      <c r="AC1576" s="68"/>
      <c r="AD1576" s="71"/>
      <c r="AE1576" s="71"/>
      <c r="AF1576" s="71"/>
      <c r="AG1576" s="71"/>
      <c r="AH1576" s="71"/>
      <c r="AI1576" s="68"/>
      <c r="AJ1576" s="214">
        <v>1.2760000000000001E-4</v>
      </c>
      <c r="AK1576" s="214">
        <v>1.7219</v>
      </c>
      <c r="AL1576" s="214">
        <v>4</v>
      </c>
      <c r="AM1576" s="214">
        <v>5.1420100000000005E-4</v>
      </c>
      <c r="AN1576" s="68"/>
      <c r="AO1576" s="67"/>
      <c r="AP1576" s="67"/>
      <c r="AQ1576" s="67"/>
      <c r="AR1576" s="67"/>
      <c r="AS1576" s="67"/>
      <c r="AT1576" s="68"/>
      <c r="AU1576" s="49"/>
      <c r="AV1576" s="50"/>
    </row>
    <row r="1577" spans="1:48" ht="12.75" customHeight="1" x14ac:dyDescent="0.25">
      <c r="A1577" s="72" t="s">
        <v>883</v>
      </c>
      <c r="B1577" s="43" t="s">
        <v>1580</v>
      </c>
      <c r="C1577" s="44" t="s">
        <v>1733</v>
      </c>
      <c r="D1577" s="45">
        <f>MROUND(MID($C1577,6,3)/Basis!$E$3,0.5)</f>
        <v>9</v>
      </c>
      <c r="E1577" s="45">
        <f>MROUND(MID($C1577,9,3)/Basis!$E$3,0.5)</f>
        <v>78.5</v>
      </c>
      <c r="F1577" s="124" t="s">
        <v>2949</v>
      </c>
      <c r="G1577" s="45">
        <f>ROUND((MROUND($F1577,5)+3)/Basis!$E$3,1)</f>
        <v>3.1</v>
      </c>
      <c r="H1577" s="120">
        <f>ROUND($P1577*Basis!$E$2*((TaH-TrH)/LN(1/µ)/Basis!$E$7)^$N1577*$AA$4*Glycol,0)</f>
        <v>2309</v>
      </c>
      <c r="I1577" s="83">
        <f>ROUND(H1577/(MID($C1577,9,3)/Basis!$E$3/Basis!$E$9)*Basis!$E$11,0)</f>
        <v>352</v>
      </c>
      <c r="J1577" s="123">
        <f>IF(Basis!$E$1=1,ROUND(H1577/((TaH-TrH)*1.163)/3600,3),ROUND(H1577/(500*(TaH-TrH)),2))</f>
        <v>0.23</v>
      </c>
      <c r="K1577" s="84"/>
      <c r="L1577" s="177">
        <f>CHOOSE(Basis!$E$1,((AJ1577*(J1577*3600/Basis!$E$5)^AK1577*(((MID(C1577,9,3)*10)-144)/1000)*AL1577+AM1577*(J1577*3600/Basis!$E$5)^2)*0.0098)/Basis!$E$10,((AJ1577*(J1577/Basis!$E$5)^AK1577*(((MID(C1577,9,3)*10)-144)/1000)*AL1577+AM1577*(J1577/Basis!$E$5)^2)*0.0098)/Basis!$E$10)</f>
        <v>2.5038959264824547E-2</v>
      </c>
      <c r="M1577" s="85"/>
      <c r="N1577" s="109">
        <v>1.411</v>
      </c>
      <c r="O1577" s="68"/>
      <c r="P1577" s="67">
        <v>1078</v>
      </c>
      <c r="Q1577" s="68"/>
      <c r="R1577" s="69"/>
      <c r="S1577" s="69"/>
      <c r="T1577" s="69"/>
      <c r="U1577" s="69"/>
      <c r="V1577" s="69"/>
      <c r="W1577" s="68"/>
      <c r="X1577" s="70"/>
      <c r="Y1577" s="70"/>
      <c r="Z1577" s="70"/>
      <c r="AA1577" s="70"/>
      <c r="AB1577" s="70"/>
      <c r="AC1577" s="68"/>
      <c r="AD1577" s="71"/>
      <c r="AE1577" s="71"/>
      <c r="AF1577" s="71"/>
      <c r="AG1577" s="71"/>
      <c r="AH1577" s="71"/>
      <c r="AI1577" s="68"/>
      <c r="AJ1577" s="214">
        <v>4.1688828699999996E-3</v>
      </c>
      <c r="AK1577" s="214">
        <v>1.411581940642</v>
      </c>
      <c r="AL1577" s="214">
        <v>3</v>
      </c>
      <c r="AM1577" s="214">
        <v>5.4247339961626003E-4</v>
      </c>
      <c r="AN1577" s="68"/>
      <c r="AO1577" s="67"/>
      <c r="AP1577" s="67"/>
      <c r="AQ1577" s="67"/>
      <c r="AR1577" s="67"/>
      <c r="AS1577" s="67"/>
      <c r="AT1577" s="68"/>
      <c r="AU1577" s="49"/>
      <c r="AV1577" s="50"/>
    </row>
    <row r="1578" spans="1:48" ht="12.75" customHeight="1" x14ac:dyDescent="0.25">
      <c r="A1578" s="72" t="s">
        <v>883</v>
      </c>
      <c r="B1578" s="43" t="s">
        <v>1580</v>
      </c>
      <c r="C1578" s="44" t="s">
        <v>1734</v>
      </c>
      <c r="D1578" s="45">
        <f>MROUND(MID($C1578,6,3)/Basis!$E$3,0.5)</f>
        <v>9</v>
      </c>
      <c r="E1578" s="45">
        <f>MROUND(MID($C1578,9,3)/Basis!$E$3,0.5)</f>
        <v>78.5</v>
      </c>
      <c r="F1578" s="124" t="s">
        <v>2946</v>
      </c>
      <c r="G1578" s="45">
        <f>ROUND((MROUND($F1578,5)+3)/Basis!$E$3,1)</f>
        <v>5.0999999999999996</v>
      </c>
      <c r="H1578" s="120">
        <f>ROUND($P1578*Basis!$E$2*((TaH-TrH)/LN(1/µ)/Basis!$E$7)^$N1578*$AA$4*Glycol,0)</f>
        <v>4250</v>
      </c>
      <c r="I1578" s="83">
        <f>ROUND(H1578/(MID($C1578,9,3)/Basis!$E$3/Basis!$E$9)*Basis!$E$11,0)</f>
        <v>648</v>
      </c>
      <c r="J1578" s="123">
        <f>IF(Basis!$E$1=1,ROUND(H1578/((TaH-TrH)*1.163)/3600,3),ROUND(H1578/(500*(TaH-TrH)),2))</f>
        <v>0.43</v>
      </c>
      <c r="K1578" s="84"/>
      <c r="L1578" s="177">
        <f>CHOOSE(Basis!$E$1,((AJ1578*(J1578*3600/Basis!$E$5)^AK1578*(((MID(C1578,9,3)*10)-144)/1000)*AL1578+AM1578*(J1578*3600/Basis!$E$5)^2)*0.0098)/Basis!$E$10,((AJ1578*(J1578/Basis!$E$5)^AK1578*(((MID(C1578,9,3)*10)-144)/1000)*AL1578+AM1578*(J1578/Basis!$E$5)^2)*0.0098)/Basis!$E$10)</f>
        <v>4.5151325606304665E-2</v>
      </c>
      <c r="M1578" s="85"/>
      <c r="N1578" s="109">
        <v>1.4410000000000001</v>
      </c>
      <c r="O1578" s="68"/>
      <c r="P1578" s="67">
        <v>2004</v>
      </c>
      <c r="Q1578" s="68"/>
      <c r="R1578" s="69"/>
      <c r="S1578" s="69"/>
      <c r="T1578" s="69"/>
      <c r="U1578" s="69"/>
      <c r="V1578" s="69"/>
      <c r="W1578" s="68"/>
      <c r="X1578" s="70"/>
      <c r="Y1578" s="70"/>
      <c r="Z1578" s="70"/>
      <c r="AA1578" s="70"/>
      <c r="AB1578" s="70"/>
      <c r="AC1578" s="68"/>
      <c r="AD1578" s="71"/>
      <c r="AE1578" s="71"/>
      <c r="AF1578" s="71"/>
      <c r="AG1578" s="71"/>
      <c r="AH1578" s="71"/>
      <c r="AI1578" s="68"/>
      <c r="AJ1578" s="214">
        <v>3.9689999999999994E-4</v>
      </c>
      <c r="AK1578" s="214">
        <v>1.7345999999999999</v>
      </c>
      <c r="AL1578" s="214">
        <v>4</v>
      </c>
      <c r="AM1578" s="214">
        <v>5.7428799999999995E-4</v>
      </c>
      <c r="AN1578" s="68"/>
      <c r="AO1578" s="67"/>
      <c r="AP1578" s="67"/>
      <c r="AQ1578" s="67"/>
      <c r="AR1578" s="67"/>
      <c r="AS1578" s="67"/>
      <c r="AT1578" s="68"/>
      <c r="AU1578" s="49"/>
      <c r="AV1578" s="50"/>
    </row>
    <row r="1579" spans="1:48" ht="12.75" customHeight="1" x14ac:dyDescent="0.25">
      <c r="A1579" s="72" t="s">
        <v>883</v>
      </c>
      <c r="B1579" s="43" t="s">
        <v>1580</v>
      </c>
      <c r="C1579" s="44" t="s">
        <v>1735</v>
      </c>
      <c r="D1579" s="45">
        <f>MROUND(MID($C1579,6,3)/Basis!$E$3,0.5)</f>
        <v>9</v>
      </c>
      <c r="E1579" s="45">
        <f>MROUND(MID($C1579,9,3)/Basis!$E$3,0.5)</f>
        <v>78.5</v>
      </c>
      <c r="F1579" s="124" t="s">
        <v>2947</v>
      </c>
      <c r="G1579" s="45">
        <f>ROUND((MROUND($F1579,5)+3)/Basis!$E$3,1)</f>
        <v>7.1</v>
      </c>
      <c r="H1579" s="120">
        <f>ROUND($P1579*Basis!$E$2*((TaH-TrH)/LN(1/µ)/Basis!$E$7)^$N1579*$AA$4*Glycol,0)</f>
        <v>5526</v>
      </c>
      <c r="I1579" s="83">
        <f>ROUND(H1579/(MID($C1579,9,3)/Basis!$E$3/Basis!$E$9)*Basis!$E$11,0)</f>
        <v>842</v>
      </c>
      <c r="J1579" s="123">
        <f>IF(Basis!$E$1=1,ROUND(H1579/((TaH-TrH)*1.163)/3600,3),ROUND(H1579/(500*(TaH-TrH)),2))</f>
        <v>0.55000000000000004</v>
      </c>
      <c r="K1579" s="84"/>
      <c r="L1579" s="177">
        <f>CHOOSE(Basis!$E$1,((AJ1579*(J1579*3600/Basis!$E$5)^AK1579*(((MID(C1579,9,3)*10)-144)/1000)*AL1579+AM1579*(J1579*3600/Basis!$E$5)^2)*0.0098)/Basis!$E$10,((AJ1579*(J1579/Basis!$E$5)^AK1579*(((MID(C1579,9,3)*10)-144)/1000)*AL1579+AM1579*(J1579/Basis!$E$5)^2)*0.0098)/Basis!$E$10)</f>
        <v>9.1881529817308349E-2</v>
      </c>
      <c r="M1579" s="85"/>
      <c r="N1579" s="109">
        <v>1.4530000000000001</v>
      </c>
      <c r="O1579" s="68"/>
      <c r="P1579" s="67">
        <v>2616</v>
      </c>
      <c r="Q1579" s="68"/>
      <c r="R1579" s="69"/>
      <c r="S1579" s="69"/>
      <c r="T1579" s="69"/>
      <c r="U1579" s="69"/>
      <c r="V1579" s="69"/>
      <c r="W1579" s="68"/>
      <c r="X1579" s="70"/>
      <c r="Y1579" s="70"/>
      <c r="Z1579" s="70"/>
      <c r="AA1579" s="70"/>
      <c r="AB1579" s="70"/>
      <c r="AC1579" s="68"/>
      <c r="AD1579" s="71"/>
      <c r="AE1579" s="71"/>
      <c r="AF1579" s="71"/>
      <c r="AG1579" s="71"/>
      <c r="AH1579" s="71"/>
      <c r="AI1579" s="68"/>
      <c r="AJ1579" s="214">
        <v>2.0829999999999999E-4</v>
      </c>
      <c r="AK1579" s="214">
        <v>1.724</v>
      </c>
      <c r="AL1579" s="214">
        <v>4</v>
      </c>
      <c r="AM1579" s="214">
        <v>1.392796E-3</v>
      </c>
      <c r="AN1579" s="68"/>
      <c r="AO1579" s="67"/>
      <c r="AP1579" s="67"/>
      <c r="AQ1579" s="67"/>
      <c r="AR1579" s="67"/>
      <c r="AS1579" s="67"/>
      <c r="AT1579" s="68"/>
      <c r="AU1579" s="49"/>
      <c r="AV1579" s="50"/>
    </row>
    <row r="1580" spans="1:48" ht="12.75" customHeight="1" x14ac:dyDescent="0.25">
      <c r="A1580" s="72" t="s">
        <v>883</v>
      </c>
      <c r="B1580" s="43" t="s">
        <v>1580</v>
      </c>
      <c r="C1580" s="44" t="s">
        <v>1736</v>
      </c>
      <c r="D1580" s="45">
        <f>MROUND(MID($C1580,6,3)/Basis!$E$3,0.5)</f>
        <v>9</v>
      </c>
      <c r="E1580" s="45">
        <f>MROUND(MID($C1580,9,3)/Basis!$E$3,0.5)</f>
        <v>78.5</v>
      </c>
      <c r="F1580" s="124" t="s">
        <v>2948</v>
      </c>
      <c r="G1580" s="45">
        <f>ROUND((MROUND($F1580,5)+3)/Basis!$E$3,1)</f>
        <v>9.1</v>
      </c>
      <c r="H1580" s="120">
        <f>ROUND($P1580*Basis!$E$2*((TaH-TrH)/LN(1/µ)/Basis!$E$7)^$N1580*$AA$4*Glycol,0)</f>
        <v>7162</v>
      </c>
      <c r="I1580" s="83">
        <f>ROUND(H1580/(MID($C1580,9,3)/Basis!$E$3/Basis!$E$9)*Basis!$E$11,0)</f>
        <v>1091</v>
      </c>
      <c r="J1580" s="123">
        <f>IF(Basis!$E$1=1,ROUND(H1580/((TaH-TrH)*1.163)/3600,3),ROUND(H1580/(500*(TaH-TrH)),2))</f>
        <v>0.72</v>
      </c>
      <c r="K1580" s="84"/>
      <c r="L1580" s="177">
        <f>CHOOSE(Basis!$E$1,((AJ1580*(J1580*3600/Basis!$E$5)^AK1580*(((MID(C1580,9,3)*10)-144)/1000)*AL1580+AM1580*(J1580*3600/Basis!$E$5)^2)*0.0098)/Basis!$E$10,((AJ1580*(J1580/Basis!$E$5)^AK1580*(((MID(C1580,9,3)*10)-144)/1000)*AL1580+AM1580*(J1580/Basis!$E$5)^2)*0.0098)/Basis!$E$10)</f>
        <v>6.5033141882982509E-2</v>
      </c>
      <c r="M1580" s="85"/>
      <c r="N1580" s="109">
        <v>1.4630000000000001</v>
      </c>
      <c r="O1580" s="68"/>
      <c r="P1580" s="67">
        <v>3402</v>
      </c>
      <c r="Q1580" s="68"/>
      <c r="R1580" s="69"/>
      <c r="S1580" s="69"/>
      <c r="T1580" s="69"/>
      <c r="U1580" s="69"/>
      <c r="V1580" s="69"/>
      <c r="W1580" s="68"/>
      <c r="X1580" s="70"/>
      <c r="Y1580" s="70"/>
      <c r="Z1580" s="70"/>
      <c r="AA1580" s="70"/>
      <c r="AB1580" s="70"/>
      <c r="AC1580" s="68"/>
      <c r="AD1580" s="71"/>
      <c r="AE1580" s="71"/>
      <c r="AF1580" s="71"/>
      <c r="AG1580" s="71"/>
      <c r="AH1580" s="71"/>
      <c r="AI1580" s="68"/>
      <c r="AJ1580" s="214">
        <v>1.2760000000000001E-4</v>
      </c>
      <c r="AK1580" s="214">
        <v>1.7219</v>
      </c>
      <c r="AL1580" s="214">
        <v>4</v>
      </c>
      <c r="AM1580" s="214">
        <v>5.1420100000000005E-4</v>
      </c>
      <c r="AN1580" s="68"/>
      <c r="AO1580" s="67"/>
      <c r="AP1580" s="67"/>
      <c r="AQ1580" s="67"/>
      <c r="AR1580" s="67"/>
      <c r="AS1580" s="67"/>
      <c r="AT1580" s="68"/>
      <c r="AU1580" s="49"/>
      <c r="AV1580" s="50"/>
    </row>
    <row r="1581" spans="1:48" ht="12.75" customHeight="1" x14ac:dyDescent="0.25">
      <c r="A1581" s="72" t="s">
        <v>883</v>
      </c>
      <c r="B1581" s="43" t="s">
        <v>1580</v>
      </c>
      <c r="C1581" s="44" t="s">
        <v>1737</v>
      </c>
      <c r="D1581" s="45">
        <f>MROUND(MID($C1581,6,3)/Basis!$E$3,0.5)</f>
        <v>9</v>
      </c>
      <c r="E1581" s="45">
        <f>MROUND(MID($C1581,9,3)/Basis!$E$3,0.5)</f>
        <v>86.5</v>
      </c>
      <c r="F1581" s="124" t="s">
        <v>2949</v>
      </c>
      <c r="G1581" s="45">
        <f>ROUND((MROUND($F1581,5)+3)/Basis!$E$3,1)</f>
        <v>3.1</v>
      </c>
      <c r="H1581" s="120">
        <f>ROUND($P1581*Basis!$E$2*((TaH-TrH)/LN(1/µ)/Basis!$E$7)^$N1581*$AA$4*Glycol,0)</f>
        <v>2540</v>
      </c>
      <c r="I1581" s="83">
        <f>ROUND(H1581/(MID($C1581,9,3)/Basis!$E$3/Basis!$E$9)*Basis!$E$11,0)</f>
        <v>352</v>
      </c>
      <c r="J1581" s="123">
        <f>IF(Basis!$E$1=1,ROUND(H1581/((TaH-TrH)*1.163)/3600,3),ROUND(H1581/(500*(TaH-TrH)),2))</f>
        <v>0.25</v>
      </c>
      <c r="K1581" s="84"/>
      <c r="L1581" s="177">
        <f>CHOOSE(Basis!$E$1,((AJ1581*(J1581*3600/Basis!$E$5)^AK1581*(((MID(C1581,9,3)*10)-144)/1000)*AL1581+AM1581*(J1581*3600/Basis!$E$5)^2)*0.0098)/Basis!$E$10,((AJ1581*(J1581/Basis!$E$5)^AK1581*(((MID(C1581,9,3)*10)-144)/1000)*AL1581+AM1581*(J1581/Basis!$E$5)^2)*0.0098)/Basis!$E$10)</f>
        <v>3.0888744096169506E-2</v>
      </c>
      <c r="M1581" s="85"/>
      <c r="N1581" s="109">
        <v>1.411</v>
      </c>
      <c r="O1581" s="68"/>
      <c r="P1581" s="67">
        <v>1186</v>
      </c>
      <c r="Q1581" s="68"/>
      <c r="R1581" s="69"/>
      <c r="S1581" s="69"/>
      <c r="T1581" s="69"/>
      <c r="U1581" s="69"/>
      <c r="V1581" s="69"/>
      <c r="W1581" s="68"/>
      <c r="X1581" s="70"/>
      <c r="Y1581" s="70"/>
      <c r="Z1581" s="70"/>
      <c r="AA1581" s="70"/>
      <c r="AB1581" s="70"/>
      <c r="AC1581" s="68"/>
      <c r="AD1581" s="71"/>
      <c r="AE1581" s="71"/>
      <c r="AF1581" s="71"/>
      <c r="AG1581" s="71"/>
      <c r="AH1581" s="71"/>
      <c r="AI1581" s="68"/>
      <c r="AJ1581" s="214">
        <v>4.1688828699999996E-3</v>
      </c>
      <c r="AK1581" s="214">
        <v>1.411581940642</v>
      </c>
      <c r="AL1581" s="214">
        <v>3</v>
      </c>
      <c r="AM1581" s="214">
        <v>5.4247339961626003E-4</v>
      </c>
      <c r="AN1581" s="68"/>
      <c r="AO1581" s="67"/>
      <c r="AP1581" s="67"/>
      <c r="AQ1581" s="67"/>
      <c r="AR1581" s="67"/>
      <c r="AS1581" s="67"/>
      <c r="AT1581" s="68"/>
      <c r="AU1581" s="49"/>
      <c r="AV1581" s="50"/>
    </row>
    <row r="1582" spans="1:48" ht="12.75" customHeight="1" x14ac:dyDescent="0.25">
      <c r="A1582" s="72" t="s">
        <v>883</v>
      </c>
      <c r="B1582" s="43" t="s">
        <v>1580</v>
      </c>
      <c r="C1582" s="44" t="s">
        <v>1738</v>
      </c>
      <c r="D1582" s="45">
        <f>MROUND(MID($C1582,6,3)/Basis!$E$3,0.5)</f>
        <v>9</v>
      </c>
      <c r="E1582" s="45">
        <f>MROUND(MID($C1582,9,3)/Basis!$E$3,0.5)</f>
        <v>86.5</v>
      </c>
      <c r="F1582" s="124" t="s">
        <v>2946</v>
      </c>
      <c r="G1582" s="45">
        <f>ROUND((MROUND($F1582,5)+3)/Basis!$E$3,1)</f>
        <v>5.0999999999999996</v>
      </c>
      <c r="H1582" s="120">
        <f>ROUND($P1582*Basis!$E$2*((TaH-TrH)/LN(1/µ)/Basis!$E$7)^$N1582*$AA$4*Glycol,0)</f>
        <v>4674</v>
      </c>
      <c r="I1582" s="83">
        <f>ROUND(H1582/(MID($C1582,9,3)/Basis!$E$3/Basis!$E$9)*Basis!$E$11,0)</f>
        <v>648</v>
      </c>
      <c r="J1582" s="123">
        <f>IF(Basis!$E$1=1,ROUND(H1582/((TaH-TrH)*1.163)/3600,3),ROUND(H1582/(500*(TaH-TrH)),2))</f>
        <v>0.47</v>
      </c>
      <c r="K1582" s="84"/>
      <c r="L1582" s="177">
        <f>CHOOSE(Basis!$E$1,((AJ1582*(J1582*3600/Basis!$E$5)^AK1582*(((MID(C1582,9,3)*10)-144)/1000)*AL1582+AM1582*(J1582*3600/Basis!$E$5)^2)*0.0098)/Basis!$E$10,((AJ1582*(J1582/Basis!$E$5)^AK1582*(((MID(C1582,9,3)*10)-144)/1000)*AL1582+AM1582*(J1582/Basis!$E$5)^2)*0.0098)/Basis!$E$10)</f>
        <v>5.6608165585388462E-2</v>
      </c>
      <c r="M1582" s="85"/>
      <c r="N1582" s="109">
        <v>1.4410000000000001</v>
      </c>
      <c r="O1582" s="68"/>
      <c r="P1582" s="67">
        <v>2204</v>
      </c>
      <c r="Q1582" s="68"/>
      <c r="R1582" s="69"/>
      <c r="S1582" s="69"/>
      <c r="T1582" s="69"/>
      <c r="U1582" s="69"/>
      <c r="V1582" s="69"/>
      <c r="W1582" s="68"/>
      <c r="X1582" s="70"/>
      <c r="Y1582" s="70"/>
      <c r="Z1582" s="70"/>
      <c r="AA1582" s="70"/>
      <c r="AB1582" s="70"/>
      <c r="AC1582" s="68"/>
      <c r="AD1582" s="71"/>
      <c r="AE1582" s="71"/>
      <c r="AF1582" s="71"/>
      <c r="AG1582" s="71"/>
      <c r="AH1582" s="71"/>
      <c r="AI1582" s="68"/>
      <c r="AJ1582" s="214">
        <v>3.9689999999999994E-4</v>
      </c>
      <c r="AK1582" s="214">
        <v>1.7345999999999999</v>
      </c>
      <c r="AL1582" s="214">
        <v>4</v>
      </c>
      <c r="AM1582" s="214">
        <v>5.7428799999999995E-4</v>
      </c>
      <c r="AN1582" s="68"/>
      <c r="AO1582" s="67"/>
      <c r="AP1582" s="67"/>
      <c r="AQ1582" s="67"/>
      <c r="AR1582" s="67"/>
      <c r="AS1582" s="67"/>
      <c r="AT1582" s="68"/>
      <c r="AU1582" s="49"/>
      <c r="AV1582" s="50"/>
    </row>
    <row r="1583" spans="1:48" ht="12.75" customHeight="1" x14ac:dyDescent="0.25">
      <c r="A1583" s="72" t="s">
        <v>883</v>
      </c>
      <c r="B1583" s="43" t="s">
        <v>1580</v>
      </c>
      <c r="C1583" s="44" t="s">
        <v>1739</v>
      </c>
      <c r="D1583" s="45">
        <f>MROUND(MID($C1583,6,3)/Basis!$E$3,0.5)</f>
        <v>9</v>
      </c>
      <c r="E1583" s="45">
        <f>MROUND(MID($C1583,9,3)/Basis!$E$3,0.5)</f>
        <v>86.5</v>
      </c>
      <c r="F1583" s="124" t="s">
        <v>2947</v>
      </c>
      <c r="G1583" s="45">
        <f>ROUND((MROUND($F1583,5)+3)/Basis!$E$3,1)</f>
        <v>7.1</v>
      </c>
      <c r="H1583" s="120">
        <f>ROUND($P1583*Basis!$E$2*((TaH-TrH)/LN(1/µ)/Basis!$E$7)^$N1583*$AA$4*Glycol,0)</f>
        <v>6079</v>
      </c>
      <c r="I1583" s="83">
        <f>ROUND(H1583/(MID($C1583,9,3)/Basis!$E$3/Basis!$E$9)*Basis!$E$11,0)</f>
        <v>842</v>
      </c>
      <c r="J1583" s="123">
        <f>IF(Basis!$E$1=1,ROUND(H1583/((TaH-TrH)*1.163)/3600,3),ROUND(H1583/(500*(TaH-TrH)),2))</f>
        <v>0.61</v>
      </c>
      <c r="K1583" s="84"/>
      <c r="L1583" s="177">
        <f>CHOOSE(Basis!$E$1,((AJ1583*(J1583*3600/Basis!$E$5)^AK1583*(((MID(C1583,9,3)*10)-144)/1000)*AL1583+AM1583*(J1583*3600/Basis!$E$5)^2)*0.0098)/Basis!$E$10,((AJ1583*(J1583/Basis!$E$5)^AK1583*(((MID(C1583,9,3)*10)-144)/1000)*AL1583+AM1583*(J1583/Basis!$E$5)^2)*0.0098)/Basis!$E$10)</f>
        <v>0.11498209423624962</v>
      </c>
      <c r="M1583" s="85"/>
      <c r="N1583" s="109">
        <v>1.4530000000000001</v>
      </c>
      <c r="O1583" s="68"/>
      <c r="P1583" s="67">
        <v>2878</v>
      </c>
      <c r="Q1583" s="68"/>
      <c r="R1583" s="69"/>
      <c r="S1583" s="69"/>
      <c r="T1583" s="69"/>
      <c r="U1583" s="69"/>
      <c r="V1583" s="69"/>
      <c r="W1583" s="68"/>
      <c r="X1583" s="70"/>
      <c r="Y1583" s="70"/>
      <c r="Z1583" s="70"/>
      <c r="AA1583" s="70"/>
      <c r="AB1583" s="70"/>
      <c r="AC1583" s="68"/>
      <c r="AD1583" s="71"/>
      <c r="AE1583" s="71"/>
      <c r="AF1583" s="71"/>
      <c r="AG1583" s="71"/>
      <c r="AH1583" s="71"/>
      <c r="AI1583" s="68"/>
      <c r="AJ1583" s="214">
        <v>2.0829999999999999E-4</v>
      </c>
      <c r="AK1583" s="214">
        <v>1.724</v>
      </c>
      <c r="AL1583" s="214">
        <v>4</v>
      </c>
      <c r="AM1583" s="214">
        <v>1.392796E-3</v>
      </c>
      <c r="AN1583" s="68"/>
      <c r="AO1583" s="67"/>
      <c r="AP1583" s="67"/>
      <c r="AQ1583" s="67"/>
      <c r="AR1583" s="67"/>
      <c r="AS1583" s="67"/>
      <c r="AT1583" s="68"/>
      <c r="AU1583" s="49"/>
      <c r="AV1583" s="50"/>
    </row>
    <row r="1584" spans="1:48" ht="12.75" customHeight="1" x14ac:dyDescent="0.25">
      <c r="A1584" s="72" t="s">
        <v>883</v>
      </c>
      <c r="B1584" s="43" t="s">
        <v>1580</v>
      </c>
      <c r="C1584" s="44" t="s">
        <v>1740</v>
      </c>
      <c r="D1584" s="45">
        <f>MROUND(MID($C1584,6,3)/Basis!$E$3,0.5)</f>
        <v>9</v>
      </c>
      <c r="E1584" s="45">
        <f>MROUND(MID($C1584,9,3)/Basis!$E$3,0.5)</f>
        <v>86.5</v>
      </c>
      <c r="F1584" s="124" t="s">
        <v>2948</v>
      </c>
      <c r="G1584" s="45">
        <f>ROUND((MROUND($F1584,5)+3)/Basis!$E$3,1)</f>
        <v>9.1</v>
      </c>
      <c r="H1584" s="120">
        <f>ROUND($P1584*Basis!$E$2*((TaH-TrH)/LN(1/µ)/Basis!$E$7)^$N1584*$AA$4*Glycol,0)</f>
        <v>7878</v>
      </c>
      <c r="I1584" s="83">
        <f>ROUND(H1584/(MID($C1584,9,3)/Basis!$E$3/Basis!$E$9)*Basis!$E$11,0)</f>
        <v>1091</v>
      </c>
      <c r="J1584" s="123">
        <f>IF(Basis!$E$1=1,ROUND(H1584/((TaH-TrH)*1.163)/3600,3),ROUND(H1584/(500*(TaH-TrH)),2))</f>
        <v>0.79</v>
      </c>
      <c r="K1584" s="84"/>
      <c r="L1584" s="177">
        <f>CHOOSE(Basis!$E$1,((AJ1584*(J1584*3600/Basis!$E$5)^AK1584*(((MID(C1584,9,3)*10)-144)/1000)*AL1584+AM1584*(J1584*3600/Basis!$E$5)^2)*0.0098)/Basis!$E$10,((AJ1584*(J1584/Basis!$E$5)^AK1584*(((MID(C1584,9,3)*10)-144)/1000)*AL1584+AM1584*(J1584/Basis!$E$5)^2)*0.0098)/Basis!$E$10)</f>
        <v>8.0215274936948994E-2</v>
      </c>
      <c r="M1584" s="85"/>
      <c r="N1584" s="109">
        <v>1.4630000000000001</v>
      </c>
      <c r="O1584" s="68"/>
      <c r="P1584" s="67">
        <v>3742</v>
      </c>
      <c r="Q1584" s="68"/>
      <c r="R1584" s="69"/>
      <c r="S1584" s="69"/>
      <c r="T1584" s="69"/>
      <c r="U1584" s="69"/>
      <c r="V1584" s="69"/>
      <c r="W1584" s="68"/>
      <c r="X1584" s="70"/>
      <c r="Y1584" s="70"/>
      <c r="Z1584" s="70"/>
      <c r="AA1584" s="70"/>
      <c r="AB1584" s="70"/>
      <c r="AC1584" s="68"/>
      <c r="AD1584" s="71"/>
      <c r="AE1584" s="71"/>
      <c r="AF1584" s="71"/>
      <c r="AG1584" s="71"/>
      <c r="AH1584" s="71"/>
      <c r="AI1584" s="68"/>
      <c r="AJ1584" s="214">
        <v>1.2760000000000001E-4</v>
      </c>
      <c r="AK1584" s="214">
        <v>1.7219</v>
      </c>
      <c r="AL1584" s="214">
        <v>4</v>
      </c>
      <c r="AM1584" s="214">
        <v>5.1420100000000005E-4</v>
      </c>
      <c r="AN1584" s="68"/>
      <c r="AO1584" s="67"/>
      <c r="AP1584" s="67"/>
      <c r="AQ1584" s="67"/>
      <c r="AR1584" s="67"/>
      <c r="AS1584" s="67"/>
      <c r="AT1584" s="68"/>
      <c r="AU1584" s="49"/>
      <c r="AV1584" s="50"/>
    </row>
    <row r="1585" spans="1:48" ht="12.75" customHeight="1" x14ac:dyDescent="0.25">
      <c r="A1585" s="72" t="s">
        <v>883</v>
      </c>
      <c r="B1585" s="43" t="s">
        <v>1580</v>
      </c>
      <c r="C1585" s="44" t="s">
        <v>1741</v>
      </c>
      <c r="D1585" s="45">
        <f>MROUND(MID($C1585,6,3)/Basis!$E$3,0.5)</f>
        <v>9</v>
      </c>
      <c r="E1585" s="45">
        <f>MROUND(MID($C1585,9,3)/Basis!$E$3,0.5)</f>
        <v>94.5</v>
      </c>
      <c r="F1585" s="124" t="s">
        <v>2949</v>
      </c>
      <c r="G1585" s="45">
        <f>ROUND((MROUND($F1585,5)+3)/Basis!$E$3,1)</f>
        <v>3.1</v>
      </c>
      <c r="H1585" s="120">
        <f>ROUND($P1585*Basis!$E$2*((TaH-TrH)/LN(1/µ)/Basis!$E$7)^$N1585*$AA$4*Glycol,0)</f>
        <v>2771</v>
      </c>
      <c r="I1585" s="83">
        <f>ROUND(H1585/(MID($C1585,9,3)/Basis!$E$3/Basis!$E$9)*Basis!$E$11,0)</f>
        <v>352</v>
      </c>
      <c r="J1585" s="123">
        <f>IF(Basis!$E$1=1,ROUND(H1585/((TaH-TrH)*1.163)/3600,3),ROUND(H1585/(500*(TaH-TrH)),2))</f>
        <v>0.28000000000000003</v>
      </c>
      <c r="K1585" s="84"/>
      <c r="L1585" s="177">
        <f>CHOOSE(Basis!$E$1,((AJ1585*(J1585*3600/Basis!$E$5)^AK1585*(((MID(C1585,9,3)*10)-144)/1000)*AL1585+AM1585*(J1585*3600/Basis!$E$5)^2)*0.0098)/Basis!$E$10,((AJ1585*(J1585/Basis!$E$5)^AK1585*(((MID(C1585,9,3)*10)-144)/1000)*AL1585+AM1585*(J1585/Basis!$E$5)^2)*0.0098)/Basis!$E$10)</f>
        <v>3.9583254262503434E-2</v>
      </c>
      <c r="M1585" s="85"/>
      <c r="N1585" s="109">
        <v>1.411</v>
      </c>
      <c r="O1585" s="68"/>
      <c r="P1585" s="67">
        <v>1294</v>
      </c>
      <c r="Q1585" s="68"/>
      <c r="R1585" s="69"/>
      <c r="S1585" s="69"/>
      <c r="T1585" s="69"/>
      <c r="U1585" s="69"/>
      <c r="V1585" s="69"/>
      <c r="W1585" s="68"/>
      <c r="X1585" s="70"/>
      <c r="Y1585" s="70"/>
      <c r="Z1585" s="70"/>
      <c r="AA1585" s="70"/>
      <c r="AB1585" s="70"/>
      <c r="AC1585" s="68"/>
      <c r="AD1585" s="71"/>
      <c r="AE1585" s="71"/>
      <c r="AF1585" s="71"/>
      <c r="AG1585" s="71"/>
      <c r="AH1585" s="71"/>
      <c r="AI1585" s="68"/>
      <c r="AJ1585" s="214">
        <v>4.1688828699999996E-3</v>
      </c>
      <c r="AK1585" s="214">
        <v>1.411581940642</v>
      </c>
      <c r="AL1585" s="214">
        <v>3</v>
      </c>
      <c r="AM1585" s="214">
        <v>5.4247339961626003E-4</v>
      </c>
      <c r="AN1585" s="68"/>
      <c r="AO1585" s="67"/>
      <c r="AP1585" s="67"/>
      <c r="AQ1585" s="67"/>
      <c r="AR1585" s="67"/>
      <c r="AS1585" s="67"/>
      <c r="AT1585" s="68"/>
      <c r="AU1585" s="49"/>
      <c r="AV1585" s="50"/>
    </row>
    <row r="1586" spans="1:48" ht="12.75" customHeight="1" x14ac:dyDescent="0.25">
      <c r="A1586" s="72" t="s">
        <v>883</v>
      </c>
      <c r="B1586" s="43" t="s">
        <v>1580</v>
      </c>
      <c r="C1586" s="44" t="s">
        <v>1742</v>
      </c>
      <c r="D1586" s="45">
        <f>MROUND(MID($C1586,6,3)/Basis!$E$3,0.5)</f>
        <v>9</v>
      </c>
      <c r="E1586" s="45">
        <f>MROUND(MID($C1586,9,3)/Basis!$E$3,0.5)</f>
        <v>94.5</v>
      </c>
      <c r="F1586" s="124" t="s">
        <v>2946</v>
      </c>
      <c r="G1586" s="45">
        <f>ROUND((MROUND($F1586,5)+3)/Basis!$E$3,1)</f>
        <v>5.0999999999999996</v>
      </c>
      <c r="H1586" s="120">
        <f>ROUND($P1586*Basis!$E$2*((TaH-TrH)/LN(1/µ)/Basis!$E$7)^$N1586*$AA$4*Glycol,0)</f>
        <v>5100</v>
      </c>
      <c r="I1586" s="83">
        <f>ROUND(H1586/(MID($C1586,9,3)/Basis!$E$3/Basis!$E$9)*Basis!$E$11,0)</f>
        <v>648</v>
      </c>
      <c r="J1586" s="123">
        <f>IF(Basis!$E$1=1,ROUND(H1586/((TaH-TrH)*1.163)/3600,3),ROUND(H1586/(500*(TaH-TrH)),2))</f>
        <v>0.51</v>
      </c>
      <c r="K1586" s="84"/>
      <c r="L1586" s="177">
        <f>CHOOSE(Basis!$E$1,((AJ1586*(J1586*3600/Basis!$E$5)^AK1586*(((MID(C1586,9,3)*10)-144)/1000)*AL1586+AM1586*(J1586*3600/Basis!$E$5)^2)*0.0098)/Basis!$E$10,((AJ1586*(J1586/Basis!$E$5)^AK1586*(((MID(C1586,9,3)*10)-144)/1000)*AL1586+AM1586*(J1586/Basis!$E$5)^2)*0.0098)/Basis!$E$10)</f>
        <v>6.971105801480558E-2</v>
      </c>
      <c r="M1586" s="85"/>
      <c r="N1586" s="109">
        <v>1.4410000000000001</v>
      </c>
      <c r="O1586" s="68"/>
      <c r="P1586" s="67">
        <v>2405</v>
      </c>
      <c r="Q1586" s="68"/>
      <c r="R1586" s="69"/>
      <c r="S1586" s="69"/>
      <c r="T1586" s="69"/>
      <c r="U1586" s="69"/>
      <c r="V1586" s="69"/>
      <c r="W1586" s="68"/>
      <c r="X1586" s="70"/>
      <c r="Y1586" s="70"/>
      <c r="Z1586" s="70"/>
      <c r="AA1586" s="70"/>
      <c r="AB1586" s="70"/>
      <c r="AC1586" s="68"/>
      <c r="AD1586" s="71"/>
      <c r="AE1586" s="71"/>
      <c r="AF1586" s="71"/>
      <c r="AG1586" s="71"/>
      <c r="AH1586" s="71"/>
      <c r="AI1586" s="68"/>
      <c r="AJ1586" s="214">
        <v>3.9689999999999994E-4</v>
      </c>
      <c r="AK1586" s="214">
        <v>1.7345999999999999</v>
      </c>
      <c r="AL1586" s="214">
        <v>4</v>
      </c>
      <c r="AM1586" s="214">
        <v>5.7428799999999995E-4</v>
      </c>
      <c r="AN1586" s="68"/>
      <c r="AO1586" s="67"/>
      <c r="AP1586" s="67"/>
      <c r="AQ1586" s="67"/>
      <c r="AR1586" s="67"/>
      <c r="AS1586" s="67"/>
      <c r="AT1586" s="68"/>
      <c r="AU1586" s="49"/>
      <c r="AV1586" s="50"/>
    </row>
    <row r="1587" spans="1:48" ht="12.75" customHeight="1" x14ac:dyDescent="0.25">
      <c r="A1587" s="72" t="s">
        <v>883</v>
      </c>
      <c r="B1587" s="43" t="s">
        <v>1580</v>
      </c>
      <c r="C1587" s="44" t="s">
        <v>1743</v>
      </c>
      <c r="D1587" s="45">
        <f>MROUND(MID($C1587,6,3)/Basis!$E$3,0.5)</f>
        <v>9</v>
      </c>
      <c r="E1587" s="45">
        <f>MROUND(MID($C1587,9,3)/Basis!$E$3,0.5)</f>
        <v>94.5</v>
      </c>
      <c r="F1587" s="124" t="s">
        <v>2947</v>
      </c>
      <c r="G1587" s="45">
        <f>ROUND((MROUND($F1587,5)+3)/Basis!$E$3,1)</f>
        <v>7.1</v>
      </c>
      <c r="H1587" s="120">
        <f>ROUND($P1587*Basis!$E$2*((TaH-TrH)/LN(1/µ)/Basis!$E$7)^$N1587*$AA$4*Glycol,0)</f>
        <v>6631</v>
      </c>
      <c r="I1587" s="83">
        <f>ROUND(H1587/(MID($C1587,9,3)/Basis!$E$3/Basis!$E$9)*Basis!$E$11,0)</f>
        <v>842</v>
      </c>
      <c r="J1587" s="123">
        <f>IF(Basis!$E$1=1,ROUND(H1587/((TaH-TrH)*1.163)/3600,3),ROUND(H1587/(500*(TaH-TrH)),2))</f>
        <v>0.66</v>
      </c>
      <c r="K1587" s="84"/>
      <c r="L1587" s="177">
        <f>CHOOSE(Basis!$E$1,((AJ1587*(J1587*3600/Basis!$E$5)^AK1587*(((MID(C1587,9,3)*10)-144)/1000)*AL1587+AM1587*(J1587*3600/Basis!$E$5)^2)*0.0098)/Basis!$E$10,((AJ1587*(J1587/Basis!$E$5)^AK1587*(((MID(C1587,9,3)*10)-144)/1000)*AL1587+AM1587*(J1587/Basis!$E$5)^2)*0.0098)/Basis!$E$10)</f>
        <v>0.1369817607939888</v>
      </c>
      <c r="M1587" s="85"/>
      <c r="N1587" s="109">
        <v>1.4530000000000001</v>
      </c>
      <c r="O1587" s="68"/>
      <c r="P1587" s="67">
        <v>3139</v>
      </c>
      <c r="Q1587" s="68"/>
      <c r="R1587" s="69"/>
      <c r="S1587" s="69"/>
      <c r="T1587" s="69"/>
      <c r="U1587" s="69"/>
      <c r="V1587" s="69"/>
      <c r="W1587" s="68"/>
      <c r="X1587" s="70"/>
      <c r="Y1587" s="70"/>
      <c r="Z1587" s="70"/>
      <c r="AA1587" s="70"/>
      <c r="AB1587" s="70"/>
      <c r="AC1587" s="68"/>
      <c r="AD1587" s="71"/>
      <c r="AE1587" s="71"/>
      <c r="AF1587" s="71"/>
      <c r="AG1587" s="71"/>
      <c r="AH1587" s="71"/>
      <c r="AI1587" s="68"/>
      <c r="AJ1587" s="214">
        <v>2.0829999999999999E-4</v>
      </c>
      <c r="AK1587" s="214">
        <v>1.724</v>
      </c>
      <c r="AL1587" s="214">
        <v>4</v>
      </c>
      <c r="AM1587" s="214">
        <v>1.392796E-3</v>
      </c>
      <c r="AN1587" s="68"/>
      <c r="AO1587" s="67"/>
      <c r="AP1587" s="67"/>
      <c r="AQ1587" s="67"/>
      <c r="AR1587" s="67"/>
      <c r="AS1587" s="67"/>
      <c r="AT1587" s="68"/>
      <c r="AU1587" s="49"/>
      <c r="AV1587" s="50"/>
    </row>
    <row r="1588" spans="1:48" ht="12.75" customHeight="1" x14ac:dyDescent="0.25">
      <c r="A1588" s="72" t="s">
        <v>883</v>
      </c>
      <c r="B1588" s="43" t="s">
        <v>1580</v>
      </c>
      <c r="C1588" s="44" t="s">
        <v>1744</v>
      </c>
      <c r="D1588" s="45">
        <f>MROUND(MID($C1588,6,3)/Basis!$E$3,0.5)</f>
        <v>9</v>
      </c>
      <c r="E1588" s="45">
        <f>MROUND(MID($C1588,9,3)/Basis!$E$3,0.5)</f>
        <v>94.5</v>
      </c>
      <c r="F1588" s="124" t="s">
        <v>2948</v>
      </c>
      <c r="G1588" s="45">
        <f>ROUND((MROUND($F1588,5)+3)/Basis!$E$3,1)</f>
        <v>9.1</v>
      </c>
      <c r="H1588" s="120">
        <f>ROUND($P1588*Basis!$E$2*((TaH-TrH)/LN(1/µ)/Basis!$E$7)^$N1588*$AA$4*Glycol,0)</f>
        <v>8594</v>
      </c>
      <c r="I1588" s="83">
        <f>ROUND(H1588/(MID($C1588,9,3)/Basis!$E$3/Basis!$E$9)*Basis!$E$11,0)</f>
        <v>1091</v>
      </c>
      <c r="J1588" s="123">
        <f>IF(Basis!$E$1=1,ROUND(H1588/((TaH-TrH)*1.163)/3600,3),ROUND(H1588/(500*(TaH-TrH)),2))</f>
        <v>0.86</v>
      </c>
      <c r="K1588" s="84"/>
      <c r="L1588" s="177">
        <f>CHOOSE(Basis!$E$1,((AJ1588*(J1588*3600/Basis!$E$5)^AK1588*(((MID(C1588,9,3)*10)-144)/1000)*AL1588+AM1588*(J1588*3600/Basis!$E$5)^2)*0.0098)/Basis!$E$10,((AJ1588*(J1588/Basis!$E$5)^AK1588*(((MID(C1588,9,3)*10)-144)/1000)*AL1588+AM1588*(J1588/Basis!$E$5)^2)*0.0098)/Basis!$E$10)</f>
        <v>9.7276166649968729E-2</v>
      </c>
      <c r="M1588" s="85"/>
      <c r="N1588" s="109">
        <v>1.4630000000000001</v>
      </c>
      <c r="O1588" s="68"/>
      <c r="P1588" s="67">
        <v>4082</v>
      </c>
      <c r="Q1588" s="68"/>
      <c r="R1588" s="69"/>
      <c r="S1588" s="69"/>
      <c r="T1588" s="69"/>
      <c r="U1588" s="69"/>
      <c r="V1588" s="69"/>
      <c r="W1588" s="68"/>
      <c r="X1588" s="70"/>
      <c r="Y1588" s="70"/>
      <c r="Z1588" s="70"/>
      <c r="AA1588" s="70"/>
      <c r="AB1588" s="70"/>
      <c r="AC1588" s="68"/>
      <c r="AD1588" s="71"/>
      <c r="AE1588" s="71"/>
      <c r="AF1588" s="71"/>
      <c r="AG1588" s="71"/>
      <c r="AH1588" s="71"/>
      <c r="AI1588" s="68"/>
      <c r="AJ1588" s="214">
        <v>1.2760000000000001E-4</v>
      </c>
      <c r="AK1588" s="214">
        <v>1.7219</v>
      </c>
      <c r="AL1588" s="214">
        <v>4</v>
      </c>
      <c r="AM1588" s="214">
        <v>5.1420100000000005E-4</v>
      </c>
      <c r="AN1588" s="68"/>
      <c r="AO1588" s="67"/>
      <c r="AP1588" s="67"/>
      <c r="AQ1588" s="67"/>
      <c r="AR1588" s="67"/>
      <c r="AS1588" s="67"/>
      <c r="AT1588" s="68"/>
      <c r="AU1588" s="49"/>
      <c r="AV1588" s="50"/>
    </row>
    <row r="1589" spans="1:48" ht="12.75" customHeight="1" x14ac:dyDescent="0.25">
      <c r="A1589" s="72" t="s">
        <v>883</v>
      </c>
      <c r="B1589" s="43" t="s">
        <v>1580</v>
      </c>
      <c r="C1589" s="44" t="s">
        <v>1745</v>
      </c>
      <c r="D1589" s="45">
        <f>MROUND(MID($C1589,6,3)/Basis!$E$3,0.5)</f>
        <v>9</v>
      </c>
      <c r="E1589" s="45">
        <f>MROUND(MID($C1589,9,3)/Basis!$E$3,0.5)</f>
        <v>102.5</v>
      </c>
      <c r="F1589" s="124" t="s">
        <v>2949</v>
      </c>
      <c r="G1589" s="45">
        <f>ROUND((MROUND($F1589,5)+3)/Basis!$E$3,1)</f>
        <v>3.1</v>
      </c>
      <c r="H1589" s="120">
        <f>ROUND($P1589*Basis!$E$2*((TaH-TrH)/LN(1/µ)/Basis!$E$7)^$N1589*$AA$4*Glycol,0)</f>
        <v>3001</v>
      </c>
      <c r="I1589" s="83">
        <f>ROUND(H1589/(MID($C1589,9,3)/Basis!$E$3/Basis!$E$9)*Basis!$E$11,0)</f>
        <v>352</v>
      </c>
      <c r="J1589" s="123">
        <f>IF(Basis!$E$1=1,ROUND(H1589/((TaH-TrH)*1.163)/3600,3),ROUND(H1589/(500*(TaH-TrH)),2))</f>
        <v>0.3</v>
      </c>
      <c r="K1589" s="84"/>
      <c r="L1589" s="177">
        <f>CHOOSE(Basis!$E$1,((AJ1589*(J1589*3600/Basis!$E$5)^AK1589*(((MID(C1589,9,3)*10)-144)/1000)*AL1589+AM1589*(J1589*3600/Basis!$E$5)^2)*0.0098)/Basis!$E$10,((AJ1589*(J1589/Basis!$E$5)^AK1589*(((MID(C1589,9,3)*10)-144)/1000)*AL1589+AM1589*(J1589/Basis!$E$5)^2)*0.0098)/Basis!$E$10)</f>
        <v>4.7126908497572943E-2</v>
      </c>
      <c r="M1589" s="85"/>
      <c r="N1589" s="109">
        <v>1.411</v>
      </c>
      <c r="O1589" s="68"/>
      <c r="P1589" s="67">
        <v>1401</v>
      </c>
      <c r="Q1589" s="68"/>
      <c r="R1589" s="69"/>
      <c r="S1589" s="69"/>
      <c r="T1589" s="69"/>
      <c r="U1589" s="69"/>
      <c r="V1589" s="69"/>
      <c r="W1589" s="68"/>
      <c r="X1589" s="70"/>
      <c r="Y1589" s="70"/>
      <c r="Z1589" s="70"/>
      <c r="AA1589" s="70"/>
      <c r="AB1589" s="70"/>
      <c r="AC1589" s="68"/>
      <c r="AD1589" s="71"/>
      <c r="AE1589" s="71"/>
      <c r="AF1589" s="71"/>
      <c r="AG1589" s="71"/>
      <c r="AH1589" s="71"/>
      <c r="AI1589" s="68"/>
      <c r="AJ1589" s="214">
        <v>4.1688828699999996E-3</v>
      </c>
      <c r="AK1589" s="214">
        <v>1.411581940642</v>
      </c>
      <c r="AL1589" s="214">
        <v>3</v>
      </c>
      <c r="AM1589" s="214">
        <v>5.4247339961626003E-4</v>
      </c>
      <c r="AN1589" s="68"/>
      <c r="AO1589" s="67"/>
      <c r="AP1589" s="67"/>
      <c r="AQ1589" s="67"/>
      <c r="AR1589" s="67"/>
      <c r="AS1589" s="67"/>
      <c r="AT1589" s="68"/>
      <c r="AU1589" s="49"/>
      <c r="AV1589" s="50"/>
    </row>
    <row r="1590" spans="1:48" ht="12.75" customHeight="1" x14ac:dyDescent="0.25">
      <c r="A1590" s="72" t="s">
        <v>883</v>
      </c>
      <c r="B1590" s="43" t="s">
        <v>1580</v>
      </c>
      <c r="C1590" s="44" t="s">
        <v>1746</v>
      </c>
      <c r="D1590" s="45">
        <f>MROUND(MID($C1590,6,3)/Basis!$E$3,0.5)</f>
        <v>9</v>
      </c>
      <c r="E1590" s="45">
        <f>MROUND(MID($C1590,9,3)/Basis!$E$3,0.5)</f>
        <v>102.5</v>
      </c>
      <c r="F1590" s="124" t="s">
        <v>2946</v>
      </c>
      <c r="G1590" s="45">
        <f>ROUND((MROUND($F1590,5)+3)/Basis!$E$3,1)</f>
        <v>5.0999999999999996</v>
      </c>
      <c r="H1590" s="120">
        <f>ROUND($P1590*Basis!$E$2*((TaH-TrH)/LN(1/µ)/Basis!$E$7)^$N1590*$AA$4*Glycol,0)</f>
        <v>5524</v>
      </c>
      <c r="I1590" s="83">
        <f>ROUND(H1590/(MID($C1590,9,3)/Basis!$E$3/Basis!$E$9)*Basis!$E$11,0)</f>
        <v>648</v>
      </c>
      <c r="J1590" s="123">
        <f>IF(Basis!$E$1=1,ROUND(H1590/((TaH-TrH)*1.163)/3600,3),ROUND(H1590/(500*(TaH-TrH)),2))</f>
        <v>0.55000000000000004</v>
      </c>
      <c r="K1590" s="84"/>
      <c r="L1590" s="177">
        <f>CHOOSE(Basis!$E$1,((AJ1590*(J1590*3600/Basis!$E$5)^AK1590*(((MID(C1590,9,3)*10)-144)/1000)*AL1590+AM1590*(J1590*3600/Basis!$E$5)^2)*0.0098)/Basis!$E$10,((AJ1590*(J1590/Basis!$E$5)^AK1590*(((MID(C1590,9,3)*10)-144)/1000)*AL1590+AM1590*(J1590/Basis!$E$5)^2)*0.0098)/Basis!$E$10)</f>
        <v>8.4546521011868311E-2</v>
      </c>
      <c r="M1590" s="85"/>
      <c r="N1590" s="109">
        <v>1.4410000000000001</v>
      </c>
      <c r="O1590" s="68"/>
      <c r="P1590" s="67">
        <v>2605</v>
      </c>
      <c r="Q1590" s="68"/>
      <c r="R1590" s="69"/>
      <c r="S1590" s="69"/>
      <c r="T1590" s="69"/>
      <c r="U1590" s="69"/>
      <c r="V1590" s="69"/>
      <c r="W1590" s="68"/>
      <c r="X1590" s="70"/>
      <c r="Y1590" s="70"/>
      <c r="Z1590" s="70"/>
      <c r="AA1590" s="70"/>
      <c r="AB1590" s="70"/>
      <c r="AC1590" s="68"/>
      <c r="AD1590" s="71"/>
      <c r="AE1590" s="71"/>
      <c r="AF1590" s="71"/>
      <c r="AG1590" s="71"/>
      <c r="AH1590" s="71"/>
      <c r="AI1590" s="68"/>
      <c r="AJ1590" s="214">
        <v>3.9689999999999994E-4</v>
      </c>
      <c r="AK1590" s="214">
        <v>1.7345999999999999</v>
      </c>
      <c r="AL1590" s="214">
        <v>4</v>
      </c>
      <c r="AM1590" s="214">
        <v>5.7428799999999995E-4</v>
      </c>
      <c r="AN1590" s="68"/>
      <c r="AO1590" s="67"/>
      <c r="AP1590" s="67"/>
      <c r="AQ1590" s="67"/>
      <c r="AR1590" s="67"/>
      <c r="AS1590" s="67"/>
      <c r="AT1590" s="68"/>
      <c r="AU1590" s="49"/>
      <c r="AV1590" s="50"/>
    </row>
    <row r="1591" spans="1:48" ht="12.75" customHeight="1" x14ac:dyDescent="0.25">
      <c r="A1591" s="72" t="s">
        <v>883</v>
      </c>
      <c r="B1591" s="43" t="s">
        <v>1580</v>
      </c>
      <c r="C1591" s="44" t="s">
        <v>1747</v>
      </c>
      <c r="D1591" s="45">
        <f>MROUND(MID($C1591,6,3)/Basis!$E$3,0.5)</f>
        <v>9</v>
      </c>
      <c r="E1591" s="45">
        <f>MROUND(MID($C1591,9,3)/Basis!$E$3,0.5)</f>
        <v>102.5</v>
      </c>
      <c r="F1591" s="124" t="s">
        <v>2947</v>
      </c>
      <c r="G1591" s="45">
        <f>ROUND((MROUND($F1591,5)+3)/Basis!$E$3,1)</f>
        <v>7.1</v>
      </c>
      <c r="H1591" s="120">
        <f>ROUND($P1591*Basis!$E$2*((TaH-TrH)/LN(1/µ)/Basis!$E$7)^$N1591*$AA$4*Glycol,0)</f>
        <v>7184</v>
      </c>
      <c r="I1591" s="83">
        <f>ROUND(H1591/(MID($C1591,9,3)/Basis!$E$3/Basis!$E$9)*Basis!$E$11,0)</f>
        <v>842</v>
      </c>
      <c r="J1591" s="123">
        <f>IF(Basis!$E$1=1,ROUND(H1591/((TaH-TrH)*1.163)/3600,3),ROUND(H1591/(500*(TaH-TrH)),2))</f>
        <v>0.72</v>
      </c>
      <c r="K1591" s="84"/>
      <c r="L1591" s="177">
        <f>CHOOSE(Basis!$E$1,((AJ1591*(J1591*3600/Basis!$E$5)^AK1591*(((MID(C1591,9,3)*10)-144)/1000)*AL1591+AM1591*(J1591*3600/Basis!$E$5)^2)*0.0098)/Basis!$E$10,((AJ1591*(J1591/Basis!$E$5)^AK1591*(((MID(C1591,9,3)*10)-144)/1000)*AL1591+AM1591*(J1591/Basis!$E$5)^2)*0.0098)/Basis!$E$10)</f>
        <v>0.165610024078962</v>
      </c>
      <c r="M1591" s="85"/>
      <c r="N1591" s="109">
        <v>1.4530000000000001</v>
      </c>
      <c r="O1591" s="68"/>
      <c r="P1591" s="67">
        <v>3401</v>
      </c>
      <c r="Q1591" s="68"/>
      <c r="R1591" s="69"/>
      <c r="S1591" s="69"/>
      <c r="T1591" s="69"/>
      <c r="U1591" s="69"/>
      <c r="V1591" s="69"/>
      <c r="W1591" s="68"/>
      <c r="X1591" s="70"/>
      <c r="Y1591" s="70"/>
      <c r="Z1591" s="70"/>
      <c r="AA1591" s="70"/>
      <c r="AB1591" s="70"/>
      <c r="AC1591" s="68"/>
      <c r="AD1591" s="71"/>
      <c r="AE1591" s="71"/>
      <c r="AF1591" s="71"/>
      <c r="AG1591" s="71"/>
      <c r="AH1591" s="71"/>
      <c r="AI1591" s="68"/>
      <c r="AJ1591" s="214">
        <v>2.0829999999999999E-4</v>
      </c>
      <c r="AK1591" s="214">
        <v>1.724</v>
      </c>
      <c r="AL1591" s="214">
        <v>4</v>
      </c>
      <c r="AM1591" s="214">
        <v>1.392796E-3</v>
      </c>
      <c r="AN1591" s="68"/>
      <c r="AO1591" s="67"/>
      <c r="AP1591" s="67"/>
      <c r="AQ1591" s="67"/>
      <c r="AR1591" s="67"/>
      <c r="AS1591" s="67"/>
      <c r="AT1591" s="68"/>
      <c r="AU1591" s="49"/>
      <c r="AV1591" s="50"/>
    </row>
    <row r="1592" spans="1:48" ht="12.75" customHeight="1" x14ac:dyDescent="0.25">
      <c r="A1592" s="72" t="s">
        <v>883</v>
      </c>
      <c r="B1592" s="43" t="s">
        <v>1580</v>
      </c>
      <c r="C1592" s="44" t="s">
        <v>1748</v>
      </c>
      <c r="D1592" s="45">
        <f>MROUND(MID($C1592,6,3)/Basis!$E$3,0.5)</f>
        <v>9</v>
      </c>
      <c r="E1592" s="45">
        <f>MROUND(MID($C1592,9,3)/Basis!$E$3,0.5)</f>
        <v>102.5</v>
      </c>
      <c r="F1592" s="124" t="s">
        <v>2948</v>
      </c>
      <c r="G1592" s="45">
        <f>ROUND((MROUND($F1592,5)+3)/Basis!$E$3,1)</f>
        <v>9.1</v>
      </c>
      <c r="H1592" s="120">
        <f>ROUND($P1592*Basis!$E$2*((TaH-TrH)/LN(1/µ)/Basis!$E$7)^$N1592*$AA$4*Glycol,0)</f>
        <v>9312</v>
      </c>
      <c r="I1592" s="83">
        <f>ROUND(H1592/(MID($C1592,9,3)/Basis!$E$3/Basis!$E$9)*Basis!$E$11,0)</f>
        <v>1092</v>
      </c>
      <c r="J1592" s="123">
        <f>IF(Basis!$E$1=1,ROUND(H1592/((TaH-TrH)*1.163)/3600,3),ROUND(H1592/(500*(TaH-TrH)),2))</f>
        <v>0.93</v>
      </c>
      <c r="K1592" s="84"/>
      <c r="L1592" s="177">
        <f>CHOOSE(Basis!$E$1,((AJ1592*(J1592*3600/Basis!$E$5)^AK1592*(((MID(C1592,9,3)*10)-144)/1000)*AL1592+AM1592*(J1592*3600/Basis!$E$5)^2)*0.0098)/Basis!$E$10,((AJ1592*(J1592/Basis!$E$5)^AK1592*(((MID(C1592,9,3)*10)-144)/1000)*AL1592+AM1592*(J1592/Basis!$E$5)^2)*0.0098)/Basis!$E$10)</f>
        <v>0.11628302340404366</v>
      </c>
      <c r="M1592" s="85"/>
      <c r="N1592" s="109">
        <v>1.4630000000000001</v>
      </c>
      <c r="O1592" s="68"/>
      <c r="P1592" s="67">
        <v>4423</v>
      </c>
      <c r="Q1592" s="68"/>
      <c r="R1592" s="69"/>
      <c r="S1592" s="69"/>
      <c r="T1592" s="69"/>
      <c r="U1592" s="69"/>
      <c r="V1592" s="69"/>
      <c r="W1592" s="68"/>
      <c r="X1592" s="70"/>
      <c r="Y1592" s="70"/>
      <c r="Z1592" s="70"/>
      <c r="AA1592" s="70"/>
      <c r="AB1592" s="70"/>
      <c r="AC1592" s="68"/>
      <c r="AD1592" s="71"/>
      <c r="AE1592" s="71"/>
      <c r="AF1592" s="71"/>
      <c r="AG1592" s="71"/>
      <c r="AH1592" s="71"/>
      <c r="AI1592" s="68"/>
      <c r="AJ1592" s="214">
        <v>1.2760000000000001E-4</v>
      </c>
      <c r="AK1592" s="214">
        <v>1.7219</v>
      </c>
      <c r="AL1592" s="214">
        <v>4</v>
      </c>
      <c r="AM1592" s="214">
        <v>5.1420100000000005E-4</v>
      </c>
      <c r="AN1592" s="68"/>
      <c r="AO1592" s="67"/>
      <c r="AP1592" s="67"/>
      <c r="AQ1592" s="67"/>
      <c r="AR1592" s="67"/>
      <c r="AS1592" s="67"/>
      <c r="AT1592" s="68"/>
      <c r="AU1592" s="49"/>
      <c r="AV1592" s="50"/>
    </row>
    <row r="1593" spans="1:48" ht="12.75" customHeight="1" x14ac:dyDescent="0.25">
      <c r="A1593" s="72" t="s">
        <v>883</v>
      </c>
      <c r="B1593" s="43" t="s">
        <v>1580</v>
      </c>
      <c r="C1593" s="44" t="s">
        <v>1749</v>
      </c>
      <c r="D1593" s="45">
        <f>MROUND(MID($C1593,6,3)/Basis!$E$3,0.5)</f>
        <v>9</v>
      </c>
      <c r="E1593" s="45">
        <f>MROUND(MID($C1593,9,3)/Basis!$E$3,0.5)</f>
        <v>110</v>
      </c>
      <c r="F1593" s="124" t="s">
        <v>2949</v>
      </c>
      <c r="G1593" s="45">
        <f>ROUND((MROUND($F1593,5)+3)/Basis!$E$3,1)</f>
        <v>3.1</v>
      </c>
      <c r="H1593" s="120">
        <f>ROUND($P1593*Basis!$E$2*((TaH-TrH)/LN(1/µ)/Basis!$E$7)^$N1593*$AA$4*Glycol,0)</f>
        <v>3232</v>
      </c>
      <c r="I1593" s="83">
        <f>ROUND(H1593/(MID($C1593,9,3)/Basis!$E$3/Basis!$E$9)*Basis!$E$11,0)</f>
        <v>352</v>
      </c>
      <c r="J1593" s="123">
        <f>IF(Basis!$E$1=1,ROUND(H1593/((TaH-TrH)*1.163)/3600,3),ROUND(H1593/(500*(TaH-TrH)),2))</f>
        <v>0.32</v>
      </c>
      <c r="K1593" s="84"/>
      <c r="L1593" s="177">
        <f>CHOOSE(Basis!$E$1,((AJ1593*(J1593*3600/Basis!$E$5)^AK1593*(((MID(C1593,9,3)*10)-144)/1000)*AL1593+AM1593*(J1593*3600/Basis!$E$5)^2)*0.0098)/Basis!$E$10,((AJ1593*(J1593/Basis!$E$5)^AK1593*(((MID(C1593,9,3)*10)-144)/1000)*AL1593+AM1593*(J1593/Basis!$E$5)^2)*0.0098)/Basis!$E$10)</f>
        <v>5.5440197293892629E-2</v>
      </c>
      <c r="M1593" s="85"/>
      <c r="N1593" s="109">
        <v>1.411</v>
      </c>
      <c r="O1593" s="68"/>
      <c r="P1593" s="67">
        <v>1509</v>
      </c>
      <c r="Q1593" s="68"/>
      <c r="R1593" s="69"/>
      <c r="S1593" s="69"/>
      <c r="T1593" s="69"/>
      <c r="U1593" s="69"/>
      <c r="V1593" s="69"/>
      <c r="W1593" s="68"/>
      <c r="X1593" s="70"/>
      <c r="Y1593" s="70"/>
      <c r="Z1593" s="70"/>
      <c r="AA1593" s="70"/>
      <c r="AB1593" s="70"/>
      <c r="AC1593" s="68"/>
      <c r="AD1593" s="71"/>
      <c r="AE1593" s="71"/>
      <c r="AF1593" s="71"/>
      <c r="AG1593" s="71"/>
      <c r="AH1593" s="71"/>
      <c r="AI1593" s="68"/>
      <c r="AJ1593" s="214">
        <v>4.1688828699999996E-3</v>
      </c>
      <c r="AK1593" s="214">
        <v>1.411581940642</v>
      </c>
      <c r="AL1593" s="214">
        <v>3</v>
      </c>
      <c r="AM1593" s="214">
        <v>5.4247339961626003E-4</v>
      </c>
      <c r="AN1593" s="68"/>
      <c r="AO1593" s="67"/>
      <c r="AP1593" s="67"/>
      <c r="AQ1593" s="67"/>
      <c r="AR1593" s="67"/>
      <c r="AS1593" s="67"/>
      <c r="AT1593" s="68"/>
      <c r="AU1593" s="49"/>
      <c r="AV1593" s="50"/>
    </row>
    <row r="1594" spans="1:48" ht="12.75" customHeight="1" x14ac:dyDescent="0.25">
      <c r="A1594" s="72" t="s">
        <v>883</v>
      </c>
      <c r="B1594" s="43" t="s">
        <v>1580</v>
      </c>
      <c r="C1594" s="44" t="s">
        <v>1750</v>
      </c>
      <c r="D1594" s="45">
        <f>MROUND(MID($C1594,6,3)/Basis!$E$3,0.5)</f>
        <v>9</v>
      </c>
      <c r="E1594" s="45">
        <f>MROUND(MID($C1594,9,3)/Basis!$E$3,0.5)</f>
        <v>110</v>
      </c>
      <c r="F1594" s="124" t="s">
        <v>2946</v>
      </c>
      <c r="G1594" s="45">
        <f>ROUND((MROUND($F1594,5)+3)/Basis!$E$3,1)</f>
        <v>5.0999999999999996</v>
      </c>
      <c r="H1594" s="120">
        <f>ROUND($P1594*Basis!$E$2*((TaH-TrH)/LN(1/µ)/Basis!$E$7)^$N1594*$AA$4*Glycol,0)</f>
        <v>5951</v>
      </c>
      <c r="I1594" s="83">
        <f>ROUND(H1594/(MID($C1594,9,3)/Basis!$E$3/Basis!$E$9)*Basis!$E$11,0)</f>
        <v>648</v>
      </c>
      <c r="J1594" s="123">
        <f>IF(Basis!$E$1=1,ROUND(H1594/((TaH-TrH)*1.163)/3600,3),ROUND(H1594/(500*(TaH-TrH)),2))</f>
        <v>0.6</v>
      </c>
      <c r="K1594" s="84"/>
      <c r="L1594" s="177">
        <f>CHOOSE(Basis!$E$1,((AJ1594*(J1594*3600/Basis!$E$5)^AK1594*(((MID(C1594,9,3)*10)-144)/1000)*AL1594+AM1594*(J1594*3600/Basis!$E$5)^2)*0.0098)/Basis!$E$10,((AJ1594*(J1594/Basis!$E$5)^AK1594*(((MID(C1594,9,3)*10)-144)/1000)*AL1594+AM1594*(J1594/Basis!$E$5)^2)*0.0098)/Basis!$E$10)</f>
        <v>0.10434816497540673</v>
      </c>
      <c r="M1594" s="85"/>
      <c r="N1594" s="109">
        <v>1.4410000000000001</v>
      </c>
      <c r="O1594" s="68"/>
      <c r="P1594" s="67">
        <v>2806</v>
      </c>
      <c r="Q1594" s="68"/>
      <c r="R1594" s="69"/>
      <c r="S1594" s="69"/>
      <c r="T1594" s="69"/>
      <c r="U1594" s="69"/>
      <c r="V1594" s="69"/>
      <c r="W1594" s="68"/>
      <c r="X1594" s="70"/>
      <c r="Y1594" s="70"/>
      <c r="Z1594" s="70"/>
      <c r="AA1594" s="70"/>
      <c r="AB1594" s="70"/>
      <c r="AC1594" s="68"/>
      <c r="AD1594" s="71"/>
      <c r="AE1594" s="71"/>
      <c r="AF1594" s="71"/>
      <c r="AG1594" s="71"/>
      <c r="AH1594" s="71"/>
      <c r="AI1594" s="68"/>
      <c r="AJ1594" s="214">
        <v>3.9689999999999994E-4</v>
      </c>
      <c r="AK1594" s="214">
        <v>1.7345999999999999</v>
      </c>
      <c r="AL1594" s="214">
        <v>4</v>
      </c>
      <c r="AM1594" s="214">
        <v>5.7428799999999995E-4</v>
      </c>
      <c r="AN1594" s="68"/>
      <c r="AO1594" s="67"/>
      <c r="AP1594" s="67"/>
      <c r="AQ1594" s="67"/>
      <c r="AR1594" s="67"/>
      <c r="AS1594" s="67"/>
      <c r="AT1594" s="68"/>
      <c r="AU1594" s="49"/>
      <c r="AV1594" s="50"/>
    </row>
    <row r="1595" spans="1:48" ht="12.75" customHeight="1" x14ac:dyDescent="0.25">
      <c r="A1595" s="72" t="s">
        <v>883</v>
      </c>
      <c r="B1595" s="43" t="s">
        <v>1580</v>
      </c>
      <c r="C1595" s="44" t="s">
        <v>1751</v>
      </c>
      <c r="D1595" s="45">
        <f>MROUND(MID($C1595,6,3)/Basis!$E$3,0.5)</f>
        <v>9</v>
      </c>
      <c r="E1595" s="45">
        <f>MROUND(MID($C1595,9,3)/Basis!$E$3,0.5)</f>
        <v>110</v>
      </c>
      <c r="F1595" s="124" t="s">
        <v>2947</v>
      </c>
      <c r="G1595" s="45">
        <f>ROUND((MROUND($F1595,5)+3)/Basis!$E$3,1)</f>
        <v>7.1</v>
      </c>
      <c r="H1595" s="120">
        <f>ROUND($P1595*Basis!$E$2*((TaH-TrH)/LN(1/µ)/Basis!$E$7)^$N1595*$AA$4*Glycol,0)</f>
        <v>7735</v>
      </c>
      <c r="I1595" s="83">
        <f>ROUND(H1595/(MID($C1595,9,3)/Basis!$E$3/Basis!$E$9)*Basis!$E$11,0)</f>
        <v>842</v>
      </c>
      <c r="J1595" s="123">
        <f>IF(Basis!$E$1=1,ROUND(H1595/((TaH-TrH)*1.163)/3600,3),ROUND(H1595/(500*(TaH-TrH)),2))</f>
        <v>0.77</v>
      </c>
      <c r="K1595" s="84"/>
      <c r="L1595" s="177">
        <f>CHOOSE(Basis!$E$1,((AJ1595*(J1595*3600/Basis!$E$5)^AK1595*(((MID(C1595,9,3)*10)-144)/1000)*AL1595+AM1595*(J1595*3600/Basis!$E$5)^2)*0.0098)/Basis!$E$10,((AJ1595*(J1595/Basis!$E$5)^AK1595*(((MID(C1595,9,3)*10)-144)/1000)*AL1595+AM1595*(J1595/Basis!$E$5)^2)*0.0098)/Basis!$E$10)</f>
        <v>0.1924966425296871</v>
      </c>
      <c r="M1595" s="85"/>
      <c r="N1595" s="109">
        <v>1.4530000000000001</v>
      </c>
      <c r="O1595" s="68"/>
      <c r="P1595" s="67">
        <v>3662</v>
      </c>
      <c r="Q1595" s="68"/>
      <c r="R1595" s="69"/>
      <c r="S1595" s="69"/>
      <c r="T1595" s="69"/>
      <c r="U1595" s="69"/>
      <c r="V1595" s="69"/>
      <c r="W1595" s="68"/>
      <c r="X1595" s="70"/>
      <c r="Y1595" s="70"/>
      <c r="Z1595" s="70"/>
      <c r="AA1595" s="70"/>
      <c r="AB1595" s="70"/>
      <c r="AC1595" s="68"/>
      <c r="AD1595" s="71"/>
      <c r="AE1595" s="71"/>
      <c r="AF1595" s="71"/>
      <c r="AG1595" s="71"/>
      <c r="AH1595" s="71"/>
      <c r="AI1595" s="68"/>
      <c r="AJ1595" s="214">
        <v>2.0829999999999999E-4</v>
      </c>
      <c r="AK1595" s="214">
        <v>1.724</v>
      </c>
      <c r="AL1595" s="214">
        <v>4</v>
      </c>
      <c r="AM1595" s="214">
        <v>1.392796E-3</v>
      </c>
      <c r="AN1595" s="68"/>
      <c r="AO1595" s="67"/>
      <c r="AP1595" s="67"/>
      <c r="AQ1595" s="67"/>
      <c r="AR1595" s="67"/>
      <c r="AS1595" s="67"/>
      <c r="AT1595" s="68"/>
      <c r="AU1595" s="49"/>
      <c r="AV1595" s="50"/>
    </row>
    <row r="1596" spans="1:48" ht="12.75" customHeight="1" x14ac:dyDescent="0.25">
      <c r="A1596" s="72" t="s">
        <v>883</v>
      </c>
      <c r="B1596" s="43" t="s">
        <v>1580</v>
      </c>
      <c r="C1596" s="44" t="s">
        <v>1752</v>
      </c>
      <c r="D1596" s="45">
        <f>MROUND(MID($C1596,6,3)/Basis!$E$3,0.5)</f>
        <v>9</v>
      </c>
      <c r="E1596" s="45">
        <f>MROUND(MID($C1596,9,3)/Basis!$E$3,0.5)</f>
        <v>110</v>
      </c>
      <c r="F1596" s="124" t="s">
        <v>2948</v>
      </c>
      <c r="G1596" s="45">
        <f>ROUND((MROUND($F1596,5)+3)/Basis!$E$3,1)</f>
        <v>9.1</v>
      </c>
      <c r="H1596" s="120">
        <f>ROUND($P1596*Basis!$E$2*((TaH-TrH)/LN(1/µ)/Basis!$E$7)^$N1596*$AA$4*Glycol,0)</f>
        <v>10028</v>
      </c>
      <c r="I1596" s="83">
        <f>ROUND(H1596/(MID($C1596,9,3)/Basis!$E$3/Basis!$E$9)*Basis!$E$11,0)</f>
        <v>1092</v>
      </c>
      <c r="J1596" s="123">
        <f>IF(Basis!$E$1=1,ROUND(H1596/((TaH-TrH)*1.163)/3600,3),ROUND(H1596/(500*(TaH-TrH)),2))</f>
        <v>1</v>
      </c>
      <c r="K1596" s="84"/>
      <c r="L1596" s="177">
        <f>CHOOSE(Basis!$E$1,((AJ1596*(J1596*3600/Basis!$E$5)^AK1596*(((MID(C1596,9,3)*10)-144)/1000)*AL1596+AM1596*(J1596*3600/Basis!$E$5)^2)*0.0098)/Basis!$E$10,((AJ1596*(J1596/Basis!$E$5)^AK1596*(((MID(C1596,9,3)*10)-144)/1000)*AL1596+AM1596*(J1596/Basis!$E$5)^2)*0.0098)/Basis!$E$10)</f>
        <v>0.13730149868910305</v>
      </c>
      <c r="M1596" s="85"/>
      <c r="N1596" s="109">
        <v>1.4630000000000001</v>
      </c>
      <c r="O1596" s="68"/>
      <c r="P1596" s="67">
        <v>4763</v>
      </c>
      <c r="Q1596" s="68"/>
      <c r="R1596" s="69"/>
      <c r="S1596" s="69"/>
      <c r="T1596" s="69"/>
      <c r="U1596" s="69"/>
      <c r="V1596" s="69"/>
      <c r="W1596" s="68"/>
      <c r="X1596" s="70"/>
      <c r="Y1596" s="70"/>
      <c r="Z1596" s="70"/>
      <c r="AA1596" s="70"/>
      <c r="AB1596" s="70"/>
      <c r="AC1596" s="68"/>
      <c r="AD1596" s="71"/>
      <c r="AE1596" s="71"/>
      <c r="AF1596" s="71"/>
      <c r="AG1596" s="71"/>
      <c r="AH1596" s="71"/>
      <c r="AI1596" s="68"/>
      <c r="AJ1596" s="214">
        <v>1.2760000000000001E-4</v>
      </c>
      <c r="AK1596" s="214">
        <v>1.7219</v>
      </c>
      <c r="AL1596" s="214">
        <v>4</v>
      </c>
      <c r="AM1596" s="214">
        <v>5.1420100000000005E-4</v>
      </c>
      <c r="AN1596" s="68"/>
      <c r="AO1596" s="67"/>
      <c r="AP1596" s="67"/>
      <c r="AQ1596" s="67"/>
      <c r="AR1596" s="67"/>
      <c r="AS1596" s="67"/>
      <c r="AT1596" s="68"/>
      <c r="AU1596" s="49"/>
      <c r="AV1596" s="50"/>
    </row>
    <row r="1597" spans="1:48" ht="12.75" customHeight="1" x14ac:dyDescent="0.25">
      <c r="A1597" s="72" t="s">
        <v>883</v>
      </c>
      <c r="B1597" s="43" t="s">
        <v>1580</v>
      </c>
      <c r="C1597" s="44" t="s">
        <v>1753</v>
      </c>
      <c r="D1597" s="45">
        <f>MROUND(MID($C1597,6,3)/Basis!$E$3,0.5)</f>
        <v>9</v>
      </c>
      <c r="E1597" s="45">
        <f>MROUND(MID($C1597,9,3)/Basis!$E$3,0.5)</f>
        <v>118</v>
      </c>
      <c r="F1597" s="124" t="s">
        <v>2949</v>
      </c>
      <c r="G1597" s="45">
        <f>ROUND((MROUND($F1597,5)+3)/Basis!$E$3,1)</f>
        <v>3.1</v>
      </c>
      <c r="H1597" s="120">
        <f>ROUND($P1597*Basis!$E$2*((TaH-TrH)/LN(1/µ)/Basis!$E$7)^$N1597*$AA$4*Glycol,0)</f>
        <v>3463</v>
      </c>
      <c r="I1597" s="83">
        <f>ROUND(H1597/(MID($C1597,9,3)/Basis!$E$3/Basis!$E$9)*Basis!$E$11,0)</f>
        <v>352</v>
      </c>
      <c r="J1597" s="123">
        <f>IF(Basis!$E$1=1,ROUND(H1597/((TaH-TrH)*1.163)/3600,3),ROUND(H1597/(500*(TaH-TrH)),2))</f>
        <v>0.35</v>
      </c>
      <c r="K1597" s="84"/>
      <c r="L1597" s="177">
        <f>CHOOSE(Basis!$E$1,((AJ1597*(J1597*3600/Basis!$E$5)^AK1597*(((MID(C1597,9,3)*10)-144)/1000)*AL1597+AM1597*(J1597*3600/Basis!$E$5)^2)*0.0098)/Basis!$E$10,((AJ1597*(J1597/Basis!$E$5)^AK1597*(((MID(C1597,9,3)*10)-144)/1000)*AL1597+AM1597*(J1597/Basis!$E$5)^2)*0.0098)/Basis!$E$10)</f>
        <v>6.742864538829374E-2</v>
      </c>
      <c r="M1597" s="85"/>
      <c r="N1597" s="109">
        <v>1.411</v>
      </c>
      <c r="O1597" s="68"/>
      <c r="P1597" s="67">
        <v>1617</v>
      </c>
      <c r="Q1597" s="68"/>
      <c r="R1597" s="69"/>
      <c r="S1597" s="69"/>
      <c r="T1597" s="69"/>
      <c r="U1597" s="69"/>
      <c r="V1597" s="69"/>
      <c r="W1597" s="68"/>
      <c r="X1597" s="70"/>
      <c r="Y1597" s="70"/>
      <c r="Z1597" s="70"/>
      <c r="AA1597" s="70"/>
      <c r="AB1597" s="70"/>
      <c r="AC1597" s="68"/>
      <c r="AD1597" s="71"/>
      <c r="AE1597" s="71"/>
      <c r="AF1597" s="71"/>
      <c r="AG1597" s="71"/>
      <c r="AH1597" s="71"/>
      <c r="AI1597" s="68"/>
      <c r="AJ1597" s="214">
        <v>4.1688828699999996E-3</v>
      </c>
      <c r="AK1597" s="214">
        <v>1.411581940642</v>
      </c>
      <c r="AL1597" s="214">
        <v>3</v>
      </c>
      <c r="AM1597" s="214">
        <v>5.4247339961626003E-4</v>
      </c>
      <c r="AN1597" s="68"/>
      <c r="AO1597" s="67"/>
      <c r="AP1597" s="67"/>
      <c r="AQ1597" s="67"/>
      <c r="AR1597" s="67"/>
      <c r="AS1597" s="67"/>
      <c r="AT1597" s="68"/>
      <c r="AU1597" s="49"/>
      <c r="AV1597" s="50"/>
    </row>
    <row r="1598" spans="1:48" ht="12.75" customHeight="1" x14ac:dyDescent="0.25">
      <c r="A1598" s="72" t="s">
        <v>883</v>
      </c>
      <c r="B1598" s="43" t="s">
        <v>1580</v>
      </c>
      <c r="C1598" s="44" t="s">
        <v>1754</v>
      </c>
      <c r="D1598" s="45">
        <f>MROUND(MID($C1598,6,3)/Basis!$E$3,0.5)</f>
        <v>9</v>
      </c>
      <c r="E1598" s="45">
        <f>MROUND(MID($C1598,9,3)/Basis!$E$3,0.5)</f>
        <v>118</v>
      </c>
      <c r="F1598" s="124" t="s">
        <v>2946</v>
      </c>
      <c r="G1598" s="45">
        <f>ROUND((MROUND($F1598,5)+3)/Basis!$E$3,1)</f>
        <v>5.0999999999999996</v>
      </c>
      <c r="H1598" s="120">
        <f>ROUND($P1598*Basis!$E$2*((TaH-TrH)/LN(1/µ)/Basis!$E$7)^$N1598*$AA$4*Glycol,0)</f>
        <v>6375</v>
      </c>
      <c r="I1598" s="83">
        <f>ROUND(H1598/(MID($C1598,9,3)/Basis!$E$3/Basis!$E$9)*Basis!$E$11,0)</f>
        <v>648</v>
      </c>
      <c r="J1598" s="123">
        <f>IF(Basis!$E$1=1,ROUND(H1598/((TaH-TrH)*1.163)/3600,3),ROUND(H1598/(500*(TaH-TrH)),2))</f>
        <v>0.64</v>
      </c>
      <c r="K1598" s="84"/>
      <c r="L1598" s="177">
        <f>CHOOSE(Basis!$E$1,((AJ1598*(J1598*3600/Basis!$E$5)^AK1598*(((MID(C1598,9,3)*10)-144)/1000)*AL1598+AM1598*(J1598*3600/Basis!$E$5)^2)*0.0098)/Basis!$E$10,((AJ1598*(J1598/Basis!$E$5)^AK1598*(((MID(C1598,9,3)*10)-144)/1000)*AL1598+AM1598*(J1598/Basis!$E$5)^2)*0.0098)/Basis!$E$10)</f>
        <v>0.12323395906337381</v>
      </c>
      <c r="M1598" s="85"/>
      <c r="N1598" s="109">
        <v>1.4410000000000001</v>
      </c>
      <c r="O1598" s="68"/>
      <c r="P1598" s="67">
        <v>3006</v>
      </c>
      <c r="Q1598" s="68"/>
      <c r="R1598" s="69"/>
      <c r="S1598" s="69"/>
      <c r="T1598" s="69"/>
      <c r="U1598" s="69"/>
      <c r="V1598" s="69"/>
      <c r="W1598" s="68"/>
      <c r="X1598" s="70"/>
      <c r="Y1598" s="70"/>
      <c r="Z1598" s="70"/>
      <c r="AA1598" s="70"/>
      <c r="AB1598" s="70"/>
      <c r="AC1598" s="68"/>
      <c r="AD1598" s="71"/>
      <c r="AE1598" s="71"/>
      <c r="AF1598" s="71"/>
      <c r="AG1598" s="71"/>
      <c r="AH1598" s="71"/>
      <c r="AI1598" s="68"/>
      <c r="AJ1598" s="214">
        <v>3.9689999999999994E-4</v>
      </c>
      <c r="AK1598" s="214">
        <v>1.7345999999999999</v>
      </c>
      <c r="AL1598" s="214">
        <v>4</v>
      </c>
      <c r="AM1598" s="214">
        <v>5.7428799999999995E-4</v>
      </c>
      <c r="AN1598" s="68"/>
      <c r="AO1598" s="67"/>
      <c r="AP1598" s="67"/>
      <c r="AQ1598" s="67"/>
      <c r="AR1598" s="67"/>
      <c r="AS1598" s="67"/>
      <c r="AT1598" s="68"/>
      <c r="AU1598" s="49"/>
      <c r="AV1598" s="50"/>
    </row>
    <row r="1599" spans="1:48" ht="12.75" customHeight="1" x14ac:dyDescent="0.25">
      <c r="A1599" s="72" t="s">
        <v>883</v>
      </c>
      <c r="B1599" s="43" t="s">
        <v>1580</v>
      </c>
      <c r="C1599" s="44" t="s">
        <v>1755</v>
      </c>
      <c r="D1599" s="45">
        <f>MROUND(MID($C1599,6,3)/Basis!$E$3,0.5)</f>
        <v>9</v>
      </c>
      <c r="E1599" s="45">
        <f>MROUND(MID($C1599,9,3)/Basis!$E$3,0.5)</f>
        <v>118</v>
      </c>
      <c r="F1599" s="124" t="s">
        <v>2947</v>
      </c>
      <c r="G1599" s="45">
        <f>ROUND((MROUND($F1599,5)+3)/Basis!$E$3,1)</f>
        <v>7.1</v>
      </c>
      <c r="H1599" s="120">
        <f>ROUND($P1599*Basis!$E$2*((TaH-TrH)/LN(1/µ)/Basis!$E$7)^$N1599*$AA$4*Glycol,0)</f>
        <v>8289</v>
      </c>
      <c r="I1599" s="83">
        <f>ROUND(H1599/(MID($C1599,9,3)/Basis!$E$3/Basis!$E$9)*Basis!$E$11,0)</f>
        <v>842</v>
      </c>
      <c r="J1599" s="123">
        <f>IF(Basis!$E$1=1,ROUND(H1599/((TaH-TrH)*1.163)/3600,3),ROUND(H1599/(500*(TaH-TrH)),2))</f>
        <v>0.83</v>
      </c>
      <c r="K1599" s="84"/>
      <c r="L1599" s="177">
        <f>CHOOSE(Basis!$E$1,((AJ1599*(J1599*3600/Basis!$E$5)^AK1599*(((MID(C1599,9,3)*10)-144)/1000)*AL1599+AM1599*(J1599*3600/Basis!$E$5)^2)*0.0098)/Basis!$E$10,((AJ1599*(J1599/Basis!$E$5)^AK1599*(((MID(C1599,9,3)*10)-144)/1000)*AL1599+AM1599*(J1599/Basis!$E$5)^2)*0.0098)/Basis!$E$10)</f>
        <v>0.22695787369449213</v>
      </c>
      <c r="M1599" s="85"/>
      <c r="N1599" s="109">
        <v>1.4530000000000001</v>
      </c>
      <c r="O1599" s="68"/>
      <c r="P1599" s="67">
        <v>3924</v>
      </c>
      <c r="Q1599" s="68"/>
      <c r="R1599" s="69"/>
      <c r="S1599" s="69"/>
      <c r="T1599" s="69"/>
      <c r="U1599" s="69"/>
      <c r="V1599" s="69"/>
      <c r="W1599" s="68"/>
      <c r="X1599" s="70"/>
      <c r="Y1599" s="70"/>
      <c r="Z1599" s="70"/>
      <c r="AA1599" s="70"/>
      <c r="AB1599" s="70"/>
      <c r="AC1599" s="68"/>
      <c r="AD1599" s="71"/>
      <c r="AE1599" s="71"/>
      <c r="AF1599" s="71"/>
      <c r="AG1599" s="71"/>
      <c r="AH1599" s="71"/>
      <c r="AI1599" s="68"/>
      <c r="AJ1599" s="214">
        <v>2.0829999999999999E-4</v>
      </c>
      <c r="AK1599" s="214">
        <v>1.724</v>
      </c>
      <c r="AL1599" s="214">
        <v>4</v>
      </c>
      <c r="AM1599" s="214">
        <v>1.392796E-3</v>
      </c>
      <c r="AN1599" s="68"/>
      <c r="AO1599" s="67"/>
      <c r="AP1599" s="67"/>
      <c r="AQ1599" s="67"/>
      <c r="AR1599" s="67"/>
      <c r="AS1599" s="67"/>
      <c r="AT1599" s="68"/>
      <c r="AU1599" s="49"/>
      <c r="AV1599" s="50"/>
    </row>
    <row r="1600" spans="1:48" ht="12.75" customHeight="1" x14ac:dyDescent="0.25">
      <c r="A1600" s="72" t="s">
        <v>883</v>
      </c>
      <c r="B1600" s="43" t="s">
        <v>1580</v>
      </c>
      <c r="C1600" s="44" t="s">
        <v>1756</v>
      </c>
      <c r="D1600" s="45">
        <f>MROUND(MID($C1600,6,3)/Basis!$E$3,0.5)</f>
        <v>9</v>
      </c>
      <c r="E1600" s="45">
        <f>MROUND(MID($C1600,9,3)/Basis!$E$3,0.5)</f>
        <v>118</v>
      </c>
      <c r="F1600" s="124" t="s">
        <v>2948</v>
      </c>
      <c r="G1600" s="45">
        <f>ROUND((MROUND($F1600,5)+3)/Basis!$E$3,1)</f>
        <v>9.1</v>
      </c>
      <c r="H1600" s="120">
        <f>ROUND($P1600*Basis!$E$2*((TaH-TrH)/LN(1/µ)/Basis!$E$7)^$N1600*$AA$4*Glycol,0)</f>
        <v>10744</v>
      </c>
      <c r="I1600" s="83">
        <f>ROUND(H1600/(MID($C1600,9,3)/Basis!$E$3/Basis!$E$9)*Basis!$E$11,0)</f>
        <v>1092</v>
      </c>
      <c r="J1600" s="123">
        <f>IF(Basis!$E$1=1,ROUND(H1600/((TaH-TrH)*1.163)/3600,3),ROUND(H1600/(500*(TaH-TrH)),2))</f>
        <v>1.07</v>
      </c>
      <c r="K1600" s="84"/>
      <c r="L1600" s="177">
        <f>CHOOSE(Basis!$E$1,((AJ1600*(J1600*3600/Basis!$E$5)^AK1600*(((MID(C1600,9,3)*10)-144)/1000)*AL1600+AM1600*(J1600*3600/Basis!$E$5)^2)*0.0098)/Basis!$E$10,((AJ1600*(J1600/Basis!$E$5)^AK1600*(((MID(C1600,9,3)*10)-144)/1000)*AL1600+AM1600*(J1600/Basis!$E$5)^2)*0.0098)/Basis!$E$10)</f>
        <v>0.16039584552880451</v>
      </c>
      <c r="M1600" s="85"/>
      <c r="N1600" s="109">
        <v>1.4630000000000001</v>
      </c>
      <c r="O1600" s="68"/>
      <c r="P1600" s="67">
        <v>5103</v>
      </c>
      <c r="Q1600" s="68"/>
      <c r="R1600" s="69"/>
      <c r="S1600" s="69"/>
      <c r="T1600" s="69"/>
      <c r="U1600" s="69"/>
      <c r="V1600" s="69"/>
      <c r="W1600" s="68"/>
      <c r="X1600" s="70"/>
      <c r="Y1600" s="70"/>
      <c r="Z1600" s="70"/>
      <c r="AA1600" s="70"/>
      <c r="AB1600" s="70"/>
      <c r="AC1600" s="68"/>
      <c r="AD1600" s="71"/>
      <c r="AE1600" s="71"/>
      <c r="AF1600" s="71"/>
      <c r="AG1600" s="71"/>
      <c r="AH1600" s="71"/>
      <c r="AI1600" s="68"/>
      <c r="AJ1600" s="214">
        <v>1.2760000000000001E-4</v>
      </c>
      <c r="AK1600" s="214">
        <v>1.7219</v>
      </c>
      <c r="AL1600" s="214">
        <v>4</v>
      </c>
      <c r="AM1600" s="214">
        <v>5.1420100000000005E-4</v>
      </c>
      <c r="AN1600" s="68"/>
      <c r="AO1600" s="67"/>
      <c r="AP1600" s="67"/>
      <c r="AQ1600" s="67"/>
      <c r="AR1600" s="67"/>
      <c r="AS1600" s="67"/>
      <c r="AT1600" s="68"/>
      <c r="AU1600" s="49"/>
      <c r="AV1600" s="50"/>
    </row>
    <row r="1601" spans="1:48" ht="12.75" customHeight="1" x14ac:dyDescent="0.25">
      <c r="A1601" s="72" t="s">
        <v>883</v>
      </c>
      <c r="B1601" s="43" t="s">
        <v>1580</v>
      </c>
      <c r="C1601" s="44" t="s">
        <v>1757</v>
      </c>
      <c r="D1601" s="45">
        <f>MROUND(MID($C1601,6,3)/Basis!$E$3,0.5)</f>
        <v>11</v>
      </c>
      <c r="E1601" s="45">
        <f>MROUND(MID($C1601,9,3)/Basis!$E$3,0.5)</f>
        <v>23.5</v>
      </c>
      <c r="F1601" s="124" t="s">
        <v>2949</v>
      </c>
      <c r="G1601" s="45">
        <f>ROUND((MROUND($F1601,5)+3)/Basis!$E$3,1)</f>
        <v>3.1</v>
      </c>
      <c r="H1601" s="120">
        <f>ROUND($P1601*Basis!$E$2*((TaH-TrH)/LN(1/µ)/Basis!$E$7)^$N1601*$AA$4*Glycol,0)</f>
        <v>734</v>
      </c>
      <c r="I1601" s="83">
        <f>ROUND(H1601/(MID($C1601,9,3)/Basis!$E$3/Basis!$E$9)*Basis!$E$11,0)</f>
        <v>373</v>
      </c>
      <c r="J1601" s="123">
        <f>IF(Basis!$E$1=1,ROUND(H1601/((TaH-TrH)*1.163)/3600,3),ROUND(H1601/(500*(TaH-TrH)),2))</f>
        <v>7.0000000000000007E-2</v>
      </c>
      <c r="K1601" s="84"/>
      <c r="L1601" s="177">
        <f>CHOOSE(Basis!$E$1,((AJ1601*(J1601*3600/Basis!$E$5)^AK1601*(((MID(C1601,9,3)*10)-144)/1000)*AL1601+AM1601*(J1601*3600/Basis!$E$5)^2)*0.0098)/Basis!$E$10,((AJ1601*(J1601/Basis!$E$5)^AK1601*(((MID(C1601,9,3)*10)-144)/1000)*AL1601+AM1601*(J1601/Basis!$E$5)^2)*0.0098)/Basis!$E$10)</f>
        <v>1.3739895470624315E-3</v>
      </c>
      <c r="M1601" s="85"/>
      <c r="N1601" s="109">
        <v>1.403</v>
      </c>
      <c r="O1601" s="68"/>
      <c r="P1601" s="67">
        <v>342</v>
      </c>
      <c r="Q1601" s="68"/>
      <c r="R1601" s="69"/>
      <c r="S1601" s="69"/>
      <c r="T1601" s="69"/>
      <c r="U1601" s="69"/>
      <c r="V1601" s="69"/>
      <c r="W1601" s="68"/>
      <c r="X1601" s="70"/>
      <c r="Y1601" s="70"/>
      <c r="Z1601" s="70"/>
      <c r="AA1601" s="70"/>
      <c r="AB1601" s="70"/>
      <c r="AC1601" s="68"/>
      <c r="AD1601" s="71"/>
      <c r="AE1601" s="71"/>
      <c r="AF1601" s="71"/>
      <c r="AG1601" s="71"/>
      <c r="AH1601" s="71"/>
      <c r="AI1601" s="68"/>
      <c r="AJ1601" s="214">
        <v>4.1688828699999996E-3</v>
      </c>
      <c r="AK1601" s="214">
        <v>1.411581940642</v>
      </c>
      <c r="AL1601" s="214">
        <v>3</v>
      </c>
      <c r="AM1601" s="214">
        <v>5.4247339961626003E-4</v>
      </c>
      <c r="AN1601" s="68"/>
      <c r="AO1601" s="67"/>
      <c r="AP1601" s="67"/>
      <c r="AQ1601" s="67"/>
      <c r="AR1601" s="67"/>
      <c r="AS1601" s="67"/>
      <c r="AT1601" s="68"/>
      <c r="AU1601" s="49"/>
      <c r="AV1601" s="50"/>
    </row>
    <row r="1602" spans="1:48" ht="12.75" customHeight="1" x14ac:dyDescent="0.25">
      <c r="A1602" s="72" t="s">
        <v>883</v>
      </c>
      <c r="B1602" s="43" t="s">
        <v>1580</v>
      </c>
      <c r="C1602" s="44" t="s">
        <v>1758</v>
      </c>
      <c r="D1602" s="45">
        <f>MROUND(MID($C1602,6,3)/Basis!$E$3,0.5)</f>
        <v>11</v>
      </c>
      <c r="E1602" s="45">
        <f>MROUND(MID($C1602,9,3)/Basis!$E$3,0.5)</f>
        <v>23.5</v>
      </c>
      <c r="F1602" s="124" t="s">
        <v>2946</v>
      </c>
      <c r="G1602" s="45">
        <f>ROUND((MROUND($F1602,5)+3)/Basis!$E$3,1)</f>
        <v>5.0999999999999996</v>
      </c>
      <c r="H1602" s="120">
        <f>ROUND($P1602*Basis!$E$2*((TaH-TrH)/LN(1/µ)/Basis!$E$7)^$N1602*$AA$4*Glycol,0)</f>
        <v>1385</v>
      </c>
      <c r="I1602" s="83">
        <f>ROUND(H1602/(MID($C1602,9,3)/Basis!$E$3/Basis!$E$9)*Basis!$E$11,0)</f>
        <v>704</v>
      </c>
      <c r="J1602" s="123">
        <f>IF(Basis!$E$1=1,ROUND(H1602/((TaH-TrH)*1.163)/3600,3),ROUND(H1602/(500*(TaH-TrH)),2))</f>
        <v>0.14000000000000001</v>
      </c>
      <c r="K1602" s="84"/>
      <c r="L1602" s="177">
        <f>CHOOSE(Basis!$E$1,((AJ1602*(J1602*3600/Basis!$E$5)^AK1602*(((MID(C1602,9,3)*10)-144)/1000)*AL1602+AM1602*(J1602*3600/Basis!$E$5)^2)*0.0098)/Basis!$E$10,((AJ1602*(J1602/Basis!$E$5)^AK1602*(((MID(C1602,9,3)*10)-144)/1000)*AL1602+AM1602*(J1602/Basis!$E$5)^2)*0.0098)/Basis!$E$10)</f>
        <v>2.8541407171271639E-3</v>
      </c>
      <c r="M1602" s="85"/>
      <c r="N1602" s="109">
        <v>1.4410000000000001</v>
      </c>
      <c r="O1602" s="68"/>
      <c r="P1602" s="67">
        <v>653</v>
      </c>
      <c r="Q1602" s="68"/>
      <c r="R1602" s="69"/>
      <c r="S1602" s="69"/>
      <c r="T1602" s="69"/>
      <c r="U1602" s="69"/>
      <c r="V1602" s="69"/>
      <c r="W1602" s="68"/>
      <c r="X1602" s="70"/>
      <c r="Y1602" s="70"/>
      <c r="Z1602" s="70"/>
      <c r="AA1602" s="70"/>
      <c r="AB1602" s="70"/>
      <c r="AC1602" s="68"/>
      <c r="AD1602" s="71"/>
      <c r="AE1602" s="71"/>
      <c r="AF1602" s="71"/>
      <c r="AG1602" s="71"/>
      <c r="AH1602" s="71"/>
      <c r="AI1602" s="68"/>
      <c r="AJ1602" s="214">
        <v>3.9689999999999994E-4</v>
      </c>
      <c r="AK1602" s="214">
        <v>1.7345999999999999</v>
      </c>
      <c r="AL1602" s="214">
        <v>4</v>
      </c>
      <c r="AM1602" s="214">
        <v>5.7428799999999995E-4</v>
      </c>
      <c r="AN1602" s="68"/>
      <c r="AO1602" s="67"/>
      <c r="AP1602" s="67"/>
      <c r="AQ1602" s="67"/>
      <c r="AR1602" s="67"/>
      <c r="AS1602" s="67"/>
      <c r="AT1602" s="68"/>
      <c r="AU1602" s="49"/>
      <c r="AV1602" s="50"/>
    </row>
    <row r="1603" spans="1:48" ht="12.75" customHeight="1" x14ac:dyDescent="0.25">
      <c r="A1603" s="72" t="s">
        <v>883</v>
      </c>
      <c r="B1603" s="43" t="s">
        <v>1580</v>
      </c>
      <c r="C1603" s="44" t="s">
        <v>1759</v>
      </c>
      <c r="D1603" s="45">
        <f>MROUND(MID($C1603,6,3)/Basis!$E$3,0.5)</f>
        <v>11</v>
      </c>
      <c r="E1603" s="45">
        <f>MROUND(MID($C1603,9,3)/Basis!$E$3,0.5)</f>
        <v>23.5</v>
      </c>
      <c r="F1603" s="124" t="s">
        <v>2947</v>
      </c>
      <c r="G1603" s="45">
        <f>ROUND((MROUND($F1603,5)+3)/Basis!$E$3,1)</f>
        <v>7.1</v>
      </c>
      <c r="H1603" s="120">
        <f>ROUND($P1603*Basis!$E$2*((TaH-TrH)/LN(1/µ)/Basis!$E$7)^$N1603*$AA$4*Glycol,0)</f>
        <v>1815</v>
      </c>
      <c r="I1603" s="83">
        <f>ROUND(H1603/(MID($C1603,9,3)/Basis!$E$3/Basis!$E$9)*Basis!$E$11,0)</f>
        <v>922</v>
      </c>
      <c r="J1603" s="123">
        <f>IF(Basis!$E$1=1,ROUND(H1603/((TaH-TrH)*1.163)/3600,3),ROUND(H1603/(500*(TaH-TrH)),2))</f>
        <v>0.18</v>
      </c>
      <c r="K1603" s="84"/>
      <c r="L1603" s="177">
        <f>CHOOSE(Basis!$E$1,((AJ1603*(J1603*3600/Basis!$E$5)^AK1603*(((MID(C1603,9,3)*10)-144)/1000)*AL1603+AM1603*(J1603*3600/Basis!$E$5)^2)*0.0098)/Basis!$E$10,((AJ1603*(J1603/Basis!$E$5)^AK1603*(((MID(C1603,9,3)*10)-144)/1000)*AL1603+AM1603*(J1603/Basis!$E$5)^2)*0.0098)/Basis!$E$10)</f>
        <v>8.3571221726684141E-3</v>
      </c>
      <c r="M1603" s="85"/>
      <c r="N1603" s="109">
        <v>1.4550000000000001</v>
      </c>
      <c r="O1603" s="68"/>
      <c r="P1603" s="67">
        <v>860</v>
      </c>
      <c r="Q1603" s="68"/>
      <c r="R1603" s="69"/>
      <c r="S1603" s="69"/>
      <c r="T1603" s="69"/>
      <c r="U1603" s="69"/>
      <c r="V1603" s="69"/>
      <c r="W1603" s="68"/>
      <c r="X1603" s="70"/>
      <c r="Y1603" s="70"/>
      <c r="Z1603" s="70"/>
      <c r="AA1603" s="70"/>
      <c r="AB1603" s="70"/>
      <c r="AC1603" s="68"/>
      <c r="AD1603" s="71"/>
      <c r="AE1603" s="71"/>
      <c r="AF1603" s="71"/>
      <c r="AG1603" s="71"/>
      <c r="AH1603" s="71"/>
      <c r="AI1603" s="68"/>
      <c r="AJ1603" s="214">
        <v>2.0829999999999999E-4</v>
      </c>
      <c r="AK1603" s="214">
        <v>1.724</v>
      </c>
      <c r="AL1603" s="214">
        <v>4</v>
      </c>
      <c r="AM1603" s="214">
        <v>1.392796E-3</v>
      </c>
      <c r="AN1603" s="68"/>
      <c r="AO1603" s="67"/>
      <c r="AP1603" s="67"/>
      <c r="AQ1603" s="67"/>
      <c r="AR1603" s="67"/>
      <c r="AS1603" s="67"/>
      <c r="AT1603" s="68"/>
      <c r="AU1603" s="49"/>
      <c r="AV1603" s="50"/>
    </row>
    <row r="1604" spans="1:48" ht="12.75" customHeight="1" x14ac:dyDescent="0.25">
      <c r="A1604" s="72" t="s">
        <v>883</v>
      </c>
      <c r="B1604" s="43" t="s">
        <v>1580</v>
      </c>
      <c r="C1604" s="44" t="s">
        <v>1760</v>
      </c>
      <c r="D1604" s="45">
        <f>MROUND(MID($C1604,6,3)/Basis!$E$3,0.5)</f>
        <v>11</v>
      </c>
      <c r="E1604" s="45">
        <f>MROUND(MID($C1604,9,3)/Basis!$E$3,0.5)</f>
        <v>23.5</v>
      </c>
      <c r="F1604" s="124" t="s">
        <v>2948</v>
      </c>
      <c r="G1604" s="45">
        <f>ROUND((MROUND($F1604,5)+3)/Basis!$E$3,1)</f>
        <v>9.1</v>
      </c>
      <c r="H1604" s="120">
        <f>ROUND($P1604*Basis!$E$2*((TaH-TrH)/LN(1/µ)/Basis!$E$7)^$N1604*$AA$4*Glycol,0)</f>
        <v>2370</v>
      </c>
      <c r="I1604" s="83">
        <f>ROUND(H1604/(MID($C1604,9,3)/Basis!$E$3/Basis!$E$9)*Basis!$E$11,0)</f>
        <v>1204</v>
      </c>
      <c r="J1604" s="123">
        <f>IF(Basis!$E$1=1,ROUND(H1604/((TaH-TrH)*1.163)/3600,3),ROUND(H1604/(500*(TaH-TrH)),2))</f>
        <v>0.24</v>
      </c>
      <c r="K1604" s="84"/>
      <c r="L1604" s="177">
        <f>CHOOSE(Basis!$E$1,((AJ1604*(J1604*3600/Basis!$E$5)^AK1604*(((MID(C1604,9,3)*10)-144)/1000)*AL1604+AM1604*(J1604*3600/Basis!$E$5)^2)*0.0098)/Basis!$E$10,((AJ1604*(J1604/Basis!$E$5)^AK1604*(((MID(C1604,9,3)*10)-144)/1000)*AL1604+AM1604*(J1604/Basis!$E$5)^2)*0.0098)/Basis!$E$10)</f>
        <v>5.7394134093370526E-3</v>
      </c>
      <c r="M1604" s="85"/>
      <c r="N1604" s="109">
        <v>1.4670000000000001</v>
      </c>
      <c r="O1604" s="68"/>
      <c r="P1604" s="67">
        <v>1127</v>
      </c>
      <c r="Q1604" s="68"/>
      <c r="R1604" s="69"/>
      <c r="S1604" s="69"/>
      <c r="T1604" s="69"/>
      <c r="U1604" s="69"/>
      <c r="V1604" s="69"/>
      <c r="W1604" s="68"/>
      <c r="X1604" s="70"/>
      <c r="Y1604" s="70"/>
      <c r="Z1604" s="70"/>
      <c r="AA1604" s="70"/>
      <c r="AB1604" s="70"/>
      <c r="AC1604" s="68"/>
      <c r="AD1604" s="71"/>
      <c r="AE1604" s="71"/>
      <c r="AF1604" s="71"/>
      <c r="AG1604" s="71"/>
      <c r="AH1604" s="71"/>
      <c r="AI1604" s="68"/>
      <c r="AJ1604" s="214">
        <v>1.2760000000000001E-4</v>
      </c>
      <c r="AK1604" s="214">
        <v>1.7219</v>
      </c>
      <c r="AL1604" s="214">
        <v>4</v>
      </c>
      <c r="AM1604" s="214">
        <v>5.1420100000000005E-4</v>
      </c>
      <c r="AN1604" s="68"/>
      <c r="AO1604" s="67"/>
      <c r="AP1604" s="67"/>
      <c r="AQ1604" s="67"/>
      <c r="AR1604" s="67"/>
      <c r="AS1604" s="67"/>
      <c r="AT1604" s="68"/>
      <c r="AU1604" s="49"/>
      <c r="AV1604" s="50"/>
    </row>
    <row r="1605" spans="1:48" ht="12.75" customHeight="1" x14ac:dyDescent="0.25">
      <c r="A1605" s="72" t="s">
        <v>883</v>
      </c>
      <c r="B1605" s="43" t="s">
        <v>1580</v>
      </c>
      <c r="C1605" s="44" t="s">
        <v>1761</v>
      </c>
      <c r="D1605" s="45">
        <f>MROUND(MID($C1605,6,3)/Basis!$E$3,0.5)</f>
        <v>11</v>
      </c>
      <c r="E1605" s="45">
        <f>MROUND(MID($C1605,9,3)/Basis!$E$3,0.5)</f>
        <v>27.5</v>
      </c>
      <c r="F1605" s="124" t="s">
        <v>2949</v>
      </c>
      <c r="G1605" s="45">
        <f>ROUND((MROUND($F1605,5)+3)/Basis!$E$3,1)</f>
        <v>3.1</v>
      </c>
      <c r="H1605" s="120">
        <f>ROUND($P1605*Basis!$E$2*((TaH-TrH)/LN(1/µ)/Basis!$E$7)^$N1605*$AA$4*Glycol,0)</f>
        <v>857</v>
      </c>
      <c r="I1605" s="83">
        <f>ROUND(H1605/(MID($C1605,9,3)/Basis!$E$3/Basis!$E$9)*Basis!$E$11,0)</f>
        <v>373</v>
      </c>
      <c r="J1605" s="123">
        <f>IF(Basis!$E$1=1,ROUND(H1605/((TaH-TrH)*1.163)/3600,3),ROUND(H1605/(500*(TaH-TrH)),2))</f>
        <v>0.09</v>
      </c>
      <c r="K1605" s="84"/>
      <c r="L1605" s="177">
        <f>CHOOSE(Basis!$E$1,((AJ1605*(J1605*3600/Basis!$E$5)^AK1605*(((MID(C1605,9,3)*10)-144)/1000)*AL1605+AM1605*(J1605*3600/Basis!$E$5)^2)*0.0098)/Basis!$E$10,((AJ1605*(J1605/Basis!$E$5)^AK1605*(((MID(C1605,9,3)*10)-144)/1000)*AL1605+AM1605*(J1605/Basis!$E$5)^2)*0.0098)/Basis!$E$10)</f>
        <v>2.3503807535832713E-3</v>
      </c>
      <c r="M1605" s="85"/>
      <c r="N1605" s="109">
        <v>1.403</v>
      </c>
      <c r="O1605" s="68"/>
      <c r="P1605" s="67">
        <v>399</v>
      </c>
      <c r="Q1605" s="68"/>
      <c r="R1605" s="69"/>
      <c r="S1605" s="69"/>
      <c r="T1605" s="69"/>
      <c r="U1605" s="69"/>
      <c r="V1605" s="69"/>
      <c r="W1605" s="68"/>
      <c r="X1605" s="70"/>
      <c r="Y1605" s="70"/>
      <c r="Z1605" s="70"/>
      <c r="AA1605" s="70"/>
      <c r="AB1605" s="70"/>
      <c r="AC1605" s="68"/>
      <c r="AD1605" s="71"/>
      <c r="AE1605" s="71"/>
      <c r="AF1605" s="71"/>
      <c r="AG1605" s="71"/>
      <c r="AH1605" s="71"/>
      <c r="AI1605" s="68"/>
      <c r="AJ1605" s="214">
        <v>4.1688828699999996E-3</v>
      </c>
      <c r="AK1605" s="214">
        <v>1.411581940642</v>
      </c>
      <c r="AL1605" s="214">
        <v>3</v>
      </c>
      <c r="AM1605" s="214">
        <v>5.4247339961626003E-4</v>
      </c>
      <c r="AN1605" s="68"/>
      <c r="AO1605" s="67"/>
      <c r="AP1605" s="67"/>
      <c r="AQ1605" s="67"/>
      <c r="AR1605" s="67"/>
      <c r="AS1605" s="67"/>
      <c r="AT1605" s="68"/>
      <c r="AU1605" s="49"/>
      <c r="AV1605" s="50"/>
    </row>
    <row r="1606" spans="1:48" ht="12.75" customHeight="1" x14ac:dyDescent="0.25">
      <c r="A1606" s="72" t="s">
        <v>883</v>
      </c>
      <c r="B1606" s="43" t="s">
        <v>1580</v>
      </c>
      <c r="C1606" s="44" t="s">
        <v>1762</v>
      </c>
      <c r="D1606" s="45">
        <f>MROUND(MID($C1606,6,3)/Basis!$E$3,0.5)</f>
        <v>11</v>
      </c>
      <c r="E1606" s="45">
        <f>MROUND(MID($C1606,9,3)/Basis!$E$3,0.5)</f>
        <v>27.5</v>
      </c>
      <c r="F1606" s="124" t="s">
        <v>2946</v>
      </c>
      <c r="G1606" s="45">
        <f>ROUND((MROUND($F1606,5)+3)/Basis!$E$3,1)</f>
        <v>5.0999999999999996</v>
      </c>
      <c r="H1606" s="120">
        <f>ROUND($P1606*Basis!$E$2*((TaH-TrH)/LN(1/µ)/Basis!$E$7)^$N1606*$AA$4*Glycol,0)</f>
        <v>1616</v>
      </c>
      <c r="I1606" s="83">
        <f>ROUND(H1606/(MID($C1606,9,3)/Basis!$E$3/Basis!$E$9)*Basis!$E$11,0)</f>
        <v>704</v>
      </c>
      <c r="J1606" s="123">
        <f>IF(Basis!$E$1=1,ROUND(H1606/((TaH-TrH)*1.163)/3600,3),ROUND(H1606/(500*(TaH-TrH)),2))</f>
        <v>0.16</v>
      </c>
      <c r="K1606" s="84"/>
      <c r="L1606" s="177">
        <f>CHOOSE(Basis!$E$1,((AJ1606*(J1606*3600/Basis!$E$5)^AK1606*(((MID(C1606,9,3)*10)-144)/1000)*AL1606+AM1606*(J1606*3600/Basis!$E$5)^2)*0.0098)/Basis!$E$10,((AJ1606*(J1606/Basis!$E$5)^AK1606*(((MID(C1606,9,3)*10)-144)/1000)*AL1606+AM1606*(J1606/Basis!$E$5)^2)*0.0098)/Basis!$E$10)</f>
        <v>3.9485777425493848E-3</v>
      </c>
      <c r="M1606" s="85"/>
      <c r="N1606" s="109">
        <v>1.4410000000000001</v>
      </c>
      <c r="O1606" s="68"/>
      <c r="P1606" s="67">
        <v>762</v>
      </c>
      <c r="Q1606" s="68"/>
      <c r="R1606" s="69"/>
      <c r="S1606" s="69"/>
      <c r="T1606" s="69"/>
      <c r="U1606" s="69"/>
      <c r="V1606" s="69"/>
      <c r="W1606" s="68"/>
      <c r="X1606" s="70"/>
      <c r="Y1606" s="70"/>
      <c r="Z1606" s="70"/>
      <c r="AA1606" s="70"/>
      <c r="AB1606" s="70"/>
      <c r="AC1606" s="68"/>
      <c r="AD1606" s="71"/>
      <c r="AE1606" s="71"/>
      <c r="AF1606" s="71"/>
      <c r="AG1606" s="71"/>
      <c r="AH1606" s="71"/>
      <c r="AI1606" s="68"/>
      <c r="AJ1606" s="214">
        <v>3.9689999999999994E-4</v>
      </c>
      <c r="AK1606" s="214">
        <v>1.7345999999999999</v>
      </c>
      <c r="AL1606" s="214">
        <v>4</v>
      </c>
      <c r="AM1606" s="214">
        <v>5.7428799999999995E-4</v>
      </c>
      <c r="AN1606" s="68"/>
      <c r="AO1606" s="67"/>
      <c r="AP1606" s="67"/>
      <c r="AQ1606" s="67"/>
      <c r="AR1606" s="67"/>
      <c r="AS1606" s="67"/>
      <c r="AT1606" s="68"/>
      <c r="AU1606" s="49"/>
      <c r="AV1606" s="50"/>
    </row>
    <row r="1607" spans="1:48" ht="12.75" customHeight="1" x14ac:dyDescent="0.25">
      <c r="A1607" s="72" t="s">
        <v>883</v>
      </c>
      <c r="B1607" s="43" t="s">
        <v>1580</v>
      </c>
      <c r="C1607" s="44" t="s">
        <v>1763</v>
      </c>
      <c r="D1607" s="45">
        <f>MROUND(MID($C1607,6,3)/Basis!$E$3,0.5)</f>
        <v>11</v>
      </c>
      <c r="E1607" s="45">
        <f>MROUND(MID($C1607,9,3)/Basis!$E$3,0.5)</f>
        <v>27.5</v>
      </c>
      <c r="F1607" s="124" t="s">
        <v>2947</v>
      </c>
      <c r="G1607" s="45">
        <f>ROUND((MROUND($F1607,5)+3)/Basis!$E$3,1)</f>
        <v>7.1</v>
      </c>
      <c r="H1607" s="120">
        <f>ROUND($P1607*Basis!$E$2*((TaH-TrH)/LN(1/µ)/Basis!$E$7)^$N1607*$AA$4*Glycol,0)</f>
        <v>2117</v>
      </c>
      <c r="I1607" s="83">
        <f>ROUND(H1607/(MID($C1607,9,3)/Basis!$E$3/Basis!$E$9)*Basis!$E$11,0)</f>
        <v>922</v>
      </c>
      <c r="J1607" s="123">
        <f>IF(Basis!$E$1=1,ROUND(H1607/((TaH-TrH)*1.163)/3600,3),ROUND(H1607/(500*(TaH-TrH)),2))</f>
        <v>0.21</v>
      </c>
      <c r="K1607" s="84"/>
      <c r="L1607" s="177">
        <f>CHOOSE(Basis!$E$1,((AJ1607*(J1607*3600/Basis!$E$5)^AK1607*(((MID(C1607,9,3)*10)-144)/1000)*AL1607+AM1607*(J1607*3600/Basis!$E$5)^2)*0.0098)/Basis!$E$10,((AJ1607*(J1607/Basis!$E$5)^AK1607*(((MID(C1607,9,3)*10)-144)/1000)*AL1607+AM1607*(J1607/Basis!$E$5)^2)*0.0098)/Basis!$E$10)</f>
        <v>1.1545988007188214E-2</v>
      </c>
      <c r="M1607" s="85"/>
      <c r="N1607" s="109">
        <v>1.4550000000000001</v>
      </c>
      <c r="O1607" s="68"/>
      <c r="P1607" s="67">
        <v>1003</v>
      </c>
      <c r="Q1607" s="68"/>
      <c r="R1607" s="69"/>
      <c r="S1607" s="69"/>
      <c r="T1607" s="69"/>
      <c r="U1607" s="69"/>
      <c r="V1607" s="69"/>
      <c r="W1607" s="68"/>
      <c r="X1607" s="70"/>
      <c r="Y1607" s="70"/>
      <c r="Z1607" s="70"/>
      <c r="AA1607" s="70"/>
      <c r="AB1607" s="70"/>
      <c r="AC1607" s="68"/>
      <c r="AD1607" s="71"/>
      <c r="AE1607" s="71"/>
      <c r="AF1607" s="71"/>
      <c r="AG1607" s="71"/>
      <c r="AH1607" s="71"/>
      <c r="AI1607" s="68"/>
      <c r="AJ1607" s="214">
        <v>2.0829999999999999E-4</v>
      </c>
      <c r="AK1607" s="214">
        <v>1.724</v>
      </c>
      <c r="AL1607" s="214">
        <v>4</v>
      </c>
      <c r="AM1607" s="214">
        <v>1.392796E-3</v>
      </c>
      <c r="AN1607" s="68"/>
      <c r="AO1607" s="67"/>
      <c r="AP1607" s="67"/>
      <c r="AQ1607" s="67"/>
      <c r="AR1607" s="67"/>
      <c r="AS1607" s="67"/>
      <c r="AT1607" s="68"/>
      <c r="AU1607" s="49"/>
      <c r="AV1607" s="50"/>
    </row>
    <row r="1608" spans="1:48" ht="12.75" customHeight="1" x14ac:dyDescent="0.25">
      <c r="A1608" s="72" t="s">
        <v>883</v>
      </c>
      <c r="B1608" s="43" t="s">
        <v>1580</v>
      </c>
      <c r="C1608" s="44" t="s">
        <v>1764</v>
      </c>
      <c r="D1608" s="45">
        <f>MROUND(MID($C1608,6,3)/Basis!$E$3,0.5)</f>
        <v>11</v>
      </c>
      <c r="E1608" s="45">
        <f>MROUND(MID($C1608,9,3)/Basis!$E$3,0.5)</f>
        <v>27.5</v>
      </c>
      <c r="F1608" s="124" t="s">
        <v>2948</v>
      </c>
      <c r="G1608" s="45">
        <f>ROUND((MROUND($F1608,5)+3)/Basis!$E$3,1)</f>
        <v>9.1</v>
      </c>
      <c r="H1608" s="120">
        <f>ROUND($P1608*Basis!$E$2*((TaH-TrH)/LN(1/µ)/Basis!$E$7)^$N1608*$AA$4*Glycol,0)</f>
        <v>2765</v>
      </c>
      <c r="I1608" s="83">
        <f>ROUND(H1608/(MID($C1608,9,3)/Basis!$E$3/Basis!$E$9)*Basis!$E$11,0)</f>
        <v>1204</v>
      </c>
      <c r="J1608" s="123">
        <f>IF(Basis!$E$1=1,ROUND(H1608/((TaH-TrH)*1.163)/3600,3),ROUND(H1608/(500*(TaH-TrH)),2))</f>
        <v>0.28000000000000003</v>
      </c>
      <c r="K1608" s="84"/>
      <c r="L1608" s="177">
        <f>CHOOSE(Basis!$E$1,((AJ1608*(J1608*3600/Basis!$E$5)^AK1608*(((MID(C1608,9,3)*10)-144)/1000)*AL1608+AM1608*(J1608*3600/Basis!$E$5)^2)*0.0098)/Basis!$E$10,((AJ1608*(J1608/Basis!$E$5)^AK1608*(((MID(C1608,9,3)*10)-144)/1000)*AL1608+AM1608*(J1608/Basis!$E$5)^2)*0.0098)/Basis!$E$10)</f>
        <v>7.982183668577187E-3</v>
      </c>
      <c r="M1608" s="85"/>
      <c r="N1608" s="109">
        <v>1.4670000000000001</v>
      </c>
      <c r="O1608" s="68"/>
      <c r="P1608" s="67">
        <v>1315</v>
      </c>
      <c r="Q1608" s="68"/>
      <c r="R1608" s="69"/>
      <c r="S1608" s="69"/>
      <c r="T1608" s="69"/>
      <c r="U1608" s="69"/>
      <c r="V1608" s="69"/>
      <c r="W1608" s="68"/>
      <c r="X1608" s="70"/>
      <c r="Y1608" s="70"/>
      <c r="Z1608" s="70"/>
      <c r="AA1608" s="70"/>
      <c r="AB1608" s="70"/>
      <c r="AC1608" s="68"/>
      <c r="AD1608" s="71"/>
      <c r="AE1608" s="71"/>
      <c r="AF1608" s="71"/>
      <c r="AG1608" s="71"/>
      <c r="AH1608" s="71"/>
      <c r="AI1608" s="68"/>
      <c r="AJ1608" s="214">
        <v>1.2760000000000001E-4</v>
      </c>
      <c r="AK1608" s="214">
        <v>1.7219</v>
      </c>
      <c r="AL1608" s="214">
        <v>4</v>
      </c>
      <c r="AM1608" s="214">
        <v>5.1420100000000005E-4</v>
      </c>
      <c r="AN1608" s="68"/>
      <c r="AO1608" s="67"/>
      <c r="AP1608" s="67"/>
      <c r="AQ1608" s="67"/>
      <c r="AR1608" s="67"/>
      <c r="AS1608" s="67"/>
      <c r="AT1608" s="68"/>
      <c r="AU1608" s="49"/>
      <c r="AV1608" s="50"/>
    </row>
    <row r="1609" spans="1:48" ht="12.75" customHeight="1" x14ac:dyDescent="0.25">
      <c r="A1609" s="72" t="s">
        <v>883</v>
      </c>
      <c r="B1609" s="43" t="s">
        <v>1580</v>
      </c>
      <c r="C1609" s="44" t="s">
        <v>1765</v>
      </c>
      <c r="D1609" s="45">
        <f>MROUND(MID($C1609,6,3)/Basis!$E$3,0.5)</f>
        <v>11</v>
      </c>
      <c r="E1609" s="45">
        <f>MROUND(MID($C1609,9,3)/Basis!$E$3,0.5)</f>
        <v>31.5</v>
      </c>
      <c r="F1609" s="124" t="s">
        <v>2949</v>
      </c>
      <c r="G1609" s="45">
        <f>ROUND((MROUND($F1609,5)+3)/Basis!$E$3,1)</f>
        <v>3.1</v>
      </c>
      <c r="H1609" s="120">
        <f>ROUND($P1609*Basis!$E$2*((TaH-TrH)/LN(1/µ)/Basis!$E$7)^$N1609*$AA$4*Glycol,0)</f>
        <v>979</v>
      </c>
      <c r="I1609" s="83">
        <f>ROUND(H1609/(MID($C1609,9,3)/Basis!$E$3/Basis!$E$9)*Basis!$E$11,0)</f>
        <v>373</v>
      </c>
      <c r="J1609" s="123">
        <f>IF(Basis!$E$1=1,ROUND(H1609/((TaH-TrH)*1.163)/3600,3),ROUND(H1609/(500*(TaH-TrH)),2))</f>
        <v>0.1</v>
      </c>
      <c r="K1609" s="84"/>
      <c r="L1609" s="177">
        <f>CHOOSE(Basis!$E$1,((AJ1609*(J1609*3600/Basis!$E$5)^AK1609*(((MID(C1609,9,3)*10)-144)/1000)*AL1609+AM1609*(J1609*3600/Basis!$E$5)^2)*0.0098)/Basis!$E$10,((AJ1609*(J1609/Basis!$E$5)^AK1609*(((MID(C1609,9,3)*10)-144)/1000)*AL1609+AM1609*(J1609/Basis!$E$5)^2)*0.0098)/Basis!$E$10)</f>
        <v>3.1181193805565311E-3</v>
      </c>
      <c r="M1609" s="85"/>
      <c r="N1609" s="109">
        <v>1.403</v>
      </c>
      <c r="O1609" s="68"/>
      <c r="P1609" s="67">
        <v>456</v>
      </c>
      <c r="Q1609" s="68"/>
      <c r="R1609" s="69"/>
      <c r="S1609" s="69"/>
      <c r="T1609" s="69"/>
      <c r="U1609" s="69"/>
      <c r="V1609" s="69"/>
      <c r="W1609" s="68"/>
      <c r="X1609" s="70"/>
      <c r="Y1609" s="70"/>
      <c r="Z1609" s="70"/>
      <c r="AA1609" s="70"/>
      <c r="AB1609" s="70"/>
      <c r="AC1609" s="68"/>
      <c r="AD1609" s="71"/>
      <c r="AE1609" s="71"/>
      <c r="AF1609" s="71"/>
      <c r="AG1609" s="71"/>
      <c r="AH1609" s="71"/>
      <c r="AI1609" s="68"/>
      <c r="AJ1609" s="214">
        <v>4.1688828699999996E-3</v>
      </c>
      <c r="AK1609" s="214">
        <v>1.411581940642</v>
      </c>
      <c r="AL1609" s="214">
        <v>3</v>
      </c>
      <c r="AM1609" s="214">
        <v>5.4247339961626003E-4</v>
      </c>
      <c r="AN1609" s="68"/>
      <c r="AO1609" s="67"/>
      <c r="AP1609" s="67"/>
      <c r="AQ1609" s="67"/>
      <c r="AR1609" s="67"/>
      <c r="AS1609" s="67"/>
      <c r="AT1609" s="68"/>
      <c r="AU1609" s="49"/>
      <c r="AV1609" s="50"/>
    </row>
    <row r="1610" spans="1:48" ht="12.75" customHeight="1" x14ac:dyDescent="0.25">
      <c r="A1610" s="72" t="s">
        <v>883</v>
      </c>
      <c r="B1610" s="43" t="s">
        <v>1580</v>
      </c>
      <c r="C1610" s="44" t="s">
        <v>1766</v>
      </c>
      <c r="D1610" s="45">
        <f>MROUND(MID($C1610,6,3)/Basis!$E$3,0.5)</f>
        <v>11</v>
      </c>
      <c r="E1610" s="45">
        <f>MROUND(MID($C1610,9,3)/Basis!$E$3,0.5)</f>
        <v>31.5</v>
      </c>
      <c r="F1610" s="124" t="s">
        <v>2946</v>
      </c>
      <c r="G1610" s="45">
        <f>ROUND((MROUND($F1610,5)+3)/Basis!$E$3,1)</f>
        <v>5.0999999999999996</v>
      </c>
      <c r="H1610" s="120">
        <f>ROUND($P1610*Basis!$E$2*((TaH-TrH)/LN(1/µ)/Basis!$E$7)^$N1610*$AA$4*Glycol,0)</f>
        <v>1847</v>
      </c>
      <c r="I1610" s="83">
        <f>ROUND(H1610/(MID($C1610,9,3)/Basis!$E$3/Basis!$E$9)*Basis!$E$11,0)</f>
        <v>704</v>
      </c>
      <c r="J1610" s="123">
        <f>IF(Basis!$E$1=1,ROUND(H1610/((TaH-TrH)*1.163)/3600,3),ROUND(H1610/(500*(TaH-TrH)),2))</f>
        <v>0.18</v>
      </c>
      <c r="K1610" s="84"/>
      <c r="L1610" s="177">
        <f>CHOOSE(Basis!$E$1,((AJ1610*(J1610*3600/Basis!$E$5)^AK1610*(((MID(C1610,9,3)*10)-144)/1000)*AL1610+AM1610*(J1610*3600/Basis!$E$5)^2)*0.0098)/Basis!$E$10,((AJ1610*(J1610/Basis!$E$5)^AK1610*(((MID(C1610,9,3)*10)-144)/1000)*AL1610+AM1610*(J1610/Basis!$E$5)^2)*0.0098)/Basis!$E$10)</f>
        <v>5.2642665209918756E-3</v>
      </c>
      <c r="M1610" s="85"/>
      <c r="N1610" s="109">
        <v>1.4410000000000001</v>
      </c>
      <c r="O1610" s="68"/>
      <c r="P1610" s="67">
        <v>871</v>
      </c>
      <c r="Q1610" s="68"/>
      <c r="R1610" s="69"/>
      <c r="S1610" s="69"/>
      <c r="T1610" s="69"/>
      <c r="U1610" s="69"/>
      <c r="V1610" s="69"/>
      <c r="W1610" s="68"/>
      <c r="X1610" s="70"/>
      <c r="Y1610" s="70"/>
      <c r="Z1610" s="70"/>
      <c r="AA1610" s="70"/>
      <c r="AB1610" s="70"/>
      <c r="AC1610" s="68"/>
      <c r="AD1610" s="71"/>
      <c r="AE1610" s="71"/>
      <c r="AF1610" s="71"/>
      <c r="AG1610" s="71"/>
      <c r="AH1610" s="71"/>
      <c r="AI1610" s="68"/>
      <c r="AJ1610" s="214">
        <v>3.9689999999999994E-4</v>
      </c>
      <c r="AK1610" s="214">
        <v>1.7345999999999999</v>
      </c>
      <c r="AL1610" s="214">
        <v>4</v>
      </c>
      <c r="AM1610" s="214">
        <v>5.7428799999999995E-4</v>
      </c>
      <c r="AN1610" s="68"/>
      <c r="AO1610" s="67"/>
      <c r="AP1610" s="67"/>
      <c r="AQ1610" s="67"/>
      <c r="AR1610" s="67"/>
      <c r="AS1610" s="67"/>
      <c r="AT1610" s="68"/>
      <c r="AU1610" s="49"/>
      <c r="AV1610" s="50"/>
    </row>
    <row r="1611" spans="1:48" ht="12.75" customHeight="1" x14ac:dyDescent="0.25">
      <c r="A1611" s="72" t="s">
        <v>883</v>
      </c>
      <c r="B1611" s="43" t="s">
        <v>1580</v>
      </c>
      <c r="C1611" s="44" t="s">
        <v>1767</v>
      </c>
      <c r="D1611" s="45">
        <f>MROUND(MID($C1611,6,3)/Basis!$E$3,0.5)</f>
        <v>11</v>
      </c>
      <c r="E1611" s="45">
        <f>MROUND(MID($C1611,9,3)/Basis!$E$3,0.5)</f>
        <v>31.5</v>
      </c>
      <c r="F1611" s="124" t="s">
        <v>2947</v>
      </c>
      <c r="G1611" s="45">
        <f>ROUND((MROUND($F1611,5)+3)/Basis!$E$3,1)</f>
        <v>7.1</v>
      </c>
      <c r="H1611" s="120">
        <f>ROUND($P1611*Basis!$E$2*((TaH-TrH)/LN(1/µ)/Basis!$E$7)^$N1611*$AA$4*Glycol,0)</f>
        <v>2419</v>
      </c>
      <c r="I1611" s="83">
        <f>ROUND(H1611/(MID($C1611,9,3)/Basis!$E$3/Basis!$E$9)*Basis!$E$11,0)</f>
        <v>922</v>
      </c>
      <c r="J1611" s="123">
        <f>IF(Basis!$E$1=1,ROUND(H1611/((TaH-TrH)*1.163)/3600,3),ROUND(H1611/(500*(TaH-TrH)),2))</f>
        <v>0.24</v>
      </c>
      <c r="K1611" s="84"/>
      <c r="L1611" s="177">
        <f>CHOOSE(Basis!$E$1,((AJ1611*(J1611*3600/Basis!$E$5)^AK1611*(((MID(C1611,9,3)*10)-144)/1000)*AL1611+AM1611*(J1611*3600/Basis!$E$5)^2)*0.0098)/Basis!$E$10,((AJ1611*(J1611/Basis!$E$5)^AK1611*(((MID(C1611,9,3)*10)-144)/1000)*AL1611+AM1611*(J1611/Basis!$E$5)^2)*0.0098)/Basis!$E$10)</f>
        <v>1.529292971073784E-2</v>
      </c>
      <c r="M1611" s="85"/>
      <c r="N1611" s="109">
        <v>1.4550000000000001</v>
      </c>
      <c r="O1611" s="68"/>
      <c r="P1611" s="67">
        <v>1146</v>
      </c>
      <c r="Q1611" s="68"/>
      <c r="R1611" s="69"/>
      <c r="S1611" s="69"/>
      <c r="T1611" s="69"/>
      <c r="U1611" s="69"/>
      <c r="V1611" s="69"/>
      <c r="W1611" s="68"/>
      <c r="X1611" s="70"/>
      <c r="Y1611" s="70"/>
      <c r="Z1611" s="70"/>
      <c r="AA1611" s="70"/>
      <c r="AB1611" s="70"/>
      <c r="AC1611" s="68"/>
      <c r="AD1611" s="71"/>
      <c r="AE1611" s="71"/>
      <c r="AF1611" s="71"/>
      <c r="AG1611" s="71"/>
      <c r="AH1611" s="71"/>
      <c r="AI1611" s="68"/>
      <c r="AJ1611" s="214">
        <v>2.0829999999999999E-4</v>
      </c>
      <c r="AK1611" s="214">
        <v>1.724</v>
      </c>
      <c r="AL1611" s="214">
        <v>4</v>
      </c>
      <c r="AM1611" s="214">
        <v>1.392796E-3</v>
      </c>
      <c r="AN1611" s="68"/>
      <c r="AO1611" s="67"/>
      <c r="AP1611" s="67"/>
      <c r="AQ1611" s="67"/>
      <c r="AR1611" s="67"/>
      <c r="AS1611" s="67"/>
      <c r="AT1611" s="68"/>
      <c r="AU1611" s="49"/>
      <c r="AV1611" s="50"/>
    </row>
    <row r="1612" spans="1:48" ht="12.75" customHeight="1" x14ac:dyDescent="0.25">
      <c r="A1612" s="72" t="s">
        <v>883</v>
      </c>
      <c r="B1612" s="43" t="s">
        <v>1580</v>
      </c>
      <c r="C1612" s="44" t="s">
        <v>1768</v>
      </c>
      <c r="D1612" s="45">
        <f>MROUND(MID($C1612,6,3)/Basis!$E$3,0.5)</f>
        <v>11</v>
      </c>
      <c r="E1612" s="45">
        <f>MROUND(MID($C1612,9,3)/Basis!$E$3,0.5)</f>
        <v>31.5</v>
      </c>
      <c r="F1612" s="124" t="s">
        <v>2948</v>
      </c>
      <c r="G1612" s="45">
        <f>ROUND((MROUND($F1612,5)+3)/Basis!$E$3,1)</f>
        <v>9.1</v>
      </c>
      <c r="H1612" s="120">
        <f>ROUND($P1612*Basis!$E$2*((TaH-TrH)/LN(1/µ)/Basis!$E$7)^$N1612*$AA$4*Glycol,0)</f>
        <v>3160</v>
      </c>
      <c r="I1612" s="83">
        <f>ROUND(H1612/(MID($C1612,9,3)/Basis!$E$3/Basis!$E$9)*Basis!$E$11,0)</f>
        <v>1204</v>
      </c>
      <c r="J1612" s="123">
        <f>IF(Basis!$E$1=1,ROUND(H1612/((TaH-TrH)*1.163)/3600,3),ROUND(H1612/(500*(TaH-TrH)),2))</f>
        <v>0.32</v>
      </c>
      <c r="K1612" s="84"/>
      <c r="L1612" s="177">
        <f>CHOOSE(Basis!$E$1,((AJ1612*(J1612*3600/Basis!$E$5)^AK1612*(((MID(C1612,9,3)*10)-144)/1000)*AL1612+AM1612*(J1612*3600/Basis!$E$5)^2)*0.0098)/Basis!$E$10,((AJ1612*(J1612/Basis!$E$5)^AK1612*(((MID(C1612,9,3)*10)-144)/1000)*AL1612+AM1612*(J1612/Basis!$E$5)^2)*0.0098)/Basis!$E$10)</f>
        <v>1.0637070881414693E-2</v>
      </c>
      <c r="M1612" s="85"/>
      <c r="N1612" s="109">
        <v>1.4670000000000001</v>
      </c>
      <c r="O1612" s="68"/>
      <c r="P1612" s="67">
        <v>1503</v>
      </c>
      <c r="Q1612" s="68"/>
      <c r="R1612" s="69"/>
      <c r="S1612" s="69"/>
      <c r="T1612" s="69"/>
      <c r="U1612" s="69"/>
      <c r="V1612" s="69"/>
      <c r="W1612" s="68"/>
      <c r="X1612" s="70"/>
      <c r="Y1612" s="70"/>
      <c r="Z1612" s="70"/>
      <c r="AA1612" s="70"/>
      <c r="AB1612" s="70"/>
      <c r="AC1612" s="68"/>
      <c r="AD1612" s="71"/>
      <c r="AE1612" s="71"/>
      <c r="AF1612" s="71"/>
      <c r="AG1612" s="71"/>
      <c r="AH1612" s="71"/>
      <c r="AI1612" s="68"/>
      <c r="AJ1612" s="214">
        <v>1.2760000000000001E-4</v>
      </c>
      <c r="AK1612" s="214">
        <v>1.7219</v>
      </c>
      <c r="AL1612" s="214">
        <v>4</v>
      </c>
      <c r="AM1612" s="214">
        <v>5.1420100000000005E-4</v>
      </c>
      <c r="AN1612" s="68"/>
      <c r="AO1612" s="67"/>
      <c r="AP1612" s="67"/>
      <c r="AQ1612" s="67"/>
      <c r="AR1612" s="67"/>
      <c r="AS1612" s="67"/>
      <c r="AT1612" s="68"/>
      <c r="AU1612" s="49"/>
      <c r="AV1612" s="50"/>
    </row>
    <row r="1613" spans="1:48" ht="12.75" customHeight="1" x14ac:dyDescent="0.25">
      <c r="A1613" s="72" t="s">
        <v>883</v>
      </c>
      <c r="B1613" s="43" t="s">
        <v>1580</v>
      </c>
      <c r="C1613" s="44" t="s">
        <v>1769</v>
      </c>
      <c r="D1613" s="45">
        <f>MROUND(MID($C1613,6,3)/Basis!$E$3,0.5)</f>
        <v>11</v>
      </c>
      <c r="E1613" s="45">
        <f>MROUND(MID($C1613,9,3)/Basis!$E$3,0.5)</f>
        <v>32</v>
      </c>
      <c r="F1613" s="124" t="s">
        <v>2946</v>
      </c>
      <c r="G1613" s="45">
        <f>ROUND((MROUND($F1613,5)+3)/Basis!$E$3,1)</f>
        <v>5.0999999999999996</v>
      </c>
      <c r="H1613" s="120">
        <f>ROUND($P1613*Basis!$E$2*((TaH-TrH)/LN(1/µ)/Basis!$E$7)^$N1613*$AA$4*Glycol,0)</f>
        <v>2872</v>
      </c>
      <c r="I1613" s="83">
        <f>ROUND(H1613/(MID($C1613,9,3)/Basis!$E$3/Basis!$E$9)*Basis!$E$11,0)</f>
        <v>1081</v>
      </c>
      <c r="J1613" s="123">
        <f>IF(Basis!$E$1=1,ROUND(H1613/((TaH-TrH)*1.163)/3600,3),ROUND(H1613/(500*(TaH-TrH)),2))</f>
        <v>0.28999999999999998</v>
      </c>
      <c r="K1613" s="84"/>
      <c r="L1613" s="177">
        <f>CHOOSE(Basis!$E$1,((AJ1613*(J1613*3600/Basis!$E$5)^AK1613*(((MID(C1613,9,3)*10)-144)/1000)*AL1613+AM1613*(J1613*3600/Basis!$E$5)^2)*0.0098)/Basis!$E$10,((AJ1613*(J1613/Basis!$E$5)^AK1613*(((MID(C1613,9,3)*10)-144)/1000)*AL1613+AM1613*(J1613/Basis!$E$5)^2)*0.0098)/Basis!$E$10)</f>
        <v>1.3082414030306124E-2</v>
      </c>
      <c r="M1613" s="85"/>
      <c r="N1613" s="110">
        <v>1</v>
      </c>
      <c r="O1613" s="74"/>
      <c r="P1613" s="73">
        <v>1171</v>
      </c>
      <c r="Q1613" s="74"/>
      <c r="R1613" s="75"/>
      <c r="S1613" s="75"/>
      <c r="T1613" s="75"/>
      <c r="U1613" s="75"/>
      <c r="V1613" s="75"/>
      <c r="W1613" s="74"/>
      <c r="X1613" s="76"/>
      <c r="Y1613" s="76"/>
      <c r="Z1613" s="76"/>
      <c r="AA1613" s="76"/>
      <c r="AB1613" s="76"/>
      <c r="AC1613" s="74"/>
      <c r="AD1613" s="77"/>
      <c r="AE1613" s="77"/>
      <c r="AF1613" s="77"/>
      <c r="AG1613" s="77"/>
      <c r="AH1613" s="77"/>
      <c r="AI1613" s="68"/>
      <c r="AJ1613" s="213">
        <v>3.9689999999999994E-4</v>
      </c>
      <c r="AK1613" s="213">
        <v>1.7345999999999999</v>
      </c>
      <c r="AL1613" s="213">
        <v>4</v>
      </c>
      <c r="AM1613" s="213">
        <v>5.7428799999999995E-4</v>
      </c>
      <c r="AN1613" s="74"/>
      <c r="AO1613" s="73"/>
      <c r="AP1613" s="73"/>
      <c r="AQ1613" s="73"/>
      <c r="AR1613" s="73"/>
      <c r="AS1613" s="73"/>
      <c r="AT1613" s="74"/>
      <c r="AU1613" s="47"/>
      <c r="AV1613" s="48"/>
    </row>
    <row r="1614" spans="1:48" ht="12.75" customHeight="1" x14ac:dyDescent="0.25">
      <c r="A1614" s="72" t="s">
        <v>883</v>
      </c>
      <c r="B1614" s="43" t="s">
        <v>1580</v>
      </c>
      <c r="C1614" s="44" t="s">
        <v>1770</v>
      </c>
      <c r="D1614" s="45">
        <f>MROUND(MID($C1614,6,3)/Basis!$E$3,0.5)</f>
        <v>11</v>
      </c>
      <c r="E1614" s="45">
        <f>MROUND(MID($C1614,9,3)/Basis!$E$3,0.5)</f>
        <v>32</v>
      </c>
      <c r="F1614" s="124" t="s">
        <v>2947</v>
      </c>
      <c r="G1614" s="45">
        <f>ROUND((MROUND($F1614,5)+3)/Basis!$E$3,1)</f>
        <v>7.1</v>
      </c>
      <c r="H1614" s="120">
        <f>ROUND($P1614*Basis!$E$2*((TaH-TrH)/LN(1/µ)/Basis!$E$7)^$N1614*$AA$4*Glycol,0)</f>
        <v>3989</v>
      </c>
      <c r="I1614" s="83">
        <f>ROUND(H1614/(MID($C1614,9,3)/Basis!$E$3/Basis!$E$9)*Basis!$E$11,0)</f>
        <v>1501</v>
      </c>
      <c r="J1614" s="123">
        <f>IF(Basis!$E$1=1,ROUND(H1614/((TaH-TrH)*1.163)/3600,3),ROUND(H1614/(500*(TaH-TrH)),2))</f>
        <v>0.4</v>
      </c>
      <c r="K1614" s="84"/>
      <c r="L1614" s="177">
        <f>CHOOSE(Basis!$E$1,((AJ1614*(J1614*3600/Basis!$E$5)^AK1614*(((MID(C1614,9,3)*10)-144)/1000)*AL1614+AM1614*(J1614*3600/Basis!$E$5)^2)*0.0098)/Basis!$E$10,((AJ1614*(J1614/Basis!$E$5)^AK1614*(((MID(C1614,9,3)*10)-144)/1000)*AL1614+AM1614*(J1614/Basis!$E$5)^2)*0.0098)/Basis!$E$10)</f>
        <v>4.1901747167149971E-2</v>
      </c>
      <c r="M1614" s="85"/>
      <c r="N1614" s="109">
        <v>1</v>
      </c>
      <c r="O1614" s="68"/>
      <c r="P1614" s="67">
        <v>1626</v>
      </c>
      <c r="Q1614" s="68"/>
      <c r="R1614" s="69"/>
      <c r="S1614" s="69"/>
      <c r="T1614" s="69"/>
      <c r="U1614" s="69"/>
      <c r="V1614" s="69"/>
      <c r="W1614" s="68"/>
      <c r="X1614" s="70"/>
      <c r="Y1614" s="70"/>
      <c r="Z1614" s="70"/>
      <c r="AA1614" s="70"/>
      <c r="AB1614" s="70"/>
      <c r="AC1614" s="68"/>
      <c r="AD1614" s="71"/>
      <c r="AE1614" s="71"/>
      <c r="AF1614" s="71"/>
      <c r="AG1614" s="71"/>
      <c r="AH1614" s="71"/>
      <c r="AI1614" s="68"/>
      <c r="AJ1614" s="214">
        <v>2.0829999999999999E-4</v>
      </c>
      <c r="AK1614" s="214">
        <v>1.724</v>
      </c>
      <c r="AL1614" s="214">
        <v>4</v>
      </c>
      <c r="AM1614" s="214">
        <v>1.392796E-3</v>
      </c>
      <c r="AN1614" s="68"/>
      <c r="AO1614" s="67"/>
      <c r="AP1614" s="67"/>
      <c r="AQ1614" s="67"/>
      <c r="AR1614" s="67"/>
      <c r="AS1614" s="67"/>
      <c r="AT1614" s="68"/>
      <c r="AU1614" s="49"/>
      <c r="AV1614" s="50"/>
    </row>
    <row r="1615" spans="1:48" ht="12.75" customHeight="1" x14ac:dyDescent="0.25">
      <c r="A1615" s="72" t="s">
        <v>883</v>
      </c>
      <c r="B1615" s="43" t="s">
        <v>1580</v>
      </c>
      <c r="C1615" s="44" t="s">
        <v>1771</v>
      </c>
      <c r="D1615" s="45">
        <f>MROUND(MID($C1615,6,3)/Basis!$E$3,0.5)</f>
        <v>11</v>
      </c>
      <c r="E1615" s="45">
        <f>MROUND(MID($C1615,9,3)/Basis!$E$3,0.5)</f>
        <v>35.5</v>
      </c>
      <c r="F1615" s="124" t="s">
        <v>2949</v>
      </c>
      <c r="G1615" s="45">
        <f>ROUND((MROUND($F1615,5)+3)/Basis!$E$3,1)</f>
        <v>3.1</v>
      </c>
      <c r="H1615" s="120">
        <f>ROUND($P1615*Basis!$E$2*((TaH-TrH)/LN(1/µ)/Basis!$E$7)^$N1615*$AA$4*Glycol,0)</f>
        <v>1102</v>
      </c>
      <c r="I1615" s="83">
        <f>ROUND(H1615/(MID($C1615,9,3)/Basis!$E$3/Basis!$E$9)*Basis!$E$11,0)</f>
        <v>373</v>
      </c>
      <c r="J1615" s="123">
        <f>IF(Basis!$E$1=1,ROUND(H1615/((TaH-TrH)*1.163)/3600,3),ROUND(H1615/(500*(TaH-TrH)),2))</f>
        <v>0.11</v>
      </c>
      <c r="K1615" s="84"/>
      <c r="L1615" s="177">
        <f>CHOOSE(Basis!$E$1,((AJ1615*(J1615*3600/Basis!$E$5)^AK1615*(((MID(C1615,9,3)*10)-144)/1000)*AL1615+AM1615*(J1615*3600/Basis!$E$5)^2)*0.0098)/Basis!$E$10,((AJ1615*(J1615/Basis!$E$5)^AK1615*(((MID(C1615,9,3)*10)-144)/1000)*AL1615+AM1615*(J1615/Basis!$E$5)^2)*0.0098)/Basis!$E$10)</f>
        <v>4.0117431848428441E-3</v>
      </c>
      <c r="M1615" s="85"/>
      <c r="N1615" s="109">
        <v>1.403</v>
      </c>
      <c r="O1615" s="68"/>
      <c r="P1615" s="67">
        <v>513</v>
      </c>
      <c r="Q1615" s="68"/>
      <c r="R1615" s="69"/>
      <c r="S1615" s="69"/>
      <c r="T1615" s="69"/>
      <c r="U1615" s="69"/>
      <c r="V1615" s="69"/>
      <c r="W1615" s="68"/>
      <c r="X1615" s="70"/>
      <c r="Y1615" s="70"/>
      <c r="Z1615" s="70"/>
      <c r="AA1615" s="70"/>
      <c r="AB1615" s="70"/>
      <c r="AC1615" s="68"/>
      <c r="AD1615" s="71"/>
      <c r="AE1615" s="71"/>
      <c r="AF1615" s="71"/>
      <c r="AG1615" s="71"/>
      <c r="AH1615" s="71"/>
      <c r="AI1615" s="68"/>
      <c r="AJ1615" s="214">
        <v>4.1688828699999996E-3</v>
      </c>
      <c r="AK1615" s="214">
        <v>1.411581940642</v>
      </c>
      <c r="AL1615" s="214">
        <v>3</v>
      </c>
      <c r="AM1615" s="214">
        <v>5.4247339961626003E-4</v>
      </c>
      <c r="AN1615" s="68"/>
      <c r="AO1615" s="67"/>
      <c r="AP1615" s="67"/>
      <c r="AQ1615" s="67"/>
      <c r="AR1615" s="67"/>
      <c r="AS1615" s="67"/>
      <c r="AT1615" s="68"/>
      <c r="AU1615" s="49"/>
      <c r="AV1615" s="50"/>
    </row>
    <row r="1616" spans="1:48" ht="12.75" customHeight="1" x14ac:dyDescent="0.25">
      <c r="A1616" s="72" t="s">
        <v>883</v>
      </c>
      <c r="B1616" s="43" t="s">
        <v>1580</v>
      </c>
      <c r="C1616" s="44" t="s">
        <v>1772</v>
      </c>
      <c r="D1616" s="45">
        <f>MROUND(MID($C1616,6,3)/Basis!$E$3,0.5)</f>
        <v>11</v>
      </c>
      <c r="E1616" s="45">
        <f>MROUND(MID($C1616,9,3)/Basis!$E$3,0.5)</f>
        <v>35.5</v>
      </c>
      <c r="F1616" s="124" t="s">
        <v>2946</v>
      </c>
      <c r="G1616" s="45">
        <f>ROUND((MROUND($F1616,5)+3)/Basis!$E$3,1)</f>
        <v>5.0999999999999996</v>
      </c>
      <c r="H1616" s="120">
        <f>ROUND($P1616*Basis!$E$2*((TaH-TrH)/LN(1/µ)/Basis!$E$7)^$N1616*$AA$4*Glycol,0)</f>
        <v>2078</v>
      </c>
      <c r="I1616" s="83">
        <f>ROUND(H1616/(MID($C1616,9,3)/Basis!$E$3/Basis!$E$9)*Basis!$E$11,0)</f>
        <v>704</v>
      </c>
      <c r="J1616" s="123">
        <f>IF(Basis!$E$1=1,ROUND(H1616/((TaH-TrH)*1.163)/3600,3),ROUND(H1616/(500*(TaH-TrH)),2))</f>
        <v>0.21</v>
      </c>
      <c r="K1616" s="84"/>
      <c r="L1616" s="177">
        <f>CHOOSE(Basis!$E$1,((AJ1616*(J1616*3600/Basis!$E$5)^AK1616*(((MID(C1616,9,3)*10)-144)/1000)*AL1616+AM1616*(J1616*3600/Basis!$E$5)^2)*0.0098)/Basis!$E$10,((AJ1616*(J1616/Basis!$E$5)^AK1616*(((MID(C1616,9,3)*10)-144)/1000)*AL1616+AM1616*(J1616/Basis!$E$5)^2)*0.0098)/Basis!$E$10)</f>
        <v>7.4726635708694455E-3</v>
      </c>
      <c r="M1616" s="85"/>
      <c r="N1616" s="109">
        <v>1.4410000000000001</v>
      </c>
      <c r="O1616" s="68"/>
      <c r="P1616" s="67">
        <v>980</v>
      </c>
      <c r="Q1616" s="68"/>
      <c r="R1616" s="69"/>
      <c r="S1616" s="69"/>
      <c r="T1616" s="69"/>
      <c r="U1616" s="69"/>
      <c r="V1616" s="69"/>
      <c r="W1616" s="68"/>
      <c r="X1616" s="70"/>
      <c r="Y1616" s="70"/>
      <c r="Z1616" s="70"/>
      <c r="AA1616" s="70"/>
      <c r="AB1616" s="70"/>
      <c r="AC1616" s="68"/>
      <c r="AD1616" s="71"/>
      <c r="AE1616" s="71"/>
      <c r="AF1616" s="71"/>
      <c r="AG1616" s="71"/>
      <c r="AH1616" s="71"/>
      <c r="AI1616" s="68"/>
      <c r="AJ1616" s="214">
        <v>3.9689999999999994E-4</v>
      </c>
      <c r="AK1616" s="214">
        <v>1.7345999999999999</v>
      </c>
      <c r="AL1616" s="214">
        <v>4</v>
      </c>
      <c r="AM1616" s="214">
        <v>5.7428799999999995E-4</v>
      </c>
      <c r="AN1616" s="68"/>
      <c r="AO1616" s="67"/>
      <c r="AP1616" s="67"/>
      <c r="AQ1616" s="67"/>
      <c r="AR1616" s="67"/>
      <c r="AS1616" s="67"/>
      <c r="AT1616" s="68"/>
      <c r="AU1616" s="49"/>
      <c r="AV1616" s="50"/>
    </row>
    <row r="1617" spans="1:48" ht="12.75" customHeight="1" x14ac:dyDescent="0.25">
      <c r="A1617" s="72" t="s">
        <v>883</v>
      </c>
      <c r="B1617" s="43" t="s">
        <v>1580</v>
      </c>
      <c r="C1617" s="44" t="s">
        <v>1773</v>
      </c>
      <c r="D1617" s="45">
        <f>MROUND(MID($C1617,6,3)/Basis!$E$3,0.5)</f>
        <v>11</v>
      </c>
      <c r="E1617" s="45">
        <f>MROUND(MID($C1617,9,3)/Basis!$E$3,0.5)</f>
        <v>35.5</v>
      </c>
      <c r="F1617" s="124" t="s">
        <v>2947</v>
      </c>
      <c r="G1617" s="45">
        <f>ROUND((MROUND($F1617,5)+3)/Basis!$E$3,1)</f>
        <v>7.1</v>
      </c>
      <c r="H1617" s="120">
        <f>ROUND($P1617*Basis!$E$2*((TaH-TrH)/LN(1/µ)/Basis!$E$7)^$N1617*$AA$4*Glycol,0)</f>
        <v>2723</v>
      </c>
      <c r="I1617" s="83">
        <f>ROUND(H1617/(MID($C1617,9,3)/Basis!$E$3/Basis!$E$9)*Basis!$E$11,0)</f>
        <v>922</v>
      </c>
      <c r="J1617" s="123">
        <f>IF(Basis!$E$1=1,ROUND(H1617/((TaH-TrH)*1.163)/3600,3),ROUND(H1617/(500*(TaH-TrH)),2))</f>
        <v>0.27</v>
      </c>
      <c r="K1617" s="84"/>
      <c r="L1617" s="177">
        <f>CHOOSE(Basis!$E$1,((AJ1617*(J1617*3600/Basis!$E$5)^AK1617*(((MID(C1617,9,3)*10)-144)/1000)*AL1617+AM1617*(J1617*3600/Basis!$E$5)^2)*0.0098)/Basis!$E$10,((AJ1617*(J1617/Basis!$E$5)^AK1617*(((MID(C1617,9,3)*10)-144)/1000)*AL1617+AM1617*(J1617/Basis!$E$5)^2)*0.0098)/Basis!$E$10)</f>
        <v>1.9612763670373769E-2</v>
      </c>
      <c r="M1617" s="85"/>
      <c r="N1617" s="109">
        <v>1.4550000000000001</v>
      </c>
      <c r="O1617" s="68"/>
      <c r="P1617" s="67">
        <v>1290</v>
      </c>
      <c r="Q1617" s="68"/>
      <c r="R1617" s="69"/>
      <c r="S1617" s="69"/>
      <c r="T1617" s="69"/>
      <c r="U1617" s="69"/>
      <c r="V1617" s="69"/>
      <c r="W1617" s="68"/>
      <c r="X1617" s="70"/>
      <c r="Y1617" s="70"/>
      <c r="Z1617" s="70"/>
      <c r="AA1617" s="70"/>
      <c r="AB1617" s="70"/>
      <c r="AC1617" s="68"/>
      <c r="AD1617" s="71"/>
      <c r="AE1617" s="71"/>
      <c r="AF1617" s="71"/>
      <c r="AG1617" s="71"/>
      <c r="AH1617" s="71"/>
      <c r="AI1617" s="68"/>
      <c r="AJ1617" s="214">
        <v>2.0829999999999999E-4</v>
      </c>
      <c r="AK1617" s="214">
        <v>1.724</v>
      </c>
      <c r="AL1617" s="214">
        <v>4</v>
      </c>
      <c r="AM1617" s="214">
        <v>1.392796E-3</v>
      </c>
      <c r="AN1617" s="68"/>
      <c r="AO1617" s="67"/>
      <c r="AP1617" s="67"/>
      <c r="AQ1617" s="67"/>
      <c r="AR1617" s="67"/>
      <c r="AS1617" s="67"/>
      <c r="AT1617" s="68"/>
      <c r="AU1617" s="49"/>
      <c r="AV1617" s="50"/>
    </row>
    <row r="1618" spans="1:48" ht="12.75" customHeight="1" x14ac:dyDescent="0.25">
      <c r="A1618" s="72" t="s">
        <v>883</v>
      </c>
      <c r="B1618" s="43" t="s">
        <v>1580</v>
      </c>
      <c r="C1618" s="44" t="s">
        <v>1774</v>
      </c>
      <c r="D1618" s="45">
        <f>MROUND(MID($C1618,6,3)/Basis!$E$3,0.5)</f>
        <v>11</v>
      </c>
      <c r="E1618" s="45">
        <f>MROUND(MID($C1618,9,3)/Basis!$E$3,0.5)</f>
        <v>35.5</v>
      </c>
      <c r="F1618" s="124" t="s">
        <v>2948</v>
      </c>
      <c r="G1618" s="45">
        <f>ROUND((MROUND($F1618,5)+3)/Basis!$E$3,1)</f>
        <v>9.1</v>
      </c>
      <c r="H1618" s="120">
        <f>ROUND($P1618*Basis!$E$2*((TaH-TrH)/LN(1/µ)/Basis!$E$7)^$N1618*$AA$4*Glycol,0)</f>
        <v>3555</v>
      </c>
      <c r="I1618" s="83">
        <f>ROUND(H1618/(MID($C1618,9,3)/Basis!$E$3/Basis!$E$9)*Basis!$E$11,0)</f>
        <v>1204</v>
      </c>
      <c r="J1618" s="123">
        <f>IF(Basis!$E$1=1,ROUND(H1618/((TaH-TrH)*1.163)/3600,3),ROUND(H1618/(500*(TaH-TrH)),2))</f>
        <v>0.36</v>
      </c>
      <c r="K1618" s="84"/>
      <c r="L1618" s="177">
        <f>CHOOSE(Basis!$E$1,((AJ1618*(J1618*3600/Basis!$E$5)^AK1618*(((MID(C1618,9,3)*10)-144)/1000)*AL1618+AM1618*(J1618*3600/Basis!$E$5)^2)*0.0098)/Basis!$E$10,((AJ1618*(J1618/Basis!$E$5)^AK1618*(((MID(C1618,9,3)*10)-144)/1000)*AL1618+AM1618*(J1618/Basis!$E$5)^2)*0.0098)/Basis!$E$10)</f>
        <v>1.3718777689102938E-2</v>
      </c>
      <c r="M1618" s="85"/>
      <c r="N1618" s="109">
        <v>1.4670000000000001</v>
      </c>
      <c r="O1618" s="68"/>
      <c r="P1618" s="67">
        <v>1691</v>
      </c>
      <c r="Q1618" s="68"/>
      <c r="R1618" s="69"/>
      <c r="S1618" s="69"/>
      <c r="T1618" s="69"/>
      <c r="U1618" s="69"/>
      <c r="V1618" s="69"/>
      <c r="W1618" s="68"/>
      <c r="X1618" s="70"/>
      <c r="Y1618" s="70"/>
      <c r="Z1618" s="70"/>
      <c r="AA1618" s="70"/>
      <c r="AB1618" s="70"/>
      <c r="AC1618" s="68"/>
      <c r="AD1618" s="71"/>
      <c r="AE1618" s="71"/>
      <c r="AF1618" s="71"/>
      <c r="AG1618" s="71"/>
      <c r="AH1618" s="71"/>
      <c r="AI1618" s="68"/>
      <c r="AJ1618" s="214">
        <v>1.2760000000000001E-4</v>
      </c>
      <c r="AK1618" s="214">
        <v>1.7219</v>
      </c>
      <c r="AL1618" s="214">
        <v>4</v>
      </c>
      <c r="AM1618" s="214">
        <v>5.1420100000000005E-4</v>
      </c>
      <c r="AN1618" s="68"/>
      <c r="AO1618" s="67"/>
      <c r="AP1618" s="67"/>
      <c r="AQ1618" s="67"/>
      <c r="AR1618" s="67"/>
      <c r="AS1618" s="67"/>
      <c r="AT1618" s="68"/>
      <c r="AU1618" s="49"/>
      <c r="AV1618" s="50"/>
    </row>
    <row r="1619" spans="1:48" ht="12.75" customHeight="1" x14ac:dyDescent="0.25">
      <c r="A1619" s="72" t="s">
        <v>883</v>
      </c>
      <c r="B1619" s="43" t="s">
        <v>1580</v>
      </c>
      <c r="C1619" s="44" t="s">
        <v>1775</v>
      </c>
      <c r="D1619" s="45">
        <f>MROUND(MID($C1619,6,3)/Basis!$E$3,0.5)</f>
        <v>11</v>
      </c>
      <c r="E1619" s="45">
        <f>MROUND(MID($C1619,9,3)/Basis!$E$3,0.5)</f>
        <v>39.5</v>
      </c>
      <c r="F1619" s="124" t="s">
        <v>2949</v>
      </c>
      <c r="G1619" s="45">
        <f>ROUND((MROUND($F1619,5)+3)/Basis!$E$3,1)</f>
        <v>3.1</v>
      </c>
      <c r="H1619" s="120">
        <f>ROUND($P1619*Basis!$E$2*((TaH-TrH)/LN(1/µ)/Basis!$E$7)^$N1619*$AA$4*Glycol,0)</f>
        <v>1224</v>
      </c>
      <c r="I1619" s="83">
        <f>ROUND(H1619/(MID($C1619,9,3)/Basis!$E$3/Basis!$E$9)*Basis!$E$11,0)</f>
        <v>373</v>
      </c>
      <c r="J1619" s="123">
        <f>IF(Basis!$E$1=1,ROUND(H1619/((TaH-TrH)*1.163)/3600,3),ROUND(H1619/(500*(TaH-TrH)),2))</f>
        <v>0.12</v>
      </c>
      <c r="K1619" s="84"/>
      <c r="L1619" s="177">
        <f>CHOOSE(Basis!$E$1,((AJ1619*(J1619*3600/Basis!$E$5)^AK1619*(((MID(C1619,9,3)*10)-144)/1000)*AL1619+AM1619*(J1619*3600/Basis!$E$5)^2)*0.0098)/Basis!$E$10,((AJ1619*(J1619/Basis!$E$5)^AK1619*(((MID(C1619,9,3)*10)-144)/1000)*AL1619+AM1619*(J1619/Basis!$E$5)^2)*0.0098)/Basis!$E$10)</f>
        <v>5.0361965256914892E-3</v>
      </c>
      <c r="M1619" s="85"/>
      <c r="N1619" s="109">
        <v>1.403</v>
      </c>
      <c r="O1619" s="68"/>
      <c r="P1619" s="67">
        <v>570</v>
      </c>
      <c r="Q1619" s="68"/>
      <c r="R1619" s="69"/>
      <c r="S1619" s="69"/>
      <c r="T1619" s="69"/>
      <c r="U1619" s="69"/>
      <c r="V1619" s="69"/>
      <c r="W1619" s="68"/>
      <c r="X1619" s="70"/>
      <c r="Y1619" s="70"/>
      <c r="Z1619" s="70"/>
      <c r="AA1619" s="70"/>
      <c r="AB1619" s="70"/>
      <c r="AC1619" s="68"/>
      <c r="AD1619" s="71"/>
      <c r="AE1619" s="71"/>
      <c r="AF1619" s="71"/>
      <c r="AG1619" s="71"/>
      <c r="AH1619" s="71"/>
      <c r="AI1619" s="68"/>
      <c r="AJ1619" s="214">
        <v>4.1688828699999996E-3</v>
      </c>
      <c r="AK1619" s="214">
        <v>1.411581940642</v>
      </c>
      <c r="AL1619" s="214">
        <v>3</v>
      </c>
      <c r="AM1619" s="214">
        <v>5.4247339961626003E-4</v>
      </c>
      <c r="AN1619" s="68"/>
      <c r="AO1619" s="67"/>
      <c r="AP1619" s="67"/>
      <c r="AQ1619" s="67"/>
      <c r="AR1619" s="67"/>
      <c r="AS1619" s="67"/>
      <c r="AT1619" s="68"/>
      <c r="AU1619" s="49"/>
      <c r="AV1619" s="50"/>
    </row>
    <row r="1620" spans="1:48" ht="12.75" customHeight="1" x14ac:dyDescent="0.25">
      <c r="A1620" s="72" t="s">
        <v>883</v>
      </c>
      <c r="B1620" s="43" t="s">
        <v>1580</v>
      </c>
      <c r="C1620" s="44" t="s">
        <v>1776</v>
      </c>
      <c r="D1620" s="45">
        <f>MROUND(MID($C1620,6,3)/Basis!$E$3,0.5)</f>
        <v>11</v>
      </c>
      <c r="E1620" s="45">
        <f>MROUND(MID($C1620,9,3)/Basis!$E$3,0.5)</f>
        <v>39.5</v>
      </c>
      <c r="F1620" s="124" t="s">
        <v>2946</v>
      </c>
      <c r="G1620" s="45">
        <f>ROUND((MROUND($F1620,5)+3)/Basis!$E$3,1)</f>
        <v>5.0999999999999996</v>
      </c>
      <c r="H1620" s="120">
        <f>ROUND($P1620*Basis!$E$2*((TaH-TrH)/LN(1/µ)/Basis!$E$7)^$N1620*$AA$4*Glycol,0)</f>
        <v>2309</v>
      </c>
      <c r="I1620" s="83">
        <f>ROUND(H1620/(MID($C1620,9,3)/Basis!$E$3/Basis!$E$9)*Basis!$E$11,0)</f>
        <v>704</v>
      </c>
      <c r="J1620" s="123">
        <f>IF(Basis!$E$1=1,ROUND(H1620/((TaH-TrH)*1.163)/3600,3),ROUND(H1620/(500*(TaH-TrH)),2))</f>
        <v>0.23</v>
      </c>
      <c r="K1620" s="84"/>
      <c r="L1620" s="177">
        <f>CHOOSE(Basis!$E$1,((AJ1620*(J1620*3600/Basis!$E$5)^AK1620*(((MID(C1620,9,3)*10)-144)/1000)*AL1620+AM1620*(J1620*3600/Basis!$E$5)^2)*0.0098)/Basis!$E$10,((AJ1620*(J1620/Basis!$E$5)^AK1620*(((MID(C1620,9,3)*10)-144)/1000)*AL1620+AM1620*(J1620/Basis!$E$5)^2)*0.0098)/Basis!$E$10)</f>
        <v>9.3679867918831025E-3</v>
      </c>
      <c r="M1620" s="85"/>
      <c r="N1620" s="109">
        <v>1.4410000000000001</v>
      </c>
      <c r="O1620" s="68"/>
      <c r="P1620" s="67">
        <v>1089</v>
      </c>
      <c r="Q1620" s="68"/>
      <c r="R1620" s="69"/>
      <c r="S1620" s="69"/>
      <c r="T1620" s="69"/>
      <c r="U1620" s="69"/>
      <c r="V1620" s="69"/>
      <c r="W1620" s="68"/>
      <c r="X1620" s="70"/>
      <c r="Y1620" s="70"/>
      <c r="Z1620" s="70"/>
      <c r="AA1620" s="70"/>
      <c r="AB1620" s="70"/>
      <c r="AC1620" s="68"/>
      <c r="AD1620" s="71"/>
      <c r="AE1620" s="71"/>
      <c r="AF1620" s="71"/>
      <c r="AG1620" s="71"/>
      <c r="AH1620" s="71"/>
      <c r="AI1620" s="68"/>
      <c r="AJ1620" s="214">
        <v>3.9689999999999994E-4</v>
      </c>
      <c r="AK1620" s="214">
        <v>1.7345999999999999</v>
      </c>
      <c r="AL1620" s="214">
        <v>4</v>
      </c>
      <c r="AM1620" s="214">
        <v>5.7428799999999995E-4</v>
      </c>
      <c r="AN1620" s="68"/>
      <c r="AO1620" s="67"/>
      <c r="AP1620" s="67"/>
      <c r="AQ1620" s="67"/>
      <c r="AR1620" s="67"/>
      <c r="AS1620" s="67"/>
      <c r="AT1620" s="68"/>
      <c r="AU1620" s="49"/>
      <c r="AV1620" s="50"/>
    </row>
    <row r="1621" spans="1:48" ht="12.75" customHeight="1" x14ac:dyDescent="0.25">
      <c r="A1621" s="72" t="s">
        <v>883</v>
      </c>
      <c r="B1621" s="43" t="s">
        <v>1580</v>
      </c>
      <c r="C1621" s="44" t="s">
        <v>1777</v>
      </c>
      <c r="D1621" s="45">
        <f>MROUND(MID($C1621,6,3)/Basis!$E$3,0.5)</f>
        <v>11</v>
      </c>
      <c r="E1621" s="45">
        <f>MROUND(MID($C1621,9,3)/Basis!$E$3,0.5)</f>
        <v>39.5</v>
      </c>
      <c r="F1621" s="124" t="s">
        <v>2947</v>
      </c>
      <c r="G1621" s="45">
        <f>ROUND((MROUND($F1621,5)+3)/Basis!$E$3,1)</f>
        <v>7.1</v>
      </c>
      <c r="H1621" s="120">
        <f>ROUND($P1621*Basis!$E$2*((TaH-TrH)/LN(1/µ)/Basis!$E$7)^$N1621*$AA$4*Glycol,0)</f>
        <v>3025</v>
      </c>
      <c r="I1621" s="83">
        <f>ROUND(H1621/(MID($C1621,9,3)/Basis!$E$3/Basis!$E$9)*Basis!$E$11,0)</f>
        <v>922</v>
      </c>
      <c r="J1621" s="123">
        <f>IF(Basis!$E$1=1,ROUND(H1621/((TaH-TrH)*1.163)/3600,3),ROUND(H1621/(500*(TaH-TrH)),2))</f>
        <v>0.3</v>
      </c>
      <c r="K1621" s="84"/>
      <c r="L1621" s="177">
        <f>CHOOSE(Basis!$E$1,((AJ1621*(J1621*3600/Basis!$E$5)^AK1621*(((MID(C1621,9,3)*10)-144)/1000)*AL1621+AM1621*(J1621*3600/Basis!$E$5)^2)*0.0098)/Basis!$E$10,((AJ1621*(J1621/Basis!$E$5)^AK1621*(((MID(C1621,9,3)*10)-144)/1000)*AL1621+AM1621*(J1621/Basis!$E$5)^2)*0.0098)/Basis!$E$10)</f>
        <v>2.4519768050456105E-2</v>
      </c>
      <c r="M1621" s="85"/>
      <c r="N1621" s="109">
        <v>1.4550000000000001</v>
      </c>
      <c r="O1621" s="68"/>
      <c r="P1621" s="67">
        <v>1433</v>
      </c>
      <c r="Q1621" s="68"/>
      <c r="R1621" s="69"/>
      <c r="S1621" s="69"/>
      <c r="T1621" s="69"/>
      <c r="U1621" s="69"/>
      <c r="V1621" s="69"/>
      <c r="W1621" s="68"/>
      <c r="X1621" s="70"/>
      <c r="Y1621" s="70"/>
      <c r="Z1621" s="70"/>
      <c r="AA1621" s="70"/>
      <c r="AB1621" s="70"/>
      <c r="AC1621" s="68"/>
      <c r="AD1621" s="71"/>
      <c r="AE1621" s="71"/>
      <c r="AF1621" s="71"/>
      <c r="AG1621" s="71"/>
      <c r="AH1621" s="71"/>
      <c r="AI1621" s="68"/>
      <c r="AJ1621" s="214">
        <v>2.0829999999999999E-4</v>
      </c>
      <c r="AK1621" s="214">
        <v>1.724</v>
      </c>
      <c r="AL1621" s="214">
        <v>4</v>
      </c>
      <c r="AM1621" s="214">
        <v>1.392796E-3</v>
      </c>
      <c r="AN1621" s="68"/>
      <c r="AO1621" s="67"/>
      <c r="AP1621" s="67"/>
      <c r="AQ1621" s="67"/>
      <c r="AR1621" s="67"/>
      <c r="AS1621" s="67"/>
      <c r="AT1621" s="68"/>
      <c r="AU1621" s="49"/>
      <c r="AV1621" s="50"/>
    </row>
    <row r="1622" spans="1:48" ht="12.75" customHeight="1" x14ac:dyDescent="0.25">
      <c r="A1622" s="72" t="s">
        <v>883</v>
      </c>
      <c r="B1622" s="43" t="s">
        <v>1580</v>
      </c>
      <c r="C1622" s="44" t="s">
        <v>1778</v>
      </c>
      <c r="D1622" s="45">
        <f>MROUND(MID($C1622,6,3)/Basis!$E$3,0.5)</f>
        <v>11</v>
      </c>
      <c r="E1622" s="45">
        <f>MROUND(MID($C1622,9,3)/Basis!$E$3,0.5)</f>
        <v>39.5</v>
      </c>
      <c r="F1622" s="124" t="s">
        <v>2948</v>
      </c>
      <c r="G1622" s="45">
        <f>ROUND((MROUND($F1622,5)+3)/Basis!$E$3,1)</f>
        <v>9.1</v>
      </c>
      <c r="H1622" s="120">
        <f>ROUND($P1622*Basis!$E$2*((TaH-TrH)/LN(1/µ)/Basis!$E$7)^$N1622*$AA$4*Glycol,0)</f>
        <v>3951</v>
      </c>
      <c r="I1622" s="83">
        <f>ROUND(H1622/(MID($C1622,9,3)/Basis!$E$3/Basis!$E$9)*Basis!$E$11,0)</f>
        <v>1204</v>
      </c>
      <c r="J1622" s="123">
        <f>IF(Basis!$E$1=1,ROUND(H1622/((TaH-TrH)*1.163)/3600,3),ROUND(H1622/(500*(TaH-TrH)),2))</f>
        <v>0.4</v>
      </c>
      <c r="K1622" s="84"/>
      <c r="L1622" s="177">
        <f>CHOOSE(Basis!$E$1,((AJ1622*(J1622*3600/Basis!$E$5)^AK1622*(((MID(C1622,9,3)*10)-144)/1000)*AL1622+AM1622*(J1622*3600/Basis!$E$5)^2)*0.0098)/Basis!$E$10,((AJ1622*(J1622/Basis!$E$5)^AK1622*(((MID(C1622,9,3)*10)-144)/1000)*AL1622+AM1622*(J1622/Basis!$E$5)^2)*0.0098)/Basis!$E$10)</f>
        <v>1.7241468628532812E-2</v>
      </c>
      <c r="M1622" s="85"/>
      <c r="N1622" s="109">
        <v>1.4670000000000001</v>
      </c>
      <c r="O1622" s="68"/>
      <c r="P1622" s="67">
        <v>1879</v>
      </c>
      <c r="Q1622" s="68"/>
      <c r="R1622" s="69"/>
      <c r="S1622" s="69"/>
      <c r="T1622" s="69"/>
      <c r="U1622" s="69"/>
      <c r="V1622" s="69"/>
      <c r="W1622" s="68"/>
      <c r="X1622" s="70"/>
      <c r="Y1622" s="70"/>
      <c r="Z1622" s="70"/>
      <c r="AA1622" s="70"/>
      <c r="AB1622" s="70"/>
      <c r="AC1622" s="68"/>
      <c r="AD1622" s="71"/>
      <c r="AE1622" s="71"/>
      <c r="AF1622" s="71"/>
      <c r="AG1622" s="71"/>
      <c r="AH1622" s="71"/>
      <c r="AI1622" s="68"/>
      <c r="AJ1622" s="214">
        <v>1.2760000000000001E-4</v>
      </c>
      <c r="AK1622" s="214">
        <v>1.7219</v>
      </c>
      <c r="AL1622" s="214">
        <v>4</v>
      </c>
      <c r="AM1622" s="214">
        <v>5.1420100000000005E-4</v>
      </c>
      <c r="AN1622" s="68"/>
      <c r="AO1622" s="67"/>
      <c r="AP1622" s="67"/>
      <c r="AQ1622" s="67"/>
      <c r="AR1622" s="67"/>
      <c r="AS1622" s="67"/>
      <c r="AT1622" s="68"/>
      <c r="AU1622" s="49"/>
      <c r="AV1622" s="50"/>
    </row>
    <row r="1623" spans="1:48" ht="12.75" customHeight="1" x14ac:dyDescent="0.25">
      <c r="A1623" s="72" t="s">
        <v>883</v>
      </c>
      <c r="B1623" s="43" t="s">
        <v>1580</v>
      </c>
      <c r="C1623" s="44" t="s">
        <v>1779</v>
      </c>
      <c r="D1623" s="45">
        <f>MROUND(MID($C1623,6,3)/Basis!$E$3,0.5)</f>
        <v>11</v>
      </c>
      <c r="E1623" s="45">
        <f>MROUND(MID($C1623,9,3)/Basis!$E$3,0.5)</f>
        <v>40</v>
      </c>
      <c r="F1623" s="124" t="s">
        <v>2946</v>
      </c>
      <c r="G1623" s="45">
        <f>ROUND((MROUND($F1623,5)+3)/Basis!$E$3,1)</f>
        <v>5.0999999999999996</v>
      </c>
      <c r="H1623" s="120">
        <f>ROUND($P1623*Basis!$E$2*((TaH-TrH)/LN(1/µ)/Basis!$E$7)^$N1623*$AA$4*Glycol,0)</f>
        <v>4143</v>
      </c>
      <c r="I1623" s="83">
        <f>ROUND(H1623/(MID($C1623,9,3)/Basis!$E$3/Basis!$E$9)*Basis!$E$11,0)</f>
        <v>1250</v>
      </c>
      <c r="J1623" s="123">
        <f>IF(Basis!$E$1=1,ROUND(H1623/((TaH-TrH)*1.163)/3600,3),ROUND(H1623/(500*(TaH-TrH)),2))</f>
        <v>0.41</v>
      </c>
      <c r="K1623" s="84"/>
      <c r="L1623" s="177">
        <f>CHOOSE(Basis!$E$1,((AJ1623*(J1623*3600/Basis!$E$5)^AK1623*(((MID(C1623,9,3)*10)-144)/1000)*AL1623+AM1623*(J1623*3600/Basis!$E$5)^2)*0.0098)/Basis!$E$10,((AJ1623*(J1623/Basis!$E$5)^AK1623*(((MID(C1623,9,3)*10)-144)/1000)*AL1623+AM1623*(J1623/Basis!$E$5)^2)*0.0098)/Basis!$E$10)</f>
        <v>2.7985646754119294E-2</v>
      </c>
      <c r="M1623" s="85"/>
      <c r="N1623" s="110">
        <v>1</v>
      </c>
      <c r="O1623" s="74"/>
      <c r="P1623" s="73">
        <v>1689</v>
      </c>
      <c r="Q1623" s="74"/>
      <c r="R1623" s="75"/>
      <c r="S1623" s="75"/>
      <c r="T1623" s="75"/>
      <c r="U1623" s="75"/>
      <c r="V1623" s="75"/>
      <c r="W1623" s="74"/>
      <c r="X1623" s="76"/>
      <c r="Y1623" s="76"/>
      <c r="Z1623" s="76"/>
      <c r="AA1623" s="76"/>
      <c r="AB1623" s="76"/>
      <c r="AC1623" s="74"/>
      <c r="AD1623" s="77"/>
      <c r="AE1623" s="77"/>
      <c r="AF1623" s="77"/>
      <c r="AG1623" s="77"/>
      <c r="AH1623" s="77"/>
      <c r="AI1623" s="68"/>
      <c r="AJ1623" s="213">
        <v>3.9689999999999994E-4</v>
      </c>
      <c r="AK1623" s="213">
        <v>1.7345999999999999</v>
      </c>
      <c r="AL1623" s="213">
        <v>4</v>
      </c>
      <c r="AM1623" s="213">
        <v>5.7428799999999995E-4</v>
      </c>
      <c r="AN1623" s="74"/>
      <c r="AO1623" s="73"/>
      <c r="AP1623" s="73"/>
      <c r="AQ1623" s="73"/>
      <c r="AR1623" s="73"/>
      <c r="AS1623" s="73"/>
      <c r="AT1623" s="74"/>
      <c r="AU1623" s="47"/>
      <c r="AV1623" s="48"/>
    </row>
    <row r="1624" spans="1:48" ht="12.75" customHeight="1" x14ac:dyDescent="0.25">
      <c r="A1624" s="72" t="s">
        <v>883</v>
      </c>
      <c r="B1624" s="43" t="s">
        <v>1580</v>
      </c>
      <c r="C1624" s="44" t="s">
        <v>1780</v>
      </c>
      <c r="D1624" s="45">
        <f>MROUND(MID($C1624,6,3)/Basis!$E$3,0.5)</f>
        <v>11</v>
      </c>
      <c r="E1624" s="45">
        <f>MROUND(MID($C1624,9,3)/Basis!$E$3,0.5)</f>
        <v>40</v>
      </c>
      <c r="F1624" s="124" t="s">
        <v>2947</v>
      </c>
      <c r="G1624" s="45">
        <f>ROUND((MROUND($F1624,5)+3)/Basis!$E$3,1)</f>
        <v>7.1</v>
      </c>
      <c r="H1624" s="120">
        <f>ROUND($P1624*Basis!$E$2*((TaH-TrH)/LN(1/µ)/Basis!$E$7)^$N1624*$AA$4*Glycol,0)</f>
        <v>5870</v>
      </c>
      <c r="I1624" s="83">
        <f>ROUND(H1624/(MID($C1624,9,3)/Basis!$E$3/Basis!$E$9)*Basis!$E$11,0)</f>
        <v>1771</v>
      </c>
      <c r="J1624" s="123">
        <f>IF(Basis!$E$1=1,ROUND(H1624/((TaH-TrH)*1.163)/3600,3),ROUND(H1624/(500*(TaH-TrH)),2))</f>
        <v>0.59</v>
      </c>
      <c r="K1624" s="84"/>
      <c r="L1624" s="177">
        <f>CHOOSE(Basis!$E$1,((AJ1624*(J1624*3600/Basis!$E$5)^AK1624*(((MID(C1624,9,3)*10)-144)/1000)*AL1624+AM1624*(J1624*3600/Basis!$E$5)^2)*0.0098)/Basis!$E$10,((AJ1624*(J1624/Basis!$E$5)^AK1624*(((MID(C1624,9,3)*10)-144)/1000)*AL1624+AM1624*(J1624/Basis!$E$5)^2)*0.0098)/Basis!$E$10)</f>
        <v>9.2739663021717794E-2</v>
      </c>
      <c r="M1624" s="85"/>
      <c r="N1624" s="109">
        <v>1</v>
      </c>
      <c r="O1624" s="68"/>
      <c r="P1624" s="67">
        <v>2393</v>
      </c>
      <c r="Q1624" s="68"/>
      <c r="R1624" s="69"/>
      <c r="S1624" s="69"/>
      <c r="T1624" s="69"/>
      <c r="U1624" s="69"/>
      <c r="V1624" s="69"/>
      <c r="W1624" s="68"/>
      <c r="X1624" s="70"/>
      <c r="Y1624" s="70"/>
      <c r="Z1624" s="70"/>
      <c r="AA1624" s="70"/>
      <c r="AB1624" s="70"/>
      <c r="AC1624" s="68"/>
      <c r="AD1624" s="71"/>
      <c r="AE1624" s="71"/>
      <c r="AF1624" s="71"/>
      <c r="AG1624" s="71"/>
      <c r="AH1624" s="71"/>
      <c r="AI1624" s="68"/>
      <c r="AJ1624" s="214">
        <v>2.0829999999999999E-4</v>
      </c>
      <c r="AK1624" s="214">
        <v>1.724</v>
      </c>
      <c r="AL1624" s="214">
        <v>4</v>
      </c>
      <c r="AM1624" s="214">
        <v>1.392796E-3</v>
      </c>
      <c r="AN1624" s="68"/>
      <c r="AO1624" s="67"/>
      <c r="AP1624" s="67"/>
      <c r="AQ1624" s="67"/>
      <c r="AR1624" s="67"/>
      <c r="AS1624" s="67"/>
      <c r="AT1624" s="68"/>
      <c r="AU1624" s="49"/>
      <c r="AV1624" s="50"/>
    </row>
    <row r="1625" spans="1:48" ht="12.75" customHeight="1" x14ac:dyDescent="0.25">
      <c r="A1625" s="72" t="s">
        <v>883</v>
      </c>
      <c r="B1625" s="43" t="s">
        <v>1580</v>
      </c>
      <c r="C1625" s="44" t="s">
        <v>1781</v>
      </c>
      <c r="D1625" s="45">
        <f>MROUND(MID($C1625,6,3)/Basis!$E$3,0.5)</f>
        <v>11</v>
      </c>
      <c r="E1625" s="45">
        <f>MROUND(MID($C1625,9,3)/Basis!$E$3,0.5)</f>
        <v>43.5</v>
      </c>
      <c r="F1625" s="124" t="s">
        <v>2949</v>
      </c>
      <c r="G1625" s="45">
        <f>ROUND((MROUND($F1625,5)+3)/Basis!$E$3,1)</f>
        <v>3.1</v>
      </c>
      <c r="H1625" s="120">
        <f>ROUND($P1625*Basis!$E$2*((TaH-TrH)/LN(1/µ)/Basis!$E$7)^$N1625*$AA$4*Glycol,0)</f>
        <v>1346</v>
      </c>
      <c r="I1625" s="83">
        <f>ROUND(H1625/(MID($C1625,9,3)/Basis!$E$3/Basis!$E$9)*Basis!$E$11,0)</f>
        <v>373</v>
      </c>
      <c r="J1625" s="123">
        <f>IF(Basis!$E$1=1,ROUND(H1625/((TaH-TrH)*1.163)/3600,3),ROUND(H1625/(500*(TaH-TrH)),2))</f>
        <v>0.13</v>
      </c>
      <c r="K1625" s="84"/>
      <c r="L1625" s="177">
        <f>CHOOSE(Basis!$E$1,((AJ1625*(J1625*3600/Basis!$E$5)^AK1625*(((MID(C1625,9,3)*10)-144)/1000)*AL1625+AM1625*(J1625*3600/Basis!$E$5)^2)*0.0098)/Basis!$E$10,((AJ1625*(J1625/Basis!$E$5)^AK1625*(((MID(C1625,9,3)*10)-144)/1000)*AL1625+AM1625*(J1625/Basis!$E$5)^2)*0.0098)/Basis!$E$10)</f>
        <v>6.1961347657117881E-3</v>
      </c>
      <c r="M1625" s="85"/>
      <c r="N1625" s="109">
        <v>1.403</v>
      </c>
      <c r="O1625" s="68"/>
      <c r="P1625" s="67">
        <v>627</v>
      </c>
      <c r="Q1625" s="68"/>
      <c r="R1625" s="69"/>
      <c r="S1625" s="69"/>
      <c r="T1625" s="69"/>
      <c r="U1625" s="69"/>
      <c r="V1625" s="69"/>
      <c r="W1625" s="68"/>
      <c r="X1625" s="70"/>
      <c r="Y1625" s="70"/>
      <c r="Z1625" s="70"/>
      <c r="AA1625" s="70"/>
      <c r="AB1625" s="70"/>
      <c r="AC1625" s="68"/>
      <c r="AD1625" s="71"/>
      <c r="AE1625" s="71"/>
      <c r="AF1625" s="71"/>
      <c r="AG1625" s="71"/>
      <c r="AH1625" s="71"/>
      <c r="AI1625" s="68"/>
      <c r="AJ1625" s="214">
        <v>4.1688828699999996E-3</v>
      </c>
      <c r="AK1625" s="214">
        <v>1.411581940642</v>
      </c>
      <c r="AL1625" s="214">
        <v>3</v>
      </c>
      <c r="AM1625" s="214">
        <v>5.4247339961626003E-4</v>
      </c>
      <c r="AN1625" s="68"/>
      <c r="AO1625" s="67"/>
      <c r="AP1625" s="67"/>
      <c r="AQ1625" s="67"/>
      <c r="AR1625" s="67"/>
      <c r="AS1625" s="67"/>
      <c r="AT1625" s="68"/>
      <c r="AU1625" s="49"/>
      <c r="AV1625" s="50"/>
    </row>
    <row r="1626" spans="1:48" ht="12.75" customHeight="1" x14ac:dyDescent="0.25">
      <c r="A1626" s="72" t="s">
        <v>883</v>
      </c>
      <c r="B1626" s="43" t="s">
        <v>1580</v>
      </c>
      <c r="C1626" s="44" t="s">
        <v>1782</v>
      </c>
      <c r="D1626" s="45">
        <f>MROUND(MID($C1626,6,3)/Basis!$E$3,0.5)</f>
        <v>11</v>
      </c>
      <c r="E1626" s="45">
        <f>MROUND(MID($C1626,9,3)/Basis!$E$3,0.5)</f>
        <v>43.5</v>
      </c>
      <c r="F1626" s="124" t="s">
        <v>2946</v>
      </c>
      <c r="G1626" s="45">
        <f>ROUND((MROUND($F1626,5)+3)/Basis!$E$3,1)</f>
        <v>5.0999999999999996</v>
      </c>
      <c r="H1626" s="120">
        <f>ROUND($P1626*Basis!$E$2*((TaH-TrH)/LN(1/µ)/Basis!$E$7)^$N1626*$AA$4*Glycol,0)</f>
        <v>2541</v>
      </c>
      <c r="I1626" s="83">
        <f>ROUND(H1626/(MID($C1626,9,3)/Basis!$E$3/Basis!$E$9)*Basis!$E$11,0)</f>
        <v>704</v>
      </c>
      <c r="J1626" s="123">
        <f>IF(Basis!$E$1=1,ROUND(H1626/((TaH-TrH)*1.163)/3600,3),ROUND(H1626/(500*(TaH-TrH)),2))</f>
        <v>0.25</v>
      </c>
      <c r="K1626" s="84"/>
      <c r="L1626" s="177">
        <f>CHOOSE(Basis!$E$1,((AJ1626*(J1626*3600/Basis!$E$5)^AK1626*(((MID(C1626,9,3)*10)-144)/1000)*AL1626+AM1626*(J1626*3600/Basis!$E$5)^2)*0.0098)/Basis!$E$10,((AJ1626*(J1626/Basis!$E$5)^AK1626*(((MID(C1626,9,3)*10)-144)/1000)*AL1626+AM1626*(J1626/Basis!$E$5)^2)*0.0098)/Basis!$E$10)</f>
        <v>1.1531223191678838E-2</v>
      </c>
      <c r="M1626" s="85"/>
      <c r="N1626" s="109">
        <v>1.4410000000000001</v>
      </c>
      <c r="O1626" s="68"/>
      <c r="P1626" s="67">
        <v>1198</v>
      </c>
      <c r="Q1626" s="68"/>
      <c r="R1626" s="69"/>
      <c r="S1626" s="69"/>
      <c r="T1626" s="69"/>
      <c r="U1626" s="69"/>
      <c r="V1626" s="69"/>
      <c r="W1626" s="68"/>
      <c r="X1626" s="70"/>
      <c r="Y1626" s="70"/>
      <c r="Z1626" s="70"/>
      <c r="AA1626" s="70"/>
      <c r="AB1626" s="70"/>
      <c r="AC1626" s="68"/>
      <c r="AD1626" s="71"/>
      <c r="AE1626" s="71"/>
      <c r="AF1626" s="71"/>
      <c r="AG1626" s="71"/>
      <c r="AH1626" s="71"/>
      <c r="AI1626" s="68"/>
      <c r="AJ1626" s="214">
        <v>3.9689999999999994E-4</v>
      </c>
      <c r="AK1626" s="214">
        <v>1.7345999999999999</v>
      </c>
      <c r="AL1626" s="214">
        <v>4</v>
      </c>
      <c r="AM1626" s="214">
        <v>5.7428799999999995E-4</v>
      </c>
      <c r="AN1626" s="68"/>
      <c r="AO1626" s="67"/>
      <c r="AP1626" s="67"/>
      <c r="AQ1626" s="67"/>
      <c r="AR1626" s="67"/>
      <c r="AS1626" s="67"/>
      <c r="AT1626" s="68"/>
      <c r="AU1626" s="49"/>
      <c r="AV1626" s="50"/>
    </row>
    <row r="1627" spans="1:48" ht="12.75" customHeight="1" x14ac:dyDescent="0.25">
      <c r="A1627" s="72" t="s">
        <v>883</v>
      </c>
      <c r="B1627" s="43" t="s">
        <v>1580</v>
      </c>
      <c r="C1627" s="44" t="s">
        <v>1783</v>
      </c>
      <c r="D1627" s="45">
        <f>MROUND(MID($C1627,6,3)/Basis!$E$3,0.5)</f>
        <v>11</v>
      </c>
      <c r="E1627" s="45">
        <f>MROUND(MID($C1627,9,3)/Basis!$E$3,0.5)</f>
        <v>43.5</v>
      </c>
      <c r="F1627" s="124" t="s">
        <v>2947</v>
      </c>
      <c r="G1627" s="45">
        <f>ROUND((MROUND($F1627,5)+3)/Basis!$E$3,1)</f>
        <v>7.1</v>
      </c>
      <c r="H1627" s="120">
        <f>ROUND($P1627*Basis!$E$2*((TaH-TrH)/LN(1/µ)/Basis!$E$7)^$N1627*$AA$4*Glycol,0)</f>
        <v>3327</v>
      </c>
      <c r="I1627" s="83">
        <f>ROUND(H1627/(MID($C1627,9,3)/Basis!$E$3/Basis!$E$9)*Basis!$E$11,0)</f>
        <v>922</v>
      </c>
      <c r="J1627" s="123">
        <f>IF(Basis!$E$1=1,ROUND(H1627/((TaH-TrH)*1.163)/3600,3),ROUND(H1627/(500*(TaH-TrH)),2))</f>
        <v>0.33</v>
      </c>
      <c r="K1627" s="84"/>
      <c r="L1627" s="177">
        <f>CHOOSE(Basis!$E$1,((AJ1627*(J1627*3600/Basis!$E$5)^AK1627*(((MID(C1627,9,3)*10)-144)/1000)*AL1627+AM1627*(J1627*3600/Basis!$E$5)^2)*0.0098)/Basis!$E$10,((AJ1627*(J1627/Basis!$E$5)^AK1627*(((MID(C1627,9,3)*10)-144)/1000)*AL1627+AM1627*(J1627/Basis!$E$5)^2)*0.0098)/Basis!$E$10)</f>
        <v>3.0027762772103769E-2</v>
      </c>
      <c r="M1627" s="85"/>
      <c r="N1627" s="109">
        <v>1.4550000000000001</v>
      </c>
      <c r="O1627" s="68"/>
      <c r="P1627" s="67">
        <v>1576</v>
      </c>
      <c r="Q1627" s="68"/>
      <c r="R1627" s="69"/>
      <c r="S1627" s="69"/>
      <c r="T1627" s="69"/>
      <c r="U1627" s="69"/>
      <c r="V1627" s="69"/>
      <c r="W1627" s="68"/>
      <c r="X1627" s="70"/>
      <c r="Y1627" s="70"/>
      <c r="Z1627" s="70"/>
      <c r="AA1627" s="70"/>
      <c r="AB1627" s="70"/>
      <c r="AC1627" s="68"/>
      <c r="AD1627" s="71"/>
      <c r="AE1627" s="71"/>
      <c r="AF1627" s="71"/>
      <c r="AG1627" s="71"/>
      <c r="AH1627" s="71"/>
      <c r="AI1627" s="68"/>
      <c r="AJ1627" s="214">
        <v>2.0829999999999999E-4</v>
      </c>
      <c r="AK1627" s="214">
        <v>1.724</v>
      </c>
      <c r="AL1627" s="214">
        <v>4</v>
      </c>
      <c r="AM1627" s="214">
        <v>1.392796E-3</v>
      </c>
      <c r="AN1627" s="68"/>
      <c r="AO1627" s="67"/>
      <c r="AP1627" s="67"/>
      <c r="AQ1627" s="67"/>
      <c r="AR1627" s="67"/>
      <c r="AS1627" s="67"/>
      <c r="AT1627" s="68"/>
      <c r="AU1627" s="49"/>
      <c r="AV1627" s="50"/>
    </row>
    <row r="1628" spans="1:48" ht="12.75" customHeight="1" x14ac:dyDescent="0.25">
      <c r="A1628" s="72" t="s">
        <v>883</v>
      </c>
      <c r="B1628" s="43" t="s">
        <v>1580</v>
      </c>
      <c r="C1628" s="44" t="s">
        <v>1784</v>
      </c>
      <c r="D1628" s="45">
        <f>MROUND(MID($C1628,6,3)/Basis!$E$3,0.5)</f>
        <v>11</v>
      </c>
      <c r="E1628" s="45">
        <f>MROUND(MID($C1628,9,3)/Basis!$E$3,0.5)</f>
        <v>43.5</v>
      </c>
      <c r="F1628" s="124" t="s">
        <v>2948</v>
      </c>
      <c r="G1628" s="45">
        <f>ROUND((MROUND($F1628,5)+3)/Basis!$E$3,1)</f>
        <v>9.1</v>
      </c>
      <c r="H1628" s="120">
        <f>ROUND($P1628*Basis!$E$2*((TaH-TrH)/LN(1/µ)/Basis!$E$7)^$N1628*$AA$4*Glycol,0)</f>
        <v>4346</v>
      </c>
      <c r="I1628" s="83">
        <f>ROUND(H1628/(MID($C1628,9,3)/Basis!$E$3/Basis!$E$9)*Basis!$E$11,0)</f>
        <v>1204</v>
      </c>
      <c r="J1628" s="123">
        <f>IF(Basis!$E$1=1,ROUND(H1628/((TaH-TrH)*1.163)/3600,3),ROUND(H1628/(500*(TaH-TrH)),2))</f>
        <v>0.43</v>
      </c>
      <c r="K1628" s="84"/>
      <c r="L1628" s="177">
        <f>CHOOSE(Basis!$E$1,((AJ1628*(J1628*3600/Basis!$E$5)^AK1628*(((MID(C1628,9,3)*10)-144)/1000)*AL1628+AM1628*(J1628*3600/Basis!$E$5)^2)*0.0098)/Basis!$E$10,((AJ1628*(J1628/Basis!$E$5)^AK1628*(((MID(C1628,9,3)*10)-144)/1000)*AL1628+AM1628*(J1628/Basis!$E$5)^2)*0.0098)/Basis!$E$10)</f>
        <v>2.029244067188557E-2</v>
      </c>
      <c r="M1628" s="85"/>
      <c r="N1628" s="109">
        <v>1.4670000000000001</v>
      </c>
      <c r="O1628" s="68"/>
      <c r="P1628" s="67">
        <v>2067</v>
      </c>
      <c r="Q1628" s="68"/>
      <c r="R1628" s="69"/>
      <c r="S1628" s="69"/>
      <c r="T1628" s="69"/>
      <c r="U1628" s="69"/>
      <c r="V1628" s="69"/>
      <c r="W1628" s="68"/>
      <c r="X1628" s="70"/>
      <c r="Y1628" s="70"/>
      <c r="Z1628" s="70"/>
      <c r="AA1628" s="70"/>
      <c r="AB1628" s="70"/>
      <c r="AC1628" s="68"/>
      <c r="AD1628" s="71"/>
      <c r="AE1628" s="71"/>
      <c r="AF1628" s="71"/>
      <c r="AG1628" s="71"/>
      <c r="AH1628" s="71"/>
      <c r="AI1628" s="68"/>
      <c r="AJ1628" s="214">
        <v>1.2760000000000001E-4</v>
      </c>
      <c r="AK1628" s="214">
        <v>1.7219</v>
      </c>
      <c r="AL1628" s="214">
        <v>4</v>
      </c>
      <c r="AM1628" s="214">
        <v>5.1420100000000005E-4</v>
      </c>
      <c r="AN1628" s="68"/>
      <c r="AO1628" s="67"/>
      <c r="AP1628" s="67"/>
      <c r="AQ1628" s="67"/>
      <c r="AR1628" s="67"/>
      <c r="AS1628" s="67"/>
      <c r="AT1628" s="68"/>
      <c r="AU1628" s="49"/>
      <c r="AV1628" s="50"/>
    </row>
    <row r="1629" spans="1:48" ht="12.75" customHeight="1" x14ac:dyDescent="0.25">
      <c r="A1629" s="72" t="s">
        <v>883</v>
      </c>
      <c r="B1629" s="43" t="s">
        <v>1580</v>
      </c>
      <c r="C1629" s="44" t="s">
        <v>1785</v>
      </c>
      <c r="D1629" s="45">
        <f>MROUND(MID($C1629,6,3)/Basis!$E$3,0.5)</f>
        <v>11</v>
      </c>
      <c r="E1629" s="45">
        <f>MROUND(MID($C1629,9,3)/Basis!$E$3,0.5)</f>
        <v>47</v>
      </c>
      <c r="F1629" s="124" t="s">
        <v>2949</v>
      </c>
      <c r="G1629" s="45">
        <f>ROUND((MROUND($F1629,5)+3)/Basis!$E$3,1)</f>
        <v>3.1</v>
      </c>
      <c r="H1629" s="120">
        <f>ROUND($P1629*Basis!$E$2*((TaH-TrH)/LN(1/µ)/Basis!$E$7)^$N1629*$AA$4*Glycol,0)</f>
        <v>1469</v>
      </c>
      <c r="I1629" s="83">
        <f>ROUND(H1629/(MID($C1629,9,3)/Basis!$E$3/Basis!$E$9)*Basis!$E$11,0)</f>
        <v>373</v>
      </c>
      <c r="J1629" s="123">
        <f>IF(Basis!$E$1=1,ROUND(H1629/((TaH-TrH)*1.163)/3600,3),ROUND(H1629/(500*(TaH-TrH)),2))</f>
        <v>0.15</v>
      </c>
      <c r="K1629" s="84"/>
      <c r="L1629" s="177">
        <f>CHOOSE(Basis!$E$1,((AJ1629*(J1629*3600/Basis!$E$5)^AK1629*(((MID(C1629,9,3)*10)-144)/1000)*AL1629+AM1629*(J1629*3600/Basis!$E$5)^2)*0.0098)/Basis!$E$10,((AJ1629*(J1629/Basis!$E$5)^AK1629*(((MID(C1629,9,3)*10)-144)/1000)*AL1629+AM1629*(J1629/Basis!$E$5)^2)*0.0098)/Basis!$E$10)</f>
        <v>8.3446253212937811E-3</v>
      </c>
      <c r="M1629" s="85"/>
      <c r="N1629" s="109">
        <v>1.403</v>
      </c>
      <c r="O1629" s="68"/>
      <c r="P1629" s="67">
        <v>684</v>
      </c>
      <c r="Q1629" s="68"/>
      <c r="R1629" s="69"/>
      <c r="S1629" s="69"/>
      <c r="T1629" s="69"/>
      <c r="U1629" s="69"/>
      <c r="V1629" s="69"/>
      <c r="W1629" s="68"/>
      <c r="X1629" s="70"/>
      <c r="Y1629" s="70"/>
      <c r="Z1629" s="70"/>
      <c r="AA1629" s="70"/>
      <c r="AB1629" s="70"/>
      <c r="AC1629" s="68"/>
      <c r="AD1629" s="71"/>
      <c r="AE1629" s="71"/>
      <c r="AF1629" s="71"/>
      <c r="AG1629" s="71"/>
      <c r="AH1629" s="71"/>
      <c r="AI1629" s="68"/>
      <c r="AJ1629" s="214">
        <v>4.1688828699999996E-3</v>
      </c>
      <c r="AK1629" s="214">
        <v>1.411581940642</v>
      </c>
      <c r="AL1629" s="214">
        <v>3</v>
      </c>
      <c r="AM1629" s="214">
        <v>5.4247339961626003E-4</v>
      </c>
      <c r="AN1629" s="68"/>
      <c r="AO1629" s="67"/>
      <c r="AP1629" s="67"/>
      <c r="AQ1629" s="67"/>
      <c r="AR1629" s="67"/>
      <c r="AS1629" s="67"/>
      <c r="AT1629" s="68"/>
      <c r="AU1629" s="49"/>
      <c r="AV1629" s="50"/>
    </row>
    <row r="1630" spans="1:48" ht="12.75" customHeight="1" x14ac:dyDescent="0.25">
      <c r="A1630" s="72" t="s">
        <v>883</v>
      </c>
      <c r="B1630" s="43" t="s">
        <v>1580</v>
      </c>
      <c r="C1630" s="44" t="s">
        <v>1786</v>
      </c>
      <c r="D1630" s="45">
        <f>MROUND(MID($C1630,6,3)/Basis!$E$3,0.5)</f>
        <v>11</v>
      </c>
      <c r="E1630" s="45">
        <f>MROUND(MID($C1630,9,3)/Basis!$E$3,0.5)</f>
        <v>47</v>
      </c>
      <c r="F1630" s="124" t="s">
        <v>2946</v>
      </c>
      <c r="G1630" s="45">
        <f>ROUND((MROUND($F1630,5)+3)/Basis!$E$3,1)</f>
        <v>5.0999999999999996</v>
      </c>
      <c r="H1630" s="120">
        <f>ROUND($P1630*Basis!$E$2*((TaH-TrH)/LN(1/µ)/Basis!$E$7)^$N1630*$AA$4*Glycol,0)</f>
        <v>2772</v>
      </c>
      <c r="I1630" s="83">
        <f>ROUND(H1630/(MID($C1630,9,3)/Basis!$E$3/Basis!$E$9)*Basis!$E$11,0)</f>
        <v>704</v>
      </c>
      <c r="J1630" s="123">
        <f>IF(Basis!$E$1=1,ROUND(H1630/((TaH-TrH)*1.163)/3600,3),ROUND(H1630/(500*(TaH-TrH)),2))</f>
        <v>0.28000000000000003</v>
      </c>
      <c r="K1630" s="84"/>
      <c r="L1630" s="177">
        <f>CHOOSE(Basis!$E$1,((AJ1630*(J1630*3600/Basis!$E$5)^AK1630*(((MID(C1630,9,3)*10)-144)/1000)*AL1630+AM1630*(J1630*3600/Basis!$E$5)^2)*0.0098)/Basis!$E$10,((AJ1630*(J1630/Basis!$E$5)^AK1630*(((MID(C1630,9,3)*10)-144)/1000)*AL1630+AM1630*(J1630/Basis!$E$5)^2)*0.0098)/Basis!$E$10)</f>
        <v>1.4958576335097036E-2</v>
      </c>
      <c r="M1630" s="85"/>
      <c r="N1630" s="109">
        <v>1.4410000000000001</v>
      </c>
      <c r="O1630" s="68"/>
      <c r="P1630" s="67">
        <v>1307</v>
      </c>
      <c r="Q1630" s="68"/>
      <c r="R1630" s="69"/>
      <c r="S1630" s="69"/>
      <c r="T1630" s="69"/>
      <c r="U1630" s="69"/>
      <c r="V1630" s="69"/>
      <c r="W1630" s="68"/>
      <c r="X1630" s="70"/>
      <c r="Y1630" s="70"/>
      <c r="Z1630" s="70"/>
      <c r="AA1630" s="70"/>
      <c r="AB1630" s="70"/>
      <c r="AC1630" s="68"/>
      <c r="AD1630" s="71"/>
      <c r="AE1630" s="71"/>
      <c r="AF1630" s="71"/>
      <c r="AG1630" s="71"/>
      <c r="AH1630" s="71"/>
      <c r="AI1630" s="68"/>
      <c r="AJ1630" s="214">
        <v>3.9689999999999994E-4</v>
      </c>
      <c r="AK1630" s="214">
        <v>1.7345999999999999</v>
      </c>
      <c r="AL1630" s="214">
        <v>4</v>
      </c>
      <c r="AM1630" s="214">
        <v>5.7428799999999995E-4</v>
      </c>
      <c r="AN1630" s="68"/>
      <c r="AO1630" s="67"/>
      <c r="AP1630" s="67"/>
      <c r="AQ1630" s="67"/>
      <c r="AR1630" s="67"/>
      <c r="AS1630" s="67"/>
      <c r="AT1630" s="68"/>
      <c r="AU1630" s="49"/>
      <c r="AV1630" s="50"/>
    </row>
    <row r="1631" spans="1:48" ht="12.75" customHeight="1" x14ac:dyDescent="0.25">
      <c r="A1631" s="72" t="s">
        <v>883</v>
      </c>
      <c r="B1631" s="43" t="s">
        <v>1580</v>
      </c>
      <c r="C1631" s="44" t="s">
        <v>1787</v>
      </c>
      <c r="D1631" s="45">
        <f>MROUND(MID($C1631,6,3)/Basis!$E$3,0.5)</f>
        <v>11</v>
      </c>
      <c r="E1631" s="45">
        <f>MROUND(MID($C1631,9,3)/Basis!$E$3,0.5)</f>
        <v>47</v>
      </c>
      <c r="F1631" s="124" t="s">
        <v>2947</v>
      </c>
      <c r="G1631" s="45">
        <f>ROUND((MROUND($F1631,5)+3)/Basis!$E$3,1)</f>
        <v>7.1</v>
      </c>
      <c r="H1631" s="120">
        <f>ROUND($P1631*Basis!$E$2*((TaH-TrH)/LN(1/µ)/Basis!$E$7)^$N1631*$AA$4*Glycol,0)</f>
        <v>3631</v>
      </c>
      <c r="I1631" s="83">
        <f>ROUND(H1631/(MID($C1631,9,3)/Basis!$E$3/Basis!$E$9)*Basis!$E$11,0)</f>
        <v>922</v>
      </c>
      <c r="J1631" s="123">
        <f>IF(Basis!$E$1=1,ROUND(H1631/((TaH-TrH)*1.163)/3600,3),ROUND(H1631/(500*(TaH-TrH)),2))</f>
        <v>0.36</v>
      </c>
      <c r="K1631" s="84"/>
      <c r="L1631" s="177">
        <f>CHOOSE(Basis!$E$1,((AJ1631*(J1631*3600/Basis!$E$5)^AK1631*(((MID(C1631,9,3)*10)-144)/1000)*AL1631+AM1631*(J1631*3600/Basis!$E$5)^2)*0.0098)/Basis!$E$10,((AJ1631*(J1631/Basis!$E$5)^AK1631*(((MID(C1631,9,3)*10)-144)/1000)*AL1631+AM1631*(J1631/Basis!$E$5)^2)*0.0098)/Basis!$E$10)</f>
        <v>3.6150170481721353E-2</v>
      </c>
      <c r="M1631" s="85"/>
      <c r="N1631" s="109">
        <v>1.4550000000000001</v>
      </c>
      <c r="O1631" s="68"/>
      <c r="P1631" s="67">
        <v>1720</v>
      </c>
      <c r="Q1631" s="68"/>
      <c r="R1631" s="69"/>
      <c r="S1631" s="69"/>
      <c r="T1631" s="69"/>
      <c r="U1631" s="69"/>
      <c r="V1631" s="69"/>
      <c r="W1631" s="68"/>
      <c r="X1631" s="70"/>
      <c r="Y1631" s="70"/>
      <c r="Z1631" s="70"/>
      <c r="AA1631" s="70"/>
      <c r="AB1631" s="70"/>
      <c r="AC1631" s="68"/>
      <c r="AD1631" s="71"/>
      <c r="AE1631" s="71"/>
      <c r="AF1631" s="71"/>
      <c r="AG1631" s="71"/>
      <c r="AH1631" s="71"/>
      <c r="AI1631" s="68"/>
      <c r="AJ1631" s="214">
        <v>2.0829999999999999E-4</v>
      </c>
      <c r="AK1631" s="214">
        <v>1.724</v>
      </c>
      <c r="AL1631" s="214">
        <v>4</v>
      </c>
      <c r="AM1631" s="214">
        <v>1.392796E-3</v>
      </c>
      <c r="AN1631" s="68"/>
      <c r="AO1631" s="67"/>
      <c r="AP1631" s="67"/>
      <c r="AQ1631" s="67"/>
      <c r="AR1631" s="67"/>
      <c r="AS1631" s="67"/>
      <c r="AT1631" s="68"/>
      <c r="AU1631" s="49"/>
      <c r="AV1631" s="50"/>
    </row>
    <row r="1632" spans="1:48" ht="12.75" customHeight="1" x14ac:dyDescent="0.25">
      <c r="A1632" s="72" t="s">
        <v>883</v>
      </c>
      <c r="B1632" s="43" t="s">
        <v>1580</v>
      </c>
      <c r="C1632" s="44" t="s">
        <v>1788</v>
      </c>
      <c r="D1632" s="45">
        <f>MROUND(MID($C1632,6,3)/Basis!$E$3,0.5)</f>
        <v>11</v>
      </c>
      <c r="E1632" s="45">
        <f>MROUND(MID($C1632,9,3)/Basis!$E$3,0.5)</f>
        <v>47</v>
      </c>
      <c r="F1632" s="124" t="s">
        <v>2948</v>
      </c>
      <c r="G1632" s="45">
        <f>ROUND((MROUND($F1632,5)+3)/Basis!$E$3,1)</f>
        <v>9.1</v>
      </c>
      <c r="H1632" s="120">
        <f>ROUND($P1632*Basis!$E$2*((TaH-TrH)/LN(1/µ)/Basis!$E$7)^$N1632*$AA$4*Glycol,0)</f>
        <v>4741</v>
      </c>
      <c r="I1632" s="83">
        <f>ROUND(H1632/(MID($C1632,9,3)/Basis!$E$3/Basis!$E$9)*Basis!$E$11,0)</f>
        <v>1204</v>
      </c>
      <c r="J1632" s="123">
        <f>IF(Basis!$E$1=1,ROUND(H1632/((TaH-TrH)*1.163)/3600,3),ROUND(H1632/(500*(TaH-TrH)),2))</f>
        <v>0.47</v>
      </c>
      <c r="K1632" s="84"/>
      <c r="L1632" s="177">
        <f>CHOOSE(Basis!$E$1,((AJ1632*(J1632*3600/Basis!$E$5)^AK1632*(((MID(C1632,9,3)*10)-144)/1000)*AL1632+AM1632*(J1632*3600/Basis!$E$5)^2)*0.0098)/Basis!$E$10,((AJ1632*(J1632/Basis!$E$5)^AK1632*(((MID(C1632,9,3)*10)-144)/1000)*AL1632+AM1632*(J1632/Basis!$E$5)^2)*0.0098)/Basis!$E$10)</f>
        <v>2.4638015241768303E-2</v>
      </c>
      <c r="M1632" s="85"/>
      <c r="N1632" s="109">
        <v>1.4670000000000001</v>
      </c>
      <c r="O1632" s="68"/>
      <c r="P1632" s="67">
        <v>2255</v>
      </c>
      <c r="Q1632" s="68"/>
      <c r="R1632" s="69"/>
      <c r="S1632" s="69"/>
      <c r="T1632" s="69"/>
      <c r="U1632" s="69"/>
      <c r="V1632" s="69"/>
      <c r="W1632" s="68"/>
      <c r="X1632" s="70"/>
      <c r="Y1632" s="70"/>
      <c r="Z1632" s="70"/>
      <c r="AA1632" s="70"/>
      <c r="AB1632" s="70"/>
      <c r="AC1632" s="68"/>
      <c r="AD1632" s="71"/>
      <c r="AE1632" s="71"/>
      <c r="AF1632" s="71"/>
      <c r="AG1632" s="71"/>
      <c r="AH1632" s="71"/>
      <c r="AI1632" s="68"/>
      <c r="AJ1632" s="214">
        <v>1.2760000000000001E-4</v>
      </c>
      <c r="AK1632" s="214">
        <v>1.7219</v>
      </c>
      <c r="AL1632" s="214">
        <v>4</v>
      </c>
      <c r="AM1632" s="214">
        <v>5.1420100000000005E-4</v>
      </c>
      <c r="AN1632" s="68"/>
      <c r="AO1632" s="67"/>
      <c r="AP1632" s="67"/>
      <c r="AQ1632" s="67"/>
      <c r="AR1632" s="67"/>
      <c r="AS1632" s="67"/>
      <c r="AT1632" s="68"/>
      <c r="AU1632" s="49"/>
      <c r="AV1632" s="50"/>
    </row>
    <row r="1633" spans="1:48" ht="12.75" customHeight="1" x14ac:dyDescent="0.25">
      <c r="A1633" s="72" t="s">
        <v>883</v>
      </c>
      <c r="B1633" s="43" t="s">
        <v>1580</v>
      </c>
      <c r="C1633" s="44" t="s">
        <v>1789</v>
      </c>
      <c r="D1633" s="45">
        <f>MROUND(MID($C1633,6,3)/Basis!$E$3,0.5)</f>
        <v>11</v>
      </c>
      <c r="E1633" s="45">
        <f>MROUND(MID($C1633,9,3)/Basis!$E$3,0.5)</f>
        <v>47.5</v>
      </c>
      <c r="F1633" s="124" t="s">
        <v>2946</v>
      </c>
      <c r="G1633" s="45">
        <f>ROUND((MROUND($F1633,5)+3)/Basis!$E$3,1)</f>
        <v>5.0999999999999996</v>
      </c>
      <c r="H1633" s="120">
        <f>ROUND($P1633*Basis!$E$2*((TaH-TrH)/LN(1/µ)/Basis!$E$7)^$N1633*$AA$4*Glycol,0)</f>
        <v>4678</v>
      </c>
      <c r="I1633" s="83">
        <f>ROUND(H1633/(MID($C1633,9,3)/Basis!$E$3/Basis!$E$9)*Basis!$E$11,0)</f>
        <v>1178</v>
      </c>
      <c r="J1633" s="123">
        <f>IF(Basis!$E$1=1,ROUND(H1633/((TaH-TrH)*1.163)/3600,3),ROUND(H1633/(500*(TaH-TrH)),2))</f>
        <v>0.47</v>
      </c>
      <c r="K1633" s="84"/>
      <c r="L1633" s="177">
        <f>CHOOSE(Basis!$E$1,((AJ1633*(J1633*3600/Basis!$E$5)^AK1633*(((MID(C1633,9,3)*10)-144)/1000)*AL1633+AM1633*(J1633*3600/Basis!$E$5)^2)*0.0098)/Basis!$E$10,((AJ1633*(J1633/Basis!$E$5)^AK1633*(((MID(C1633,9,3)*10)-144)/1000)*AL1633+AM1633*(J1633/Basis!$E$5)^2)*0.0098)/Basis!$E$10)</f>
        <v>3.9653622592604965E-2</v>
      </c>
      <c r="M1633" s="85"/>
      <c r="N1633" s="110">
        <v>1</v>
      </c>
      <c r="O1633" s="74"/>
      <c r="P1633" s="73">
        <v>1907</v>
      </c>
      <c r="Q1633" s="74"/>
      <c r="R1633" s="75"/>
      <c r="S1633" s="75"/>
      <c r="T1633" s="75"/>
      <c r="U1633" s="75"/>
      <c r="V1633" s="75"/>
      <c r="W1633" s="74"/>
      <c r="X1633" s="76"/>
      <c r="Y1633" s="76"/>
      <c r="Z1633" s="76"/>
      <c r="AA1633" s="76"/>
      <c r="AB1633" s="76"/>
      <c r="AC1633" s="74"/>
      <c r="AD1633" s="77"/>
      <c r="AE1633" s="77"/>
      <c r="AF1633" s="77"/>
      <c r="AG1633" s="77"/>
      <c r="AH1633" s="77"/>
      <c r="AI1633" s="68"/>
      <c r="AJ1633" s="213">
        <v>3.9689999999999994E-4</v>
      </c>
      <c r="AK1633" s="213">
        <v>1.7345999999999999</v>
      </c>
      <c r="AL1633" s="213">
        <v>4</v>
      </c>
      <c r="AM1633" s="213">
        <v>5.7428799999999995E-4</v>
      </c>
      <c r="AN1633" s="74"/>
      <c r="AO1633" s="73"/>
      <c r="AP1633" s="73"/>
      <c r="AQ1633" s="73"/>
      <c r="AR1633" s="73"/>
      <c r="AS1633" s="73"/>
      <c r="AT1633" s="74"/>
      <c r="AU1633" s="47"/>
      <c r="AV1633" s="48"/>
    </row>
    <row r="1634" spans="1:48" ht="12.75" customHeight="1" x14ac:dyDescent="0.25">
      <c r="A1634" s="72" t="s">
        <v>883</v>
      </c>
      <c r="B1634" s="43" t="s">
        <v>1580</v>
      </c>
      <c r="C1634" s="44" t="s">
        <v>1790</v>
      </c>
      <c r="D1634" s="45">
        <f>MROUND(MID($C1634,6,3)/Basis!$E$3,0.5)</f>
        <v>11</v>
      </c>
      <c r="E1634" s="45">
        <f>MROUND(MID($C1634,9,3)/Basis!$E$3,0.5)</f>
        <v>47.5</v>
      </c>
      <c r="F1634" s="124" t="s">
        <v>2947</v>
      </c>
      <c r="G1634" s="45">
        <f>ROUND((MROUND($F1634,5)+3)/Basis!$E$3,1)</f>
        <v>7.1</v>
      </c>
      <c r="H1634" s="120">
        <f>ROUND($P1634*Basis!$E$2*((TaH-TrH)/LN(1/µ)/Basis!$E$7)^$N1634*$AA$4*Glycol,0)</f>
        <v>6574</v>
      </c>
      <c r="I1634" s="83">
        <f>ROUND(H1634/(MID($C1634,9,3)/Basis!$E$3/Basis!$E$9)*Basis!$E$11,0)</f>
        <v>1656</v>
      </c>
      <c r="J1634" s="123">
        <f>IF(Basis!$E$1=1,ROUND(H1634/((TaH-TrH)*1.163)/3600,3),ROUND(H1634/(500*(TaH-TrH)),2))</f>
        <v>0.66</v>
      </c>
      <c r="K1634" s="84"/>
      <c r="L1634" s="177">
        <f>CHOOSE(Basis!$E$1,((AJ1634*(J1634*3600/Basis!$E$5)^AK1634*(((MID(C1634,9,3)*10)-144)/1000)*AL1634+AM1634*(J1634*3600/Basis!$E$5)^2)*0.0098)/Basis!$E$10,((AJ1634*(J1634/Basis!$E$5)^AK1634*(((MID(C1634,9,3)*10)-144)/1000)*AL1634+AM1634*(J1634/Basis!$E$5)^2)*0.0098)/Basis!$E$10)</f>
        <v>0.11870485967127467</v>
      </c>
      <c r="M1634" s="85"/>
      <c r="N1634" s="109">
        <v>1</v>
      </c>
      <c r="O1634" s="68"/>
      <c r="P1634" s="67">
        <v>2680</v>
      </c>
      <c r="Q1634" s="68"/>
      <c r="R1634" s="69"/>
      <c r="S1634" s="69"/>
      <c r="T1634" s="69"/>
      <c r="U1634" s="69"/>
      <c r="V1634" s="69"/>
      <c r="W1634" s="68"/>
      <c r="X1634" s="70"/>
      <c r="Y1634" s="70"/>
      <c r="Z1634" s="70"/>
      <c r="AA1634" s="70"/>
      <c r="AB1634" s="70"/>
      <c r="AC1634" s="68"/>
      <c r="AD1634" s="71"/>
      <c r="AE1634" s="71"/>
      <c r="AF1634" s="71"/>
      <c r="AG1634" s="71"/>
      <c r="AH1634" s="71"/>
      <c r="AI1634" s="68"/>
      <c r="AJ1634" s="214">
        <v>2.0829999999999999E-4</v>
      </c>
      <c r="AK1634" s="214">
        <v>1.724</v>
      </c>
      <c r="AL1634" s="214">
        <v>4</v>
      </c>
      <c r="AM1634" s="214">
        <v>1.392796E-3</v>
      </c>
      <c r="AN1634" s="68"/>
      <c r="AO1634" s="67"/>
      <c r="AP1634" s="67"/>
      <c r="AQ1634" s="67"/>
      <c r="AR1634" s="67"/>
      <c r="AS1634" s="67"/>
      <c r="AT1634" s="68"/>
      <c r="AU1634" s="49"/>
      <c r="AV1634" s="50"/>
    </row>
    <row r="1635" spans="1:48" ht="12.75" customHeight="1" x14ac:dyDescent="0.25">
      <c r="A1635" s="72" t="s">
        <v>883</v>
      </c>
      <c r="B1635" s="43" t="s">
        <v>1580</v>
      </c>
      <c r="C1635" s="44" t="s">
        <v>1791</v>
      </c>
      <c r="D1635" s="45">
        <f>MROUND(MID($C1635,6,3)/Basis!$E$3,0.5)</f>
        <v>11</v>
      </c>
      <c r="E1635" s="45">
        <f>MROUND(MID($C1635,9,3)/Basis!$E$3,0.5)</f>
        <v>55</v>
      </c>
      <c r="F1635" s="124" t="s">
        <v>2949</v>
      </c>
      <c r="G1635" s="45">
        <f>ROUND((MROUND($F1635,5)+3)/Basis!$E$3,1)</f>
        <v>3.1</v>
      </c>
      <c r="H1635" s="120">
        <f>ROUND($P1635*Basis!$E$2*((TaH-TrH)/LN(1/µ)/Basis!$E$7)^$N1635*$AA$4*Glycol,0)</f>
        <v>1714</v>
      </c>
      <c r="I1635" s="83">
        <f>ROUND(H1635/(MID($C1635,9,3)/Basis!$E$3/Basis!$E$9)*Basis!$E$11,0)</f>
        <v>373</v>
      </c>
      <c r="J1635" s="123">
        <f>IF(Basis!$E$1=1,ROUND(H1635/((TaH-TrH)*1.163)/3600,3),ROUND(H1635/(500*(TaH-TrH)),2))</f>
        <v>0.17</v>
      </c>
      <c r="K1635" s="84"/>
      <c r="L1635" s="177">
        <f>CHOOSE(Basis!$E$1,((AJ1635*(J1635*3600/Basis!$E$5)^AK1635*(((MID(C1635,9,3)*10)-144)/1000)*AL1635+AM1635*(J1635*3600/Basis!$E$5)^2)*0.0098)/Basis!$E$10,((AJ1635*(J1635/Basis!$E$5)^AK1635*(((MID(C1635,9,3)*10)-144)/1000)*AL1635+AM1635*(J1635/Basis!$E$5)^2)*0.0098)/Basis!$E$10)</f>
        <v>1.1565522237275793E-2</v>
      </c>
      <c r="M1635" s="85"/>
      <c r="N1635" s="109">
        <v>1.403</v>
      </c>
      <c r="O1635" s="68"/>
      <c r="P1635" s="67">
        <v>798</v>
      </c>
      <c r="Q1635" s="68"/>
      <c r="R1635" s="69"/>
      <c r="S1635" s="69"/>
      <c r="T1635" s="69"/>
      <c r="U1635" s="69"/>
      <c r="V1635" s="69"/>
      <c r="W1635" s="68"/>
      <c r="X1635" s="70"/>
      <c r="Y1635" s="70"/>
      <c r="Z1635" s="70"/>
      <c r="AA1635" s="70"/>
      <c r="AB1635" s="70"/>
      <c r="AC1635" s="68"/>
      <c r="AD1635" s="71"/>
      <c r="AE1635" s="71"/>
      <c r="AF1635" s="71"/>
      <c r="AG1635" s="71"/>
      <c r="AH1635" s="71"/>
      <c r="AI1635" s="68"/>
      <c r="AJ1635" s="214">
        <v>4.1688828699999996E-3</v>
      </c>
      <c r="AK1635" s="214">
        <v>1.411581940642</v>
      </c>
      <c r="AL1635" s="214">
        <v>3</v>
      </c>
      <c r="AM1635" s="214">
        <v>5.4247339961626003E-4</v>
      </c>
      <c r="AN1635" s="68"/>
      <c r="AO1635" s="67"/>
      <c r="AP1635" s="67"/>
      <c r="AQ1635" s="67"/>
      <c r="AR1635" s="67"/>
      <c r="AS1635" s="67"/>
      <c r="AT1635" s="68"/>
      <c r="AU1635" s="49"/>
      <c r="AV1635" s="50"/>
    </row>
    <row r="1636" spans="1:48" ht="12.75" customHeight="1" x14ac:dyDescent="0.25">
      <c r="A1636" s="72" t="s">
        <v>883</v>
      </c>
      <c r="B1636" s="43" t="s">
        <v>1580</v>
      </c>
      <c r="C1636" s="44" t="s">
        <v>1792</v>
      </c>
      <c r="D1636" s="45">
        <f>MROUND(MID($C1636,6,3)/Basis!$E$3,0.5)</f>
        <v>11</v>
      </c>
      <c r="E1636" s="45">
        <f>MROUND(MID($C1636,9,3)/Basis!$E$3,0.5)</f>
        <v>55</v>
      </c>
      <c r="F1636" s="124" t="s">
        <v>2946</v>
      </c>
      <c r="G1636" s="45">
        <f>ROUND((MROUND($F1636,5)+3)/Basis!$E$3,1)</f>
        <v>5.0999999999999996</v>
      </c>
      <c r="H1636" s="120">
        <f>ROUND($P1636*Basis!$E$2*((TaH-TrH)/LN(1/µ)/Basis!$E$7)^$N1636*$AA$4*Glycol,0)</f>
        <v>3234</v>
      </c>
      <c r="I1636" s="83">
        <f>ROUND(H1636/(MID($C1636,9,3)/Basis!$E$3/Basis!$E$9)*Basis!$E$11,0)</f>
        <v>704</v>
      </c>
      <c r="J1636" s="123">
        <f>IF(Basis!$E$1=1,ROUND(H1636/((TaH-TrH)*1.163)/3600,3),ROUND(H1636/(500*(TaH-TrH)),2))</f>
        <v>0.32</v>
      </c>
      <c r="K1636" s="84"/>
      <c r="L1636" s="177">
        <f>CHOOSE(Basis!$E$1,((AJ1636*(J1636*3600/Basis!$E$5)^AK1636*(((MID(C1636,9,3)*10)-144)/1000)*AL1636+AM1636*(J1636*3600/Basis!$E$5)^2)*0.0098)/Basis!$E$10,((AJ1636*(J1636/Basis!$E$5)^AK1636*(((MID(C1636,9,3)*10)-144)/1000)*AL1636+AM1636*(J1636/Basis!$E$5)^2)*0.0098)/Basis!$E$10)</f>
        <v>2.096112172020826E-2</v>
      </c>
      <c r="M1636" s="85"/>
      <c r="N1636" s="109">
        <v>1.4410000000000001</v>
      </c>
      <c r="O1636" s="68"/>
      <c r="P1636" s="67">
        <v>1525</v>
      </c>
      <c r="Q1636" s="68"/>
      <c r="R1636" s="69"/>
      <c r="S1636" s="69"/>
      <c r="T1636" s="69"/>
      <c r="U1636" s="69"/>
      <c r="V1636" s="69"/>
      <c r="W1636" s="68"/>
      <c r="X1636" s="70"/>
      <c r="Y1636" s="70"/>
      <c r="Z1636" s="70"/>
      <c r="AA1636" s="70"/>
      <c r="AB1636" s="70"/>
      <c r="AC1636" s="68"/>
      <c r="AD1636" s="71"/>
      <c r="AE1636" s="71"/>
      <c r="AF1636" s="71"/>
      <c r="AG1636" s="71"/>
      <c r="AH1636" s="71"/>
      <c r="AI1636" s="68"/>
      <c r="AJ1636" s="214">
        <v>3.9689999999999994E-4</v>
      </c>
      <c r="AK1636" s="214">
        <v>1.7345999999999999</v>
      </c>
      <c r="AL1636" s="214">
        <v>4</v>
      </c>
      <c r="AM1636" s="214">
        <v>5.7428799999999995E-4</v>
      </c>
      <c r="AN1636" s="68"/>
      <c r="AO1636" s="67"/>
      <c r="AP1636" s="67"/>
      <c r="AQ1636" s="67"/>
      <c r="AR1636" s="67"/>
      <c r="AS1636" s="67"/>
      <c r="AT1636" s="68"/>
      <c r="AU1636" s="49"/>
      <c r="AV1636" s="50"/>
    </row>
    <row r="1637" spans="1:48" ht="12.75" customHeight="1" x14ac:dyDescent="0.25">
      <c r="A1637" s="72" t="s">
        <v>883</v>
      </c>
      <c r="B1637" s="43" t="s">
        <v>1580</v>
      </c>
      <c r="C1637" s="44" t="s">
        <v>1793</v>
      </c>
      <c r="D1637" s="45">
        <f>MROUND(MID($C1637,6,3)/Basis!$E$3,0.5)</f>
        <v>11</v>
      </c>
      <c r="E1637" s="45">
        <f>MROUND(MID($C1637,9,3)/Basis!$E$3,0.5)</f>
        <v>55</v>
      </c>
      <c r="F1637" s="124" t="s">
        <v>2947</v>
      </c>
      <c r="G1637" s="45">
        <f>ROUND((MROUND($F1637,5)+3)/Basis!$E$3,1)</f>
        <v>7.1</v>
      </c>
      <c r="H1637" s="120">
        <f>ROUND($P1637*Basis!$E$2*((TaH-TrH)/LN(1/µ)/Basis!$E$7)^$N1637*$AA$4*Glycol,0)</f>
        <v>4235</v>
      </c>
      <c r="I1637" s="83">
        <f>ROUND(H1637/(MID($C1637,9,3)/Basis!$E$3/Basis!$E$9)*Basis!$E$11,0)</f>
        <v>922</v>
      </c>
      <c r="J1637" s="123">
        <f>IF(Basis!$E$1=1,ROUND(H1637/((TaH-TrH)*1.163)/3600,3),ROUND(H1637/(500*(TaH-TrH)),2))</f>
        <v>0.42</v>
      </c>
      <c r="K1637" s="84"/>
      <c r="L1637" s="177">
        <f>CHOOSE(Basis!$E$1,((AJ1637*(J1637*3600/Basis!$E$5)^AK1637*(((MID(C1637,9,3)*10)-144)/1000)*AL1637+AM1637*(J1637*3600/Basis!$E$5)^2)*0.0098)/Basis!$E$10,((AJ1637*(J1637/Basis!$E$5)^AK1637*(((MID(C1637,9,3)*10)-144)/1000)*AL1637+AM1637*(J1637/Basis!$E$5)^2)*0.0098)/Basis!$E$10)</f>
        <v>5.0290206796020087E-2</v>
      </c>
      <c r="M1637" s="85"/>
      <c r="N1637" s="109">
        <v>1.4550000000000001</v>
      </c>
      <c r="O1637" s="68"/>
      <c r="P1637" s="67">
        <v>2006</v>
      </c>
      <c r="Q1637" s="68"/>
      <c r="R1637" s="69"/>
      <c r="S1637" s="69"/>
      <c r="T1637" s="69"/>
      <c r="U1637" s="69"/>
      <c r="V1637" s="69"/>
      <c r="W1637" s="68"/>
      <c r="X1637" s="70"/>
      <c r="Y1637" s="70"/>
      <c r="Z1637" s="70"/>
      <c r="AA1637" s="70"/>
      <c r="AB1637" s="70"/>
      <c r="AC1637" s="68"/>
      <c r="AD1637" s="71"/>
      <c r="AE1637" s="71"/>
      <c r="AF1637" s="71"/>
      <c r="AG1637" s="71"/>
      <c r="AH1637" s="71"/>
      <c r="AI1637" s="68"/>
      <c r="AJ1637" s="214">
        <v>2.0829999999999999E-4</v>
      </c>
      <c r="AK1637" s="214">
        <v>1.724</v>
      </c>
      <c r="AL1637" s="214">
        <v>4</v>
      </c>
      <c r="AM1637" s="214">
        <v>1.392796E-3</v>
      </c>
      <c r="AN1637" s="68"/>
      <c r="AO1637" s="67"/>
      <c r="AP1637" s="67"/>
      <c r="AQ1637" s="67"/>
      <c r="AR1637" s="67"/>
      <c r="AS1637" s="67"/>
      <c r="AT1637" s="68"/>
      <c r="AU1637" s="49"/>
      <c r="AV1637" s="50"/>
    </row>
    <row r="1638" spans="1:48" ht="12.75" customHeight="1" x14ac:dyDescent="0.25">
      <c r="A1638" s="72" t="s">
        <v>883</v>
      </c>
      <c r="B1638" s="43" t="s">
        <v>1580</v>
      </c>
      <c r="C1638" s="44" t="s">
        <v>1794</v>
      </c>
      <c r="D1638" s="45">
        <f>MROUND(MID($C1638,6,3)/Basis!$E$3,0.5)</f>
        <v>11</v>
      </c>
      <c r="E1638" s="45">
        <f>MROUND(MID($C1638,9,3)/Basis!$E$3,0.5)</f>
        <v>55</v>
      </c>
      <c r="F1638" s="124" t="s">
        <v>2948</v>
      </c>
      <c r="G1638" s="45">
        <f>ROUND((MROUND($F1638,5)+3)/Basis!$E$3,1)</f>
        <v>9.1</v>
      </c>
      <c r="H1638" s="120">
        <f>ROUND($P1638*Basis!$E$2*((TaH-TrH)/LN(1/µ)/Basis!$E$7)^$N1638*$AA$4*Glycol,0)</f>
        <v>5532</v>
      </c>
      <c r="I1638" s="83">
        <f>ROUND(H1638/(MID($C1638,9,3)/Basis!$E$3/Basis!$E$9)*Basis!$E$11,0)</f>
        <v>1204</v>
      </c>
      <c r="J1638" s="123">
        <f>IF(Basis!$E$1=1,ROUND(H1638/((TaH-TrH)*1.163)/3600,3),ROUND(H1638/(500*(TaH-TrH)),2))</f>
        <v>0.55000000000000004</v>
      </c>
      <c r="K1638" s="84"/>
      <c r="L1638" s="177">
        <f>CHOOSE(Basis!$E$1,((AJ1638*(J1638*3600/Basis!$E$5)^AK1638*(((MID(C1638,9,3)*10)-144)/1000)*AL1638+AM1638*(J1638*3600/Basis!$E$5)^2)*0.0098)/Basis!$E$10,((AJ1638*(J1638/Basis!$E$5)^AK1638*(((MID(C1638,9,3)*10)-144)/1000)*AL1638+AM1638*(J1638/Basis!$E$5)^2)*0.0098)/Basis!$E$10)</f>
        <v>3.4778619909998844E-2</v>
      </c>
      <c r="M1638" s="85"/>
      <c r="N1638" s="109">
        <v>1.4670000000000001</v>
      </c>
      <c r="O1638" s="68"/>
      <c r="P1638" s="67">
        <v>2631</v>
      </c>
      <c r="Q1638" s="68"/>
      <c r="R1638" s="69"/>
      <c r="S1638" s="69"/>
      <c r="T1638" s="69"/>
      <c r="U1638" s="69"/>
      <c r="V1638" s="69"/>
      <c r="W1638" s="68"/>
      <c r="X1638" s="70"/>
      <c r="Y1638" s="70"/>
      <c r="Z1638" s="70"/>
      <c r="AA1638" s="70"/>
      <c r="AB1638" s="70"/>
      <c r="AC1638" s="68"/>
      <c r="AD1638" s="71"/>
      <c r="AE1638" s="71"/>
      <c r="AF1638" s="71"/>
      <c r="AG1638" s="71"/>
      <c r="AH1638" s="71"/>
      <c r="AI1638" s="68"/>
      <c r="AJ1638" s="214">
        <v>1.2760000000000001E-4</v>
      </c>
      <c r="AK1638" s="214">
        <v>1.7219</v>
      </c>
      <c r="AL1638" s="214">
        <v>4</v>
      </c>
      <c r="AM1638" s="214">
        <v>5.1420100000000005E-4</v>
      </c>
      <c r="AN1638" s="68"/>
      <c r="AO1638" s="67"/>
      <c r="AP1638" s="67"/>
      <c r="AQ1638" s="67"/>
      <c r="AR1638" s="67"/>
      <c r="AS1638" s="67"/>
      <c r="AT1638" s="68"/>
      <c r="AU1638" s="49"/>
      <c r="AV1638" s="50"/>
    </row>
    <row r="1639" spans="1:48" ht="12.75" customHeight="1" x14ac:dyDescent="0.25">
      <c r="A1639" s="72" t="s">
        <v>883</v>
      </c>
      <c r="B1639" s="43" t="s">
        <v>1580</v>
      </c>
      <c r="C1639" s="44" t="s">
        <v>1795</v>
      </c>
      <c r="D1639" s="45">
        <f>MROUND(MID($C1639,6,3)/Basis!$E$3,0.5)</f>
        <v>11</v>
      </c>
      <c r="E1639" s="45">
        <f>MROUND(MID($C1639,9,3)/Basis!$E$3,0.5)</f>
        <v>55.5</v>
      </c>
      <c r="F1639" s="124" t="s">
        <v>2946</v>
      </c>
      <c r="G1639" s="45">
        <f>ROUND((MROUND($F1639,5)+3)/Basis!$E$3,1)</f>
        <v>5.0999999999999996</v>
      </c>
      <c r="H1639" s="120">
        <f>ROUND($P1639*Basis!$E$2*((TaH-TrH)/LN(1/µ)/Basis!$E$7)^$N1639*$AA$4*Glycol,0)</f>
        <v>5948</v>
      </c>
      <c r="I1639" s="83">
        <f>ROUND(H1639/(MID($C1639,9,3)/Basis!$E$3/Basis!$E$9)*Basis!$E$11,0)</f>
        <v>1286</v>
      </c>
      <c r="J1639" s="123">
        <f>IF(Basis!$E$1=1,ROUND(H1639/((TaH-TrH)*1.163)/3600,3),ROUND(H1639/(500*(TaH-TrH)),2))</f>
        <v>0.59</v>
      </c>
      <c r="K1639" s="84"/>
      <c r="L1639" s="177">
        <f>CHOOSE(Basis!$E$1,((AJ1639*(J1639*3600/Basis!$E$5)^AK1639*(((MID(C1639,9,3)*10)-144)/1000)*AL1639+AM1639*(J1639*3600/Basis!$E$5)^2)*0.0098)/Basis!$E$10,((AJ1639*(J1639/Basis!$E$5)^AK1639*(((MID(C1639,9,3)*10)-144)/1000)*AL1639+AM1639*(J1639/Basis!$E$5)^2)*0.0098)/Basis!$E$10)</f>
        <v>6.5883769759096752E-2</v>
      </c>
      <c r="M1639" s="85"/>
      <c r="N1639" s="110">
        <v>1</v>
      </c>
      <c r="O1639" s="74"/>
      <c r="P1639" s="73">
        <v>2425</v>
      </c>
      <c r="Q1639" s="74"/>
      <c r="R1639" s="75"/>
      <c r="S1639" s="75"/>
      <c r="T1639" s="75"/>
      <c r="U1639" s="75"/>
      <c r="V1639" s="75"/>
      <c r="W1639" s="74"/>
      <c r="X1639" s="76"/>
      <c r="Y1639" s="76"/>
      <c r="Z1639" s="76"/>
      <c r="AA1639" s="76"/>
      <c r="AB1639" s="76"/>
      <c r="AC1639" s="74"/>
      <c r="AD1639" s="77"/>
      <c r="AE1639" s="77"/>
      <c r="AF1639" s="77"/>
      <c r="AG1639" s="77"/>
      <c r="AH1639" s="77"/>
      <c r="AI1639" s="68"/>
      <c r="AJ1639" s="213">
        <v>3.9689999999999994E-4</v>
      </c>
      <c r="AK1639" s="213">
        <v>1.7345999999999999</v>
      </c>
      <c r="AL1639" s="213">
        <v>4</v>
      </c>
      <c r="AM1639" s="213">
        <v>5.7428799999999995E-4</v>
      </c>
      <c r="AN1639" s="74"/>
      <c r="AO1639" s="73"/>
      <c r="AP1639" s="73"/>
      <c r="AQ1639" s="73"/>
      <c r="AR1639" s="73"/>
      <c r="AS1639" s="73"/>
      <c r="AT1639" s="74"/>
      <c r="AU1639" s="47"/>
      <c r="AV1639" s="48"/>
    </row>
    <row r="1640" spans="1:48" ht="12.75" customHeight="1" x14ac:dyDescent="0.25">
      <c r="A1640" s="72" t="s">
        <v>883</v>
      </c>
      <c r="B1640" s="43" t="s">
        <v>1580</v>
      </c>
      <c r="C1640" s="44" t="s">
        <v>1796</v>
      </c>
      <c r="D1640" s="45">
        <f>MROUND(MID($C1640,6,3)/Basis!$E$3,0.5)</f>
        <v>11</v>
      </c>
      <c r="E1640" s="45">
        <f>MROUND(MID($C1640,9,3)/Basis!$E$3,0.5)</f>
        <v>55.5</v>
      </c>
      <c r="F1640" s="124" t="s">
        <v>2947</v>
      </c>
      <c r="G1640" s="45">
        <f>ROUND((MROUND($F1640,5)+3)/Basis!$E$3,1)</f>
        <v>7.1</v>
      </c>
      <c r="H1640" s="120">
        <f>ROUND($P1640*Basis!$E$2*((TaH-TrH)/LN(1/µ)/Basis!$E$7)^$N1640*$AA$4*Glycol,0)</f>
        <v>8453</v>
      </c>
      <c r="I1640" s="83">
        <f>ROUND(H1640/(MID($C1640,9,3)/Basis!$E$3/Basis!$E$9)*Basis!$E$11,0)</f>
        <v>1827</v>
      </c>
      <c r="J1640" s="123">
        <f>IF(Basis!$E$1=1,ROUND(H1640/((TaH-TrH)*1.163)/3600,3),ROUND(H1640/(500*(TaH-TrH)),2))</f>
        <v>0.85</v>
      </c>
      <c r="K1640" s="84"/>
      <c r="L1640" s="177">
        <f>CHOOSE(Basis!$E$1,((AJ1640*(J1640*3600/Basis!$E$5)^AK1640*(((MID(C1640,9,3)*10)-144)/1000)*AL1640+AM1640*(J1640*3600/Basis!$E$5)^2)*0.0098)/Basis!$E$10,((AJ1640*(J1640/Basis!$E$5)^AK1640*(((MID(C1640,9,3)*10)-144)/1000)*AL1640+AM1640*(J1640/Basis!$E$5)^2)*0.0098)/Basis!$E$10)</f>
        <v>0.19980740488554885</v>
      </c>
      <c r="M1640" s="85"/>
      <c r="N1640" s="109">
        <v>1</v>
      </c>
      <c r="O1640" s="68"/>
      <c r="P1640" s="67">
        <v>3446</v>
      </c>
      <c r="Q1640" s="68"/>
      <c r="R1640" s="69"/>
      <c r="S1640" s="69"/>
      <c r="T1640" s="69"/>
      <c r="U1640" s="69"/>
      <c r="V1640" s="69"/>
      <c r="W1640" s="68"/>
      <c r="X1640" s="70"/>
      <c r="Y1640" s="70"/>
      <c r="Z1640" s="70"/>
      <c r="AA1640" s="70"/>
      <c r="AB1640" s="70"/>
      <c r="AC1640" s="68"/>
      <c r="AD1640" s="71"/>
      <c r="AE1640" s="71"/>
      <c r="AF1640" s="71"/>
      <c r="AG1640" s="71"/>
      <c r="AH1640" s="71"/>
      <c r="AI1640" s="68"/>
      <c r="AJ1640" s="214">
        <v>2.0829999999999999E-4</v>
      </c>
      <c r="AK1640" s="214">
        <v>1.724</v>
      </c>
      <c r="AL1640" s="214">
        <v>4</v>
      </c>
      <c r="AM1640" s="214">
        <v>1.392796E-3</v>
      </c>
      <c r="AN1640" s="68"/>
      <c r="AO1640" s="67"/>
      <c r="AP1640" s="67"/>
      <c r="AQ1640" s="67"/>
      <c r="AR1640" s="67"/>
      <c r="AS1640" s="67"/>
      <c r="AT1640" s="68"/>
      <c r="AU1640" s="49"/>
      <c r="AV1640" s="50"/>
    </row>
    <row r="1641" spans="1:48" ht="12.75" customHeight="1" x14ac:dyDescent="0.25">
      <c r="A1641" s="72" t="s">
        <v>883</v>
      </c>
      <c r="B1641" s="43" t="s">
        <v>1580</v>
      </c>
      <c r="C1641" s="44" t="s">
        <v>1797</v>
      </c>
      <c r="D1641" s="45">
        <f>MROUND(MID($C1641,6,3)/Basis!$E$3,0.5)</f>
        <v>11</v>
      </c>
      <c r="E1641" s="45">
        <f>MROUND(MID($C1641,9,3)/Basis!$E$3,0.5)</f>
        <v>63</v>
      </c>
      <c r="F1641" s="124" t="s">
        <v>2949</v>
      </c>
      <c r="G1641" s="45">
        <f>ROUND((MROUND($F1641,5)+3)/Basis!$E$3,1)</f>
        <v>3.1</v>
      </c>
      <c r="H1641" s="120">
        <f>ROUND($P1641*Basis!$E$2*((TaH-TrH)/LN(1/µ)/Basis!$E$7)^$N1641*$AA$4*Glycol,0)</f>
        <v>1958</v>
      </c>
      <c r="I1641" s="83">
        <f>ROUND(H1641/(MID($C1641,9,3)/Basis!$E$3/Basis!$E$9)*Basis!$E$11,0)</f>
        <v>373</v>
      </c>
      <c r="J1641" s="123">
        <f>IF(Basis!$E$1=1,ROUND(H1641/((TaH-TrH)*1.163)/3600,3),ROUND(H1641/(500*(TaH-TrH)),2))</f>
        <v>0.2</v>
      </c>
      <c r="K1641" s="84"/>
      <c r="L1641" s="177">
        <f>CHOOSE(Basis!$E$1,((AJ1641*(J1641*3600/Basis!$E$5)^AK1641*(((MID(C1641,9,3)*10)-144)/1000)*AL1641+AM1641*(J1641*3600/Basis!$E$5)^2)*0.0098)/Basis!$E$10,((AJ1641*(J1641/Basis!$E$5)^AK1641*(((MID(C1641,9,3)*10)-144)/1000)*AL1641+AM1641*(J1641/Basis!$E$5)^2)*0.0098)/Basis!$E$10)</f>
        <v>1.6668424484992329E-2</v>
      </c>
      <c r="M1641" s="85"/>
      <c r="N1641" s="109">
        <v>1.403</v>
      </c>
      <c r="O1641" s="68"/>
      <c r="P1641" s="67">
        <v>912</v>
      </c>
      <c r="Q1641" s="68"/>
      <c r="R1641" s="69"/>
      <c r="S1641" s="69"/>
      <c r="T1641" s="69"/>
      <c r="U1641" s="69"/>
      <c r="V1641" s="69"/>
      <c r="W1641" s="68"/>
      <c r="X1641" s="70"/>
      <c r="Y1641" s="70"/>
      <c r="Z1641" s="70"/>
      <c r="AA1641" s="70"/>
      <c r="AB1641" s="70"/>
      <c r="AC1641" s="68"/>
      <c r="AD1641" s="71"/>
      <c r="AE1641" s="71"/>
      <c r="AF1641" s="71"/>
      <c r="AG1641" s="71"/>
      <c r="AH1641" s="71"/>
      <c r="AI1641" s="68"/>
      <c r="AJ1641" s="214">
        <v>4.1688828699999996E-3</v>
      </c>
      <c r="AK1641" s="214">
        <v>1.411581940642</v>
      </c>
      <c r="AL1641" s="214">
        <v>3</v>
      </c>
      <c r="AM1641" s="214">
        <v>5.4247339961626003E-4</v>
      </c>
      <c r="AN1641" s="68"/>
      <c r="AO1641" s="67"/>
      <c r="AP1641" s="67"/>
      <c r="AQ1641" s="67"/>
      <c r="AR1641" s="67"/>
      <c r="AS1641" s="67"/>
      <c r="AT1641" s="68"/>
      <c r="AU1641" s="49"/>
      <c r="AV1641" s="50"/>
    </row>
    <row r="1642" spans="1:48" ht="12.75" customHeight="1" x14ac:dyDescent="0.25">
      <c r="A1642" s="72" t="s">
        <v>883</v>
      </c>
      <c r="B1642" s="43" t="s">
        <v>1580</v>
      </c>
      <c r="C1642" s="44" t="s">
        <v>1798</v>
      </c>
      <c r="D1642" s="45">
        <f>MROUND(MID($C1642,6,3)/Basis!$E$3,0.5)</f>
        <v>11</v>
      </c>
      <c r="E1642" s="45">
        <f>MROUND(MID($C1642,9,3)/Basis!$E$3,0.5)</f>
        <v>63</v>
      </c>
      <c r="F1642" s="124" t="s">
        <v>2946</v>
      </c>
      <c r="G1642" s="45">
        <f>ROUND((MROUND($F1642,5)+3)/Basis!$E$3,1)</f>
        <v>5.0999999999999996</v>
      </c>
      <c r="H1642" s="120">
        <f>ROUND($P1642*Basis!$E$2*((TaH-TrH)/LN(1/µ)/Basis!$E$7)^$N1642*$AA$4*Glycol,0)</f>
        <v>3694</v>
      </c>
      <c r="I1642" s="83">
        <f>ROUND(H1642/(MID($C1642,9,3)/Basis!$E$3/Basis!$E$9)*Basis!$E$11,0)</f>
        <v>704</v>
      </c>
      <c r="J1642" s="123">
        <f>IF(Basis!$E$1=1,ROUND(H1642/((TaH-TrH)*1.163)/3600,3),ROUND(H1642/(500*(TaH-TrH)),2))</f>
        <v>0.37</v>
      </c>
      <c r="K1642" s="84"/>
      <c r="L1642" s="177">
        <f>CHOOSE(Basis!$E$1,((AJ1642*(J1642*3600/Basis!$E$5)^AK1642*(((MID(C1642,9,3)*10)-144)/1000)*AL1642+AM1642*(J1642*3600/Basis!$E$5)^2)*0.0098)/Basis!$E$10,((AJ1642*(J1642/Basis!$E$5)^AK1642*(((MID(C1642,9,3)*10)-144)/1000)*AL1642+AM1642*(J1642/Basis!$E$5)^2)*0.0098)/Basis!$E$10)</f>
        <v>2.9727068012442195E-2</v>
      </c>
      <c r="M1642" s="85"/>
      <c r="N1642" s="109">
        <v>1.4410000000000001</v>
      </c>
      <c r="O1642" s="68"/>
      <c r="P1642" s="67">
        <v>1742</v>
      </c>
      <c r="Q1642" s="68"/>
      <c r="R1642" s="69"/>
      <c r="S1642" s="69"/>
      <c r="T1642" s="69"/>
      <c r="U1642" s="69"/>
      <c r="V1642" s="69"/>
      <c r="W1642" s="68"/>
      <c r="X1642" s="70"/>
      <c r="Y1642" s="70"/>
      <c r="Z1642" s="70"/>
      <c r="AA1642" s="70"/>
      <c r="AB1642" s="70"/>
      <c r="AC1642" s="68"/>
      <c r="AD1642" s="71"/>
      <c r="AE1642" s="71"/>
      <c r="AF1642" s="71"/>
      <c r="AG1642" s="71"/>
      <c r="AH1642" s="71"/>
      <c r="AI1642" s="68"/>
      <c r="AJ1642" s="214">
        <v>3.9689999999999994E-4</v>
      </c>
      <c r="AK1642" s="214">
        <v>1.7345999999999999</v>
      </c>
      <c r="AL1642" s="214">
        <v>4</v>
      </c>
      <c r="AM1642" s="214">
        <v>5.7428799999999995E-4</v>
      </c>
      <c r="AN1642" s="68"/>
      <c r="AO1642" s="67"/>
      <c r="AP1642" s="67"/>
      <c r="AQ1642" s="67"/>
      <c r="AR1642" s="67"/>
      <c r="AS1642" s="67"/>
      <c r="AT1642" s="68"/>
      <c r="AU1642" s="49"/>
      <c r="AV1642" s="50"/>
    </row>
    <row r="1643" spans="1:48" ht="12.75" customHeight="1" x14ac:dyDescent="0.25">
      <c r="A1643" s="72" t="s">
        <v>883</v>
      </c>
      <c r="B1643" s="43" t="s">
        <v>1580</v>
      </c>
      <c r="C1643" s="44" t="s">
        <v>1799</v>
      </c>
      <c r="D1643" s="45">
        <f>MROUND(MID($C1643,6,3)/Basis!$E$3,0.5)</f>
        <v>11</v>
      </c>
      <c r="E1643" s="45">
        <f>MROUND(MID($C1643,9,3)/Basis!$E$3,0.5)</f>
        <v>63</v>
      </c>
      <c r="F1643" s="124" t="s">
        <v>2947</v>
      </c>
      <c r="G1643" s="45">
        <f>ROUND((MROUND($F1643,5)+3)/Basis!$E$3,1)</f>
        <v>7.1</v>
      </c>
      <c r="H1643" s="120">
        <f>ROUND($P1643*Basis!$E$2*((TaH-TrH)/LN(1/µ)/Basis!$E$7)^$N1643*$AA$4*Glycol,0)</f>
        <v>4840</v>
      </c>
      <c r="I1643" s="83">
        <f>ROUND(H1643/(MID($C1643,9,3)/Basis!$E$3/Basis!$E$9)*Basis!$E$11,0)</f>
        <v>922</v>
      </c>
      <c r="J1643" s="123">
        <f>IF(Basis!$E$1=1,ROUND(H1643/((TaH-TrH)*1.163)/3600,3),ROUND(H1643/(500*(TaH-TrH)),2))</f>
        <v>0.48</v>
      </c>
      <c r="K1643" s="84"/>
      <c r="L1643" s="177">
        <f>CHOOSE(Basis!$E$1,((AJ1643*(J1643*3600/Basis!$E$5)^AK1643*(((MID(C1643,9,3)*10)-144)/1000)*AL1643+AM1643*(J1643*3600/Basis!$E$5)^2)*0.0098)/Basis!$E$10,((AJ1643*(J1643/Basis!$E$5)^AK1643*(((MID(C1643,9,3)*10)-144)/1000)*AL1643+AM1643*(J1643/Basis!$E$5)^2)*0.0098)/Basis!$E$10)</f>
        <v>6.7040914881641295E-2</v>
      </c>
      <c r="M1643" s="85"/>
      <c r="N1643" s="109">
        <v>1.4550000000000001</v>
      </c>
      <c r="O1643" s="68"/>
      <c r="P1643" s="67">
        <v>2293</v>
      </c>
      <c r="Q1643" s="68"/>
      <c r="R1643" s="69"/>
      <c r="S1643" s="69"/>
      <c r="T1643" s="69"/>
      <c r="U1643" s="69"/>
      <c r="V1643" s="69"/>
      <c r="W1643" s="68"/>
      <c r="X1643" s="70"/>
      <c r="Y1643" s="70"/>
      <c r="Z1643" s="70"/>
      <c r="AA1643" s="70"/>
      <c r="AB1643" s="70"/>
      <c r="AC1643" s="68"/>
      <c r="AD1643" s="71"/>
      <c r="AE1643" s="71"/>
      <c r="AF1643" s="71"/>
      <c r="AG1643" s="71"/>
      <c r="AH1643" s="71"/>
      <c r="AI1643" s="68"/>
      <c r="AJ1643" s="214">
        <v>2.0829999999999999E-4</v>
      </c>
      <c r="AK1643" s="214">
        <v>1.724</v>
      </c>
      <c r="AL1643" s="214">
        <v>4</v>
      </c>
      <c r="AM1643" s="214">
        <v>1.392796E-3</v>
      </c>
      <c r="AN1643" s="68"/>
      <c r="AO1643" s="67"/>
      <c r="AP1643" s="67"/>
      <c r="AQ1643" s="67"/>
      <c r="AR1643" s="67"/>
      <c r="AS1643" s="67"/>
      <c r="AT1643" s="68"/>
      <c r="AU1643" s="49"/>
      <c r="AV1643" s="50"/>
    </row>
    <row r="1644" spans="1:48" ht="12.75" customHeight="1" x14ac:dyDescent="0.25">
      <c r="A1644" s="72" t="s">
        <v>883</v>
      </c>
      <c r="B1644" s="43" t="s">
        <v>1580</v>
      </c>
      <c r="C1644" s="44" t="s">
        <v>1800</v>
      </c>
      <c r="D1644" s="45">
        <f>MROUND(MID($C1644,6,3)/Basis!$E$3,0.5)</f>
        <v>11</v>
      </c>
      <c r="E1644" s="45">
        <f>MROUND(MID($C1644,9,3)/Basis!$E$3,0.5)</f>
        <v>63</v>
      </c>
      <c r="F1644" s="124" t="s">
        <v>2948</v>
      </c>
      <c r="G1644" s="45">
        <f>ROUND((MROUND($F1644,5)+3)/Basis!$E$3,1)</f>
        <v>9.1</v>
      </c>
      <c r="H1644" s="120">
        <f>ROUND($P1644*Basis!$E$2*((TaH-TrH)/LN(1/µ)/Basis!$E$7)^$N1644*$AA$4*Glycol,0)</f>
        <v>6320</v>
      </c>
      <c r="I1644" s="83">
        <f>ROUND(H1644/(MID($C1644,9,3)/Basis!$E$3/Basis!$E$9)*Basis!$E$11,0)</f>
        <v>1204</v>
      </c>
      <c r="J1644" s="123">
        <f>IF(Basis!$E$1=1,ROUND(H1644/((TaH-TrH)*1.163)/3600,3),ROUND(H1644/(500*(TaH-TrH)),2))</f>
        <v>0.63</v>
      </c>
      <c r="K1644" s="84"/>
      <c r="L1644" s="177">
        <f>CHOOSE(Basis!$E$1,((AJ1644*(J1644*3600/Basis!$E$5)^AK1644*(((MID(C1644,9,3)*10)-144)/1000)*AL1644+AM1644*(J1644*3600/Basis!$E$5)^2)*0.0098)/Basis!$E$10,((AJ1644*(J1644/Basis!$E$5)^AK1644*(((MID(C1644,9,3)*10)-144)/1000)*AL1644+AM1644*(J1644/Basis!$E$5)^2)*0.0098)/Basis!$E$10)</f>
        <v>4.6935092872362597E-2</v>
      </c>
      <c r="M1644" s="85"/>
      <c r="N1644" s="109">
        <v>1.4670000000000001</v>
      </c>
      <c r="O1644" s="68"/>
      <c r="P1644" s="67">
        <v>3006</v>
      </c>
      <c r="Q1644" s="68"/>
      <c r="R1644" s="69"/>
      <c r="S1644" s="69"/>
      <c r="T1644" s="69"/>
      <c r="U1644" s="69"/>
      <c r="V1644" s="69"/>
      <c r="W1644" s="68"/>
      <c r="X1644" s="70"/>
      <c r="Y1644" s="70"/>
      <c r="Z1644" s="70"/>
      <c r="AA1644" s="70"/>
      <c r="AB1644" s="70"/>
      <c r="AC1644" s="68"/>
      <c r="AD1644" s="71"/>
      <c r="AE1644" s="71"/>
      <c r="AF1644" s="71"/>
      <c r="AG1644" s="71"/>
      <c r="AH1644" s="71"/>
      <c r="AI1644" s="68"/>
      <c r="AJ1644" s="214">
        <v>1.2760000000000001E-4</v>
      </c>
      <c r="AK1644" s="214">
        <v>1.7219</v>
      </c>
      <c r="AL1644" s="214">
        <v>4</v>
      </c>
      <c r="AM1644" s="214">
        <v>5.1420100000000005E-4</v>
      </c>
      <c r="AN1644" s="68"/>
      <c r="AO1644" s="67"/>
      <c r="AP1644" s="67"/>
      <c r="AQ1644" s="67"/>
      <c r="AR1644" s="67"/>
      <c r="AS1644" s="67"/>
      <c r="AT1644" s="68"/>
      <c r="AU1644" s="49"/>
      <c r="AV1644" s="50"/>
    </row>
    <row r="1645" spans="1:48" ht="12.75" customHeight="1" x14ac:dyDescent="0.25">
      <c r="A1645" s="72" t="s">
        <v>883</v>
      </c>
      <c r="B1645" s="43" t="s">
        <v>1580</v>
      </c>
      <c r="C1645" s="44" t="s">
        <v>1801</v>
      </c>
      <c r="D1645" s="45">
        <f>MROUND(MID($C1645,6,3)/Basis!$E$3,0.5)</f>
        <v>11</v>
      </c>
      <c r="E1645" s="45">
        <f>MROUND(MID($C1645,9,3)/Basis!$E$3,0.5)</f>
        <v>71</v>
      </c>
      <c r="F1645" s="124" t="s">
        <v>2949</v>
      </c>
      <c r="G1645" s="45">
        <f>ROUND((MROUND($F1645,5)+3)/Basis!$E$3,1)</f>
        <v>3.1</v>
      </c>
      <c r="H1645" s="120">
        <f>ROUND($P1645*Basis!$E$2*((TaH-TrH)/LN(1/µ)/Basis!$E$7)^$N1645*$AA$4*Glycol,0)</f>
        <v>2203</v>
      </c>
      <c r="I1645" s="83">
        <f>ROUND(H1645/(MID($C1645,9,3)/Basis!$E$3/Basis!$E$9)*Basis!$E$11,0)</f>
        <v>373</v>
      </c>
      <c r="J1645" s="123">
        <f>IF(Basis!$E$1=1,ROUND(H1645/((TaH-TrH)*1.163)/3600,3),ROUND(H1645/(500*(TaH-TrH)),2))</f>
        <v>0.22</v>
      </c>
      <c r="K1645" s="84"/>
      <c r="L1645" s="177">
        <f>CHOOSE(Basis!$E$1,((AJ1645*(J1645*3600/Basis!$E$5)^AK1645*(((MID(C1645,9,3)*10)-144)/1000)*AL1645+AM1645*(J1645*3600/Basis!$E$5)^2)*0.0098)/Basis!$E$10,((AJ1645*(J1645/Basis!$E$5)^AK1645*(((MID(C1645,9,3)*10)-144)/1000)*AL1645+AM1645*(J1645/Basis!$E$5)^2)*0.0098)/Basis!$E$10)</f>
        <v>2.1354544672607553E-2</v>
      </c>
      <c r="M1645" s="85"/>
      <c r="N1645" s="109">
        <v>1.403</v>
      </c>
      <c r="O1645" s="68"/>
      <c r="P1645" s="67">
        <v>1026</v>
      </c>
      <c r="Q1645" s="68"/>
      <c r="R1645" s="69"/>
      <c r="S1645" s="69"/>
      <c r="T1645" s="69"/>
      <c r="U1645" s="69"/>
      <c r="V1645" s="69"/>
      <c r="W1645" s="68"/>
      <c r="X1645" s="70"/>
      <c r="Y1645" s="70"/>
      <c r="Z1645" s="70"/>
      <c r="AA1645" s="70"/>
      <c r="AB1645" s="70"/>
      <c r="AC1645" s="68"/>
      <c r="AD1645" s="71"/>
      <c r="AE1645" s="71"/>
      <c r="AF1645" s="71"/>
      <c r="AG1645" s="71"/>
      <c r="AH1645" s="71"/>
      <c r="AI1645" s="68"/>
      <c r="AJ1645" s="214">
        <v>4.1688828699999996E-3</v>
      </c>
      <c r="AK1645" s="214">
        <v>1.411581940642</v>
      </c>
      <c r="AL1645" s="214">
        <v>3</v>
      </c>
      <c r="AM1645" s="214">
        <v>5.4247339961626003E-4</v>
      </c>
      <c r="AN1645" s="68"/>
      <c r="AO1645" s="67"/>
      <c r="AP1645" s="67"/>
      <c r="AQ1645" s="67"/>
      <c r="AR1645" s="67"/>
      <c r="AS1645" s="67"/>
      <c r="AT1645" s="68"/>
      <c r="AU1645" s="49"/>
      <c r="AV1645" s="50"/>
    </row>
    <row r="1646" spans="1:48" ht="12.75" customHeight="1" x14ac:dyDescent="0.25">
      <c r="A1646" s="72" t="s">
        <v>883</v>
      </c>
      <c r="B1646" s="43" t="s">
        <v>1580</v>
      </c>
      <c r="C1646" s="44" t="s">
        <v>1802</v>
      </c>
      <c r="D1646" s="45">
        <f>MROUND(MID($C1646,6,3)/Basis!$E$3,0.5)</f>
        <v>11</v>
      </c>
      <c r="E1646" s="45">
        <f>MROUND(MID($C1646,9,3)/Basis!$E$3,0.5)</f>
        <v>71</v>
      </c>
      <c r="F1646" s="124" t="s">
        <v>2946</v>
      </c>
      <c r="G1646" s="45">
        <f>ROUND((MROUND($F1646,5)+3)/Basis!$E$3,1)</f>
        <v>5.0999999999999996</v>
      </c>
      <c r="H1646" s="120">
        <f>ROUND($P1646*Basis!$E$2*((TaH-TrH)/LN(1/µ)/Basis!$E$7)^$N1646*$AA$4*Glycol,0)</f>
        <v>4157</v>
      </c>
      <c r="I1646" s="83">
        <f>ROUND(H1646/(MID($C1646,9,3)/Basis!$E$3/Basis!$E$9)*Basis!$E$11,0)</f>
        <v>704</v>
      </c>
      <c r="J1646" s="123">
        <f>IF(Basis!$E$1=1,ROUND(H1646/((TaH-TrH)*1.163)/3600,3),ROUND(H1646/(500*(TaH-TrH)),2))</f>
        <v>0.42</v>
      </c>
      <c r="K1646" s="84"/>
      <c r="L1646" s="177">
        <f>CHOOSE(Basis!$E$1,((AJ1646*(J1646*3600/Basis!$E$5)^AK1646*(((MID(C1646,9,3)*10)-144)/1000)*AL1646+AM1646*(J1646*3600/Basis!$E$5)^2)*0.0098)/Basis!$E$10,((AJ1646*(J1646/Basis!$E$5)^AK1646*(((MID(C1646,9,3)*10)-144)/1000)*AL1646+AM1646*(J1646/Basis!$E$5)^2)*0.0098)/Basis!$E$10)</f>
        <v>4.0420443608458881E-2</v>
      </c>
      <c r="M1646" s="85"/>
      <c r="N1646" s="109">
        <v>1.4410000000000001</v>
      </c>
      <c r="O1646" s="68"/>
      <c r="P1646" s="67">
        <v>1960</v>
      </c>
      <c r="Q1646" s="68"/>
      <c r="R1646" s="69"/>
      <c r="S1646" s="69"/>
      <c r="T1646" s="69"/>
      <c r="U1646" s="69"/>
      <c r="V1646" s="69"/>
      <c r="W1646" s="68"/>
      <c r="X1646" s="70"/>
      <c r="Y1646" s="70"/>
      <c r="Z1646" s="70"/>
      <c r="AA1646" s="70"/>
      <c r="AB1646" s="70"/>
      <c r="AC1646" s="68"/>
      <c r="AD1646" s="71"/>
      <c r="AE1646" s="71"/>
      <c r="AF1646" s="71"/>
      <c r="AG1646" s="71"/>
      <c r="AH1646" s="71"/>
      <c r="AI1646" s="68"/>
      <c r="AJ1646" s="214">
        <v>3.9689999999999994E-4</v>
      </c>
      <c r="AK1646" s="214">
        <v>1.7345999999999999</v>
      </c>
      <c r="AL1646" s="214">
        <v>4</v>
      </c>
      <c r="AM1646" s="214">
        <v>5.7428799999999995E-4</v>
      </c>
      <c r="AN1646" s="68"/>
      <c r="AO1646" s="67"/>
      <c r="AP1646" s="67"/>
      <c r="AQ1646" s="67"/>
      <c r="AR1646" s="67"/>
      <c r="AS1646" s="67"/>
      <c r="AT1646" s="68"/>
      <c r="AU1646" s="49"/>
      <c r="AV1646" s="50"/>
    </row>
    <row r="1647" spans="1:48" ht="12.75" customHeight="1" x14ac:dyDescent="0.25">
      <c r="A1647" s="72" t="s">
        <v>883</v>
      </c>
      <c r="B1647" s="43" t="s">
        <v>1580</v>
      </c>
      <c r="C1647" s="44" t="s">
        <v>1803</v>
      </c>
      <c r="D1647" s="45">
        <f>MROUND(MID($C1647,6,3)/Basis!$E$3,0.5)</f>
        <v>11</v>
      </c>
      <c r="E1647" s="45">
        <f>MROUND(MID($C1647,9,3)/Basis!$E$3,0.5)</f>
        <v>71</v>
      </c>
      <c r="F1647" s="124" t="s">
        <v>2947</v>
      </c>
      <c r="G1647" s="45">
        <f>ROUND((MROUND($F1647,5)+3)/Basis!$E$3,1)</f>
        <v>7.1</v>
      </c>
      <c r="H1647" s="120">
        <f>ROUND($P1647*Basis!$E$2*((TaH-TrH)/LN(1/µ)/Basis!$E$7)^$N1647*$AA$4*Glycol,0)</f>
        <v>5444</v>
      </c>
      <c r="I1647" s="83">
        <f>ROUND(H1647/(MID($C1647,9,3)/Basis!$E$3/Basis!$E$9)*Basis!$E$11,0)</f>
        <v>922</v>
      </c>
      <c r="J1647" s="123">
        <f>IF(Basis!$E$1=1,ROUND(H1647/((TaH-TrH)*1.163)/3600,3),ROUND(H1647/(500*(TaH-TrH)),2))</f>
        <v>0.54</v>
      </c>
      <c r="K1647" s="84"/>
      <c r="L1647" s="177">
        <f>CHOOSE(Basis!$E$1,((AJ1647*(J1647*3600/Basis!$E$5)^AK1647*(((MID(C1647,9,3)*10)-144)/1000)*AL1647+AM1647*(J1647*3600/Basis!$E$5)^2)*0.0098)/Basis!$E$10,((AJ1647*(J1647/Basis!$E$5)^AK1647*(((MID(C1647,9,3)*10)-144)/1000)*AL1647+AM1647*(J1647/Basis!$E$5)^2)*0.0098)/Basis!$E$10)</f>
        <v>8.6499247641908028E-2</v>
      </c>
      <c r="M1647" s="85"/>
      <c r="N1647" s="109">
        <v>1.4550000000000001</v>
      </c>
      <c r="O1647" s="68"/>
      <c r="P1647" s="67">
        <v>2579</v>
      </c>
      <c r="Q1647" s="68"/>
      <c r="R1647" s="69"/>
      <c r="S1647" s="69"/>
      <c r="T1647" s="69"/>
      <c r="U1647" s="69"/>
      <c r="V1647" s="69"/>
      <c r="W1647" s="68"/>
      <c r="X1647" s="70"/>
      <c r="Y1647" s="70"/>
      <c r="Z1647" s="70"/>
      <c r="AA1647" s="70"/>
      <c r="AB1647" s="70"/>
      <c r="AC1647" s="68"/>
      <c r="AD1647" s="71"/>
      <c r="AE1647" s="71"/>
      <c r="AF1647" s="71"/>
      <c r="AG1647" s="71"/>
      <c r="AH1647" s="71"/>
      <c r="AI1647" s="68"/>
      <c r="AJ1647" s="214">
        <v>2.0829999999999999E-4</v>
      </c>
      <c r="AK1647" s="214">
        <v>1.724</v>
      </c>
      <c r="AL1647" s="214">
        <v>4</v>
      </c>
      <c r="AM1647" s="214">
        <v>1.392796E-3</v>
      </c>
      <c r="AN1647" s="68"/>
      <c r="AO1647" s="67"/>
      <c r="AP1647" s="67"/>
      <c r="AQ1647" s="67"/>
      <c r="AR1647" s="67"/>
      <c r="AS1647" s="67"/>
      <c r="AT1647" s="68"/>
      <c r="AU1647" s="49"/>
      <c r="AV1647" s="50"/>
    </row>
    <row r="1648" spans="1:48" ht="12.75" customHeight="1" x14ac:dyDescent="0.25">
      <c r="A1648" s="72" t="s">
        <v>883</v>
      </c>
      <c r="B1648" s="43" t="s">
        <v>1580</v>
      </c>
      <c r="C1648" s="44" t="s">
        <v>1804</v>
      </c>
      <c r="D1648" s="45">
        <f>MROUND(MID($C1648,6,3)/Basis!$E$3,0.5)</f>
        <v>11</v>
      </c>
      <c r="E1648" s="45">
        <f>MROUND(MID($C1648,9,3)/Basis!$E$3,0.5)</f>
        <v>71</v>
      </c>
      <c r="F1648" s="124" t="s">
        <v>2948</v>
      </c>
      <c r="G1648" s="45">
        <f>ROUND((MROUND($F1648,5)+3)/Basis!$E$3,1)</f>
        <v>9.1</v>
      </c>
      <c r="H1648" s="120">
        <f>ROUND($P1648*Basis!$E$2*((TaH-TrH)/LN(1/µ)/Basis!$E$7)^$N1648*$AA$4*Glycol,0)</f>
        <v>7111</v>
      </c>
      <c r="I1648" s="83">
        <f>ROUND(H1648/(MID($C1648,9,3)/Basis!$E$3/Basis!$E$9)*Basis!$E$11,0)</f>
        <v>1204</v>
      </c>
      <c r="J1648" s="123">
        <f>IF(Basis!$E$1=1,ROUND(H1648/((TaH-TrH)*1.163)/3600,3),ROUND(H1648/(500*(TaH-TrH)),2))</f>
        <v>0.71</v>
      </c>
      <c r="K1648" s="84"/>
      <c r="L1648" s="177">
        <f>CHOOSE(Basis!$E$1,((AJ1648*(J1648*3600/Basis!$E$5)^AK1648*(((MID(C1648,9,3)*10)-144)/1000)*AL1648+AM1648*(J1648*3600/Basis!$E$5)^2)*0.0098)/Basis!$E$10,((AJ1648*(J1648/Basis!$E$5)^AK1648*(((MID(C1648,9,3)*10)-144)/1000)*AL1648+AM1648*(J1648/Basis!$E$5)^2)*0.0098)/Basis!$E$10)</f>
        <v>6.1203797489796277E-2</v>
      </c>
      <c r="M1648" s="85"/>
      <c r="N1648" s="109">
        <v>1.4670000000000001</v>
      </c>
      <c r="O1648" s="68"/>
      <c r="P1648" s="67">
        <v>3382</v>
      </c>
      <c r="Q1648" s="68"/>
      <c r="R1648" s="69"/>
      <c r="S1648" s="69"/>
      <c r="T1648" s="69"/>
      <c r="U1648" s="69"/>
      <c r="V1648" s="69"/>
      <c r="W1648" s="68"/>
      <c r="X1648" s="70"/>
      <c r="Y1648" s="70"/>
      <c r="Z1648" s="70"/>
      <c r="AA1648" s="70"/>
      <c r="AB1648" s="70"/>
      <c r="AC1648" s="68"/>
      <c r="AD1648" s="71"/>
      <c r="AE1648" s="71"/>
      <c r="AF1648" s="71"/>
      <c r="AG1648" s="71"/>
      <c r="AH1648" s="71"/>
      <c r="AI1648" s="68"/>
      <c r="AJ1648" s="214">
        <v>1.2760000000000001E-4</v>
      </c>
      <c r="AK1648" s="214">
        <v>1.7219</v>
      </c>
      <c r="AL1648" s="214">
        <v>4</v>
      </c>
      <c r="AM1648" s="214">
        <v>5.1420100000000005E-4</v>
      </c>
      <c r="AN1648" s="68"/>
      <c r="AO1648" s="67"/>
      <c r="AP1648" s="67"/>
      <c r="AQ1648" s="67"/>
      <c r="AR1648" s="67"/>
      <c r="AS1648" s="67"/>
      <c r="AT1648" s="68"/>
      <c r="AU1648" s="49"/>
      <c r="AV1648" s="50"/>
    </row>
    <row r="1649" spans="1:48" ht="12.75" customHeight="1" x14ac:dyDescent="0.25">
      <c r="A1649" s="72" t="s">
        <v>883</v>
      </c>
      <c r="B1649" s="43" t="s">
        <v>1580</v>
      </c>
      <c r="C1649" s="44" t="s">
        <v>1805</v>
      </c>
      <c r="D1649" s="45">
        <f>MROUND(MID($C1649,6,3)/Basis!$E$3,0.5)</f>
        <v>11</v>
      </c>
      <c r="E1649" s="45">
        <f>MROUND(MID($C1649,9,3)/Basis!$E$3,0.5)</f>
        <v>71.5</v>
      </c>
      <c r="F1649" s="124" t="s">
        <v>2946</v>
      </c>
      <c r="G1649" s="45">
        <f>ROUND((MROUND($F1649,5)+3)/Basis!$E$3,1)</f>
        <v>5.0999999999999996</v>
      </c>
      <c r="H1649" s="120">
        <f>ROUND($P1649*Basis!$E$2*((TaH-TrH)/LN(1/µ)/Basis!$E$7)^$N1649*$AA$4*Glycol,0)</f>
        <v>7751</v>
      </c>
      <c r="I1649" s="83">
        <f>ROUND(H1649/(MID($C1649,9,3)/Basis!$E$3/Basis!$E$9)*Basis!$E$11,0)</f>
        <v>1305</v>
      </c>
      <c r="J1649" s="123">
        <f>IF(Basis!$E$1=1,ROUND(H1649/((TaH-TrH)*1.163)/3600,3),ROUND(H1649/(500*(TaH-TrH)),2))</f>
        <v>0.78</v>
      </c>
      <c r="K1649" s="84"/>
      <c r="L1649" s="177">
        <f>CHOOSE(Basis!$E$1,((AJ1649*(J1649*3600/Basis!$E$5)^AK1649*(((MID(C1649,9,3)*10)-144)/1000)*AL1649+AM1649*(J1649*3600/Basis!$E$5)^2)*0.0098)/Basis!$E$10,((AJ1649*(J1649/Basis!$E$5)^AK1649*(((MID(C1649,9,3)*10)-144)/1000)*AL1649+AM1649*(J1649/Basis!$E$5)^2)*0.0098)/Basis!$E$10)</f>
        <v>0.12762890237110572</v>
      </c>
      <c r="M1649" s="85"/>
      <c r="N1649" s="110">
        <v>1</v>
      </c>
      <c r="O1649" s="74"/>
      <c r="P1649" s="73">
        <v>3160</v>
      </c>
      <c r="Q1649" s="74"/>
      <c r="R1649" s="75"/>
      <c r="S1649" s="75"/>
      <c r="T1649" s="75"/>
      <c r="U1649" s="75"/>
      <c r="V1649" s="75"/>
      <c r="W1649" s="74"/>
      <c r="X1649" s="76"/>
      <c r="Y1649" s="76"/>
      <c r="Z1649" s="76"/>
      <c r="AA1649" s="76"/>
      <c r="AB1649" s="76"/>
      <c r="AC1649" s="74"/>
      <c r="AD1649" s="77"/>
      <c r="AE1649" s="77"/>
      <c r="AF1649" s="77"/>
      <c r="AG1649" s="77"/>
      <c r="AH1649" s="77"/>
      <c r="AI1649" s="68"/>
      <c r="AJ1649" s="213">
        <v>3.9689999999999994E-4</v>
      </c>
      <c r="AK1649" s="213">
        <v>1.7345999999999999</v>
      </c>
      <c r="AL1649" s="213">
        <v>4</v>
      </c>
      <c r="AM1649" s="213">
        <v>5.7428799999999995E-4</v>
      </c>
      <c r="AN1649" s="74"/>
      <c r="AO1649" s="73"/>
      <c r="AP1649" s="73"/>
      <c r="AQ1649" s="73"/>
      <c r="AR1649" s="73"/>
      <c r="AS1649" s="73"/>
      <c r="AT1649" s="74"/>
      <c r="AU1649" s="47"/>
      <c r="AV1649" s="48"/>
    </row>
    <row r="1650" spans="1:48" ht="12.75" customHeight="1" x14ac:dyDescent="0.25">
      <c r="A1650" s="72" t="s">
        <v>883</v>
      </c>
      <c r="B1650" s="43" t="s">
        <v>1580</v>
      </c>
      <c r="C1650" s="44" t="s">
        <v>1806</v>
      </c>
      <c r="D1650" s="45">
        <f>MROUND(MID($C1650,6,3)/Basis!$E$3,0.5)</f>
        <v>11</v>
      </c>
      <c r="E1650" s="45">
        <f>MROUND(MID($C1650,9,3)/Basis!$E$3,0.5)</f>
        <v>71.5</v>
      </c>
      <c r="F1650" s="124" t="s">
        <v>2947</v>
      </c>
      <c r="G1650" s="45">
        <f>ROUND((MROUND($F1650,5)+3)/Basis!$E$3,1)</f>
        <v>7.1</v>
      </c>
      <c r="H1650" s="120">
        <f>ROUND($P1650*Basis!$E$2*((TaH-TrH)/LN(1/µ)/Basis!$E$7)^$N1650*$AA$4*Glycol,0)</f>
        <v>11036</v>
      </c>
      <c r="I1650" s="83">
        <f>ROUND(H1650/(MID($C1650,9,3)/Basis!$E$3/Basis!$E$9)*Basis!$E$11,0)</f>
        <v>1858</v>
      </c>
      <c r="J1650" s="123">
        <f>IF(Basis!$E$1=1,ROUND(H1650/((TaH-TrH)*1.163)/3600,3),ROUND(H1650/(500*(TaH-TrH)),2))</f>
        <v>1.1000000000000001</v>
      </c>
      <c r="K1650" s="84"/>
      <c r="L1650" s="177">
        <f>CHOOSE(Basis!$E$1,((AJ1650*(J1650*3600/Basis!$E$5)^AK1650*(((MID(C1650,9,3)*10)-144)/1000)*AL1650+AM1650*(J1650*3600/Basis!$E$5)^2)*0.0098)/Basis!$E$10,((AJ1650*(J1650/Basis!$E$5)^AK1650*(((MID(C1650,9,3)*10)-144)/1000)*AL1650+AM1650*(J1650/Basis!$E$5)^2)*0.0098)/Basis!$E$10)</f>
        <v>0.34598700684273997</v>
      </c>
      <c r="M1650" s="85"/>
      <c r="N1650" s="109">
        <v>1</v>
      </c>
      <c r="O1650" s="68"/>
      <c r="P1650" s="67">
        <v>4499</v>
      </c>
      <c r="Q1650" s="68"/>
      <c r="R1650" s="69"/>
      <c r="S1650" s="69"/>
      <c r="T1650" s="69"/>
      <c r="U1650" s="69"/>
      <c r="V1650" s="69"/>
      <c r="W1650" s="68"/>
      <c r="X1650" s="70"/>
      <c r="Y1650" s="70"/>
      <c r="Z1650" s="70"/>
      <c r="AA1650" s="70"/>
      <c r="AB1650" s="70"/>
      <c r="AC1650" s="68"/>
      <c r="AD1650" s="71"/>
      <c r="AE1650" s="71"/>
      <c r="AF1650" s="71"/>
      <c r="AG1650" s="71"/>
      <c r="AH1650" s="71"/>
      <c r="AI1650" s="68"/>
      <c r="AJ1650" s="214">
        <v>2.0829999999999999E-4</v>
      </c>
      <c r="AK1650" s="214">
        <v>1.724</v>
      </c>
      <c r="AL1650" s="214">
        <v>4</v>
      </c>
      <c r="AM1650" s="214">
        <v>1.392796E-3</v>
      </c>
      <c r="AN1650" s="68"/>
      <c r="AO1650" s="67"/>
      <c r="AP1650" s="67"/>
      <c r="AQ1650" s="67"/>
      <c r="AR1650" s="67"/>
      <c r="AS1650" s="67"/>
      <c r="AT1650" s="68"/>
      <c r="AU1650" s="49"/>
      <c r="AV1650" s="50"/>
    </row>
    <row r="1651" spans="1:48" ht="12.75" customHeight="1" x14ac:dyDescent="0.25">
      <c r="A1651" s="72" t="s">
        <v>883</v>
      </c>
      <c r="B1651" s="43" t="s">
        <v>1580</v>
      </c>
      <c r="C1651" s="44" t="s">
        <v>1807</v>
      </c>
      <c r="D1651" s="45">
        <f>MROUND(MID($C1651,6,3)/Basis!$E$3,0.5)</f>
        <v>11</v>
      </c>
      <c r="E1651" s="45">
        <f>MROUND(MID($C1651,9,3)/Basis!$E$3,0.5)</f>
        <v>78.5</v>
      </c>
      <c r="F1651" s="124" t="s">
        <v>2949</v>
      </c>
      <c r="G1651" s="45">
        <f>ROUND((MROUND($F1651,5)+3)/Basis!$E$3,1)</f>
        <v>3.1</v>
      </c>
      <c r="H1651" s="120">
        <f>ROUND($P1651*Basis!$E$2*((TaH-TrH)/LN(1/µ)/Basis!$E$7)^$N1651*$AA$4*Glycol,0)</f>
        <v>2448</v>
      </c>
      <c r="I1651" s="83">
        <f>ROUND(H1651/(MID($C1651,9,3)/Basis!$E$3/Basis!$E$9)*Basis!$E$11,0)</f>
        <v>373</v>
      </c>
      <c r="J1651" s="123">
        <f>IF(Basis!$E$1=1,ROUND(H1651/((TaH-TrH)*1.163)/3600,3),ROUND(H1651/(500*(TaH-TrH)),2))</f>
        <v>0.24</v>
      </c>
      <c r="K1651" s="84"/>
      <c r="L1651" s="177">
        <f>CHOOSE(Basis!$E$1,((AJ1651*(J1651*3600/Basis!$E$5)^AK1651*(((MID(C1651,9,3)*10)-144)/1000)*AL1651+AM1651*(J1651*3600/Basis!$E$5)^2)*0.0098)/Basis!$E$10,((AJ1651*(J1651/Basis!$E$5)^AK1651*(((MID(C1651,9,3)*10)-144)/1000)*AL1651+AM1651*(J1651/Basis!$E$5)^2)*0.0098)/Basis!$E$10)</f>
        <v>2.6719658398083969E-2</v>
      </c>
      <c r="M1651" s="85"/>
      <c r="N1651" s="109">
        <v>1.403</v>
      </c>
      <c r="O1651" s="68"/>
      <c r="P1651" s="67">
        <v>1140</v>
      </c>
      <c r="Q1651" s="68"/>
      <c r="R1651" s="69"/>
      <c r="S1651" s="69"/>
      <c r="T1651" s="69"/>
      <c r="U1651" s="69"/>
      <c r="V1651" s="69"/>
      <c r="W1651" s="68"/>
      <c r="X1651" s="70"/>
      <c r="Y1651" s="70"/>
      <c r="Z1651" s="70"/>
      <c r="AA1651" s="70"/>
      <c r="AB1651" s="70"/>
      <c r="AC1651" s="68"/>
      <c r="AD1651" s="71"/>
      <c r="AE1651" s="71"/>
      <c r="AF1651" s="71"/>
      <c r="AG1651" s="71"/>
      <c r="AH1651" s="71"/>
      <c r="AI1651" s="68"/>
      <c r="AJ1651" s="214">
        <v>4.1688828699999996E-3</v>
      </c>
      <c r="AK1651" s="214">
        <v>1.411581940642</v>
      </c>
      <c r="AL1651" s="214">
        <v>3</v>
      </c>
      <c r="AM1651" s="214">
        <v>5.4247339961626003E-4</v>
      </c>
      <c r="AN1651" s="68"/>
      <c r="AO1651" s="67"/>
      <c r="AP1651" s="67"/>
      <c r="AQ1651" s="67"/>
      <c r="AR1651" s="67"/>
      <c r="AS1651" s="67"/>
      <c r="AT1651" s="68"/>
      <c r="AU1651" s="49"/>
      <c r="AV1651" s="50"/>
    </row>
    <row r="1652" spans="1:48" ht="12.75" customHeight="1" x14ac:dyDescent="0.25">
      <c r="A1652" s="72" t="s">
        <v>883</v>
      </c>
      <c r="B1652" s="43" t="s">
        <v>1580</v>
      </c>
      <c r="C1652" s="44" t="s">
        <v>1808</v>
      </c>
      <c r="D1652" s="45">
        <f>MROUND(MID($C1652,6,3)/Basis!$E$3,0.5)</f>
        <v>11</v>
      </c>
      <c r="E1652" s="45">
        <f>MROUND(MID($C1652,9,3)/Basis!$E$3,0.5)</f>
        <v>78.5</v>
      </c>
      <c r="F1652" s="124" t="s">
        <v>2946</v>
      </c>
      <c r="G1652" s="45">
        <f>ROUND((MROUND($F1652,5)+3)/Basis!$E$3,1)</f>
        <v>5.0999999999999996</v>
      </c>
      <c r="H1652" s="120">
        <f>ROUND($P1652*Basis!$E$2*((TaH-TrH)/LN(1/µ)/Basis!$E$7)^$N1652*$AA$4*Glycol,0)</f>
        <v>4619</v>
      </c>
      <c r="I1652" s="83">
        <f>ROUND(H1652/(MID($C1652,9,3)/Basis!$E$3/Basis!$E$9)*Basis!$E$11,0)</f>
        <v>704</v>
      </c>
      <c r="J1652" s="123">
        <f>IF(Basis!$E$1=1,ROUND(H1652/((TaH-TrH)*1.163)/3600,3),ROUND(H1652/(500*(TaH-TrH)),2))</f>
        <v>0.46</v>
      </c>
      <c r="K1652" s="84"/>
      <c r="L1652" s="177">
        <f>CHOOSE(Basis!$E$1,((AJ1652*(J1652*3600/Basis!$E$5)^AK1652*(((MID(C1652,9,3)*10)-144)/1000)*AL1652+AM1652*(J1652*3600/Basis!$E$5)^2)*0.0098)/Basis!$E$10,((AJ1652*(J1652/Basis!$E$5)^AK1652*(((MID(C1652,9,3)*10)-144)/1000)*AL1652+AM1652*(J1652/Basis!$E$5)^2)*0.0098)/Basis!$E$10)</f>
        <v>5.1118256773388257E-2</v>
      </c>
      <c r="M1652" s="85"/>
      <c r="N1652" s="109">
        <v>1.4410000000000001</v>
      </c>
      <c r="O1652" s="68"/>
      <c r="P1652" s="67">
        <v>2178</v>
      </c>
      <c r="Q1652" s="68"/>
      <c r="R1652" s="69"/>
      <c r="S1652" s="69"/>
      <c r="T1652" s="69"/>
      <c r="U1652" s="69"/>
      <c r="V1652" s="69"/>
      <c r="W1652" s="68"/>
      <c r="X1652" s="70"/>
      <c r="Y1652" s="70"/>
      <c r="Z1652" s="70"/>
      <c r="AA1652" s="70"/>
      <c r="AB1652" s="70"/>
      <c r="AC1652" s="68"/>
      <c r="AD1652" s="71"/>
      <c r="AE1652" s="71"/>
      <c r="AF1652" s="71"/>
      <c r="AG1652" s="71"/>
      <c r="AH1652" s="71"/>
      <c r="AI1652" s="68"/>
      <c r="AJ1652" s="214">
        <v>3.9689999999999994E-4</v>
      </c>
      <c r="AK1652" s="214">
        <v>1.7345999999999999</v>
      </c>
      <c r="AL1652" s="214">
        <v>4</v>
      </c>
      <c r="AM1652" s="214">
        <v>5.7428799999999995E-4</v>
      </c>
      <c r="AN1652" s="68"/>
      <c r="AO1652" s="67"/>
      <c r="AP1652" s="67"/>
      <c r="AQ1652" s="67"/>
      <c r="AR1652" s="67"/>
      <c r="AS1652" s="67"/>
      <c r="AT1652" s="68"/>
      <c r="AU1652" s="49"/>
      <c r="AV1652" s="50"/>
    </row>
    <row r="1653" spans="1:48" ht="12.75" customHeight="1" x14ac:dyDescent="0.25">
      <c r="A1653" s="72" t="s">
        <v>883</v>
      </c>
      <c r="B1653" s="43" t="s">
        <v>1580</v>
      </c>
      <c r="C1653" s="44" t="s">
        <v>1809</v>
      </c>
      <c r="D1653" s="45">
        <f>MROUND(MID($C1653,6,3)/Basis!$E$3,0.5)</f>
        <v>11</v>
      </c>
      <c r="E1653" s="45">
        <f>MROUND(MID($C1653,9,3)/Basis!$E$3,0.5)</f>
        <v>78.5</v>
      </c>
      <c r="F1653" s="124" t="s">
        <v>2947</v>
      </c>
      <c r="G1653" s="45">
        <f>ROUND((MROUND($F1653,5)+3)/Basis!$E$3,1)</f>
        <v>7.1</v>
      </c>
      <c r="H1653" s="120">
        <f>ROUND($P1653*Basis!$E$2*((TaH-TrH)/LN(1/µ)/Basis!$E$7)^$N1653*$AA$4*Glycol,0)</f>
        <v>6050</v>
      </c>
      <c r="I1653" s="83">
        <f>ROUND(H1653/(MID($C1653,9,3)/Basis!$E$3/Basis!$E$9)*Basis!$E$11,0)</f>
        <v>922</v>
      </c>
      <c r="J1653" s="123">
        <f>IF(Basis!$E$1=1,ROUND(H1653/((TaH-TrH)*1.163)/3600,3),ROUND(H1653/(500*(TaH-TrH)),2))</f>
        <v>0.61</v>
      </c>
      <c r="K1653" s="84"/>
      <c r="L1653" s="177">
        <f>CHOOSE(Basis!$E$1,((AJ1653*(J1653*3600/Basis!$E$5)^AK1653*(((MID(C1653,9,3)*10)-144)/1000)*AL1653+AM1653*(J1653*3600/Basis!$E$5)^2)*0.0098)/Basis!$E$10,((AJ1653*(J1653/Basis!$E$5)^AK1653*(((MID(C1653,9,3)*10)-144)/1000)*AL1653+AM1653*(J1653/Basis!$E$5)^2)*0.0098)/Basis!$E$10)</f>
        <v>0.11230045416065561</v>
      </c>
      <c r="M1653" s="85"/>
      <c r="N1653" s="109">
        <v>1.4550000000000001</v>
      </c>
      <c r="O1653" s="68"/>
      <c r="P1653" s="67">
        <v>2866</v>
      </c>
      <c r="Q1653" s="68"/>
      <c r="R1653" s="69"/>
      <c r="S1653" s="69"/>
      <c r="T1653" s="69"/>
      <c r="U1653" s="69"/>
      <c r="V1653" s="69"/>
      <c r="W1653" s="68"/>
      <c r="X1653" s="70"/>
      <c r="Y1653" s="70"/>
      <c r="Z1653" s="70"/>
      <c r="AA1653" s="70"/>
      <c r="AB1653" s="70"/>
      <c r="AC1653" s="68"/>
      <c r="AD1653" s="71"/>
      <c r="AE1653" s="71"/>
      <c r="AF1653" s="71"/>
      <c r="AG1653" s="71"/>
      <c r="AH1653" s="71"/>
      <c r="AI1653" s="68"/>
      <c r="AJ1653" s="214">
        <v>2.0829999999999999E-4</v>
      </c>
      <c r="AK1653" s="214">
        <v>1.724</v>
      </c>
      <c r="AL1653" s="214">
        <v>4</v>
      </c>
      <c r="AM1653" s="214">
        <v>1.392796E-3</v>
      </c>
      <c r="AN1653" s="68"/>
      <c r="AO1653" s="67"/>
      <c r="AP1653" s="67"/>
      <c r="AQ1653" s="67"/>
      <c r="AR1653" s="67"/>
      <c r="AS1653" s="67"/>
      <c r="AT1653" s="68"/>
      <c r="AU1653" s="49"/>
      <c r="AV1653" s="50"/>
    </row>
    <row r="1654" spans="1:48" ht="12.75" customHeight="1" x14ac:dyDescent="0.25">
      <c r="A1654" s="72" t="s">
        <v>883</v>
      </c>
      <c r="B1654" s="43" t="s">
        <v>1580</v>
      </c>
      <c r="C1654" s="44" t="s">
        <v>1810</v>
      </c>
      <c r="D1654" s="45">
        <f>MROUND(MID($C1654,6,3)/Basis!$E$3,0.5)</f>
        <v>11</v>
      </c>
      <c r="E1654" s="45">
        <f>MROUND(MID($C1654,9,3)/Basis!$E$3,0.5)</f>
        <v>78.5</v>
      </c>
      <c r="F1654" s="124" t="s">
        <v>2948</v>
      </c>
      <c r="G1654" s="45">
        <f>ROUND((MROUND($F1654,5)+3)/Basis!$E$3,1)</f>
        <v>9.1</v>
      </c>
      <c r="H1654" s="120">
        <f>ROUND($P1654*Basis!$E$2*((TaH-TrH)/LN(1/µ)/Basis!$E$7)^$N1654*$AA$4*Glycol,0)</f>
        <v>7901</v>
      </c>
      <c r="I1654" s="83">
        <f>ROUND(H1654/(MID($C1654,9,3)/Basis!$E$3/Basis!$E$9)*Basis!$E$11,0)</f>
        <v>1204</v>
      </c>
      <c r="J1654" s="123">
        <f>IF(Basis!$E$1=1,ROUND(H1654/((TaH-TrH)*1.163)/3600,3),ROUND(H1654/(500*(TaH-TrH)),2))</f>
        <v>0.79</v>
      </c>
      <c r="K1654" s="84"/>
      <c r="L1654" s="177">
        <f>CHOOSE(Basis!$E$1,((AJ1654*(J1654*3600/Basis!$E$5)^AK1654*(((MID(C1654,9,3)*10)-144)/1000)*AL1654+AM1654*(J1654*3600/Basis!$E$5)^2)*0.0098)/Basis!$E$10,((AJ1654*(J1654/Basis!$E$5)^AK1654*(((MID(C1654,9,3)*10)-144)/1000)*AL1654+AM1654*(J1654/Basis!$E$5)^2)*0.0098)/Basis!$E$10)</f>
        <v>7.7677639578961441E-2</v>
      </c>
      <c r="M1654" s="85"/>
      <c r="N1654" s="109">
        <v>1.4670000000000001</v>
      </c>
      <c r="O1654" s="68"/>
      <c r="P1654" s="67">
        <v>3758</v>
      </c>
      <c r="Q1654" s="68"/>
      <c r="R1654" s="69"/>
      <c r="S1654" s="69"/>
      <c r="T1654" s="69"/>
      <c r="U1654" s="69"/>
      <c r="V1654" s="69"/>
      <c r="W1654" s="68"/>
      <c r="X1654" s="70"/>
      <c r="Y1654" s="70"/>
      <c r="Z1654" s="70"/>
      <c r="AA1654" s="70"/>
      <c r="AB1654" s="70"/>
      <c r="AC1654" s="68"/>
      <c r="AD1654" s="71"/>
      <c r="AE1654" s="71"/>
      <c r="AF1654" s="71"/>
      <c r="AG1654" s="71"/>
      <c r="AH1654" s="71"/>
      <c r="AI1654" s="68"/>
      <c r="AJ1654" s="214">
        <v>1.2760000000000001E-4</v>
      </c>
      <c r="AK1654" s="214">
        <v>1.7219</v>
      </c>
      <c r="AL1654" s="214">
        <v>4</v>
      </c>
      <c r="AM1654" s="214">
        <v>5.1420100000000005E-4</v>
      </c>
      <c r="AN1654" s="68"/>
      <c r="AO1654" s="67"/>
      <c r="AP1654" s="67"/>
      <c r="AQ1654" s="67"/>
      <c r="AR1654" s="67"/>
      <c r="AS1654" s="67"/>
      <c r="AT1654" s="68"/>
      <c r="AU1654" s="49"/>
      <c r="AV1654" s="50"/>
    </row>
    <row r="1655" spans="1:48" ht="12.75" customHeight="1" x14ac:dyDescent="0.25">
      <c r="A1655" s="72" t="s">
        <v>883</v>
      </c>
      <c r="B1655" s="43" t="s">
        <v>1580</v>
      </c>
      <c r="C1655" s="44" t="s">
        <v>1811</v>
      </c>
      <c r="D1655" s="45">
        <f>MROUND(MID($C1655,6,3)/Basis!$E$3,0.5)</f>
        <v>11</v>
      </c>
      <c r="E1655" s="45">
        <f>MROUND(MID($C1655,9,3)/Basis!$E$3,0.5)</f>
        <v>86.5</v>
      </c>
      <c r="F1655" s="124" t="s">
        <v>2949</v>
      </c>
      <c r="G1655" s="45">
        <f>ROUND((MROUND($F1655,5)+3)/Basis!$E$3,1)</f>
        <v>3.1</v>
      </c>
      <c r="H1655" s="120">
        <f>ROUND($P1655*Basis!$E$2*((TaH-TrH)/LN(1/µ)/Basis!$E$7)^$N1655*$AA$4*Glycol,0)</f>
        <v>2693</v>
      </c>
      <c r="I1655" s="83">
        <f>ROUND(H1655/(MID($C1655,9,3)/Basis!$E$3/Basis!$E$9)*Basis!$E$11,0)</f>
        <v>373</v>
      </c>
      <c r="J1655" s="123">
        <f>IF(Basis!$E$1=1,ROUND(H1655/((TaH-TrH)*1.163)/3600,3),ROUND(H1655/(500*(TaH-TrH)),2))</f>
        <v>0.27</v>
      </c>
      <c r="K1655" s="84"/>
      <c r="L1655" s="177">
        <f>CHOOSE(Basis!$E$1,((AJ1655*(J1655*3600/Basis!$E$5)^AK1655*(((MID(C1655,9,3)*10)-144)/1000)*AL1655+AM1655*(J1655*3600/Basis!$E$5)^2)*0.0098)/Basis!$E$10,((AJ1655*(J1655/Basis!$E$5)^AK1655*(((MID(C1655,9,3)*10)-144)/1000)*AL1655+AM1655*(J1655/Basis!$E$5)^2)*0.0098)/Basis!$E$10)</f>
        <v>3.472878435371167E-2</v>
      </c>
      <c r="M1655" s="85"/>
      <c r="N1655" s="109">
        <v>1.403</v>
      </c>
      <c r="O1655" s="68"/>
      <c r="P1655" s="67">
        <v>1254</v>
      </c>
      <c r="Q1655" s="68"/>
      <c r="R1655" s="69"/>
      <c r="S1655" s="69"/>
      <c r="T1655" s="69"/>
      <c r="U1655" s="69"/>
      <c r="V1655" s="69"/>
      <c r="W1655" s="68"/>
      <c r="X1655" s="70"/>
      <c r="Y1655" s="70"/>
      <c r="Z1655" s="70"/>
      <c r="AA1655" s="70"/>
      <c r="AB1655" s="70"/>
      <c r="AC1655" s="68"/>
      <c r="AD1655" s="71"/>
      <c r="AE1655" s="71"/>
      <c r="AF1655" s="71"/>
      <c r="AG1655" s="71"/>
      <c r="AH1655" s="71"/>
      <c r="AI1655" s="68"/>
      <c r="AJ1655" s="214">
        <v>4.1688828699999996E-3</v>
      </c>
      <c r="AK1655" s="214">
        <v>1.411581940642</v>
      </c>
      <c r="AL1655" s="214">
        <v>3</v>
      </c>
      <c r="AM1655" s="214">
        <v>5.4247339961626003E-4</v>
      </c>
      <c r="AN1655" s="68"/>
      <c r="AO1655" s="67"/>
      <c r="AP1655" s="67"/>
      <c r="AQ1655" s="67"/>
      <c r="AR1655" s="67"/>
      <c r="AS1655" s="67"/>
      <c r="AT1655" s="68"/>
      <c r="AU1655" s="49"/>
      <c r="AV1655" s="50"/>
    </row>
    <row r="1656" spans="1:48" ht="12.75" customHeight="1" x14ac:dyDescent="0.25">
      <c r="A1656" s="72" t="s">
        <v>883</v>
      </c>
      <c r="B1656" s="43" t="s">
        <v>1580</v>
      </c>
      <c r="C1656" s="44" t="s">
        <v>1812</v>
      </c>
      <c r="D1656" s="45">
        <f>MROUND(MID($C1656,6,3)/Basis!$E$3,0.5)</f>
        <v>11</v>
      </c>
      <c r="E1656" s="45">
        <f>MROUND(MID($C1656,9,3)/Basis!$E$3,0.5)</f>
        <v>86.5</v>
      </c>
      <c r="F1656" s="124" t="s">
        <v>2946</v>
      </c>
      <c r="G1656" s="45">
        <f>ROUND((MROUND($F1656,5)+3)/Basis!$E$3,1)</f>
        <v>5.0999999999999996</v>
      </c>
      <c r="H1656" s="120">
        <f>ROUND($P1656*Basis!$E$2*((TaH-TrH)/LN(1/µ)/Basis!$E$7)^$N1656*$AA$4*Glycol,0)</f>
        <v>5081</v>
      </c>
      <c r="I1656" s="83">
        <f>ROUND(H1656/(MID($C1656,9,3)/Basis!$E$3/Basis!$E$9)*Basis!$E$11,0)</f>
        <v>704</v>
      </c>
      <c r="J1656" s="123">
        <f>IF(Basis!$E$1=1,ROUND(H1656/((TaH-TrH)*1.163)/3600,3),ROUND(H1656/(500*(TaH-TrH)),2))</f>
        <v>0.51</v>
      </c>
      <c r="K1656" s="84"/>
      <c r="L1656" s="177">
        <f>CHOOSE(Basis!$E$1,((AJ1656*(J1656*3600/Basis!$E$5)^AK1656*(((MID(C1656,9,3)*10)-144)/1000)*AL1656+AM1656*(J1656*3600/Basis!$E$5)^2)*0.0098)/Basis!$E$10,((AJ1656*(J1656/Basis!$E$5)^AK1656*(((MID(C1656,9,3)*10)-144)/1000)*AL1656+AM1656*(J1656/Basis!$E$5)^2)*0.0098)/Basis!$E$10)</f>
        <v>6.5764566511854972E-2</v>
      </c>
      <c r="M1656" s="85"/>
      <c r="N1656" s="109">
        <v>1.4410000000000001</v>
      </c>
      <c r="O1656" s="68"/>
      <c r="P1656" s="67">
        <v>2396</v>
      </c>
      <c r="Q1656" s="68"/>
      <c r="R1656" s="69"/>
      <c r="S1656" s="69"/>
      <c r="T1656" s="69"/>
      <c r="U1656" s="69"/>
      <c r="V1656" s="69"/>
      <c r="W1656" s="68"/>
      <c r="X1656" s="70"/>
      <c r="Y1656" s="70"/>
      <c r="Z1656" s="70"/>
      <c r="AA1656" s="70"/>
      <c r="AB1656" s="70"/>
      <c r="AC1656" s="68"/>
      <c r="AD1656" s="71"/>
      <c r="AE1656" s="71"/>
      <c r="AF1656" s="71"/>
      <c r="AG1656" s="71"/>
      <c r="AH1656" s="71"/>
      <c r="AI1656" s="68"/>
      <c r="AJ1656" s="214">
        <v>3.9689999999999994E-4</v>
      </c>
      <c r="AK1656" s="214">
        <v>1.7345999999999999</v>
      </c>
      <c r="AL1656" s="214">
        <v>4</v>
      </c>
      <c r="AM1656" s="214">
        <v>5.7428799999999995E-4</v>
      </c>
      <c r="AN1656" s="68"/>
      <c r="AO1656" s="67"/>
      <c r="AP1656" s="67"/>
      <c r="AQ1656" s="67"/>
      <c r="AR1656" s="67"/>
      <c r="AS1656" s="67"/>
      <c r="AT1656" s="68"/>
      <c r="AU1656" s="49"/>
      <c r="AV1656" s="50"/>
    </row>
    <row r="1657" spans="1:48" ht="12.75" customHeight="1" x14ac:dyDescent="0.25">
      <c r="A1657" s="72" t="s">
        <v>883</v>
      </c>
      <c r="B1657" s="43" t="s">
        <v>1580</v>
      </c>
      <c r="C1657" s="44" t="s">
        <v>1813</v>
      </c>
      <c r="D1657" s="45">
        <f>MROUND(MID($C1657,6,3)/Basis!$E$3,0.5)</f>
        <v>11</v>
      </c>
      <c r="E1657" s="45">
        <f>MROUND(MID($C1657,9,3)/Basis!$E$3,0.5)</f>
        <v>86.5</v>
      </c>
      <c r="F1657" s="124" t="s">
        <v>2947</v>
      </c>
      <c r="G1657" s="45">
        <f>ROUND((MROUND($F1657,5)+3)/Basis!$E$3,1)</f>
        <v>7.1</v>
      </c>
      <c r="H1657" s="120">
        <f>ROUND($P1657*Basis!$E$2*((TaH-TrH)/LN(1/µ)/Basis!$E$7)^$N1657*$AA$4*Glycol,0)</f>
        <v>6656</v>
      </c>
      <c r="I1657" s="83">
        <f>ROUND(H1657/(MID($C1657,9,3)/Basis!$E$3/Basis!$E$9)*Basis!$E$11,0)</f>
        <v>922</v>
      </c>
      <c r="J1657" s="123">
        <f>IF(Basis!$E$1=1,ROUND(H1657/((TaH-TrH)*1.163)/3600,3),ROUND(H1657/(500*(TaH-TrH)),2))</f>
        <v>0.67</v>
      </c>
      <c r="K1657" s="84"/>
      <c r="L1657" s="177">
        <f>CHOOSE(Basis!$E$1,((AJ1657*(J1657*3600/Basis!$E$5)^AK1657*(((MID(C1657,9,3)*10)-144)/1000)*AL1657+AM1657*(J1657*3600/Basis!$E$5)^2)*0.0098)/Basis!$E$10,((AJ1657*(J1657/Basis!$E$5)^AK1657*(((MID(C1657,9,3)*10)-144)/1000)*AL1657+AM1657*(J1657/Basis!$E$5)^2)*0.0098)/Basis!$E$10)</f>
        <v>0.13786385038799523</v>
      </c>
      <c r="M1657" s="85"/>
      <c r="N1657" s="109">
        <v>1.4550000000000001</v>
      </c>
      <c r="O1657" s="68"/>
      <c r="P1657" s="67">
        <v>3153</v>
      </c>
      <c r="Q1657" s="68"/>
      <c r="R1657" s="69"/>
      <c r="S1657" s="69"/>
      <c r="T1657" s="69"/>
      <c r="U1657" s="69"/>
      <c r="V1657" s="69"/>
      <c r="W1657" s="68"/>
      <c r="X1657" s="70"/>
      <c r="Y1657" s="70"/>
      <c r="Z1657" s="70"/>
      <c r="AA1657" s="70"/>
      <c r="AB1657" s="70"/>
      <c r="AC1657" s="68"/>
      <c r="AD1657" s="71"/>
      <c r="AE1657" s="71"/>
      <c r="AF1657" s="71"/>
      <c r="AG1657" s="71"/>
      <c r="AH1657" s="71"/>
      <c r="AI1657" s="68"/>
      <c r="AJ1657" s="214">
        <v>2.0829999999999999E-4</v>
      </c>
      <c r="AK1657" s="214">
        <v>1.724</v>
      </c>
      <c r="AL1657" s="214">
        <v>4</v>
      </c>
      <c r="AM1657" s="214">
        <v>1.392796E-3</v>
      </c>
      <c r="AN1657" s="68"/>
      <c r="AO1657" s="67"/>
      <c r="AP1657" s="67"/>
      <c r="AQ1657" s="67"/>
      <c r="AR1657" s="67"/>
      <c r="AS1657" s="67"/>
      <c r="AT1657" s="68"/>
      <c r="AU1657" s="49"/>
      <c r="AV1657" s="50"/>
    </row>
    <row r="1658" spans="1:48" ht="12.75" customHeight="1" x14ac:dyDescent="0.25">
      <c r="A1658" s="72" t="s">
        <v>883</v>
      </c>
      <c r="B1658" s="43" t="s">
        <v>1580</v>
      </c>
      <c r="C1658" s="44" t="s">
        <v>1814</v>
      </c>
      <c r="D1658" s="45">
        <f>MROUND(MID($C1658,6,3)/Basis!$E$3,0.5)</f>
        <v>11</v>
      </c>
      <c r="E1658" s="45">
        <f>MROUND(MID($C1658,9,3)/Basis!$E$3,0.5)</f>
        <v>86.5</v>
      </c>
      <c r="F1658" s="124" t="s">
        <v>2948</v>
      </c>
      <c r="G1658" s="45">
        <f>ROUND((MROUND($F1658,5)+3)/Basis!$E$3,1)</f>
        <v>9.1</v>
      </c>
      <c r="H1658" s="120">
        <f>ROUND($P1658*Basis!$E$2*((TaH-TrH)/LN(1/µ)/Basis!$E$7)^$N1658*$AA$4*Glycol,0)</f>
        <v>8692</v>
      </c>
      <c r="I1658" s="83">
        <f>ROUND(H1658/(MID($C1658,9,3)/Basis!$E$3/Basis!$E$9)*Basis!$E$11,0)</f>
        <v>1204</v>
      </c>
      <c r="J1658" s="123">
        <f>IF(Basis!$E$1=1,ROUND(H1658/((TaH-TrH)*1.163)/3600,3),ROUND(H1658/(500*(TaH-TrH)),2))</f>
        <v>0.87</v>
      </c>
      <c r="K1658" s="84"/>
      <c r="L1658" s="177">
        <f>CHOOSE(Basis!$E$1,((AJ1658*(J1658*3600/Basis!$E$5)^AK1658*(((MID(C1658,9,3)*10)-144)/1000)*AL1658+AM1658*(J1658*3600/Basis!$E$5)^2)*0.0098)/Basis!$E$10,((AJ1658*(J1658/Basis!$E$5)^AK1658*(((MID(C1658,9,3)*10)-144)/1000)*AL1658+AM1658*(J1658/Basis!$E$5)^2)*0.0098)/Basis!$E$10)</f>
        <v>9.6446574188565462E-2</v>
      </c>
      <c r="M1658" s="85"/>
      <c r="N1658" s="109">
        <v>1.4670000000000001</v>
      </c>
      <c r="O1658" s="68"/>
      <c r="P1658" s="67">
        <v>4134</v>
      </c>
      <c r="Q1658" s="68"/>
      <c r="R1658" s="69"/>
      <c r="S1658" s="69"/>
      <c r="T1658" s="69"/>
      <c r="U1658" s="69"/>
      <c r="V1658" s="69"/>
      <c r="W1658" s="68"/>
      <c r="X1658" s="70"/>
      <c r="Y1658" s="70"/>
      <c r="Z1658" s="70"/>
      <c r="AA1658" s="70"/>
      <c r="AB1658" s="70"/>
      <c r="AC1658" s="68"/>
      <c r="AD1658" s="71"/>
      <c r="AE1658" s="71"/>
      <c r="AF1658" s="71"/>
      <c r="AG1658" s="71"/>
      <c r="AH1658" s="71"/>
      <c r="AI1658" s="68"/>
      <c r="AJ1658" s="214">
        <v>1.2760000000000001E-4</v>
      </c>
      <c r="AK1658" s="214">
        <v>1.7219</v>
      </c>
      <c r="AL1658" s="214">
        <v>4</v>
      </c>
      <c r="AM1658" s="214">
        <v>5.1420100000000005E-4</v>
      </c>
      <c r="AN1658" s="68"/>
      <c r="AO1658" s="67"/>
      <c r="AP1658" s="67"/>
      <c r="AQ1658" s="67"/>
      <c r="AR1658" s="67"/>
      <c r="AS1658" s="67"/>
      <c r="AT1658" s="68"/>
      <c r="AU1658" s="49"/>
      <c r="AV1658" s="50"/>
    </row>
    <row r="1659" spans="1:48" ht="12.75" customHeight="1" x14ac:dyDescent="0.25">
      <c r="A1659" s="72" t="s">
        <v>883</v>
      </c>
      <c r="B1659" s="43" t="s">
        <v>1580</v>
      </c>
      <c r="C1659" s="44" t="s">
        <v>1815</v>
      </c>
      <c r="D1659" s="45">
        <f>MROUND(MID($C1659,6,3)/Basis!$E$3,0.5)</f>
        <v>11</v>
      </c>
      <c r="E1659" s="45">
        <f>MROUND(MID($C1659,9,3)/Basis!$E$3,0.5)</f>
        <v>94.5</v>
      </c>
      <c r="F1659" s="124" t="s">
        <v>2949</v>
      </c>
      <c r="G1659" s="45">
        <f>ROUND((MROUND($F1659,5)+3)/Basis!$E$3,1)</f>
        <v>3.1</v>
      </c>
      <c r="H1659" s="120">
        <f>ROUND($P1659*Basis!$E$2*((TaH-TrH)/LN(1/µ)/Basis!$E$7)^$N1659*$AA$4*Glycol,0)</f>
        <v>2938</v>
      </c>
      <c r="I1659" s="83">
        <f>ROUND(H1659/(MID($C1659,9,3)/Basis!$E$3/Basis!$E$9)*Basis!$E$11,0)</f>
        <v>373</v>
      </c>
      <c r="J1659" s="123">
        <f>IF(Basis!$E$1=1,ROUND(H1659/((TaH-TrH)*1.163)/3600,3),ROUND(H1659/(500*(TaH-TrH)),2))</f>
        <v>0.28999999999999998</v>
      </c>
      <c r="K1659" s="84"/>
      <c r="L1659" s="177">
        <f>CHOOSE(Basis!$E$1,((AJ1659*(J1659*3600/Basis!$E$5)^AK1659*(((MID(C1659,9,3)*10)-144)/1000)*AL1659+AM1659*(J1659*3600/Basis!$E$5)^2)*0.0098)/Basis!$E$10,((AJ1659*(J1659/Basis!$E$5)^AK1659*(((MID(C1659,9,3)*10)-144)/1000)*AL1659+AM1659*(J1659/Basis!$E$5)^2)*0.0098)/Basis!$E$10)</f>
        <v>4.1750616837452945E-2</v>
      </c>
      <c r="M1659" s="85"/>
      <c r="N1659" s="109">
        <v>1.403</v>
      </c>
      <c r="O1659" s="68"/>
      <c r="P1659" s="67">
        <v>1368</v>
      </c>
      <c r="Q1659" s="68"/>
      <c r="R1659" s="69"/>
      <c r="S1659" s="69"/>
      <c r="T1659" s="69"/>
      <c r="U1659" s="69"/>
      <c r="V1659" s="69"/>
      <c r="W1659" s="68"/>
      <c r="X1659" s="70"/>
      <c r="Y1659" s="70"/>
      <c r="Z1659" s="70"/>
      <c r="AA1659" s="70"/>
      <c r="AB1659" s="70"/>
      <c r="AC1659" s="68"/>
      <c r="AD1659" s="71"/>
      <c r="AE1659" s="71"/>
      <c r="AF1659" s="71"/>
      <c r="AG1659" s="71"/>
      <c r="AH1659" s="71"/>
      <c r="AI1659" s="68"/>
      <c r="AJ1659" s="214">
        <v>4.1688828699999996E-3</v>
      </c>
      <c r="AK1659" s="214">
        <v>1.411581940642</v>
      </c>
      <c r="AL1659" s="214">
        <v>3</v>
      </c>
      <c r="AM1659" s="214">
        <v>5.4247339961626003E-4</v>
      </c>
      <c r="AN1659" s="68"/>
      <c r="AO1659" s="67"/>
      <c r="AP1659" s="67"/>
      <c r="AQ1659" s="67"/>
      <c r="AR1659" s="67"/>
      <c r="AS1659" s="67"/>
      <c r="AT1659" s="68"/>
      <c r="AU1659" s="49"/>
      <c r="AV1659" s="50"/>
    </row>
    <row r="1660" spans="1:48" ht="12.75" customHeight="1" x14ac:dyDescent="0.25">
      <c r="A1660" s="72" t="s">
        <v>883</v>
      </c>
      <c r="B1660" s="43" t="s">
        <v>1580</v>
      </c>
      <c r="C1660" s="44" t="s">
        <v>1816</v>
      </c>
      <c r="D1660" s="45">
        <f>MROUND(MID($C1660,6,3)/Basis!$E$3,0.5)</f>
        <v>11</v>
      </c>
      <c r="E1660" s="45">
        <f>MROUND(MID($C1660,9,3)/Basis!$E$3,0.5)</f>
        <v>94.5</v>
      </c>
      <c r="F1660" s="124" t="s">
        <v>2946</v>
      </c>
      <c r="G1660" s="45">
        <f>ROUND((MROUND($F1660,5)+3)/Basis!$E$3,1)</f>
        <v>5.0999999999999996</v>
      </c>
      <c r="H1660" s="120">
        <f>ROUND($P1660*Basis!$E$2*((TaH-TrH)/LN(1/µ)/Basis!$E$7)^$N1660*$AA$4*Glycol,0)</f>
        <v>5543</v>
      </c>
      <c r="I1660" s="83">
        <f>ROUND(H1660/(MID($C1660,9,3)/Basis!$E$3/Basis!$E$9)*Basis!$E$11,0)</f>
        <v>704</v>
      </c>
      <c r="J1660" s="123">
        <f>IF(Basis!$E$1=1,ROUND(H1660/((TaH-TrH)*1.163)/3600,3),ROUND(H1660/(500*(TaH-TrH)),2))</f>
        <v>0.55000000000000004</v>
      </c>
      <c r="K1660" s="84"/>
      <c r="L1660" s="177">
        <f>CHOOSE(Basis!$E$1,((AJ1660*(J1660*3600/Basis!$E$5)^AK1660*(((MID(C1660,9,3)*10)-144)/1000)*AL1660+AM1660*(J1660*3600/Basis!$E$5)^2)*0.0098)/Basis!$E$10,((AJ1660*(J1660/Basis!$E$5)^AK1660*(((MID(C1660,9,3)*10)-144)/1000)*AL1660+AM1660*(J1660/Basis!$E$5)^2)*0.0098)/Basis!$E$10)</f>
        <v>8.004775851758951E-2</v>
      </c>
      <c r="M1660" s="85"/>
      <c r="N1660" s="109">
        <v>1.4410000000000001</v>
      </c>
      <c r="O1660" s="68"/>
      <c r="P1660" s="67">
        <v>2614</v>
      </c>
      <c r="Q1660" s="68"/>
      <c r="R1660" s="69"/>
      <c r="S1660" s="69"/>
      <c r="T1660" s="69"/>
      <c r="U1660" s="69"/>
      <c r="V1660" s="69"/>
      <c r="W1660" s="68"/>
      <c r="X1660" s="70"/>
      <c r="Y1660" s="70"/>
      <c r="Z1660" s="70"/>
      <c r="AA1660" s="70"/>
      <c r="AB1660" s="70"/>
      <c r="AC1660" s="68"/>
      <c r="AD1660" s="71"/>
      <c r="AE1660" s="71"/>
      <c r="AF1660" s="71"/>
      <c r="AG1660" s="71"/>
      <c r="AH1660" s="71"/>
      <c r="AI1660" s="68"/>
      <c r="AJ1660" s="214">
        <v>3.9689999999999994E-4</v>
      </c>
      <c r="AK1660" s="214">
        <v>1.7345999999999999</v>
      </c>
      <c r="AL1660" s="214">
        <v>4</v>
      </c>
      <c r="AM1660" s="214">
        <v>5.7428799999999995E-4</v>
      </c>
      <c r="AN1660" s="68"/>
      <c r="AO1660" s="67"/>
      <c r="AP1660" s="67"/>
      <c r="AQ1660" s="67"/>
      <c r="AR1660" s="67"/>
      <c r="AS1660" s="67"/>
      <c r="AT1660" s="68"/>
      <c r="AU1660" s="49"/>
      <c r="AV1660" s="50"/>
    </row>
    <row r="1661" spans="1:48" ht="12.75" customHeight="1" x14ac:dyDescent="0.25">
      <c r="A1661" s="72" t="s">
        <v>883</v>
      </c>
      <c r="B1661" s="43" t="s">
        <v>1580</v>
      </c>
      <c r="C1661" s="44" t="s">
        <v>1817</v>
      </c>
      <c r="D1661" s="45">
        <f>MROUND(MID($C1661,6,3)/Basis!$E$3,0.5)</f>
        <v>11</v>
      </c>
      <c r="E1661" s="45">
        <f>MROUND(MID($C1661,9,3)/Basis!$E$3,0.5)</f>
        <v>94.5</v>
      </c>
      <c r="F1661" s="124" t="s">
        <v>2947</v>
      </c>
      <c r="G1661" s="45">
        <f>ROUND((MROUND($F1661,5)+3)/Basis!$E$3,1)</f>
        <v>7.1</v>
      </c>
      <c r="H1661" s="120">
        <f>ROUND($P1661*Basis!$E$2*((TaH-TrH)/LN(1/µ)/Basis!$E$7)^$N1661*$AA$4*Glycol,0)</f>
        <v>7259</v>
      </c>
      <c r="I1661" s="83">
        <f>ROUND(H1661/(MID($C1661,9,3)/Basis!$E$3/Basis!$E$9)*Basis!$E$11,0)</f>
        <v>922</v>
      </c>
      <c r="J1661" s="123">
        <f>IF(Basis!$E$1=1,ROUND(H1661/((TaH-TrH)*1.163)/3600,3),ROUND(H1661/(500*(TaH-TrH)),2))</f>
        <v>0.73</v>
      </c>
      <c r="K1661" s="84"/>
      <c r="L1661" s="177">
        <f>CHOOSE(Basis!$E$1,((AJ1661*(J1661*3600/Basis!$E$5)^AK1661*(((MID(C1661,9,3)*10)-144)/1000)*AL1661+AM1661*(J1661*3600/Basis!$E$5)^2)*0.0098)/Basis!$E$10,((AJ1661*(J1661/Basis!$E$5)^AK1661*(((MID(C1661,9,3)*10)-144)/1000)*AL1661+AM1661*(J1661/Basis!$E$5)^2)*0.0098)/Basis!$E$10)</f>
        <v>0.16641629122541141</v>
      </c>
      <c r="M1661" s="85"/>
      <c r="N1661" s="109">
        <v>1.4550000000000001</v>
      </c>
      <c r="O1661" s="68"/>
      <c r="P1661" s="67">
        <v>3439</v>
      </c>
      <c r="Q1661" s="68"/>
      <c r="R1661" s="69"/>
      <c r="S1661" s="69"/>
      <c r="T1661" s="69"/>
      <c r="U1661" s="69"/>
      <c r="V1661" s="69"/>
      <c r="W1661" s="68"/>
      <c r="X1661" s="70"/>
      <c r="Y1661" s="70"/>
      <c r="Z1661" s="70"/>
      <c r="AA1661" s="70"/>
      <c r="AB1661" s="70"/>
      <c r="AC1661" s="68"/>
      <c r="AD1661" s="71"/>
      <c r="AE1661" s="71"/>
      <c r="AF1661" s="71"/>
      <c r="AG1661" s="71"/>
      <c r="AH1661" s="71"/>
      <c r="AI1661" s="68"/>
      <c r="AJ1661" s="214">
        <v>2.0829999999999999E-4</v>
      </c>
      <c r="AK1661" s="214">
        <v>1.724</v>
      </c>
      <c r="AL1661" s="214">
        <v>4</v>
      </c>
      <c r="AM1661" s="214">
        <v>1.392796E-3</v>
      </c>
      <c r="AN1661" s="68"/>
      <c r="AO1661" s="67"/>
      <c r="AP1661" s="67"/>
      <c r="AQ1661" s="67"/>
      <c r="AR1661" s="67"/>
      <c r="AS1661" s="67"/>
      <c r="AT1661" s="68"/>
      <c r="AU1661" s="49"/>
      <c r="AV1661" s="50"/>
    </row>
    <row r="1662" spans="1:48" ht="12.75" customHeight="1" x14ac:dyDescent="0.25">
      <c r="A1662" s="72" t="s">
        <v>883</v>
      </c>
      <c r="B1662" s="43" t="s">
        <v>1580</v>
      </c>
      <c r="C1662" s="44" t="s">
        <v>1818</v>
      </c>
      <c r="D1662" s="45">
        <f>MROUND(MID($C1662,6,3)/Basis!$E$3,0.5)</f>
        <v>11</v>
      </c>
      <c r="E1662" s="45">
        <f>MROUND(MID($C1662,9,3)/Basis!$E$3,0.5)</f>
        <v>94.5</v>
      </c>
      <c r="F1662" s="124" t="s">
        <v>2948</v>
      </c>
      <c r="G1662" s="45">
        <f>ROUND((MROUND($F1662,5)+3)/Basis!$E$3,1)</f>
        <v>9.1</v>
      </c>
      <c r="H1662" s="120">
        <f>ROUND($P1662*Basis!$E$2*((TaH-TrH)/LN(1/µ)/Basis!$E$7)^$N1662*$AA$4*Glycol,0)</f>
        <v>9483</v>
      </c>
      <c r="I1662" s="83">
        <f>ROUND(H1662/(MID($C1662,9,3)/Basis!$E$3/Basis!$E$9)*Basis!$E$11,0)</f>
        <v>1204</v>
      </c>
      <c r="J1662" s="123">
        <f>IF(Basis!$E$1=1,ROUND(H1662/((TaH-TrH)*1.163)/3600,3),ROUND(H1662/(500*(TaH-TrH)),2))</f>
        <v>0.95</v>
      </c>
      <c r="K1662" s="84"/>
      <c r="L1662" s="177">
        <f>CHOOSE(Basis!$E$1,((AJ1662*(J1662*3600/Basis!$E$5)^AK1662*(((MID(C1662,9,3)*10)-144)/1000)*AL1662+AM1662*(J1662*3600/Basis!$E$5)^2)*0.0098)/Basis!$E$10,((AJ1662*(J1662/Basis!$E$5)^AK1662*(((MID(C1662,9,3)*10)-144)/1000)*AL1662+AM1662*(J1662/Basis!$E$5)^2)*0.0098)/Basis!$E$10)</f>
        <v>0.117597993260238</v>
      </c>
      <c r="M1662" s="85"/>
      <c r="N1662" s="109">
        <v>1.4670000000000001</v>
      </c>
      <c r="O1662" s="68"/>
      <c r="P1662" s="67">
        <v>4510</v>
      </c>
      <c r="Q1662" s="68"/>
      <c r="R1662" s="69"/>
      <c r="S1662" s="69"/>
      <c r="T1662" s="69"/>
      <c r="U1662" s="69"/>
      <c r="V1662" s="69"/>
      <c r="W1662" s="68"/>
      <c r="X1662" s="70"/>
      <c r="Y1662" s="70"/>
      <c r="Z1662" s="70"/>
      <c r="AA1662" s="70"/>
      <c r="AB1662" s="70"/>
      <c r="AC1662" s="68"/>
      <c r="AD1662" s="71"/>
      <c r="AE1662" s="71"/>
      <c r="AF1662" s="71"/>
      <c r="AG1662" s="71"/>
      <c r="AH1662" s="71"/>
      <c r="AI1662" s="68"/>
      <c r="AJ1662" s="214">
        <v>1.2760000000000001E-4</v>
      </c>
      <c r="AK1662" s="214">
        <v>1.7219</v>
      </c>
      <c r="AL1662" s="214">
        <v>4</v>
      </c>
      <c r="AM1662" s="214">
        <v>5.1420100000000005E-4</v>
      </c>
      <c r="AN1662" s="68"/>
      <c r="AO1662" s="67"/>
      <c r="AP1662" s="67"/>
      <c r="AQ1662" s="67"/>
      <c r="AR1662" s="67"/>
      <c r="AS1662" s="67"/>
      <c r="AT1662" s="68"/>
      <c r="AU1662" s="49"/>
      <c r="AV1662" s="50"/>
    </row>
    <row r="1663" spans="1:48" ht="12.75" customHeight="1" x14ac:dyDescent="0.25">
      <c r="A1663" s="72" t="s">
        <v>883</v>
      </c>
      <c r="B1663" s="43" t="s">
        <v>1580</v>
      </c>
      <c r="C1663" s="44" t="s">
        <v>1819</v>
      </c>
      <c r="D1663" s="45">
        <f>MROUND(MID($C1663,6,3)/Basis!$E$3,0.5)</f>
        <v>11</v>
      </c>
      <c r="E1663" s="45">
        <f>MROUND(MID($C1663,9,3)/Basis!$E$3,0.5)</f>
        <v>95</v>
      </c>
      <c r="F1663" s="124" t="s">
        <v>2946</v>
      </c>
      <c r="G1663" s="45">
        <f>ROUND((MROUND($F1663,5)+3)/Basis!$E$3,1)</f>
        <v>5.0999999999999996</v>
      </c>
      <c r="H1663" s="120">
        <f>ROUND($P1663*Basis!$E$2*((TaH-TrH)/LN(1/µ)/Basis!$E$7)^$N1663*$AA$4*Glycol,0)</f>
        <v>10827</v>
      </c>
      <c r="I1663" s="83">
        <f>ROUND(H1663/(MID($C1663,9,3)/Basis!$E$3/Basis!$E$9)*Basis!$E$11,0)</f>
        <v>1369</v>
      </c>
      <c r="J1663" s="123">
        <f>IF(Basis!$E$1=1,ROUND(H1663/((TaH-TrH)*1.163)/3600,3),ROUND(H1663/(500*(TaH-TrH)),2))</f>
        <v>1.08</v>
      </c>
      <c r="K1663" s="84"/>
      <c r="L1663" s="177">
        <f>CHOOSE(Basis!$E$1,((AJ1663*(J1663*3600/Basis!$E$5)^AK1663*(((MID(C1663,9,3)*10)-144)/1000)*AL1663+AM1663*(J1663*3600/Basis!$E$5)^2)*0.0098)/Basis!$E$10,((AJ1663*(J1663/Basis!$E$5)^AK1663*(((MID(C1663,9,3)*10)-144)/1000)*AL1663+AM1663*(J1663/Basis!$E$5)^2)*0.0098)/Basis!$E$10)</f>
        <v>0.27729457183466316</v>
      </c>
      <c r="M1663" s="85"/>
      <c r="N1663" s="110">
        <v>1</v>
      </c>
      <c r="O1663" s="74"/>
      <c r="P1663" s="73">
        <v>4414</v>
      </c>
      <c r="Q1663" s="74"/>
      <c r="R1663" s="75"/>
      <c r="S1663" s="75"/>
      <c r="T1663" s="75"/>
      <c r="U1663" s="75"/>
      <c r="V1663" s="75"/>
      <c r="W1663" s="74"/>
      <c r="X1663" s="76"/>
      <c r="Y1663" s="76"/>
      <c r="Z1663" s="76"/>
      <c r="AA1663" s="76"/>
      <c r="AB1663" s="76"/>
      <c r="AC1663" s="74"/>
      <c r="AD1663" s="77"/>
      <c r="AE1663" s="77"/>
      <c r="AF1663" s="77"/>
      <c r="AG1663" s="77"/>
      <c r="AH1663" s="77"/>
      <c r="AI1663" s="68"/>
      <c r="AJ1663" s="213">
        <v>3.9689999999999994E-4</v>
      </c>
      <c r="AK1663" s="213">
        <v>1.7345999999999999</v>
      </c>
      <c r="AL1663" s="213">
        <v>4</v>
      </c>
      <c r="AM1663" s="213">
        <v>5.7428799999999995E-4</v>
      </c>
      <c r="AN1663" s="74"/>
      <c r="AO1663" s="73"/>
      <c r="AP1663" s="73"/>
      <c r="AQ1663" s="73"/>
      <c r="AR1663" s="73"/>
      <c r="AS1663" s="73"/>
      <c r="AT1663" s="74"/>
      <c r="AU1663" s="47"/>
      <c r="AV1663" s="48"/>
    </row>
    <row r="1664" spans="1:48" ht="12.75" customHeight="1" x14ac:dyDescent="0.25">
      <c r="A1664" s="72" t="s">
        <v>883</v>
      </c>
      <c r="B1664" s="43" t="s">
        <v>1580</v>
      </c>
      <c r="C1664" s="44" t="s">
        <v>1820</v>
      </c>
      <c r="D1664" s="45">
        <f>MROUND(MID($C1664,6,3)/Basis!$E$3,0.5)</f>
        <v>11</v>
      </c>
      <c r="E1664" s="45">
        <f>MROUND(MID($C1664,9,3)/Basis!$E$3,0.5)</f>
        <v>95</v>
      </c>
      <c r="F1664" s="124" t="s">
        <v>2947</v>
      </c>
      <c r="G1664" s="45">
        <f>ROUND((MROUND($F1664,5)+3)/Basis!$E$3,1)</f>
        <v>7.1</v>
      </c>
      <c r="H1664" s="120">
        <f>ROUND($P1664*Basis!$E$2*((TaH-TrH)/LN(1/µ)/Basis!$E$7)^$N1664*$AA$4*Glycol,0)</f>
        <v>15500</v>
      </c>
      <c r="I1664" s="83">
        <f>ROUND(H1664/(MID($C1664,9,3)/Basis!$E$3/Basis!$E$9)*Basis!$E$11,0)</f>
        <v>1960</v>
      </c>
      <c r="J1664" s="123">
        <f>IF(Basis!$E$1=1,ROUND(H1664/((TaH-TrH)*1.163)/3600,3),ROUND(H1664/(500*(TaH-TrH)),2))</f>
        <v>1.55</v>
      </c>
      <c r="K1664" s="84"/>
      <c r="L1664" s="177">
        <f>CHOOSE(Basis!$E$1,((AJ1664*(J1664*3600/Basis!$E$5)^AK1664*(((MID(C1664,9,3)*10)-144)/1000)*AL1664+AM1664*(J1664*3600/Basis!$E$5)^2)*0.0098)/Basis!$E$10,((AJ1664*(J1664/Basis!$E$5)^AK1664*(((MID(C1664,9,3)*10)-144)/1000)*AL1664+AM1664*(J1664/Basis!$E$5)^2)*0.0098)/Basis!$E$10)</f>
        <v>0.71605632589906876</v>
      </c>
      <c r="M1664" s="85"/>
      <c r="N1664" s="109">
        <v>1</v>
      </c>
      <c r="O1664" s="68"/>
      <c r="P1664" s="67">
        <v>6319</v>
      </c>
      <c r="Q1664" s="68"/>
      <c r="R1664" s="69"/>
      <c r="S1664" s="69"/>
      <c r="T1664" s="69"/>
      <c r="U1664" s="69"/>
      <c r="V1664" s="69"/>
      <c r="W1664" s="68"/>
      <c r="X1664" s="70"/>
      <c r="Y1664" s="70"/>
      <c r="Z1664" s="70"/>
      <c r="AA1664" s="70"/>
      <c r="AB1664" s="70"/>
      <c r="AC1664" s="68"/>
      <c r="AD1664" s="71"/>
      <c r="AE1664" s="71"/>
      <c r="AF1664" s="71"/>
      <c r="AG1664" s="71"/>
      <c r="AH1664" s="71"/>
      <c r="AI1664" s="68"/>
      <c r="AJ1664" s="214">
        <v>2.0829999999999999E-4</v>
      </c>
      <c r="AK1664" s="214">
        <v>1.724</v>
      </c>
      <c r="AL1664" s="214">
        <v>4</v>
      </c>
      <c r="AM1664" s="214">
        <v>1.392796E-3</v>
      </c>
      <c r="AN1664" s="68"/>
      <c r="AO1664" s="67"/>
      <c r="AP1664" s="67"/>
      <c r="AQ1664" s="67"/>
      <c r="AR1664" s="67"/>
      <c r="AS1664" s="67"/>
      <c r="AT1664" s="68"/>
      <c r="AU1664" s="49"/>
      <c r="AV1664" s="50"/>
    </row>
    <row r="1665" spans="1:48" ht="12.75" customHeight="1" x14ac:dyDescent="0.25">
      <c r="A1665" s="72" t="s">
        <v>883</v>
      </c>
      <c r="B1665" s="43" t="s">
        <v>1580</v>
      </c>
      <c r="C1665" s="44" t="s">
        <v>1821</v>
      </c>
      <c r="D1665" s="45">
        <f>MROUND(MID($C1665,6,3)/Basis!$E$3,0.5)</f>
        <v>11</v>
      </c>
      <c r="E1665" s="45">
        <f>MROUND(MID($C1665,9,3)/Basis!$E$3,0.5)</f>
        <v>102.5</v>
      </c>
      <c r="F1665" s="124" t="s">
        <v>2949</v>
      </c>
      <c r="G1665" s="45">
        <f>ROUND((MROUND($F1665,5)+3)/Basis!$E$3,1)</f>
        <v>3.1</v>
      </c>
      <c r="H1665" s="120">
        <f>ROUND($P1665*Basis!$E$2*((TaH-TrH)/LN(1/µ)/Basis!$E$7)^$N1665*$AA$4*Glycol,0)</f>
        <v>3183</v>
      </c>
      <c r="I1665" s="83">
        <f>ROUND(H1665/(MID($C1665,9,3)/Basis!$E$3/Basis!$E$9)*Basis!$E$11,0)</f>
        <v>373</v>
      </c>
      <c r="J1665" s="123">
        <f>IF(Basis!$E$1=1,ROUND(H1665/((TaH-TrH)*1.163)/3600,3),ROUND(H1665/(500*(TaH-TrH)),2))</f>
        <v>0.32</v>
      </c>
      <c r="K1665" s="84"/>
      <c r="L1665" s="177">
        <f>CHOOSE(Basis!$E$1,((AJ1665*(J1665*3600/Basis!$E$5)^AK1665*(((MID(C1665,9,3)*10)-144)/1000)*AL1665+AM1665*(J1665*3600/Basis!$E$5)^2)*0.0098)/Basis!$E$10,((AJ1665*(J1665/Basis!$E$5)^AK1665*(((MID(C1665,9,3)*10)-144)/1000)*AL1665+AM1665*(J1665/Basis!$E$5)^2)*0.0098)/Basis!$E$10)</f>
        <v>5.1971018192997244E-2</v>
      </c>
      <c r="M1665" s="85"/>
      <c r="N1665" s="109">
        <v>1.403</v>
      </c>
      <c r="O1665" s="68"/>
      <c r="P1665" s="67">
        <v>1482</v>
      </c>
      <c r="Q1665" s="68"/>
      <c r="R1665" s="69"/>
      <c r="S1665" s="69"/>
      <c r="T1665" s="69"/>
      <c r="U1665" s="69"/>
      <c r="V1665" s="69"/>
      <c r="W1665" s="68"/>
      <c r="X1665" s="70"/>
      <c r="Y1665" s="70"/>
      <c r="Z1665" s="70"/>
      <c r="AA1665" s="70"/>
      <c r="AB1665" s="70"/>
      <c r="AC1665" s="68"/>
      <c r="AD1665" s="71"/>
      <c r="AE1665" s="71"/>
      <c r="AF1665" s="71"/>
      <c r="AG1665" s="71"/>
      <c r="AH1665" s="71"/>
      <c r="AI1665" s="68"/>
      <c r="AJ1665" s="214">
        <v>4.1688828699999996E-3</v>
      </c>
      <c r="AK1665" s="214">
        <v>1.411581940642</v>
      </c>
      <c r="AL1665" s="214">
        <v>3</v>
      </c>
      <c r="AM1665" s="214">
        <v>5.4247339961626003E-4</v>
      </c>
      <c r="AN1665" s="68"/>
      <c r="AO1665" s="67"/>
      <c r="AP1665" s="67"/>
      <c r="AQ1665" s="67"/>
      <c r="AR1665" s="67"/>
      <c r="AS1665" s="67"/>
      <c r="AT1665" s="68"/>
      <c r="AU1665" s="49"/>
      <c r="AV1665" s="50"/>
    </row>
    <row r="1666" spans="1:48" ht="12.75" customHeight="1" x14ac:dyDescent="0.25">
      <c r="A1666" s="72" t="s">
        <v>883</v>
      </c>
      <c r="B1666" s="43" t="s">
        <v>1580</v>
      </c>
      <c r="C1666" s="44" t="s">
        <v>1822</v>
      </c>
      <c r="D1666" s="45">
        <f>MROUND(MID($C1666,6,3)/Basis!$E$3,0.5)</f>
        <v>11</v>
      </c>
      <c r="E1666" s="45">
        <f>MROUND(MID($C1666,9,3)/Basis!$E$3,0.5)</f>
        <v>102.5</v>
      </c>
      <c r="F1666" s="124" t="s">
        <v>2946</v>
      </c>
      <c r="G1666" s="45">
        <f>ROUND((MROUND($F1666,5)+3)/Basis!$E$3,1)</f>
        <v>5.0999999999999996</v>
      </c>
      <c r="H1666" s="120">
        <f>ROUND($P1666*Basis!$E$2*((TaH-TrH)/LN(1/µ)/Basis!$E$7)^$N1666*$AA$4*Glycol,0)</f>
        <v>6004</v>
      </c>
      <c r="I1666" s="83">
        <f>ROUND(H1666/(MID($C1666,9,3)/Basis!$E$3/Basis!$E$9)*Basis!$E$11,0)</f>
        <v>704</v>
      </c>
      <c r="J1666" s="123">
        <f>IF(Basis!$E$1=1,ROUND(H1666/((TaH-TrH)*1.163)/3600,3),ROUND(H1666/(500*(TaH-TrH)),2))</f>
        <v>0.6</v>
      </c>
      <c r="K1666" s="84"/>
      <c r="L1666" s="177">
        <f>CHOOSE(Basis!$E$1,((AJ1666*(J1666*3600/Basis!$E$5)^AK1666*(((MID(C1666,9,3)*10)-144)/1000)*AL1666+AM1666*(J1666*3600/Basis!$E$5)^2)*0.0098)/Basis!$E$10,((AJ1666*(J1666/Basis!$E$5)^AK1666*(((MID(C1666,9,3)*10)-144)/1000)*AL1666+AM1666*(J1666/Basis!$E$5)^2)*0.0098)/Basis!$E$10)</f>
        <v>9.9116485801978571E-2</v>
      </c>
      <c r="M1666" s="85"/>
      <c r="N1666" s="109">
        <v>1.4410000000000001</v>
      </c>
      <c r="O1666" s="68"/>
      <c r="P1666" s="67">
        <v>2831</v>
      </c>
      <c r="Q1666" s="68"/>
      <c r="R1666" s="69"/>
      <c r="S1666" s="69"/>
      <c r="T1666" s="69"/>
      <c r="U1666" s="69"/>
      <c r="V1666" s="69"/>
      <c r="W1666" s="68"/>
      <c r="X1666" s="70"/>
      <c r="Y1666" s="70"/>
      <c r="Z1666" s="70"/>
      <c r="AA1666" s="70"/>
      <c r="AB1666" s="70"/>
      <c r="AC1666" s="68"/>
      <c r="AD1666" s="71"/>
      <c r="AE1666" s="71"/>
      <c r="AF1666" s="71"/>
      <c r="AG1666" s="71"/>
      <c r="AH1666" s="71"/>
      <c r="AI1666" s="68"/>
      <c r="AJ1666" s="214">
        <v>3.9689999999999994E-4</v>
      </c>
      <c r="AK1666" s="214">
        <v>1.7345999999999999</v>
      </c>
      <c r="AL1666" s="214">
        <v>4</v>
      </c>
      <c r="AM1666" s="214">
        <v>5.7428799999999995E-4</v>
      </c>
      <c r="AN1666" s="68"/>
      <c r="AO1666" s="67"/>
      <c r="AP1666" s="67"/>
      <c r="AQ1666" s="67"/>
      <c r="AR1666" s="67"/>
      <c r="AS1666" s="67"/>
      <c r="AT1666" s="68"/>
      <c r="AU1666" s="49"/>
      <c r="AV1666" s="50"/>
    </row>
    <row r="1667" spans="1:48" ht="12.75" customHeight="1" x14ac:dyDescent="0.25">
      <c r="A1667" s="72" t="s">
        <v>883</v>
      </c>
      <c r="B1667" s="43" t="s">
        <v>1580</v>
      </c>
      <c r="C1667" s="44" t="s">
        <v>1823</v>
      </c>
      <c r="D1667" s="45">
        <f>MROUND(MID($C1667,6,3)/Basis!$E$3,0.5)</f>
        <v>11</v>
      </c>
      <c r="E1667" s="45">
        <f>MROUND(MID($C1667,9,3)/Basis!$E$3,0.5)</f>
        <v>102.5</v>
      </c>
      <c r="F1667" s="124" t="s">
        <v>2947</v>
      </c>
      <c r="G1667" s="45">
        <f>ROUND((MROUND($F1667,5)+3)/Basis!$E$3,1)</f>
        <v>7.1</v>
      </c>
      <c r="H1667" s="120">
        <f>ROUND($P1667*Basis!$E$2*((TaH-TrH)/LN(1/µ)/Basis!$E$7)^$N1667*$AA$4*Glycol,0)</f>
        <v>7865</v>
      </c>
      <c r="I1667" s="83">
        <f>ROUND(H1667/(MID($C1667,9,3)/Basis!$E$3/Basis!$E$9)*Basis!$E$11,0)</f>
        <v>922</v>
      </c>
      <c r="J1667" s="123">
        <f>IF(Basis!$E$1=1,ROUND(H1667/((TaH-TrH)*1.163)/3600,3),ROUND(H1667/(500*(TaH-TrH)),2))</f>
        <v>0.79</v>
      </c>
      <c r="K1667" s="84"/>
      <c r="L1667" s="177">
        <f>CHOOSE(Basis!$E$1,((AJ1667*(J1667*3600/Basis!$E$5)^AK1667*(((MID(C1667,9,3)*10)-144)/1000)*AL1667+AM1667*(J1667*3600/Basis!$E$5)^2)*0.0098)/Basis!$E$10,((AJ1667*(J1667/Basis!$E$5)^AK1667*(((MID(C1667,9,3)*10)-144)/1000)*AL1667+AM1667*(J1667/Basis!$E$5)^2)*0.0098)/Basis!$E$10)</f>
        <v>0.19804338388487569</v>
      </c>
      <c r="M1667" s="85"/>
      <c r="N1667" s="109">
        <v>1.4550000000000001</v>
      </c>
      <c r="O1667" s="68"/>
      <c r="P1667" s="67">
        <v>3726</v>
      </c>
      <c r="Q1667" s="68"/>
      <c r="R1667" s="69"/>
      <c r="S1667" s="69"/>
      <c r="T1667" s="69"/>
      <c r="U1667" s="69"/>
      <c r="V1667" s="69"/>
      <c r="W1667" s="68"/>
      <c r="X1667" s="70"/>
      <c r="Y1667" s="70"/>
      <c r="Z1667" s="70"/>
      <c r="AA1667" s="70"/>
      <c r="AB1667" s="70"/>
      <c r="AC1667" s="68"/>
      <c r="AD1667" s="71"/>
      <c r="AE1667" s="71"/>
      <c r="AF1667" s="71"/>
      <c r="AG1667" s="71"/>
      <c r="AH1667" s="71"/>
      <c r="AI1667" s="68"/>
      <c r="AJ1667" s="214">
        <v>2.0829999999999999E-4</v>
      </c>
      <c r="AK1667" s="214">
        <v>1.724</v>
      </c>
      <c r="AL1667" s="214">
        <v>4</v>
      </c>
      <c r="AM1667" s="214">
        <v>1.392796E-3</v>
      </c>
      <c r="AN1667" s="68"/>
      <c r="AO1667" s="67"/>
      <c r="AP1667" s="67"/>
      <c r="AQ1667" s="67"/>
      <c r="AR1667" s="67"/>
      <c r="AS1667" s="67"/>
      <c r="AT1667" s="68"/>
      <c r="AU1667" s="49"/>
      <c r="AV1667" s="50"/>
    </row>
    <row r="1668" spans="1:48" ht="12.75" customHeight="1" x14ac:dyDescent="0.25">
      <c r="A1668" s="72" t="s">
        <v>883</v>
      </c>
      <c r="B1668" s="43" t="s">
        <v>1580</v>
      </c>
      <c r="C1668" s="44" t="s">
        <v>1824</v>
      </c>
      <c r="D1668" s="45">
        <f>MROUND(MID($C1668,6,3)/Basis!$E$3,0.5)</f>
        <v>11</v>
      </c>
      <c r="E1668" s="45">
        <f>MROUND(MID($C1668,9,3)/Basis!$E$3,0.5)</f>
        <v>102.5</v>
      </c>
      <c r="F1668" s="124" t="s">
        <v>2948</v>
      </c>
      <c r="G1668" s="45">
        <f>ROUND((MROUND($F1668,5)+3)/Basis!$E$3,1)</f>
        <v>9.1</v>
      </c>
      <c r="H1668" s="120">
        <f>ROUND($P1668*Basis!$E$2*((TaH-TrH)/LN(1/µ)/Basis!$E$7)^$N1668*$AA$4*Glycol,0)</f>
        <v>10271</v>
      </c>
      <c r="I1668" s="83">
        <f>ROUND(H1668/(MID($C1668,9,3)/Basis!$E$3/Basis!$E$9)*Basis!$E$11,0)</f>
        <v>1204</v>
      </c>
      <c r="J1668" s="123">
        <f>IF(Basis!$E$1=1,ROUND(H1668/((TaH-TrH)*1.163)/3600,3),ROUND(H1668/(500*(TaH-TrH)),2))</f>
        <v>1.03</v>
      </c>
      <c r="K1668" s="84"/>
      <c r="L1668" s="177">
        <f>CHOOSE(Basis!$E$1,((AJ1668*(J1668*3600/Basis!$E$5)^AK1668*(((MID(C1668,9,3)*10)-144)/1000)*AL1668+AM1668*(J1668*3600/Basis!$E$5)^2)*0.0098)/Basis!$E$10,((AJ1668*(J1668/Basis!$E$5)^AK1668*(((MID(C1668,9,3)*10)-144)/1000)*AL1668+AM1668*(J1668/Basis!$E$5)^2)*0.0098)/Basis!$E$10)</f>
        <v>0.14121703078023343</v>
      </c>
      <c r="M1668" s="85"/>
      <c r="N1668" s="109">
        <v>1.4670000000000001</v>
      </c>
      <c r="O1668" s="68"/>
      <c r="P1668" s="67">
        <v>4885</v>
      </c>
      <c r="Q1668" s="68"/>
      <c r="R1668" s="69"/>
      <c r="S1668" s="69"/>
      <c r="T1668" s="69"/>
      <c r="U1668" s="69"/>
      <c r="V1668" s="69"/>
      <c r="W1668" s="68"/>
      <c r="X1668" s="70"/>
      <c r="Y1668" s="70"/>
      <c r="Z1668" s="70"/>
      <c r="AA1668" s="70"/>
      <c r="AB1668" s="70"/>
      <c r="AC1668" s="68"/>
      <c r="AD1668" s="71"/>
      <c r="AE1668" s="71"/>
      <c r="AF1668" s="71"/>
      <c r="AG1668" s="71"/>
      <c r="AH1668" s="71"/>
      <c r="AI1668" s="68"/>
      <c r="AJ1668" s="214">
        <v>1.2760000000000001E-4</v>
      </c>
      <c r="AK1668" s="214">
        <v>1.7219</v>
      </c>
      <c r="AL1668" s="214">
        <v>4</v>
      </c>
      <c r="AM1668" s="214">
        <v>5.1420100000000005E-4</v>
      </c>
      <c r="AN1668" s="68"/>
      <c r="AO1668" s="67"/>
      <c r="AP1668" s="67"/>
      <c r="AQ1668" s="67"/>
      <c r="AR1668" s="67"/>
      <c r="AS1668" s="67"/>
      <c r="AT1668" s="68"/>
      <c r="AU1668" s="49"/>
      <c r="AV1668" s="50"/>
    </row>
    <row r="1669" spans="1:48" ht="12.75" customHeight="1" x14ac:dyDescent="0.25">
      <c r="A1669" s="72" t="s">
        <v>883</v>
      </c>
      <c r="B1669" s="43" t="s">
        <v>1580</v>
      </c>
      <c r="C1669" s="44" t="s">
        <v>1825</v>
      </c>
      <c r="D1669" s="45">
        <f>MROUND(MID($C1669,6,3)/Basis!$E$3,0.5)</f>
        <v>11</v>
      </c>
      <c r="E1669" s="45">
        <f>MROUND(MID($C1669,9,3)/Basis!$E$3,0.5)</f>
        <v>110</v>
      </c>
      <c r="F1669" s="124" t="s">
        <v>2949</v>
      </c>
      <c r="G1669" s="45">
        <f>ROUND((MROUND($F1669,5)+3)/Basis!$E$3,1)</f>
        <v>3.1</v>
      </c>
      <c r="H1669" s="120">
        <f>ROUND($P1669*Basis!$E$2*((TaH-TrH)/LN(1/µ)/Basis!$E$7)^$N1669*$AA$4*Glycol,0)</f>
        <v>3427</v>
      </c>
      <c r="I1669" s="83">
        <f>ROUND(H1669/(MID($C1669,9,3)/Basis!$E$3/Basis!$E$9)*Basis!$E$11,0)</f>
        <v>373</v>
      </c>
      <c r="J1669" s="123">
        <f>IF(Basis!$E$1=1,ROUND(H1669/((TaH-TrH)*1.163)/3600,3),ROUND(H1669/(500*(TaH-TrH)),2))</f>
        <v>0.34</v>
      </c>
      <c r="K1669" s="84"/>
      <c r="L1669" s="177">
        <f>CHOOSE(Basis!$E$1,((AJ1669*(J1669*3600/Basis!$E$5)^AK1669*(((MID(C1669,9,3)*10)-144)/1000)*AL1669+AM1669*(J1669*3600/Basis!$E$5)^2)*0.0098)/Basis!$E$10,((AJ1669*(J1669/Basis!$E$5)^AK1669*(((MID(C1669,9,3)*10)-144)/1000)*AL1669+AM1669*(J1669/Basis!$E$5)^2)*0.0098)/Basis!$E$10)</f>
        <v>6.0764171967570078E-2</v>
      </c>
      <c r="M1669" s="85"/>
      <c r="N1669" s="109">
        <v>1.403</v>
      </c>
      <c r="O1669" s="68"/>
      <c r="P1669" s="67">
        <v>1596</v>
      </c>
      <c r="Q1669" s="68"/>
      <c r="R1669" s="69"/>
      <c r="S1669" s="69"/>
      <c r="T1669" s="69"/>
      <c r="U1669" s="69"/>
      <c r="V1669" s="69"/>
      <c r="W1669" s="68"/>
      <c r="X1669" s="70"/>
      <c r="Y1669" s="70"/>
      <c r="Z1669" s="70"/>
      <c r="AA1669" s="70"/>
      <c r="AB1669" s="70"/>
      <c r="AC1669" s="68"/>
      <c r="AD1669" s="71"/>
      <c r="AE1669" s="71"/>
      <c r="AF1669" s="71"/>
      <c r="AG1669" s="71"/>
      <c r="AH1669" s="71"/>
      <c r="AI1669" s="68"/>
      <c r="AJ1669" s="214">
        <v>4.1688828699999996E-3</v>
      </c>
      <c r="AK1669" s="214">
        <v>1.411581940642</v>
      </c>
      <c r="AL1669" s="214">
        <v>3</v>
      </c>
      <c r="AM1669" s="214">
        <v>5.4247339961626003E-4</v>
      </c>
      <c r="AN1669" s="68"/>
      <c r="AO1669" s="67"/>
      <c r="AP1669" s="67"/>
      <c r="AQ1669" s="67"/>
      <c r="AR1669" s="67"/>
      <c r="AS1669" s="67"/>
      <c r="AT1669" s="68"/>
      <c r="AU1669" s="49"/>
      <c r="AV1669" s="50"/>
    </row>
    <row r="1670" spans="1:48" ht="12.75" customHeight="1" x14ac:dyDescent="0.25">
      <c r="A1670" s="72" t="s">
        <v>883</v>
      </c>
      <c r="B1670" s="43" t="s">
        <v>1580</v>
      </c>
      <c r="C1670" s="44" t="s">
        <v>1826</v>
      </c>
      <c r="D1670" s="45">
        <f>MROUND(MID($C1670,6,3)/Basis!$E$3,0.5)</f>
        <v>11</v>
      </c>
      <c r="E1670" s="45">
        <f>MROUND(MID($C1670,9,3)/Basis!$E$3,0.5)</f>
        <v>110</v>
      </c>
      <c r="F1670" s="124" t="s">
        <v>2946</v>
      </c>
      <c r="G1670" s="45">
        <f>ROUND((MROUND($F1670,5)+3)/Basis!$E$3,1)</f>
        <v>5.0999999999999996</v>
      </c>
      <c r="H1670" s="120">
        <f>ROUND($P1670*Basis!$E$2*((TaH-TrH)/LN(1/µ)/Basis!$E$7)^$N1670*$AA$4*Glycol,0)</f>
        <v>6466</v>
      </c>
      <c r="I1670" s="83">
        <f>ROUND(H1670/(MID($C1670,9,3)/Basis!$E$3/Basis!$E$9)*Basis!$E$11,0)</f>
        <v>704</v>
      </c>
      <c r="J1670" s="123">
        <f>IF(Basis!$E$1=1,ROUND(H1670/((TaH-TrH)*1.163)/3600,3),ROUND(H1670/(500*(TaH-TrH)),2))</f>
        <v>0.65</v>
      </c>
      <c r="K1670" s="84"/>
      <c r="L1670" s="177">
        <f>CHOOSE(Basis!$E$1,((AJ1670*(J1670*3600/Basis!$E$5)^AK1670*(((MID(C1670,9,3)*10)-144)/1000)*AL1670+AM1670*(J1670*3600/Basis!$E$5)^2)*0.0098)/Basis!$E$10,((AJ1670*(J1670/Basis!$E$5)^AK1670*(((MID(C1670,9,3)*10)-144)/1000)*AL1670+AM1670*(J1670/Basis!$E$5)^2)*0.0098)/Basis!$E$10)</f>
        <v>0.12075028226822361</v>
      </c>
      <c r="M1670" s="85"/>
      <c r="N1670" s="109">
        <v>1.4410000000000001</v>
      </c>
      <c r="O1670" s="68"/>
      <c r="P1670" s="67">
        <v>3049</v>
      </c>
      <c r="Q1670" s="68"/>
      <c r="R1670" s="69"/>
      <c r="S1670" s="69"/>
      <c r="T1670" s="69"/>
      <c r="U1670" s="69"/>
      <c r="V1670" s="69"/>
      <c r="W1670" s="68"/>
      <c r="X1670" s="70"/>
      <c r="Y1670" s="70"/>
      <c r="Z1670" s="70"/>
      <c r="AA1670" s="70"/>
      <c r="AB1670" s="70"/>
      <c r="AC1670" s="68"/>
      <c r="AD1670" s="71"/>
      <c r="AE1670" s="71"/>
      <c r="AF1670" s="71"/>
      <c r="AG1670" s="71"/>
      <c r="AH1670" s="71"/>
      <c r="AI1670" s="68"/>
      <c r="AJ1670" s="214">
        <v>3.9689999999999994E-4</v>
      </c>
      <c r="AK1670" s="214">
        <v>1.7345999999999999</v>
      </c>
      <c r="AL1670" s="214">
        <v>4</v>
      </c>
      <c r="AM1670" s="214">
        <v>5.7428799999999995E-4</v>
      </c>
      <c r="AN1670" s="68"/>
      <c r="AO1670" s="67"/>
      <c r="AP1670" s="67"/>
      <c r="AQ1670" s="67"/>
      <c r="AR1670" s="67"/>
      <c r="AS1670" s="67"/>
      <c r="AT1670" s="68"/>
      <c r="AU1670" s="49"/>
      <c r="AV1670" s="50"/>
    </row>
    <row r="1671" spans="1:48" ht="12.75" customHeight="1" x14ac:dyDescent="0.25">
      <c r="A1671" s="72" t="s">
        <v>883</v>
      </c>
      <c r="B1671" s="43" t="s">
        <v>1580</v>
      </c>
      <c r="C1671" s="44" t="s">
        <v>1827</v>
      </c>
      <c r="D1671" s="45">
        <f>MROUND(MID($C1671,6,3)/Basis!$E$3,0.5)</f>
        <v>11</v>
      </c>
      <c r="E1671" s="45">
        <f>MROUND(MID($C1671,9,3)/Basis!$E$3,0.5)</f>
        <v>110</v>
      </c>
      <c r="F1671" s="124" t="s">
        <v>2947</v>
      </c>
      <c r="G1671" s="45">
        <f>ROUND((MROUND($F1671,5)+3)/Basis!$E$3,1)</f>
        <v>7.1</v>
      </c>
      <c r="H1671" s="120">
        <f>ROUND($P1671*Basis!$E$2*((TaH-TrH)/LN(1/µ)/Basis!$E$7)^$N1671*$AA$4*Glycol,0)</f>
        <v>8469</v>
      </c>
      <c r="I1671" s="83">
        <f>ROUND(H1671/(MID($C1671,9,3)/Basis!$E$3/Basis!$E$9)*Basis!$E$11,0)</f>
        <v>922</v>
      </c>
      <c r="J1671" s="123">
        <f>IF(Basis!$E$1=1,ROUND(H1671/((TaH-TrH)*1.163)/3600,3),ROUND(H1671/(500*(TaH-TrH)),2))</f>
        <v>0.85</v>
      </c>
      <c r="K1671" s="84"/>
      <c r="L1671" s="177">
        <f>CHOOSE(Basis!$E$1,((AJ1671*(J1671*3600/Basis!$E$5)^AK1671*(((MID(C1671,9,3)*10)-144)/1000)*AL1671+AM1671*(J1671*3600/Basis!$E$5)^2)*0.0098)/Basis!$E$10,((AJ1671*(J1671/Basis!$E$5)^AK1671*(((MID(C1671,9,3)*10)-144)/1000)*AL1671+AM1671*(J1671/Basis!$E$5)^2)*0.0098)/Basis!$E$10)</f>
        <v>0.23282875943635559</v>
      </c>
      <c r="M1671" s="85"/>
      <c r="N1671" s="109">
        <v>1.4550000000000001</v>
      </c>
      <c r="O1671" s="68"/>
      <c r="P1671" s="67">
        <v>4012</v>
      </c>
      <c r="Q1671" s="68"/>
      <c r="R1671" s="69"/>
      <c r="S1671" s="69"/>
      <c r="T1671" s="69"/>
      <c r="U1671" s="69"/>
      <c r="V1671" s="69"/>
      <c r="W1671" s="68"/>
      <c r="X1671" s="70"/>
      <c r="Y1671" s="70"/>
      <c r="Z1671" s="70"/>
      <c r="AA1671" s="70"/>
      <c r="AB1671" s="70"/>
      <c r="AC1671" s="68"/>
      <c r="AD1671" s="71"/>
      <c r="AE1671" s="71"/>
      <c r="AF1671" s="71"/>
      <c r="AG1671" s="71"/>
      <c r="AH1671" s="71"/>
      <c r="AI1671" s="68"/>
      <c r="AJ1671" s="214">
        <v>2.0829999999999999E-4</v>
      </c>
      <c r="AK1671" s="214">
        <v>1.724</v>
      </c>
      <c r="AL1671" s="214">
        <v>4</v>
      </c>
      <c r="AM1671" s="214">
        <v>1.392796E-3</v>
      </c>
      <c r="AN1671" s="68"/>
      <c r="AO1671" s="67"/>
      <c r="AP1671" s="67"/>
      <c r="AQ1671" s="67"/>
      <c r="AR1671" s="67"/>
      <c r="AS1671" s="67"/>
      <c r="AT1671" s="68"/>
      <c r="AU1671" s="49"/>
      <c r="AV1671" s="50"/>
    </row>
    <row r="1672" spans="1:48" ht="12.75" customHeight="1" x14ac:dyDescent="0.25">
      <c r="A1672" s="72" t="s">
        <v>883</v>
      </c>
      <c r="B1672" s="43" t="s">
        <v>1580</v>
      </c>
      <c r="C1672" s="44" t="s">
        <v>1828</v>
      </c>
      <c r="D1672" s="45">
        <f>MROUND(MID($C1672,6,3)/Basis!$E$3,0.5)</f>
        <v>11</v>
      </c>
      <c r="E1672" s="45">
        <f>MROUND(MID($C1672,9,3)/Basis!$E$3,0.5)</f>
        <v>110</v>
      </c>
      <c r="F1672" s="124" t="s">
        <v>2948</v>
      </c>
      <c r="G1672" s="45">
        <f>ROUND((MROUND($F1672,5)+3)/Basis!$E$3,1)</f>
        <v>9.1</v>
      </c>
      <c r="H1672" s="120">
        <f>ROUND($P1672*Basis!$E$2*((TaH-TrH)/LN(1/µ)/Basis!$E$7)^$N1672*$AA$4*Glycol,0)</f>
        <v>11062</v>
      </c>
      <c r="I1672" s="83">
        <f>ROUND(H1672/(MID($C1672,9,3)/Basis!$E$3/Basis!$E$9)*Basis!$E$11,0)</f>
        <v>1204</v>
      </c>
      <c r="J1672" s="123">
        <f>IF(Basis!$E$1=1,ROUND(H1672/((TaH-TrH)*1.163)/3600,3),ROUND(H1672/(500*(TaH-TrH)),2))</f>
        <v>1.1100000000000001</v>
      </c>
      <c r="K1672" s="84"/>
      <c r="L1672" s="177">
        <f>CHOOSE(Basis!$E$1,((AJ1672*(J1672*3600/Basis!$E$5)^AK1672*(((MID(C1672,9,3)*10)-144)/1000)*AL1672+AM1672*(J1672*3600/Basis!$E$5)^2)*0.0098)/Basis!$E$10,((AJ1672*(J1672/Basis!$E$5)^AK1672*(((MID(C1672,9,3)*10)-144)/1000)*AL1672+AM1672*(J1672/Basis!$E$5)^2)*0.0098)/Basis!$E$10)</f>
        <v>0.16738680857827695</v>
      </c>
      <c r="M1672" s="85"/>
      <c r="N1672" s="109">
        <v>1.4670000000000001</v>
      </c>
      <c r="O1672" s="68"/>
      <c r="P1672" s="67">
        <v>5261</v>
      </c>
      <c r="Q1672" s="68"/>
      <c r="R1672" s="69"/>
      <c r="S1672" s="69"/>
      <c r="T1672" s="69"/>
      <c r="U1672" s="69"/>
      <c r="V1672" s="69"/>
      <c r="W1672" s="68"/>
      <c r="X1672" s="70"/>
      <c r="Y1672" s="70"/>
      <c r="Z1672" s="70"/>
      <c r="AA1672" s="70"/>
      <c r="AB1672" s="70"/>
      <c r="AC1672" s="68"/>
      <c r="AD1672" s="71"/>
      <c r="AE1672" s="71"/>
      <c r="AF1672" s="71"/>
      <c r="AG1672" s="71"/>
      <c r="AH1672" s="71"/>
      <c r="AI1672" s="68"/>
      <c r="AJ1672" s="214">
        <v>1.2760000000000001E-4</v>
      </c>
      <c r="AK1672" s="214">
        <v>1.7219</v>
      </c>
      <c r="AL1672" s="214">
        <v>4</v>
      </c>
      <c r="AM1672" s="214">
        <v>5.1420100000000005E-4</v>
      </c>
      <c r="AN1672" s="68"/>
      <c r="AO1672" s="67"/>
      <c r="AP1672" s="67"/>
      <c r="AQ1672" s="67"/>
      <c r="AR1672" s="67"/>
      <c r="AS1672" s="67"/>
      <c r="AT1672" s="68"/>
      <c r="AU1672" s="49"/>
      <c r="AV1672" s="50"/>
    </row>
    <row r="1673" spans="1:48" ht="12.75" customHeight="1" x14ac:dyDescent="0.25">
      <c r="A1673" s="72" t="s">
        <v>883</v>
      </c>
      <c r="B1673" s="43" t="s">
        <v>1580</v>
      </c>
      <c r="C1673" s="44" t="s">
        <v>1829</v>
      </c>
      <c r="D1673" s="45">
        <f>MROUND(MID($C1673,6,3)/Basis!$E$3,0.5)</f>
        <v>11</v>
      </c>
      <c r="E1673" s="45">
        <f>MROUND(MID($C1673,9,3)/Basis!$E$3,0.5)</f>
        <v>118</v>
      </c>
      <c r="F1673" s="124" t="s">
        <v>2949</v>
      </c>
      <c r="G1673" s="45">
        <f>ROUND((MROUND($F1673,5)+3)/Basis!$E$3,1)</f>
        <v>3.1</v>
      </c>
      <c r="H1673" s="120">
        <f>ROUND($P1673*Basis!$E$2*((TaH-TrH)/LN(1/µ)/Basis!$E$7)^$N1673*$AA$4*Glycol,0)</f>
        <v>3672</v>
      </c>
      <c r="I1673" s="83">
        <f>ROUND(H1673/(MID($C1673,9,3)/Basis!$E$3/Basis!$E$9)*Basis!$E$11,0)</f>
        <v>373</v>
      </c>
      <c r="J1673" s="123">
        <f>IF(Basis!$E$1=1,ROUND(H1673/((TaH-TrH)*1.163)/3600,3),ROUND(H1673/(500*(TaH-TrH)),2))</f>
        <v>0.37</v>
      </c>
      <c r="K1673" s="84"/>
      <c r="L1673" s="177">
        <f>CHOOSE(Basis!$E$1,((AJ1673*(J1673*3600/Basis!$E$5)^AK1673*(((MID(C1673,9,3)*10)-144)/1000)*AL1673+AM1673*(J1673*3600/Basis!$E$5)^2)*0.0098)/Basis!$E$10,((AJ1673*(J1673/Basis!$E$5)^AK1673*(((MID(C1673,9,3)*10)-144)/1000)*AL1673+AM1673*(J1673/Basis!$E$5)^2)*0.0098)/Basis!$E$10)</f>
        <v>7.3333782800124633E-2</v>
      </c>
      <c r="M1673" s="85"/>
      <c r="N1673" s="109">
        <v>1.403</v>
      </c>
      <c r="O1673" s="68"/>
      <c r="P1673" s="67">
        <v>1710</v>
      </c>
      <c r="Q1673" s="68"/>
      <c r="R1673" s="69"/>
      <c r="S1673" s="69"/>
      <c r="T1673" s="69"/>
      <c r="U1673" s="69"/>
      <c r="V1673" s="69"/>
      <c r="W1673" s="68"/>
      <c r="X1673" s="70"/>
      <c r="Y1673" s="70"/>
      <c r="Z1673" s="70"/>
      <c r="AA1673" s="70"/>
      <c r="AB1673" s="70"/>
      <c r="AC1673" s="68"/>
      <c r="AD1673" s="71"/>
      <c r="AE1673" s="71"/>
      <c r="AF1673" s="71"/>
      <c r="AG1673" s="71"/>
      <c r="AH1673" s="71"/>
      <c r="AI1673" s="68"/>
      <c r="AJ1673" s="214">
        <v>4.1688828699999996E-3</v>
      </c>
      <c r="AK1673" s="214">
        <v>1.411581940642</v>
      </c>
      <c r="AL1673" s="214">
        <v>3</v>
      </c>
      <c r="AM1673" s="214">
        <v>5.4247339961626003E-4</v>
      </c>
      <c r="AN1673" s="68"/>
      <c r="AO1673" s="67"/>
      <c r="AP1673" s="67"/>
      <c r="AQ1673" s="67"/>
      <c r="AR1673" s="67"/>
      <c r="AS1673" s="67"/>
      <c r="AT1673" s="68"/>
      <c r="AU1673" s="49"/>
      <c r="AV1673" s="50"/>
    </row>
    <row r="1674" spans="1:48" ht="12.75" customHeight="1" x14ac:dyDescent="0.25">
      <c r="A1674" s="72" t="s">
        <v>883</v>
      </c>
      <c r="B1674" s="43" t="s">
        <v>1580</v>
      </c>
      <c r="C1674" s="44" t="s">
        <v>1830</v>
      </c>
      <c r="D1674" s="45">
        <f>MROUND(MID($C1674,6,3)/Basis!$E$3,0.5)</f>
        <v>11</v>
      </c>
      <c r="E1674" s="45">
        <f>MROUND(MID($C1674,9,3)/Basis!$E$3,0.5)</f>
        <v>118</v>
      </c>
      <c r="F1674" s="124" t="s">
        <v>2946</v>
      </c>
      <c r="G1674" s="45">
        <f>ROUND((MROUND($F1674,5)+3)/Basis!$E$3,1)</f>
        <v>5.0999999999999996</v>
      </c>
      <c r="H1674" s="120">
        <f>ROUND($P1674*Basis!$E$2*((TaH-TrH)/LN(1/µ)/Basis!$E$7)^$N1674*$AA$4*Glycol,0)</f>
        <v>6928</v>
      </c>
      <c r="I1674" s="83">
        <f>ROUND(H1674/(MID($C1674,9,3)/Basis!$E$3/Basis!$E$9)*Basis!$E$11,0)</f>
        <v>704</v>
      </c>
      <c r="J1674" s="123">
        <f>IF(Basis!$E$1=1,ROUND(H1674/((TaH-TrH)*1.163)/3600,3),ROUND(H1674/(500*(TaH-TrH)),2))</f>
        <v>0.69</v>
      </c>
      <c r="K1674" s="84"/>
      <c r="L1674" s="177">
        <f>CHOOSE(Basis!$E$1,((AJ1674*(J1674*3600/Basis!$E$5)^AK1674*(((MID(C1674,9,3)*10)-144)/1000)*AL1674+AM1674*(J1674*3600/Basis!$E$5)^2)*0.0098)/Basis!$E$10,((AJ1674*(J1674/Basis!$E$5)^AK1674*(((MID(C1674,9,3)*10)-144)/1000)*AL1674+AM1674*(J1674/Basis!$E$5)^2)*0.0098)/Basis!$E$10)</f>
        <v>0.14132164235104269</v>
      </c>
      <c r="M1674" s="85"/>
      <c r="N1674" s="109">
        <v>1.4410000000000001</v>
      </c>
      <c r="O1674" s="68"/>
      <c r="P1674" s="67">
        <v>3267</v>
      </c>
      <c r="Q1674" s="68"/>
      <c r="R1674" s="69"/>
      <c r="S1674" s="69"/>
      <c r="T1674" s="69"/>
      <c r="U1674" s="69"/>
      <c r="V1674" s="69"/>
      <c r="W1674" s="68"/>
      <c r="X1674" s="70"/>
      <c r="Y1674" s="70"/>
      <c r="Z1674" s="70"/>
      <c r="AA1674" s="70"/>
      <c r="AB1674" s="70"/>
      <c r="AC1674" s="68"/>
      <c r="AD1674" s="71"/>
      <c r="AE1674" s="71"/>
      <c r="AF1674" s="71"/>
      <c r="AG1674" s="71"/>
      <c r="AH1674" s="71"/>
      <c r="AI1674" s="68"/>
      <c r="AJ1674" s="214">
        <v>3.9689999999999994E-4</v>
      </c>
      <c r="AK1674" s="214">
        <v>1.7345999999999999</v>
      </c>
      <c r="AL1674" s="214">
        <v>4</v>
      </c>
      <c r="AM1674" s="214">
        <v>5.7428799999999995E-4</v>
      </c>
      <c r="AN1674" s="68"/>
      <c r="AO1674" s="67"/>
      <c r="AP1674" s="67"/>
      <c r="AQ1674" s="67"/>
      <c r="AR1674" s="67"/>
      <c r="AS1674" s="67"/>
      <c r="AT1674" s="68"/>
      <c r="AU1674" s="49"/>
      <c r="AV1674" s="50"/>
    </row>
    <row r="1675" spans="1:48" ht="12.75" customHeight="1" x14ac:dyDescent="0.25">
      <c r="A1675" s="72" t="s">
        <v>883</v>
      </c>
      <c r="B1675" s="43" t="s">
        <v>1580</v>
      </c>
      <c r="C1675" s="44" t="s">
        <v>1831</v>
      </c>
      <c r="D1675" s="45">
        <f>MROUND(MID($C1675,6,3)/Basis!$E$3,0.5)</f>
        <v>11</v>
      </c>
      <c r="E1675" s="45">
        <f>MROUND(MID($C1675,9,3)/Basis!$E$3,0.5)</f>
        <v>118</v>
      </c>
      <c r="F1675" s="124" t="s">
        <v>2947</v>
      </c>
      <c r="G1675" s="45">
        <f>ROUND((MROUND($F1675,5)+3)/Basis!$E$3,1)</f>
        <v>7.1</v>
      </c>
      <c r="H1675" s="120">
        <f>ROUND($P1675*Basis!$E$2*((TaH-TrH)/LN(1/µ)/Basis!$E$7)^$N1675*$AA$4*Glycol,0)</f>
        <v>9075</v>
      </c>
      <c r="I1675" s="83">
        <f>ROUND(H1675/(MID($C1675,9,3)/Basis!$E$3/Basis!$E$9)*Basis!$E$11,0)</f>
        <v>922</v>
      </c>
      <c r="J1675" s="123">
        <f>IF(Basis!$E$1=1,ROUND(H1675/((TaH-TrH)*1.163)/3600,3),ROUND(H1675/(500*(TaH-TrH)),2))</f>
        <v>0.91</v>
      </c>
      <c r="K1675" s="84"/>
      <c r="L1675" s="177">
        <f>CHOOSE(Basis!$E$1,((AJ1675*(J1675*3600/Basis!$E$5)^AK1675*(((MID(C1675,9,3)*10)-144)/1000)*AL1675+AM1675*(J1675*3600/Basis!$E$5)^2)*0.0098)/Basis!$E$10,((AJ1675*(J1675/Basis!$E$5)^AK1675*(((MID(C1675,9,3)*10)-144)/1000)*AL1675+AM1675*(J1675/Basis!$E$5)^2)*0.0098)/Basis!$E$10)</f>
        <v>0.27085426767683424</v>
      </c>
      <c r="M1675" s="85"/>
      <c r="N1675" s="109">
        <v>1.4550000000000001</v>
      </c>
      <c r="O1675" s="68"/>
      <c r="P1675" s="67">
        <v>4299</v>
      </c>
      <c r="Q1675" s="68"/>
      <c r="R1675" s="69"/>
      <c r="S1675" s="69"/>
      <c r="T1675" s="69"/>
      <c r="U1675" s="69"/>
      <c r="V1675" s="69"/>
      <c r="W1675" s="68"/>
      <c r="X1675" s="70"/>
      <c r="Y1675" s="70"/>
      <c r="Z1675" s="70"/>
      <c r="AA1675" s="70"/>
      <c r="AB1675" s="70"/>
      <c r="AC1675" s="68"/>
      <c r="AD1675" s="71"/>
      <c r="AE1675" s="71"/>
      <c r="AF1675" s="71"/>
      <c r="AG1675" s="71"/>
      <c r="AH1675" s="71"/>
      <c r="AI1675" s="68"/>
      <c r="AJ1675" s="214">
        <v>2.0829999999999999E-4</v>
      </c>
      <c r="AK1675" s="214">
        <v>1.724</v>
      </c>
      <c r="AL1675" s="214">
        <v>4</v>
      </c>
      <c r="AM1675" s="214">
        <v>1.392796E-3</v>
      </c>
      <c r="AN1675" s="68"/>
      <c r="AO1675" s="67"/>
      <c r="AP1675" s="67"/>
      <c r="AQ1675" s="67"/>
      <c r="AR1675" s="67"/>
      <c r="AS1675" s="67"/>
      <c r="AT1675" s="68"/>
      <c r="AU1675" s="49"/>
      <c r="AV1675" s="50"/>
    </row>
    <row r="1676" spans="1:48" ht="12.75" customHeight="1" x14ac:dyDescent="0.25">
      <c r="A1676" s="72" t="s">
        <v>883</v>
      </c>
      <c r="B1676" s="43" t="s">
        <v>1580</v>
      </c>
      <c r="C1676" s="44" t="s">
        <v>1832</v>
      </c>
      <c r="D1676" s="45">
        <f>MROUND(MID($C1676,6,3)/Basis!$E$3,0.5)</f>
        <v>11</v>
      </c>
      <c r="E1676" s="45">
        <f>MROUND(MID($C1676,9,3)/Basis!$E$3,0.5)</f>
        <v>118</v>
      </c>
      <c r="F1676" s="124" t="s">
        <v>2948</v>
      </c>
      <c r="G1676" s="45">
        <f>ROUND((MROUND($F1676,5)+3)/Basis!$E$3,1)</f>
        <v>9.1</v>
      </c>
      <c r="H1676" s="120">
        <f>ROUND($P1676*Basis!$E$2*((TaH-TrH)/LN(1/µ)/Basis!$E$7)^$N1676*$AA$4*Glycol,0)</f>
        <v>11852</v>
      </c>
      <c r="I1676" s="83">
        <f>ROUND(H1676/(MID($C1676,9,3)/Basis!$E$3/Basis!$E$9)*Basis!$E$11,0)</f>
        <v>1204</v>
      </c>
      <c r="J1676" s="123">
        <f>IF(Basis!$E$1=1,ROUND(H1676/((TaH-TrH)*1.163)/3600,3),ROUND(H1676/(500*(TaH-TrH)),2))</f>
        <v>1.19</v>
      </c>
      <c r="K1676" s="84"/>
      <c r="L1676" s="177">
        <f>CHOOSE(Basis!$E$1,((AJ1676*(J1676*3600/Basis!$E$5)^AK1676*(((MID(C1676,9,3)*10)-144)/1000)*AL1676+AM1676*(J1676*3600/Basis!$E$5)^2)*0.0098)/Basis!$E$10,((AJ1676*(J1676/Basis!$E$5)^AK1676*(((MID(C1676,9,3)*10)-144)/1000)*AL1676+AM1676*(J1676/Basis!$E$5)^2)*0.0098)/Basis!$E$10)</f>
        <v>0.19618863810420117</v>
      </c>
      <c r="M1676" s="85"/>
      <c r="N1676" s="109">
        <v>1.4670000000000001</v>
      </c>
      <c r="O1676" s="68"/>
      <c r="P1676" s="67">
        <v>5637</v>
      </c>
      <c r="Q1676" s="68"/>
      <c r="R1676" s="69"/>
      <c r="S1676" s="69"/>
      <c r="T1676" s="69"/>
      <c r="U1676" s="69"/>
      <c r="V1676" s="69"/>
      <c r="W1676" s="68"/>
      <c r="X1676" s="70"/>
      <c r="Y1676" s="70"/>
      <c r="Z1676" s="70"/>
      <c r="AA1676" s="70"/>
      <c r="AB1676" s="70"/>
      <c r="AC1676" s="68"/>
      <c r="AD1676" s="71"/>
      <c r="AE1676" s="71"/>
      <c r="AF1676" s="71"/>
      <c r="AG1676" s="71"/>
      <c r="AH1676" s="71"/>
      <c r="AI1676" s="68"/>
      <c r="AJ1676" s="214">
        <v>1.2760000000000001E-4</v>
      </c>
      <c r="AK1676" s="214">
        <v>1.7219</v>
      </c>
      <c r="AL1676" s="214">
        <v>4</v>
      </c>
      <c r="AM1676" s="214">
        <v>5.1420100000000005E-4</v>
      </c>
      <c r="AN1676" s="68"/>
      <c r="AO1676" s="67"/>
      <c r="AP1676" s="67"/>
      <c r="AQ1676" s="67"/>
      <c r="AR1676" s="67"/>
      <c r="AS1676" s="67"/>
      <c r="AT1676" s="68"/>
      <c r="AU1676" s="49"/>
      <c r="AV1676" s="50"/>
    </row>
    <row r="1677" spans="1:48" ht="12.75" customHeight="1" x14ac:dyDescent="0.25">
      <c r="A1677" s="72" t="s">
        <v>20</v>
      </c>
      <c r="B1677" s="43" t="s">
        <v>1833</v>
      </c>
      <c r="C1677" s="44" t="s">
        <v>1834</v>
      </c>
      <c r="D1677" s="45">
        <f>MROUND(MID($C1677,6,3)/Basis!$E$3,0.5)</f>
        <v>8</v>
      </c>
      <c r="E1677" s="45">
        <f>MROUND(MID($C1677,9,3)/Basis!$E$3,0.5)</f>
        <v>19.5</v>
      </c>
      <c r="F1677" s="124" t="s">
        <v>2949</v>
      </c>
      <c r="G1677" s="45">
        <f>ROUND((ROUNDDOWN($F1677/5,0)*5+3.5)/Basis!$E$3,1)</f>
        <v>3.3</v>
      </c>
      <c r="H1677" s="120">
        <f>ROUND($P1677*Basis!$E$2*((TaH-TrH)/LN(1/µ)/Basis!$E$7)^$N1677*$AA$4*Glycol,0)</f>
        <v>576</v>
      </c>
      <c r="I1677" s="83">
        <f>ROUND(H1677/(MID($C1677,9,3)/Basis!$E$3/Basis!$E$9)*Basis!$E$11,0)</f>
        <v>351</v>
      </c>
      <c r="J1677" s="123">
        <f>IF(Basis!$E$1=1,ROUND(H1677/((TaH-TrH)*1.163)/3600,3),ROUND(H1677/(500*(TaH-TrH)),2))</f>
        <v>0.06</v>
      </c>
      <c r="K1677" s="84"/>
      <c r="L1677" s="177">
        <f>CHOOSE(Basis!$E$1,((AJ1677*(J1677*3600/Basis!$E$5)^AK1677*(((MID(C1677,9,3)*10)-144)/1000)*AL1677+AM1677*(J1677*3600/Basis!$E$5)^2)*0.0098)/Basis!$E$10,((AJ1677*(J1677/Basis!$E$5)^AK1677*(((MID(C1677,9,3)*10)-144)/1000)*AL1677+AM1677*(J1677/Basis!$E$5)^2)*0.0098)/Basis!$E$10)</f>
        <v>9.1073409046952799E-4</v>
      </c>
      <c r="M1677" s="85"/>
      <c r="N1677" s="109">
        <v>1.41</v>
      </c>
      <c r="O1677" s="68"/>
      <c r="P1677" s="67">
        <v>269</v>
      </c>
      <c r="Q1677" s="68"/>
      <c r="R1677" s="69"/>
      <c r="S1677" s="69"/>
      <c r="T1677" s="69"/>
      <c r="U1677" s="69"/>
      <c r="V1677" s="69"/>
      <c r="W1677" s="68"/>
      <c r="X1677" s="70"/>
      <c r="Y1677" s="70"/>
      <c r="Z1677" s="70"/>
      <c r="AA1677" s="70"/>
      <c r="AB1677" s="70"/>
      <c r="AC1677" s="68"/>
      <c r="AD1677" s="71"/>
      <c r="AE1677" s="71"/>
      <c r="AF1677" s="71"/>
      <c r="AG1677" s="71"/>
      <c r="AH1677" s="71"/>
      <c r="AI1677" s="68"/>
      <c r="AJ1677" s="214">
        <v>4.1688828699999996E-3</v>
      </c>
      <c r="AK1677" s="214">
        <v>1.411581940642</v>
      </c>
      <c r="AL1677" s="214">
        <v>3</v>
      </c>
      <c r="AM1677" s="214">
        <v>5.4247339961626003E-4</v>
      </c>
      <c r="AN1677" s="68"/>
      <c r="AO1677" s="67"/>
      <c r="AP1677" s="67"/>
      <c r="AQ1677" s="67"/>
      <c r="AR1677" s="67"/>
      <c r="AS1677" s="67"/>
      <c r="AT1677" s="68"/>
      <c r="AU1677" s="49"/>
      <c r="AV1677" s="50"/>
    </row>
    <row r="1678" spans="1:48" ht="12.75" customHeight="1" x14ac:dyDescent="0.25">
      <c r="A1678" s="72" t="s">
        <v>20</v>
      </c>
      <c r="B1678" s="43" t="s">
        <v>1833</v>
      </c>
      <c r="C1678" s="44" t="s">
        <v>1835</v>
      </c>
      <c r="D1678" s="45">
        <f>MROUND(MID($C1678,6,3)/Basis!$E$3,0.5)</f>
        <v>8</v>
      </c>
      <c r="E1678" s="45">
        <f>MROUND(MID($C1678,9,3)/Basis!$E$3,0.5)</f>
        <v>19.5</v>
      </c>
      <c r="F1678" s="124" t="s">
        <v>2943</v>
      </c>
      <c r="G1678" s="45">
        <f>ROUND((ROUNDDOWN($F1678/5,0)*5+1.8)/Basis!$E$3,1)</f>
        <v>4.5999999999999996</v>
      </c>
      <c r="H1678" s="120">
        <f>ROUND($P1678*Basis!$E$2*((TaH-TrH)/LN(1/µ)/Basis!$E$7)^$N1678*$AA$4*Glycol,0)</f>
        <v>702</v>
      </c>
      <c r="I1678" s="83">
        <f>ROUND(H1678/(MID($C1678,9,3)/Basis!$E$3/Basis!$E$9)*Basis!$E$11,0)</f>
        <v>428</v>
      </c>
      <c r="J1678" s="123">
        <f>IF(Basis!$E$1=1,ROUND(H1678/((TaH-TrH)*1.163)/3600,3),ROUND(H1678/(500*(TaH-TrH)),2))</f>
        <v>7.0000000000000007E-2</v>
      </c>
      <c r="K1678" s="84"/>
      <c r="L1678" s="177">
        <f>CHOOSE(Basis!$E$1,((AJ1678*(J1678*3600/Basis!$E$5)^AK1678*(((MID(C1678,9,3)*10)-144)/1000)*AL1678+AM1678*(J1678*3600/Basis!$E$5)^2)*0.0098)/Basis!$E$10,((AJ1678*(J1678/Basis!$E$5)^AK1678*(((MID(C1678,9,3)*10)-144)/1000)*AL1678+AM1678*(J1678/Basis!$E$5)^2)*0.0098)/Basis!$E$10)</f>
        <v>4.1569358515581553E-4</v>
      </c>
      <c r="M1678" s="85"/>
      <c r="N1678" s="110">
        <v>1.413</v>
      </c>
      <c r="O1678" s="74"/>
      <c r="P1678" s="73">
        <v>328</v>
      </c>
      <c r="Q1678" s="74"/>
      <c r="R1678" s="75"/>
      <c r="S1678" s="75"/>
      <c r="T1678" s="75"/>
      <c r="U1678" s="75"/>
      <c r="V1678" s="75"/>
      <c r="W1678" s="74"/>
      <c r="X1678" s="76"/>
      <c r="Y1678" s="76"/>
      <c r="Z1678" s="76"/>
      <c r="AA1678" s="76"/>
      <c r="AB1678" s="76"/>
      <c r="AC1678" s="74"/>
      <c r="AD1678" s="77"/>
      <c r="AE1678" s="77"/>
      <c r="AF1678" s="77"/>
      <c r="AG1678" s="77"/>
      <c r="AH1678" s="77"/>
      <c r="AI1678" s="68"/>
      <c r="AJ1678" s="214">
        <v>3.9689999999999994E-4</v>
      </c>
      <c r="AK1678" s="214">
        <v>1.7345999999999999</v>
      </c>
      <c r="AL1678" s="214">
        <v>2</v>
      </c>
      <c r="AM1678" s="214">
        <v>3.6734700000000002E-4</v>
      </c>
      <c r="AN1678" s="74"/>
      <c r="AO1678" s="73"/>
      <c r="AP1678" s="73"/>
      <c r="AQ1678" s="73"/>
      <c r="AR1678" s="73"/>
      <c r="AS1678" s="73"/>
      <c r="AT1678" s="74"/>
      <c r="AU1678" s="47"/>
      <c r="AV1678" s="48"/>
    </row>
    <row r="1679" spans="1:48" ht="12.75" customHeight="1" x14ac:dyDescent="0.25">
      <c r="A1679" s="72" t="s">
        <v>20</v>
      </c>
      <c r="B1679" s="43" t="s">
        <v>1833</v>
      </c>
      <c r="C1679" s="44" t="s">
        <v>1836</v>
      </c>
      <c r="D1679" s="45">
        <f>MROUND(MID($C1679,6,3)/Basis!$E$3,0.5)</f>
        <v>8</v>
      </c>
      <c r="E1679" s="45">
        <f>MROUND(MID($C1679,9,3)/Basis!$E$3,0.5)</f>
        <v>19.5</v>
      </c>
      <c r="F1679" s="124" t="s">
        <v>2944</v>
      </c>
      <c r="G1679" s="45">
        <f>ROUND((ROUNDDOWN($F1679/5,0)*5+1.8)/Basis!$E$3,1)</f>
        <v>6.6</v>
      </c>
      <c r="H1679" s="120">
        <f>ROUND($P1679*Basis!$E$2*((TaH-TrH)/LN(1/µ)/Basis!$E$7)^$N1679*$AA$4*Glycol,0)</f>
        <v>1168</v>
      </c>
      <c r="I1679" s="83">
        <f>ROUND(H1679/(MID($C1679,9,3)/Basis!$E$3/Basis!$E$9)*Basis!$E$11,0)</f>
        <v>712</v>
      </c>
      <c r="J1679" s="123">
        <f>IF(Basis!$E$1=1,ROUND(H1679/((TaH-TrH)*1.163)/3600,3),ROUND(H1679/(500*(TaH-TrH)),2))</f>
        <v>0.12</v>
      </c>
      <c r="K1679" s="84"/>
      <c r="L1679" s="177">
        <f>CHOOSE(Basis!$E$1,((AJ1679*(J1679*3600/Basis!$E$5)^AK1679*(((MID(C1679,9,3)*10)-144)/1000)*AL1679+AM1679*(J1679*3600/Basis!$E$5)^2)*0.0098)/Basis!$E$10,((AJ1679*(J1679/Basis!$E$5)^AK1679*(((MID(C1679,9,3)*10)-144)/1000)*AL1679+AM1679*(J1679/Basis!$E$5)^2)*0.0098)/Basis!$E$10)</f>
        <v>1.2663866798291782E-3</v>
      </c>
      <c r="M1679" s="85"/>
      <c r="N1679" s="109">
        <v>1.4079999999999999</v>
      </c>
      <c r="O1679" s="68"/>
      <c r="P1679" s="67">
        <v>545</v>
      </c>
      <c r="Q1679" s="68"/>
      <c r="R1679" s="69"/>
      <c r="S1679" s="69"/>
      <c r="T1679" s="69"/>
      <c r="U1679" s="69"/>
      <c r="V1679" s="69"/>
      <c r="W1679" s="68"/>
      <c r="X1679" s="70"/>
      <c r="Y1679" s="70"/>
      <c r="Z1679" s="70"/>
      <c r="AA1679" s="70"/>
      <c r="AB1679" s="70"/>
      <c r="AC1679" s="68"/>
      <c r="AD1679" s="71"/>
      <c r="AE1679" s="71"/>
      <c r="AF1679" s="71"/>
      <c r="AG1679" s="71"/>
      <c r="AH1679" s="71"/>
      <c r="AI1679" s="68"/>
      <c r="AJ1679" s="214">
        <v>2.0829999999999999E-4</v>
      </c>
      <c r="AK1679" s="214">
        <v>1.724</v>
      </c>
      <c r="AL1679" s="214">
        <v>2</v>
      </c>
      <c r="AM1679" s="214">
        <v>4.6182900000000003E-4</v>
      </c>
      <c r="AN1679" s="68"/>
      <c r="AO1679" s="67"/>
      <c r="AP1679" s="67"/>
      <c r="AQ1679" s="67"/>
      <c r="AR1679" s="67"/>
      <c r="AS1679" s="67"/>
      <c r="AT1679" s="68"/>
      <c r="AU1679" s="49"/>
      <c r="AV1679" s="50"/>
    </row>
    <row r="1680" spans="1:48" ht="12.75" customHeight="1" x14ac:dyDescent="0.25">
      <c r="A1680" s="72" t="s">
        <v>20</v>
      </c>
      <c r="B1680" s="43" t="s">
        <v>1833</v>
      </c>
      <c r="C1680" s="44" t="s">
        <v>1837</v>
      </c>
      <c r="D1680" s="45">
        <f>MROUND(MID($C1680,6,3)/Basis!$E$3,0.5)</f>
        <v>8</v>
      </c>
      <c r="E1680" s="45">
        <f>MROUND(MID($C1680,9,3)/Basis!$E$3,0.5)</f>
        <v>19.5</v>
      </c>
      <c r="F1680" s="124" t="s">
        <v>2945</v>
      </c>
      <c r="G1680" s="45">
        <f>ROUND((ROUNDDOWN($F1680/5,0)*5+1.8)/Basis!$E$3,1)</f>
        <v>8.6</v>
      </c>
      <c r="H1680" s="120">
        <f>ROUND($P1680*Basis!$E$2*((TaH-TrH)/LN(1/µ)/Basis!$E$7)^$N1680*$AA$4*Glycol,0)</f>
        <v>1642</v>
      </c>
      <c r="I1680" s="83">
        <f>ROUND(H1680/(MID($C1680,9,3)/Basis!$E$3/Basis!$E$9)*Basis!$E$11,0)</f>
        <v>1001</v>
      </c>
      <c r="J1680" s="123">
        <f>IF(Basis!$E$1=1,ROUND(H1680/((TaH-TrH)*1.163)/3600,3),ROUND(H1680/(500*(TaH-TrH)),2))</f>
        <v>0.16</v>
      </c>
      <c r="K1680" s="84"/>
      <c r="L1680" s="177">
        <f>CHOOSE(Basis!$E$1,((AJ1680*(J1680*3600/Basis!$E$5)^AK1680*(((MID(C1680,9,3)*10)-144)/1000)*AL1680+AM1680*(J1680*3600/Basis!$E$5)^2)*0.0098)/Basis!$E$10,((AJ1680*(J1680/Basis!$E$5)^AK1680*(((MID(C1680,9,3)*10)-144)/1000)*AL1680+AM1680*(J1680/Basis!$E$5)^2)*0.0098)/Basis!$E$10)</f>
        <v>1.7706226073942659E-3</v>
      </c>
      <c r="M1680" s="85"/>
      <c r="N1680" s="110">
        <v>1.4079999999999999</v>
      </c>
      <c r="O1680" s="74"/>
      <c r="P1680" s="73">
        <v>766</v>
      </c>
      <c r="Q1680" s="74"/>
      <c r="R1680" s="75"/>
      <c r="S1680" s="75"/>
      <c r="T1680" s="75"/>
      <c r="U1680" s="75"/>
      <c r="V1680" s="75"/>
      <c r="W1680" s="74"/>
      <c r="X1680" s="76"/>
      <c r="Y1680" s="76"/>
      <c r="Z1680" s="76"/>
      <c r="AA1680" s="76"/>
      <c r="AB1680" s="76"/>
      <c r="AC1680" s="74"/>
      <c r="AD1680" s="77"/>
      <c r="AE1680" s="77"/>
      <c r="AF1680" s="77"/>
      <c r="AG1680" s="77"/>
      <c r="AH1680" s="77"/>
      <c r="AI1680" s="68"/>
      <c r="AJ1680" s="214">
        <v>1.2760000000000001E-4</v>
      </c>
      <c r="AK1680" s="214">
        <v>1.7219</v>
      </c>
      <c r="AL1680" s="214">
        <v>2</v>
      </c>
      <c r="AM1680" s="214">
        <v>3.76611E-4</v>
      </c>
      <c r="AN1680" s="74"/>
      <c r="AO1680" s="73"/>
      <c r="AP1680" s="73"/>
      <c r="AQ1680" s="73"/>
      <c r="AR1680" s="73"/>
      <c r="AS1680" s="73"/>
      <c r="AT1680" s="74"/>
      <c r="AU1680" s="47"/>
      <c r="AV1680" s="48"/>
    </row>
    <row r="1681" spans="1:48" ht="12.75" customHeight="1" x14ac:dyDescent="0.25">
      <c r="A1681" s="72" t="s">
        <v>20</v>
      </c>
      <c r="B1681" s="43" t="s">
        <v>1833</v>
      </c>
      <c r="C1681" s="44" t="s">
        <v>1838</v>
      </c>
      <c r="D1681" s="45">
        <f>MROUND(MID($C1681,6,3)/Basis!$E$3,0.5)</f>
        <v>8</v>
      </c>
      <c r="E1681" s="45">
        <f>MROUND(MID($C1681,9,3)/Basis!$E$3,0.5)</f>
        <v>23.5</v>
      </c>
      <c r="F1681" s="124" t="s">
        <v>2949</v>
      </c>
      <c r="G1681" s="45">
        <f>ROUND((ROUNDDOWN($F1681/5,0)*5+3.5)/Basis!$E$3,1)</f>
        <v>3.3</v>
      </c>
      <c r="H1681" s="120">
        <f>ROUND($P1681*Basis!$E$2*((TaH-TrH)/LN(1/µ)/Basis!$E$7)^$N1681*$AA$4*Glycol,0)</f>
        <v>692</v>
      </c>
      <c r="I1681" s="83">
        <f>ROUND(H1681/(MID($C1681,9,3)/Basis!$E$3/Basis!$E$9)*Basis!$E$11,0)</f>
        <v>352</v>
      </c>
      <c r="J1681" s="123">
        <f>IF(Basis!$E$1=1,ROUND(H1681/((TaH-TrH)*1.163)/3600,3),ROUND(H1681/(500*(TaH-TrH)),2))</f>
        <v>7.0000000000000007E-2</v>
      </c>
      <c r="K1681" s="84"/>
      <c r="L1681" s="177">
        <f>CHOOSE(Basis!$E$1,((AJ1681*(J1681*3600/Basis!$E$5)^AK1681*(((MID(C1681,9,3)*10)-144)/1000)*AL1681+AM1681*(J1681*3600/Basis!$E$5)^2)*0.0098)/Basis!$E$10,((AJ1681*(J1681/Basis!$E$5)^AK1681*(((MID(C1681,9,3)*10)-144)/1000)*AL1681+AM1681*(J1681/Basis!$E$5)^2)*0.0098)/Basis!$E$10)</f>
        <v>1.3739895470624315E-3</v>
      </c>
      <c r="M1681" s="85"/>
      <c r="N1681" s="109">
        <v>1.41</v>
      </c>
      <c r="O1681" s="68"/>
      <c r="P1681" s="67">
        <v>323</v>
      </c>
      <c r="Q1681" s="68"/>
      <c r="R1681" s="69"/>
      <c r="S1681" s="69"/>
      <c r="T1681" s="69"/>
      <c r="U1681" s="69"/>
      <c r="V1681" s="69"/>
      <c r="W1681" s="68"/>
      <c r="X1681" s="70"/>
      <c r="Y1681" s="70"/>
      <c r="Z1681" s="70"/>
      <c r="AA1681" s="70"/>
      <c r="AB1681" s="70"/>
      <c r="AC1681" s="68"/>
      <c r="AD1681" s="71"/>
      <c r="AE1681" s="71"/>
      <c r="AF1681" s="71"/>
      <c r="AG1681" s="71"/>
      <c r="AH1681" s="71"/>
      <c r="AI1681" s="68"/>
      <c r="AJ1681" s="214">
        <v>4.1688828699999996E-3</v>
      </c>
      <c r="AK1681" s="214">
        <v>1.411581940642</v>
      </c>
      <c r="AL1681" s="214">
        <v>3</v>
      </c>
      <c r="AM1681" s="214">
        <v>5.4247339961626003E-4</v>
      </c>
      <c r="AN1681" s="68"/>
      <c r="AO1681" s="67"/>
      <c r="AP1681" s="67"/>
      <c r="AQ1681" s="67"/>
      <c r="AR1681" s="67"/>
      <c r="AS1681" s="67"/>
      <c r="AT1681" s="68"/>
      <c r="AU1681" s="49"/>
      <c r="AV1681" s="50"/>
    </row>
    <row r="1682" spans="1:48" ht="12.75" customHeight="1" x14ac:dyDescent="0.25">
      <c r="A1682" s="72" t="s">
        <v>20</v>
      </c>
      <c r="B1682" s="43" t="s">
        <v>1833</v>
      </c>
      <c r="C1682" s="44" t="s">
        <v>1839</v>
      </c>
      <c r="D1682" s="45">
        <f>MROUND(MID($C1682,6,3)/Basis!$E$3,0.5)</f>
        <v>8</v>
      </c>
      <c r="E1682" s="45">
        <f>MROUND(MID($C1682,9,3)/Basis!$E$3,0.5)</f>
        <v>23.5</v>
      </c>
      <c r="F1682" s="124" t="s">
        <v>2943</v>
      </c>
      <c r="G1682" s="45">
        <f>ROUND((ROUNDDOWN($F1682/5,0)*5+1.8)/Basis!$E$3,1)</f>
        <v>4.5999999999999996</v>
      </c>
      <c r="H1682" s="120">
        <f>ROUND($P1682*Basis!$E$2*((TaH-TrH)/LN(1/µ)/Basis!$E$7)^$N1682*$AA$4*Glycol,0)</f>
        <v>841</v>
      </c>
      <c r="I1682" s="83">
        <f>ROUND(H1682/(MID($C1682,9,3)/Basis!$E$3/Basis!$E$9)*Basis!$E$11,0)</f>
        <v>427</v>
      </c>
      <c r="J1682" s="123">
        <f>IF(Basis!$E$1=1,ROUND(H1682/((TaH-TrH)*1.163)/3600,3),ROUND(H1682/(500*(TaH-TrH)),2))</f>
        <v>0.08</v>
      </c>
      <c r="K1682" s="84"/>
      <c r="L1682" s="177">
        <f>CHOOSE(Basis!$E$1,((AJ1682*(J1682*3600/Basis!$E$5)^AK1682*(((MID(C1682,9,3)*10)-144)/1000)*AL1682+AM1682*(J1682*3600/Basis!$E$5)^2)*0.0098)/Basis!$E$10,((AJ1682*(J1682/Basis!$E$5)^AK1682*(((MID(C1682,9,3)*10)-144)/1000)*AL1682+AM1682*(J1682/Basis!$E$5)^2)*0.0098)/Basis!$E$10)</f>
        <v>5.7754099344955914E-4</v>
      </c>
      <c r="M1682" s="85"/>
      <c r="N1682" s="110">
        <v>1.413</v>
      </c>
      <c r="O1682" s="74"/>
      <c r="P1682" s="73">
        <v>393</v>
      </c>
      <c r="Q1682" s="74"/>
      <c r="R1682" s="75"/>
      <c r="S1682" s="75"/>
      <c r="T1682" s="75"/>
      <c r="U1682" s="75"/>
      <c r="V1682" s="75"/>
      <c r="W1682" s="74"/>
      <c r="X1682" s="76"/>
      <c r="Y1682" s="76"/>
      <c r="Z1682" s="76"/>
      <c r="AA1682" s="76"/>
      <c r="AB1682" s="76"/>
      <c r="AC1682" s="74"/>
      <c r="AD1682" s="77"/>
      <c r="AE1682" s="77"/>
      <c r="AF1682" s="77"/>
      <c r="AG1682" s="77"/>
      <c r="AH1682" s="77"/>
      <c r="AI1682" s="68"/>
      <c r="AJ1682" s="213">
        <v>3.9689999999999994E-4</v>
      </c>
      <c r="AK1682" s="213">
        <v>1.7345999999999999</v>
      </c>
      <c r="AL1682" s="213">
        <v>2</v>
      </c>
      <c r="AM1682" s="213">
        <v>3.6734700000000002E-4</v>
      </c>
      <c r="AN1682" s="74"/>
      <c r="AO1682" s="73"/>
      <c r="AP1682" s="73"/>
      <c r="AQ1682" s="73"/>
      <c r="AR1682" s="73"/>
      <c r="AS1682" s="73"/>
      <c r="AT1682" s="74"/>
      <c r="AU1682" s="47"/>
      <c r="AV1682" s="48"/>
    </row>
    <row r="1683" spans="1:48" ht="12.75" customHeight="1" x14ac:dyDescent="0.25">
      <c r="A1683" s="72" t="s">
        <v>20</v>
      </c>
      <c r="B1683" s="43" t="s">
        <v>1833</v>
      </c>
      <c r="C1683" s="44" t="s">
        <v>1840</v>
      </c>
      <c r="D1683" s="45">
        <f>MROUND(MID($C1683,6,3)/Basis!$E$3,0.5)</f>
        <v>8</v>
      </c>
      <c r="E1683" s="45">
        <f>MROUND(MID($C1683,9,3)/Basis!$E$3,0.5)</f>
        <v>23.5</v>
      </c>
      <c r="F1683" s="124" t="s">
        <v>2944</v>
      </c>
      <c r="G1683" s="45">
        <f>ROUND((ROUNDDOWN($F1683/5,0)*5+1.8)/Basis!$E$3,1)</f>
        <v>6.6</v>
      </c>
      <c r="H1683" s="120">
        <f>ROUND($P1683*Basis!$E$2*((TaH-TrH)/LN(1/µ)/Basis!$E$7)^$N1683*$AA$4*Glycol,0)</f>
        <v>1402</v>
      </c>
      <c r="I1683" s="83">
        <f>ROUND(H1683/(MID($C1683,9,3)/Basis!$E$3/Basis!$E$9)*Basis!$E$11,0)</f>
        <v>712</v>
      </c>
      <c r="J1683" s="123">
        <f>IF(Basis!$E$1=1,ROUND(H1683/((TaH-TrH)*1.163)/3600,3),ROUND(H1683/(500*(TaH-TrH)),2))</f>
        <v>0.14000000000000001</v>
      </c>
      <c r="K1683" s="84"/>
      <c r="L1683" s="177">
        <f>CHOOSE(Basis!$E$1,((AJ1683*(J1683*3600/Basis!$E$5)^AK1683*(((MID(C1683,9,3)*10)-144)/1000)*AL1683+AM1683*(J1683*3600/Basis!$E$5)^2)*0.0098)/Basis!$E$10,((AJ1683*(J1683/Basis!$E$5)^AK1683*(((MID(C1683,9,3)*10)-144)/1000)*AL1683+AM1683*(J1683/Basis!$E$5)^2)*0.0098)/Basis!$E$10)</f>
        <v>1.768500592062961E-3</v>
      </c>
      <c r="M1683" s="85"/>
      <c r="N1683" s="110">
        <v>1.4079999999999999</v>
      </c>
      <c r="O1683" s="74"/>
      <c r="P1683" s="73">
        <v>654</v>
      </c>
      <c r="Q1683" s="74"/>
      <c r="R1683" s="75"/>
      <c r="S1683" s="75"/>
      <c r="T1683" s="75"/>
      <c r="U1683" s="75"/>
      <c r="V1683" s="75"/>
      <c r="W1683" s="74"/>
      <c r="X1683" s="76"/>
      <c r="Y1683" s="76"/>
      <c r="Z1683" s="76"/>
      <c r="AA1683" s="76"/>
      <c r="AB1683" s="76"/>
      <c r="AC1683" s="74"/>
      <c r="AD1683" s="77"/>
      <c r="AE1683" s="77"/>
      <c r="AF1683" s="77"/>
      <c r="AG1683" s="77"/>
      <c r="AH1683" s="77"/>
      <c r="AI1683" s="68"/>
      <c r="AJ1683" s="213">
        <v>2.0829999999999999E-4</v>
      </c>
      <c r="AK1683" s="213">
        <v>1.724</v>
      </c>
      <c r="AL1683" s="213">
        <v>2</v>
      </c>
      <c r="AM1683" s="213">
        <v>4.6182900000000003E-4</v>
      </c>
      <c r="AN1683" s="74"/>
      <c r="AO1683" s="73"/>
      <c r="AP1683" s="73"/>
      <c r="AQ1683" s="73"/>
      <c r="AR1683" s="73"/>
      <c r="AS1683" s="73"/>
      <c r="AT1683" s="74"/>
      <c r="AU1683" s="47"/>
      <c r="AV1683" s="48"/>
    </row>
    <row r="1684" spans="1:48" ht="12.75" customHeight="1" x14ac:dyDescent="0.25">
      <c r="A1684" s="72" t="s">
        <v>20</v>
      </c>
      <c r="B1684" s="43" t="s">
        <v>1833</v>
      </c>
      <c r="C1684" s="44" t="s">
        <v>1841</v>
      </c>
      <c r="D1684" s="45">
        <f>MROUND(MID($C1684,6,3)/Basis!$E$3,0.5)</f>
        <v>8</v>
      </c>
      <c r="E1684" s="45">
        <f>MROUND(MID($C1684,9,3)/Basis!$E$3,0.5)</f>
        <v>23.5</v>
      </c>
      <c r="F1684" s="124" t="s">
        <v>2945</v>
      </c>
      <c r="G1684" s="45">
        <f>ROUND((ROUNDDOWN($F1684/5,0)*5+1.8)/Basis!$E$3,1)</f>
        <v>8.6</v>
      </c>
      <c r="H1684" s="120">
        <f>ROUND($P1684*Basis!$E$2*((TaH-TrH)/LN(1/µ)/Basis!$E$7)^$N1684*$AA$4*Glycol,0)</f>
        <v>1970</v>
      </c>
      <c r="I1684" s="83">
        <f>ROUND(H1684/(MID($C1684,9,3)/Basis!$E$3/Basis!$E$9)*Basis!$E$11,0)</f>
        <v>1001</v>
      </c>
      <c r="J1684" s="123">
        <f>IF(Basis!$E$1=1,ROUND(H1684/((TaH-TrH)*1.163)/3600,3),ROUND(H1684/(500*(TaH-TrH)),2))</f>
        <v>0.2</v>
      </c>
      <c r="K1684" s="84"/>
      <c r="L1684" s="177">
        <f>CHOOSE(Basis!$E$1,((AJ1684*(J1684*3600/Basis!$E$5)^AK1684*(((MID(C1684,9,3)*10)-144)/1000)*AL1684+AM1684*(J1684*3600/Basis!$E$5)^2)*0.0098)/Basis!$E$10,((AJ1684*(J1684/Basis!$E$5)^AK1684*(((MID(C1684,9,3)*10)-144)/1000)*AL1684+AM1684*(J1684/Basis!$E$5)^2)*0.0098)/Basis!$E$10)</f>
        <v>2.8125971646002544E-3</v>
      </c>
      <c r="M1684" s="85"/>
      <c r="N1684" s="110">
        <v>1.4079999999999999</v>
      </c>
      <c r="O1684" s="74"/>
      <c r="P1684" s="73">
        <v>919</v>
      </c>
      <c r="Q1684" s="74"/>
      <c r="R1684" s="75"/>
      <c r="S1684" s="75"/>
      <c r="T1684" s="75"/>
      <c r="U1684" s="75"/>
      <c r="V1684" s="75"/>
      <c r="W1684" s="74"/>
      <c r="X1684" s="76"/>
      <c r="Y1684" s="76"/>
      <c r="Z1684" s="76"/>
      <c r="AA1684" s="76"/>
      <c r="AB1684" s="76"/>
      <c r="AC1684" s="74"/>
      <c r="AD1684" s="77"/>
      <c r="AE1684" s="77"/>
      <c r="AF1684" s="77"/>
      <c r="AG1684" s="77"/>
      <c r="AH1684" s="77"/>
      <c r="AI1684" s="68"/>
      <c r="AJ1684" s="214">
        <v>1.2760000000000001E-4</v>
      </c>
      <c r="AK1684" s="214">
        <v>1.7219</v>
      </c>
      <c r="AL1684" s="214">
        <v>2</v>
      </c>
      <c r="AM1684" s="214">
        <v>3.76611E-4</v>
      </c>
      <c r="AN1684" s="74"/>
      <c r="AO1684" s="73"/>
      <c r="AP1684" s="73"/>
      <c r="AQ1684" s="73"/>
      <c r="AR1684" s="73"/>
      <c r="AS1684" s="73"/>
      <c r="AT1684" s="74"/>
      <c r="AU1684" s="47"/>
      <c r="AV1684" s="48"/>
    </row>
    <row r="1685" spans="1:48" ht="12.75" customHeight="1" x14ac:dyDescent="0.25">
      <c r="A1685" s="72" t="s">
        <v>20</v>
      </c>
      <c r="B1685" s="43" t="s">
        <v>1833</v>
      </c>
      <c r="C1685" s="44" t="s">
        <v>1842</v>
      </c>
      <c r="D1685" s="45">
        <f>MROUND(MID($C1685,6,3)/Basis!$E$3,0.5)</f>
        <v>8</v>
      </c>
      <c r="E1685" s="45">
        <f>MROUND(MID($C1685,9,3)/Basis!$E$3,0.5)</f>
        <v>27.5</v>
      </c>
      <c r="F1685" s="124" t="s">
        <v>2949</v>
      </c>
      <c r="G1685" s="45">
        <f>ROUND((ROUNDDOWN($F1685/5,0)*5+3.5)/Basis!$E$3,1)</f>
        <v>3.3</v>
      </c>
      <c r="H1685" s="120">
        <f>ROUND($P1685*Basis!$E$2*((TaH-TrH)/LN(1/µ)/Basis!$E$7)^$N1685*$AA$4*Glycol,0)</f>
        <v>808</v>
      </c>
      <c r="I1685" s="83">
        <f>ROUND(H1685/(MID($C1685,9,3)/Basis!$E$3/Basis!$E$9)*Basis!$E$11,0)</f>
        <v>352</v>
      </c>
      <c r="J1685" s="123">
        <f>IF(Basis!$E$1=1,ROUND(H1685/((TaH-TrH)*1.163)/3600,3),ROUND(H1685/(500*(TaH-TrH)),2))</f>
        <v>0.08</v>
      </c>
      <c r="K1685" s="84"/>
      <c r="L1685" s="177">
        <f>CHOOSE(Basis!$E$1,((AJ1685*(J1685*3600/Basis!$E$5)^AK1685*(((MID(C1685,9,3)*10)-144)/1000)*AL1685+AM1685*(J1685*3600/Basis!$E$5)^2)*0.0098)/Basis!$E$10,((AJ1685*(J1685/Basis!$E$5)^AK1685*(((MID(C1685,9,3)*10)-144)/1000)*AL1685+AM1685*(J1685/Basis!$E$5)^2)*0.0098)/Basis!$E$10)</f>
        <v>1.9483383921102188E-3</v>
      </c>
      <c r="M1685" s="85"/>
      <c r="N1685" s="110">
        <v>1.41</v>
      </c>
      <c r="O1685" s="74"/>
      <c r="P1685" s="73">
        <v>377</v>
      </c>
      <c r="Q1685" s="74"/>
      <c r="R1685" s="75"/>
      <c r="S1685" s="75"/>
      <c r="T1685" s="75"/>
      <c r="U1685" s="75"/>
      <c r="V1685" s="75"/>
      <c r="W1685" s="74"/>
      <c r="X1685" s="76"/>
      <c r="Y1685" s="76"/>
      <c r="Z1685" s="76"/>
      <c r="AA1685" s="76"/>
      <c r="AB1685" s="76"/>
      <c r="AC1685" s="74"/>
      <c r="AD1685" s="77"/>
      <c r="AE1685" s="77"/>
      <c r="AF1685" s="77"/>
      <c r="AG1685" s="77"/>
      <c r="AH1685" s="77"/>
      <c r="AI1685" s="68"/>
      <c r="AJ1685" s="213">
        <v>4.1688828699999996E-3</v>
      </c>
      <c r="AK1685" s="213">
        <v>1.411581940642</v>
      </c>
      <c r="AL1685" s="213">
        <v>3</v>
      </c>
      <c r="AM1685" s="213">
        <v>5.4247339961626003E-4</v>
      </c>
      <c r="AN1685" s="74"/>
      <c r="AO1685" s="73"/>
      <c r="AP1685" s="73"/>
      <c r="AQ1685" s="73"/>
      <c r="AR1685" s="73"/>
      <c r="AS1685" s="73"/>
      <c r="AT1685" s="74"/>
      <c r="AU1685" s="47"/>
      <c r="AV1685" s="48"/>
    </row>
    <row r="1686" spans="1:48" ht="12.75" customHeight="1" x14ac:dyDescent="0.25">
      <c r="A1686" s="72" t="s">
        <v>20</v>
      </c>
      <c r="B1686" s="43" t="s">
        <v>1833</v>
      </c>
      <c r="C1686" s="44" t="s">
        <v>1843</v>
      </c>
      <c r="D1686" s="45">
        <f>MROUND(MID($C1686,6,3)/Basis!$E$3,0.5)</f>
        <v>8</v>
      </c>
      <c r="E1686" s="45">
        <f>MROUND(MID($C1686,9,3)/Basis!$E$3,0.5)</f>
        <v>27.5</v>
      </c>
      <c r="F1686" s="124" t="s">
        <v>2943</v>
      </c>
      <c r="G1686" s="45">
        <f>ROUND((ROUNDDOWN($F1686/5,0)*5+1.8)/Basis!$E$3,1)</f>
        <v>4.5999999999999996</v>
      </c>
      <c r="H1686" s="120">
        <f>ROUND($P1686*Basis!$E$2*((TaH-TrH)/LN(1/µ)/Basis!$E$7)^$N1686*$AA$4*Glycol,0)</f>
        <v>982</v>
      </c>
      <c r="I1686" s="83">
        <f>ROUND(H1686/(MID($C1686,9,3)/Basis!$E$3/Basis!$E$9)*Basis!$E$11,0)</f>
        <v>428</v>
      </c>
      <c r="J1686" s="123">
        <f>IF(Basis!$E$1=1,ROUND(H1686/((TaH-TrH)*1.163)/3600,3),ROUND(H1686/(500*(TaH-TrH)),2))</f>
        <v>0.1</v>
      </c>
      <c r="K1686" s="84"/>
      <c r="L1686" s="177">
        <f>CHOOSE(Basis!$E$1,((AJ1686*(J1686*3600/Basis!$E$5)^AK1686*(((MID(C1686,9,3)*10)-144)/1000)*AL1686+AM1686*(J1686*3600/Basis!$E$5)^2)*0.0098)/Basis!$E$10,((AJ1686*(J1686/Basis!$E$5)^AK1686*(((MID(C1686,9,3)*10)-144)/1000)*AL1686+AM1686*(J1686/Basis!$E$5)^2)*0.0098)/Basis!$E$10)</f>
        <v>9.4459789792957979E-4</v>
      </c>
      <c r="M1686" s="85"/>
      <c r="N1686" s="109">
        <v>1.413</v>
      </c>
      <c r="O1686" s="68"/>
      <c r="P1686" s="67">
        <v>459</v>
      </c>
      <c r="Q1686" s="68"/>
      <c r="R1686" s="69"/>
      <c r="S1686" s="69"/>
      <c r="T1686" s="69"/>
      <c r="U1686" s="69"/>
      <c r="V1686" s="69"/>
      <c r="W1686" s="68"/>
      <c r="X1686" s="70"/>
      <c r="Y1686" s="70"/>
      <c r="Z1686" s="70"/>
      <c r="AA1686" s="70"/>
      <c r="AB1686" s="70"/>
      <c r="AC1686" s="68"/>
      <c r="AD1686" s="71"/>
      <c r="AE1686" s="71"/>
      <c r="AF1686" s="71"/>
      <c r="AG1686" s="71"/>
      <c r="AH1686" s="71"/>
      <c r="AI1686" s="68"/>
      <c r="AJ1686" s="214">
        <v>3.9689999999999994E-4</v>
      </c>
      <c r="AK1686" s="214">
        <v>1.7345999999999999</v>
      </c>
      <c r="AL1686" s="214">
        <v>2</v>
      </c>
      <c r="AM1686" s="214">
        <v>3.6734700000000002E-4</v>
      </c>
      <c r="AN1686" s="68"/>
      <c r="AO1686" s="67"/>
      <c r="AP1686" s="67"/>
      <c r="AQ1686" s="67"/>
      <c r="AR1686" s="67"/>
      <c r="AS1686" s="67"/>
      <c r="AT1686" s="68"/>
      <c r="AU1686" s="49"/>
      <c r="AV1686" s="50"/>
    </row>
    <row r="1687" spans="1:48" ht="12.75" customHeight="1" x14ac:dyDescent="0.25">
      <c r="A1687" s="72" t="s">
        <v>20</v>
      </c>
      <c r="B1687" s="43" t="s">
        <v>1833</v>
      </c>
      <c r="C1687" s="44" t="s">
        <v>1844</v>
      </c>
      <c r="D1687" s="45">
        <f>MROUND(MID($C1687,6,3)/Basis!$E$3,0.5)</f>
        <v>8</v>
      </c>
      <c r="E1687" s="45">
        <f>MROUND(MID($C1687,9,3)/Basis!$E$3,0.5)</f>
        <v>27.5</v>
      </c>
      <c r="F1687" s="124" t="s">
        <v>2944</v>
      </c>
      <c r="G1687" s="45">
        <f>ROUND((ROUNDDOWN($F1687/5,0)*5+1.8)/Basis!$E$3,1)</f>
        <v>6.6</v>
      </c>
      <c r="H1687" s="120">
        <f>ROUND($P1687*Basis!$E$2*((TaH-TrH)/LN(1/µ)/Basis!$E$7)^$N1687*$AA$4*Glycol,0)</f>
        <v>1636</v>
      </c>
      <c r="I1687" s="83">
        <f>ROUND(H1687/(MID($C1687,9,3)/Basis!$E$3/Basis!$E$9)*Basis!$E$11,0)</f>
        <v>712</v>
      </c>
      <c r="J1687" s="123">
        <f>IF(Basis!$E$1=1,ROUND(H1687/((TaH-TrH)*1.163)/3600,3),ROUND(H1687/(500*(TaH-TrH)),2))</f>
        <v>0.16</v>
      </c>
      <c r="K1687" s="84"/>
      <c r="L1687" s="177">
        <f>CHOOSE(Basis!$E$1,((AJ1687*(J1687*3600/Basis!$E$5)^AK1687*(((MID(C1687,9,3)*10)-144)/1000)*AL1687+AM1687*(J1687*3600/Basis!$E$5)^2)*0.0098)/Basis!$E$10,((AJ1687*(J1687/Basis!$E$5)^AK1687*(((MID(C1687,9,3)*10)-144)/1000)*AL1687+AM1687*(J1687/Basis!$E$5)^2)*0.0098)/Basis!$E$10)</f>
        <v>2.3651863779811087E-3</v>
      </c>
      <c r="M1687" s="85"/>
      <c r="N1687" s="109">
        <v>1.4079999999999999</v>
      </c>
      <c r="O1687" s="68"/>
      <c r="P1687" s="67">
        <v>763</v>
      </c>
      <c r="Q1687" s="68"/>
      <c r="R1687" s="69"/>
      <c r="S1687" s="69"/>
      <c r="T1687" s="69"/>
      <c r="U1687" s="69"/>
      <c r="V1687" s="69"/>
      <c r="W1687" s="68"/>
      <c r="X1687" s="70"/>
      <c r="Y1687" s="70"/>
      <c r="Z1687" s="70"/>
      <c r="AA1687" s="70"/>
      <c r="AB1687" s="70"/>
      <c r="AC1687" s="68"/>
      <c r="AD1687" s="71"/>
      <c r="AE1687" s="71"/>
      <c r="AF1687" s="71"/>
      <c r="AG1687" s="71"/>
      <c r="AH1687" s="71"/>
      <c r="AI1687" s="68"/>
      <c r="AJ1687" s="214">
        <v>2.0829999999999999E-4</v>
      </c>
      <c r="AK1687" s="214">
        <v>1.724</v>
      </c>
      <c r="AL1687" s="214">
        <v>2</v>
      </c>
      <c r="AM1687" s="214">
        <v>4.6182900000000003E-4</v>
      </c>
      <c r="AN1687" s="68"/>
      <c r="AO1687" s="67"/>
      <c r="AP1687" s="67"/>
      <c r="AQ1687" s="67"/>
      <c r="AR1687" s="67"/>
      <c r="AS1687" s="67"/>
      <c r="AT1687" s="68"/>
      <c r="AU1687" s="49"/>
      <c r="AV1687" s="50"/>
    </row>
    <row r="1688" spans="1:48" ht="12.75" customHeight="1" x14ac:dyDescent="0.25">
      <c r="A1688" s="72" t="s">
        <v>20</v>
      </c>
      <c r="B1688" s="43" t="s">
        <v>1833</v>
      </c>
      <c r="C1688" s="44" t="s">
        <v>1845</v>
      </c>
      <c r="D1688" s="45">
        <f>MROUND(MID($C1688,6,3)/Basis!$E$3,0.5)</f>
        <v>8</v>
      </c>
      <c r="E1688" s="45">
        <f>MROUND(MID($C1688,9,3)/Basis!$E$3,0.5)</f>
        <v>27.5</v>
      </c>
      <c r="F1688" s="124" t="s">
        <v>2945</v>
      </c>
      <c r="G1688" s="45">
        <f>ROUND((ROUNDDOWN($F1688/5,0)*5+1.8)/Basis!$E$3,1)</f>
        <v>8.6</v>
      </c>
      <c r="H1688" s="120">
        <f>ROUND($P1688*Basis!$E$2*((TaH-TrH)/LN(1/µ)/Basis!$E$7)^$N1688*$AA$4*Glycol,0)</f>
        <v>2298</v>
      </c>
      <c r="I1688" s="83">
        <f>ROUND(H1688/(MID($C1688,9,3)/Basis!$E$3/Basis!$E$9)*Basis!$E$11,0)</f>
        <v>1001</v>
      </c>
      <c r="J1688" s="123">
        <f>IF(Basis!$E$1=1,ROUND(H1688/((TaH-TrH)*1.163)/3600,3),ROUND(H1688/(500*(TaH-TrH)),2))</f>
        <v>0.23</v>
      </c>
      <c r="K1688" s="84"/>
      <c r="L1688" s="177">
        <f>CHOOSE(Basis!$E$1,((AJ1688*(J1688*3600/Basis!$E$5)^AK1688*(((MID(C1688,9,3)*10)-144)/1000)*AL1688+AM1688*(J1688*3600/Basis!$E$5)^2)*0.0098)/Basis!$E$10,((AJ1688*(J1688/Basis!$E$5)^AK1688*(((MID(C1688,9,3)*10)-144)/1000)*AL1688+AM1688*(J1688/Basis!$E$5)^2)*0.0098)/Basis!$E$10)</f>
        <v>3.7817513916162627E-3</v>
      </c>
      <c r="M1688" s="85"/>
      <c r="N1688" s="109">
        <v>1.4079999999999999</v>
      </c>
      <c r="O1688" s="68"/>
      <c r="P1688" s="67">
        <v>1072</v>
      </c>
      <c r="Q1688" s="68"/>
      <c r="R1688" s="69"/>
      <c r="S1688" s="69"/>
      <c r="T1688" s="69"/>
      <c r="U1688" s="69"/>
      <c r="V1688" s="69"/>
      <c r="W1688" s="68"/>
      <c r="X1688" s="70"/>
      <c r="Y1688" s="70"/>
      <c r="Z1688" s="70"/>
      <c r="AA1688" s="70"/>
      <c r="AB1688" s="70"/>
      <c r="AC1688" s="68"/>
      <c r="AD1688" s="71"/>
      <c r="AE1688" s="71"/>
      <c r="AF1688" s="71"/>
      <c r="AG1688" s="71"/>
      <c r="AH1688" s="71"/>
      <c r="AI1688" s="68"/>
      <c r="AJ1688" s="214">
        <v>1.2760000000000001E-4</v>
      </c>
      <c r="AK1688" s="214">
        <v>1.7219</v>
      </c>
      <c r="AL1688" s="214">
        <v>2</v>
      </c>
      <c r="AM1688" s="214">
        <v>3.76611E-4</v>
      </c>
      <c r="AN1688" s="68"/>
      <c r="AO1688" s="67"/>
      <c r="AP1688" s="67"/>
      <c r="AQ1688" s="67"/>
      <c r="AR1688" s="67"/>
      <c r="AS1688" s="67"/>
      <c r="AT1688" s="68"/>
      <c r="AU1688" s="49"/>
      <c r="AV1688" s="50"/>
    </row>
    <row r="1689" spans="1:48" ht="12.75" customHeight="1" x14ac:dyDescent="0.25">
      <c r="A1689" s="72" t="s">
        <v>20</v>
      </c>
      <c r="B1689" s="43" t="s">
        <v>1833</v>
      </c>
      <c r="C1689" s="44" t="s">
        <v>1846</v>
      </c>
      <c r="D1689" s="45">
        <f>MROUND(MID($C1689,6,3)/Basis!$E$3,0.5)</f>
        <v>8</v>
      </c>
      <c r="E1689" s="45">
        <f>MROUND(MID($C1689,9,3)/Basis!$E$3,0.5)</f>
        <v>31.5</v>
      </c>
      <c r="F1689" s="124" t="s">
        <v>2949</v>
      </c>
      <c r="G1689" s="45">
        <f>ROUND((ROUNDDOWN($F1689/5,0)*5+3.5)/Basis!$E$3,1)</f>
        <v>3.3</v>
      </c>
      <c r="H1689" s="120">
        <f>ROUND($P1689*Basis!$E$2*((TaH-TrH)/LN(1/µ)/Basis!$E$7)^$N1689*$AA$4*Glycol,0)</f>
        <v>921</v>
      </c>
      <c r="I1689" s="83">
        <f>ROUND(H1689/(MID($C1689,9,3)/Basis!$E$3/Basis!$E$9)*Basis!$E$11,0)</f>
        <v>351</v>
      </c>
      <c r="J1689" s="123">
        <f>IF(Basis!$E$1=1,ROUND(H1689/((TaH-TrH)*1.163)/3600,3),ROUND(H1689/(500*(TaH-TrH)),2))</f>
        <v>0.09</v>
      </c>
      <c r="K1689" s="84"/>
      <c r="L1689" s="177">
        <f>CHOOSE(Basis!$E$1,((AJ1689*(J1689*3600/Basis!$E$5)^AK1689*(((MID(C1689,9,3)*10)-144)/1000)*AL1689+AM1689*(J1689*3600/Basis!$E$5)^2)*0.0098)/Basis!$E$10,((AJ1689*(J1689/Basis!$E$5)^AK1689*(((MID(C1689,9,3)*10)-144)/1000)*AL1689+AM1689*(J1689/Basis!$E$5)^2)*0.0098)/Basis!$E$10)</f>
        <v>2.6398121845134476E-3</v>
      </c>
      <c r="M1689" s="85"/>
      <c r="N1689" s="109">
        <v>1.41</v>
      </c>
      <c r="O1689" s="68"/>
      <c r="P1689" s="67">
        <v>430</v>
      </c>
      <c r="Q1689" s="68"/>
      <c r="R1689" s="69"/>
      <c r="S1689" s="69"/>
      <c r="T1689" s="69"/>
      <c r="U1689" s="69"/>
      <c r="V1689" s="69"/>
      <c r="W1689" s="68"/>
      <c r="X1689" s="70"/>
      <c r="Y1689" s="70"/>
      <c r="Z1689" s="70"/>
      <c r="AA1689" s="70"/>
      <c r="AB1689" s="70"/>
      <c r="AC1689" s="68"/>
      <c r="AD1689" s="71"/>
      <c r="AE1689" s="71"/>
      <c r="AF1689" s="71"/>
      <c r="AG1689" s="71"/>
      <c r="AH1689" s="71"/>
      <c r="AI1689" s="68"/>
      <c r="AJ1689" s="214">
        <v>4.1688828699999996E-3</v>
      </c>
      <c r="AK1689" s="214">
        <v>1.411581940642</v>
      </c>
      <c r="AL1689" s="214">
        <v>3</v>
      </c>
      <c r="AM1689" s="214">
        <v>5.4247339961626003E-4</v>
      </c>
      <c r="AN1689" s="68"/>
      <c r="AO1689" s="67"/>
      <c r="AP1689" s="67"/>
      <c r="AQ1689" s="67"/>
      <c r="AR1689" s="67"/>
      <c r="AS1689" s="67"/>
      <c r="AT1689" s="68"/>
      <c r="AU1689" s="49"/>
      <c r="AV1689" s="50"/>
    </row>
    <row r="1690" spans="1:48" ht="12.75" customHeight="1" x14ac:dyDescent="0.25">
      <c r="A1690" s="72" t="s">
        <v>20</v>
      </c>
      <c r="B1690" s="43" t="s">
        <v>1833</v>
      </c>
      <c r="C1690" s="44" t="s">
        <v>1847</v>
      </c>
      <c r="D1690" s="45">
        <f>MROUND(MID($C1690,6,3)/Basis!$E$3,0.5)</f>
        <v>8</v>
      </c>
      <c r="E1690" s="45">
        <f>MROUND(MID($C1690,9,3)/Basis!$E$3,0.5)</f>
        <v>31.5</v>
      </c>
      <c r="F1690" s="124" t="s">
        <v>2943</v>
      </c>
      <c r="G1690" s="45">
        <f>ROUND((ROUNDDOWN($F1690/5,0)*5+1.8)/Basis!$E$3,1)</f>
        <v>4.5999999999999996</v>
      </c>
      <c r="H1690" s="120">
        <f>ROUND($P1690*Basis!$E$2*((TaH-TrH)/LN(1/µ)/Basis!$E$7)^$N1690*$AA$4*Glycol,0)</f>
        <v>1122</v>
      </c>
      <c r="I1690" s="83">
        <f>ROUND(H1690/(MID($C1690,9,3)/Basis!$E$3/Basis!$E$9)*Basis!$E$11,0)</f>
        <v>427</v>
      </c>
      <c r="J1690" s="123">
        <f>IF(Basis!$E$1=1,ROUND(H1690/((TaH-TrH)*1.163)/3600,3),ROUND(H1690/(500*(TaH-TrH)),2))</f>
        <v>0.11</v>
      </c>
      <c r="K1690" s="84"/>
      <c r="L1690" s="177">
        <f>CHOOSE(Basis!$E$1,((AJ1690*(J1690*3600/Basis!$E$5)^AK1690*(((MID(C1690,9,3)*10)-144)/1000)*AL1690+AM1690*(J1690*3600/Basis!$E$5)^2)*0.0098)/Basis!$E$10,((AJ1690*(J1690/Basis!$E$5)^AK1690*(((MID(C1690,9,3)*10)-144)/1000)*AL1690+AM1690*(J1690/Basis!$E$5)^2)*0.0098)/Basis!$E$10)</f>
        <v>1.2021014124881713E-3</v>
      </c>
      <c r="M1690" s="85"/>
      <c r="N1690" s="110">
        <v>1.413</v>
      </c>
      <c r="O1690" s="74"/>
      <c r="P1690" s="73">
        <v>524</v>
      </c>
      <c r="Q1690" s="74"/>
      <c r="R1690" s="75"/>
      <c r="S1690" s="75"/>
      <c r="T1690" s="75"/>
      <c r="U1690" s="75"/>
      <c r="V1690" s="75"/>
      <c r="W1690" s="74"/>
      <c r="X1690" s="76"/>
      <c r="Y1690" s="76"/>
      <c r="Z1690" s="76"/>
      <c r="AA1690" s="76"/>
      <c r="AB1690" s="76"/>
      <c r="AC1690" s="74"/>
      <c r="AD1690" s="77"/>
      <c r="AE1690" s="77"/>
      <c r="AF1690" s="77"/>
      <c r="AG1690" s="77"/>
      <c r="AH1690" s="77"/>
      <c r="AI1690" s="68"/>
      <c r="AJ1690" s="213">
        <v>3.9689999999999994E-4</v>
      </c>
      <c r="AK1690" s="213">
        <v>1.7345999999999999</v>
      </c>
      <c r="AL1690" s="213">
        <v>2</v>
      </c>
      <c r="AM1690" s="213">
        <v>3.6734700000000002E-4</v>
      </c>
      <c r="AN1690" s="74"/>
      <c r="AO1690" s="73"/>
      <c r="AP1690" s="73"/>
      <c r="AQ1690" s="73"/>
      <c r="AR1690" s="73"/>
      <c r="AS1690" s="73"/>
      <c r="AT1690" s="74"/>
      <c r="AU1690" s="47"/>
      <c r="AV1690" s="48"/>
    </row>
    <row r="1691" spans="1:48" ht="12.75" customHeight="1" x14ac:dyDescent="0.25">
      <c r="A1691" s="72" t="s">
        <v>20</v>
      </c>
      <c r="B1691" s="43" t="s">
        <v>1833</v>
      </c>
      <c r="C1691" s="44" t="s">
        <v>1848</v>
      </c>
      <c r="D1691" s="45">
        <f>MROUND(MID($C1691,6,3)/Basis!$E$3,0.5)</f>
        <v>8</v>
      </c>
      <c r="E1691" s="45">
        <f>MROUND(MID($C1691,9,3)/Basis!$E$3,0.5)</f>
        <v>31.5</v>
      </c>
      <c r="F1691" s="124" t="s">
        <v>2944</v>
      </c>
      <c r="G1691" s="45">
        <f>ROUND((ROUNDDOWN($F1691/5,0)*5+1.8)/Basis!$E$3,1)</f>
        <v>6.6</v>
      </c>
      <c r="H1691" s="120">
        <f>ROUND($P1691*Basis!$E$2*((TaH-TrH)/LN(1/µ)/Basis!$E$7)^$N1691*$AA$4*Glycol,0)</f>
        <v>1869</v>
      </c>
      <c r="I1691" s="83">
        <f>ROUND(H1691/(MID($C1691,9,3)/Basis!$E$3/Basis!$E$9)*Basis!$E$11,0)</f>
        <v>712</v>
      </c>
      <c r="J1691" s="123">
        <f>IF(Basis!$E$1=1,ROUND(H1691/((TaH-TrH)*1.163)/3600,3),ROUND(H1691/(500*(TaH-TrH)),2))</f>
        <v>0.19</v>
      </c>
      <c r="K1691" s="84"/>
      <c r="L1691" s="177">
        <f>CHOOSE(Basis!$E$1,((AJ1691*(J1691*3600/Basis!$E$5)^AK1691*(((MID(C1691,9,3)*10)-144)/1000)*AL1691+AM1691*(J1691*3600/Basis!$E$5)^2)*0.0098)/Basis!$E$10,((AJ1691*(J1691/Basis!$E$5)^AK1691*(((MID(C1691,9,3)*10)-144)/1000)*AL1691+AM1691*(J1691/Basis!$E$5)^2)*0.0098)/Basis!$E$10)</f>
        <v>3.4007889554262824E-3</v>
      </c>
      <c r="M1691" s="85"/>
      <c r="N1691" s="110">
        <v>1.4079999999999999</v>
      </c>
      <c r="O1691" s="74"/>
      <c r="P1691" s="73">
        <v>872</v>
      </c>
      <c r="Q1691" s="74"/>
      <c r="R1691" s="75"/>
      <c r="S1691" s="75"/>
      <c r="T1691" s="75"/>
      <c r="U1691" s="75"/>
      <c r="V1691" s="75"/>
      <c r="W1691" s="74"/>
      <c r="X1691" s="76"/>
      <c r="Y1691" s="76"/>
      <c r="Z1691" s="76"/>
      <c r="AA1691" s="76"/>
      <c r="AB1691" s="76"/>
      <c r="AC1691" s="74"/>
      <c r="AD1691" s="77"/>
      <c r="AE1691" s="77"/>
      <c r="AF1691" s="77"/>
      <c r="AG1691" s="77"/>
      <c r="AH1691" s="77"/>
      <c r="AI1691" s="68"/>
      <c r="AJ1691" s="213">
        <v>2.0829999999999999E-4</v>
      </c>
      <c r="AK1691" s="213">
        <v>1.724</v>
      </c>
      <c r="AL1691" s="213">
        <v>2</v>
      </c>
      <c r="AM1691" s="213">
        <v>4.6182900000000003E-4</v>
      </c>
      <c r="AN1691" s="74"/>
      <c r="AO1691" s="73"/>
      <c r="AP1691" s="73"/>
      <c r="AQ1691" s="73"/>
      <c r="AR1691" s="73"/>
      <c r="AS1691" s="73"/>
      <c r="AT1691" s="74"/>
      <c r="AU1691" s="47"/>
      <c r="AV1691" s="48"/>
    </row>
    <row r="1692" spans="1:48" ht="12.75" customHeight="1" x14ac:dyDescent="0.25">
      <c r="A1692" s="72" t="s">
        <v>20</v>
      </c>
      <c r="B1692" s="43" t="s">
        <v>1833</v>
      </c>
      <c r="C1692" s="44" t="s">
        <v>1849</v>
      </c>
      <c r="D1692" s="45">
        <f>MROUND(MID($C1692,6,3)/Basis!$E$3,0.5)</f>
        <v>8</v>
      </c>
      <c r="E1692" s="45">
        <f>MROUND(MID($C1692,9,3)/Basis!$E$3,0.5)</f>
        <v>31.5</v>
      </c>
      <c r="F1692" s="124" t="s">
        <v>2945</v>
      </c>
      <c r="G1692" s="45">
        <f>ROUND((ROUNDDOWN($F1692/5,0)*5+1.8)/Basis!$E$3,1)</f>
        <v>8.6</v>
      </c>
      <c r="H1692" s="120">
        <f>ROUND($P1692*Basis!$E$2*((TaH-TrH)/LN(1/µ)/Basis!$E$7)^$N1692*$AA$4*Glycol,0)</f>
        <v>2628</v>
      </c>
      <c r="I1692" s="83">
        <f>ROUND(H1692/(MID($C1692,9,3)/Basis!$E$3/Basis!$E$9)*Basis!$E$11,0)</f>
        <v>1001</v>
      </c>
      <c r="J1692" s="123">
        <f>IF(Basis!$E$1=1,ROUND(H1692/((TaH-TrH)*1.163)/3600,3),ROUND(H1692/(500*(TaH-TrH)),2))</f>
        <v>0.26</v>
      </c>
      <c r="K1692" s="84"/>
      <c r="L1692" s="177">
        <f>CHOOSE(Basis!$E$1,((AJ1692*(J1692*3600/Basis!$E$5)^AK1692*(((MID(C1692,9,3)*10)-144)/1000)*AL1692+AM1692*(J1692*3600/Basis!$E$5)^2)*0.0098)/Basis!$E$10,((AJ1692*(J1692/Basis!$E$5)^AK1692*(((MID(C1692,9,3)*10)-144)/1000)*AL1692+AM1692*(J1692/Basis!$E$5)^2)*0.0098)/Basis!$E$10)</f>
        <v>4.9081872036162606E-3</v>
      </c>
      <c r="M1692" s="85"/>
      <c r="N1692" s="110">
        <v>1.4079999999999999</v>
      </c>
      <c r="O1692" s="74"/>
      <c r="P1692" s="73">
        <v>1226</v>
      </c>
      <c r="Q1692" s="74"/>
      <c r="R1692" s="75"/>
      <c r="S1692" s="75"/>
      <c r="T1692" s="75"/>
      <c r="U1692" s="75"/>
      <c r="V1692" s="75"/>
      <c r="W1692" s="74"/>
      <c r="X1692" s="76"/>
      <c r="Y1692" s="76"/>
      <c r="Z1692" s="76"/>
      <c r="AA1692" s="76"/>
      <c r="AB1692" s="76"/>
      <c r="AC1692" s="74"/>
      <c r="AD1692" s="77"/>
      <c r="AE1692" s="77"/>
      <c r="AF1692" s="77"/>
      <c r="AG1692" s="77"/>
      <c r="AH1692" s="77"/>
      <c r="AI1692" s="68"/>
      <c r="AJ1692" s="214">
        <v>1.2760000000000001E-4</v>
      </c>
      <c r="AK1692" s="214">
        <v>1.7219</v>
      </c>
      <c r="AL1692" s="214">
        <v>2</v>
      </c>
      <c r="AM1692" s="214">
        <v>3.76611E-4</v>
      </c>
      <c r="AN1692" s="74"/>
      <c r="AO1692" s="73"/>
      <c r="AP1692" s="73"/>
      <c r="AQ1692" s="73"/>
      <c r="AR1692" s="73"/>
      <c r="AS1692" s="73"/>
      <c r="AT1692" s="74"/>
      <c r="AU1692" s="47"/>
      <c r="AV1692" s="48"/>
    </row>
    <row r="1693" spans="1:48" ht="12.75" customHeight="1" x14ac:dyDescent="0.25">
      <c r="A1693" s="72" t="s">
        <v>20</v>
      </c>
      <c r="B1693" s="43" t="s">
        <v>1833</v>
      </c>
      <c r="C1693" s="44" t="s">
        <v>1850</v>
      </c>
      <c r="D1693" s="45">
        <f>MROUND(MID($C1693,6,3)/Basis!$E$3,0.5)</f>
        <v>8</v>
      </c>
      <c r="E1693" s="45">
        <f>MROUND(MID($C1693,9,3)/Basis!$E$3,0.5)</f>
        <v>35.5</v>
      </c>
      <c r="F1693" s="124" t="s">
        <v>2949</v>
      </c>
      <c r="G1693" s="45">
        <f>ROUND((ROUNDDOWN($F1693/5,0)*5+3.5)/Basis!$E$3,1)</f>
        <v>3.3</v>
      </c>
      <c r="H1693" s="120">
        <f>ROUND($P1693*Basis!$E$2*((TaH-TrH)/LN(1/µ)/Basis!$E$7)^$N1693*$AA$4*Glycol,0)</f>
        <v>1037</v>
      </c>
      <c r="I1693" s="83">
        <f>ROUND(H1693/(MID($C1693,9,3)/Basis!$E$3/Basis!$E$9)*Basis!$E$11,0)</f>
        <v>351</v>
      </c>
      <c r="J1693" s="123">
        <f>IF(Basis!$E$1=1,ROUND(H1693/((TaH-TrH)*1.163)/3600,3),ROUND(H1693/(500*(TaH-TrH)),2))</f>
        <v>0.1</v>
      </c>
      <c r="K1693" s="84"/>
      <c r="L1693" s="177">
        <f>CHOOSE(Basis!$E$1,((AJ1693*(J1693*3600/Basis!$E$5)^AK1693*(((MID(C1693,9,3)*10)-144)/1000)*AL1693+AM1693*(J1693*3600/Basis!$E$5)^2)*0.0098)/Basis!$E$10,((AJ1693*(J1693/Basis!$E$5)^AK1693*(((MID(C1693,9,3)*10)-144)/1000)*AL1693+AM1693*(J1693/Basis!$E$5)^2)*0.0098)/Basis!$E$10)</f>
        <v>3.4539622555639278E-3</v>
      </c>
      <c r="M1693" s="85"/>
      <c r="N1693" s="110">
        <v>1.41</v>
      </c>
      <c r="O1693" s="74"/>
      <c r="P1693" s="73">
        <v>484</v>
      </c>
      <c r="Q1693" s="74"/>
      <c r="R1693" s="75"/>
      <c r="S1693" s="75"/>
      <c r="T1693" s="75"/>
      <c r="U1693" s="75"/>
      <c r="V1693" s="75"/>
      <c r="W1693" s="74"/>
      <c r="X1693" s="76"/>
      <c r="Y1693" s="76"/>
      <c r="Z1693" s="76"/>
      <c r="AA1693" s="76"/>
      <c r="AB1693" s="76"/>
      <c r="AC1693" s="74"/>
      <c r="AD1693" s="77"/>
      <c r="AE1693" s="77"/>
      <c r="AF1693" s="77"/>
      <c r="AG1693" s="77"/>
      <c r="AH1693" s="77"/>
      <c r="AI1693" s="68"/>
      <c r="AJ1693" s="213">
        <v>4.1688828699999996E-3</v>
      </c>
      <c r="AK1693" s="213">
        <v>1.411581940642</v>
      </c>
      <c r="AL1693" s="213">
        <v>3</v>
      </c>
      <c r="AM1693" s="213">
        <v>5.4247339961626003E-4</v>
      </c>
      <c r="AN1693" s="74"/>
      <c r="AO1693" s="73"/>
      <c r="AP1693" s="73"/>
      <c r="AQ1693" s="73"/>
      <c r="AR1693" s="73"/>
      <c r="AS1693" s="73"/>
      <c r="AT1693" s="74"/>
      <c r="AU1693" s="47"/>
      <c r="AV1693" s="48"/>
    </row>
    <row r="1694" spans="1:48" ht="12.75" customHeight="1" x14ac:dyDescent="0.25">
      <c r="A1694" s="72" t="s">
        <v>20</v>
      </c>
      <c r="B1694" s="43" t="s">
        <v>1833</v>
      </c>
      <c r="C1694" s="44" t="s">
        <v>1851</v>
      </c>
      <c r="D1694" s="45">
        <f>MROUND(MID($C1694,6,3)/Basis!$E$3,0.5)</f>
        <v>8</v>
      </c>
      <c r="E1694" s="45">
        <f>MROUND(MID($C1694,9,3)/Basis!$E$3,0.5)</f>
        <v>35.5</v>
      </c>
      <c r="F1694" s="124" t="s">
        <v>2943</v>
      </c>
      <c r="G1694" s="45">
        <f>ROUND((ROUNDDOWN($F1694/5,0)*5+1.8)/Basis!$E$3,1)</f>
        <v>4.5999999999999996</v>
      </c>
      <c r="H1694" s="120">
        <f>ROUND($P1694*Basis!$E$2*((TaH-TrH)/LN(1/µ)/Basis!$E$7)^$N1694*$AA$4*Glycol,0)</f>
        <v>1263</v>
      </c>
      <c r="I1694" s="83">
        <f>ROUND(H1694/(MID($C1694,9,3)/Basis!$E$3/Basis!$E$9)*Basis!$E$11,0)</f>
        <v>428</v>
      </c>
      <c r="J1694" s="123">
        <f>IF(Basis!$E$1=1,ROUND(H1694/((TaH-TrH)*1.163)/3600,3),ROUND(H1694/(500*(TaH-TrH)),2))</f>
        <v>0.13</v>
      </c>
      <c r="K1694" s="84"/>
      <c r="L1694" s="177">
        <f>CHOOSE(Basis!$E$1,((AJ1694*(J1694*3600/Basis!$E$5)^AK1694*(((MID(C1694,9,3)*10)-144)/1000)*AL1694+AM1694*(J1694*3600/Basis!$E$5)^2)*0.0098)/Basis!$E$10,((AJ1694*(J1694/Basis!$E$5)^AK1694*(((MID(C1694,9,3)*10)-144)/1000)*AL1694+AM1694*(J1694/Basis!$E$5)^2)*0.0098)/Basis!$E$10)</f>
        <v>1.7437063506862351E-3</v>
      </c>
      <c r="M1694" s="85"/>
      <c r="N1694" s="109">
        <v>1.413</v>
      </c>
      <c r="O1694" s="68"/>
      <c r="P1694" s="67">
        <v>590</v>
      </c>
      <c r="Q1694" s="68"/>
      <c r="R1694" s="69"/>
      <c r="S1694" s="69"/>
      <c r="T1694" s="69"/>
      <c r="U1694" s="69"/>
      <c r="V1694" s="69"/>
      <c r="W1694" s="68"/>
      <c r="X1694" s="70"/>
      <c r="Y1694" s="70"/>
      <c r="Z1694" s="70"/>
      <c r="AA1694" s="70"/>
      <c r="AB1694" s="70"/>
      <c r="AC1694" s="68"/>
      <c r="AD1694" s="71"/>
      <c r="AE1694" s="71"/>
      <c r="AF1694" s="71"/>
      <c r="AG1694" s="71"/>
      <c r="AH1694" s="71"/>
      <c r="AI1694" s="68"/>
      <c r="AJ1694" s="214">
        <v>3.9689999999999994E-4</v>
      </c>
      <c r="AK1694" s="214">
        <v>1.7345999999999999</v>
      </c>
      <c r="AL1694" s="214">
        <v>2</v>
      </c>
      <c r="AM1694" s="214">
        <v>3.6734700000000002E-4</v>
      </c>
      <c r="AN1694" s="68"/>
      <c r="AO1694" s="67"/>
      <c r="AP1694" s="67"/>
      <c r="AQ1694" s="67"/>
      <c r="AR1694" s="67"/>
      <c r="AS1694" s="67"/>
      <c r="AT1694" s="68"/>
      <c r="AU1694" s="49"/>
      <c r="AV1694" s="50"/>
    </row>
    <row r="1695" spans="1:48" ht="12.75" customHeight="1" x14ac:dyDescent="0.25">
      <c r="A1695" s="72" t="s">
        <v>20</v>
      </c>
      <c r="B1695" s="43" t="s">
        <v>1833</v>
      </c>
      <c r="C1695" s="44" t="s">
        <v>1852</v>
      </c>
      <c r="D1695" s="45">
        <f>MROUND(MID($C1695,6,3)/Basis!$E$3,0.5)</f>
        <v>8</v>
      </c>
      <c r="E1695" s="45">
        <f>MROUND(MID($C1695,9,3)/Basis!$E$3,0.5)</f>
        <v>35.5</v>
      </c>
      <c r="F1695" s="124" t="s">
        <v>2944</v>
      </c>
      <c r="G1695" s="45">
        <f>ROUND((ROUNDDOWN($F1695/5,0)*5+1.8)/Basis!$E$3,1)</f>
        <v>6.6</v>
      </c>
      <c r="H1695" s="120">
        <f>ROUND($P1695*Basis!$E$2*((TaH-TrH)/LN(1/µ)/Basis!$E$7)^$N1695*$AA$4*Glycol,0)</f>
        <v>2103</v>
      </c>
      <c r="I1695" s="83">
        <f>ROUND(H1695/(MID($C1695,9,3)/Basis!$E$3/Basis!$E$9)*Basis!$E$11,0)</f>
        <v>712</v>
      </c>
      <c r="J1695" s="123">
        <f>IF(Basis!$E$1=1,ROUND(H1695/((TaH-TrH)*1.163)/3600,3),ROUND(H1695/(500*(TaH-TrH)),2))</f>
        <v>0.21</v>
      </c>
      <c r="K1695" s="84"/>
      <c r="L1695" s="177">
        <f>CHOOSE(Basis!$E$1,((AJ1695*(J1695*3600/Basis!$E$5)^AK1695*(((MID(C1695,9,3)*10)-144)/1000)*AL1695+AM1695*(J1695*3600/Basis!$E$5)^2)*0.0098)/Basis!$E$10,((AJ1695*(J1695/Basis!$E$5)^AK1695*(((MID(C1695,9,3)*10)-144)/1000)*AL1695+AM1695*(J1695/Basis!$E$5)^2)*0.0098)/Basis!$E$10)</f>
        <v>4.241476669335705E-3</v>
      </c>
      <c r="M1695" s="85"/>
      <c r="N1695" s="109">
        <v>1.4079999999999999</v>
      </c>
      <c r="O1695" s="68"/>
      <c r="P1695" s="67">
        <v>981</v>
      </c>
      <c r="Q1695" s="68"/>
      <c r="R1695" s="69"/>
      <c r="S1695" s="69"/>
      <c r="T1695" s="69"/>
      <c r="U1695" s="69"/>
      <c r="V1695" s="69"/>
      <c r="W1695" s="68"/>
      <c r="X1695" s="70"/>
      <c r="Y1695" s="70"/>
      <c r="Z1695" s="70"/>
      <c r="AA1695" s="70"/>
      <c r="AB1695" s="70"/>
      <c r="AC1695" s="68"/>
      <c r="AD1695" s="71"/>
      <c r="AE1695" s="71"/>
      <c r="AF1695" s="71"/>
      <c r="AG1695" s="71"/>
      <c r="AH1695" s="71"/>
      <c r="AI1695" s="68"/>
      <c r="AJ1695" s="214">
        <v>2.0829999999999999E-4</v>
      </c>
      <c r="AK1695" s="214">
        <v>1.724</v>
      </c>
      <c r="AL1695" s="214">
        <v>2</v>
      </c>
      <c r="AM1695" s="214">
        <v>4.6182900000000003E-4</v>
      </c>
      <c r="AN1695" s="68"/>
      <c r="AO1695" s="67"/>
      <c r="AP1695" s="67"/>
      <c r="AQ1695" s="67"/>
      <c r="AR1695" s="67"/>
      <c r="AS1695" s="67"/>
      <c r="AT1695" s="68"/>
      <c r="AU1695" s="49"/>
      <c r="AV1695" s="50"/>
    </row>
    <row r="1696" spans="1:48" ht="12.75" customHeight="1" x14ac:dyDescent="0.25">
      <c r="A1696" s="72" t="s">
        <v>20</v>
      </c>
      <c r="B1696" s="43" t="s">
        <v>1833</v>
      </c>
      <c r="C1696" s="44" t="s">
        <v>1853</v>
      </c>
      <c r="D1696" s="45">
        <f>MROUND(MID($C1696,6,3)/Basis!$E$3,0.5)</f>
        <v>8</v>
      </c>
      <c r="E1696" s="45">
        <f>MROUND(MID($C1696,9,3)/Basis!$E$3,0.5)</f>
        <v>35.5</v>
      </c>
      <c r="F1696" s="124" t="s">
        <v>2945</v>
      </c>
      <c r="G1696" s="45">
        <f>ROUND((ROUNDDOWN($F1696/5,0)*5+1.8)/Basis!$E$3,1)</f>
        <v>8.6</v>
      </c>
      <c r="H1696" s="120">
        <f>ROUND($P1696*Basis!$E$2*((TaH-TrH)/LN(1/µ)/Basis!$E$7)^$N1696*$AA$4*Glycol,0)</f>
        <v>2956</v>
      </c>
      <c r="I1696" s="83">
        <f>ROUND(H1696/(MID($C1696,9,3)/Basis!$E$3/Basis!$E$9)*Basis!$E$11,0)</f>
        <v>1001</v>
      </c>
      <c r="J1696" s="123">
        <f>IF(Basis!$E$1=1,ROUND(H1696/((TaH-TrH)*1.163)/3600,3),ROUND(H1696/(500*(TaH-TrH)),2))</f>
        <v>0.3</v>
      </c>
      <c r="K1696" s="84"/>
      <c r="L1696" s="177">
        <f>CHOOSE(Basis!$E$1,((AJ1696*(J1696*3600/Basis!$E$5)^AK1696*(((MID(C1696,9,3)*10)-144)/1000)*AL1696+AM1696*(J1696*3600/Basis!$E$5)^2)*0.0098)/Basis!$E$10,((AJ1696*(J1696/Basis!$E$5)^AK1696*(((MID(C1696,9,3)*10)-144)/1000)*AL1696+AM1696*(J1696/Basis!$E$5)^2)*0.0098)/Basis!$E$10)</f>
        <v>6.6224309436810295E-3</v>
      </c>
      <c r="M1696" s="85"/>
      <c r="N1696" s="109">
        <v>1.4079999999999999</v>
      </c>
      <c r="O1696" s="68"/>
      <c r="P1696" s="67">
        <v>1379</v>
      </c>
      <c r="Q1696" s="68"/>
      <c r="R1696" s="69"/>
      <c r="S1696" s="69"/>
      <c r="T1696" s="69"/>
      <c r="U1696" s="69"/>
      <c r="V1696" s="69"/>
      <c r="W1696" s="68"/>
      <c r="X1696" s="70"/>
      <c r="Y1696" s="70"/>
      <c r="Z1696" s="70"/>
      <c r="AA1696" s="70"/>
      <c r="AB1696" s="70"/>
      <c r="AC1696" s="68"/>
      <c r="AD1696" s="71"/>
      <c r="AE1696" s="71"/>
      <c r="AF1696" s="71"/>
      <c r="AG1696" s="71"/>
      <c r="AH1696" s="71"/>
      <c r="AI1696" s="68"/>
      <c r="AJ1696" s="214">
        <v>1.2760000000000001E-4</v>
      </c>
      <c r="AK1696" s="214">
        <v>1.7219</v>
      </c>
      <c r="AL1696" s="214">
        <v>2</v>
      </c>
      <c r="AM1696" s="214">
        <v>3.76611E-4</v>
      </c>
      <c r="AN1696" s="68"/>
      <c r="AO1696" s="67"/>
      <c r="AP1696" s="67"/>
      <c r="AQ1696" s="67"/>
      <c r="AR1696" s="67"/>
      <c r="AS1696" s="67"/>
      <c r="AT1696" s="68"/>
      <c r="AU1696" s="49"/>
      <c r="AV1696" s="50"/>
    </row>
    <row r="1697" spans="1:48" ht="12.75" customHeight="1" x14ac:dyDescent="0.25">
      <c r="A1697" s="72" t="s">
        <v>20</v>
      </c>
      <c r="B1697" s="43" t="s">
        <v>1833</v>
      </c>
      <c r="C1697" s="44" t="s">
        <v>1854</v>
      </c>
      <c r="D1697" s="45">
        <f>MROUND(MID($C1697,6,3)/Basis!$E$3,0.5)</f>
        <v>8</v>
      </c>
      <c r="E1697" s="45">
        <f>MROUND(MID($C1697,9,3)/Basis!$E$3,0.5)</f>
        <v>39.5</v>
      </c>
      <c r="F1697" s="124" t="s">
        <v>2949</v>
      </c>
      <c r="G1697" s="45">
        <f>ROUND((ROUNDDOWN($F1697/5,0)*5+3.5)/Basis!$E$3,1)</f>
        <v>3.3</v>
      </c>
      <c r="H1697" s="120">
        <f>ROUND($P1697*Basis!$E$2*((TaH-TrH)/LN(1/µ)/Basis!$E$7)^$N1697*$AA$4*Glycol,0)</f>
        <v>1153</v>
      </c>
      <c r="I1697" s="83">
        <f>ROUND(H1697/(MID($C1697,9,3)/Basis!$E$3/Basis!$E$9)*Basis!$E$11,0)</f>
        <v>351</v>
      </c>
      <c r="J1697" s="123">
        <f>IF(Basis!$E$1=1,ROUND(H1697/((TaH-TrH)*1.163)/3600,3),ROUND(H1697/(500*(TaH-TrH)),2))</f>
        <v>0.12</v>
      </c>
      <c r="K1697" s="84"/>
      <c r="L1697" s="177">
        <f>CHOOSE(Basis!$E$1,((AJ1697*(J1697*3600/Basis!$E$5)^AK1697*(((MID(C1697,9,3)*10)-144)/1000)*AL1697+AM1697*(J1697*3600/Basis!$E$5)^2)*0.0098)/Basis!$E$10,((AJ1697*(J1697/Basis!$E$5)^AK1697*(((MID(C1697,9,3)*10)-144)/1000)*AL1697+AM1697*(J1697/Basis!$E$5)^2)*0.0098)/Basis!$E$10)</f>
        <v>5.0361965256914892E-3</v>
      </c>
      <c r="M1697" s="85"/>
      <c r="N1697" s="109">
        <v>1.41</v>
      </c>
      <c r="O1697" s="68"/>
      <c r="P1697" s="67">
        <v>538</v>
      </c>
      <c r="Q1697" s="68"/>
      <c r="R1697" s="69"/>
      <c r="S1697" s="69"/>
      <c r="T1697" s="69"/>
      <c r="U1697" s="69"/>
      <c r="V1697" s="69"/>
      <c r="W1697" s="68"/>
      <c r="X1697" s="70"/>
      <c r="Y1697" s="70"/>
      <c r="Z1697" s="70"/>
      <c r="AA1697" s="70"/>
      <c r="AB1697" s="70"/>
      <c r="AC1697" s="68"/>
      <c r="AD1697" s="71"/>
      <c r="AE1697" s="71"/>
      <c r="AF1697" s="71"/>
      <c r="AG1697" s="71"/>
      <c r="AH1697" s="71"/>
      <c r="AI1697" s="68"/>
      <c r="AJ1697" s="214">
        <v>4.1688828699999996E-3</v>
      </c>
      <c r="AK1697" s="214">
        <v>1.411581940642</v>
      </c>
      <c r="AL1697" s="214">
        <v>3</v>
      </c>
      <c r="AM1697" s="214">
        <v>5.4247339961626003E-4</v>
      </c>
      <c r="AN1697" s="68"/>
      <c r="AO1697" s="67"/>
      <c r="AP1697" s="67"/>
      <c r="AQ1697" s="67"/>
      <c r="AR1697" s="67"/>
      <c r="AS1697" s="67"/>
      <c r="AT1697" s="68"/>
      <c r="AU1697" s="49"/>
      <c r="AV1697" s="50"/>
    </row>
    <row r="1698" spans="1:48" ht="12.75" customHeight="1" x14ac:dyDescent="0.25">
      <c r="A1698" s="72" t="s">
        <v>20</v>
      </c>
      <c r="B1698" s="43" t="s">
        <v>1833</v>
      </c>
      <c r="C1698" s="44" t="s">
        <v>1855</v>
      </c>
      <c r="D1698" s="45">
        <f>MROUND(MID($C1698,6,3)/Basis!$E$3,0.5)</f>
        <v>8</v>
      </c>
      <c r="E1698" s="45">
        <f>MROUND(MID($C1698,9,3)/Basis!$E$3,0.5)</f>
        <v>39.5</v>
      </c>
      <c r="F1698" s="124" t="s">
        <v>2943</v>
      </c>
      <c r="G1698" s="45">
        <f>ROUND((ROUNDDOWN($F1698/5,0)*5+1.8)/Basis!$E$3,1)</f>
        <v>4.5999999999999996</v>
      </c>
      <c r="H1698" s="120">
        <f>ROUND($P1698*Basis!$E$2*((TaH-TrH)/LN(1/µ)/Basis!$E$7)^$N1698*$AA$4*Glycol,0)</f>
        <v>1402</v>
      </c>
      <c r="I1698" s="83">
        <f>ROUND(H1698/(MID($C1698,9,3)/Basis!$E$3/Basis!$E$9)*Basis!$E$11,0)</f>
        <v>427</v>
      </c>
      <c r="J1698" s="123">
        <f>IF(Basis!$E$1=1,ROUND(H1698/((TaH-TrH)*1.163)/3600,3),ROUND(H1698/(500*(TaH-TrH)),2))</f>
        <v>0.14000000000000001</v>
      </c>
      <c r="K1698" s="84"/>
      <c r="L1698" s="177">
        <f>CHOOSE(Basis!$E$1,((AJ1698*(J1698*3600/Basis!$E$5)^AK1698*(((MID(C1698,9,3)*10)-144)/1000)*AL1698+AM1698*(J1698*3600/Basis!$E$5)^2)*0.0098)/Basis!$E$10,((AJ1698*(J1698/Basis!$E$5)^AK1698*(((MID(C1698,9,3)*10)-144)/1000)*AL1698+AM1698*(J1698/Basis!$E$5)^2)*0.0098)/Basis!$E$10)</f>
        <v>2.111331507410046E-3</v>
      </c>
      <c r="M1698" s="85"/>
      <c r="N1698" s="110">
        <v>1.413</v>
      </c>
      <c r="O1698" s="74"/>
      <c r="P1698" s="73">
        <v>655</v>
      </c>
      <c r="Q1698" s="74"/>
      <c r="R1698" s="75"/>
      <c r="S1698" s="75"/>
      <c r="T1698" s="75"/>
      <c r="U1698" s="75"/>
      <c r="V1698" s="75"/>
      <c r="W1698" s="74"/>
      <c r="X1698" s="76"/>
      <c r="Y1698" s="76"/>
      <c r="Z1698" s="76"/>
      <c r="AA1698" s="76"/>
      <c r="AB1698" s="76"/>
      <c r="AC1698" s="74"/>
      <c r="AD1698" s="77"/>
      <c r="AE1698" s="77"/>
      <c r="AF1698" s="77"/>
      <c r="AG1698" s="77"/>
      <c r="AH1698" s="77"/>
      <c r="AI1698" s="68"/>
      <c r="AJ1698" s="213">
        <v>3.9689999999999994E-4</v>
      </c>
      <c r="AK1698" s="213">
        <v>1.7345999999999999</v>
      </c>
      <c r="AL1698" s="213">
        <v>2</v>
      </c>
      <c r="AM1698" s="213">
        <v>3.6734700000000002E-4</v>
      </c>
      <c r="AN1698" s="74"/>
      <c r="AO1698" s="73"/>
      <c r="AP1698" s="73"/>
      <c r="AQ1698" s="73"/>
      <c r="AR1698" s="73"/>
      <c r="AS1698" s="73"/>
      <c r="AT1698" s="74"/>
      <c r="AU1698" s="47"/>
      <c r="AV1698" s="48"/>
    </row>
    <row r="1699" spans="1:48" ht="12.75" customHeight="1" x14ac:dyDescent="0.25">
      <c r="A1699" s="72" t="s">
        <v>20</v>
      </c>
      <c r="B1699" s="43" t="s">
        <v>1833</v>
      </c>
      <c r="C1699" s="44" t="s">
        <v>1856</v>
      </c>
      <c r="D1699" s="45">
        <f>MROUND(MID($C1699,6,3)/Basis!$E$3,0.5)</f>
        <v>8</v>
      </c>
      <c r="E1699" s="45">
        <f>MROUND(MID($C1699,9,3)/Basis!$E$3,0.5)</f>
        <v>39.5</v>
      </c>
      <c r="F1699" s="124" t="s">
        <v>2944</v>
      </c>
      <c r="G1699" s="45">
        <f>ROUND((ROUNDDOWN($F1699/5,0)*5+1.8)/Basis!$E$3,1)</f>
        <v>6.6</v>
      </c>
      <c r="H1699" s="120">
        <f>ROUND($P1699*Basis!$E$2*((TaH-TrH)/LN(1/µ)/Basis!$E$7)^$N1699*$AA$4*Glycol,0)</f>
        <v>2337</v>
      </c>
      <c r="I1699" s="83">
        <f>ROUND(H1699/(MID($C1699,9,3)/Basis!$E$3/Basis!$E$9)*Basis!$E$11,0)</f>
        <v>712</v>
      </c>
      <c r="J1699" s="123">
        <f>IF(Basis!$E$1=1,ROUND(H1699/((TaH-TrH)*1.163)/3600,3),ROUND(H1699/(500*(TaH-TrH)),2))</f>
        <v>0.23</v>
      </c>
      <c r="K1699" s="84"/>
      <c r="L1699" s="177">
        <f>CHOOSE(Basis!$E$1,((AJ1699*(J1699*3600/Basis!$E$5)^AK1699*(((MID(C1699,9,3)*10)-144)/1000)*AL1699+AM1699*(J1699*3600/Basis!$E$5)^2)*0.0098)/Basis!$E$10,((AJ1699*(J1699/Basis!$E$5)^AK1699*(((MID(C1699,9,3)*10)-144)/1000)*AL1699+AM1699*(J1699/Basis!$E$5)^2)*0.0098)/Basis!$E$10)</f>
        <v>5.1886211863249277E-3</v>
      </c>
      <c r="M1699" s="85"/>
      <c r="N1699" s="110">
        <v>1.4079999999999999</v>
      </c>
      <c r="O1699" s="74"/>
      <c r="P1699" s="73">
        <v>1090</v>
      </c>
      <c r="Q1699" s="74"/>
      <c r="R1699" s="75"/>
      <c r="S1699" s="75"/>
      <c r="T1699" s="75"/>
      <c r="U1699" s="75"/>
      <c r="V1699" s="75"/>
      <c r="W1699" s="74"/>
      <c r="X1699" s="76"/>
      <c r="Y1699" s="76"/>
      <c r="Z1699" s="76"/>
      <c r="AA1699" s="76"/>
      <c r="AB1699" s="76"/>
      <c r="AC1699" s="74"/>
      <c r="AD1699" s="77"/>
      <c r="AE1699" s="77"/>
      <c r="AF1699" s="77"/>
      <c r="AG1699" s="77"/>
      <c r="AH1699" s="77"/>
      <c r="AI1699" s="68"/>
      <c r="AJ1699" s="213">
        <v>2.0829999999999999E-4</v>
      </c>
      <c r="AK1699" s="213">
        <v>1.724</v>
      </c>
      <c r="AL1699" s="213">
        <v>2</v>
      </c>
      <c r="AM1699" s="213">
        <v>4.6182900000000003E-4</v>
      </c>
      <c r="AN1699" s="74"/>
      <c r="AO1699" s="73"/>
      <c r="AP1699" s="73"/>
      <c r="AQ1699" s="73"/>
      <c r="AR1699" s="73"/>
      <c r="AS1699" s="73"/>
      <c r="AT1699" s="74"/>
      <c r="AU1699" s="47"/>
      <c r="AV1699" s="48"/>
    </row>
    <row r="1700" spans="1:48" ht="12.75" customHeight="1" x14ac:dyDescent="0.25">
      <c r="A1700" s="72" t="s">
        <v>20</v>
      </c>
      <c r="B1700" s="43" t="s">
        <v>1833</v>
      </c>
      <c r="C1700" s="44" t="s">
        <v>1857</v>
      </c>
      <c r="D1700" s="45">
        <f>MROUND(MID($C1700,6,3)/Basis!$E$3,0.5)</f>
        <v>8</v>
      </c>
      <c r="E1700" s="45">
        <f>MROUND(MID($C1700,9,3)/Basis!$E$3,0.5)</f>
        <v>39.5</v>
      </c>
      <c r="F1700" s="124" t="s">
        <v>2945</v>
      </c>
      <c r="G1700" s="45">
        <f>ROUND((ROUNDDOWN($F1700/5,0)*5+1.8)/Basis!$E$3,1)</f>
        <v>8.6</v>
      </c>
      <c r="H1700" s="120">
        <f>ROUND($P1700*Basis!$E$2*((TaH-TrH)/LN(1/µ)/Basis!$E$7)^$N1700*$AA$4*Glycol,0)</f>
        <v>3284</v>
      </c>
      <c r="I1700" s="83">
        <f>ROUND(H1700/(MID($C1700,9,3)/Basis!$E$3/Basis!$E$9)*Basis!$E$11,0)</f>
        <v>1001</v>
      </c>
      <c r="J1700" s="123">
        <f>IF(Basis!$E$1=1,ROUND(H1700/((TaH-TrH)*1.163)/3600,3),ROUND(H1700/(500*(TaH-TrH)),2))</f>
        <v>0.33</v>
      </c>
      <c r="K1700" s="84"/>
      <c r="L1700" s="177">
        <f>CHOOSE(Basis!$E$1,((AJ1700*(J1700*3600/Basis!$E$5)^AK1700*(((MID(C1700,9,3)*10)-144)/1000)*AL1700+AM1700*(J1700*3600/Basis!$E$5)^2)*0.0098)/Basis!$E$10,((AJ1700*(J1700/Basis!$E$5)^AK1700*(((MID(C1700,9,3)*10)-144)/1000)*AL1700+AM1700*(J1700/Basis!$E$5)^2)*0.0098)/Basis!$E$10)</f>
        <v>8.1256015177344088E-3</v>
      </c>
      <c r="M1700" s="85"/>
      <c r="N1700" s="110">
        <v>1.4079999999999999</v>
      </c>
      <c r="O1700" s="74"/>
      <c r="P1700" s="73">
        <v>1532</v>
      </c>
      <c r="Q1700" s="74"/>
      <c r="R1700" s="75"/>
      <c r="S1700" s="75"/>
      <c r="T1700" s="75"/>
      <c r="U1700" s="75"/>
      <c r="V1700" s="75"/>
      <c r="W1700" s="74"/>
      <c r="X1700" s="76"/>
      <c r="Y1700" s="76"/>
      <c r="Z1700" s="76"/>
      <c r="AA1700" s="76"/>
      <c r="AB1700" s="76"/>
      <c r="AC1700" s="74"/>
      <c r="AD1700" s="77"/>
      <c r="AE1700" s="77"/>
      <c r="AF1700" s="77"/>
      <c r="AG1700" s="77"/>
      <c r="AH1700" s="77"/>
      <c r="AI1700" s="68"/>
      <c r="AJ1700" s="214">
        <v>1.2760000000000001E-4</v>
      </c>
      <c r="AK1700" s="214">
        <v>1.7219</v>
      </c>
      <c r="AL1700" s="214">
        <v>2</v>
      </c>
      <c r="AM1700" s="214">
        <v>3.76611E-4</v>
      </c>
      <c r="AN1700" s="74"/>
      <c r="AO1700" s="73"/>
      <c r="AP1700" s="73"/>
      <c r="AQ1700" s="73"/>
      <c r="AR1700" s="73"/>
      <c r="AS1700" s="73"/>
      <c r="AT1700" s="74"/>
      <c r="AU1700" s="47"/>
      <c r="AV1700" s="48"/>
    </row>
    <row r="1701" spans="1:48" ht="12.75" customHeight="1" x14ac:dyDescent="0.25">
      <c r="A1701" s="72" t="s">
        <v>20</v>
      </c>
      <c r="B1701" s="43" t="s">
        <v>1833</v>
      </c>
      <c r="C1701" s="44" t="s">
        <v>1858</v>
      </c>
      <c r="D1701" s="45">
        <f>MROUND(MID($C1701,6,3)/Basis!$E$3,0.5)</f>
        <v>8</v>
      </c>
      <c r="E1701" s="45">
        <f>MROUND(MID($C1701,9,3)/Basis!$E$3,0.5)</f>
        <v>43.5</v>
      </c>
      <c r="F1701" s="124" t="s">
        <v>2949</v>
      </c>
      <c r="G1701" s="45">
        <f>ROUND((ROUNDDOWN($F1701/5,0)*5+3.5)/Basis!$E$3,1)</f>
        <v>3.3</v>
      </c>
      <c r="H1701" s="120">
        <f>ROUND($P1701*Basis!$E$2*((TaH-TrH)/LN(1/µ)/Basis!$E$7)^$N1701*$AA$4*Glycol,0)</f>
        <v>1268</v>
      </c>
      <c r="I1701" s="83">
        <f>ROUND(H1701/(MID($C1701,9,3)/Basis!$E$3/Basis!$E$9)*Basis!$E$11,0)</f>
        <v>351</v>
      </c>
      <c r="J1701" s="123">
        <f>IF(Basis!$E$1=1,ROUND(H1701/((TaH-TrH)*1.163)/3600,3),ROUND(H1701/(500*(TaH-TrH)),2))</f>
        <v>0.13</v>
      </c>
      <c r="K1701" s="84"/>
      <c r="L1701" s="177">
        <f>CHOOSE(Basis!$E$1,((AJ1701*(J1701*3600/Basis!$E$5)^AK1701*(((MID(C1701,9,3)*10)-144)/1000)*AL1701+AM1701*(J1701*3600/Basis!$E$5)^2)*0.0098)/Basis!$E$10,((AJ1701*(J1701/Basis!$E$5)^AK1701*(((MID(C1701,9,3)*10)-144)/1000)*AL1701+AM1701*(J1701/Basis!$E$5)^2)*0.0098)/Basis!$E$10)</f>
        <v>6.1961347657117881E-3</v>
      </c>
      <c r="M1701" s="85"/>
      <c r="N1701" s="110">
        <v>1.41</v>
      </c>
      <c r="O1701" s="74"/>
      <c r="P1701" s="73">
        <v>592</v>
      </c>
      <c r="Q1701" s="74"/>
      <c r="R1701" s="75"/>
      <c r="S1701" s="75"/>
      <c r="T1701" s="75"/>
      <c r="U1701" s="75"/>
      <c r="V1701" s="75"/>
      <c r="W1701" s="74"/>
      <c r="X1701" s="76"/>
      <c r="Y1701" s="76"/>
      <c r="Z1701" s="76"/>
      <c r="AA1701" s="76"/>
      <c r="AB1701" s="76"/>
      <c r="AC1701" s="74"/>
      <c r="AD1701" s="77"/>
      <c r="AE1701" s="77"/>
      <c r="AF1701" s="77"/>
      <c r="AG1701" s="77"/>
      <c r="AH1701" s="77"/>
      <c r="AI1701" s="68"/>
      <c r="AJ1701" s="213">
        <v>4.1688828699999996E-3</v>
      </c>
      <c r="AK1701" s="213">
        <v>1.411581940642</v>
      </c>
      <c r="AL1701" s="213">
        <v>3</v>
      </c>
      <c r="AM1701" s="213">
        <v>5.4247339961626003E-4</v>
      </c>
      <c r="AN1701" s="74"/>
      <c r="AO1701" s="73"/>
      <c r="AP1701" s="73"/>
      <c r="AQ1701" s="73"/>
      <c r="AR1701" s="73"/>
      <c r="AS1701" s="73"/>
      <c r="AT1701" s="74"/>
      <c r="AU1701" s="47"/>
      <c r="AV1701" s="48"/>
    </row>
    <row r="1702" spans="1:48" ht="12.75" customHeight="1" x14ac:dyDescent="0.25">
      <c r="A1702" s="72" t="s">
        <v>20</v>
      </c>
      <c r="B1702" s="43" t="s">
        <v>1833</v>
      </c>
      <c r="C1702" s="44" t="s">
        <v>1859</v>
      </c>
      <c r="D1702" s="45">
        <f>MROUND(MID($C1702,6,3)/Basis!$E$3,0.5)</f>
        <v>8</v>
      </c>
      <c r="E1702" s="45">
        <f>MROUND(MID($C1702,9,3)/Basis!$E$3,0.5)</f>
        <v>43.5</v>
      </c>
      <c r="F1702" s="124" t="s">
        <v>2943</v>
      </c>
      <c r="G1702" s="45">
        <f>ROUND((ROUNDDOWN($F1702/5,0)*5+1.8)/Basis!$E$3,1)</f>
        <v>4.5999999999999996</v>
      </c>
      <c r="H1702" s="120">
        <f>ROUND($P1702*Basis!$E$2*((TaH-TrH)/LN(1/µ)/Basis!$E$7)^$N1702*$AA$4*Glycol,0)</f>
        <v>1543</v>
      </c>
      <c r="I1702" s="83">
        <f>ROUND(H1702/(MID($C1702,9,3)/Basis!$E$3/Basis!$E$9)*Basis!$E$11,0)</f>
        <v>428</v>
      </c>
      <c r="J1702" s="123">
        <f>IF(Basis!$E$1=1,ROUND(H1702/((TaH-TrH)*1.163)/3600,3),ROUND(H1702/(500*(TaH-TrH)),2))</f>
        <v>0.15</v>
      </c>
      <c r="K1702" s="84"/>
      <c r="L1702" s="177">
        <f>CHOOSE(Basis!$E$1,((AJ1702*(J1702*3600/Basis!$E$5)^AK1702*(((MID(C1702,9,3)*10)-144)/1000)*AL1702+AM1702*(J1702*3600/Basis!$E$5)^2)*0.0098)/Basis!$E$10,((AJ1702*(J1702/Basis!$E$5)^AK1702*(((MID(C1702,9,3)*10)-144)/1000)*AL1702+AM1702*(J1702/Basis!$E$5)^2)*0.0098)/Basis!$E$10)</f>
        <v>2.5231404577737973E-3</v>
      </c>
      <c r="M1702" s="85"/>
      <c r="N1702" s="109">
        <v>1.413</v>
      </c>
      <c r="O1702" s="68"/>
      <c r="P1702" s="67">
        <v>721</v>
      </c>
      <c r="Q1702" s="68"/>
      <c r="R1702" s="69"/>
      <c r="S1702" s="69"/>
      <c r="T1702" s="69"/>
      <c r="U1702" s="69"/>
      <c r="V1702" s="69"/>
      <c r="W1702" s="68"/>
      <c r="X1702" s="70"/>
      <c r="Y1702" s="70"/>
      <c r="Z1702" s="70"/>
      <c r="AA1702" s="70"/>
      <c r="AB1702" s="70"/>
      <c r="AC1702" s="68"/>
      <c r="AD1702" s="71"/>
      <c r="AE1702" s="71"/>
      <c r="AF1702" s="71"/>
      <c r="AG1702" s="71"/>
      <c r="AH1702" s="71"/>
      <c r="AI1702" s="68"/>
      <c r="AJ1702" s="214">
        <v>3.9689999999999994E-4</v>
      </c>
      <c r="AK1702" s="214">
        <v>1.7345999999999999</v>
      </c>
      <c r="AL1702" s="214">
        <v>2</v>
      </c>
      <c r="AM1702" s="214">
        <v>3.6734700000000002E-4</v>
      </c>
      <c r="AN1702" s="68"/>
      <c r="AO1702" s="67"/>
      <c r="AP1702" s="67"/>
      <c r="AQ1702" s="67"/>
      <c r="AR1702" s="67"/>
      <c r="AS1702" s="67"/>
      <c r="AT1702" s="68"/>
      <c r="AU1702" s="49"/>
      <c r="AV1702" s="50"/>
    </row>
    <row r="1703" spans="1:48" ht="12.75" customHeight="1" x14ac:dyDescent="0.25">
      <c r="A1703" s="72" t="s">
        <v>20</v>
      </c>
      <c r="B1703" s="43" t="s">
        <v>1833</v>
      </c>
      <c r="C1703" s="44" t="s">
        <v>1860</v>
      </c>
      <c r="D1703" s="45">
        <f>MROUND(MID($C1703,6,3)/Basis!$E$3,0.5)</f>
        <v>8</v>
      </c>
      <c r="E1703" s="45">
        <f>MROUND(MID($C1703,9,3)/Basis!$E$3,0.5)</f>
        <v>43.5</v>
      </c>
      <c r="F1703" s="124" t="s">
        <v>2944</v>
      </c>
      <c r="G1703" s="45">
        <f>ROUND((ROUNDDOWN($F1703/5,0)*5+1.8)/Basis!$E$3,1)</f>
        <v>6.6</v>
      </c>
      <c r="H1703" s="120">
        <f>ROUND($P1703*Basis!$E$2*((TaH-TrH)/LN(1/µ)/Basis!$E$7)^$N1703*$AA$4*Glycol,0)</f>
        <v>2571</v>
      </c>
      <c r="I1703" s="83">
        <f>ROUND(H1703/(MID($C1703,9,3)/Basis!$E$3/Basis!$E$9)*Basis!$E$11,0)</f>
        <v>712</v>
      </c>
      <c r="J1703" s="123">
        <f>IF(Basis!$E$1=1,ROUND(H1703/((TaH-TrH)*1.163)/3600,3),ROUND(H1703/(500*(TaH-TrH)),2))</f>
        <v>0.26</v>
      </c>
      <c r="K1703" s="84"/>
      <c r="L1703" s="177">
        <f>CHOOSE(Basis!$E$1,((AJ1703*(J1703*3600/Basis!$E$5)^AK1703*(((MID(C1703,9,3)*10)-144)/1000)*AL1703+AM1703*(J1703*3600/Basis!$E$5)^2)*0.0098)/Basis!$E$10,((AJ1703*(J1703/Basis!$E$5)^AK1703*(((MID(C1703,9,3)*10)-144)/1000)*AL1703+AM1703*(J1703/Basis!$E$5)^2)*0.0098)/Basis!$E$10)</f>
        <v>6.7391609105620425E-3</v>
      </c>
      <c r="M1703" s="85"/>
      <c r="N1703" s="109">
        <v>1.4079999999999999</v>
      </c>
      <c r="O1703" s="68"/>
      <c r="P1703" s="67">
        <v>1199</v>
      </c>
      <c r="Q1703" s="68"/>
      <c r="R1703" s="69"/>
      <c r="S1703" s="69"/>
      <c r="T1703" s="69"/>
      <c r="U1703" s="69"/>
      <c r="V1703" s="69"/>
      <c r="W1703" s="68"/>
      <c r="X1703" s="70"/>
      <c r="Y1703" s="70"/>
      <c r="Z1703" s="70"/>
      <c r="AA1703" s="70"/>
      <c r="AB1703" s="70"/>
      <c r="AC1703" s="68"/>
      <c r="AD1703" s="71"/>
      <c r="AE1703" s="71"/>
      <c r="AF1703" s="71"/>
      <c r="AG1703" s="71"/>
      <c r="AH1703" s="71"/>
      <c r="AI1703" s="68"/>
      <c r="AJ1703" s="214">
        <v>2.0829999999999999E-4</v>
      </c>
      <c r="AK1703" s="214">
        <v>1.724</v>
      </c>
      <c r="AL1703" s="214">
        <v>2</v>
      </c>
      <c r="AM1703" s="214">
        <v>4.6182900000000003E-4</v>
      </c>
      <c r="AN1703" s="68"/>
      <c r="AO1703" s="67"/>
      <c r="AP1703" s="67"/>
      <c r="AQ1703" s="67"/>
      <c r="AR1703" s="67"/>
      <c r="AS1703" s="67"/>
      <c r="AT1703" s="68"/>
      <c r="AU1703" s="49"/>
      <c r="AV1703" s="50"/>
    </row>
    <row r="1704" spans="1:48" ht="12.75" customHeight="1" x14ac:dyDescent="0.25">
      <c r="A1704" s="72" t="s">
        <v>20</v>
      </c>
      <c r="B1704" s="43" t="s">
        <v>1833</v>
      </c>
      <c r="C1704" s="44" t="s">
        <v>1861</v>
      </c>
      <c r="D1704" s="45">
        <f>MROUND(MID($C1704,6,3)/Basis!$E$3,0.5)</f>
        <v>8</v>
      </c>
      <c r="E1704" s="45">
        <f>MROUND(MID($C1704,9,3)/Basis!$E$3,0.5)</f>
        <v>43.5</v>
      </c>
      <c r="F1704" s="124" t="s">
        <v>2945</v>
      </c>
      <c r="G1704" s="45">
        <f>ROUND((ROUNDDOWN($F1704/5,0)*5+1.8)/Basis!$E$3,1)</f>
        <v>8.6</v>
      </c>
      <c r="H1704" s="120">
        <f>ROUND($P1704*Basis!$E$2*((TaH-TrH)/LN(1/µ)/Basis!$E$7)^$N1704*$AA$4*Glycol,0)</f>
        <v>3613</v>
      </c>
      <c r="I1704" s="83">
        <f>ROUND(H1704/(MID($C1704,9,3)/Basis!$E$3/Basis!$E$9)*Basis!$E$11,0)</f>
        <v>1001</v>
      </c>
      <c r="J1704" s="123">
        <f>IF(Basis!$E$1=1,ROUND(H1704/((TaH-TrH)*1.163)/3600,3),ROUND(H1704/(500*(TaH-TrH)),2))</f>
        <v>0.36</v>
      </c>
      <c r="K1704" s="84"/>
      <c r="L1704" s="177">
        <f>CHOOSE(Basis!$E$1,((AJ1704*(J1704*3600/Basis!$E$5)^AK1704*(((MID(C1704,9,3)*10)-144)/1000)*AL1704+AM1704*(J1704*3600/Basis!$E$5)^2)*0.0098)/Basis!$E$10,((AJ1704*(J1704/Basis!$E$5)^AK1704*(((MID(C1704,9,3)*10)-144)/1000)*AL1704+AM1704*(J1704/Basis!$E$5)^2)*0.0098)/Basis!$E$10)</f>
        <v>9.7996929744221389E-3</v>
      </c>
      <c r="M1704" s="85"/>
      <c r="N1704" s="109">
        <v>1.4079999999999999</v>
      </c>
      <c r="O1704" s="68"/>
      <c r="P1704" s="67">
        <v>1685</v>
      </c>
      <c r="Q1704" s="68"/>
      <c r="R1704" s="69"/>
      <c r="S1704" s="69"/>
      <c r="T1704" s="69"/>
      <c r="U1704" s="69"/>
      <c r="V1704" s="69"/>
      <c r="W1704" s="68"/>
      <c r="X1704" s="70"/>
      <c r="Y1704" s="70"/>
      <c r="Z1704" s="70"/>
      <c r="AA1704" s="70"/>
      <c r="AB1704" s="70"/>
      <c r="AC1704" s="68"/>
      <c r="AD1704" s="71"/>
      <c r="AE1704" s="71"/>
      <c r="AF1704" s="71"/>
      <c r="AG1704" s="71"/>
      <c r="AH1704" s="71"/>
      <c r="AI1704" s="68"/>
      <c r="AJ1704" s="214">
        <v>1.2760000000000001E-4</v>
      </c>
      <c r="AK1704" s="214">
        <v>1.7219</v>
      </c>
      <c r="AL1704" s="214">
        <v>2</v>
      </c>
      <c r="AM1704" s="214">
        <v>3.76611E-4</v>
      </c>
      <c r="AN1704" s="68"/>
      <c r="AO1704" s="67"/>
      <c r="AP1704" s="67"/>
      <c r="AQ1704" s="67"/>
      <c r="AR1704" s="67"/>
      <c r="AS1704" s="67"/>
      <c r="AT1704" s="68"/>
      <c r="AU1704" s="49"/>
      <c r="AV1704" s="50"/>
    </row>
    <row r="1705" spans="1:48" ht="12.75" customHeight="1" x14ac:dyDescent="0.25">
      <c r="A1705" s="72" t="s">
        <v>20</v>
      </c>
      <c r="B1705" s="43" t="s">
        <v>1833</v>
      </c>
      <c r="C1705" s="44" t="s">
        <v>1862</v>
      </c>
      <c r="D1705" s="45">
        <f>MROUND(MID($C1705,6,3)/Basis!$E$3,0.5)</f>
        <v>8</v>
      </c>
      <c r="E1705" s="45">
        <f>MROUND(MID($C1705,9,3)/Basis!$E$3,0.5)</f>
        <v>47</v>
      </c>
      <c r="F1705" s="124" t="s">
        <v>2949</v>
      </c>
      <c r="G1705" s="45">
        <f>ROUND((ROUNDDOWN($F1705/5,0)*5+3.5)/Basis!$E$3,1)</f>
        <v>3.3</v>
      </c>
      <c r="H1705" s="120">
        <f>ROUND($P1705*Basis!$E$2*((TaH-TrH)/LN(1/µ)/Basis!$E$7)^$N1705*$AA$4*Glycol,0)</f>
        <v>1384</v>
      </c>
      <c r="I1705" s="83">
        <f>ROUND(H1705/(MID($C1705,9,3)/Basis!$E$3/Basis!$E$9)*Basis!$E$11,0)</f>
        <v>352</v>
      </c>
      <c r="J1705" s="123">
        <f>IF(Basis!$E$1=1,ROUND(H1705/((TaH-TrH)*1.163)/3600,3),ROUND(H1705/(500*(TaH-TrH)),2))</f>
        <v>0.14000000000000001</v>
      </c>
      <c r="K1705" s="84"/>
      <c r="L1705" s="177">
        <f>CHOOSE(Basis!$E$1,((AJ1705*(J1705*3600/Basis!$E$5)^AK1705*(((MID(C1705,9,3)*10)-144)/1000)*AL1705+AM1705*(J1705*3600/Basis!$E$5)^2)*0.0098)/Basis!$E$10,((AJ1705*(J1705/Basis!$E$5)^AK1705*(((MID(C1705,9,3)*10)-144)/1000)*AL1705+AM1705*(J1705/Basis!$E$5)^2)*0.0098)/Basis!$E$10)</f>
        <v>7.4959654532071847E-3</v>
      </c>
      <c r="M1705" s="85"/>
      <c r="N1705" s="109">
        <v>1.41</v>
      </c>
      <c r="O1705" s="68"/>
      <c r="P1705" s="67">
        <v>646</v>
      </c>
      <c r="Q1705" s="68"/>
      <c r="R1705" s="69"/>
      <c r="S1705" s="69"/>
      <c r="T1705" s="69"/>
      <c r="U1705" s="69"/>
      <c r="V1705" s="69"/>
      <c r="W1705" s="68"/>
      <c r="X1705" s="70"/>
      <c r="Y1705" s="70"/>
      <c r="Z1705" s="70"/>
      <c r="AA1705" s="70"/>
      <c r="AB1705" s="70"/>
      <c r="AC1705" s="68"/>
      <c r="AD1705" s="71"/>
      <c r="AE1705" s="71"/>
      <c r="AF1705" s="71"/>
      <c r="AG1705" s="71"/>
      <c r="AH1705" s="71"/>
      <c r="AI1705" s="68"/>
      <c r="AJ1705" s="214">
        <v>4.1688828699999996E-3</v>
      </c>
      <c r="AK1705" s="214">
        <v>1.411581940642</v>
      </c>
      <c r="AL1705" s="214">
        <v>3</v>
      </c>
      <c r="AM1705" s="214">
        <v>5.4247339961626003E-4</v>
      </c>
      <c r="AN1705" s="68"/>
      <c r="AO1705" s="67"/>
      <c r="AP1705" s="67"/>
      <c r="AQ1705" s="67"/>
      <c r="AR1705" s="67"/>
      <c r="AS1705" s="67"/>
      <c r="AT1705" s="68"/>
      <c r="AU1705" s="49"/>
      <c r="AV1705" s="50"/>
    </row>
    <row r="1706" spans="1:48" ht="12.75" customHeight="1" x14ac:dyDescent="0.25">
      <c r="A1706" s="72" t="s">
        <v>20</v>
      </c>
      <c r="B1706" s="43" t="s">
        <v>1833</v>
      </c>
      <c r="C1706" s="44" t="s">
        <v>1863</v>
      </c>
      <c r="D1706" s="45">
        <f>MROUND(MID($C1706,6,3)/Basis!$E$3,0.5)</f>
        <v>8</v>
      </c>
      <c r="E1706" s="45">
        <f>MROUND(MID($C1706,9,3)/Basis!$E$3,0.5)</f>
        <v>47</v>
      </c>
      <c r="F1706" s="124" t="s">
        <v>2943</v>
      </c>
      <c r="G1706" s="45">
        <f>ROUND((ROUNDDOWN($F1706/5,0)*5+1.8)/Basis!$E$3,1)</f>
        <v>4.5999999999999996</v>
      </c>
      <c r="H1706" s="120">
        <f>ROUND($P1706*Basis!$E$2*((TaH-TrH)/LN(1/µ)/Basis!$E$7)^$N1706*$AA$4*Glycol,0)</f>
        <v>1682</v>
      </c>
      <c r="I1706" s="83">
        <f>ROUND(H1706/(MID($C1706,9,3)/Basis!$E$3/Basis!$E$9)*Basis!$E$11,0)</f>
        <v>427</v>
      </c>
      <c r="J1706" s="123">
        <f>IF(Basis!$E$1=1,ROUND(H1706/((TaH-TrH)*1.163)/3600,3),ROUND(H1706/(500*(TaH-TrH)),2))</f>
        <v>0.17</v>
      </c>
      <c r="K1706" s="84"/>
      <c r="L1706" s="177">
        <f>CHOOSE(Basis!$E$1,((AJ1706*(J1706*3600/Basis!$E$5)^AK1706*(((MID(C1706,9,3)*10)-144)/1000)*AL1706+AM1706*(J1706*3600/Basis!$E$5)^2)*0.0098)/Basis!$E$10,((AJ1706*(J1706/Basis!$E$5)^AK1706*(((MID(C1706,9,3)*10)-144)/1000)*AL1706+AM1706*(J1706/Basis!$E$5)^2)*0.0098)/Basis!$E$10)</f>
        <v>3.3401886340364232E-3</v>
      </c>
      <c r="M1706" s="85"/>
      <c r="N1706" s="110">
        <v>1.413</v>
      </c>
      <c r="O1706" s="74"/>
      <c r="P1706" s="73">
        <v>786</v>
      </c>
      <c r="Q1706" s="74"/>
      <c r="R1706" s="75"/>
      <c r="S1706" s="75"/>
      <c r="T1706" s="75"/>
      <c r="U1706" s="75"/>
      <c r="V1706" s="75"/>
      <c r="W1706" s="74"/>
      <c r="X1706" s="76"/>
      <c r="Y1706" s="76"/>
      <c r="Z1706" s="76"/>
      <c r="AA1706" s="76"/>
      <c r="AB1706" s="76"/>
      <c r="AC1706" s="74"/>
      <c r="AD1706" s="77"/>
      <c r="AE1706" s="77"/>
      <c r="AF1706" s="77"/>
      <c r="AG1706" s="77"/>
      <c r="AH1706" s="77"/>
      <c r="AI1706" s="68"/>
      <c r="AJ1706" s="213">
        <v>3.9689999999999994E-4</v>
      </c>
      <c r="AK1706" s="213">
        <v>1.7345999999999999</v>
      </c>
      <c r="AL1706" s="213">
        <v>2</v>
      </c>
      <c r="AM1706" s="213">
        <v>3.6734700000000002E-4</v>
      </c>
      <c r="AN1706" s="74"/>
      <c r="AO1706" s="73"/>
      <c r="AP1706" s="73"/>
      <c r="AQ1706" s="73"/>
      <c r="AR1706" s="73"/>
      <c r="AS1706" s="73"/>
      <c r="AT1706" s="74"/>
      <c r="AU1706" s="47"/>
      <c r="AV1706" s="48"/>
    </row>
    <row r="1707" spans="1:48" ht="12.75" customHeight="1" x14ac:dyDescent="0.25">
      <c r="A1707" s="72" t="s">
        <v>20</v>
      </c>
      <c r="B1707" s="43" t="s">
        <v>1833</v>
      </c>
      <c r="C1707" s="44" t="s">
        <v>1864</v>
      </c>
      <c r="D1707" s="45">
        <f>MROUND(MID($C1707,6,3)/Basis!$E$3,0.5)</f>
        <v>8</v>
      </c>
      <c r="E1707" s="45">
        <f>MROUND(MID($C1707,9,3)/Basis!$E$3,0.5)</f>
        <v>47</v>
      </c>
      <c r="F1707" s="124" t="s">
        <v>2944</v>
      </c>
      <c r="G1707" s="45">
        <f>ROUND((ROUNDDOWN($F1707/5,0)*5+1.8)/Basis!$E$3,1)</f>
        <v>6.6</v>
      </c>
      <c r="H1707" s="120">
        <f>ROUND($P1707*Basis!$E$2*((TaH-TrH)/LN(1/µ)/Basis!$E$7)^$N1707*$AA$4*Glycol,0)</f>
        <v>2804</v>
      </c>
      <c r="I1707" s="83">
        <f>ROUND(H1707/(MID($C1707,9,3)/Basis!$E$3/Basis!$E$9)*Basis!$E$11,0)</f>
        <v>712</v>
      </c>
      <c r="J1707" s="123">
        <f>IF(Basis!$E$1=1,ROUND(H1707/((TaH-TrH)*1.163)/3600,3),ROUND(H1707/(500*(TaH-TrH)),2))</f>
        <v>0.28000000000000003</v>
      </c>
      <c r="K1707" s="84"/>
      <c r="L1707" s="177">
        <f>CHOOSE(Basis!$E$1,((AJ1707*(J1707*3600/Basis!$E$5)^AK1707*(((MID(C1707,9,3)*10)-144)/1000)*AL1707+AM1707*(J1707*3600/Basis!$E$5)^2)*0.0098)/Basis!$E$10,((AJ1707*(J1707/Basis!$E$5)^AK1707*(((MID(C1707,9,3)*10)-144)/1000)*AL1707+AM1707*(J1707/Basis!$E$5)^2)*0.0098)/Basis!$E$10)</f>
        <v>7.9563552060216876E-3</v>
      </c>
      <c r="M1707" s="85"/>
      <c r="N1707" s="110">
        <v>1.4079999999999999</v>
      </c>
      <c r="O1707" s="74"/>
      <c r="P1707" s="73">
        <v>1308</v>
      </c>
      <c r="Q1707" s="74"/>
      <c r="R1707" s="75"/>
      <c r="S1707" s="75"/>
      <c r="T1707" s="75"/>
      <c r="U1707" s="75"/>
      <c r="V1707" s="75"/>
      <c r="W1707" s="74"/>
      <c r="X1707" s="76"/>
      <c r="Y1707" s="76"/>
      <c r="Z1707" s="76"/>
      <c r="AA1707" s="76"/>
      <c r="AB1707" s="76"/>
      <c r="AC1707" s="74"/>
      <c r="AD1707" s="77"/>
      <c r="AE1707" s="77"/>
      <c r="AF1707" s="77"/>
      <c r="AG1707" s="77"/>
      <c r="AH1707" s="77"/>
      <c r="AI1707" s="68"/>
      <c r="AJ1707" s="213">
        <v>2.0829999999999999E-4</v>
      </c>
      <c r="AK1707" s="213">
        <v>1.724</v>
      </c>
      <c r="AL1707" s="213">
        <v>2</v>
      </c>
      <c r="AM1707" s="213">
        <v>4.6182900000000003E-4</v>
      </c>
      <c r="AN1707" s="74"/>
      <c r="AO1707" s="73"/>
      <c r="AP1707" s="73"/>
      <c r="AQ1707" s="73"/>
      <c r="AR1707" s="73"/>
      <c r="AS1707" s="73"/>
      <c r="AT1707" s="74"/>
      <c r="AU1707" s="47"/>
      <c r="AV1707" s="48"/>
    </row>
    <row r="1708" spans="1:48" ht="12.75" customHeight="1" x14ac:dyDescent="0.25">
      <c r="A1708" s="72" t="s">
        <v>20</v>
      </c>
      <c r="B1708" s="43" t="s">
        <v>1833</v>
      </c>
      <c r="C1708" s="44" t="s">
        <v>1865</v>
      </c>
      <c r="D1708" s="45">
        <f>MROUND(MID($C1708,6,3)/Basis!$E$3,0.5)</f>
        <v>8</v>
      </c>
      <c r="E1708" s="45">
        <f>MROUND(MID($C1708,9,3)/Basis!$E$3,0.5)</f>
        <v>47</v>
      </c>
      <c r="F1708" s="124" t="s">
        <v>2945</v>
      </c>
      <c r="G1708" s="45">
        <f>ROUND((ROUNDDOWN($F1708/5,0)*5+1.8)/Basis!$E$3,1)</f>
        <v>8.6</v>
      </c>
      <c r="H1708" s="120">
        <f>ROUND($P1708*Basis!$E$2*((TaH-TrH)/LN(1/µ)/Basis!$E$7)^$N1708*$AA$4*Glycol,0)</f>
        <v>3941</v>
      </c>
      <c r="I1708" s="83">
        <f>ROUND(H1708/(MID($C1708,9,3)/Basis!$E$3/Basis!$E$9)*Basis!$E$11,0)</f>
        <v>1001</v>
      </c>
      <c r="J1708" s="123">
        <f>IF(Basis!$E$1=1,ROUND(H1708/((TaH-TrH)*1.163)/3600,3),ROUND(H1708/(500*(TaH-TrH)),2))</f>
        <v>0.39</v>
      </c>
      <c r="K1708" s="84"/>
      <c r="L1708" s="177">
        <f>CHOOSE(Basis!$E$1,((AJ1708*(J1708*3600/Basis!$E$5)^AK1708*(((MID(C1708,9,3)*10)-144)/1000)*AL1708+AM1708*(J1708*3600/Basis!$E$5)^2)*0.0098)/Basis!$E$10,((AJ1708*(J1708/Basis!$E$5)^AK1708*(((MID(C1708,9,3)*10)-144)/1000)*AL1708+AM1708*(J1708/Basis!$E$5)^2)*0.0098)/Basis!$E$10)</f>
        <v>1.1648688770302887E-2</v>
      </c>
      <c r="M1708" s="85"/>
      <c r="N1708" s="110">
        <v>1.4079999999999999</v>
      </c>
      <c r="O1708" s="74"/>
      <c r="P1708" s="73">
        <v>1838</v>
      </c>
      <c r="Q1708" s="74"/>
      <c r="R1708" s="75"/>
      <c r="S1708" s="75"/>
      <c r="T1708" s="75"/>
      <c r="U1708" s="75"/>
      <c r="V1708" s="75"/>
      <c r="W1708" s="74"/>
      <c r="X1708" s="76"/>
      <c r="Y1708" s="76"/>
      <c r="Z1708" s="76"/>
      <c r="AA1708" s="76"/>
      <c r="AB1708" s="76"/>
      <c r="AC1708" s="74"/>
      <c r="AD1708" s="77"/>
      <c r="AE1708" s="77"/>
      <c r="AF1708" s="77"/>
      <c r="AG1708" s="77"/>
      <c r="AH1708" s="77"/>
      <c r="AI1708" s="68"/>
      <c r="AJ1708" s="214">
        <v>1.2760000000000001E-4</v>
      </c>
      <c r="AK1708" s="214">
        <v>1.7219</v>
      </c>
      <c r="AL1708" s="214">
        <v>2</v>
      </c>
      <c r="AM1708" s="214">
        <v>3.76611E-4</v>
      </c>
      <c r="AN1708" s="74"/>
      <c r="AO1708" s="73"/>
      <c r="AP1708" s="73"/>
      <c r="AQ1708" s="73"/>
      <c r="AR1708" s="73"/>
      <c r="AS1708" s="73"/>
      <c r="AT1708" s="74"/>
      <c r="AU1708" s="47"/>
      <c r="AV1708" s="48"/>
    </row>
    <row r="1709" spans="1:48" ht="12.75" customHeight="1" x14ac:dyDescent="0.25">
      <c r="A1709" s="72" t="s">
        <v>20</v>
      </c>
      <c r="B1709" s="43" t="s">
        <v>1833</v>
      </c>
      <c r="C1709" s="44" t="s">
        <v>1866</v>
      </c>
      <c r="D1709" s="45">
        <f>MROUND(MID($C1709,6,3)/Basis!$E$3,0.5)</f>
        <v>8</v>
      </c>
      <c r="E1709" s="45">
        <f>MROUND(MID($C1709,9,3)/Basis!$E$3,0.5)</f>
        <v>55</v>
      </c>
      <c r="F1709" s="124" t="s">
        <v>2949</v>
      </c>
      <c r="G1709" s="45">
        <f>ROUND((ROUNDDOWN($F1709/5,0)*5+3.5)/Basis!$E$3,1)</f>
        <v>3.3</v>
      </c>
      <c r="H1709" s="120">
        <f>ROUND($P1709*Basis!$E$2*((TaH-TrH)/LN(1/µ)/Basis!$E$7)^$N1709*$AA$4*Glycol,0)</f>
        <v>1613</v>
      </c>
      <c r="I1709" s="83">
        <f>ROUND(H1709/(MID($C1709,9,3)/Basis!$E$3/Basis!$E$9)*Basis!$E$11,0)</f>
        <v>351</v>
      </c>
      <c r="J1709" s="123">
        <f>IF(Basis!$E$1=1,ROUND(H1709/((TaH-TrH)*1.163)/3600,3),ROUND(H1709/(500*(TaH-TrH)),2))</f>
        <v>0.16</v>
      </c>
      <c r="K1709" s="84"/>
      <c r="L1709" s="177">
        <f>CHOOSE(Basis!$E$1,((AJ1709*(J1709*3600/Basis!$E$5)^AK1709*(((MID(C1709,9,3)*10)-144)/1000)*AL1709+AM1709*(J1709*3600/Basis!$E$5)^2)*0.0098)/Basis!$E$10,((AJ1709*(J1709/Basis!$E$5)^AK1709*(((MID(C1709,9,3)*10)-144)/1000)*AL1709+AM1709*(J1709/Basis!$E$5)^2)*0.0098)/Basis!$E$10)</f>
        <v>1.0531883617689669E-2</v>
      </c>
      <c r="M1709" s="85"/>
      <c r="N1709" s="110">
        <v>1.41</v>
      </c>
      <c r="O1709" s="74"/>
      <c r="P1709" s="73">
        <v>753</v>
      </c>
      <c r="Q1709" s="74"/>
      <c r="R1709" s="75"/>
      <c r="S1709" s="75"/>
      <c r="T1709" s="75"/>
      <c r="U1709" s="75"/>
      <c r="V1709" s="75"/>
      <c r="W1709" s="74"/>
      <c r="X1709" s="76"/>
      <c r="Y1709" s="76"/>
      <c r="Z1709" s="76"/>
      <c r="AA1709" s="76"/>
      <c r="AB1709" s="76"/>
      <c r="AC1709" s="74"/>
      <c r="AD1709" s="77"/>
      <c r="AE1709" s="77"/>
      <c r="AF1709" s="77"/>
      <c r="AG1709" s="77"/>
      <c r="AH1709" s="77"/>
      <c r="AI1709" s="68"/>
      <c r="AJ1709" s="213">
        <v>4.1688828699999996E-3</v>
      </c>
      <c r="AK1709" s="213">
        <v>1.411581940642</v>
      </c>
      <c r="AL1709" s="213">
        <v>3</v>
      </c>
      <c r="AM1709" s="213">
        <v>5.4247339961626003E-4</v>
      </c>
      <c r="AN1709" s="74"/>
      <c r="AO1709" s="73"/>
      <c r="AP1709" s="73"/>
      <c r="AQ1709" s="73"/>
      <c r="AR1709" s="73"/>
      <c r="AS1709" s="73"/>
      <c r="AT1709" s="74"/>
      <c r="AU1709" s="47"/>
      <c r="AV1709" s="48"/>
    </row>
    <row r="1710" spans="1:48" ht="12.75" customHeight="1" x14ac:dyDescent="0.25">
      <c r="A1710" s="72" t="s">
        <v>20</v>
      </c>
      <c r="B1710" s="43" t="s">
        <v>1833</v>
      </c>
      <c r="C1710" s="44" t="s">
        <v>1867</v>
      </c>
      <c r="D1710" s="45">
        <f>MROUND(MID($C1710,6,3)/Basis!$E$3,0.5)</f>
        <v>8</v>
      </c>
      <c r="E1710" s="45">
        <f>MROUND(MID($C1710,9,3)/Basis!$E$3,0.5)</f>
        <v>55</v>
      </c>
      <c r="F1710" s="124" t="s">
        <v>2943</v>
      </c>
      <c r="G1710" s="45">
        <f>ROUND((ROUNDDOWN($F1710/5,0)*5+1.8)/Basis!$E$3,1)</f>
        <v>4.5999999999999996</v>
      </c>
      <c r="H1710" s="120">
        <f>ROUND($P1710*Basis!$E$2*((TaH-TrH)/LN(1/µ)/Basis!$E$7)^$N1710*$AA$4*Glycol,0)</f>
        <v>1963</v>
      </c>
      <c r="I1710" s="83">
        <f>ROUND(H1710/(MID($C1710,9,3)/Basis!$E$3/Basis!$E$9)*Basis!$E$11,0)</f>
        <v>427</v>
      </c>
      <c r="J1710" s="123">
        <f>IF(Basis!$E$1=1,ROUND(H1710/((TaH-TrH)*1.163)/3600,3),ROUND(H1710/(500*(TaH-TrH)),2))</f>
        <v>0.2</v>
      </c>
      <c r="K1710" s="84"/>
      <c r="L1710" s="177">
        <f>CHOOSE(Basis!$E$1,((AJ1710*(J1710*3600/Basis!$E$5)^AK1710*(((MID(C1710,9,3)*10)-144)/1000)*AL1710+AM1710*(J1710*3600/Basis!$E$5)^2)*0.0098)/Basis!$E$10,((AJ1710*(J1710/Basis!$E$5)^AK1710*(((MID(C1710,9,3)*10)-144)/1000)*AL1710+AM1710*(J1710/Basis!$E$5)^2)*0.0098)/Basis!$E$10)</f>
        <v>4.921601650189459E-3</v>
      </c>
      <c r="M1710" s="85"/>
      <c r="N1710" s="109">
        <v>1.413</v>
      </c>
      <c r="O1710" s="68"/>
      <c r="P1710" s="67">
        <v>917</v>
      </c>
      <c r="Q1710" s="68"/>
      <c r="R1710" s="69"/>
      <c r="S1710" s="69"/>
      <c r="T1710" s="69"/>
      <c r="U1710" s="69"/>
      <c r="V1710" s="69"/>
      <c r="W1710" s="68"/>
      <c r="X1710" s="70"/>
      <c r="Y1710" s="70"/>
      <c r="Z1710" s="70"/>
      <c r="AA1710" s="70"/>
      <c r="AB1710" s="70"/>
      <c r="AC1710" s="68"/>
      <c r="AD1710" s="71"/>
      <c r="AE1710" s="71"/>
      <c r="AF1710" s="71"/>
      <c r="AG1710" s="71"/>
      <c r="AH1710" s="71"/>
      <c r="AI1710" s="68"/>
      <c r="AJ1710" s="214">
        <v>3.9689999999999994E-4</v>
      </c>
      <c r="AK1710" s="214">
        <v>1.7345999999999999</v>
      </c>
      <c r="AL1710" s="214">
        <v>2</v>
      </c>
      <c r="AM1710" s="214">
        <v>3.6734700000000002E-4</v>
      </c>
      <c r="AN1710" s="68"/>
      <c r="AO1710" s="67"/>
      <c r="AP1710" s="67"/>
      <c r="AQ1710" s="67"/>
      <c r="AR1710" s="67"/>
      <c r="AS1710" s="67"/>
      <c r="AT1710" s="68"/>
      <c r="AU1710" s="49"/>
      <c r="AV1710" s="50"/>
    </row>
    <row r="1711" spans="1:48" ht="12.75" customHeight="1" x14ac:dyDescent="0.25">
      <c r="A1711" s="72" t="s">
        <v>20</v>
      </c>
      <c r="B1711" s="43" t="s">
        <v>1833</v>
      </c>
      <c r="C1711" s="44" t="s">
        <v>1868</v>
      </c>
      <c r="D1711" s="45">
        <f>MROUND(MID($C1711,6,3)/Basis!$E$3,0.5)</f>
        <v>8</v>
      </c>
      <c r="E1711" s="45">
        <f>MROUND(MID($C1711,9,3)/Basis!$E$3,0.5)</f>
        <v>55</v>
      </c>
      <c r="F1711" s="124" t="s">
        <v>2944</v>
      </c>
      <c r="G1711" s="45">
        <f>ROUND((ROUNDDOWN($F1711/5,0)*5+1.8)/Basis!$E$3,1)</f>
        <v>6.6</v>
      </c>
      <c r="H1711" s="120">
        <f>ROUND($P1711*Basis!$E$2*((TaH-TrH)/LN(1/µ)/Basis!$E$7)^$N1711*$AA$4*Glycol,0)</f>
        <v>3272</v>
      </c>
      <c r="I1711" s="83">
        <f>ROUND(H1711/(MID($C1711,9,3)/Basis!$E$3/Basis!$E$9)*Basis!$E$11,0)</f>
        <v>712</v>
      </c>
      <c r="J1711" s="123">
        <f>IF(Basis!$E$1=1,ROUND(H1711/((TaH-TrH)*1.163)/3600,3),ROUND(H1711/(500*(TaH-TrH)),2))</f>
        <v>0.33</v>
      </c>
      <c r="K1711" s="84"/>
      <c r="L1711" s="177">
        <f>CHOOSE(Basis!$E$1,((AJ1711*(J1711*3600/Basis!$E$5)^AK1711*(((MID(C1711,9,3)*10)-144)/1000)*AL1711+AM1711*(J1711*3600/Basis!$E$5)^2)*0.0098)/Basis!$E$10,((AJ1711*(J1711/Basis!$E$5)^AK1711*(((MID(C1711,9,3)*10)-144)/1000)*AL1711+AM1711*(J1711/Basis!$E$5)^2)*0.0098)/Basis!$E$10)</f>
        <v>1.1402661305964245E-2</v>
      </c>
      <c r="M1711" s="85"/>
      <c r="N1711" s="109">
        <v>1.4079999999999999</v>
      </c>
      <c r="O1711" s="68"/>
      <c r="P1711" s="67">
        <v>1526</v>
      </c>
      <c r="Q1711" s="68"/>
      <c r="R1711" s="69"/>
      <c r="S1711" s="69"/>
      <c r="T1711" s="69"/>
      <c r="U1711" s="69"/>
      <c r="V1711" s="69"/>
      <c r="W1711" s="68"/>
      <c r="X1711" s="70"/>
      <c r="Y1711" s="70"/>
      <c r="Z1711" s="70"/>
      <c r="AA1711" s="70"/>
      <c r="AB1711" s="70"/>
      <c r="AC1711" s="68"/>
      <c r="AD1711" s="71"/>
      <c r="AE1711" s="71"/>
      <c r="AF1711" s="71"/>
      <c r="AG1711" s="71"/>
      <c r="AH1711" s="71"/>
      <c r="AI1711" s="68"/>
      <c r="AJ1711" s="214">
        <v>2.0829999999999999E-4</v>
      </c>
      <c r="AK1711" s="214">
        <v>1.724</v>
      </c>
      <c r="AL1711" s="214">
        <v>2</v>
      </c>
      <c r="AM1711" s="214">
        <v>4.6182900000000003E-4</v>
      </c>
      <c r="AN1711" s="68"/>
      <c r="AO1711" s="67"/>
      <c r="AP1711" s="67"/>
      <c r="AQ1711" s="67"/>
      <c r="AR1711" s="67"/>
      <c r="AS1711" s="67"/>
      <c r="AT1711" s="68"/>
      <c r="AU1711" s="49"/>
      <c r="AV1711" s="50"/>
    </row>
    <row r="1712" spans="1:48" ht="12.75" customHeight="1" x14ac:dyDescent="0.25">
      <c r="A1712" s="72" t="s">
        <v>20</v>
      </c>
      <c r="B1712" s="43" t="s">
        <v>1833</v>
      </c>
      <c r="C1712" s="44" t="s">
        <v>1869</v>
      </c>
      <c r="D1712" s="45">
        <f>MROUND(MID($C1712,6,3)/Basis!$E$3,0.5)</f>
        <v>8</v>
      </c>
      <c r="E1712" s="45">
        <f>MROUND(MID($C1712,9,3)/Basis!$E$3,0.5)</f>
        <v>55</v>
      </c>
      <c r="F1712" s="124" t="s">
        <v>2945</v>
      </c>
      <c r="G1712" s="45">
        <f>ROUND((ROUNDDOWN($F1712/5,0)*5+1.8)/Basis!$E$3,1)</f>
        <v>8.6</v>
      </c>
      <c r="H1712" s="120">
        <f>ROUND($P1712*Basis!$E$2*((TaH-TrH)/LN(1/µ)/Basis!$E$7)^$N1712*$AA$4*Glycol,0)</f>
        <v>4599</v>
      </c>
      <c r="I1712" s="83">
        <f>ROUND(H1712/(MID($C1712,9,3)/Basis!$E$3/Basis!$E$9)*Basis!$E$11,0)</f>
        <v>1001</v>
      </c>
      <c r="J1712" s="123">
        <f>IF(Basis!$E$1=1,ROUND(H1712/((TaH-TrH)*1.163)/3600,3),ROUND(H1712/(500*(TaH-TrH)),2))</f>
        <v>0.46</v>
      </c>
      <c r="K1712" s="84"/>
      <c r="L1712" s="177">
        <f>CHOOSE(Basis!$E$1,((AJ1712*(J1712*3600/Basis!$E$5)^AK1712*(((MID(C1712,9,3)*10)-144)/1000)*AL1712+AM1712*(J1712*3600/Basis!$E$5)^2)*0.0098)/Basis!$E$10,((AJ1712*(J1712/Basis!$E$5)^AK1712*(((MID(C1712,9,3)*10)-144)/1000)*AL1712+AM1712*(J1712/Basis!$E$5)^2)*0.0098)/Basis!$E$10)</f>
        <v>1.6581522174374558E-2</v>
      </c>
      <c r="M1712" s="85"/>
      <c r="N1712" s="109">
        <v>1.4079999999999999</v>
      </c>
      <c r="O1712" s="68"/>
      <c r="P1712" s="67">
        <v>2145</v>
      </c>
      <c r="Q1712" s="68"/>
      <c r="R1712" s="69"/>
      <c r="S1712" s="69"/>
      <c r="T1712" s="69"/>
      <c r="U1712" s="69"/>
      <c r="V1712" s="69"/>
      <c r="W1712" s="68"/>
      <c r="X1712" s="70"/>
      <c r="Y1712" s="70"/>
      <c r="Z1712" s="70"/>
      <c r="AA1712" s="70"/>
      <c r="AB1712" s="70"/>
      <c r="AC1712" s="68"/>
      <c r="AD1712" s="71"/>
      <c r="AE1712" s="71"/>
      <c r="AF1712" s="71"/>
      <c r="AG1712" s="71"/>
      <c r="AH1712" s="71"/>
      <c r="AI1712" s="68"/>
      <c r="AJ1712" s="214">
        <v>1.2760000000000001E-4</v>
      </c>
      <c r="AK1712" s="214">
        <v>1.7219</v>
      </c>
      <c r="AL1712" s="214">
        <v>2</v>
      </c>
      <c r="AM1712" s="214">
        <v>3.76611E-4</v>
      </c>
      <c r="AN1712" s="68"/>
      <c r="AO1712" s="67"/>
      <c r="AP1712" s="67"/>
      <c r="AQ1712" s="67"/>
      <c r="AR1712" s="67"/>
      <c r="AS1712" s="67"/>
      <c r="AT1712" s="68"/>
      <c r="AU1712" s="49"/>
      <c r="AV1712" s="50"/>
    </row>
    <row r="1713" spans="1:48" ht="12.75" customHeight="1" x14ac:dyDescent="0.25">
      <c r="A1713" s="72" t="s">
        <v>20</v>
      </c>
      <c r="B1713" s="43" t="s">
        <v>1833</v>
      </c>
      <c r="C1713" s="44" t="s">
        <v>1870</v>
      </c>
      <c r="D1713" s="45">
        <f>MROUND(MID($C1713,6,3)/Basis!$E$3,0.5)</f>
        <v>8</v>
      </c>
      <c r="E1713" s="45">
        <f>MROUND(MID($C1713,9,3)/Basis!$E$3,0.5)</f>
        <v>63</v>
      </c>
      <c r="F1713" s="124" t="s">
        <v>2949</v>
      </c>
      <c r="G1713" s="45">
        <f>ROUND((ROUNDDOWN($F1713/5,0)*5+3.5)/Basis!$E$3,1)</f>
        <v>3.3</v>
      </c>
      <c r="H1713" s="120">
        <f>ROUND($P1713*Basis!$E$2*((TaH-TrH)/LN(1/µ)/Basis!$E$7)^$N1713*$AA$4*Glycol,0)</f>
        <v>1845</v>
      </c>
      <c r="I1713" s="83">
        <f>ROUND(H1713/(MID($C1713,9,3)/Basis!$E$3/Basis!$E$9)*Basis!$E$11,0)</f>
        <v>351</v>
      </c>
      <c r="J1713" s="123">
        <f>IF(Basis!$E$1=1,ROUND(H1713/((TaH-TrH)*1.163)/3600,3),ROUND(H1713/(500*(TaH-TrH)),2))</f>
        <v>0.18</v>
      </c>
      <c r="K1713" s="84"/>
      <c r="L1713" s="177">
        <f>CHOOSE(Basis!$E$1,((AJ1713*(J1713*3600/Basis!$E$5)^AK1713*(((MID(C1713,9,3)*10)-144)/1000)*AL1713+AM1713*(J1713*3600/Basis!$E$5)^2)*0.0098)/Basis!$E$10,((AJ1713*(J1713/Basis!$E$5)^AK1713*(((MID(C1713,9,3)*10)-144)/1000)*AL1713+AM1713*(J1713/Basis!$E$5)^2)*0.0098)/Basis!$E$10)</f>
        <v>1.4175341333478964E-2</v>
      </c>
      <c r="M1713" s="85"/>
      <c r="N1713" s="109">
        <v>1.41</v>
      </c>
      <c r="O1713" s="68"/>
      <c r="P1713" s="67">
        <v>861</v>
      </c>
      <c r="Q1713" s="68"/>
      <c r="R1713" s="69"/>
      <c r="S1713" s="69"/>
      <c r="T1713" s="69"/>
      <c r="U1713" s="69"/>
      <c r="V1713" s="69"/>
      <c r="W1713" s="68"/>
      <c r="X1713" s="70"/>
      <c r="Y1713" s="70"/>
      <c r="Z1713" s="70"/>
      <c r="AA1713" s="70"/>
      <c r="AB1713" s="70"/>
      <c r="AC1713" s="68"/>
      <c r="AD1713" s="71"/>
      <c r="AE1713" s="71"/>
      <c r="AF1713" s="71"/>
      <c r="AG1713" s="71"/>
      <c r="AH1713" s="71"/>
      <c r="AI1713" s="68"/>
      <c r="AJ1713" s="214">
        <v>4.1688828699999996E-3</v>
      </c>
      <c r="AK1713" s="214">
        <v>1.411581940642</v>
      </c>
      <c r="AL1713" s="214">
        <v>3</v>
      </c>
      <c r="AM1713" s="214">
        <v>5.4247339961626003E-4</v>
      </c>
      <c r="AN1713" s="68"/>
      <c r="AO1713" s="67"/>
      <c r="AP1713" s="67"/>
      <c r="AQ1713" s="67"/>
      <c r="AR1713" s="67"/>
      <c r="AS1713" s="67"/>
      <c r="AT1713" s="68"/>
      <c r="AU1713" s="49"/>
      <c r="AV1713" s="50"/>
    </row>
    <row r="1714" spans="1:48" ht="12.75" customHeight="1" x14ac:dyDescent="0.25">
      <c r="A1714" s="72" t="s">
        <v>20</v>
      </c>
      <c r="B1714" s="43" t="s">
        <v>1833</v>
      </c>
      <c r="C1714" s="44" t="s">
        <v>1871</v>
      </c>
      <c r="D1714" s="45">
        <f>MROUND(MID($C1714,6,3)/Basis!$E$3,0.5)</f>
        <v>8</v>
      </c>
      <c r="E1714" s="45">
        <f>MROUND(MID($C1714,9,3)/Basis!$E$3,0.5)</f>
        <v>63</v>
      </c>
      <c r="F1714" s="124" t="s">
        <v>2943</v>
      </c>
      <c r="G1714" s="45">
        <f>ROUND((ROUNDDOWN($F1714/5,0)*5+1.8)/Basis!$E$3,1)</f>
        <v>4.5999999999999996</v>
      </c>
      <c r="H1714" s="120">
        <f>ROUND($P1714*Basis!$E$2*((TaH-TrH)/LN(1/µ)/Basis!$E$7)^$N1714*$AA$4*Glycol,0)</f>
        <v>2243</v>
      </c>
      <c r="I1714" s="83">
        <f>ROUND(H1714/(MID($C1714,9,3)/Basis!$E$3/Basis!$E$9)*Basis!$E$11,0)</f>
        <v>427</v>
      </c>
      <c r="J1714" s="123">
        <f>IF(Basis!$E$1=1,ROUND(H1714/((TaH-TrH)*1.163)/3600,3),ROUND(H1714/(500*(TaH-TrH)),2))</f>
        <v>0.22</v>
      </c>
      <c r="K1714" s="84"/>
      <c r="L1714" s="177">
        <f>CHOOSE(Basis!$E$1,((AJ1714*(J1714*3600/Basis!$E$5)^AK1714*(((MID(C1714,9,3)*10)-144)/1000)*AL1714+AM1714*(J1714*3600/Basis!$E$5)^2)*0.0098)/Basis!$E$10,((AJ1714*(J1714/Basis!$E$5)^AK1714*(((MID(C1714,9,3)*10)-144)/1000)*AL1714+AM1714*(J1714/Basis!$E$5)^2)*0.0098)/Basis!$E$10)</f>
        <v>6.3402792021210316E-3</v>
      </c>
      <c r="M1714" s="85"/>
      <c r="N1714" s="110">
        <v>1.413</v>
      </c>
      <c r="O1714" s="74"/>
      <c r="P1714" s="73">
        <v>1048</v>
      </c>
      <c r="Q1714" s="74"/>
      <c r="R1714" s="75"/>
      <c r="S1714" s="75"/>
      <c r="T1714" s="75"/>
      <c r="U1714" s="75"/>
      <c r="V1714" s="75"/>
      <c r="W1714" s="74"/>
      <c r="X1714" s="76"/>
      <c r="Y1714" s="76"/>
      <c r="Z1714" s="76"/>
      <c r="AA1714" s="76"/>
      <c r="AB1714" s="76"/>
      <c r="AC1714" s="74"/>
      <c r="AD1714" s="77"/>
      <c r="AE1714" s="77"/>
      <c r="AF1714" s="77"/>
      <c r="AG1714" s="77"/>
      <c r="AH1714" s="77"/>
      <c r="AI1714" s="68"/>
      <c r="AJ1714" s="213">
        <v>3.9689999999999994E-4</v>
      </c>
      <c r="AK1714" s="213">
        <v>1.7345999999999999</v>
      </c>
      <c r="AL1714" s="213">
        <v>2</v>
      </c>
      <c r="AM1714" s="213">
        <v>3.6734700000000002E-4</v>
      </c>
      <c r="AN1714" s="74"/>
      <c r="AO1714" s="73"/>
      <c r="AP1714" s="73"/>
      <c r="AQ1714" s="73"/>
      <c r="AR1714" s="73"/>
      <c r="AS1714" s="73"/>
      <c r="AT1714" s="74"/>
      <c r="AU1714" s="47"/>
      <c r="AV1714" s="48"/>
    </row>
    <row r="1715" spans="1:48" ht="12.75" customHeight="1" x14ac:dyDescent="0.25">
      <c r="A1715" s="72" t="s">
        <v>20</v>
      </c>
      <c r="B1715" s="43" t="s">
        <v>1833</v>
      </c>
      <c r="C1715" s="44" t="s">
        <v>1872</v>
      </c>
      <c r="D1715" s="45">
        <f>MROUND(MID($C1715,6,3)/Basis!$E$3,0.5)</f>
        <v>8</v>
      </c>
      <c r="E1715" s="45">
        <f>MROUND(MID($C1715,9,3)/Basis!$E$3,0.5)</f>
        <v>63</v>
      </c>
      <c r="F1715" s="124" t="s">
        <v>2944</v>
      </c>
      <c r="G1715" s="45">
        <f>ROUND((ROUNDDOWN($F1715/5,0)*5+1.8)/Basis!$E$3,1)</f>
        <v>6.6</v>
      </c>
      <c r="H1715" s="120">
        <f>ROUND($P1715*Basis!$E$2*((TaH-TrH)/LN(1/µ)/Basis!$E$7)^$N1715*$AA$4*Glycol,0)</f>
        <v>3739</v>
      </c>
      <c r="I1715" s="83">
        <f>ROUND(H1715/(MID($C1715,9,3)/Basis!$E$3/Basis!$E$9)*Basis!$E$11,0)</f>
        <v>712</v>
      </c>
      <c r="J1715" s="123">
        <f>IF(Basis!$E$1=1,ROUND(H1715/((TaH-TrH)*1.163)/3600,3),ROUND(H1715/(500*(TaH-TrH)),2))</f>
        <v>0.37</v>
      </c>
      <c r="K1715" s="84"/>
      <c r="L1715" s="177">
        <f>CHOOSE(Basis!$E$1,((AJ1715*(J1715*3600/Basis!$E$5)^AK1715*(((MID(C1715,9,3)*10)-144)/1000)*AL1715+AM1715*(J1715*3600/Basis!$E$5)^2)*0.0098)/Basis!$E$10,((AJ1715*(J1715/Basis!$E$5)^AK1715*(((MID(C1715,9,3)*10)-144)/1000)*AL1715+AM1715*(J1715/Basis!$E$5)^2)*0.0098)/Basis!$E$10)</f>
        <v>1.4786677814499674E-2</v>
      </c>
      <c r="M1715" s="85"/>
      <c r="N1715" s="110">
        <v>1.4079999999999999</v>
      </c>
      <c r="O1715" s="74"/>
      <c r="P1715" s="73">
        <v>1744</v>
      </c>
      <c r="Q1715" s="74"/>
      <c r="R1715" s="75"/>
      <c r="S1715" s="75"/>
      <c r="T1715" s="75"/>
      <c r="U1715" s="75"/>
      <c r="V1715" s="75"/>
      <c r="W1715" s="74"/>
      <c r="X1715" s="76"/>
      <c r="Y1715" s="76"/>
      <c r="Z1715" s="76"/>
      <c r="AA1715" s="76"/>
      <c r="AB1715" s="76"/>
      <c r="AC1715" s="74"/>
      <c r="AD1715" s="77"/>
      <c r="AE1715" s="77"/>
      <c r="AF1715" s="77"/>
      <c r="AG1715" s="77"/>
      <c r="AH1715" s="77"/>
      <c r="AI1715" s="68"/>
      <c r="AJ1715" s="213">
        <v>2.0829999999999999E-4</v>
      </c>
      <c r="AK1715" s="213">
        <v>1.724</v>
      </c>
      <c r="AL1715" s="213">
        <v>2</v>
      </c>
      <c r="AM1715" s="213">
        <v>4.6182900000000003E-4</v>
      </c>
      <c r="AN1715" s="74"/>
      <c r="AO1715" s="73"/>
      <c r="AP1715" s="73"/>
      <c r="AQ1715" s="73"/>
      <c r="AR1715" s="73"/>
      <c r="AS1715" s="73"/>
      <c r="AT1715" s="74"/>
      <c r="AU1715" s="47"/>
      <c r="AV1715" s="48"/>
    </row>
    <row r="1716" spans="1:48" ht="12.75" customHeight="1" x14ac:dyDescent="0.25">
      <c r="A1716" s="72" t="s">
        <v>20</v>
      </c>
      <c r="B1716" s="43" t="s">
        <v>1833</v>
      </c>
      <c r="C1716" s="44" t="s">
        <v>1873</v>
      </c>
      <c r="D1716" s="45">
        <f>MROUND(MID($C1716,6,3)/Basis!$E$3,0.5)</f>
        <v>8</v>
      </c>
      <c r="E1716" s="45">
        <f>MROUND(MID($C1716,9,3)/Basis!$E$3,0.5)</f>
        <v>63</v>
      </c>
      <c r="F1716" s="124" t="s">
        <v>2945</v>
      </c>
      <c r="G1716" s="45">
        <f>ROUND((ROUNDDOWN($F1716/5,0)*5+1.8)/Basis!$E$3,1)</f>
        <v>8.6</v>
      </c>
      <c r="H1716" s="120">
        <f>ROUND($P1716*Basis!$E$2*((TaH-TrH)/LN(1/µ)/Basis!$E$7)^$N1716*$AA$4*Glycol,0)</f>
        <v>5255</v>
      </c>
      <c r="I1716" s="83">
        <f>ROUND(H1716/(MID($C1716,9,3)/Basis!$E$3/Basis!$E$9)*Basis!$E$11,0)</f>
        <v>1001</v>
      </c>
      <c r="J1716" s="123">
        <f>IF(Basis!$E$1=1,ROUND(H1716/((TaH-TrH)*1.163)/3600,3),ROUND(H1716/(500*(TaH-TrH)),2))</f>
        <v>0.53</v>
      </c>
      <c r="K1716" s="84"/>
      <c r="L1716" s="177">
        <f>CHOOSE(Basis!$E$1,((AJ1716*(J1716*3600/Basis!$E$5)^AK1716*(((MID(C1716,9,3)*10)-144)/1000)*AL1716+AM1716*(J1716*3600/Basis!$E$5)^2)*0.0098)/Basis!$E$10,((AJ1716*(J1716/Basis!$E$5)^AK1716*(((MID(C1716,9,3)*10)-144)/1000)*AL1716+AM1716*(J1716/Basis!$E$5)^2)*0.0098)/Basis!$E$10)</f>
        <v>2.2489158899361258E-2</v>
      </c>
      <c r="M1716" s="85"/>
      <c r="N1716" s="110">
        <v>1.4079999999999999</v>
      </c>
      <c r="O1716" s="74"/>
      <c r="P1716" s="73">
        <v>2451</v>
      </c>
      <c r="Q1716" s="74"/>
      <c r="R1716" s="75"/>
      <c r="S1716" s="75"/>
      <c r="T1716" s="75"/>
      <c r="U1716" s="75"/>
      <c r="V1716" s="75"/>
      <c r="W1716" s="74"/>
      <c r="X1716" s="76"/>
      <c r="Y1716" s="76"/>
      <c r="Z1716" s="76"/>
      <c r="AA1716" s="76"/>
      <c r="AB1716" s="76"/>
      <c r="AC1716" s="74"/>
      <c r="AD1716" s="77"/>
      <c r="AE1716" s="77"/>
      <c r="AF1716" s="77"/>
      <c r="AG1716" s="77"/>
      <c r="AH1716" s="77"/>
      <c r="AI1716" s="68"/>
      <c r="AJ1716" s="214">
        <v>1.2760000000000001E-4</v>
      </c>
      <c r="AK1716" s="214">
        <v>1.7219</v>
      </c>
      <c r="AL1716" s="214">
        <v>2</v>
      </c>
      <c r="AM1716" s="214">
        <v>3.76611E-4</v>
      </c>
      <c r="AN1716" s="74"/>
      <c r="AO1716" s="73"/>
      <c r="AP1716" s="73"/>
      <c r="AQ1716" s="73"/>
      <c r="AR1716" s="73"/>
      <c r="AS1716" s="73"/>
      <c r="AT1716" s="74"/>
      <c r="AU1716" s="47"/>
      <c r="AV1716" s="48"/>
    </row>
    <row r="1717" spans="1:48" ht="12.75" customHeight="1" x14ac:dyDescent="0.25">
      <c r="A1717" s="72" t="s">
        <v>20</v>
      </c>
      <c r="B1717" s="43" t="s">
        <v>1833</v>
      </c>
      <c r="C1717" s="44" t="s">
        <v>1874</v>
      </c>
      <c r="D1717" s="45">
        <f>MROUND(MID($C1717,6,3)/Basis!$E$3,0.5)</f>
        <v>8</v>
      </c>
      <c r="E1717" s="45">
        <f>MROUND(MID($C1717,9,3)/Basis!$E$3,0.5)</f>
        <v>71</v>
      </c>
      <c r="F1717" s="124" t="s">
        <v>2949</v>
      </c>
      <c r="G1717" s="45">
        <f>ROUND((ROUNDDOWN($F1717/5,0)*5+3.5)/Basis!$E$3,1)</f>
        <v>3.3</v>
      </c>
      <c r="H1717" s="120">
        <f>ROUND($P1717*Basis!$E$2*((TaH-TrH)/LN(1/µ)/Basis!$E$7)^$N1717*$AA$4*Glycol,0)</f>
        <v>2074</v>
      </c>
      <c r="I1717" s="83">
        <f>ROUND(H1717/(MID($C1717,9,3)/Basis!$E$3/Basis!$E$9)*Basis!$E$11,0)</f>
        <v>351</v>
      </c>
      <c r="J1717" s="123">
        <f>IF(Basis!$E$1=1,ROUND(H1717/((TaH-TrH)*1.163)/3600,3),ROUND(H1717/(500*(TaH-TrH)),2))</f>
        <v>0.21</v>
      </c>
      <c r="K1717" s="84"/>
      <c r="L1717" s="177">
        <f>CHOOSE(Basis!$E$1,((AJ1717*(J1717*3600/Basis!$E$5)^AK1717*(((MID(C1717,9,3)*10)-144)/1000)*AL1717+AM1717*(J1717*3600/Basis!$E$5)^2)*0.0098)/Basis!$E$10,((AJ1717*(J1717/Basis!$E$5)^AK1717*(((MID(C1717,9,3)*10)-144)/1000)*AL1717+AM1717*(J1717/Basis!$E$5)^2)*0.0098)/Basis!$E$10)</f>
        <v>1.9885330603401204E-2</v>
      </c>
      <c r="M1717" s="85"/>
      <c r="N1717" s="110">
        <v>1.41</v>
      </c>
      <c r="O1717" s="74"/>
      <c r="P1717" s="73">
        <v>968</v>
      </c>
      <c r="Q1717" s="74"/>
      <c r="R1717" s="75"/>
      <c r="S1717" s="75"/>
      <c r="T1717" s="75"/>
      <c r="U1717" s="75"/>
      <c r="V1717" s="75"/>
      <c r="W1717" s="74"/>
      <c r="X1717" s="76"/>
      <c r="Y1717" s="76"/>
      <c r="Z1717" s="76"/>
      <c r="AA1717" s="76"/>
      <c r="AB1717" s="76"/>
      <c r="AC1717" s="74"/>
      <c r="AD1717" s="77"/>
      <c r="AE1717" s="77"/>
      <c r="AF1717" s="77"/>
      <c r="AG1717" s="77"/>
      <c r="AH1717" s="77"/>
      <c r="AI1717" s="68"/>
      <c r="AJ1717" s="213">
        <v>4.1688828699999996E-3</v>
      </c>
      <c r="AK1717" s="213">
        <v>1.411581940642</v>
      </c>
      <c r="AL1717" s="213">
        <v>3</v>
      </c>
      <c r="AM1717" s="213">
        <v>5.4247339961626003E-4</v>
      </c>
      <c r="AN1717" s="74"/>
      <c r="AO1717" s="73"/>
      <c r="AP1717" s="73"/>
      <c r="AQ1717" s="73"/>
      <c r="AR1717" s="73"/>
      <c r="AS1717" s="73"/>
      <c r="AT1717" s="74"/>
      <c r="AU1717" s="47"/>
      <c r="AV1717" s="48"/>
    </row>
    <row r="1718" spans="1:48" ht="12.75" customHeight="1" x14ac:dyDescent="0.25">
      <c r="A1718" s="72" t="s">
        <v>20</v>
      </c>
      <c r="B1718" s="43" t="s">
        <v>1833</v>
      </c>
      <c r="C1718" s="44" t="s">
        <v>1875</v>
      </c>
      <c r="D1718" s="45">
        <f>MROUND(MID($C1718,6,3)/Basis!$E$3,0.5)</f>
        <v>8</v>
      </c>
      <c r="E1718" s="45">
        <f>MROUND(MID($C1718,9,3)/Basis!$E$3,0.5)</f>
        <v>71</v>
      </c>
      <c r="F1718" s="124" t="s">
        <v>2943</v>
      </c>
      <c r="G1718" s="45">
        <f>ROUND((ROUNDDOWN($F1718/5,0)*5+1.8)/Basis!$E$3,1)</f>
        <v>4.5999999999999996</v>
      </c>
      <c r="H1718" s="120">
        <f>ROUND($P1718*Basis!$E$2*((TaH-TrH)/LN(1/µ)/Basis!$E$7)^$N1718*$AA$4*Glycol,0)</f>
        <v>2524</v>
      </c>
      <c r="I1718" s="83">
        <f>ROUND(H1718/(MID($C1718,9,3)/Basis!$E$3/Basis!$E$9)*Basis!$E$11,0)</f>
        <v>427</v>
      </c>
      <c r="J1718" s="123">
        <f>IF(Basis!$E$1=1,ROUND(H1718/((TaH-TrH)*1.163)/3600,3),ROUND(H1718/(500*(TaH-TrH)),2))</f>
        <v>0.25</v>
      </c>
      <c r="K1718" s="84"/>
      <c r="L1718" s="177">
        <f>CHOOSE(Basis!$E$1,((AJ1718*(J1718*3600/Basis!$E$5)^AK1718*(((MID(C1718,9,3)*10)-144)/1000)*AL1718+AM1718*(J1718*3600/Basis!$E$5)^2)*0.0098)/Basis!$E$10,((AJ1718*(J1718/Basis!$E$5)^AK1718*(((MID(C1718,9,3)*10)-144)/1000)*AL1718+AM1718*(J1718/Basis!$E$5)^2)*0.0098)/Basis!$E$10)</f>
        <v>8.6163343041734883E-3</v>
      </c>
      <c r="M1718" s="85"/>
      <c r="N1718" s="109">
        <v>1.413</v>
      </c>
      <c r="O1718" s="68"/>
      <c r="P1718" s="67">
        <v>1179</v>
      </c>
      <c r="Q1718" s="68"/>
      <c r="R1718" s="69"/>
      <c r="S1718" s="69"/>
      <c r="T1718" s="69"/>
      <c r="U1718" s="69"/>
      <c r="V1718" s="69"/>
      <c r="W1718" s="68"/>
      <c r="X1718" s="70"/>
      <c r="Y1718" s="70"/>
      <c r="Z1718" s="70"/>
      <c r="AA1718" s="70"/>
      <c r="AB1718" s="70"/>
      <c r="AC1718" s="68"/>
      <c r="AD1718" s="71"/>
      <c r="AE1718" s="71"/>
      <c r="AF1718" s="71"/>
      <c r="AG1718" s="71"/>
      <c r="AH1718" s="71"/>
      <c r="AI1718" s="68"/>
      <c r="AJ1718" s="214">
        <v>3.9689999999999994E-4</v>
      </c>
      <c r="AK1718" s="214">
        <v>1.7345999999999999</v>
      </c>
      <c r="AL1718" s="214">
        <v>2</v>
      </c>
      <c r="AM1718" s="214">
        <v>3.6734700000000002E-4</v>
      </c>
      <c r="AN1718" s="68"/>
      <c r="AO1718" s="67"/>
      <c r="AP1718" s="67"/>
      <c r="AQ1718" s="67"/>
      <c r="AR1718" s="67"/>
      <c r="AS1718" s="67"/>
      <c r="AT1718" s="68"/>
      <c r="AU1718" s="49"/>
      <c r="AV1718" s="50"/>
    </row>
    <row r="1719" spans="1:48" ht="12.75" customHeight="1" x14ac:dyDescent="0.25">
      <c r="A1719" s="72" t="s">
        <v>20</v>
      </c>
      <c r="B1719" s="43" t="s">
        <v>1833</v>
      </c>
      <c r="C1719" s="44" t="s">
        <v>1876</v>
      </c>
      <c r="D1719" s="45">
        <f>MROUND(MID($C1719,6,3)/Basis!$E$3,0.5)</f>
        <v>8</v>
      </c>
      <c r="E1719" s="45">
        <f>MROUND(MID($C1719,9,3)/Basis!$E$3,0.5)</f>
        <v>71</v>
      </c>
      <c r="F1719" s="124" t="s">
        <v>2944</v>
      </c>
      <c r="G1719" s="45">
        <f>ROUND((ROUNDDOWN($F1719/5,0)*5+1.8)/Basis!$E$3,1)</f>
        <v>6.6</v>
      </c>
      <c r="H1719" s="120">
        <f>ROUND($P1719*Basis!$E$2*((TaH-TrH)/LN(1/µ)/Basis!$E$7)^$N1719*$AA$4*Glycol,0)</f>
        <v>4206</v>
      </c>
      <c r="I1719" s="83">
        <f>ROUND(H1719/(MID($C1719,9,3)/Basis!$E$3/Basis!$E$9)*Basis!$E$11,0)</f>
        <v>712</v>
      </c>
      <c r="J1719" s="123">
        <f>IF(Basis!$E$1=1,ROUND(H1719/((TaH-TrH)*1.163)/3600,3),ROUND(H1719/(500*(TaH-TrH)),2))</f>
        <v>0.42</v>
      </c>
      <c r="K1719" s="84"/>
      <c r="L1719" s="177">
        <f>CHOOSE(Basis!$E$1,((AJ1719*(J1719*3600/Basis!$E$5)^AK1719*(((MID(C1719,9,3)*10)-144)/1000)*AL1719+AM1719*(J1719*3600/Basis!$E$5)^2)*0.0098)/Basis!$E$10,((AJ1719*(J1719/Basis!$E$5)^AK1719*(((MID(C1719,9,3)*10)-144)/1000)*AL1719+AM1719*(J1719/Basis!$E$5)^2)*0.0098)/Basis!$E$10)</f>
        <v>1.9575082342513456E-2</v>
      </c>
      <c r="M1719" s="85"/>
      <c r="N1719" s="109">
        <v>1.4079999999999999</v>
      </c>
      <c r="O1719" s="68"/>
      <c r="P1719" s="67">
        <v>1962</v>
      </c>
      <c r="Q1719" s="68"/>
      <c r="R1719" s="69"/>
      <c r="S1719" s="69"/>
      <c r="T1719" s="69"/>
      <c r="U1719" s="69"/>
      <c r="V1719" s="69"/>
      <c r="W1719" s="68"/>
      <c r="X1719" s="70"/>
      <c r="Y1719" s="70"/>
      <c r="Z1719" s="70"/>
      <c r="AA1719" s="70"/>
      <c r="AB1719" s="70"/>
      <c r="AC1719" s="68"/>
      <c r="AD1719" s="71"/>
      <c r="AE1719" s="71"/>
      <c r="AF1719" s="71"/>
      <c r="AG1719" s="71"/>
      <c r="AH1719" s="71"/>
      <c r="AI1719" s="68"/>
      <c r="AJ1719" s="214">
        <v>2.0829999999999999E-4</v>
      </c>
      <c r="AK1719" s="214">
        <v>1.724</v>
      </c>
      <c r="AL1719" s="214">
        <v>2</v>
      </c>
      <c r="AM1719" s="214">
        <v>4.6182900000000003E-4</v>
      </c>
      <c r="AN1719" s="68"/>
      <c r="AO1719" s="67"/>
      <c r="AP1719" s="67"/>
      <c r="AQ1719" s="67"/>
      <c r="AR1719" s="67"/>
      <c r="AS1719" s="67"/>
      <c r="AT1719" s="68"/>
      <c r="AU1719" s="49"/>
      <c r="AV1719" s="50"/>
    </row>
    <row r="1720" spans="1:48" ht="12.75" customHeight="1" x14ac:dyDescent="0.25">
      <c r="A1720" s="72" t="s">
        <v>20</v>
      </c>
      <c r="B1720" s="43" t="s">
        <v>1833</v>
      </c>
      <c r="C1720" s="44" t="s">
        <v>1877</v>
      </c>
      <c r="D1720" s="45">
        <f>MROUND(MID($C1720,6,3)/Basis!$E$3,0.5)</f>
        <v>8</v>
      </c>
      <c r="E1720" s="45">
        <f>MROUND(MID($C1720,9,3)/Basis!$E$3,0.5)</f>
        <v>71</v>
      </c>
      <c r="F1720" s="124" t="s">
        <v>2945</v>
      </c>
      <c r="G1720" s="45">
        <f>ROUND((ROUNDDOWN($F1720/5,0)*5+1.8)/Basis!$E$3,1)</f>
        <v>8.6</v>
      </c>
      <c r="H1720" s="120">
        <f>ROUND($P1720*Basis!$E$2*((TaH-TrH)/LN(1/µ)/Basis!$E$7)^$N1720*$AA$4*Glycol,0)</f>
        <v>5913</v>
      </c>
      <c r="I1720" s="83">
        <f>ROUND(H1720/(MID($C1720,9,3)/Basis!$E$3/Basis!$E$9)*Basis!$E$11,0)</f>
        <v>1001</v>
      </c>
      <c r="J1720" s="123">
        <f>IF(Basis!$E$1=1,ROUND(H1720/((TaH-TrH)*1.163)/3600,3),ROUND(H1720/(500*(TaH-TrH)),2))</f>
        <v>0.59</v>
      </c>
      <c r="K1720" s="84"/>
      <c r="L1720" s="177">
        <f>CHOOSE(Basis!$E$1,((AJ1720*(J1720*3600/Basis!$E$5)^AK1720*(((MID(C1720,9,3)*10)-144)/1000)*AL1720+AM1720*(J1720*3600/Basis!$E$5)^2)*0.0098)/Basis!$E$10,((AJ1720*(J1720/Basis!$E$5)^AK1720*(((MID(C1720,9,3)*10)-144)/1000)*AL1720+AM1720*(J1720/Basis!$E$5)^2)*0.0098)/Basis!$E$10)</f>
        <v>2.8467646728980531E-2</v>
      </c>
      <c r="M1720" s="85"/>
      <c r="N1720" s="109">
        <v>1.4079999999999999</v>
      </c>
      <c r="O1720" s="68"/>
      <c r="P1720" s="67">
        <v>2758</v>
      </c>
      <c r="Q1720" s="68"/>
      <c r="R1720" s="69"/>
      <c r="S1720" s="69"/>
      <c r="T1720" s="69"/>
      <c r="U1720" s="69"/>
      <c r="V1720" s="69"/>
      <c r="W1720" s="68"/>
      <c r="X1720" s="70"/>
      <c r="Y1720" s="70"/>
      <c r="Z1720" s="70"/>
      <c r="AA1720" s="70"/>
      <c r="AB1720" s="70"/>
      <c r="AC1720" s="68"/>
      <c r="AD1720" s="71"/>
      <c r="AE1720" s="71"/>
      <c r="AF1720" s="71"/>
      <c r="AG1720" s="71"/>
      <c r="AH1720" s="71"/>
      <c r="AI1720" s="68"/>
      <c r="AJ1720" s="214">
        <v>1.2760000000000001E-4</v>
      </c>
      <c r="AK1720" s="214">
        <v>1.7219</v>
      </c>
      <c r="AL1720" s="214">
        <v>2</v>
      </c>
      <c r="AM1720" s="214">
        <v>3.76611E-4</v>
      </c>
      <c r="AN1720" s="68"/>
      <c r="AO1720" s="67"/>
      <c r="AP1720" s="67"/>
      <c r="AQ1720" s="67"/>
      <c r="AR1720" s="67"/>
      <c r="AS1720" s="67"/>
      <c r="AT1720" s="68"/>
      <c r="AU1720" s="49"/>
      <c r="AV1720" s="50"/>
    </row>
    <row r="1721" spans="1:48" ht="12.75" customHeight="1" x14ac:dyDescent="0.25">
      <c r="A1721" s="72" t="s">
        <v>20</v>
      </c>
      <c r="B1721" s="43" t="s">
        <v>1833</v>
      </c>
      <c r="C1721" s="44" t="s">
        <v>1878</v>
      </c>
      <c r="D1721" s="45">
        <f>MROUND(MID($C1721,6,3)/Basis!$E$3,0.5)</f>
        <v>8</v>
      </c>
      <c r="E1721" s="45">
        <f>MROUND(MID($C1721,9,3)/Basis!$E$3,0.5)</f>
        <v>78.5</v>
      </c>
      <c r="F1721" s="124" t="s">
        <v>2949</v>
      </c>
      <c r="G1721" s="45">
        <f>ROUND((ROUNDDOWN($F1721/5,0)*5+3.5)/Basis!$E$3,1)</f>
        <v>3.3</v>
      </c>
      <c r="H1721" s="120">
        <f>ROUND($P1721*Basis!$E$2*((TaH-TrH)/LN(1/µ)/Basis!$E$7)^$N1721*$AA$4*Glycol,0)</f>
        <v>2305</v>
      </c>
      <c r="I1721" s="83">
        <f>ROUND(H1721/(MID($C1721,9,3)/Basis!$E$3/Basis!$E$9)*Basis!$E$11,0)</f>
        <v>351</v>
      </c>
      <c r="J1721" s="123">
        <f>IF(Basis!$E$1=1,ROUND(H1721/((TaH-TrH)*1.163)/3600,3),ROUND(H1721/(500*(TaH-TrH)),2))</f>
        <v>0.23</v>
      </c>
      <c r="K1721" s="84"/>
      <c r="L1721" s="177">
        <f>CHOOSE(Basis!$E$1,((AJ1721*(J1721*3600/Basis!$E$5)^AK1721*(((MID(C1721,9,3)*10)-144)/1000)*AL1721+AM1721*(J1721*3600/Basis!$E$5)^2)*0.0098)/Basis!$E$10,((AJ1721*(J1721/Basis!$E$5)^AK1721*(((MID(C1721,9,3)*10)-144)/1000)*AL1721+AM1721*(J1721/Basis!$E$5)^2)*0.0098)/Basis!$E$10)</f>
        <v>2.5038959264824547E-2</v>
      </c>
      <c r="M1721" s="85"/>
      <c r="N1721" s="109">
        <v>1.41</v>
      </c>
      <c r="O1721" s="68"/>
      <c r="P1721" s="67">
        <v>1076</v>
      </c>
      <c r="Q1721" s="68"/>
      <c r="R1721" s="69"/>
      <c r="S1721" s="69"/>
      <c r="T1721" s="69"/>
      <c r="U1721" s="69"/>
      <c r="V1721" s="69"/>
      <c r="W1721" s="68"/>
      <c r="X1721" s="70"/>
      <c r="Y1721" s="70"/>
      <c r="Z1721" s="70"/>
      <c r="AA1721" s="70"/>
      <c r="AB1721" s="70"/>
      <c r="AC1721" s="68"/>
      <c r="AD1721" s="71"/>
      <c r="AE1721" s="71"/>
      <c r="AF1721" s="71"/>
      <c r="AG1721" s="71"/>
      <c r="AH1721" s="71"/>
      <c r="AI1721" s="68"/>
      <c r="AJ1721" s="214">
        <v>4.1688828699999996E-3</v>
      </c>
      <c r="AK1721" s="214">
        <v>1.411581940642</v>
      </c>
      <c r="AL1721" s="214">
        <v>3</v>
      </c>
      <c r="AM1721" s="214">
        <v>5.4247339961626003E-4</v>
      </c>
      <c r="AN1721" s="68"/>
      <c r="AO1721" s="67"/>
      <c r="AP1721" s="67"/>
      <c r="AQ1721" s="67"/>
      <c r="AR1721" s="67"/>
      <c r="AS1721" s="67"/>
      <c r="AT1721" s="68"/>
      <c r="AU1721" s="49"/>
      <c r="AV1721" s="50"/>
    </row>
    <row r="1722" spans="1:48" ht="12.75" customHeight="1" x14ac:dyDescent="0.25">
      <c r="A1722" s="72" t="s">
        <v>20</v>
      </c>
      <c r="B1722" s="43" t="s">
        <v>1833</v>
      </c>
      <c r="C1722" s="44" t="s">
        <v>1879</v>
      </c>
      <c r="D1722" s="45">
        <f>MROUND(MID($C1722,6,3)/Basis!$E$3,0.5)</f>
        <v>8</v>
      </c>
      <c r="E1722" s="45">
        <f>MROUND(MID($C1722,9,3)/Basis!$E$3,0.5)</f>
        <v>78.5</v>
      </c>
      <c r="F1722" s="124" t="s">
        <v>2943</v>
      </c>
      <c r="G1722" s="45">
        <f>ROUND((ROUNDDOWN($F1722/5,0)*5+1.8)/Basis!$E$3,1)</f>
        <v>4.5999999999999996</v>
      </c>
      <c r="H1722" s="120">
        <f>ROUND($P1722*Basis!$E$2*((TaH-TrH)/LN(1/µ)/Basis!$E$7)^$N1722*$AA$4*Glycol,0)</f>
        <v>2804</v>
      </c>
      <c r="I1722" s="83">
        <f>ROUND(H1722/(MID($C1722,9,3)/Basis!$E$3/Basis!$E$9)*Basis!$E$11,0)</f>
        <v>427</v>
      </c>
      <c r="J1722" s="123">
        <f>IF(Basis!$E$1=1,ROUND(H1722/((TaH-TrH)*1.163)/3600,3),ROUND(H1722/(500*(TaH-TrH)),2))</f>
        <v>0.28000000000000003</v>
      </c>
      <c r="K1722" s="84"/>
      <c r="L1722" s="177">
        <f>CHOOSE(Basis!$E$1,((AJ1722*(J1722*3600/Basis!$E$5)^AK1722*(((MID(C1722,9,3)*10)-144)/1000)*AL1722+AM1722*(J1722*3600/Basis!$E$5)^2)*0.0098)/Basis!$E$10,((AJ1722*(J1722/Basis!$E$5)^AK1722*(((MID(C1722,9,3)*10)-144)/1000)*AL1722+AM1722*(J1722/Basis!$E$5)^2)*0.0098)/Basis!$E$10)</f>
        <v>1.1329396121928459E-2</v>
      </c>
      <c r="M1722" s="85"/>
      <c r="N1722" s="110">
        <v>1.413</v>
      </c>
      <c r="O1722" s="74"/>
      <c r="P1722" s="73">
        <v>1310</v>
      </c>
      <c r="Q1722" s="74"/>
      <c r="R1722" s="75"/>
      <c r="S1722" s="75"/>
      <c r="T1722" s="75"/>
      <c r="U1722" s="75"/>
      <c r="V1722" s="75"/>
      <c r="W1722" s="74"/>
      <c r="X1722" s="76"/>
      <c r="Y1722" s="76"/>
      <c r="Z1722" s="76"/>
      <c r="AA1722" s="76"/>
      <c r="AB1722" s="76"/>
      <c r="AC1722" s="74"/>
      <c r="AD1722" s="77"/>
      <c r="AE1722" s="77"/>
      <c r="AF1722" s="77"/>
      <c r="AG1722" s="77"/>
      <c r="AH1722" s="77"/>
      <c r="AI1722" s="68"/>
      <c r="AJ1722" s="213">
        <v>3.9689999999999994E-4</v>
      </c>
      <c r="AK1722" s="213">
        <v>1.7345999999999999</v>
      </c>
      <c r="AL1722" s="213">
        <v>2</v>
      </c>
      <c r="AM1722" s="213">
        <v>3.6734700000000002E-4</v>
      </c>
      <c r="AN1722" s="74"/>
      <c r="AO1722" s="73"/>
      <c r="AP1722" s="73"/>
      <c r="AQ1722" s="73"/>
      <c r="AR1722" s="73"/>
      <c r="AS1722" s="73"/>
      <c r="AT1722" s="74"/>
      <c r="AU1722" s="47"/>
      <c r="AV1722" s="48"/>
    </row>
    <row r="1723" spans="1:48" ht="12.75" customHeight="1" x14ac:dyDescent="0.25">
      <c r="A1723" s="72" t="s">
        <v>20</v>
      </c>
      <c r="B1723" s="43" t="s">
        <v>1833</v>
      </c>
      <c r="C1723" s="44" t="s">
        <v>1880</v>
      </c>
      <c r="D1723" s="45">
        <f>MROUND(MID($C1723,6,3)/Basis!$E$3,0.5)</f>
        <v>8</v>
      </c>
      <c r="E1723" s="45">
        <f>MROUND(MID($C1723,9,3)/Basis!$E$3,0.5)</f>
        <v>78.5</v>
      </c>
      <c r="F1723" s="124" t="s">
        <v>2944</v>
      </c>
      <c r="G1723" s="45">
        <f>ROUND((ROUNDDOWN($F1723/5,0)*5+1.8)/Basis!$E$3,1)</f>
        <v>6.6</v>
      </c>
      <c r="H1723" s="120">
        <f>ROUND($P1723*Basis!$E$2*((TaH-TrH)/LN(1/µ)/Basis!$E$7)^$N1723*$AA$4*Glycol,0)</f>
        <v>4674</v>
      </c>
      <c r="I1723" s="83">
        <f>ROUND(H1723/(MID($C1723,9,3)/Basis!$E$3/Basis!$E$9)*Basis!$E$11,0)</f>
        <v>712</v>
      </c>
      <c r="J1723" s="123">
        <f>IF(Basis!$E$1=1,ROUND(H1723/((TaH-TrH)*1.163)/3600,3),ROUND(H1723/(500*(TaH-TrH)),2))</f>
        <v>0.47</v>
      </c>
      <c r="K1723" s="84"/>
      <c r="L1723" s="177">
        <f>CHOOSE(Basis!$E$1,((AJ1723*(J1723*3600/Basis!$E$5)^AK1723*(((MID(C1723,9,3)*10)-144)/1000)*AL1723+AM1723*(J1723*3600/Basis!$E$5)^2)*0.0098)/Basis!$E$10,((AJ1723*(J1723/Basis!$E$5)^AK1723*(((MID(C1723,9,3)*10)-144)/1000)*AL1723+AM1723*(J1723/Basis!$E$5)^2)*0.0098)/Basis!$E$10)</f>
        <v>2.5145301667064975E-2</v>
      </c>
      <c r="M1723" s="85"/>
      <c r="N1723" s="110">
        <v>1.4079999999999999</v>
      </c>
      <c r="O1723" s="74"/>
      <c r="P1723" s="73">
        <v>2180</v>
      </c>
      <c r="Q1723" s="74"/>
      <c r="R1723" s="75"/>
      <c r="S1723" s="75"/>
      <c r="T1723" s="75"/>
      <c r="U1723" s="75"/>
      <c r="V1723" s="75"/>
      <c r="W1723" s="74"/>
      <c r="X1723" s="76"/>
      <c r="Y1723" s="76"/>
      <c r="Z1723" s="76"/>
      <c r="AA1723" s="76"/>
      <c r="AB1723" s="76"/>
      <c r="AC1723" s="74"/>
      <c r="AD1723" s="77"/>
      <c r="AE1723" s="77"/>
      <c r="AF1723" s="77"/>
      <c r="AG1723" s="77"/>
      <c r="AH1723" s="77"/>
      <c r="AI1723" s="68"/>
      <c r="AJ1723" s="213">
        <v>2.0829999999999999E-4</v>
      </c>
      <c r="AK1723" s="213">
        <v>1.724</v>
      </c>
      <c r="AL1723" s="213">
        <v>2</v>
      </c>
      <c r="AM1723" s="213">
        <v>4.6182900000000003E-4</v>
      </c>
      <c r="AN1723" s="74"/>
      <c r="AO1723" s="73"/>
      <c r="AP1723" s="73"/>
      <c r="AQ1723" s="73"/>
      <c r="AR1723" s="73"/>
      <c r="AS1723" s="73"/>
      <c r="AT1723" s="74"/>
      <c r="AU1723" s="47"/>
      <c r="AV1723" s="48"/>
    </row>
    <row r="1724" spans="1:48" ht="12.75" customHeight="1" x14ac:dyDescent="0.25">
      <c r="A1724" s="72" t="s">
        <v>20</v>
      </c>
      <c r="B1724" s="43" t="s">
        <v>1833</v>
      </c>
      <c r="C1724" s="44" t="s">
        <v>1881</v>
      </c>
      <c r="D1724" s="45">
        <f>MROUND(MID($C1724,6,3)/Basis!$E$3,0.5)</f>
        <v>8</v>
      </c>
      <c r="E1724" s="45">
        <f>MROUND(MID($C1724,9,3)/Basis!$E$3,0.5)</f>
        <v>78.5</v>
      </c>
      <c r="F1724" s="124" t="s">
        <v>2945</v>
      </c>
      <c r="G1724" s="45">
        <f>ROUND((ROUNDDOWN($F1724/5,0)*5+1.8)/Basis!$E$3,1)</f>
        <v>8.6</v>
      </c>
      <c r="H1724" s="120">
        <f>ROUND($P1724*Basis!$E$2*((TaH-TrH)/LN(1/µ)/Basis!$E$7)^$N1724*$AA$4*Glycol,0)</f>
        <v>6569</v>
      </c>
      <c r="I1724" s="83">
        <f>ROUND(H1724/(MID($C1724,9,3)/Basis!$E$3/Basis!$E$9)*Basis!$E$11,0)</f>
        <v>1001</v>
      </c>
      <c r="J1724" s="123">
        <f>IF(Basis!$E$1=1,ROUND(H1724/((TaH-TrH)*1.163)/3600,3),ROUND(H1724/(500*(TaH-TrH)),2))</f>
        <v>0.66</v>
      </c>
      <c r="K1724" s="84"/>
      <c r="L1724" s="177">
        <f>CHOOSE(Basis!$E$1,((AJ1724*(J1724*3600/Basis!$E$5)^AK1724*(((MID(C1724,9,3)*10)-144)/1000)*AL1724+AM1724*(J1724*3600/Basis!$E$5)^2)*0.0098)/Basis!$E$10,((AJ1724*(J1724/Basis!$E$5)^AK1724*(((MID(C1724,9,3)*10)-144)/1000)*AL1724+AM1724*(J1724/Basis!$E$5)^2)*0.0098)/Basis!$E$10)</f>
        <v>3.6310259404728894E-2</v>
      </c>
      <c r="M1724" s="85"/>
      <c r="N1724" s="110">
        <v>1.4079999999999999</v>
      </c>
      <c r="O1724" s="74"/>
      <c r="P1724" s="73">
        <v>3064</v>
      </c>
      <c r="Q1724" s="74"/>
      <c r="R1724" s="75"/>
      <c r="S1724" s="75"/>
      <c r="T1724" s="75"/>
      <c r="U1724" s="75"/>
      <c r="V1724" s="75"/>
      <c r="W1724" s="74"/>
      <c r="X1724" s="76"/>
      <c r="Y1724" s="76"/>
      <c r="Z1724" s="76"/>
      <c r="AA1724" s="76"/>
      <c r="AB1724" s="76"/>
      <c r="AC1724" s="74"/>
      <c r="AD1724" s="77"/>
      <c r="AE1724" s="77"/>
      <c r="AF1724" s="77"/>
      <c r="AG1724" s="77"/>
      <c r="AH1724" s="77"/>
      <c r="AI1724" s="68"/>
      <c r="AJ1724" s="214">
        <v>1.2760000000000001E-4</v>
      </c>
      <c r="AK1724" s="214">
        <v>1.7219</v>
      </c>
      <c r="AL1724" s="214">
        <v>2</v>
      </c>
      <c r="AM1724" s="214">
        <v>3.76611E-4</v>
      </c>
      <c r="AN1724" s="74"/>
      <c r="AO1724" s="73"/>
      <c r="AP1724" s="73"/>
      <c r="AQ1724" s="73"/>
      <c r="AR1724" s="73"/>
      <c r="AS1724" s="73"/>
      <c r="AT1724" s="74"/>
      <c r="AU1724" s="47"/>
      <c r="AV1724" s="48"/>
    </row>
    <row r="1725" spans="1:48" ht="12.75" customHeight="1" x14ac:dyDescent="0.25">
      <c r="A1725" s="72" t="s">
        <v>20</v>
      </c>
      <c r="B1725" s="43" t="s">
        <v>1833</v>
      </c>
      <c r="C1725" s="44" t="s">
        <v>1882</v>
      </c>
      <c r="D1725" s="45">
        <f>MROUND(MID($C1725,6,3)/Basis!$E$3,0.5)</f>
        <v>8</v>
      </c>
      <c r="E1725" s="45">
        <f>MROUND(MID($C1725,9,3)/Basis!$E$3,0.5)</f>
        <v>94.5</v>
      </c>
      <c r="F1725" s="124" t="s">
        <v>2949</v>
      </c>
      <c r="G1725" s="45">
        <f>ROUND((ROUNDDOWN($F1725/5,0)*5+3.5)/Basis!$E$3,1)</f>
        <v>3.3</v>
      </c>
      <c r="H1725" s="120">
        <f>ROUND($P1725*Basis!$E$2*((TaH-TrH)/LN(1/µ)/Basis!$E$7)^$N1725*$AA$4*Glycol,0)</f>
        <v>2766</v>
      </c>
      <c r="I1725" s="83">
        <f>ROUND(H1725/(MID($C1725,9,3)/Basis!$E$3/Basis!$E$9)*Basis!$E$11,0)</f>
        <v>351</v>
      </c>
      <c r="J1725" s="123">
        <f>IF(Basis!$E$1=1,ROUND(H1725/((TaH-TrH)*1.163)/3600,3),ROUND(H1725/(500*(TaH-TrH)),2))</f>
        <v>0.28000000000000003</v>
      </c>
      <c r="K1725" s="84"/>
      <c r="L1725" s="177">
        <f>CHOOSE(Basis!$E$1,((AJ1725*(J1725*3600/Basis!$E$5)^AK1725*(((MID(C1725,9,3)*10)-144)/1000)*AL1725+AM1725*(J1725*3600/Basis!$E$5)^2)*0.0098)/Basis!$E$10,((AJ1725*(J1725/Basis!$E$5)^AK1725*(((MID(C1725,9,3)*10)-144)/1000)*AL1725+AM1725*(J1725/Basis!$E$5)^2)*0.0098)/Basis!$E$10)</f>
        <v>3.9583254262503434E-2</v>
      </c>
      <c r="M1725" s="85"/>
      <c r="N1725" s="110">
        <v>1.41</v>
      </c>
      <c r="O1725" s="74"/>
      <c r="P1725" s="73">
        <v>1291</v>
      </c>
      <c r="Q1725" s="74"/>
      <c r="R1725" s="75"/>
      <c r="S1725" s="75"/>
      <c r="T1725" s="75"/>
      <c r="U1725" s="75"/>
      <c r="V1725" s="75"/>
      <c r="W1725" s="74"/>
      <c r="X1725" s="76"/>
      <c r="Y1725" s="76"/>
      <c r="Z1725" s="76"/>
      <c r="AA1725" s="76"/>
      <c r="AB1725" s="76"/>
      <c r="AC1725" s="74"/>
      <c r="AD1725" s="77"/>
      <c r="AE1725" s="77"/>
      <c r="AF1725" s="77"/>
      <c r="AG1725" s="77"/>
      <c r="AH1725" s="77"/>
      <c r="AI1725" s="68"/>
      <c r="AJ1725" s="213">
        <v>4.1688828699999996E-3</v>
      </c>
      <c r="AK1725" s="213">
        <v>1.411581940642</v>
      </c>
      <c r="AL1725" s="213">
        <v>3</v>
      </c>
      <c r="AM1725" s="213">
        <v>5.4247339961626003E-4</v>
      </c>
      <c r="AN1725" s="74"/>
      <c r="AO1725" s="73"/>
      <c r="AP1725" s="73"/>
      <c r="AQ1725" s="73"/>
      <c r="AR1725" s="73"/>
      <c r="AS1725" s="73"/>
      <c r="AT1725" s="74"/>
      <c r="AU1725" s="47"/>
      <c r="AV1725" s="48"/>
    </row>
    <row r="1726" spans="1:48" ht="12.75" customHeight="1" x14ac:dyDescent="0.25">
      <c r="A1726" s="72" t="s">
        <v>20</v>
      </c>
      <c r="B1726" s="43" t="s">
        <v>1833</v>
      </c>
      <c r="C1726" s="44" t="s">
        <v>1883</v>
      </c>
      <c r="D1726" s="45">
        <f>MROUND(MID($C1726,6,3)/Basis!$E$3,0.5)</f>
        <v>8</v>
      </c>
      <c r="E1726" s="45">
        <f>MROUND(MID($C1726,9,3)/Basis!$E$3,0.5)</f>
        <v>94.5</v>
      </c>
      <c r="F1726" s="124" t="s">
        <v>2943</v>
      </c>
      <c r="G1726" s="45">
        <f>ROUND((ROUNDDOWN($F1726/5,0)*5+1.8)/Basis!$E$3,1)</f>
        <v>4.5999999999999996</v>
      </c>
      <c r="H1726" s="120">
        <f>ROUND($P1726*Basis!$E$2*((TaH-TrH)/LN(1/µ)/Basis!$E$7)^$N1726*$AA$4*Glycol,0)</f>
        <v>3365</v>
      </c>
      <c r="I1726" s="83">
        <f>ROUND(H1726/(MID($C1726,9,3)/Basis!$E$3/Basis!$E$9)*Basis!$E$11,0)</f>
        <v>427</v>
      </c>
      <c r="J1726" s="123">
        <f>IF(Basis!$E$1=1,ROUND(H1726/((TaH-TrH)*1.163)/3600,3),ROUND(H1726/(500*(TaH-TrH)),2))</f>
        <v>0.34</v>
      </c>
      <c r="K1726" s="84"/>
      <c r="L1726" s="177">
        <f>CHOOSE(Basis!$E$1,((AJ1726*(J1726*3600/Basis!$E$5)^AK1726*(((MID(C1726,9,3)*10)-144)/1000)*AL1726+AM1726*(J1726*3600/Basis!$E$5)^2)*0.0098)/Basis!$E$10,((AJ1726*(J1726/Basis!$E$5)^AK1726*(((MID(C1726,9,3)*10)-144)/1000)*AL1726+AM1726*(J1726/Basis!$E$5)^2)*0.0098)/Basis!$E$10)</f>
        <v>1.8179094256636105E-2</v>
      </c>
      <c r="M1726" s="85"/>
      <c r="N1726" s="109">
        <v>1.413</v>
      </c>
      <c r="O1726" s="68"/>
      <c r="P1726" s="67">
        <v>1572</v>
      </c>
      <c r="Q1726" s="68"/>
      <c r="R1726" s="69"/>
      <c r="S1726" s="69"/>
      <c r="T1726" s="69"/>
      <c r="U1726" s="69"/>
      <c r="V1726" s="69"/>
      <c r="W1726" s="68"/>
      <c r="X1726" s="70"/>
      <c r="Y1726" s="70"/>
      <c r="Z1726" s="70"/>
      <c r="AA1726" s="70"/>
      <c r="AB1726" s="70"/>
      <c r="AC1726" s="68"/>
      <c r="AD1726" s="71"/>
      <c r="AE1726" s="71"/>
      <c r="AF1726" s="71"/>
      <c r="AG1726" s="71"/>
      <c r="AH1726" s="71"/>
      <c r="AI1726" s="68"/>
      <c r="AJ1726" s="214">
        <v>3.9689999999999994E-4</v>
      </c>
      <c r="AK1726" s="214">
        <v>1.7345999999999999</v>
      </c>
      <c r="AL1726" s="214">
        <v>2</v>
      </c>
      <c r="AM1726" s="214">
        <v>3.6734700000000002E-4</v>
      </c>
      <c r="AN1726" s="68"/>
      <c r="AO1726" s="67"/>
      <c r="AP1726" s="67"/>
      <c r="AQ1726" s="67"/>
      <c r="AR1726" s="67"/>
      <c r="AS1726" s="67"/>
      <c r="AT1726" s="68"/>
      <c r="AU1726" s="49"/>
      <c r="AV1726" s="50"/>
    </row>
    <row r="1727" spans="1:48" ht="12.75" customHeight="1" x14ac:dyDescent="0.25">
      <c r="A1727" s="72" t="s">
        <v>20</v>
      </c>
      <c r="B1727" s="43" t="s">
        <v>1833</v>
      </c>
      <c r="C1727" s="44" t="s">
        <v>1884</v>
      </c>
      <c r="D1727" s="45">
        <f>MROUND(MID($C1727,6,3)/Basis!$E$3,0.5)</f>
        <v>8</v>
      </c>
      <c r="E1727" s="45">
        <f>MROUND(MID($C1727,9,3)/Basis!$E$3,0.5)</f>
        <v>94.5</v>
      </c>
      <c r="F1727" s="124" t="s">
        <v>2944</v>
      </c>
      <c r="G1727" s="45">
        <f>ROUND((ROUNDDOWN($F1727/5,0)*5+1.8)/Basis!$E$3,1)</f>
        <v>6.6</v>
      </c>
      <c r="H1727" s="120">
        <f>ROUND($P1727*Basis!$E$2*((TaH-TrH)/LN(1/µ)/Basis!$E$7)^$N1727*$AA$4*Glycol,0)</f>
        <v>5608</v>
      </c>
      <c r="I1727" s="83">
        <f>ROUND(H1727/(MID($C1727,9,3)/Basis!$E$3/Basis!$E$9)*Basis!$E$11,0)</f>
        <v>712</v>
      </c>
      <c r="J1727" s="123">
        <f>IF(Basis!$E$1=1,ROUND(H1727/((TaH-TrH)*1.163)/3600,3),ROUND(H1727/(500*(TaH-TrH)),2))</f>
        <v>0.56000000000000005</v>
      </c>
      <c r="K1727" s="84"/>
      <c r="L1727" s="177">
        <f>CHOOSE(Basis!$E$1,((AJ1727*(J1727*3600/Basis!$E$5)^AK1727*(((MID(C1727,9,3)*10)-144)/1000)*AL1727+AM1727*(J1727*3600/Basis!$E$5)^2)*0.0098)/Basis!$E$10,((AJ1727*(J1727/Basis!$E$5)^AK1727*(((MID(C1727,9,3)*10)-144)/1000)*AL1727+AM1727*(J1727/Basis!$E$5)^2)*0.0098)/Basis!$E$10)</f>
        <v>3.747951055948457E-2</v>
      </c>
      <c r="M1727" s="85"/>
      <c r="N1727" s="109">
        <v>1.4079999999999999</v>
      </c>
      <c r="O1727" s="68"/>
      <c r="P1727" s="67">
        <v>2616</v>
      </c>
      <c r="Q1727" s="68"/>
      <c r="R1727" s="69"/>
      <c r="S1727" s="69"/>
      <c r="T1727" s="69"/>
      <c r="U1727" s="69"/>
      <c r="V1727" s="69"/>
      <c r="W1727" s="68"/>
      <c r="X1727" s="70"/>
      <c r="Y1727" s="70"/>
      <c r="Z1727" s="70"/>
      <c r="AA1727" s="70"/>
      <c r="AB1727" s="70"/>
      <c r="AC1727" s="68"/>
      <c r="AD1727" s="71"/>
      <c r="AE1727" s="71"/>
      <c r="AF1727" s="71"/>
      <c r="AG1727" s="71"/>
      <c r="AH1727" s="71"/>
      <c r="AI1727" s="68"/>
      <c r="AJ1727" s="214">
        <v>2.0829999999999999E-4</v>
      </c>
      <c r="AK1727" s="214">
        <v>1.724</v>
      </c>
      <c r="AL1727" s="214">
        <v>2</v>
      </c>
      <c r="AM1727" s="214">
        <v>4.6182900000000003E-4</v>
      </c>
      <c r="AN1727" s="68"/>
      <c r="AO1727" s="67"/>
      <c r="AP1727" s="67"/>
      <c r="AQ1727" s="67"/>
      <c r="AR1727" s="67"/>
      <c r="AS1727" s="67"/>
      <c r="AT1727" s="68"/>
      <c r="AU1727" s="49"/>
      <c r="AV1727" s="50"/>
    </row>
    <row r="1728" spans="1:48" ht="12.75" customHeight="1" x14ac:dyDescent="0.25">
      <c r="A1728" s="72" t="s">
        <v>20</v>
      </c>
      <c r="B1728" s="43" t="s">
        <v>1833</v>
      </c>
      <c r="C1728" s="44" t="s">
        <v>1885</v>
      </c>
      <c r="D1728" s="45">
        <f>MROUND(MID($C1728,6,3)/Basis!$E$3,0.5)</f>
        <v>8</v>
      </c>
      <c r="E1728" s="45">
        <f>MROUND(MID($C1728,9,3)/Basis!$E$3,0.5)</f>
        <v>94.5</v>
      </c>
      <c r="F1728" s="124" t="s">
        <v>2945</v>
      </c>
      <c r="G1728" s="45">
        <f>ROUND((ROUNDDOWN($F1728/5,0)*5+1.8)/Basis!$E$3,1)</f>
        <v>8.6</v>
      </c>
      <c r="H1728" s="120">
        <f>ROUND($P1728*Basis!$E$2*((TaH-TrH)/LN(1/µ)/Basis!$E$7)^$N1728*$AA$4*Glycol,0)</f>
        <v>7883</v>
      </c>
      <c r="I1728" s="83">
        <f>ROUND(H1728/(MID($C1728,9,3)/Basis!$E$3/Basis!$E$9)*Basis!$E$11,0)</f>
        <v>1001</v>
      </c>
      <c r="J1728" s="123">
        <f>IF(Basis!$E$1=1,ROUND(H1728/((TaH-TrH)*1.163)/3600,3),ROUND(H1728/(500*(TaH-TrH)),2))</f>
        <v>0.79</v>
      </c>
      <c r="K1728" s="84"/>
      <c r="L1728" s="177">
        <f>CHOOSE(Basis!$E$1,((AJ1728*(J1728*3600/Basis!$E$5)^AK1728*(((MID(C1728,9,3)*10)-144)/1000)*AL1728+AM1728*(J1728*3600/Basis!$E$5)^2)*0.0098)/Basis!$E$10,((AJ1728*(J1728/Basis!$E$5)^AK1728*(((MID(C1728,9,3)*10)-144)/1000)*AL1728+AM1728*(J1728/Basis!$E$5)^2)*0.0098)/Basis!$E$10)</f>
        <v>5.3956963880664628E-2</v>
      </c>
      <c r="M1728" s="85"/>
      <c r="N1728" s="109">
        <v>1.4079999999999999</v>
      </c>
      <c r="O1728" s="68"/>
      <c r="P1728" s="67">
        <v>3677</v>
      </c>
      <c r="Q1728" s="68"/>
      <c r="R1728" s="69"/>
      <c r="S1728" s="69"/>
      <c r="T1728" s="69"/>
      <c r="U1728" s="69"/>
      <c r="V1728" s="69"/>
      <c r="W1728" s="68"/>
      <c r="X1728" s="70"/>
      <c r="Y1728" s="70"/>
      <c r="Z1728" s="70"/>
      <c r="AA1728" s="70"/>
      <c r="AB1728" s="70"/>
      <c r="AC1728" s="68"/>
      <c r="AD1728" s="71"/>
      <c r="AE1728" s="71"/>
      <c r="AF1728" s="71"/>
      <c r="AG1728" s="71"/>
      <c r="AH1728" s="71"/>
      <c r="AI1728" s="68"/>
      <c r="AJ1728" s="214">
        <v>1.2760000000000001E-4</v>
      </c>
      <c r="AK1728" s="214">
        <v>1.7219</v>
      </c>
      <c r="AL1728" s="214">
        <v>2</v>
      </c>
      <c r="AM1728" s="214">
        <v>3.76611E-4</v>
      </c>
      <c r="AN1728" s="68"/>
      <c r="AO1728" s="67"/>
      <c r="AP1728" s="67"/>
      <c r="AQ1728" s="67"/>
      <c r="AR1728" s="67"/>
      <c r="AS1728" s="67"/>
      <c r="AT1728" s="68"/>
      <c r="AU1728" s="49"/>
      <c r="AV1728" s="50"/>
    </row>
    <row r="1729" spans="1:48" ht="12.75" customHeight="1" x14ac:dyDescent="0.25">
      <c r="A1729" s="72" t="s">
        <v>20</v>
      </c>
      <c r="B1729" s="43" t="s">
        <v>1833</v>
      </c>
      <c r="C1729" s="44" t="s">
        <v>1886</v>
      </c>
      <c r="D1729" s="45">
        <f>MROUND(MID($C1729,6,3)/Basis!$E$3,0.5)</f>
        <v>8</v>
      </c>
      <c r="E1729" s="45">
        <f>MROUND(MID($C1729,9,3)/Basis!$E$3,0.5)</f>
        <v>110</v>
      </c>
      <c r="F1729" s="124" t="s">
        <v>2949</v>
      </c>
      <c r="G1729" s="45">
        <f>ROUND((ROUNDDOWN($F1729/5,0)*5+3.5)/Basis!$E$3,1)</f>
        <v>3.3</v>
      </c>
      <c r="H1729" s="120">
        <f>ROUND($P1729*Basis!$E$2*((TaH-TrH)/LN(1/µ)/Basis!$E$7)^$N1729*$AA$4*Glycol,0)</f>
        <v>3227</v>
      </c>
      <c r="I1729" s="83">
        <f>ROUND(H1729/(MID($C1729,9,3)/Basis!$E$3/Basis!$E$9)*Basis!$E$11,0)</f>
        <v>351</v>
      </c>
      <c r="J1729" s="123">
        <f>IF(Basis!$E$1=1,ROUND(H1729/((TaH-TrH)*1.163)/3600,3),ROUND(H1729/(500*(TaH-TrH)),2))</f>
        <v>0.32</v>
      </c>
      <c r="K1729" s="84"/>
      <c r="L1729" s="177">
        <f>CHOOSE(Basis!$E$1,((AJ1729*(J1729*3600/Basis!$E$5)^AK1729*(((MID(C1729,9,3)*10)-144)/1000)*AL1729+AM1729*(J1729*3600/Basis!$E$5)^2)*0.0098)/Basis!$E$10,((AJ1729*(J1729/Basis!$E$5)^AK1729*(((MID(C1729,9,3)*10)-144)/1000)*AL1729+AM1729*(J1729/Basis!$E$5)^2)*0.0098)/Basis!$E$10)</f>
        <v>5.5440197293892629E-2</v>
      </c>
      <c r="M1729" s="85"/>
      <c r="N1729" s="109">
        <v>1.41</v>
      </c>
      <c r="O1729" s="68"/>
      <c r="P1729" s="67">
        <v>1506</v>
      </c>
      <c r="Q1729" s="68"/>
      <c r="R1729" s="69"/>
      <c r="S1729" s="69"/>
      <c r="T1729" s="69"/>
      <c r="U1729" s="69"/>
      <c r="V1729" s="69"/>
      <c r="W1729" s="68"/>
      <c r="X1729" s="70"/>
      <c r="Y1729" s="70"/>
      <c r="Z1729" s="70"/>
      <c r="AA1729" s="70"/>
      <c r="AB1729" s="70"/>
      <c r="AC1729" s="68"/>
      <c r="AD1729" s="71"/>
      <c r="AE1729" s="71"/>
      <c r="AF1729" s="71"/>
      <c r="AG1729" s="71"/>
      <c r="AH1729" s="71"/>
      <c r="AI1729" s="68"/>
      <c r="AJ1729" s="214">
        <v>4.1688828699999996E-3</v>
      </c>
      <c r="AK1729" s="214">
        <v>1.411581940642</v>
      </c>
      <c r="AL1729" s="214">
        <v>3</v>
      </c>
      <c r="AM1729" s="214">
        <v>5.4247339961626003E-4</v>
      </c>
      <c r="AN1729" s="68"/>
      <c r="AO1729" s="67"/>
      <c r="AP1729" s="67"/>
      <c r="AQ1729" s="67"/>
      <c r="AR1729" s="67"/>
      <c r="AS1729" s="67"/>
      <c r="AT1729" s="68"/>
      <c r="AU1729" s="49"/>
      <c r="AV1729" s="50"/>
    </row>
    <row r="1730" spans="1:48" ht="12.75" customHeight="1" x14ac:dyDescent="0.25">
      <c r="A1730" s="72" t="s">
        <v>20</v>
      </c>
      <c r="B1730" s="43" t="s">
        <v>1833</v>
      </c>
      <c r="C1730" s="44" t="s">
        <v>1887</v>
      </c>
      <c r="D1730" s="45">
        <f>MROUND(MID($C1730,6,3)/Basis!$E$3,0.5)</f>
        <v>8</v>
      </c>
      <c r="E1730" s="45">
        <f>MROUND(MID($C1730,9,3)/Basis!$E$3,0.5)</f>
        <v>110</v>
      </c>
      <c r="F1730" s="124" t="s">
        <v>2943</v>
      </c>
      <c r="G1730" s="45">
        <f>ROUND((ROUNDDOWN($F1730/5,0)*5+1.8)/Basis!$E$3,1)</f>
        <v>4.5999999999999996</v>
      </c>
      <c r="H1730" s="120">
        <f>ROUND($P1730*Basis!$E$2*((TaH-TrH)/LN(1/µ)/Basis!$E$7)^$N1730*$AA$4*Glycol,0)</f>
        <v>3925</v>
      </c>
      <c r="I1730" s="83">
        <f>ROUND(H1730/(MID($C1730,9,3)/Basis!$E$3/Basis!$E$9)*Basis!$E$11,0)</f>
        <v>427</v>
      </c>
      <c r="J1730" s="123">
        <f>IF(Basis!$E$1=1,ROUND(H1730/((TaH-TrH)*1.163)/3600,3),ROUND(H1730/(500*(TaH-TrH)),2))</f>
        <v>0.39</v>
      </c>
      <c r="K1730" s="84"/>
      <c r="L1730" s="177">
        <f>CHOOSE(Basis!$E$1,((AJ1730*(J1730*3600/Basis!$E$5)^AK1730*(((MID(C1730,9,3)*10)-144)/1000)*AL1730+AM1730*(J1730*3600/Basis!$E$5)^2)*0.0098)/Basis!$E$10,((AJ1730*(J1730/Basis!$E$5)^AK1730*(((MID(C1730,9,3)*10)-144)/1000)*AL1730+AM1730*(J1730/Basis!$E$5)^2)*0.0098)/Basis!$E$10)</f>
        <v>2.5878833700040665E-2</v>
      </c>
      <c r="M1730" s="85"/>
      <c r="N1730" s="110">
        <v>1.413</v>
      </c>
      <c r="O1730" s="74"/>
      <c r="P1730" s="73">
        <v>1834</v>
      </c>
      <c r="Q1730" s="74"/>
      <c r="R1730" s="75"/>
      <c r="S1730" s="75"/>
      <c r="T1730" s="75"/>
      <c r="U1730" s="75"/>
      <c r="V1730" s="75"/>
      <c r="W1730" s="74"/>
      <c r="X1730" s="76"/>
      <c r="Y1730" s="76"/>
      <c r="Z1730" s="76"/>
      <c r="AA1730" s="76"/>
      <c r="AB1730" s="76"/>
      <c r="AC1730" s="74"/>
      <c r="AD1730" s="77"/>
      <c r="AE1730" s="77"/>
      <c r="AF1730" s="77"/>
      <c r="AG1730" s="77"/>
      <c r="AH1730" s="77"/>
      <c r="AI1730" s="68"/>
      <c r="AJ1730" s="213">
        <v>3.9689999999999994E-4</v>
      </c>
      <c r="AK1730" s="213">
        <v>1.7345999999999999</v>
      </c>
      <c r="AL1730" s="213">
        <v>2</v>
      </c>
      <c r="AM1730" s="213">
        <v>3.6734700000000002E-4</v>
      </c>
      <c r="AN1730" s="74"/>
      <c r="AO1730" s="73"/>
      <c r="AP1730" s="73"/>
      <c r="AQ1730" s="73"/>
      <c r="AR1730" s="73"/>
      <c r="AS1730" s="73"/>
      <c r="AT1730" s="74"/>
      <c r="AU1730" s="47"/>
      <c r="AV1730" s="48"/>
    </row>
    <row r="1731" spans="1:48" ht="12.75" customHeight="1" x14ac:dyDescent="0.25">
      <c r="A1731" s="72" t="s">
        <v>20</v>
      </c>
      <c r="B1731" s="43" t="s">
        <v>1833</v>
      </c>
      <c r="C1731" s="44" t="s">
        <v>1888</v>
      </c>
      <c r="D1731" s="45">
        <f>MROUND(MID($C1731,6,3)/Basis!$E$3,0.5)</f>
        <v>8</v>
      </c>
      <c r="E1731" s="45">
        <f>MROUND(MID($C1731,9,3)/Basis!$E$3,0.5)</f>
        <v>110</v>
      </c>
      <c r="F1731" s="124" t="s">
        <v>2944</v>
      </c>
      <c r="G1731" s="45">
        <f>ROUND((ROUNDDOWN($F1731/5,0)*5+1.8)/Basis!$E$3,1)</f>
        <v>6.6</v>
      </c>
      <c r="H1731" s="120">
        <f>ROUND($P1731*Basis!$E$2*((TaH-TrH)/LN(1/µ)/Basis!$E$7)^$N1731*$AA$4*Glycol,0)</f>
        <v>6543</v>
      </c>
      <c r="I1731" s="83">
        <f>ROUND(H1731/(MID($C1731,9,3)/Basis!$E$3/Basis!$E$9)*Basis!$E$11,0)</f>
        <v>712</v>
      </c>
      <c r="J1731" s="123">
        <f>IF(Basis!$E$1=1,ROUND(H1731/((TaH-TrH)*1.163)/3600,3),ROUND(H1731/(500*(TaH-TrH)),2))</f>
        <v>0.65</v>
      </c>
      <c r="K1731" s="84"/>
      <c r="L1731" s="177">
        <f>CHOOSE(Basis!$E$1,((AJ1731*(J1731*3600/Basis!$E$5)^AK1731*(((MID(C1731,9,3)*10)-144)/1000)*AL1731+AM1731*(J1731*3600/Basis!$E$5)^2)*0.0098)/Basis!$E$10,((AJ1731*(J1731/Basis!$E$5)^AK1731*(((MID(C1731,9,3)*10)-144)/1000)*AL1731+AM1731*(J1731/Basis!$E$5)^2)*0.0098)/Basis!$E$10)</f>
        <v>5.2777917928650678E-2</v>
      </c>
      <c r="M1731" s="85"/>
      <c r="N1731" s="110">
        <v>1.4079999999999999</v>
      </c>
      <c r="O1731" s="74"/>
      <c r="P1731" s="73">
        <v>3052</v>
      </c>
      <c r="Q1731" s="74"/>
      <c r="R1731" s="75"/>
      <c r="S1731" s="75"/>
      <c r="T1731" s="75"/>
      <c r="U1731" s="75"/>
      <c r="V1731" s="75"/>
      <c r="W1731" s="74"/>
      <c r="X1731" s="76"/>
      <c r="Y1731" s="76"/>
      <c r="Z1731" s="76"/>
      <c r="AA1731" s="76"/>
      <c r="AB1731" s="76"/>
      <c r="AC1731" s="74"/>
      <c r="AD1731" s="77"/>
      <c r="AE1731" s="77"/>
      <c r="AF1731" s="77"/>
      <c r="AG1731" s="77"/>
      <c r="AH1731" s="77"/>
      <c r="AI1731" s="68"/>
      <c r="AJ1731" s="213">
        <v>2.0829999999999999E-4</v>
      </c>
      <c r="AK1731" s="213">
        <v>1.724</v>
      </c>
      <c r="AL1731" s="213">
        <v>2</v>
      </c>
      <c r="AM1731" s="213">
        <v>4.6182900000000003E-4</v>
      </c>
      <c r="AN1731" s="74"/>
      <c r="AO1731" s="73"/>
      <c r="AP1731" s="73"/>
      <c r="AQ1731" s="73"/>
      <c r="AR1731" s="73"/>
      <c r="AS1731" s="73"/>
      <c r="AT1731" s="74"/>
      <c r="AU1731" s="47"/>
      <c r="AV1731" s="48"/>
    </row>
    <row r="1732" spans="1:48" ht="12.75" customHeight="1" x14ac:dyDescent="0.25">
      <c r="A1732" s="72" t="s">
        <v>20</v>
      </c>
      <c r="B1732" s="43" t="s">
        <v>1833</v>
      </c>
      <c r="C1732" s="44" t="s">
        <v>1889</v>
      </c>
      <c r="D1732" s="45">
        <f>MROUND(MID($C1732,6,3)/Basis!$E$3,0.5)</f>
        <v>8</v>
      </c>
      <c r="E1732" s="45">
        <f>MROUND(MID($C1732,9,3)/Basis!$E$3,0.5)</f>
        <v>110</v>
      </c>
      <c r="F1732" s="124" t="s">
        <v>2945</v>
      </c>
      <c r="G1732" s="45">
        <f>ROUND((ROUNDDOWN($F1732/5,0)*5+1.8)/Basis!$E$3,1)</f>
        <v>8.6</v>
      </c>
      <c r="H1732" s="120">
        <f>ROUND($P1732*Basis!$E$2*((TaH-TrH)/LN(1/µ)/Basis!$E$7)^$N1732*$AA$4*Glycol,0)</f>
        <v>9197</v>
      </c>
      <c r="I1732" s="83">
        <f>ROUND(H1732/(MID($C1732,9,3)/Basis!$E$3/Basis!$E$9)*Basis!$E$11,0)</f>
        <v>1001</v>
      </c>
      <c r="J1732" s="123">
        <f>IF(Basis!$E$1=1,ROUND(H1732/((TaH-TrH)*1.163)/3600,3),ROUND(H1732/(500*(TaH-TrH)),2))</f>
        <v>0.92</v>
      </c>
      <c r="K1732" s="84"/>
      <c r="L1732" s="177">
        <f>CHOOSE(Basis!$E$1,((AJ1732*(J1732*3600/Basis!$E$5)^AK1732*(((MID(C1732,9,3)*10)-144)/1000)*AL1732+AM1732*(J1732*3600/Basis!$E$5)^2)*0.0098)/Basis!$E$10,((AJ1732*(J1732/Basis!$E$5)^AK1732*(((MID(C1732,9,3)*10)-144)/1000)*AL1732+AM1732*(J1732/Basis!$E$5)^2)*0.0098)/Basis!$E$10)</f>
        <v>7.5669662112439751E-2</v>
      </c>
      <c r="M1732" s="85"/>
      <c r="N1732" s="110">
        <v>1.4079999999999999</v>
      </c>
      <c r="O1732" s="74"/>
      <c r="P1732" s="73">
        <v>4290</v>
      </c>
      <c r="Q1732" s="74"/>
      <c r="R1732" s="75"/>
      <c r="S1732" s="75"/>
      <c r="T1732" s="75"/>
      <c r="U1732" s="75"/>
      <c r="V1732" s="75"/>
      <c r="W1732" s="74"/>
      <c r="X1732" s="76"/>
      <c r="Y1732" s="76"/>
      <c r="Z1732" s="76"/>
      <c r="AA1732" s="76"/>
      <c r="AB1732" s="76"/>
      <c r="AC1732" s="74"/>
      <c r="AD1732" s="77"/>
      <c r="AE1732" s="77"/>
      <c r="AF1732" s="77"/>
      <c r="AG1732" s="77"/>
      <c r="AH1732" s="77"/>
      <c r="AI1732" s="68"/>
      <c r="AJ1732" s="214">
        <v>1.2760000000000001E-4</v>
      </c>
      <c r="AK1732" s="214">
        <v>1.7219</v>
      </c>
      <c r="AL1732" s="214">
        <v>2</v>
      </c>
      <c r="AM1732" s="214">
        <v>3.76611E-4</v>
      </c>
      <c r="AN1732" s="74"/>
      <c r="AO1732" s="73"/>
      <c r="AP1732" s="73"/>
      <c r="AQ1732" s="73"/>
      <c r="AR1732" s="73"/>
      <c r="AS1732" s="73"/>
      <c r="AT1732" s="74"/>
      <c r="AU1732" s="47"/>
      <c r="AV1732" s="48"/>
    </row>
    <row r="1733" spans="1:48" ht="12.75" customHeight="1" x14ac:dyDescent="0.25">
      <c r="A1733" s="72" t="s">
        <v>20</v>
      </c>
      <c r="B1733" s="43" t="s">
        <v>1833</v>
      </c>
      <c r="C1733" s="44" t="s">
        <v>1890</v>
      </c>
      <c r="D1733" s="45">
        <f>MROUND(MID($C1733,6,3)/Basis!$E$3,0.5)</f>
        <v>14</v>
      </c>
      <c r="E1733" s="45">
        <f>MROUND(MID($C1733,9,3)/Basis!$E$3,0.5)</f>
        <v>19.5</v>
      </c>
      <c r="F1733" s="124" t="s">
        <v>2949</v>
      </c>
      <c r="G1733" s="45">
        <f>ROUND((ROUNDDOWN($F1733/5,0)*5+3.5)/Basis!$E$3,1)</f>
        <v>3.3</v>
      </c>
      <c r="H1733" s="120">
        <f>ROUND($P1733*Basis!$E$2*((TaH-TrH)/LN(1/µ)/Basis!$E$7)^$N1733*$AA$4*Glycol,0)</f>
        <v>851</v>
      </c>
      <c r="I1733" s="83">
        <f>ROUND(H1733/(MID($C1733,9,3)/Basis!$E$3/Basis!$E$9)*Basis!$E$11,0)</f>
        <v>519</v>
      </c>
      <c r="J1733" s="123">
        <f>IF(Basis!$E$1=1,ROUND(H1733/((TaH-TrH)*1.163)/3600,3),ROUND(H1733/(500*(TaH-TrH)),2))</f>
        <v>0.09</v>
      </c>
      <c r="K1733" s="84"/>
      <c r="L1733" s="177">
        <f>CHOOSE(Basis!$E$1,((AJ1733*(J1733*3600/Basis!$E$5)^AK1733*(((MID(C1733,9,3)*10)-144)/1000)*AL1733+AM1733*(J1733*3600/Basis!$E$5)^2)*0.0098)/Basis!$E$10,((AJ1733*(J1733/Basis!$E$5)^AK1733*(((MID(C1733,9,3)*10)-144)/1000)*AL1733+AM1733*(J1733/Basis!$E$5)^2)*0.0098)/Basis!$E$10)</f>
        <v>2.3884864302683925E-3</v>
      </c>
      <c r="M1733" s="85"/>
      <c r="N1733" s="110">
        <v>1.393</v>
      </c>
      <c r="O1733" s="74"/>
      <c r="P1733" s="73">
        <v>395</v>
      </c>
      <c r="Q1733" s="74"/>
      <c r="R1733" s="75"/>
      <c r="S1733" s="75"/>
      <c r="T1733" s="75"/>
      <c r="U1733" s="75"/>
      <c r="V1733" s="75"/>
      <c r="W1733" s="74"/>
      <c r="X1733" s="76"/>
      <c r="Y1733" s="76"/>
      <c r="Z1733" s="76"/>
      <c r="AA1733" s="76"/>
      <c r="AB1733" s="76"/>
      <c r="AC1733" s="74"/>
      <c r="AD1733" s="77"/>
      <c r="AE1733" s="77"/>
      <c r="AF1733" s="77"/>
      <c r="AG1733" s="77"/>
      <c r="AH1733" s="77"/>
      <c r="AI1733" s="68"/>
      <c r="AJ1733" s="213">
        <v>1.6125983042710999E-4</v>
      </c>
      <c r="AK1733" s="213">
        <v>2.1458504622376</v>
      </c>
      <c r="AL1733" s="213">
        <v>4</v>
      </c>
      <c r="AM1733" s="213">
        <v>1.3916423712342001E-3</v>
      </c>
      <c r="AN1733" s="74"/>
      <c r="AO1733" s="73"/>
      <c r="AP1733" s="73"/>
      <c r="AQ1733" s="73"/>
      <c r="AR1733" s="73"/>
      <c r="AS1733" s="73"/>
      <c r="AT1733" s="74"/>
      <c r="AU1733" s="47"/>
      <c r="AV1733" s="48"/>
    </row>
    <row r="1734" spans="1:48" ht="12.75" customHeight="1" x14ac:dyDescent="0.25">
      <c r="A1734" s="72" t="s">
        <v>20</v>
      </c>
      <c r="B1734" s="43" t="s">
        <v>1833</v>
      </c>
      <c r="C1734" s="44" t="s">
        <v>1891</v>
      </c>
      <c r="D1734" s="45">
        <f>MROUND(MID($C1734,6,3)/Basis!$E$3,0.5)</f>
        <v>14</v>
      </c>
      <c r="E1734" s="45">
        <f>MROUND(MID($C1734,9,3)/Basis!$E$3,0.5)</f>
        <v>19.5</v>
      </c>
      <c r="F1734" s="124" t="s">
        <v>2943</v>
      </c>
      <c r="G1734" s="45">
        <f>ROUND((ROUNDDOWN($F1734/5,0)*5+1.8)/Basis!$E$3,1)</f>
        <v>4.5999999999999996</v>
      </c>
      <c r="H1734" s="120">
        <f>ROUND($P1734*Basis!$E$2*((TaH-TrH)/LN(1/µ)/Basis!$E$7)^$N1734*$AA$4*Glycol,0)</f>
        <v>965</v>
      </c>
      <c r="I1734" s="83">
        <f>ROUND(H1734/(MID($C1734,9,3)/Basis!$E$3/Basis!$E$9)*Basis!$E$11,0)</f>
        <v>588</v>
      </c>
      <c r="J1734" s="123">
        <f>IF(Basis!$E$1=1,ROUND(H1734/((TaH-TrH)*1.163)/3600,3),ROUND(H1734/(500*(TaH-TrH)),2))</f>
        <v>0.1</v>
      </c>
      <c r="K1734" s="84"/>
      <c r="L1734" s="177">
        <f>CHOOSE(Basis!$E$1,((AJ1734*(J1734*3600/Basis!$E$5)^AK1734*(((MID(C1734,9,3)*10)-144)/1000)*AL1734+AM1734*(J1734*3600/Basis!$E$5)^2)*0.0098)/Basis!$E$10,((AJ1734*(J1734/Basis!$E$5)^AK1734*(((MID(C1734,9,3)*10)-144)/1000)*AL1734+AM1734*(J1734/Basis!$E$5)^2)*0.0098)/Basis!$E$10)</f>
        <v>8.2769374243100264E-4</v>
      </c>
      <c r="M1734" s="85"/>
      <c r="N1734" s="109">
        <v>1.399</v>
      </c>
      <c r="O1734" s="68"/>
      <c r="P1734" s="67">
        <v>449</v>
      </c>
      <c r="Q1734" s="68"/>
      <c r="R1734" s="69"/>
      <c r="S1734" s="69"/>
      <c r="T1734" s="69"/>
      <c r="U1734" s="69"/>
      <c r="V1734" s="69"/>
      <c r="W1734" s="68"/>
      <c r="X1734" s="70"/>
      <c r="Y1734" s="70"/>
      <c r="Z1734" s="70"/>
      <c r="AA1734" s="70"/>
      <c r="AB1734" s="70"/>
      <c r="AC1734" s="68"/>
      <c r="AD1734" s="71"/>
      <c r="AE1734" s="71"/>
      <c r="AF1734" s="71"/>
      <c r="AG1734" s="71"/>
      <c r="AH1734" s="71"/>
      <c r="AI1734" s="68"/>
      <c r="AJ1734" s="214">
        <v>3.9689999999999994E-4</v>
      </c>
      <c r="AK1734" s="214">
        <v>1.7345999999999999</v>
      </c>
      <c r="AL1734" s="214">
        <v>2</v>
      </c>
      <c r="AM1734" s="214">
        <v>3.6734700000000002E-4</v>
      </c>
      <c r="AN1734" s="68"/>
      <c r="AO1734" s="67"/>
      <c r="AP1734" s="67"/>
      <c r="AQ1734" s="67"/>
      <c r="AR1734" s="67"/>
      <c r="AS1734" s="67"/>
      <c r="AT1734" s="68"/>
      <c r="AU1734" s="49"/>
      <c r="AV1734" s="50"/>
    </row>
    <row r="1735" spans="1:48" ht="12.75" customHeight="1" x14ac:dyDescent="0.25">
      <c r="A1735" s="72" t="s">
        <v>20</v>
      </c>
      <c r="B1735" s="43" t="s">
        <v>1833</v>
      </c>
      <c r="C1735" s="44" t="s">
        <v>1892</v>
      </c>
      <c r="D1735" s="45">
        <f>MROUND(MID($C1735,6,3)/Basis!$E$3,0.5)</f>
        <v>14</v>
      </c>
      <c r="E1735" s="45">
        <f>MROUND(MID($C1735,9,3)/Basis!$E$3,0.5)</f>
        <v>19.5</v>
      </c>
      <c r="F1735" s="124" t="s">
        <v>2946</v>
      </c>
      <c r="G1735" s="45">
        <f>ROUND((ROUNDDOWN($F1735/5,0)*5+1.8)/Basis!$E$3,1)</f>
        <v>4.5999999999999996</v>
      </c>
      <c r="H1735" s="120">
        <f>ROUND($P1735*Basis!$E$2*((TaH-TrH)/LN(1/µ)/Basis!$E$7)^$N1735*$AA$4*Glycol,0)</f>
        <v>1269</v>
      </c>
      <c r="I1735" s="83">
        <f>ROUND(H1735/(MID($C1735,9,3)/Basis!$E$3/Basis!$E$9)*Basis!$E$11,0)</f>
        <v>774</v>
      </c>
      <c r="J1735" s="123">
        <f>IF(Basis!$E$1=1,ROUND(H1735/((TaH-TrH)*1.163)/3600,3),ROUND(H1735/(500*(TaH-TrH)),2))</f>
        <v>0.13</v>
      </c>
      <c r="K1735" s="84"/>
      <c r="L1735" s="177">
        <f>CHOOSE(Basis!$E$1,((AJ1735*(J1735*3600/Basis!$E$5)^AK1735*(((MID(C1735,9,3)*10)-144)/1000)*AL1735+AM1735*(J1735*3600/Basis!$E$5)^2)*0.0098)/Basis!$E$10,((AJ1735*(J1735/Basis!$E$5)^AK1735*(((MID(C1735,9,3)*10)-144)/1000)*AL1735+AM1735*(J1735/Basis!$E$5)^2)*0.0098)/Basis!$E$10)</f>
        <v>2.2930551813665173E-3</v>
      </c>
      <c r="M1735" s="85"/>
      <c r="N1735" s="110">
        <v>1.44</v>
      </c>
      <c r="O1735" s="74"/>
      <c r="P1735" s="73">
        <v>598</v>
      </c>
      <c r="Q1735" s="74"/>
      <c r="R1735" s="75"/>
      <c r="S1735" s="75"/>
      <c r="T1735" s="75"/>
      <c r="U1735" s="75"/>
      <c r="V1735" s="75"/>
      <c r="W1735" s="74"/>
      <c r="X1735" s="76"/>
      <c r="Y1735" s="76"/>
      <c r="Z1735" s="76"/>
      <c r="AA1735" s="76"/>
      <c r="AB1735" s="76"/>
      <c r="AC1735" s="74"/>
      <c r="AD1735" s="77"/>
      <c r="AE1735" s="77"/>
      <c r="AF1735" s="77"/>
      <c r="AG1735" s="77"/>
      <c r="AH1735" s="77"/>
      <c r="AI1735" s="68"/>
      <c r="AJ1735" s="213">
        <v>3.9689999999999994E-4</v>
      </c>
      <c r="AK1735" s="213">
        <v>1.7345999999999999</v>
      </c>
      <c r="AL1735" s="213">
        <v>4</v>
      </c>
      <c r="AM1735" s="213">
        <v>5.7428799999999995E-4</v>
      </c>
      <c r="AN1735" s="74"/>
      <c r="AO1735" s="73"/>
      <c r="AP1735" s="73"/>
      <c r="AQ1735" s="73"/>
      <c r="AR1735" s="73"/>
      <c r="AS1735" s="73"/>
      <c r="AT1735" s="74"/>
      <c r="AU1735" s="47"/>
      <c r="AV1735" s="48"/>
    </row>
    <row r="1736" spans="1:48" ht="12.75" customHeight="1" x14ac:dyDescent="0.25">
      <c r="A1736" s="72" t="s">
        <v>20</v>
      </c>
      <c r="B1736" s="43" t="s">
        <v>1833</v>
      </c>
      <c r="C1736" s="44" t="s">
        <v>1893</v>
      </c>
      <c r="D1736" s="45">
        <f>MROUND(MID($C1736,6,3)/Basis!$E$3,0.5)</f>
        <v>14</v>
      </c>
      <c r="E1736" s="45">
        <f>MROUND(MID($C1736,9,3)/Basis!$E$3,0.5)</f>
        <v>19.5</v>
      </c>
      <c r="F1736" s="124" t="s">
        <v>2944</v>
      </c>
      <c r="G1736" s="45">
        <f>ROUND((ROUNDDOWN($F1736/5,0)*5+1.8)/Basis!$E$3,1)</f>
        <v>6.6</v>
      </c>
      <c r="H1736" s="120">
        <f>ROUND($P1736*Basis!$E$2*((TaH-TrH)/LN(1/µ)/Basis!$E$7)^$N1736*$AA$4*Glycol,0)</f>
        <v>1585</v>
      </c>
      <c r="I1736" s="83">
        <f>ROUND(H1736/(MID($C1736,9,3)/Basis!$E$3/Basis!$E$9)*Basis!$E$11,0)</f>
        <v>966</v>
      </c>
      <c r="J1736" s="123">
        <f>IF(Basis!$E$1=1,ROUND(H1736/((TaH-TrH)*1.163)/3600,3),ROUND(H1736/(500*(TaH-TrH)),2))</f>
        <v>0.16</v>
      </c>
      <c r="K1736" s="84"/>
      <c r="L1736" s="177">
        <f>CHOOSE(Basis!$E$1,((AJ1736*(J1736*3600/Basis!$E$5)^AK1736*(((MID(C1736,9,3)*10)-144)/1000)*AL1736+AM1736*(J1736*3600/Basis!$E$5)^2)*0.0098)/Basis!$E$10,((AJ1736*(J1736/Basis!$E$5)^AK1736*(((MID(C1736,9,3)*10)-144)/1000)*AL1736+AM1736*(J1736/Basis!$E$5)^2)*0.0098)/Basis!$E$10)</f>
        <v>2.2317222030060809E-3</v>
      </c>
      <c r="M1736" s="85"/>
      <c r="N1736" s="109">
        <v>1.39</v>
      </c>
      <c r="O1736" s="68"/>
      <c r="P1736" s="67">
        <v>735</v>
      </c>
      <c r="Q1736" s="68"/>
      <c r="R1736" s="69"/>
      <c r="S1736" s="69"/>
      <c r="T1736" s="69"/>
      <c r="U1736" s="69"/>
      <c r="V1736" s="69"/>
      <c r="W1736" s="68"/>
      <c r="X1736" s="70"/>
      <c r="Y1736" s="70"/>
      <c r="Z1736" s="70"/>
      <c r="AA1736" s="70"/>
      <c r="AB1736" s="70"/>
      <c r="AC1736" s="68"/>
      <c r="AD1736" s="71"/>
      <c r="AE1736" s="71"/>
      <c r="AF1736" s="71"/>
      <c r="AG1736" s="71"/>
      <c r="AH1736" s="71"/>
      <c r="AI1736" s="68"/>
      <c r="AJ1736" s="214">
        <v>2.0829999999999999E-4</v>
      </c>
      <c r="AK1736" s="214">
        <v>1.724</v>
      </c>
      <c r="AL1736" s="214">
        <v>2</v>
      </c>
      <c r="AM1736" s="214">
        <v>4.6182900000000003E-4</v>
      </c>
      <c r="AN1736" s="68"/>
      <c r="AO1736" s="67"/>
      <c r="AP1736" s="67"/>
      <c r="AQ1736" s="67"/>
      <c r="AR1736" s="67"/>
      <c r="AS1736" s="67"/>
      <c r="AT1736" s="68"/>
      <c r="AU1736" s="49"/>
      <c r="AV1736" s="50"/>
    </row>
    <row r="1737" spans="1:48" ht="12.75" customHeight="1" x14ac:dyDescent="0.25">
      <c r="A1737" s="72" t="s">
        <v>20</v>
      </c>
      <c r="B1737" s="43" t="s">
        <v>1833</v>
      </c>
      <c r="C1737" s="44" t="s">
        <v>1894</v>
      </c>
      <c r="D1737" s="45">
        <f>MROUND(MID($C1737,6,3)/Basis!$E$3,0.5)</f>
        <v>14</v>
      </c>
      <c r="E1737" s="45">
        <f>MROUND(MID($C1737,9,3)/Basis!$E$3,0.5)</f>
        <v>19.5</v>
      </c>
      <c r="F1737" s="124" t="s">
        <v>2947</v>
      </c>
      <c r="G1737" s="45">
        <f>ROUND((ROUNDDOWN($F1737/5,0)*5+1.8)/Basis!$E$3,1)</f>
        <v>6.6</v>
      </c>
      <c r="H1737" s="120">
        <f>ROUND($P1737*Basis!$E$2*((TaH-TrH)/LN(1/µ)/Basis!$E$7)^$N1737*$AA$4*Glycol,0)</f>
        <v>1681</v>
      </c>
      <c r="I1737" s="83">
        <f>ROUND(H1737/(MID($C1737,9,3)/Basis!$E$3/Basis!$E$9)*Basis!$E$11,0)</f>
        <v>1025</v>
      </c>
      <c r="J1737" s="123">
        <f>IF(Basis!$E$1=1,ROUND(H1737/((TaH-TrH)*1.163)/3600,3),ROUND(H1737/(500*(TaH-TrH)),2))</f>
        <v>0.17</v>
      </c>
      <c r="K1737" s="84"/>
      <c r="L1737" s="177">
        <f>CHOOSE(Basis!$E$1,((AJ1737*(J1737*3600/Basis!$E$5)^AK1737*(((MID(C1737,9,3)*10)-144)/1000)*AL1737+AM1737*(J1737*3600/Basis!$E$5)^2)*0.0098)/Basis!$E$10,((AJ1737*(J1737/Basis!$E$5)^AK1737*(((MID(C1737,9,3)*10)-144)/1000)*AL1737+AM1737*(J1737/Basis!$E$5)^2)*0.0098)/Basis!$E$10)</f>
        <v>7.3167533628964547E-3</v>
      </c>
      <c r="M1737" s="85"/>
      <c r="N1737" s="110">
        <v>1.458</v>
      </c>
      <c r="O1737" s="74"/>
      <c r="P1737" s="73">
        <v>797</v>
      </c>
      <c r="Q1737" s="74"/>
      <c r="R1737" s="75"/>
      <c r="S1737" s="75"/>
      <c r="T1737" s="75"/>
      <c r="U1737" s="75"/>
      <c r="V1737" s="75"/>
      <c r="W1737" s="74"/>
      <c r="X1737" s="76"/>
      <c r="Y1737" s="76"/>
      <c r="Z1737" s="76"/>
      <c r="AA1737" s="76"/>
      <c r="AB1737" s="76"/>
      <c r="AC1737" s="74"/>
      <c r="AD1737" s="77"/>
      <c r="AE1737" s="77"/>
      <c r="AF1737" s="77"/>
      <c r="AG1737" s="77"/>
      <c r="AH1737" s="77"/>
      <c r="AI1737" s="68"/>
      <c r="AJ1737" s="213">
        <v>2.0829999999999999E-4</v>
      </c>
      <c r="AK1737" s="213">
        <v>1.724</v>
      </c>
      <c r="AL1737" s="213">
        <v>4</v>
      </c>
      <c r="AM1737" s="213">
        <v>1.392796E-3</v>
      </c>
      <c r="AN1737" s="74"/>
      <c r="AO1737" s="73"/>
      <c r="AP1737" s="73"/>
      <c r="AQ1737" s="73"/>
      <c r="AR1737" s="73"/>
      <c r="AS1737" s="73"/>
      <c r="AT1737" s="74"/>
      <c r="AU1737" s="47"/>
      <c r="AV1737" s="48"/>
    </row>
    <row r="1738" spans="1:48" ht="12.75" customHeight="1" x14ac:dyDescent="0.25">
      <c r="A1738" s="72" t="s">
        <v>20</v>
      </c>
      <c r="B1738" s="43" t="s">
        <v>1833</v>
      </c>
      <c r="C1738" s="44" t="s">
        <v>1895</v>
      </c>
      <c r="D1738" s="45">
        <f>MROUND(MID($C1738,6,3)/Basis!$E$3,0.5)</f>
        <v>14</v>
      </c>
      <c r="E1738" s="45">
        <f>MROUND(MID($C1738,9,3)/Basis!$E$3,0.5)</f>
        <v>19.5</v>
      </c>
      <c r="F1738" s="124" t="s">
        <v>2945</v>
      </c>
      <c r="G1738" s="45">
        <f>ROUND((ROUNDDOWN($F1738/5,0)*5+1.8)/Basis!$E$3,1)</f>
        <v>8.6</v>
      </c>
      <c r="H1738" s="120">
        <f>ROUND($P1738*Basis!$E$2*((TaH-TrH)/LN(1/µ)/Basis!$E$7)^$N1738*$AA$4*Glycol,0)</f>
        <v>2221</v>
      </c>
      <c r="I1738" s="83">
        <f>ROUND(H1738/(MID($C1738,9,3)/Basis!$E$3/Basis!$E$9)*Basis!$E$11,0)</f>
        <v>1354</v>
      </c>
      <c r="J1738" s="123">
        <f>IF(Basis!$E$1=1,ROUND(H1738/((TaH-TrH)*1.163)/3600,3),ROUND(H1738/(500*(TaH-TrH)),2))</f>
        <v>0.22</v>
      </c>
      <c r="K1738" s="84"/>
      <c r="L1738" s="177">
        <f>CHOOSE(Basis!$E$1,((AJ1738*(J1738*3600/Basis!$E$5)^AK1738*(((MID(C1738,9,3)*10)-144)/1000)*AL1738+AM1738*(J1738*3600/Basis!$E$5)^2)*0.0098)/Basis!$E$10,((AJ1738*(J1738/Basis!$E$5)^AK1738*(((MID(C1738,9,3)*10)-144)/1000)*AL1738+AM1738*(J1738/Basis!$E$5)^2)*0.0098)/Basis!$E$10)</f>
        <v>3.3244396565920604E-3</v>
      </c>
      <c r="M1738" s="85"/>
      <c r="N1738" s="109">
        <v>1.39</v>
      </c>
      <c r="O1738" s="68"/>
      <c r="P1738" s="67">
        <v>1030</v>
      </c>
      <c r="Q1738" s="68"/>
      <c r="R1738" s="69"/>
      <c r="S1738" s="69"/>
      <c r="T1738" s="69"/>
      <c r="U1738" s="69"/>
      <c r="V1738" s="69"/>
      <c r="W1738" s="68"/>
      <c r="X1738" s="70"/>
      <c r="Y1738" s="70"/>
      <c r="Z1738" s="70"/>
      <c r="AA1738" s="70"/>
      <c r="AB1738" s="70"/>
      <c r="AC1738" s="68"/>
      <c r="AD1738" s="71"/>
      <c r="AE1738" s="71"/>
      <c r="AF1738" s="71"/>
      <c r="AG1738" s="71"/>
      <c r="AH1738" s="71"/>
      <c r="AI1738" s="68"/>
      <c r="AJ1738" s="214">
        <v>1.2760000000000001E-4</v>
      </c>
      <c r="AK1738" s="214">
        <v>1.7219</v>
      </c>
      <c r="AL1738" s="214">
        <v>2</v>
      </c>
      <c r="AM1738" s="214">
        <v>3.76611E-4</v>
      </c>
      <c r="AN1738" s="68"/>
      <c r="AO1738" s="67"/>
      <c r="AP1738" s="67"/>
      <c r="AQ1738" s="67"/>
      <c r="AR1738" s="67"/>
      <c r="AS1738" s="67"/>
      <c r="AT1738" s="68"/>
      <c r="AU1738" s="49"/>
      <c r="AV1738" s="50"/>
    </row>
    <row r="1739" spans="1:48" ht="12.75" customHeight="1" x14ac:dyDescent="0.25">
      <c r="A1739" s="72" t="s">
        <v>20</v>
      </c>
      <c r="B1739" s="43" t="s">
        <v>1833</v>
      </c>
      <c r="C1739" s="44" t="s">
        <v>1896</v>
      </c>
      <c r="D1739" s="45">
        <f>MROUND(MID($C1739,6,3)/Basis!$E$3,0.5)</f>
        <v>14</v>
      </c>
      <c r="E1739" s="45">
        <f>MROUND(MID($C1739,9,3)/Basis!$E$3,0.5)</f>
        <v>19.5</v>
      </c>
      <c r="F1739" s="124" t="s">
        <v>2948</v>
      </c>
      <c r="G1739" s="45">
        <f>ROUND((ROUNDDOWN($F1739/5,0)*5+1.8)/Basis!$E$3,1)</f>
        <v>8.6</v>
      </c>
      <c r="H1739" s="120">
        <f>ROUND($P1739*Basis!$E$2*((TaH-TrH)/LN(1/µ)/Basis!$E$7)^$N1739*$AA$4*Glycol,0)</f>
        <v>2219</v>
      </c>
      <c r="I1739" s="83">
        <f>ROUND(H1739/(MID($C1739,9,3)/Basis!$E$3/Basis!$E$9)*Basis!$E$11,0)</f>
        <v>1353</v>
      </c>
      <c r="J1739" s="123">
        <f>IF(Basis!$E$1=1,ROUND(H1739/((TaH-TrH)*1.163)/3600,3),ROUND(H1739/(500*(TaH-TrH)),2))</f>
        <v>0.22</v>
      </c>
      <c r="K1739" s="84"/>
      <c r="L1739" s="177">
        <f>CHOOSE(Basis!$E$1,((AJ1739*(J1739*3600/Basis!$E$5)^AK1739*(((MID(C1739,9,3)*10)-144)/1000)*AL1739+AM1739*(J1739*3600/Basis!$E$5)^2)*0.0098)/Basis!$E$10,((AJ1739*(J1739/Basis!$E$5)^AK1739*(((MID(C1739,9,3)*10)-144)/1000)*AL1739+AM1739*(J1739/Basis!$E$5)^2)*0.0098)/Basis!$E$10)</f>
        <v>4.6976002787771235E-3</v>
      </c>
      <c r="M1739" s="85"/>
      <c r="N1739" s="110">
        <v>1.472</v>
      </c>
      <c r="O1739" s="74"/>
      <c r="P1739" s="73">
        <v>1057</v>
      </c>
      <c r="Q1739" s="74"/>
      <c r="R1739" s="75"/>
      <c r="S1739" s="75"/>
      <c r="T1739" s="75"/>
      <c r="U1739" s="75"/>
      <c r="V1739" s="75"/>
      <c r="W1739" s="74"/>
      <c r="X1739" s="76"/>
      <c r="Y1739" s="76"/>
      <c r="Z1739" s="76"/>
      <c r="AA1739" s="76"/>
      <c r="AB1739" s="76"/>
      <c r="AC1739" s="74"/>
      <c r="AD1739" s="77"/>
      <c r="AE1739" s="77"/>
      <c r="AF1739" s="77"/>
      <c r="AG1739" s="77"/>
      <c r="AH1739" s="77"/>
      <c r="AI1739" s="68"/>
      <c r="AJ1739" s="213">
        <v>1.2760000000000001E-4</v>
      </c>
      <c r="AK1739" s="213">
        <v>1.7219</v>
      </c>
      <c r="AL1739" s="213">
        <v>4</v>
      </c>
      <c r="AM1739" s="213">
        <v>5.1420100000000005E-4</v>
      </c>
      <c r="AN1739" s="74"/>
      <c r="AO1739" s="73"/>
      <c r="AP1739" s="73"/>
      <c r="AQ1739" s="73"/>
      <c r="AR1739" s="73"/>
      <c r="AS1739" s="73"/>
      <c r="AT1739" s="74"/>
      <c r="AU1739" s="47"/>
      <c r="AV1739" s="48"/>
    </row>
    <row r="1740" spans="1:48" ht="12.75" customHeight="1" x14ac:dyDescent="0.25">
      <c r="A1740" s="72" t="s">
        <v>20</v>
      </c>
      <c r="B1740" s="43" t="s">
        <v>1833</v>
      </c>
      <c r="C1740" s="44" t="s">
        <v>1897</v>
      </c>
      <c r="D1740" s="45">
        <f>MROUND(MID($C1740,6,3)/Basis!$E$3,0.5)</f>
        <v>14</v>
      </c>
      <c r="E1740" s="45">
        <f>MROUND(MID($C1740,9,3)/Basis!$E$3,0.5)</f>
        <v>23.5</v>
      </c>
      <c r="F1740" s="124" t="s">
        <v>2949</v>
      </c>
      <c r="G1740" s="45">
        <f>ROUND((ROUNDDOWN($F1740/5,0)*5+3.5)/Basis!$E$3,1)</f>
        <v>3.3</v>
      </c>
      <c r="H1740" s="120">
        <f>ROUND($P1740*Basis!$E$2*((TaH-TrH)/LN(1/µ)/Basis!$E$7)^$N1740*$AA$4*Glycol,0)</f>
        <v>1021</v>
      </c>
      <c r="I1740" s="83">
        <f>ROUND(H1740/(MID($C1740,9,3)/Basis!$E$3/Basis!$E$9)*Basis!$E$11,0)</f>
        <v>519</v>
      </c>
      <c r="J1740" s="123">
        <f>IF(Basis!$E$1=1,ROUND(H1740/((TaH-TrH)*1.163)/3600,3),ROUND(H1740/(500*(TaH-TrH)),2))</f>
        <v>0.1</v>
      </c>
      <c r="K1740" s="84"/>
      <c r="L1740" s="177">
        <f>CHOOSE(Basis!$E$1,((AJ1740*(J1740*3600/Basis!$E$5)^AK1740*(((MID(C1740,9,3)*10)-144)/1000)*AL1740+AM1740*(J1740*3600/Basis!$E$5)^2)*0.0098)/Basis!$E$10,((AJ1740*(J1740/Basis!$E$5)^AK1740*(((MID(C1740,9,3)*10)-144)/1000)*AL1740+AM1740*(J1740/Basis!$E$5)^2)*0.0098)/Basis!$E$10)</f>
        <v>3.1296298056583136E-3</v>
      </c>
      <c r="M1740" s="85"/>
      <c r="N1740" s="109">
        <v>1.393</v>
      </c>
      <c r="O1740" s="68"/>
      <c r="P1740" s="67">
        <v>474</v>
      </c>
      <c r="Q1740" s="68"/>
      <c r="R1740" s="69"/>
      <c r="S1740" s="69"/>
      <c r="T1740" s="69"/>
      <c r="U1740" s="69"/>
      <c r="V1740" s="69"/>
      <c r="W1740" s="68"/>
      <c r="X1740" s="70"/>
      <c r="Y1740" s="70"/>
      <c r="Z1740" s="70"/>
      <c r="AA1740" s="70"/>
      <c r="AB1740" s="70"/>
      <c r="AC1740" s="68"/>
      <c r="AD1740" s="71"/>
      <c r="AE1740" s="71"/>
      <c r="AF1740" s="71"/>
      <c r="AG1740" s="71"/>
      <c r="AH1740" s="71"/>
      <c r="AI1740" s="68"/>
      <c r="AJ1740" s="214">
        <v>1.6125983042710999E-4</v>
      </c>
      <c r="AK1740" s="214">
        <v>2.1458504622376</v>
      </c>
      <c r="AL1740" s="214">
        <v>4</v>
      </c>
      <c r="AM1740" s="214">
        <v>1.3916423712342001E-3</v>
      </c>
      <c r="AN1740" s="68"/>
      <c r="AO1740" s="67"/>
      <c r="AP1740" s="67"/>
      <c r="AQ1740" s="67"/>
      <c r="AR1740" s="67"/>
      <c r="AS1740" s="67"/>
      <c r="AT1740" s="68"/>
      <c r="AU1740" s="49"/>
      <c r="AV1740" s="50"/>
    </row>
    <row r="1741" spans="1:48" ht="12.75" customHeight="1" x14ac:dyDescent="0.25">
      <c r="A1741" s="72" t="s">
        <v>20</v>
      </c>
      <c r="B1741" s="43" t="s">
        <v>1833</v>
      </c>
      <c r="C1741" s="44" t="s">
        <v>1898</v>
      </c>
      <c r="D1741" s="45">
        <f>MROUND(MID($C1741,6,3)/Basis!$E$3,0.5)</f>
        <v>14</v>
      </c>
      <c r="E1741" s="45">
        <f>MROUND(MID($C1741,9,3)/Basis!$E$3,0.5)</f>
        <v>23.5</v>
      </c>
      <c r="F1741" s="124" t="s">
        <v>2943</v>
      </c>
      <c r="G1741" s="45">
        <f>ROUND((ROUNDDOWN($F1741/5,0)*5+1.8)/Basis!$E$3,1)</f>
        <v>4.5999999999999996</v>
      </c>
      <c r="H1741" s="120">
        <f>ROUND($P1741*Basis!$E$2*((TaH-TrH)/LN(1/µ)/Basis!$E$7)^$N1741*$AA$4*Glycol,0)</f>
        <v>1159</v>
      </c>
      <c r="I1741" s="83">
        <f>ROUND(H1741/(MID($C1741,9,3)/Basis!$E$3/Basis!$E$9)*Basis!$E$11,0)</f>
        <v>589</v>
      </c>
      <c r="J1741" s="123">
        <f>IF(Basis!$E$1=1,ROUND(H1741/((TaH-TrH)*1.163)/3600,3),ROUND(H1741/(500*(TaH-TrH)),2))</f>
        <v>0.12</v>
      </c>
      <c r="K1741" s="84"/>
      <c r="L1741" s="177">
        <f>CHOOSE(Basis!$E$1,((AJ1741*(J1741*3600/Basis!$E$5)^AK1741*(((MID(C1741,9,3)*10)-144)/1000)*AL1741+AM1741*(J1741*3600/Basis!$E$5)^2)*0.0098)/Basis!$E$10,((AJ1741*(J1741/Basis!$E$5)^AK1741*(((MID(C1741,9,3)*10)-144)/1000)*AL1741+AM1741*(J1741/Basis!$E$5)^2)*0.0098)/Basis!$E$10)</f>
        <v>1.2579198374497906E-3</v>
      </c>
      <c r="M1741" s="85"/>
      <c r="N1741" s="110">
        <v>1.399</v>
      </c>
      <c r="O1741" s="74"/>
      <c r="P1741" s="73">
        <v>539</v>
      </c>
      <c r="Q1741" s="74"/>
      <c r="R1741" s="75"/>
      <c r="S1741" s="75"/>
      <c r="T1741" s="75"/>
      <c r="U1741" s="75"/>
      <c r="V1741" s="75"/>
      <c r="W1741" s="74"/>
      <c r="X1741" s="76"/>
      <c r="Y1741" s="76"/>
      <c r="Z1741" s="76"/>
      <c r="AA1741" s="76"/>
      <c r="AB1741" s="76"/>
      <c r="AC1741" s="74"/>
      <c r="AD1741" s="77"/>
      <c r="AE1741" s="77"/>
      <c r="AF1741" s="77"/>
      <c r="AG1741" s="77"/>
      <c r="AH1741" s="77"/>
      <c r="AI1741" s="68"/>
      <c r="AJ1741" s="213">
        <v>3.9689999999999994E-4</v>
      </c>
      <c r="AK1741" s="213">
        <v>1.7345999999999999</v>
      </c>
      <c r="AL1741" s="213">
        <v>2</v>
      </c>
      <c r="AM1741" s="213">
        <v>3.6734700000000002E-4</v>
      </c>
      <c r="AN1741" s="74"/>
      <c r="AO1741" s="73"/>
      <c r="AP1741" s="73"/>
      <c r="AQ1741" s="73"/>
      <c r="AR1741" s="73"/>
      <c r="AS1741" s="73"/>
      <c r="AT1741" s="74"/>
      <c r="AU1741" s="47"/>
      <c r="AV1741" s="48"/>
    </row>
    <row r="1742" spans="1:48" ht="12.75" customHeight="1" x14ac:dyDescent="0.25">
      <c r="A1742" s="72" t="s">
        <v>20</v>
      </c>
      <c r="B1742" s="43" t="s">
        <v>1833</v>
      </c>
      <c r="C1742" s="44" t="s">
        <v>1899</v>
      </c>
      <c r="D1742" s="45">
        <f>MROUND(MID($C1742,6,3)/Basis!$E$3,0.5)</f>
        <v>14</v>
      </c>
      <c r="E1742" s="45">
        <f>MROUND(MID($C1742,9,3)/Basis!$E$3,0.5)</f>
        <v>23.5</v>
      </c>
      <c r="F1742" s="124" t="s">
        <v>2946</v>
      </c>
      <c r="G1742" s="45">
        <f>ROUND((ROUNDDOWN($F1742/5,0)*5+1.8)/Basis!$E$3,1)</f>
        <v>4.5999999999999996</v>
      </c>
      <c r="H1742" s="120">
        <f>ROUND($P1742*Basis!$E$2*((TaH-TrH)/LN(1/µ)/Basis!$E$7)^$N1742*$AA$4*Glycol,0)</f>
        <v>1523</v>
      </c>
      <c r="I1742" s="83">
        <f>ROUND(H1742/(MID($C1742,9,3)/Basis!$E$3/Basis!$E$9)*Basis!$E$11,0)</f>
        <v>774</v>
      </c>
      <c r="J1742" s="123">
        <f>IF(Basis!$E$1=1,ROUND(H1742/((TaH-TrH)*1.163)/3600,3),ROUND(H1742/(500*(TaH-TrH)),2))</f>
        <v>0.15</v>
      </c>
      <c r="K1742" s="84"/>
      <c r="L1742" s="177">
        <f>CHOOSE(Basis!$E$1,((AJ1742*(J1742*3600/Basis!$E$5)^AK1742*(((MID(C1742,9,3)*10)-144)/1000)*AL1742+AM1742*(J1742*3600/Basis!$E$5)^2)*0.0098)/Basis!$E$10,((AJ1742*(J1742/Basis!$E$5)^AK1742*(((MID(C1742,9,3)*10)-144)/1000)*AL1742+AM1742*(J1742/Basis!$E$5)^2)*0.0098)/Basis!$E$10)</f>
        <v>3.256533521943451E-3</v>
      </c>
      <c r="M1742" s="85"/>
      <c r="N1742" s="110">
        <v>1.44</v>
      </c>
      <c r="O1742" s="74"/>
      <c r="P1742" s="73">
        <v>718</v>
      </c>
      <c r="Q1742" s="74"/>
      <c r="R1742" s="75"/>
      <c r="S1742" s="75"/>
      <c r="T1742" s="75"/>
      <c r="U1742" s="75"/>
      <c r="V1742" s="75"/>
      <c r="W1742" s="74"/>
      <c r="X1742" s="76"/>
      <c r="Y1742" s="76"/>
      <c r="Z1742" s="76"/>
      <c r="AA1742" s="76"/>
      <c r="AB1742" s="76"/>
      <c r="AC1742" s="74"/>
      <c r="AD1742" s="77"/>
      <c r="AE1742" s="77"/>
      <c r="AF1742" s="77"/>
      <c r="AG1742" s="77"/>
      <c r="AH1742" s="77"/>
      <c r="AI1742" s="68"/>
      <c r="AJ1742" s="213">
        <v>3.9689999999999994E-4</v>
      </c>
      <c r="AK1742" s="213">
        <v>1.7345999999999999</v>
      </c>
      <c r="AL1742" s="213">
        <v>4</v>
      </c>
      <c r="AM1742" s="213">
        <v>5.7428799999999995E-4</v>
      </c>
      <c r="AN1742" s="74"/>
      <c r="AO1742" s="73"/>
      <c r="AP1742" s="73"/>
      <c r="AQ1742" s="73"/>
      <c r="AR1742" s="73"/>
      <c r="AS1742" s="73"/>
      <c r="AT1742" s="74"/>
      <c r="AU1742" s="47"/>
      <c r="AV1742" s="48"/>
    </row>
    <row r="1743" spans="1:48" ht="12.75" customHeight="1" x14ac:dyDescent="0.25">
      <c r="A1743" s="72" t="s">
        <v>20</v>
      </c>
      <c r="B1743" s="43" t="s">
        <v>1833</v>
      </c>
      <c r="C1743" s="44" t="s">
        <v>1900</v>
      </c>
      <c r="D1743" s="45">
        <f>MROUND(MID($C1743,6,3)/Basis!$E$3,0.5)</f>
        <v>14</v>
      </c>
      <c r="E1743" s="45">
        <f>MROUND(MID($C1743,9,3)/Basis!$E$3,0.5)</f>
        <v>23.5</v>
      </c>
      <c r="F1743" s="124" t="s">
        <v>2944</v>
      </c>
      <c r="G1743" s="45">
        <f>ROUND((ROUNDDOWN($F1743/5,0)*5+1.8)/Basis!$E$3,1)</f>
        <v>6.6</v>
      </c>
      <c r="H1743" s="120">
        <f>ROUND($P1743*Basis!$E$2*((TaH-TrH)/LN(1/µ)/Basis!$E$7)^$N1743*$AA$4*Glycol,0)</f>
        <v>1902</v>
      </c>
      <c r="I1743" s="83">
        <f>ROUND(H1743/(MID($C1743,9,3)/Basis!$E$3/Basis!$E$9)*Basis!$E$11,0)</f>
        <v>966</v>
      </c>
      <c r="J1743" s="123">
        <f>IF(Basis!$E$1=1,ROUND(H1743/((TaH-TrH)*1.163)/3600,3),ROUND(H1743/(500*(TaH-TrH)),2))</f>
        <v>0.19</v>
      </c>
      <c r="K1743" s="84"/>
      <c r="L1743" s="177">
        <f>CHOOSE(Basis!$E$1,((AJ1743*(J1743*3600/Basis!$E$5)^AK1743*(((MID(C1743,9,3)*10)-144)/1000)*AL1743+AM1743*(J1743*3600/Basis!$E$5)^2)*0.0098)/Basis!$E$10,((AJ1743*(J1743/Basis!$E$5)^AK1743*(((MID(C1743,9,3)*10)-144)/1000)*AL1743+AM1743*(J1743/Basis!$E$5)^2)*0.0098)/Basis!$E$10)</f>
        <v>3.2213019283929057E-3</v>
      </c>
      <c r="M1743" s="85"/>
      <c r="N1743" s="110">
        <v>1.39</v>
      </c>
      <c r="O1743" s="74"/>
      <c r="P1743" s="73">
        <v>882</v>
      </c>
      <c r="Q1743" s="74"/>
      <c r="R1743" s="75"/>
      <c r="S1743" s="75"/>
      <c r="T1743" s="75"/>
      <c r="U1743" s="75"/>
      <c r="V1743" s="75"/>
      <c r="W1743" s="74"/>
      <c r="X1743" s="76"/>
      <c r="Y1743" s="76"/>
      <c r="Z1743" s="76"/>
      <c r="AA1743" s="76"/>
      <c r="AB1743" s="76"/>
      <c r="AC1743" s="74"/>
      <c r="AD1743" s="77"/>
      <c r="AE1743" s="77"/>
      <c r="AF1743" s="77"/>
      <c r="AG1743" s="77"/>
      <c r="AH1743" s="77"/>
      <c r="AI1743" s="68"/>
      <c r="AJ1743" s="213">
        <v>2.0829999999999999E-4</v>
      </c>
      <c r="AK1743" s="213">
        <v>1.724</v>
      </c>
      <c r="AL1743" s="213">
        <v>2</v>
      </c>
      <c r="AM1743" s="213">
        <v>4.6182900000000003E-4</v>
      </c>
      <c r="AN1743" s="74"/>
      <c r="AO1743" s="73"/>
      <c r="AP1743" s="73"/>
      <c r="AQ1743" s="73"/>
      <c r="AR1743" s="73"/>
      <c r="AS1743" s="73"/>
      <c r="AT1743" s="74"/>
      <c r="AU1743" s="47"/>
      <c r="AV1743" s="48"/>
    </row>
    <row r="1744" spans="1:48" ht="12.75" customHeight="1" x14ac:dyDescent="0.25">
      <c r="A1744" s="72" t="s">
        <v>20</v>
      </c>
      <c r="B1744" s="43" t="s">
        <v>1833</v>
      </c>
      <c r="C1744" s="44" t="s">
        <v>1901</v>
      </c>
      <c r="D1744" s="45">
        <f>MROUND(MID($C1744,6,3)/Basis!$E$3,0.5)</f>
        <v>14</v>
      </c>
      <c r="E1744" s="45">
        <f>MROUND(MID($C1744,9,3)/Basis!$E$3,0.5)</f>
        <v>23.5</v>
      </c>
      <c r="F1744" s="124" t="s">
        <v>2947</v>
      </c>
      <c r="G1744" s="45">
        <f>ROUND((ROUNDDOWN($F1744/5,0)*5+1.8)/Basis!$E$3,1)</f>
        <v>6.6</v>
      </c>
      <c r="H1744" s="120">
        <f>ROUND($P1744*Basis!$E$2*((TaH-TrH)/LN(1/µ)/Basis!$E$7)^$N1744*$AA$4*Glycol,0)</f>
        <v>2016</v>
      </c>
      <c r="I1744" s="83">
        <f>ROUND(H1744/(MID($C1744,9,3)/Basis!$E$3/Basis!$E$9)*Basis!$E$11,0)</f>
        <v>1024</v>
      </c>
      <c r="J1744" s="123">
        <f>IF(Basis!$E$1=1,ROUND(H1744/((TaH-TrH)*1.163)/3600,3),ROUND(H1744/(500*(TaH-TrH)),2))</f>
        <v>0.2</v>
      </c>
      <c r="K1744" s="84"/>
      <c r="L1744" s="177">
        <f>CHOOSE(Basis!$E$1,((AJ1744*(J1744*3600/Basis!$E$5)^AK1744*(((MID(C1744,9,3)*10)-144)/1000)*AL1744+AM1744*(J1744*3600/Basis!$E$5)^2)*0.0098)/Basis!$E$10,((AJ1744*(J1744/Basis!$E$5)^AK1744*(((MID(C1744,9,3)*10)-144)/1000)*AL1744+AM1744*(J1744/Basis!$E$5)^2)*0.0098)/Basis!$E$10)</f>
        <v>1.0291052082453227E-2</v>
      </c>
      <c r="M1744" s="85"/>
      <c r="N1744" s="110">
        <v>1.458</v>
      </c>
      <c r="O1744" s="74"/>
      <c r="P1744" s="73">
        <v>956</v>
      </c>
      <c r="Q1744" s="74"/>
      <c r="R1744" s="75"/>
      <c r="S1744" s="75"/>
      <c r="T1744" s="75"/>
      <c r="U1744" s="75"/>
      <c r="V1744" s="75"/>
      <c r="W1744" s="74"/>
      <c r="X1744" s="76"/>
      <c r="Y1744" s="76"/>
      <c r="Z1744" s="76"/>
      <c r="AA1744" s="76"/>
      <c r="AB1744" s="76"/>
      <c r="AC1744" s="74"/>
      <c r="AD1744" s="77"/>
      <c r="AE1744" s="77"/>
      <c r="AF1744" s="77"/>
      <c r="AG1744" s="77"/>
      <c r="AH1744" s="77"/>
      <c r="AI1744" s="68"/>
      <c r="AJ1744" s="213">
        <v>2.0829999999999999E-4</v>
      </c>
      <c r="AK1744" s="213">
        <v>1.724</v>
      </c>
      <c r="AL1744" s="213">
        <v>4</v>
      </c>
      <c r="AM1744" s="213">
        <v>1.392796E-3</v>
      </c>
      <c r="AN1744" s="74"/>
      <c r="AO1744" s="73"/>
      <c r="AP1744" s="73"/>
      <c r="AQ1744" s="73"/>
      <c r="AR1744" s="73"/>
      <c r="AS1744" s="73"/>
      <c r="AT1744" s="74"/>
      <c r="AU1744" s="47"/>
      <c r="AV1744" s="48"/>
    </row>
    <row r="1745" spans="1:48" ht="12.75" customHeight="1" x14ac:dyDescent="0.25">
      <c r="A1745" s="72" t="s">
        <v>20</v>
      </c>
      <c r="B1745" s="43" t="s">
        <v>1833</v>
      </c>
      <c r="C1745" s="44" t="s">
        <v>1902</v>
      </c>
      <c r="D1745" s="45">
        <f>MROUND(MID($C1745,6,3)/Basis!$E$3,0.5)</f>
        <v>14</v>
      </c>
      <c r="E1745" s="45">
        <f>MROUND(MID($C1745,9,3)/Basis!$E$3,0.5)</f>
        <v>23.5</v>
      </c>
      <c r="F1745" s="124" t="s">
        <v>2945</v>
      </c>
      <c r="G1745" s="45">
        <f>ROUND((ROUNDDOWN($F1745/5,0)*5+1.8)/Basis!$E$3,1)</f>
        <v>8.6</v>
      </c>
      <c r="H1745" s="120">
        <f>ROUND($P1745*Basis!$E$2*((TaH-TrH)/LN(1/µ)/Basis!$E$7)^$N1745*$AA$4*Glycol,0)</f>
        <v>2666</v>
      </c>
      <c r="I1745" s="83">
        <f>ROUND(H1745/(MID($C1745,9,3)/Basis!$E$3/Basis!$E$9)*Basis!$E$11,0)</f>
        <v>1354</v>
      </c>
      <c r="J1745" s="123">
        <f>IF(Basis!$E$1=1,ROUND(H1745/((TaH-TrH)*1.163)/3600,3),ROUND(H1745/(500*(TaH-TrH)),2))</f>
        <v>0.27</v>
      </c>
      <c r="K1745" s="84"/>
      <c r="L1745" s="177">
        <f>CHOOSE(Basis!$E$1,((AJ1745*(J1745*3600/Basis!$E$5)^AK1745*(((MID(C1745,9,3)*10)-144)/1000)*AL1745+AM1745*(J1745*3600/Basis!$E$5)^2)*0.0098)/Basis!$E$10,((AJ1745*(J1745/Basis!$E$5)^AK1745*(((MID(C1745,9,3)*10)-144)/1000)*AL1745+AM1745*(J1745/Basis!$E$5)^2)*0.0098)/Basis!$E$10)</f>
        <v>5.0863124743873028E-3</v>
      </c>
      <c r="M1745" s="85"/>
      <c r="N1745" s="110">
        <v>1.39</v>
      </c>
      <c r="O1745" s="74"/>
      <c r="P1745" s="73">
        <v>1236</v>
      </c>
      <c r="Q1745" s="74"/>
      <c r="R1745" s="75"/>
      <c r="S1745" s="75"/>
      <c r="T1745" s="75"/>
      <c r="U1745" s="75"/>
      <c r="V1745" s="75"/>
      <c r="W1745" s="74"/>
      <c r="X1745" s="76"/>
      <c r="Y1745" s="76"/>
      <c r="Z1745" s="76"/>
      <c r="AA1745" s="76"/>
      <c r="AB1745" s="76"/>
      <c r="AC1745" s="74"/>
      <c r="AD1745" s="77"/>
      <c r="AE1745" s="77"/>
      <c r="AF1745" s="77"/>
      <c r="AG1745" s="77"/>
      <c r="AH1745" s="77"/>
      <c r="AI1745" s="68"/>
      <c r="AJ1745" s="214">
        <v>1.2760000000000001E-4</v>
      </c>
      <c r="AK1745" s="214">
        <v>1.7219</v>
      </c>
      <c r="AL1745" s="214">
        <v>2</v>
      </c>
      <c r="AM1745" s="214">
        <v>3.76611E-4</v>
      </c>
      <c r="AN1745" s="74"/>
      <c r="AO1745" s="73"/>
      <c r="AP1745" s="73"/>
      <c r="AQ1745" s="73"/>
      <c r="AR1745" s="73"/>
      <c r="AS1745" s="73"/>
      <c r="AT1745" s="74"/>
      <c r="AU1745" s="47"/>
      <c r="AV1745" s="48"/>
    </row>
    <row r="1746" spans="1:48" ht="12.75" customHeight="1" x14ac:dyDescent="0.25">
      <c r="A1746" s="72" t="s">
        <v>20</v>
      </c>
      <c r="B1746" s="43" t="s">
        <v>1833</v>
      </c>
      <c r="C1746" s="44" t="s">
        <v>1903</v>
      </c>
      <c r="D1746" s="45">
        <f>MROUND(MID($C1746,6,3)/Basis!$E$3,0.5)</f>
        <v>14</v>
      </c>
      <c r="E1746" s="45">
        <f>MROUND(MID($C1746,9,3)/Basis!$E$3,0.5)</f>
        <v>23.5</v>
      </c>
      <c r="F1746" s="124" t="s">
        <v>2948</v>
      </c>
      <c r="G1746" s="45">
        <f>ROUND((ROUNDDOWN($F1746/5,0)*5+1.8)/Basis!$E$3,1)</f>
        <v>8.6</v>
      </c>
      <c r="H1746" s="120">
        <f>ROUND($P1746*Basis!$E$2*((TaH-TrH)/LN(1/µ)/Basis!$E$7)^$N1746*$AA$4*Glycol,0)</f>
        <v>2662</v>
      </c>
      <c r="I1746" s="83">
        <f>ROUND(H1746/(MID($C1746,9,3)/Basis!$E$3/Basis!$E$9)*Basis!$E$11,0)</f>
        <v>1352</v>
      </c>
      <c r="J1746" s="123">
        <f>IF(Basis!$E$1=1,ROUND(H1746/((TaH-TrH)*1.163)/3600,3),ROUND(H1746/(500*(TaH-TrH)),2))</f>
        <v>0.27</v>
      </c>
      <c r="K1746" s="84"/>
      <c r="L1746" s="177">
        <f>CHOOSE(Basis!$E$1,((AJ1746*(J1746*3600/Basis!$E$5)^AK1746*(((MID(C1746,9,3)*10)-144)/1000)*AL1746+AM1746*(J1746*3600/Basis!$E$5)^2)*0.0098)/Basis!$E$10,((AJ1746*(J1746/Basis!$E$5)^AK1746*(((MID(C1746,9,3)*10)-144)/1000)*AL1746+AM1746*(J1746/Basis!$E$5)^2)*0.0098)/Basis!$E$10)</f>
        <v>7.2336116924053883E-3</v>
      </c>
      <c r="M1746" s="85"/>
      <c r="N1746" s="110">
        <v>1.472</v>
      </c>
      <c r="O1746" s="74"/>
      <c r="P1746" s="73">
        <v>1268</v>
      </c>
      <c r="Q1746" s="74"/>
      <c r="R1746" s="75"/>
      <c r="S1746" s="75"/>
      <c r="T1746" s="75"/>
      <c r="U1746" s="75"/>
      <c r="V1746" s="75"/>
      <c r="W1746" s="74"/>
      <c r="X1746" s="76"/>
      <c r="Y1746" s="76"/>
      <c r="Z1746" s="76"/>
      <c r="AA1746" s="76"/>
      <c r="AB1746" s="76"/>
      <c r="AC1746" s="74"/>
      <c r="AD1746" s="77"/>
      <c r="AE1746" s="77"/>
      <c r="AF1746" s="77"/>
      <c r="AG1746" s="77"/>
      <c r="AH1746" s="77"/>
      <c r="AI1746" s="68"/>
      <c r="AJ1746" s="213">
        <v>1.2760000000000001E-4</v>
      </c>
      <c r="AK1746" s="213">
        <v>1.7219</v>
      </c>
      <c r="AL1746" s="213">
        <v>4</v>
      </c>
      <c r="AM1746" s="213">
        <v>5.1420100000000005E-4</v>
      </c>
      <c r="AN1746" s="74"/>
      <c r="AO1746" s="73"/>
      <c r="AP1746" s="73"/>
      <c r="AQ1746" s="73"/>
      <c r="AR1746" s="73"/>
      <c r="AS1746" s="73"/>
      <c r="AT1746" s="74"/>
      <c r="AU1746" s="47"/>
      <c r="AV1746" s="48"/>
    </row>
    <row r="1747" spans="1:48" ht="12.75" customHeight="1" x14ac:dyDescent="0.25">
      <c r="A1747" s="72" t="s">
        <v>20</v>
      </c>
      <c r="B1747" s="43" t="s">
        <v>1833</v>
      </c>
      <c r="C1747" s="44" t="s">
        <v>1904</v>
      </c>
      <c r="D1747" s="45">
        <f>MROUND(MID($C1747,6,3)/Basis!$E$3,0.5)</f>
        <v>14</v>
      </c>
      <c r="E1747" s="45">
        <f>MROUND(MID($C1747,9,3)/Basis!$E$3,0.5)</f>
        <v>27.5</v>
      </c>
      <c r="F1747" s="124" t="s">
        <v>2949</v>
      </c>
      <c r="G1747" s="45">
        <f>ROUND((ROUNDDOWN($F1747/5,0)*5+3.5)/Basis!$E$3,1)</f>
        <v>3.3</v>
      </c>
      <c r="H1747" s="120">
        <f>ROUND($P1747*Basis!$E$2*((TaH-TrH)/LN(1/µ)/Basis!$E$7)^$N1747*$AA$4*Glycol,0)</f>
        <v>1191</v>
      </c>
      <c r="I1747" s="83">
        <f>ROUND(H1747/(MID($C1747,9,3)/Basis!$E$3/Basis!$E$9)*Basis!$E$11,0)</f>
        <v>519</v>
      </c>
      <c r="J1747" s="123">
        <f>IF(Basis!$E$1=1,ROUND(H1747/((TaH-TrH)*1.163)/3600,3),ROUND(H1747/(500*(TaH-TrH)),2))</f>
        <v>0.12</v>
      </c>
      <c r="K1747" s="84"/>
      <c r="L1747" s="177">
        <f>CHOOSE(Basis!$E$1,((AJ1747*(J1747*3600/Basis!$E$5)^AK1747*(((MID(C1747,9,3)*10)-144)/1000)*AL1747+AM1747*(J1747*3600/Basis!$E$5)^2)*0.0098)/Basis!$E$10,((AJ1747*(J1747/Basis!$E$5)^AK1747*(((MID(C1747,9,3)*10)-144)/1000)*AL1747+AM1747*(J1747/Basis!$E$5)^2)*0.0098)/Basis!$E$10)</f>
        <v>4.7907408128976224E-3</v>
      </c>
      <c r="M1747" s="85"/>
      <c r="N1747" s="110">
        <v>1.393</v>
      </c>
      <c r="O1747" s="74"/>
      <c r="P1747" s="73">
        <v>553</v>
      </c>
      <c r="Q1747" s="74"/>
      <c r="R1747" s="75"/>
      <c r="S1747" s="75"/>
      <c r="T1747" s="75"/>
      <c r="U1747" s="75"/>
      <c r="V1747" s="75"/>
      <c r="W1747" s="74"/>
      <c r="X1747" s="76"/>
      <c r="Y1747" s="76"/>
      <c r="Z1747" s="76"/>
      <c r="AA1747" s="76"/>
      <c r="AB1747" s="76"/>
      <c r="AC1747" s="74"/>
      <c r="AD1747" s="77"/>
      <c r="AE1747" s="77"/>
      <c r="AF1747" s="77"/>
      <c r="AG1747" s="77"/>
      <c r="AH1747" s="77"/>
      <c r="AI1747" s="68"/>
      <c r="AJ1747" s="213">
        <v>1.6125983042710999E-4</v>
      </c>
      <c r="AK1747" s="213">
        <v>2.1458504622376</v>
      </c>
      <c r="AL1747" s="213">
        <v>4</v>
      </c>
      <c r="AM1747" s="213">
        <v>1.3916423712342001E-3</v>
      </c>
      <c r="AN1747" s="74"/>
      <c r="AO1747" s="73"/>
      <c r="AP1747" s="73"/>
      <c r="AQ1747" s="73"/>
      <c r="AR1747" s="73"/>
      <c r="AS1747" s="73"/>
      <c r="AT1747" s="74"/>
      <c r="AU1747" s="47"/>
      <c r="AV1747" s="48"/>
    </row>
    <row r="1748" spans="1:48" ht="12.75" customHeight="1" x14ac:dyDescent="0.25">
      <c r="A1748" s="72" t="s">
        <v>20</v>
      </c>
      <c r="B1748" s="43" t="s">
        <v>1833</v>
      </c>
      <c r="C1748" s="44" t="s">
        <v>1905</v>
      </c>
      <c r="D1748" s="45">
        <f>MROUND(MID($C1748,6,3)/Basis!$E$3,0.5)</f>
        <v>14</v>
      </c>
      <c r="E1748" s="45">
        <f>MROUND(MID($C1748,9,3)/Basis!$E$3,0.5)</f>
        <v>27.5</v>
      </c>
      <c r="F1748" s="124" t="s">
        <v>2943</v>
      </c>
      <c r="G1748" s="45">
        <f>ROUND((ROUNDDOWN($F1748/5,0)*5+1.8)/Basis!$E$3,1)</f>
        <v>4.5999999999999996</v>
      </c>
      <c r="H1748" s="120">
        <f>ROUND($P1748*Basis!$E$2*((TaH-TrH)/LN(1/µ)/Basis!$E$7)^$N1748*$AA$4*Glycol,0)</f>
        <v>1353</v>
      </c>
      <c r="I1748" s="83">
        <f>ROUND(H1748/(MID($C1748,9,3)/Basis!$E$3/Basis!$E$9)*Basis!$E$11,0)</f>
        <v>589</v>
      </c>
      <c r="J1748" s="123">
        <f>IF(Basis!$E$1=1,ROUND(H1748/((TaH-TrH)*1.163)/3600,3),ROUND(H1748/(500*(TaH-TrH)),2))</f>
        <v>0.14000000000000001</v>
      </c>
      <c r="K1748" s="84"/>
      <c r="L1748" s="177">
        <f>CHOOSE(Basis!$E$1,((AJ1748*(J1748*3600/Basis!$E$5)^AK1748*(((MID(C1748,9,3)*10)-144)/1000)*AL1748+AM1748*(J1748*3600/Basis!$E$5)^2)*0.0098)/Basis!$E$10,((AJ1748*(J1748/Basis!$E$5)^AK1748*(((MID(C1748,9,3)*10)-144)/1000)*AL1748+AM1748*(J1748/Basis!$E$5)^2)*0.0098)/Basis!$E$10)</f>
        <v>1.7969949455121314E-3</v>
      </c>
      <c r="M1748" s="85"/>
      <c r="N1748" s="109">
        <v>1.399</v>
      </c>
      <c r="O1748" s="68"/>
      <c r="P1748" s="67">
        <v>629</v>
      </c>
      <c r="Q1748" s="68"/>
      <c r="R1748" s="69"/>
      <c r="S1748" s="69"/>
      <c r="T1748" s="69"/>
      <c r="U1748" s="69"/>
      <c r="V1748" s="69"/>
      <c r="W1748" s="68"/>
      <c r="X1748" s="70"/>
      <c r="Y1748" s="70"/>
      <c r="Z1748" s="70"/>
      <c r="AA1748" s="70"/>
      <c r="AB1748" s="70"/>
      <c r="AC1748" s="68"/>
      <c r="AD1748" s="71"/>
      <c r="AE1748" s="71"/>
      <c r="AF1748" s="71"/>
      <c r="AG1748" s="71"/>
      <c r="AH1748" s="71"/>
      <c r="AI1748" s="68"/>
      <c r="AJ1748" s="214">
        <v>3.9689999999999994E-4</v>
      </c>
      <c r="AK1748" s="214">
        <v>1.7345999999999999</v>
      </c>
      <c r="AL1748" s="214">
        <v>2</v>
      </c>
      <c r="AM1748" s="214">
        <v>3.6734700000000002E-4</v>
      </c>
      <c r="AN1748" s="68"/>
      <c r="AO1748" s="67"/>
      <c r="AP1748" s="67"/>
      <c r="AQ1748" s="67"/>
      <c r="AR1748" s="67"/>
      <c r="AS1748" s="67"/>
      <c r="AT1748" s="68"/>
      <c r="AU1748" s="49"/>
      <c r="AV1748" s="50"/>
    </row>
    <row r="1749" spans="1:48" ht="12.75" customHeight="1" x14ac:dyDescent="0.25">
      <c r="A1749" s="72" t="s">
        <v>20</v>
      </c>
      <c r="B1749" s="43" t="s">
        <v>1833</v>
      </c>
      <c r="C1749" s="44" t="s">
        <v>1906</v>
      </c>
      <c r="D1749" s="45">
        <f>MROUND(MID($C1749,6,3)/Basis!$E$3,0.5)</f>
        <v>14</v>
      </c>
      <c r="E1749" s="45">
        <f>MROUND(MID($C1749,9,3)/Basis!$E$3,0.5)</f>
        <v>27.5</v>
      </c>
      <c r="F1749" s="124" t="s">
        <v>2946</v>
      </c>
      <c r="G1749" s="45">
        <f>ROUND((ROUNDDOWN($F1749/5,0)*5+1.8)/Basis!$E$3,1)</f>
        <v>4.5999999999999996</v>
      </c>
      <c r="H1749" s="120">
        <f>ROUND($P1749*Basis!$E$2*((TaH-TrH)/LN(1/µ)/Basis!$E$7)^$N1749*$AA$4*Glycol,0)</f>
        <v>1776</v>
      </c>
      <c r="I1749" s="83">
        <f>ROUND(H1749/(MID($C1749,9,3)/Basis!$E$3/Basis!$E$9)*Basis!$E$11,0)</f>
        <v>773</v>
      </c>
      <c r="J1749" s="123">
        <f>IF(Basis!$E$1=1,ROUND(H1749/((TaH-TrH)*1.163)/3600,3),ROUND(H1749/(500*(TaH-TrH)),2))</f>
        <v>0.18</v>
      </c>
      <c r="K1749" s="84"/>
      <c r="L1749" s="177">
        <f>CHOOSE(Basis!$E$1,((AJ1749*(J1749*3600/Basis!$E$5)^AK1749*(((MID(C1749,9,3)*10)-144)/1000)*AL1749+AM1749*(J1749*3600/Basis!$E$5)^2)*0.0098)/Basis!$E$10,((AJ1749*(J1749/Basis!$E$5)^AK1749*(((MID(C1749,9,3)*10)-144)/1000)*AL1749+AM1749*(J1749/Basis!$E$5)^2)*0.0098)/Basis!$E$10)</f>
        <v>4.9402063653079392E-3</v>
      </c>
      <c r="M1749" s="85"/>
      <c r="N1749" s="109">
        <v>1.44</v>
      </c>
      <c r="O1749" s="68"/>
      <c r="P1749" s="67">
        <v>837</v>
      </c>
      <c r="Q1749" s="68"/>
      <c r="R1749" s="69"/>
      <c r="S1749" s="69"/>
      <c r="T1749" s="69"/>
      <c r="U1749" s="69"/>
      <c r="V1749" s="69"/>
      <c r="W1749" s="68"/>
      <c r="X1749" s="70"/>
      <c r="Y1749" s="70"/>
      <c r="Z1749" s="70"/>
      <c r="AA1749" s="70"/>
      <c r="AB1749" s="70"/>
      <c r="AC1749" s="68"/>
      <c r="AD1749" s="71"/>
      <c r="AE1749" s="71"/>
      <c r="AF1749" s="71"/>
      <c r="AG1749" s="71"/>
      <c r="AH1749" s="71"/>
      <c r="AI1749" s="68"/>
      <c r="AJ1749" s="214">
        <v>3.9689999999999994E-4</v>
      </c>
      <c r="AK1749" s="214">
        <v>1.7345999999999999</v>
      </c>
      <c r="AL1749" s="214">
        <v>4</v>
      </c>
      <c r="AM1749" s="214">
        <v>5.7428799999999995E-4</v>
      </c>
      <c r="AN1749" s="68"/>
      <c r="AO1749" s="67"/>
      <c r="AP1749" s="67"/>
      <c r="AQ1749" s="67"/>
      <c r="AR1749" s="67"/>
      <c r="AS1749" s="67"/>
      <c r="AT1749" s="68"/>
      <c r="AU1749" s="49"/>
      <c r="AV1749" s="50"/>
    </row>
    <row r="1750" spans="1:48" ht="12.75" customHeight="1" x14ac:dyDescent="0.25">
      <c r="A1750" s="72" t="s">
        <v>20</v>
      </c>
      <c r="B1750" s="43" t="s">
        <v>1833</v>
      </c>
      <c r="C1750" s="44" t="s">
        <v>1907</v>
      </c>
      <c r="D1750" s="45">
        <f>MROUND(MID($C1750,6,3)/Basis!$E$3,0.5)</f>
        <v>14</v>
      </c>
      <c r="E1750" s="45">
        <f>MROUND(MID($C1750,9,3)/Basis!$E$3,0.5)</f>
        <v>27.5</v>
      </c>
      <c r="F1750" s="124" t="s">
        <v>2944</v>
      </c>
      <c r="G1750" s="45">
        <f>ROUND((ROUNDDOWN($F1750/5,0)*5+1.8)/Basis!$E$3,1)</f>
        <v>6.6</v>
      </c>
      <c r="H1750" s="120">
        <f>ROUND($P1750*Basis!$E$2*((TaH-TrH)/LN(1/µ)/Basis!$E$7)^$N1750*$AA$4*Glycol,0)</f>
        <v>2219</v>
      </c>
      <c r="I1750" s="83">
        <f>ROUND(H1750/(MID($C1750,9,3)/Basis!$E$3/Basis!$E$9)*Basis!$E$11,0)</f>
        <v>966</v>
      </c>
      <c r="J1750" s="123">
        <f>IF(Basis!$E$1=1,ROUND(H1750/((TaH-TrH)*1.163)/3600,3),ROUND(H1750/(500*(TaH-TrH)),2))</f>
        <v>0.22</v>
      </c>
      <c r="K1750" s="84"/>
      <c r="L1750" s="177">
        <f>CHOOSE(Basis!$E$1,((AJ1750*(J1750*3600/Basis!$E$5)^AK1750*(((MID(C1750,9,3)*10)-144)/1000)*AL1750+AM1750*(J1750*3600/Basis!$E$5)^2)*0.0098)/Basis!$E$10,((AJ1750*(J1750/Basis!$E$5)^AK1750*(((MID(C1750,9,3)*10)-144)/1000)*AL1750+AM1750*(J1750/Basis!$E$5)^2)*0.0098)/Basis!$E$10)</f>
        <v>4.4126570809010718E-3</v>
      </c>
      <c r="M1750" s="85"/>
      <c r="N1750" s="109">
        <v>1.39</v>
      </c>
      <c r="O1750" s="68"/>
      <c r="P1750" s="67">
        <v>1029</v>
      </c>
      <c r="Q1750" s="68"/>
      <c r="R1750" s="69"/>
      <c r="S1750" s="69"/>
      <c r="T1750" s="69"/>
      <c r="U1750" s="69"/>
      <c r="V1750" s="69"/>
      <c r="W1750" s="68"/>
      <c r="X1750" s="70"/>
      <c r="Y1750" s="70"/>
      <c r="Z1750" s="70"/>
      <c r="AA1750" s="70"/>
      <c r="AB1750" s="70"/>
      <c r="AC1750" s="68"/>
      <c r="AD1750" s="71"/>
      <c r="AE1750" s="71"/>
      <c r="AF1750" s="71"/>
      <c r="AG1750" s="71"/>
      <c r="AH1750" s="71"/>
      <c r="AI1750" s="68"/>
      <c r="AJ1750" s="214">
        <v>2.0829999999999999E-4</v>
      </c>
      <c r="AK1750" s="214">
        <v>1.724</v>
      </c>
      <c r="AL1750" s="214">
        <v>2</v>
      </c>
      <c r="AM1750" s="214">
        <v>4.6182900000000003E-4</v>
      </c>
      <c r="AN1750" s="68"/>
      <c r="AO1750" s="67"/>
      <c r="AP1750" s="67"/>
      <c r="AQ1750" s="67"/>
      <c r="AR1750" s="67"/>
      <c r="AS1750" s="67"/>
      <c r="AT1750" s="68"/>
      <c r="AU1750" s="49"/>
      <c r="AV1750" s="50"/>
    </row>
    <row r="1751" spans="1:48" ht="12.75" customHeight="1" x14ac:dyDescent="0.25">
      <c r="A1751" s="72" t="s">
        <v>20</v>
      </c>
      <c r="B1751" s="43" t="s">
        <v>1833</v>
      </c>
      <c r="C1751" s="44" t="s">
        <v>1908</v>
      </c>
      <c r="D1751" s="45">
        <f>MROUND(MID($C1751,6,3)/Basis!$E$3,0.5)</f>
        <v>14</v>
      </c>
      <c r="E1751" s="45">
        <f>MROUND(MID($C1751,9,3)/Basis!$E$3,0.5)</f>
        <v>27.5</v>
      </c>
      <c r="F1751" s="124" t="s">
        <v>2947</v>
      </c>
      <c r="G1751" s="45">
        <f>ROUND((ROUNDDOWN($F1751/5,0)*5+1.8)/Basis!$E$3,1)</f>
        <v>6.6</v>
      </c>
      <c r="H1751" s="120">
        <f>ROUND($P1751*Basis!$E$2*((TaH-TrH)/LN(1/µ)/Basis!$E$7)^$N1751*$AA$4*Glycol,0)</f>
        <v>2351</v>
      </c>
      <c r="I1751" s="83">
        <f>ROUND(H1751/(MID($C1751,9,3)/Basis!$E$3/Basis!$E$9)*Basis!$E$11,0)</f>
        <v>1024</v>
      </c>
      <c r="J1751" s="123">
        <f>IF(Basis!$E$1=1,ROUND(H1751/((TaH-TrH)*1.163)/3600,3),ROUND(H1751/(500*(TaH-TrH)),2))</f>
        <v>0.24</v>
      </c>
      <c r="K1751" s="84"/>
      <c r="L1751" s="177">
        <f>CHOOSE(Basis!$E$1,((AJ1751*(J1751*3600/Basis!$E$5)^AK1751*(((MID(C1751,9,3)*10)-144)/1000)*AL1751+AM1751*(J1751*3600/Basis!$E$5)^2)*0.0098)/Basis!$E$10,((AJ1751*(J1751/Basis!$E$5)^AK1751*(((MID(C1751,9,3)*10)-144)/1000)*AL1751+AM1751*(J1751/Basis!$E$5)^2)*0.0098)/Basis!$E$10)</f>
        <v>1.5024428630825992E-2</v>
      </c>
      <c r="M1751" s="85"/>
      <c r="N1751" s="109">
        <v>1.458</v>
      </c>
      <c r="O1751" s="68"/>
      <c r="P1751" s="67">
        <v>1115</v>
      </c>
      <c r="Q1751" s="68"/>
      <c r="R1751" s="69"/>
      <c r="S1751" s="69"/>
      <c r="T1751" s="69"/>
      <c r="U1751" s="69"/>
      <c r="V1751" s="69"/>
      <c r="W1751" s="68"/>
      <c r="X1751" s="70"/>
      <c r="Y1751" s="70"/>
      <c r="Z1751" s="70"/>
      <c r="AA1751" s="70"/>
      <c r="AB1751" s="70"/>
      <c r="AC1751" s="68"/>
      <c r="AD1751" s="71"/>
      <c r="AE1751" s="71"/>
      <c r="AF1751" s="71"/>
      <c r="AG1751" s="71"/>
      <c r="AH1751" s="71"/>
      <c r="AI1751" s="68"/>
      <c r="AJ1751" s="214">
        <v>2.0829999999999999E-4</v>
      </c>
      <c r="AK1751" s="214">
        <v>1.724</v>
      </c>
      <c r="AL1751" s="214">
        <v>4</v>
      </c>
      <c r="AM1751" s="214">
        <v>1.392796E-3</v>
      </c>
      <c r="AN1751" s="68"/>
      <c r="AO1751" s="67"/>
      <c r="AP1751" s="67"/>
      <c r="AQ1751" s="67"/>
      <c r="AR1751" s="67"/>
      <c r="AS1751" s="67"/>
      <c r="AT1751" s="68"/>
      <c r="AU1751" s="49"/>
      <c r="AV1751" s="50"/>
    </row>
    <row r="1752" spans="1:48" ht="12.75" customHeight="1" x14ac:dyDescent="0.25">
      <c r="A1752" s="72" t="s">
        <v>20</v>
      </c>
      <c r="B1752" s="43" t="s">
        <v>1833</v>
      </c>
      <c r="C1752" s="44" t="s">
        <v>1909</v>
      </c>
      <c r="D1752" s="45">
        <f>MROUND(MID($C1752,6,3)/Basis!$E$3,0.5)</f>
        <v>14</v>
      </c>
      <c r="E1752" s="45">
        <f>MROUND(MID($C1752,9,3)/Basis!$E$3,0.5)</f>
        <v>27.5</v>
      </c>
      <c r="F1752" s="124" t="s">
        <v>2945</v>
      </c>
      <c r="G1752" s="45">
        <f>ROUND((ROUNDDOWN($F1752/5,0)*5+1.8)/Basis!$E$3,1)</f>
        <v>8.6</v>
      </c>
      <c r="H1752" s="120">
        <f>ROUND($P1752*Basis!$E$2*((TaH-TrH)/LN(1/µ)/Basis!$E$7)^$N1752*$AA$4*Glycol,0)</f>
        <v>3110</v>
      </c>
      <c r="I1752" s="83">
        <f>ROUND(H1752/(MID($C1752,9,3)/Basis!$E$3/Basis!$E$9)*Basis!$E$11,0)</f>
        <v>1354</v>
      </c>
      <c r="J1752" s="123">
        <f>IF(Basis!$E$1=1,ROUND(H1752/((TaH-TrH)*1.163)/3600,3),ROUND(H1752/(500*(TaH-TrH)),2))</f>
        <v>0.31</v>
      </c>
      <c r="K1752" s="84"/>
      <c r="L1752" s="177">
        <f>CHOOSE(Basis!$E$1,((AJ1752*(J1752*3600/Basis!$E$5)^AK1752*(((MID(C1752,9,3)*10)-144)/1000)*AL1752+AM1752*(J1752*3600/Basis!$E$5)^2)*0.0098)/Basis!$E$10,((AJ1752*(J1752/Basis!$E$5)^AK1752*(((MID(C1752,9,3)*10)-144)/1000)*AL1752+AM1752*(J1752/Basis!$E$5)^2)*0.0098)/Basis!$E$10)</f>
        <v>6.8090834446825786E-3</v>
      </c>
      <c r="M1752" s="85"/>
      <c r="N1752" s="109">
        <v>1.39</v>
      </c>
      <c r="O1752" s="68"/>
      <c r="P1752" s="67">
        <v>1442</v>
      </c>
      <c r="Q1752" s="68"/>
      <c r="R1752" s="69"/>
      <c r="S1752" s="69"/>
      <c r="T1752" s="69"/>
      <c r="U1752" s="69"/>
      <c r="V1752" s="69"/>
      <c r="W1752" s="68"/>
      <c r="X1752" s="70"/>
      <c r="Y1752" s="70"/>
      <c r="Z1752" s="70"/>
      <c r="AA1752" s="70"/>
      <c r="AB1752" s="70"/>
      <c r="AC1752" s="68"/>
      <c r="AD1752" s="71"/>
      <c r="AE1752" s="71"/>
      <c r="AF1752" s="71"/>
      <c r="AG1752" s="71"/>
      <c r="AH1752" s="71"/>
      <c r="AI1752" s="68"/>
      <c r="AJ1752" s="214">
        <v>1.2760000000000001E-4</v>
      </c>
      <c r="AK1752" s="214">
        <v>1.7219</v>
      </c>
      <c r="AL1752" s="214">
        <v>2</v>
      </c>
      <c r="AM1752" s="214">
        <v>3.76611E-4</v>
      </c>
      <c r="AN1752" s="68"/>
      <c r="AO1752" s="67"/>
      <c r="AP1752" s="67"/>
      <c r="AQ1752" s="67"/>
      <c r="AR1752" s="67"/>
      <c r="AS1752" s="67"/>
      <c r="AT1752" s="68"/>
      <c r="AU1752" s="49"/>
      <c r="AV1752" s="50"/>
    </row>
    <row r="1753" spans="1:48" ht="12.75" customHeight="1" x14ac:dyDescent="0.25">
      <c r="A1753" s="72" t="s">
        <v>20</v>
      </c>
      <c r="B1753" s="43" t="s">
        <v>1833</v>
      </c>
      <c r="C1753" s="44" t="s">
        <v>1910</v>
      </c>
      <c r="D1753" s="45">
        <f>MROUND(MID($C1753,6,3)/Basis!$E$3,0.5)</f>
        <v>14</v>
      </c>
      <c r="E1753" s="45">
        <f>MROUND(MID($C1753,9,3)/Basis!$E$3,0.5)</f>
        <v>27.5</v>
      </c>
      <c r="F1753" s="124" t="s">
        <v>2948</v>
      </c>
      <c r="G1753" s="45">
        <f>ROUND((ROUNDDOWN($F1753/5,0)*5+1.8)/Basis!$E$3,1)</f>
        <v>8.6</v>
      </c>
      <c r="H1753" s="120">
        <f>ROUND($P1753*Basis!$E$2*((TaH-TrH)/LN(1/µ)/Basis!$E$7)^$N1753*$AA$4*Glycol,0)</f>
        <v>3107</v>
      </c>
      <c r="I1753" s="83">
        <f>ROUND(H1753/(MID($C1753,9,3)/Basis!$E$3/Basis!$E$9)*Basis!$E$11,0)</f>
        <v>1353</v>
      </c>
      <c r="J1753" s="123">
        <f>IF(Basis!$E$1=1,ROUND(H1753/((TaH-TrH)*1.163)/3600,3),ROUND(H1753/(500*(TaH-TrH)),2))</f>
        <v>0.31</v>
      </c>
      <c r="K1753" s="84"/>
      <c r="L1753" s="177">
        <f>CHOOSE(Basis!$E$1,((AJ1753*(J1753*3600/Basis!$E$5)^AK1753*(((MID(C1753,9,3)*10)-144)/1000)*AL1753+AM1753*(J1753*3600/Basis!$E$5)^2)*0.0098)/Basis!$E$10,((AJ1753*(J1753/Basis!$E$5)^AK1753*(((MID(C1753,9,3)*10)-144)/1000)*AL1753+AM1753*(J1753/Basis!$E$5)^2)*0.0098)/Basis!$E$10)</f>
        <v>9.7438297983215121E-3</v>
      </c>
      <c r="M1753" s="85"/>
      <c r="N1753" s="109">
        <v>1.472</v>
      </c>
      <c r="O1753" s="68"/>
      <c r="P1753" s="67">
        <v>1480</v>
      </c>
      <c r="Q1753" s="68"/>
      <c r="R1753" s="69"/>
      <c r="S1753" s="69"/>
      <c r="T1753" s="69"/>
      <c r="U1753" s="69"/>
      <c r="V1753" s="69"/>
      <c r="W1753" s="68"/>
      <c r="X1753" s="70"/>
      <c r="Y1753" s="70"/>
      <c r="Z1753" s="70"/>
      <c r="AA1753" s="70"/>
      <c r="AB1753" s="70"/>
      <c r="AC1753" s="68"/>
      <c r="AD1753" s="71"/>
      <c r="AE1753" s="71"/>
      <c r="AF1753" s="71"/>
      <c r="AG1753" s="71"/>
      <c r="AH1753" s="71"/>
      <c r="AI1753" s="68"/>
      <c r="AJ1753" s="214">
        <v>1.2760000000000001E-4</v>
      </c>
      <c r="AK1753" s="214">
        <v>1.7219</v>
      </c>
      <c r="AL1753" s="214">
        <v>4</v>
      </c>
      <c r="AM1753" s="214">
        <v>5.1420100000000005E-4</v>
      </c>
      <c r="AN1753" s="68"/>
      <c r="AO1753" s="67"/>
      <c r="AP1753" s="67"/>
      <c r="AQ1753" s="67"/>
      <c r="AR1753" s="67"/>
      <c r="AS1753" s="67"/>
      <c r="AT1753" s="68"/>
      <c r="AU1753" s="49"/>
      <c r="AV1753" s="50"/>
    </row>
    <row r="1754" spans="1:48" ht="12.75" customHeight="1" x14ac:dyDescent="0.25">
      <c r="A1754" s="72" t="s">
        <v>20</v>
      </c>
      <c r="B1754" s="43" t="s">
        <v>1833</v>
      </c>
      <c r="C1754" s="44" t="s">
        <v>1911</v>
      </c>
      <c r="D1754" s="45">
        <f>MROUND(MID($C1754,6,3)/Basis!$E$3,0.5)</f>
        <v>14</v>
      </c>
      <c r="E1754" s="45">
        <f>MROUND(MID($C1754,9,3)/Basis!$E$3,0.5)</f>
        <v>31.5</v>
      </c>
      <c r="F1754" s="124" t="s">
        <v>2949</v>
      </c>
      <c r="G1754" s="45">
        <f>ROUND((ROUNDDOWN($F1754/5,0)*5+3.5)/Basis!$E$3,1)</f>
        <v>3.3</v>
      </c>
      <c r="H1754" s="120">
        <f>ROUND($P1754*Basis!$E$2*((TaH-TrH)/LN(1/µ)/Basis!$E$7)^$N1754*$AA$4*Glycol,0)</f>
        <v>1362</v>
      </c>
      <c r="I1754" s="83">
        <f>ROUND(H1754/(MID($C1754,9,3)/Basis!$E$3/Basis!$E$9)*Basis!$E$11,0)</f>
        <v>519</v>
      </c>
      <c r="J1754" s="123">
        <f>IF(Basis!$E$1=1,ROUND(H1754/((TaH-TrH)*1.163)/3600,3),ROUND(H1754/(500*(TaH-TrH)),2))</f>
        <v>0.14000000000000001</v>
      </c>
      <c r="K1754" s="84"/>
      <c r="L1754" s="177">
        <f>CHOOSE(Basis!$E$1,((AJ1754*(J1754*3600/Basis!$E$5)^AK1754*(((MID(C1754,9,3)*10)-144)/1000)*AL1754+AM1754*(J1754*3600/Basis!$E$5)^2)*0.0098)/Basis!$E$10,((AJ1754*(J1754/Basis!$E$5)^AK1754*(((MID(C1754,9,3)*10)-144)/1000)*AL1754+AM1754*(J1754/Basis!$E$5)^2)*0.0098)/Basis!$E$10)</f>
        <v>6.9175735287553145E-3</v>
      </c>
      <c r="M1754" s="85"/>
      <c r="N1754" s="109">
        <v>1.393</v>
      </c>
      <c r="O1754" s="68"/>
      <c r="P1754" s="67">
        <v>632</v>
      </c>
      <c r="Q1754" s="68"/>
      <c r="R1754" s="69"/>
      <c r="S1754" s="69"/>
      <c r="T1754" s="69"/>
      <c r="U1754" s="69"/>
      <c r="V1754" s="69"/>
      <c r="W1754" s="68"/>
      <c r="X1754" s="70"/>
      <c r="Y1754" s="70"/>
      <c r="Z1754" s="70"/>
      <c r="AA1754" s="70"/>
      <c r="AB1754" s="70"/>
      <c r="AC1754" s="68"/>
      <c r="AD1754" s="71"/>
      <c r="AE1754" s="71"/>
      <c r="AF1754" s="71"/>
      <c r="AG1754" s="71"/>
      <c r="AH1754" s="71"/>
      <c r="AI1754" s="68"/>
      <c r="AJ1754" s="214">
        <v>1.6125983042710999E-4</v>
      </c>
      <c r="AK1754" s="214">
        <v>2.1458504622376</v>
      </c>
      <c r="AL1754" s="214">
        <v>4</v>
      </c>
      <c r="AM1754" s="214">
        <v>1.3916423712342001E-3</v>
      </c>
      <c r="AN1754" s="68"/>
      <c r="AO1754" s="67"/>
      <c r="AP1754" s="67"/>
      <c r="AQ1754" s="67"/>
      <c r="AR1754" s="67"/>
      <c r="AS1754" s="67"/>
      <c r="AT1754" s="68"/>
      <c r="AU1754" s="49"/>
      <c r="AV1754" s="50"/>
    </row>
    <row r="1755" spans="1:48" ht="12.75" customHeight="1" x14ac:dyDescent="0.25">
      <c r="A1755" s="72" t="s">
        <v>20</v>
      </c>
      <c r="B1755" s="43" t="s">
        <v>1833</v>
      </c>
      <c r="C1755" s="44" t="s">
        <v>1912</v>
      </c>
      <c r="D1755" s="45">
        <f>MROUND(MID($C1755,6,3)/Basis!$E$3,0.5)</f>
        <v>14</v>
      </c>
      <c r="E1755" s="45">
        <f>MROUND(MID($C1755,9,3)/Basis!$E$3,0.5)</f>
        <v>31.5</v>
      </c>
      <c r="F1755" s="124" t="s">
        <v>2943</v>
      </c>
      <c r="G1755" s="45">
        <f>ROUND((ROUNDDOWN($F1755/5,0)*5+1.8)/Basis!$E$3,1)</f>
        <v>4.5999999999999996</v>
      </c>
      <c r="H1755" s="120">
        <f>ROUND($P1755*Basis!$E$2*((TaH-TrH)/LN(1/µ)/Basis!$E$7)^$N1755*$AA$4*Glycol,0)</f>
        <v>1544</v>
      </c>
      <c r="I1755" s="83">
        <f>ROUND(H1755/(MID($C1755,9,3)/Basis!$E$3/Basis!$E$9)*Basis!$E$11,0)</f>
        <v>588</v>
      </c>
      <c r="J1755" s="123">
        <f>IF(Basis!$E$1=1,ROUND(H1755/((TaH-TrH)*1.163)/3600,3),ROUND(H1755/(500*(TaH-TrH)),2))</f>
        <v>0.15</v>
      </c>
      <c r="K1755" s="84"/>
      <c r="L1755" s="177">
        <f>CHOOSE(Basis!$E$1,((AJ1755*(J1755*3600/Basis!$E$5)^AK1755*(((MID(C1755,9,3)*10)-144)/1000)*AL1755+AM1755*(J1755*3600/Basis!$E$5)^2)*0.0098)/Basis!$E$10,((AJ1755*(J1755/Basis!$E$5)^AK1755*(((MID(C1755,9,3)*10)-144)/1000)*AL1755+AM1755*(J1755/Basis!$E$5)^2)*0.0098)/Basis!$E$10)</f>
        <v>2.1688421272060645E-3</v>
      </c>
      <c r="M1755" s="85"/>
      <c r="N1755" s="110">
        <v>1.399</v>
      </c>
      <c r="O1755" s="74"/>
      <c r="P1755" s="73">
        <v>718</v>
      </c>
      <c r="Q1755" s="74"/>
      <c r="R1755" s="75"/>
      <c r="S1755" s="75"/>
      <c r="T1755" s="75"/>
      <c r="U1755" s="75"/>
      <c r="V1755" s="75"/>
      <c r="W1755" s="74"/>
      <c r="X1755" s="76"/>
      <c r="Y1755" s="76"/>
      <c r="Z1755" s="76"/>
      <c r="AA1755" s="76"/>
      <c r="AB1755" s="76"/>
      <c r="AC1755" s="74"/>
      <c r="AD1755" s="77"/>
      <c r="AE1755" s="77"/>
      <c r="AF1755" s="77"/>
      <c r="AG1755" s="77"/>
      <c r="AH1755" s="77"/>
      <c r="AI1755" s="68"/>
      <c r="AJ1755" s="213">
        <v>3.9689999999999994E-4</v>
      </c>
      <c r="AK1755" s="213">
        <v>1.7345999999999999</v>
      </c>
      <c r="AL1755" s="213">
        <v>2</v>
      </c>
      <c r="AM1755" s="213">
        <v>3.6734700000000002E-4</v>
      </c>
      <c r="AN1755" s="74"/>
      <c r="AO1755" s="73"/>
      <c r="AP1755" s="73"/>
      <c r="AQ1755" s="73"/>
      <c r="AR1755" s="73"/>
      <c r="AS1755" s="73"/>
      <c r="AT1755" s="74"/>
      <c r="AU1755" s="47"/>
      <c r="AV1755" s="48"/>
    </row>
    <row r="1756" spans="1:48" ht="12.75" customHeight="1" x14ac:dyDescent="0.25">
      <c r="A1756" s="72" t="s">
        <v>20</v>
      </c>
      <c r="B1756" s="43" t="s">
        <v>1833</v>
      </c>
      <c r="C1756" s="44" t="s">
        <v>1913</v>
      </c>
      <c r="D1756" s="45">
        <f>MROUND(MID($C1756,6,3)/Basis!$E$3,0.5)</f>
        <v>14</v>
      </c>
      <c r="E1756" s="45">
        <f>MROUND(MID($C1756,9,3)/Basis!$E$3,0.5)</f>
        <v>31.5</v>
      </c>
      <c r="F1756" s="124" t="s">
        <v>2946</v>
      </c>
      <c r="G1756" s="45">
        <f>ROUND((ROUNDDOWN($F1756/5,0)*5+1.8)/Basis!$E$3,1)</f>
        <v>4.5999999999999996</v>
      </c>
      <c r="H1756" s="120">
        <f>ROUND($P1756*Basis!$E$2*((TaH-TrH)/LN(1/µ)/Basis!$E$7)^$N1756*$AA$4*Glycol,0)</f>
        <v>2030</v>
      </c>
      <c r="I1756" s="83">
        <f>ROUND(H1756/(MID($C1756,9,3)/Basis!$E$3/Basis!$E$9)*Basis!$E$11,0)</f>
        <v>773</v>
      </c>
      <c r="J1756" s="123">
        <f>IF(Basis!$E$1=1,ROUND(H1756/((TaH-TrH)*1.163)/3600,3),ROUND(H1756/(500*(TaH-TrH)),2))</f>
        <v>0.2</v>
      </c>
      <c r="K1756" s="84"/>
      <c r="L1756" s="177">
        <f>CHOOSE(Basis!$E$1,((AJ1756*(J1756*3600/Basis!$E$5)^AK1756*(((MID(C1756,9,3)*10)-144)/1000)*AL1756+AM1756*(J1756*3600/Basis!$E$5)^2)*0.0098)/Basis!$E$10,((AJ1756*(J1756/Basis!$E$5)^AK1756*(((MID(C1756,9,3)*10)-144)/1000)*AL1756+AM1756*(J1756/Basis!$E$5)^2)*0.0098)/Basis!$E$10)</f>
        <v>6.4267233338345881E-3</v>
      </c>
      <c r="M1756" s="85"/>
      <c r="N1756" s="110">
        <v>1.44</v>
      </c>
      <c r="O1756" s="74"/>
      <c r="P1756" s="73">
        <v>957</v>
      </c>
      <c r="Q1756" s="74"/>
      <c r="R1756" s="75"/>
      <c r="S1756" s="75"/>
      <c r="T1756" s="75"/>
      <c r="U1756" s="75"/>
      <c r="V1756" s="75"/>
      <c r="W1756" s="74"/>
      <c r="X1756" s="76"/>
      <c r="Y1756" s="76"/>
      <c r="Z1756" s="76"/>
      <c r="AA1756" s="76"/>
      <c r="AB1756" s="76"/>
      <c r="AC1756" s="74"/>
      <c r="AD1756" s="77"/>
      <c r="AE1756" s="77"/>
      <c r="AF1756" s="77"/>
      <c r="AG1756" s="77"/>
      <c r="AH1756" s="77"/>
      <c r="AI1756" s="68"/>
      <c r="AJ1756" s="213">
        <v>3.9689999999999994E-4</v>
      </c>
      <c r="AK1756" s="213">
        <v>1.7345999999999999</v>
      </c>
      <c r="AL1756" s="213">
        <v>4</v>
      </c>
      <c r="AM1756" s="213">
        <v>5.7428799999999995E-4</v>
      </c>
      <c r="AN1756" s="74"/>
      <c r="AO1756" s="73"/>
      <c r="AP1756" s="73"/>
      <c r="AQ1756" s="73"/>
      <c r="AR1756" s="73"/>
      <c r="AS1756" s="73"/>
      <c r="AT1756" s="74"/>
      <c r="AU1756" s="47"/>
      <c r="AV1756" s="48"/>
    </row>
    <row r="1757" spans="1:48" ht="12.75" customHeight="1" x14ac:dyDescent="0.25">
      <c r="A1757" s="72" t="s">
        <v>20</v>
      </c>
      <c r="B1757" s="43" t="s">
        <v>1833</v>
      </c>
      <c r="C1757" s="44" t="s">
        <v>1914</v>
      </c>
      <c r="D1757" s="45">
        <f>MROUND(MID($C1757,6,3)/Basis!$E$3,0.5)</f>
        <v>14</v>
      </c>
      <c r="E1757" s="45">
        <f>MROUND(MID($C1757,9,3)/Basis!$E$3,0.5)</f>
        <v>31.5</v>
      </c>
      <c r="F1757" s="124" t="s">
        <v>2944</v>
      </c>
      <c r="G1757" s="45">
        <f>ROUND((ROUNDDOWN($F1757/5,0)*5+1.8)/Basis!$E$3,1)</f>
        <v>6.6</v>
      </c>
      <c r="H1757" s="120">
        <f>ROUND($P1757*Basis!$E$2*((TaH-TrH)/LN(1/µ)/Basis!$E$7)^$N1757*$AA$4*Glycol,0)</f>
        <v>2536</v>
      </c>
      <c r="I1757" s="83">
        <f>ROUND(H1757/(MID($C1757,9,3)/Basis!$E$3/Basis!$E$9)*Basis!$E$11,0)</f>
        <v>966</v>
      </c>
      <c r="J1757" s="123">
        <f>IF(Basis!$E$1=1,ROUND(H1757/((TaH-TrH)*1.163)/3600,3),ROUND(H1757/(500*(TaH-TrH)),2))</f>
        <v>0.25</v>
      </c>
      <c r="K1757" s="84"/>
      <c r="L1757" s="177">
        <f>CHOOSE(Basis!$E$1,((AJ1757*(J1757*3600/Basis!$E$5)^AK1757*(((MID(C1757,9,3)*10)-144)/1000)*AL1757+AM1757*(J1757*3600/Basis!$E$5)^2)*0.0098)/Basis!$E$10,((AJ1757*(J1757/Basis!$E$5)^AK1757*(((MID(C1757,9,3)*10)-144)/1000)*AL1757+AM1757*(J1757/Basis!$E$5)^2)*0.0098)/Basis!$E$10)</f>
        <v>5.813441427274706E-3</v>
      </c>
      <c r="M1757" s="85"/>
      <c r="N1757" s="110">
        <v>1.39</v>
      </c>
      <c r="O1757" s="74"/>
      <c r="P1757" s="73">
        <v>1176</v>
      </c>
      <c r="Q1757" s="74"/>
      <c r="R1757" s="75"/>
      <c r="S1757" s="75"/>
      <c r="T1757" s="75"/>
      <c r="U1757" s="75"/>
      <c r="V1757" s="75"/>
      <c r="W1757" s="74"/>
      <c r="X1757" s="76"/>
      <c r="Y1757" s="76"/>
      <c r="Z1757" s="76"/>
      <c r="AA1757" s="76"/>
      <c r="AB1757" s="76"/>
      <c r="AC1757" s="74"/>
      <c r="AD1757" s="77"/>
      <c r="AE1757" s="77"/>
      <c r="AF1757" s="77"/>
      <c r="AG1757" s="77"/>
      <c r="AH1757" s="77"/>
      <c r="AI1757" s="68"/>
      <c r="AJ1757" s="213">
        <v>2.0829999999999999E-4</v>
      </c>
      <c r="AK1757" s="213">
        <v>1.724</v>
      </c>
      <c r="AL1757" s="213">
        <v>2</v>
      </c>
      <c r="AM1757" s="213">
        <v>4.6182900000000003E-4</v>
      </c>
      <c r="AN1757" s="74"/>
      <c r="AO1757" s="73"/>
      <c r="AP1757" s="73"/>
      <c r="AQ1757" s="73"/>
      <c r="AR1757" s="73"/>
      <c r="AS1757" s="73"/>
      <c r="AT1757" s="74"/>
      <c r="AU1757" s="47"/>
      <c r="AV1757" s="48"/>
    </row>
    <row r="1758" spans="1:48" ht="12.75" customHeight="1" x14ac:dyDescent="0.25">
      <c r="A1758" s="72" t="s">
        <v>20</v>
      </c>
      <c r="B1758" s="43" t="s">
        <v>1833</v>
      </c>
      <c r="C1758" s="44" t="s">
        <v>1915</v>
      </c>
      <c r="D1758" s="45">
        <f>MROUND(MID($C1758,6,3)/Basis!$E$3,0.5)</f>
        <v>14</v>
      </c>
      <c r="E1758" s="45">
        <f>MROUND(MID($C1758,9,3)/Basis!$E$3,0.5)</f>
        <v>31.5</v>
      </c>
      <c r="F1758" s="124" t="s">
        <v>2947</v>
      </c>
      <c r="G1758" s="45">
        <f>ROUND((ROUNDDOWN($F1758/5,0)*5+1.8)/Basis!$E$3,1)</f>
        <v>6.6</v>
      </c>
      <c r="H1758" s="120">
        <f>ROUND($P1758*Basis!$E$2*((TaH-TrH)/LN(1/µ)/Basis!$E$7)^$N1758*$AA$4*Glycol,0)</f>
        <v>2687</v>
      </c>
      <c r="I1758" s="83">
        <f>ROUND(H1758/(MID($C1758,9,3)/Basis!$E$3/Basis!$E$9)*Basis!$E$11,0)</f>
        <v>1024</v>
      </c>
      <c r="J1758" s="123">
        <f>IF(Basis!$E$1=1,ROUND(H1758/((TaH-TrH)*1.163)/3600,3),ROUND(H1758/(500*(TaH-TrH)),2))</f>
        <v>0.27</v>
      </c>
      <c r="K1758" s="84"/>
      <c r="L1758" s="177">
        <f>CHOOSE(Basis!$E$1,((AJ1758*(J1758*3600/Basis!$E$5)^AK1758*(((MID(C1758,9,3)*10)-144)/1000)*AL1758+AM1758*(J1758*3600/Basis!$E$5)^2)*0.0098)/Basis!$E$10,((AJ1758*(J1758/Basis!$E$5)^AK1758*(((MID(C1758,9,3)*10)-144)/1000)*AL1758+AM1758*(J1758/Basis!$E$5)^2)*0.0098)/Basis!$E$10)</f>
        <v>1.9283811326301109E-2</v>
      </c>
      <c r="M1758" s="85"/>
      <c r="N1758" s="110">
        <v>1.458</v>
      </c>
      <c r="O1758" s="74"/>
      <c r="P1758" s="73">
        <v>1274</v>
      </c>
      <c r="Q1758" s="74"/>
      <c r="R1758" s="75"/>
      <c r="S1758" s="75"/>
      <c r="T1758" s="75"/>
      <c r="U1758" s="75"/>
      <c r="V1758" s="75"/>
      <c r="W1758" s="74"/>
      <c r="X1758" s="76"/>
      <c r="Y1758" s="76"/>
      <c r="Z1758" s="76"/>
      <c r="AA1758" s="76"/>
      <c r="AB1758" s="76"/>
      <c r="AC1758" s="74"/>
      <c r="AD1758" s="77"/>
      <c r="AE1758" s="77"/>
      <c r="AF1758" s="77"/>
      <c r="AG1758" s="77"/>
      <c r="AH1758" s="77"/>
      <c r="AI1758" s="68"/>
      <c r="AJ1758" s="213">
        <v>2.0829999999999999E-4</v>
      </c>
      <c r="AK1758" s="213">
        <v>1.724</v>
      </c>
      <c r="AL1758" s="213">
        <v>4</v>
      </c>
      <c r="AM1758" s="213">
        <v>1.392796E-3</v>
      </c>
      <c r="AN1758" s="74"/>
      <c r="AO1758" s="73"/>
      <c r="AP1758" s="73"/>
      <c r="AQ1758" s="73"/>
      <c r="AR1758" s="73"/>
      <c r="AS1758" s="73"/>
      <c r="AT1758" s="74"/>
      <c r="AU1758" s="47"/>
      <c r="AV1758" s="48"/>
    </row>
    <row r="1759" spans="1:48" ht="12.75" customHeight="1" x14ac:dyDescent="0.25">
      <c r="A1759" s="72" t="s">
        <v>20</v>
      </c>
      <c r="B1759" s="43" t="s">
        <v>1833</v>
      </c>
      <c r="C1759" s="44" t="s">
        <v>1916</v>
      </c>
      <c r="D1759" s="45">
        <f>MROUND(MID($C1759,6,3)/Basis!$E$3,0.5)</f>
        <v>14</v>
      </c>
      <c r="E1759" s="45">
        <f>MROUND(MID($C1759,9,3)/Basis!$E$3,0.5)</f>
        <v>31.5</v>
      </c>
      <c r="F1759" s="124" t="s">
        <v>2945</v>
      </c>
      <c r="G1759" s="45">
        <f>ROUND((ROUNDDOWN($F1759/5,0)*5+1.8)/Basis!$E$3,1)</f>
        <v>8.6</v>
      </c>
      <c r="H1759" s="120">
        <f>ROUND($P1759*Basis!$E$2*((TaH-TrH)/LN(1/µ)/Basis!$E$7)^$N1759*$AA$4*Glycol,0)</f>
        <v>3554</v>
      </c>
      <c r="I1759" s="83">
        <f>ROUND(H1759/(MID($C1759,9,3)/Basis!$E$3/Basis!$E$9)*Basis!$E$11,0)</f>
        <v>1354</v>
      </c>
      <c r="J1759" s="123">
        <f>IF(Basis!$E$1=1,ROUND(H1759/((TaH-TrH)*1.163)/3600,3),ROUND(H1759/(500*(TaH-TrH)),2))</f>
        <v>0.36</v>
      </c>
      <c r="K1759" s="84"/>
      <c r="L1759" s="177">
        <f>CHOOSE(Basis!$E$1,((AJ1759*(J1759*3600/Basis!$E$5)^AK1759*(((MID(C1759,9,3)*10)-144)/1000)*AL1759+AM1759*(J1759*3600/Basis!$E$5)^2)*0.0098)/Basis!$E$10,((AJ1759*(J1759/Basis!$E$5)^AK1759*(((MID(C1759,9,3)*10)-144)/1000)*AL1759+AM1759*(J1759/Basis!$E$5)^2)*0.0098)/Basis!$E$10)</f>
        <v>9.3079211214417545E-3</v>
      </c>
      <c r="M1759" s="85"/>
      <c r="N1759" s="110">
        <v>1.39</v>
      </c>
      <c r="O1759" s="74"/>
      <c r="P1759" s="73">
        <v>1648</v>
      </c>
      <c r="Q1759" s="74"/>
      <c r="R1759" s="75"/>
      <c r="S1759" s="75"/>
      <c r="T1759" s="75"/>
      <c r="U1759" s="75"/>
      <c r="V1759" s="75"/>
      <c r="W1759" s="74"/>
      <c r="X1759" s="76"/>
      <c r="Y1759" s="76"/>
      <c r="Z1759" s="76"/>
      <c r="AA1759" s="76"/>
      <c r="AB1759" s="76"/>
      <c r="AC1759" s="74"/>
      <c r="AD1759" s="77"/>
      <c r="AE1759" s="77"/>
      <c r="AF1759" s="77"/>
      <c r="AG1759" s="77"/>
      <c r="AH1759" s="77"/>
      <c r="AI1759" s="68"/>
      <c r="AJ1759" s="214">
        <v>1.2760000000000001E-4</v>
      </c>
      <c r="AK1759" s="214">
        <v>1.7219</v>
      </c>
      <c r="AL1759" s="214">
        <v>2</v>
      </c>
      <c r="AM1759" s="214">
        <v>3.76611E-4</v>
      </c>
      <c r="AN1759" s="74"/>
      <c r="AO1759" s="73"/>
      <c r="AP1759" s="73"/>
      <c r="AQ1759" s="73"/>
      <c r="AR1759" s="73"/>
      <c r="AS1759" s="73"/>
      <c r="AT1759" s="74"/>
      <c r="AU1759" s="47"/>
      <c r="AV1759" s="48"/>
    </row>
    <row r="1760" spans="1:48" ht="12.75" customHeight="1" x14ac:dyDescent="0.25">
      <c r="A1760" s="72" t="s">
        <v>20</v>
      </c>
      <c r="B1760" s="43" t="s">
        <v>1833</v>
      </c>
      <c r="C1760" s="44" t="s">
        <v>1917</v>
      </c>
      <c r="D1760" s="45">
        <f>MROUND(MID($C1760,6,3)/Basis!$E$3,0.5)</f>
        <v>14</v>
      </c>
      <c r="E1760" s="45">
        <f>MROUND(MID($C1760,9,3)/Basis!$E$3,0.5)</f>
        <v>31.5</v>
      </c>
      <c r="F1760" s="124" t="s">
        <v>2948</v>
      </c>
      <c r="G1760" s="45">
        <f>ROUND((ROUNDDOWN($F1760/5,0)*5+1.8)/Basis!$E$3,1)</f>
        <v>8.6</v>
      </c>
      <c r="H1760" s="120">
        <f>ROUND($P1760*Basis!$E$2*((TaH-TrH)/LN(1/µ)/Basis!$E$7)^$N1760*$AA$4*Glycol,0)</f>
        <v>3550</v>
      </c>
      <c r="I1760" s="83">
        <f>ROUND(H1760/(MID($C1760,9,3)/Basis!$E$3/Basis!$E$9)*Basis!$E$11,0)</f>
        <v>1353</v>
      </c>
      <c r="J1760" s="123">
        <f>IF(Basis!$E$1=1,ROUND(H1760/((TaH-TrH)*1.163)/3600,3),ROUND(H1760/(500*(TaH-TrH)),2))</f>
        <v>0.36</v>
      </c>
      <c r="K1760" s="84"/>
      <c r="L1760" s="177">
        <f>CHOOSE(Basis!$E$1,((AJ1760*(J1760*3600/Basis!$E$5)^AK1760*(((MID(C1760,9,3)*10)-144)/1000)*AL1760+AM1760*(J1760*3600/Basis!$E$5)^2)*0.0098)/Basis!$E$10,((AJ1760*(J1760/Basis!$E$5)^AK1760*(((MID(C1760,9,3)*10)-144)/1000)*AL1760+AM1760*(J1760/Basis!$E$5)^2)*0.0098)/Basis!$E$10)</f>
        <v>1.3390929787116016E-2</v>
      </c>
      <c r="M1760" s="85"/>
      <c r="N1760" s="110">
        <v>1.472</v>
      </c>
      <c r="O1760" s="74"/>
      <c r="P1760" s="73">
        <v>1691</v>
      </c>
      <c r="Q1760" s="74"/>
      <c r="R1760" s="75"/>
      <c r="S1760" s="75"/>
      <c r="T1760" s="75"/>
      <c r="U1760" s="75"/>
      <c r="V1760" s="75"/>
      <c r="W1760" s="74"/>
      <c r="X1760" s="76"/>
      <c r="Y1760" s="76"/>
      <c r="Z1760" s="76"/>
      <c r="AA1760" s="76"/>
      <c r="AB1760" s="76"/>
      <c r="AC1760" s="74"/>
      <c r="AD1760" s="77"/>
      <c r="AE1760" s="77"/>
      <c r="AF1760" s="77"/>
      <c r="AG1760" s="77"/>
      <c r="AH1760" s="77"/>
      <c r="AI1760" s="68"/>
      <c r="AJ1760" s="213">
        <v>1.2760000000000001E-4</v>
      </c>
      <c r="AK1760" s="213">
        <v>1.7219</v>
      </c>
      <c r="AL1760" s="213">
        <v>4</v>
      </c>
      <c r="AM1760" s="213">
        <v>5.1420100000000005E-4</v>
      </c>
      <c r="AN1760" s="74"/>
      <c r="AO1760" s="73"/>
      <c r="AP1760" s="73"/>
      <c r="AQ1760" s="73"/>
      <c r="AR1760" s="73"/>
      <c r="AS1760" s="73"/>
      <c r="AT1760" s="74"/>
      <c r="AU1760" s="47"/>
      <c r="AV1760" s="48"/>
    </row>
    <row r="1761" spans="1:48" ht="12.75" customHeight="1" x14ac:dyDescent="0.25">
      <c r="A1761" s="72" t="s">
        <v>20</v>
      </c>
      <c r="B1761" s="43" t="s">
        <v>1833</v>
      </c>
      <c r="C1761" s="44" t="s">
        <v>1918</v>
      </c>
      <c r="D1761" s="45">
        <f>MROUND(MID($C1761,6,3)/Basis!$E$3,0.5)</f>
        <v>14</v>
      </c>
      <c r="E1761" s="45">
        <f>MROUND(MID($C1761,9,3)/Basis!$E$3,0.5)</f>
        <v>35.5</v>
      </c>
      <c r="F1761" s="124" t="s">
        <v>2949</v>
      </c>
      <c r="G1761" s="45">
        <f>ROUND((ROUNDDOWN($F1761/5,0)*5+3.5)/Basis!$E$3,1)</f>
        <v>3.3</v>
      </c>
      <c r="H1761" s="120">
        <f>ROUND($P1761*Basis!$E$2*((TaH-TrH)/LN(1/µ)/Basis!$E$7)^$N1761*$AA$4*Glycol,0)</f>
        <v>1532</v>
      </c>
      <c r="I1761" s="83">
        <f>ROUND(H1761/(MID($C1761,9,3)/Basis!$E$3/Basis!$E$9)*Basis!$E$11,0)</f>
        <v>519</v>
      </c>
      <c r="J1761" s="123">
        <f>IF(Basis!$E$1=1,ROUND(H1761/((TaH-TrH)*1.163)/3600,3),ROUND(H1761/(500*(TaH-TrH)),2))</f>
        <v>0.15</v>
      </c>
      <c r="K1761" s="84"/>
      <c r="L1761" s="177">
        <f>CHOOSE(Basis!$E$1,((AJ1761*(J1761*3600/Basis!$E$5)^AK1761*(((MID(C1761,9,3)*10)-144)/1000)*AL1761+AM1761*(J1761*3600/Basis!$E$5)^2)*0.0098)/Basis!$E$10,((AJ1761*(J1761/Basis!$E$5)^AK1761*(((MID(C1761,9,3)*10)-144)/1000)*AL1761+AM1761*(J1761/Basis!$E$5)^2)*0.0098)/Basis!$E$10)</f>
        <v>8.3775338446611686E-3</v>
      </c>
      <c r="M1761" s="85"/>
      <c r="N1761" s="110">
        <v>1.393</v>
      </c>
      <c r="O1761" s="74"/>
      <c r="P1761" s="73">
        <v>711</v>
      </c>
      <c r="Q1761" s="74"/>
      <c r="R1761" s="75"/>
      <c r="S1761" s="75"/>
      <c r="T1761" s="75"/>
      <c r="U1761" s="75"/>
      <c r="V1761" s="75"/>
      <c r="W1761" s="74"/>
      <c r="X1761" s="76"/>
      <c r="Y1761" s="76"/>
      <c r="Z1761" s="76"/>
      <c r="AA1761" s="76"/>
      <c r="AB1761" s="76"/>
      <c r="AC1761" s="74"/>
      <c r="AD1761" s="77"/>
      <c r="AE1761" s="77"/>
      <c r="AF1761" s="77"/>
      <c r="AG1761" s="77"/>
      <c r="AH1761" s="77"/>
      <c r="AI1761" s="68"/>
      <c r="AJ1761" s="213">
        <v>1.6125983042710999E-4</v>
      </c>
      <c r="AK1761" s="213">
        <v>2.1458504622376</v>
      </c>
      <c r="AL1761" s="213">
        <v>4</v>
      </c>
      <c r="AM1761" s="213">
        <v>1.3916423712342001E-3</v>
      </c>
      <c r="AN1761" s="74"/>
      <c r="AO1761" s="73"/>
      <c r="AP1761" s="73"/>
      <c r="AQ1761" s="73"/>
      <c r="AR1761" s="73"/>
      <c r="AS1761" s="73"/>
      <c r="AT1761" s="74"/>
      <c r="AU1761" s="47"/>
      <c r="AV1761" s="48"/>
    </row>
    <row r="1762" spans="1:48" ht="12.75" customHeight="1" x14ac:dyDescent="0.25">
      <c r="A1762" s="72" t="s">
        <v>20</v>
      </c>
      <c r="B1762" s="43" t="s">
        <v>1833</v>
      </c>
      <c r="C1762" s="44" t="s">
        <v>1919</v>
      </c>
      <c r="D1762" s="45">
        <f>MROUND(MID($C1762,6,3)/Basis!$E$3,0.5)</f>
        <v>14</v>
      </c>
      <c r="E1762" s="45">
        <f>MROUND(MID($C1762,9,3)/Basis!$E$3,0.5)</f>
        <v>35.5</v>
      </c>
      <c r="F1762" s="124" t="s">
        <v>2943</v>
      </c>
      <c r="G1762" s="45">
        <f>ROUND((ROUNDDOWN($F1762/5,0)*5+1.8)/Basis!$E$3,1)</f>
        <v>4.5999999999999996</v>
      </c>
      <c r="H1762" s="120">
        <f>ROUND($P1762*Basis!$E$2*((TaH-TrH)/LN(1/µ)/Basis!$E$7)^$N1762*$AA$4*Glycol,0)</f>
        <v>1737</v>
      </c>
      <c r="I1762" s="83">
        <f>ROUND(H1762/(MID($C1762,9,3)/Basis!$E$3/Basis!$E$9)*Basis!$E$11,0)</f>
        <v>588</v>
      </c>
      <c r="J1762" s="123">
        <f>IF(Basis!$E$1=1,ROUND(H1762/((TaH-TrH)*1.163)/3600,3),ROUND(H1762/(500*(TaH-TrH)),2))</f>
        <v>0.17</v>
      </c>
      <c r="K1762" s="84"/>
      <c r="L1762" s="177">
        <f>CHOOSE(Basis!$E$1,((AJ1762*(J1762*3600/Basis!$E$5)^AK1762*(((MID(C1762,9,3)*10)-144)/1000)*AL1762+AM1762*(J1762*3600/Basis!$E$5)^2)*0.0098)/Basis!$E$10,((AJ1762*(J1762/Basis!$E$5)^AK1762*(((MID(C1762,9,3)*10)-144)/1000)*AL1762+AM1762*(J1762/Basis!$E$5)^2)*0.0098)/Basis!$E$10)</f>
        <v>2.8999806581481834E-3</v>
      </c>
      <c r="M1762" s="85"/>
      <c r="N1762" s="109">
        <v>1.399</v>
      </c>
      <c r="O1762" s="68"/>
      <c r="P1762" s="67">
        <v>808</v>
      </c>
      <c r="Q1762" s="68"/>
      <c r="R1762" s="69"/>
      <c r="S1762" s="69"/>
      <c r="T1762" s="69"/>
      <c r="U1762" s="69"/>
      <c r="V1762" s="69"/>
      <c r="W1762" s="68"/>
      <c r="X1762" s="70"/>
      <c r="Y1762" s="70"/>
      <c r="Z1762" s="70"/>
      <c r="AA1762" s="70"/>
      <c r="AB1762" s="70"/>
      <c r="AC1762" s="68"/>
      <c r="AD1762" s="71"/>
      <c r="AE1762" s="71"/>
      <c r="AF1762" s="71"/>
      <c r="AG1762" s="71"/>
      <c r="AH1762" s="71"/>
      <c r="AI1762" s="68"/>
      <c r="AJ1762" s="214">
        <v>3.9689999999999994E-4</v>
      </c>
      <c r="AK1762" s="214">
        <v>1.7345999999999999</v>
      </c>
      <c r="AL1762" s="214">
        <v>2</v>
      </c>
      <c r="AM1762" s="214">
        <v>3.6734700000000002E-4</v>
      </c>
      <c r="AN1762" s="68"/>
      <c r="AO1762" s="67"/>
      <c r="AP1762" s="67"/>
      <c r="AQ1762" s="67"/>
      <c r="AR1762" s="67"/>
      <c r="AS1762" s="67"/>
      <c r="AT1762" s="68"/>
      <c r="AU1762" s="49"/>
      <c r="AV1762" s="50"/>
    </row>
    <row r="1763" spans="1:48" ht="12.75" customHeight="1" x14ac:dyDescent="0.25">
      <c r="A1763" s="72" t="s">
        <v>20</v>
      </c>
      <c r="B1763" s="43" t="s">
        <v>1833</v>
      </c>
      <c r="C1763" s="44" t="s">
        <v>1920</v>
      </c>
      <c r="D1763" s="45">
        <f>MROUND(MID($C1763,6,3)/Basis!$E$3,0.5)</f>
        <v>14</v>
      </c>
      <c r="E1763" s="45">
        <f>MROUND(MID($C1763,9,3)/Basis!$E$3,0.5)</f>
        <v>35.5</v>
      </c>
      <c r="F1763" s="124" t="s">
        <v>2946</v>
      </c>
      <c r="G1763" s="45">
        <f>ROUND((ROUNDDOWN($F1763/5,0)*5+1.8)/Basis!$E$3,1)</f>
        <v>4.5999999999999996</v>
      </c>
      <c r="H1763" s="120">
        <f>ROUND($P1763*Basis!$E$2*((TaH-TrH)/LN(1/µ)/Basis!$E$7)^$N1763*$AA$4*Glycol,0)</f>
        <v>2283</v>
      </c>
      <c r="I1763" s="83">
        <f>ROUND(H1763/(MID($C1763,9,3)/Basis!$E$3/Basis!$E$9)*Basis!$E$11,0)</f>
        <v>773</v>
      </c>
      <c r="J1763" s="123">
        <f>IF(Basis!$E$1=1,ROUND(H1763/((TaH-TrH)*1.163)/3600,3),ROUND(H1763/(500*(TaH-TrH)),2))</f>
        <v>0.23</v>
      </c>
      <c r="K1763" s="84"/>
      <c r="L1763" s="177">
        <f>CHOOSE(Basis!$E$1,((AJ1763*(J1763*3600/Basis!$E$5)^AK1763*(((MID(C1763,9,3)*10)-144)/1000)*AL1763+AM1763*(J1763*3600/Basis!$E$5)^2)*0.0098)/Basis!$E$10,((AJ1763*(J1763/Basis!$E$5)^AK1763*(((MID(C1763,9,3)*10)-144)/1000)*AL1763+AM1763*(J1763/Basis!$E$5)^2)*0.0098)/Basis!$E$10)</f>
        <v>8.8722135840163217E-3</v>
      </c>
      <c r="M1763" s="85"/>
      <c r="N1763" s="109">
        <v>1.44</v>
      </c>
      <c r="O1763" s="68"/>
      <c r="P1763" s="67">
        <v>1076</v>
      </c>
      <c r="Q1763" s="68"/>
      <c r="R1763" s="69"/>
      <c r="S1763" s="69"/>
      <c r="T1763" s="69"/>
      <c r="U1763" s="69"/>
      <c r="V1763" s="69"/>
      <c r="W1763" s="68"/>
      <c r="X1763" s="70"/>
      <c r="Y1763" s="70"/>
      <c r="Z1763" s="70"/>
      <c r="AA1763" s="70"/>
      <c r="AB1763" s="70"/>
      <c r="AC1763" s="68"/>
      <c r="AD1763" s="71"/>
      <c r="AE1763" s="71"/>
      <c r="AF1763" s="71"/>
      <c r="AG1763" s="71"/>
      <c r="AH1763" s="71"/>
      <c r="AI1763" s="68"/>
      <c r="AJ1763" s="214">
        <v>3.9689999999999994E-4</v>
      </c>
      <c r="AK1763" s="214">
        <v>1.7345999999999999</v>
      </c>
      <c r="AL1763" s="214">
        <v>4</v>
      </c>
      <c r="AM1763" s="214">
        <v>5.7428799999999995E-4</v>
      </c>
      <c r="AN1763" s="68"/>
      <c r="AO1763" s="67"/>
      <c r="AP1763" s="67"/>
      <c r="AQ1763" s="67"/>
      <c r="AR1763" s="67"/>
      <c r="AS1763" s="67"/>
      <c r="AT1763" s="68"/>
      <c r="AU1763" s="49"/>
      <c r="AV1763" s="50"/>
    </row>
    <row r="1764" spans="1:48" ht="12.75" customHeight="1" x14ac:dyDescent="0.25">
      <c r="A1764" s="72" t="s">
        <v>20</v>
      </c>
      <c r="B1764" s="43" t="s">
        <v>1833</v>
      </c>
      <c r="C1764" s="44" t="s">
        <v>1921</v>
      </c>
      <c r="D1764" s="45">
        <f>MROUND(MID($C1764,6,3)/Basis!$E$3,0.5)</f>
        <v>14</v>
      </c>
      <c r="E1764" s="45">
        <f>MROUND(MID($C1764,9,3)/Basis!$E$3,0.5)</f>
        <v>35.5</v>
      </c>
      <c r="F1764" s="124" t="s">
        <v>2944</v>
      </c>
      <c r="G1764" s="45">
        <f>ROUND((ROUNDDOWN($F1764/5,0)*5+1.8)/Basis!$E$3,1)</f>
        <v>6.6</v>
      </c>
      <c r="H1764" s="120">
        <f>ROUND($P1764*Basis!$E$2*((TaH-TrH)/LN(1/µ)/Basis!$E$7)^$N1764*$AA$4*Glycol,0)</f>
        <v>2853</v>
      </c>
      <c r="I1764" s="83">
        <f>ROUND(H1764/(MID($C1764,9,3)/Basis!$E$3/Basis!$E$9)*Basis!$E$11,0)</f>
        <v>966</v>
      </c>
      <c r="J1764" s="123">
        <f>IF(Basis!$E$1=1,ROUND(H1764/((TaH-TrH)*1.163)/3600,3),ROUND(H1764/(500*(TaH-TrH)),2))</f>
        <v>0.28999999999999998</v>
      </c>
      <c r="K1764" s="84"/>
      <c r="L1764" s="177">
        <f>CHOOSE(Basis!$E$1,((AJ1764*(J1764*3600/Basis!$E$5)^AK1764*(((MID(C1764,9,3)*10)-144)/1000)*AL1764+AM1764*(J1764*3600/Basis!$E$5)^2)*0.0098)/Basis!$E$10,((AJ1764*(J1764/Basis!$E$5)^AK1764*(((MID(C1764,9,3)*10)-144)/1000)*AL1764+AM1764*(J1764/Basis!$E$5)^2)*0.0098)/Basis!$E$10)</f>
        <v>7.9575753104098659E-3</v>
      </c>
      <c r="M1764" s="85"/>
      <c r="N1764" s="109">
        <v>1.39</v>
      </c>
      <c r="O1764" s="68"/>
      <c r="P1764" s="67">
        <v>1323</v>
      </c>
      <c r="Q1764" s="68"/>
      <c r="R1764" s="69"/>
      <c r="S1764" s="69"/>
      <c r="T1764" s="69"/>
      <c r="U1764" s="69"/>
      <c r="V1764" s="69"/>
      <c r="W1764" s="68"/>
      <c r="X1764" s="70"/>
      <c r="Y1764" s="70"/>
      <c r="Z1764" s="70"/>
      <c r="AA1764" s="70"/>
      <c r="AB1764" s="70"/>
      <c r="AC1764" s="68"/>
      <c r="AD1764" s="71"/>
      <c r="AE1764" s="71"/>
      <c r="AF1764" s="71"/>
      <c r="AG1764" s="71"/>
      <c r="AH1764" s="71"/>
      <c r="AI1764" s="68"/>
      <c r="AJ1764" s="214">
        <v>2.0829999999999999E-4</v>
      </c>
      <c r="AK1764" s="214">
        <v>1.724</v>
      </c>
      <c r="AL1764" s="214">
        <v>2</v>
      </c>
      <c r="AM1764" s="214">
        <v>4.6182900000000003E-4</v>
      </c>
      <c r="AN1764" s="68"/>
      <c r="AO1764" s="67"/>
      <c r="AP1764" s="67"/>
      <c r="AQ1764" s="67"/>
      <c r="AR1764" s="67"/>
      <c r="AS1764" s="67"/>
      <c r="AT1764" s="68"/>
      <c r="AU1764" s="49"/>
      <c r="AV1764" s="50"/>
    </row>
    <row r="1765" spans="1:48" ht="12.75" customHeight="1" x14ac:dyDescent="0.25">
      <c r="A1765" s="72" t="s">
        <v>20</v>
      </c>
      <c r="B1765" s="43" t="s">
        <v>1833</v>
      </c>
      <c r="C1765" s="44" t="s">
        <v>1922</v>
      </c>
      <c r="D1765" s="45">
        <f>MROUND(MID($C1765,6,3)/Basis!$E$3,0.5)</f>
        <v>14</v>
      </c>
      <c r="E1765" s="45">
        <f>MROUND(MID($C1765,9,3)/Basis!$E$3,0.5)</f>
        <v>35.5</v>
      </c>
      <c r="F1765" s="124" t="s">
        <v>2947</v>
      </c>
      <c r="G1765" s="45">
        <f>ROUND((ROUNDDOWN($F1765/5,0)*5+1.8)/Basis!$E$3,1)</f>
        <v>6.6</v>
      </c>
      <c r="H1765" s="120">
        <f>ROUND($P1765*Basis!$E$2*((TaH-TrH)/LN(1/µ)/Basis!$E$7)^$N1765*$AA$4*Glycol,0)</f>
        <v>3024</v>
      </c>
      <c r="I1765" s="83">
        <f>ROUND(H1765/(MID($C1765,9,3)/Basis!$E$3/Basis!$E$9)*Basis!$E$11,0)</f>
        <v>1024</v>
      </c>
      <c r="J1765" s="123">
        <f>IF(Basis!$E$1=1,ROUND(H1765/((TaH-TrH)*1.163)/3600,3),ROUND(H1765/(500*(TaH-TrH)),2))</f>
        <v>0.3</v>
      </c>
      <c r="K1765" s="84"/>
      <c r="L1765" s="177">
        <f>CHOOSE(Basis!$E$1,((AJ1765*(J1765*3600/Basis!$E$5)^AK1765*(((MID(C1765,9,3)*10)-144)/1000)*AL1765+AM1765*(J1765*3600/Basis!$E$5)^2)*0.0098)/Basis!$E$10,((AJ1765*(J1765/Basis!$E$5)^AK1765*(((MID(C1765,9,3)*10)-144)/1000)*AL1765+AM1765*(J1765/Basis!$E$5)^2)*0.0098)/Basis!$E$10)</f>
        <v>2.4125293582404159E-2</v>
      </c>
      <c r="M1765" s="85"/>
      <c r="N1765" s="109">
        <v>1.458</v>
      </c>
      <c r="O1765" s="68"/>
      <c r="P1765" s="67">
        <v>1434</v>
      </c>
      <c r="Q1765" s="68"/>
      <c r="R1765" s="69"/>
      <c r="S1765" s="69"/>
      <c r="T1765" s="69"/>
      <c r="U1765" s="69"/>
      <c r="V1765" s="69"/>
      <c r="W1765" s="68"/>
      <c r="X1765" s="70"/>
      <c r="Y1765" s="70"/>
      <c r="Z1765" s="70"/>
      <c r="AA1765" s="70"/>
      <c r="AB1765" s="70"/>
      <c r="AC1765" s="68"/>
      <c r="AD1765" s="71"/>
      <c r="AE1765" s="71"/>
      <c r="AF1765" s="71"/>
      <c r="AG1765" s="71"/>
      <c r="AH1765" s="71"/>
      <c r="AI1765" s="68"/>
      <c r="AJ1765" s="214">
        <v>2.0829999999999999E-4</v>
      </c>
      <c r="AK1765" s="214">
        <v>1.724</v>
      </c>
      <c r="AL1765" s="214">
        <v>4</v>
      </c>
      <c r="AM1765" s="214">
        <v>1.392796E-3</v>
      </c>
      <c r="AN1765" s="68"/>
      <c r="AO1765" s="67"/>
      <c r="AP1765" s="67"/>
      <c r="AQ1765" s="67"/>
      <c r="AR1765" s="67"/>
      <c r="AS1765" s="67"/>
      <c r="AT1765" s="68"/>
      <c r="AU1765" s="49"/>
      <c r="AV1765" s="50"/>
    </row>
    <row r="1766" spans="1:48" ht="12.75" customHeight="1" x14ac:dyDescent="0.25">
      <c r="A1766" s="72" t="s">
        <v>20</v>
      </c>
      <c r="B1766" s="43" t="s">
        <v>1833</v>
      </c>
      <c r="C1766" s="44" t="s">
        <v>1923</v>
      </c>
      <c r="D1766" s="45">
        <f>MROUND(MID($C1766,6,3)/Basis!$E$3,0.5)</f>
        <v>14</v>
      </c>
      <c r="E1766" s="45">
        <f>MROUND(MID($C1766,9,3)/Basis!$E$3,0.5)</f>
        <v>35.5</v>
      </c>
      <c r="F1766" s="124" t="s">
        <v>2945</v>
      </c>
      <c r="G1766" s="45">
        <f>ROUND((ROUNDDOWN($F1766/5,0)*5+1.8)/Basis!$E$3,1)</f>
        <v>8.6</v>
      </c>
      <c r="H1766" s="120">
        <f>ROUND($P1766*Basis!$E$2*((TaH-TrH)/LN(1/µ)/Basis!$E$7)^$N1766*$AA$4*Glycol,0)</f>
        <v>3999</v>
      </c>
      <c r="I1766" s="83">
        <f>ROUND(H1766/(MID($C1766,9,3)/Basis!$E$3/Basis!$E$9)*Basis!$E$11,0)</f>
        <v>1354</v>
      </c>
      <c r="J1766" s="123">
        <f>IF(Basis!$E$1=1,ROUND(H1766/((TaH-TrH)*1.163)/3600,3),ROUND(H1766/(500*(TaH-TrH)),2))</f>
        <v>0.4</v>
      </c>
      <c r="K1766" s="84"/>
      <c r="L1766" s="177">
        <f>CHOOSE(Basis!$E$1,((AJ1766*(J1766*3600/Basis!$E$5)^AK1766*(((MID(C1766,9,3)*10)-144)/1000)*AL1766+AM1766*(J1766*3600/Basis!$E$5)^2)*0.0098)/Basis!$E$10,((AJ1766*(J1766/Basis!$E$5)^AK1766*(((MID(C1766,9,3)*10)-144)/1000)*AL1766+AM1766*(J1766/Basis!$E$5)^2)*0.0098)/Basis!$E$10)</f>
        <v>1.1649457386143931E-2</v>
      </c>
      <c r="M1766" s="85"/>
      <c r="N1766" s="109">
        <v>1.39</v>
      </c>
      <c r="O1766" s="68"/>
      <c r="P1766" s="67">
        <v>1854</v>
      </c>
      <c r="Q1766" s="68"/>
      <c r="R1766" s="69"/>
      <c r="S1766" s="69"/>
      <c r="T1766" s="69"/>
      <c r="U1766" s="69"/>
      <c r="V1766" s="69"/>
      <c r="W1766" s="68"/>
      <c r="X1766" s="70"/>
      <c r="Y1766" s="70"/>
      <c r="Z1766" s="70"/>
      <c r="AA1766" s="70"/>
      <c r="AB1766" s="70"/>
      <c r="AC1766" s="68"/>
      <c r="AD1766" s="71"/>
      <c r="AE1766" s="71"/>
      <c r="AF1766" s="71"/>
      <c r="AG1766" s="71"/>
      <c r="AH1766" s="71"/>
      <c r="AI1766" s="68"/>
      <c r="AJ1766" s="214">
        <v>1.2760000000000001E-4</v>
      </c>
      <c r="AK1766" s="214">
        <v>1.7219</v>
      </c>
      <c r="AL1766" s="214">
        <v>2</v>
      </c>
      <c r="AM1766" s="214">
        <v>3.76611E-4</v>
      </c>
      <c r="AN1766" s="68"/>
      <c r="AO1766" s="67"/>
      <c r="AP1766" s="67"/>
      <c r="AQ1766" s="67"/>
      <c r="AR1766" s="67"/>
      <c r="AS1766" s="67"/>
      <c r="AT1766" s="68"/>
      <c r="AU1766" s="49"/>
      <c r="AV1766" s="50"/>
    </row>
    <row r="1767" spans="1:48" ht="12.75" customHeight="1" x14ac:dyDescent="0.25">
      <c r="A1767" s="72" t="s">
        <v>20</v>
      </c>
      <c r="B1767" s="43" t="s">
        <v>1833</v>
      </c>
      <c r="C1767" s="44" t="s">
        <v>1924</v>
      </c>
      <c r="D1767" s="45">
        <f>MROUND(MID($C1767,6,3)/Basis!$E$3,0.5)</f>
        <v>14</v>
      </c>
      <c r="E1767" s="45">
        <f>MROUND(MID($C1767,9,3)/Basis!$E$3,0.5)</f>
        <v>35.5</v>
      </c>
      <c r="F1767" s="124" t="s">
        <v>2948</v>
      </c>
      <c r="G1767" s="45">
        <f>ROUND((ROUNDDOWN($F1767/5,0)*5+1.8)/Basis!$E$3,1)</f>
        <v>8.6</v>
      </c>
      <c r="H1767" s="120">
        <f>ROUND($P1767*Basis!$E$2*((TaH-TrH)/LN(1/µ)/Basis!$E$7)^$N1767*$AA$4*Glycol,0)</f>
        <v>3995</v>
      </c>
      <c r="I1767" s="83">
        <f>ROUND(H1767/(MID($C1767,9,3)/Basis!$E$3/Basis!$E$9)*Basis!$E$11,0)</f>
        <v>1353</v>
      </c>
      <c r="J1767" s="123">
        <f>IF(Basis!$E$1=1,ROUND(H1767/((TaH-TrH)*1.163)/3600,3),ROUND(H1767/(500*(TaH-TrH)),2))</f>
        <v>0.4</v>
      </c>
      <c r="K1767" s="84"/>
      <c r="L1767" s="177">
        <f>CHOOSE(Basis!$E$1,((AJ1767*(J1767*3600/Basis!$E$5)^AK1767*(((MID(C1767,9,3)*10)-144)/1000)*AL1767+AM1767*(J1767*3600/Basis!$E$5)^2)*0.0098)/Basis!$E$10,((AJ1767*(J1767/Basis!$E$5)^AK1767*(((MID(C1767,9,3)*10)-144)/1000)*AL1767+AM1767*(J1767/Basis!$E$5)^2)*0.0098)/Basis!$E$10)</f>
        <v>1.6848405567636629E-2</v>
      </c>
      <c r="M1767" s="85"/>
      <c r="N1767" s="109">
        <v>1.472</v>
      </c>
      <c r="O1767" s="68"/>
      <c r="P1767" s="67">
        <v>1903</v>
      </c>
      <c r="Q1767" s="68"/>
      <c r="R1767" s="69"/>
      <c r="S1767" s="69"/>
      <c r="T1767" s="69"/>
      <c r="U1767" s="69"/>
      <c r="V1767" s="69"/>
      <c r="W1767" s="68"/>
      <c r="X1767" s="70"/>
      <c r="Y1767" s="70"/>
      <c r="Z1767" s="70"/>
      <c r="AA1767" s="70"/>
      <c r="AB1767" s="70"/>
      <c r="AC1767" s="68"/>
      <c r="AD1767" s="71"/>
      <c r="AE1767" s="71"/>
      <c r="AF1767" s="71"/>
      <c r="AG1767" s="71"/>
      <c r="AH1767" s="71"/>
      <c r="AI1767" s="68"/>
      <c r="AJ1767" s="214">
        <v>1.2760000000000001E-4</v>
      </c>
      <c r="AK1767" s="214">
        <v>1.7219</v>
      </c>
      <c r="AL1767" s="214">
        <v>4</v>
      </c>
      <c r="AM1767" s="214">
        <v>5.1420100000000005E-4</v>
      </c>
      <c r="AN1767" s="68"/>
      <c r="AO1767" s="67"/>
      <c r="AP1767" s="67"/>
      <c r="AQ1767" s="67"/>
      <c r="AR1767" s="67"/>
      <c r="AS1767" s="67"/>
      <c r="AT1767" s="68"/>
      <c r="AU1767" s="49"/>
      <c r="AV1767" s="50"/>
    </row>
    <row r="1768" spans="1:48" ht="12.75" customHeight="1" x14ac:dyDescent="0.25">
      <c r="A1768" s="72" t="s">
        <v>20</v>
      </c>
      <c r="B1768" s="43" t="s">
        <v>1833</v>
      </c>
      <c r="C1768" s="44" t="s">
        <v>1925</v>
      </c>
      <c r="D1768" s="45">
        <f>MROUND(MID($C1768,6,3)/Basis!$E$3,0.5)</f>
        <v>14</v>
      </c>
      <c r="E1768" s="45">
        <f>MROUND(MID($C1768,9,3)/Basis!$E$3,0.5)</f>
        <v>39.5</v>
      </c>
      <c r="F1768" s="124" t="s">
        <v>2949</v>
      </c>
      <c r="G1768" s="45">
        <f>ROUND((ROUNDDOWN($F1768/5,0)*5+3.5)/Basis!$E$3,1)</f>
        <v>3.3</v>
      </c>
      <c r="H1768" s="120">
        <f>ROUND($P1768*Basis!$E$2*((TaH-TrH)/LN(1/µ)/Basis!$E$7)^$N1768*$AA$4*Glycol,0)</f>
        <v>1702</v>
      </c>
      <c r="I1768" s="83">
        <f>ROUND(H1768/(MID($C1768,9,3)/Basis!$E$3/Basis!$E$9)*Basis!$E$11,0)</f>
        <v>519</v>
      </c>
      <c r="J1768" s="123">
        <f>IF(Basis!$E$1=1,ROUND(H1768/((TaH-TrH)*1.163)/3600,3),ROUND(H1768/(500*(TaH-TrH)),2))</f>
        <v>0.17</v>
      </c>
      <c r="K1768" s="84"/>
      <c r="L1768" s="177">
        <f>CHOOSE(Basis!$E$1,((AJ1768*(J1768*3600/Basis!$E$5)^AK1768*(((MID(C1768,9,3)*10)-144)/1000)*AL1768+AM1768*(J1768*3600/Basis!$E$5)^2)*0.0098)/Basis!$E$10,((AJ1768*(J1768/Basis!$E$5)^AK1768*(((MID(C1768,9,3)*10)-144)/1000)*AL1768+AM1768*(J1768/Basis!$E$5)^2)*0.0098)/Basis!$E$10)</f>
        <v>1.1369467151294419E-2</v>
      </c>
      <c r="M1768" s="85"/>
      <c r="N1768" s="109">
        <v>1.393</v>
      </c>
      <c r="O1768" s="68"/>
      <c r="P1768" s="67">
        <v>790</v>
      </c>
      <c r="Q1768" s="68"/>
      <c r="R1768" s="69"/>
      <c r="S1768" s="69"/>
      <c r="T1768" s="69"/>
      <c r="U1768" s="69"/>
      <c r="V1768" s="69"/>
      <c r="W1768" s="68"/>
      <c r="X1768" s="70"/>
      <c r="Y1768" s="70"/>
      <c r="Z1768" s="70"/>
      <c r="AA1768" s="70"/>
      <c r="AB1768" s="70"/>
      <c r="AC1768" s="68"/>
      <c r="AD1768" s="71"/>
      <c r="AE1768" s="71"/>
      <c r="AF1768" s="71"/>
      <c r="AG1768" s="71"/>
      <c r="AH1768" s="71"/>
      <c r="AI1768" s="68"/>
      <c r="AJ1768" s="214">
        <v>1.6125983042710999E-4</v>
      </c>
      <c r="AK1768" s="214">
        <v>2.1458504622376</v>
      </c>
      <c r="AL1768" s="214">
        <v>4</v>
      </c>
      <c r="AM1768" s="214">
        <v>1.3916423712342001E-3</v>
      </c>
      <c r="AN1768" s="68"/>
      <c r="AO1768" s="67"/>
      <c r="AP1768" s="67"/>
      <c r="AQ1768" s="67"/>
      <c r="AR1768" s="67"/>
      <c r="AS1768" s="67"/>
      <c r="AT1768" s="68"/>
      <c r="AU1768" s="49"/>
      <c r="AV1768" s="50"/>
    </row>
    <row r="1769" spans="1:48" ht="12.75" customHeight="1" x14ac:dyDescent="0.25">
      <c r="A1769" s="72" t="s">
        <v>20</v>
      </c>
      <c r="B1769" s="43" t="s">
        <v>1833</v>
      </c>
      <c r="C1769" s="44" t="s">
        <v>1926</v>
      </c>
      <c r="D1769" s="45">
        <f>MROUND(MID($C1769,6,3)/Basis!$E$3,0.5)</f>
        <v>14</v>
      </c>
      <c r="E1769" s="45">
        <f>MROUND(MID($C1769,9,3)/Basis!$E$3,0.5)</f>
        <v>39.5</v>
      </c>
      <c r="F1769" s="124" t="s">
        <v>2943</v>
      </c>
      <c r="G1769" s="45">
        <f>ROUND((ROUNDDOWN($F1769/5,0)*5+1.8)/Basis!$E$3,1)</f>
        <v>4.5999999999999996</v>
      </c>
      <c r="H1769" s="120">
        <f>ROUND($P1769*Basis!$E$2*((TaH-TrH)/LN(1/µ)/Basis!$E$7)^$N1769*$AA$4*Glycol,0)</f>
        <v>1931</v>
      </c>
      <c r="I1769" s="83">
        <f>ROUND(H1769/(MID($C1769,9,3)/Basis!$E$3/Basis!$E$9)*Basis!$E$11,0)</f>
        <v>589</v>
      </c>
      <c r="J1769" s="123">
        <f>IF(Basis!$E$1=1,ROUND(H1769/((TaH-TrH)*1.163)/3600,3),ROUND(H1769/(500*(TaH-TrH)),2))</f>
        <v>0.19</v>
      </c>
      <c r="K1769" s="84"/>
      <c r="L1769" s="177">
        <f>CHOOSE(Basis!$E$1,((AJ1769*(J1769*3600/Basis!$E$5)^AK1769*(((MID(C1769,9,3)*10)-144)/1000)*AL1769+AM1769*(J1769*3600/Basis!$E$5)^2)*0.0098)/Basis!$E$10,((AJ1769*(J1769/Basis!$E$5)^AK1769*(((MID(C1769,9,3)*10)-144)/1000)*AL1769+AM1769*(J1769/Basis!$E$5)^2)*0.0098)/Basis!$E$10)</f>
        <v>3.7601217483713349E-3</v>
      </c>
      <c r="M1769" s="85"/>
      <c r="N1769" s="110">
        <v>1.399</v>
      </c>
      <c r="O1769" s="74"/>
      <c r="P1769" s="73">
        <v>898</v>
      </c>
      <c r="Q1769" s="74"/>
      <c r="R1769" s="75"/>
      <c r="S1769" s="75"/>
      <c r="T1769" s="75"/>
      <c r="U1769" s="75"/>
      <c r="V1769" s="75"/>
      <c r="W1769" s="74"/>
      <c r="X1769" s="76"/>
      <c r="Y1769" s="76"/>
      <c r="Z1769" s="76"/>
      <c r="AA1769" s="76"/>
      <c r="AB1769" s="76"/>
      <c r="AC1769" s="74"/>
      <c r="AD1769" s="77"/>
      <c r="AE1769" s="77"/>
      <c r="AF1769" s="77"/>
      <c r="AG1769" s="77"/>
      <c r="AH1769" s="77"/>
      <c r="AI1769" s="68"/>
      <c r="AJ1769" s="213">
        <v>3.9689999999999994E-4</v>
      </c>
      <c r="AK1769" s="213">
        <v>1.7345999999999999</v>
      </c>
      <c r="AL1769" s="213">
        <v>2</v>
      </c>
      <c r="AM1769" s="213">
        <v>3.6734700000000002E-4</v>
      </c>
      <c r="AN1769" s="74"/>
      <c r="AO1769" s="73"/>
      <c r="AP1769" s="73"/>
      <c r="AQ1769" s="73"/>
      <c r="AR1769" s="73"/>
      <c r="AS1769" s="73"/>
      <c r="AT1769" s="74"/>
      <c r="AU1769" s="47"/>
      <c r="AV1769" s="48"/>
    </row>
    <row r="1770" spans="1:48" ht="12.75" customHeight="1" x14ac:dyDescent="0.25">
      <c r="A1770" s="72" t="s">
        <v>20</v>
      </c>
      <c r="B1770" s="43" t="s">
        <v>1833</v>
      </c>
      <c r="C1770" s="44" t="s">
        <v>1927</v>
      </c>
      <c r="D1770" s="45">
        <f>MROUND(MID($C1770,6,3)/Basis!$E$3,0.5)</f>
        <v>14</v>
      </c>
      <c r="E1770" s="45">
        <f>MROUND(MID($C1770,9,3)/Basis!$E$3,0.5)</f>
        <v>39.5</v>
      </c>
      <c r="F1770" s="124" t="s">
        <v>2946</v>
      </c>
      <c r="G1770" s="45">
        <f>ROUND((ROUNDDOWN($F1770/5,0)*5+1.8)/Basis!$E$3,1)</f>
        <v>4.5999999999999996</v>
      </c>
      <c r="H1770" s="120">
        <f>ROUND($P1770*Basis!$E$2*((TaH-TrH)/LN(1/µ)/Basis!$E$7)^$N1770*$AA$4*Glycol,0)</f>
        <v>2537</v>
      </c>
      <c r="I1770" s="83">
        <f>ROUND(H1770/(MID($C1770,9,3)/Basis!$E$3/Basis!$E$9)*Basis!$E$11,0)</f>
        <v>773</v>
      </c>
      <c r="J1770" s="123">
        <f>IF(Basis!$E$1=1,ROUND(H1770/((TaH-TrH)*1.163)/3600,3),ROUND(H1770/(500*(TaH-TrH)),2))</f>
        <v>0.25</v>
      </c>
      <c r="K1770" s="84"/>
      <c r="L1770" s="177">
        <f>CHOOSE(Basis!$E$1,((AJ1770*(J1770*3600/Basis!$E$5)^AK1770*(((MID(C1770,9,3)*10)-144)/1000)*AL1770+AM1770*(J1770*3600/Basis!$E$5)^2)*0.0098)/Basis!$E$10,((AJ1770*(J1770/Basis!$E$5)^AK1770*(((MID(C1770,9,3)*10)-144)/1000)*AL1770+AM1770*(J1770/Basis!$E$5)^2)*0.0098)/Basis!$E$10)</f>
        <v>1.0958299623574804E-2</v>
      </c>
      <c r="M1770" s="85"/>
      <c r="N1770" s="110">
        <v>1.44</v>
      </c>
      <c r="O1770" s="74"/>
      <c r="P1770" s="73">
        <v>1196</v>
      </c>
      <c r="Q1770" s="74"/>
      <c r="R1770" s="75"/>
      <c r="S1770" s="75"/>
      <c r="T1770" s="75"/>
      <c r="U1770" s="75"/>
      <c r="V1770" s="75"/>
      <c r="W1770" s="74"/>
      <c r="X1770" s="76"/>
      <c r="Y1770" s="76"/>
      <c r="Z1770" s="76"/>
      <c r="AA1770" s="76"/>
      <c r="AB1770" s="76"/>
      <c r="AC1770" s="74"/>
      <c r="AD1770" s="77"/>
      <c r="AE1770" s="77"/>
      <c r="AF1770" s="77"/>
      <c r="AG1770" s="77"/>
      <c r="AH1770" s="77"/>
      <c r="AI1770" s="68"/>
      <c r="AJ1770" s="213">
        <v>3.9689999999999994E-4</v>
      </c>
      <c r="AK1770" s="213">
        <v>1.7345999999999999</v>
      </c>
      <c r="AL1770" s="213">
        <v>4</v>
      </c>
      <c r="AM1770" s="213">
        <v>5.7428799999999995E-4</v>
      </c>
      <c r="AN1770" s="74"/>
      <c r="AO1770" s="73"/>
      <c r="AP1770" s="73"/>
      <c r="AQ1770" s="73"/>
      <c r="AR1770" s="73"/>
      <c r="AS1770" s="73"/>
      <c r="AT1770" s="74"/>
      <c r="AU1770" s="47"/>
      <c r="AV1770" s="48"/>
    </row>
    <row r="1771" spans="1:48" ht="12.75" customHeight="1" x14ac:dyDescent="0.25">
      <c r="A1771" s="72" t="s">
        <v>20</v>
      </c>
      <c r="B1771" s="43" t="s">
        <v>1833</v>
      </c>
      <c r="C1771" s="44" t="s">
        <v>1928</v>
      </c>
      <c r="D1771" s="45">
        <f>MROUND(MID($C1771,6,3)/Basis!$E$3,0.5)</f>
        <v>14</v>
      </c>
      <c r="E1771" s="45">
        <f>MROUND(MID($C1771,9,3)/Basis!$E$3,0.5)</f>
        <v>39.5</v>
      </c>
      <c r="F1771" s="124" t="s">
        <v>2944</v>
      </c>
      <c r="G1771" s="45">
        <f>ROUND((ROUNDDOWN($F1771/5,0)*5+1.8)/Basis!$E$3,1)</f>
        <v>6.6</v>
      </c>
      <c r="H1771" s="120">
        <f>ROUND($P1771*Basis!$E$2*((TaH-TrH)/LN(1/µ)/Basis!$E$7)^$N1771*$AA$4*Glycol,0)</f>
        <v>3170</v>
      </c>
      <c r="I1771" s="83">
        <f>ROUND(H1771/(MID($C1771,9,3)/Basis!$E$3/Basis!$E$9)*Basis!$E$11,0)</f>
        <v>966</v>
      </c>
      <c r="J1771" s="123">
        <f>IF(Basis!$E$1=1,ROUND(H1771/((TaH-TrH)*1.163)/3600,3),ROUND(H1771/(500*(TaH-TrH)),2))</f>
        <v>0.32</v>
      </c>
      <c r="K1771" s="84"/>
      <c r="L1771" s="177">
        <f>CHOOSE(Basis!$E$1,((AJ1771*(J1771*3600/Basis!$E$5)^AK1771*(((MID(C1771,9,3)*10)-144)/1000)*AL1771+AM1771*(J1771*3600/Basis!$E$5)^2)*0.0098)/Basis!$E$10,((AJ1771*(J1771/Basis!$E$5)^AK1771*(((MID(C1771,9,3)*10)-144)/1000)*AL1771+AM1771*(J1771/Basis!$E$5)^2)*0.0098)/Basis!$E$10)</f>
        <v>9.8636772760199564E-3</v>
      </c>
      <c r="M1771" s="85"/>
      <c r="N1771" s="110">
        <v>1.39</v>
      </c>
      <c r="O1771" s="74"/>
      <c r="P1771" s="73">
        <v>1470</v>
      </c>
      <c r="Q1771" s="74"/>
      <c r="R1771" s="75"/>
      <c r="S1771" s="75"/>
      <c r="T1771" s="75"/>
      <c r="U1771" s="75"/>
      <c r="V1771" s="75"/>
      <c r="W1771" s="74"/>
      <c r="X1771" s="76"/>
      <c r="Y1771" s="76"/>
      <c r="Z1771" s="76"/>
      <c r="AA1771" s="76"/>
      <c r="AB1771" s="76"/>
      <c r="AC1771" s="74"/>
      <c r="AD1771" s="77"/>
      <c r="AE1771" s="77"/>
      <c r="AF1771" s="77"/>
      <c r="AG1771" s="77"/>
      <c r="AH1771" s="77"/>
      <c r="AI1771" s="68"/>
      <c r="AJ1771" s="213">
        <v>2.0829999999999999E-4</v>
      </c>
      <c r="AK1771" s="213">
        <v>1.724</v>
      </c>
      <c r="AL1771" s="213">
        <v>2</v>
      </c>
      <c r="AM1771" s="213">
        <v>4.6182900000000003E-4</v>
      </c>
      <c r="AN1771" s="74"/>
      <c r="AO1771" s="73"/>
      <c r="AP1771" s="73"/>
      <c r="AQ1771" s="73"/>
      <c r="AR1771" s="73"/>
      <c r="AS1771" s="73"/>
      <c r="AT1771" s="74"/>
      <c r="AU1771" s="47"/>
      <c r="AV1771" s="48"/>
    </row>
    <row r="1772" spans="1:48" ht="12.75" customHeight="1" x14ac:dyDescent="0.25">
      <c r="A1772" s="72" t="s">
        <v>20</v>
      </c>
      <c r="B1772" s="43" t="s">
        <v>1833</v>
      </c>
      <c r="C1772" s="44" t="s">
        <v>1929</v>
      </c>
      <c r="D1772" s="45">
        <f>MROUND(MID($C1772,6,3)/Basis!$E$3,0.5)</f>
        <v>14</v>
      </c>
      <c r="E1772" s="45">
        <f>MROUND(MID($C1772,9,3)/Basis!$E$3,0.5)</f>
        <v>39.5</v>
      </c>
      <c r="F1772" s="124" t="s">
        <v>2947</v>
      </c>
      <c r="G1772" s="45">
        <f>ROUND((ROUNDDOWN($F1772/5,0)*5+1.8)/Basis!$E$3,1)</f>
        <v>6.6</v>
      </c>
      <c r="H1772" s="120">
        <f>ROUND($P1772*Basis!$E$2*((TaH-TrH)/LN(1/µ)/Basis!$E$7)^$N1772*$AA$4*Glycol,0)</f>
        <v>3359</v>
      </c>
      <c r="I1772" s="83">
        <f>ROUND(H1772/(MID($C1772,9,3)/Basis!$E$3/Basis!$E$9)*Basis!$E$11,0)</f>
        <v>1024</v>
      </c>
      <c r="J1772" s="123">
        <f>IF(Basis!$E$1=1,ROUND(H1772/((TaH-TrH)*1.163)/3600,3),ROUND(H1772/(500*(TaH-TrH)),2))</f>
        <v>0.34</v>
      </c>
      <c r="K1772" s="84"/>
      <c r="L1772" s="177">
        <f>CHOOSE(Basis!$E$1,((AJ1772*(J1772*3600/Basis!$E$5)^AK1772*(((MID(C1772,9,3)*10)-144)/1000)*AL1772+AM1772*(J1772*3600/Basis!$E$5)^2)*0.0098)/Basis!$E$10,((AJ1772*(J1772/Basis!$E$5)^AK1772*(((MID(C1772,9,3)*10)-144)/1000)*AL1772+AM1772*(J1772/Basis!$E$5)^2)*0.0098)/Basis!$E$10)</f>
        <v>3.1347010027529716E-2</v>
      </c>
      <c r="M1772" s="85"/>
      <c r="N1772" s="110">
        <v>1.458</v>
      </c>
      <c r="O1772" s="74"/>
      <c r="P1772" s="73">
        <v>1593</v>
      </c>
      <c r="Q1772" s="74"/>
      <c r="R1772" s="75"/>
      <c r="S1772" s="75"/>
      <c r="T1772" s="75"/>
      <c r="U1772" s="75"/>
      <c r="V1772" s="75"/>
      <c r="W1772" s="74"/>
      <c r="X1772" s="76"/>
      <c r="Y1772" s="76"/>
      <c r="Z1772" s="76"/>
      <c r="AA1772" s="76"/>
      <c r="AB1772" s="76"/>
      <c r="AC1772" s="74"/>
      <c r="AD1772" s="77"/>
      <c r="AE1772" s="77"/>
      <c r="AF1772" s="77"/>
      <c r="AG1772" s="77"/>
      <c r="AH1772" s="77"/>
      <c r="AI1772" s="68"/>
      <c r="AJ1772" s="213">
        <v>2.0829999999999999E-4</v>
      </c>
      <c r="AK1772" s="213">
        <v>1.724</v>
      </c>
      <c r="AL1772" s="213">
        <v>4</v>
      </c>
      <c r="AM1772" s="213">
        <v>1.392796E-3</v>
      </c>
      <c r="AN1772" s="74"/>
      <c r="AO1772" s="73"/>
      <c r="AP1772" s="73"/>
      <c r="AQ1772" s="73"/>
      <c r="AR1772" s="73"/>
      <c r="AS1772" s="73"/>
      <c r="AT1772" s="74"/>
      <c r="AU1772" s="47"/>
      <c r="AV1772" s="48"/>
    </row>
    <row r="1773" spans="1:48" ht="12.75" customHeight="1" x14ac:dyDescent="0.25">
      <c r="A1773" s="72" t="s">
        <v>20</v>
      </c>
      <c r="B1773" s="43" t="s">
        <v>1833</v>
      </c>
      <c r="C1773" s="44" t="s">
        <v>1930</v>
      </c>
      <c r="D1773" s="45">
        <f>MROUND(MID($C1773,6,3)/Basis!$E$3,0.5)</f>
        <v>14</v>
      </c>
      <c r="E1773" s="45">
        <f>MROUND(MID($C1773,9,3)/Basis!$E$3,0.5)</f>
        <v>39.5</v>
      </c>
      <c r="F1773" s="124" t="s">
        <v>2945</v>
      </c>
      <c r="G1773" s="45">
        <f>ROUND((ROUNDDOWN($F1773/5,0)*5+1.8)/Basis!$E$3,1)</f>
        <v>8.6</v>
      </c>
      <c r="H1773" s="120">
        <f>ROUND($P1773*Basis!$E$2*((TaH-TrH)/LN(1/µ)/Basis!$E$7)^$N1773*$AA$4*Glycol,0)</f>
        <v>4443</v>
      </c>
      <c r="I1773" s="83">
        <f>ROUND(H1773/(MID($C1773,9,3)/Basis!$E$3/Basis!$E$9)*Basis!$E$11,0)</f>
        <v>1354</v>
      </c>
      <c r="J1773" s="123">
        <f>IF(Basis!$E$1=1,ROUND(H1773/((TaH-TrH)*1.163)/3600,3),ROUND(H1773/(500*(TaH-TrH)),2))</f>
        <v>0.44</v>
      </c>
      <c r="K1773" s="84"/>
      <c r="L1773" s="177">
        <f>CHOOSE(Basis!$E$1,((AJ1773*(J1773*3600/Basis!$E$5)^AK1773*(((MID(C1773,9,3)*10)-144)/1000)*AL1773+AM1773*(J1773*3600/Basis!$E$5)^2)*0.0098)/Basis!$E$10,((AJ1773*(J1773/Basis!$E$5)^AK1773*(((MID(C1773,9,3)*10)-144)/1000)*AL1773+AM1773*(J1773/Basis!$E$5)^2)*0.0098)/Basis!$E$10)</f>
        <v>1.4280400378045564E-2</v>
      </c>
      <c r="M1773" s="85"/>
      <c r="N1773" s="110">
        <v>1.39</v>
      </c>
      <c r="O1773" s="74"/>
      <c r="P1773" s="73">
        <v>2060</v>
      </c>
      <c r="Q1773" s="74"/>
      <c r="R1773" s="75"/>
      <c r="S1773" s="75"/>
      <c r="T1773" s="75"/>
      <c r="U1773" s="75"/>
      <c r="V1773" s="75"/>
      <c r="W1773" s="74"/>
      <c r="X1773" s="76"/>
      <c r="Y1773" s="76"/>
      <c r="Z1773" s="76"/>
      <c r="AA1773" s="76"/>
      <c r="AB1773" s="76"/>
      <c r="AC1773" s="74"/>
      <c r="AD1773" s="77"/>
      <c r="AE1773" s="77"/>
      <c r="AF1773" s="77"/>
      <c r="AG1773" s="77"/>
      <c r="AH1773" s="77"/>
      <c r="AI1773" s="68"/>
      <c r="AJ1773" s="214">
        <v>1.2760000000000001E-4</v>
      </c>
      <c r="AK1773" s="214">
        <v>1.7219</v>
      </c>
      <c r="AL1773" s="214">
        <v>2</v>
      </c>
      <c r="AM1773" s="214">
        <v>3.76611E-4</v>
      </c>
      <c r="AN1773" s="74"/>
      <c r="AO1773" s="73"/>
      <c r="AP1773" s="73"/>
      <c r="AQ1773" s="73"/>
      <c r="AR1773" s="73"/>
      <c r="AS1773" s="73"/>
      <c r="AT1773" s="74"/>
      <c r="AU1773" s="47"/>
      <c r="AV1773" s="48"/>
    </row>
    <row r="1774" spans="1:48" ht="12.75" customHeight="1" x14ac:dyDescent="0.25">
      <c r="A1774" s="72" t="s">
        <v>20</v>
      </c>
      <c r="B1774" s="43" t="s">
        <v>1833</v>
      </c>
      <c r="C1774" s="44" t="s">
        <v>1931</v>
      </c>
      <c r="D1774" s="45">
        <f>MROUND(MID($C1774,6,3)/Basis!$E$3,0.5)</f>
        <v>14</v>
      </c>
      <c r="E1774" s="45">
        <f>MROUND(MID($C1774,9,3)/Basis!$E$3,0.5)</f>
        <v>39.5</v>
      </c>
      <c r="F1774" s="124" t="s">
        <v>2948</v>
      </c>
      <c r="G1774" s="45">
        <f>ROUND((ROUNDDOWN($F1774/5,0)*5+1.8)/Basis!$E$3,1)</f>
        <v>8.6</v>
      </c>
      <c r="H1774" s="120">
        <f>ROUND($P1774*Basis!$E$2*((TaH-TrH)/LN(1/µ)/Basis!$E$7)^$N1774*$AA$4*Glycol,0)</f>
        <v>4438</v>
      </c>
      <c r="I1774" s="83">
        <f>ROUND(H1774/(MID($C1774,9,3)/Basis!$E$3/Basis!$E$9)*Basis!$E$11,0)</f>
        <v>1353</v>
      </c>
      <c r="J1774" s="123">
        <f>IF(Basis!$E$1=1,ROUND(H1774/((TaH-TrH)*1.163)/3600,3),ROUND(H1774/(500*(TaH-TrH)),2))</f>
        <v>0.44</v>
      </c>
      <c r="K1774" s="84"/>
      <c r="L1774" s="177">
        <f>CHOOSE(Basis!$E$1,((AJ1774*(J1774*3600/Basis!$E$5)^AK1774*(((MID(C1774,9,3)*10)-144)/1000)*AL1774+AM1774*(J1774*3600/Basis!$E$5)^2)*0.0098)/Basis!$E$10,((AJ1774*(J1774/Basis!$E$5)^AK1774*(((MID(C1774,9,3)*10)-144)/1000)*AL1774+AM1774*(J1774/Basis!$E$5)^2)*0.0098)/Basis!$E$10)</f>
        <v>2.0755684618463138E-2</v>
      </c>
      <c r="M1774" s="85"/>
      <c r="N1774" s="110">
        <v>1.472</v>
      </c>
      <c r="O1774" s="74"/>
      <c r="P1774" s="73">
        <v>2114</v>
      </c>
      <c r="Q1774" s="74"/>
      <c r="R1774" s="75"/>
      <c r="S1774" s="75"/>
      <c r="T1774" s="75"/>
      <c r="U1774" s="75"/>
      <c r="V1774" s="75"/>
      <c r="W1774" s="74"/>
      <c r="X1774" s="76"/>
      <c r="Y1774" s="76"/>
      <c r="Z1774" s="76"/>
      <c r="AA1774" s="76"/>
      <c r="AB1774" s="76"/>
      <c r="AC1774" s="74"/>
      <c r="AD1774" s="77"/>
      <c r="AE1774" s="77"/>
      <c r="AF1774" s="77"/>
      <c r="AG1774" s="77"/>
      <c r="AH1774" s="77"/>
      <c r="AI1774" s="68"/>
      <c r="AJ1774" s="213">
        <v>1.2760000000000001E-4</v>
      </c>
      <c r="AK1774" s="213">
        <v>1.7219</v>
      </c>
      <c r="AL1774" s="213">
        <v>4</v>
      </c>
      <c r="AM1774" s="213">
        <v>5.1420100000000005E-4</v>
      </c>
      <c r="AN1774" s="74"/>
      <c r="AO1774" s="73"/>
      <c r="AP1774" s="73"/>
      <c r="AQ1774" s="73"/>
      <c r="AR1774" s="73"/>
      <c r="AS1774" s="73"/>
      <c r="AT1774" s="74"/>
      <c r="AU1774" s="47"/>
      <c r="AV1774" s="48"/>
    </row>
    <row r="1775" spans="1:48" ht="12.75" customHeight="1" x14ac:dyDescent="0.25">
      <c r="A1775" s="72" t="s">
        <v>20</v>
      </c>
      <c r="B1775" s="43" t="s">
        <v>1833</v>
      </c>
      <c r="C1775" s="44" t="s">
        <v>1932</v>
      </c>
      <c r="D1775" s="45">
        <f>MROUND(MID($C1775,6,3)/Basis!$E$3,0.5)</f>
        <v>14</v>
      </c>
      <c r="E1775" s="45">
        <f>MROUND(MID($C1775,9,3)/Basis!$E$3,0.5)</f>
        <v>43.5</v>
      </c>
      <c r="F1775" s="124" t="s">
        <v>2949</v>
      </c>
      <c r="G1775" s="45">
        <f>ROUND((ROUNDDOWN($F1775/5,0)*5+3.5)/Basis!$E$3,1)</f>
        <v>3.3</v>
      </c>
      <c r="H1775" s="120">
        <f>ROUND($P1775*Basis!$E$2*((TaH-TrH)/LN(1/µ)/Basis!$E$7)^$N1775*$AA$4*Glycol,0)</f>
        <v>1872</v>
      </c>
      <c r="I1775" s="83">
        <f>ROUND(H1775/(MID($C1775,9,3)/Basis!$E$3/Basis!$E$9)*Basis!$E$11,0)</f>
        <v>519</v>
      </c>
      <c r="J1775" s="123">
        <f>IF(Basis!$E$1=1,ROUND(H1775/((TaH-TrH)*1.163)/3600,3),ROUND(H1775/(500*(TaH-TrH)),2))</f>
        <v>0.19</v>
      </c>
      <c r="K1775" s="84"/>
      <c r="L1775" s="177">
        <f>CHOOSE(Basis!$E$1,((AJ1775*(J1775*3600/Basis!$E$5)^AK1775*(((MID(C1775,9,3)*10)-144)/1000)*AL1775+AM1775*(J1775*3600/Basis!$E$5)^2)*0.0098)/Basis!$E$10,((AJ1775*(J1775/Basis!$E$5)^AK1775*(((MID(C1775,9,3)*10)-144)/1000)*AL1775+AM1775*(J1775/Basis!$E$5)^2)*0.0098)/Basis!$E$10)</f>
        <v>1.4975821754875131E-2</v>
      </c>
      <c r="M1775" s="85"/>
      <c r="N1775" s="110">
        <v>1.393</v>
      </c>
      <c r="O1775" s="74"/>
      <c r="P1775" s="73">
        <v>869</v>
      </c>
      <c r="Q1775" s="74"/>
      <c r="R1775" s="75"/>
      <c r="S1775" s="75"/>
      <c r="T1775" s="75"/>
      <c r="U1775" s="75"/>
      <c r="V1775" s="75"/>
      <c r="W1775" s="74"/>
      <c r="X1775" s="76"/>
      <c r="Y1775" s="76"/>
      <c r="Z1775" s="76"/>
      <c r="AA1775" s="76"/>
      <c r="AB1775" s="76"/>
      <c r="AC1775" s="74"/>
      <c r="AD1775" s="77"/>
      <c r="AE1775" s="77"/>
      <c r="AF1775" s="77"/>
      <c r="AG1775" s="77"/>
      <c r="AH1775" s="77"/>
      <c r="AI1775" s="68"/>
      <c r="AJ1775" s="213">
        <v>1.6125983042710999E-4</v>
      </c>
      <c r="AK1775" s="213">
        <v>2.1458504622376</v>
      </c>
      <c r="AL1775" s="213">
        <v>4</v>
      </c>
      <c r="AM1775" s="213">
        <v>1.3916423712342001E-3</v>
      </c>
      <c r="AN1775" s="74"/>
      <c r="AO1775" s="73"/>
      <c r="AP1775" s="73"/>
      <c r="AQ1775" s="73"/>
      <c r="AR1775" s="73"/>
      <c r="AS1775" s="73"/>
      <c r="AT1775" s="74"/>
      <c r="AU1775" s="47"/>
      <c r="AV1775" s="48"/>
    </row>
    <row r="1776" spans="1:48" ht="12.75" customHeight="1" x14ac:dyDescent="0.25">
      <c r="A1776" s="72" t="s">
        <v>20</v>
      </c>
      <c r="B1776" s="43" t="s">
        <v>1833</v>
      </c>
      <c r="C1776" s="44" t="s">
        <v>1933</v>
      </c>
      <c r="D1776" s="45">
        <f>MROUND(MID($C1776,6,3)/Basis!$E$3,0.5)</f>
        <v>14</v>
      </c>
      <c r="E1776" s="45">
        <f>MROUND(MID($C1776,9,3)/Basis!$E$3,0.5)</f>
        <v>43.5</v>
      </c>
      <c r="F1776" s="124" t="s">
        <v>2943</v>
      </c>
      <c r="G1776" s="45">
        <f>ROUND((ROUNDDOWN($F1776/5,0)*5+1.8)/Basis!$E$3,1)</f>
        <v>4.5999999999999996</v>
      </c>
      <c r="H1776" s="120">
        <f>ROUND($P1776*Basis!$E$2*((TaH-TrH)/LN(1/µ)/Basis!$E$7)^$N1776*$AA$4*Glycol,0)</f>
        <v>2124</v>
      </c>
      <c r="I1776" s="83">
        <f>ROUND(H1776/(MID($C1776,9,3)/Basis!$E$3/Basis!$E$9)*Basis!$E$11,0)</f>
        <v>589</v>
      </c>
      <c r="J1776" s="123">
        <f>IF(Basis!$E$1=1,ROUND(H1776/((TaH-TrH)*1.163)/3600,3),ROUND(H1776/(500*(TaH-TrH)),2))</f>
        <v>0.21</v>
      </c>
      <c r="K1776" s="84"/>
      <c r="L1776" s="177">
        <f>CHOOSE(Basis!$E$1,((AJ1776*(J1776*3600/Basis!$E$5)^AK1776*(((MID(C1776,9,3)*10)-144)/1000)*AL1776+AM1776*(J1776*3600/Basis!$E$5)^2)*0.0098)/Basis!$E$10,((AJ1776*(J1776/Basis!$E$5)^AK1776*(((MID(C1776,9,3)*10)-144)/1000)*AL1776+AM1776*(J1776/Basis!$E$5)^2)*0.0098)/Basis!$E$10)</f>
        <v>4.7563103514067749E-3</v>
      </c>
      <c r="M1776" s="85"/>
      <c r="N1776" s="109">
        <v>1.399</v>
      </c>
      <c r="O1776" s="68"/>
      <c r="P1776" s="67">
        <v>988</v>
      </c>
      <c r="Q1776" s="68"/>
      <c r="R1776" s="69"/>
      <c r="S1776" s="69"/>
      <c r="T1776" s="69"/>
      <c r="U1776" s="69"/>
      <c r="V1776" s="69"/>
      <c r="W1776" s="68"/>
      <c r="X1776" s="70"/>
      <c r="Y1776" s="70"/>
      <c r="Z1776" s="70"/>
      <c r="AA1776" s="70"/>
      <c r="AB1776" s="70"/>
      <c r="AC1776" s="68"/>
      <c r="AD1776" s="71"/>
      <c r="AE1776" s="71"/>
      <c r="AF1776" s="71"/>
      <c r="AG1776" s="71"/>
      <c r="AH1776" s="71"/>
      <c r="AI1776" s="68"/>
      <c r="AJ1776" s="214">
        <v>3.9689999999999994E-4</v>
      </c>
      <c r="AK1776" s="214">
        <v>1.7345999999999999</v>
      </c>
      <c r="AL1776" s="214">
        <v>2</v>
      </c>
      <c r="AM1776" s="214">
        <v>3.6734700000000002E-4</v>
      </c>
      <c r="AN1776" s="68"/>
      <c r="AO1776" s="67"/>
      <c r="AP1776" s="67"/>
      <c r="AQ1776" s="67"/>
      <c r="AR1776" s="67"/>
      <c r="AS1776" s="67"/>
      <c r="AT1776" s="68"/>
      <c r="AU1776" s="49"/>
      <c r="AV1776" s="50"/>
    </row>
    <row r="1777" spans="1:48" ht="12.75" customHeight="1" x14ac:dyDescent="0.25">
      <c r="A1777" s="72" t="s">
        <v>20</v>
      </c>
      <c r="B1777" s="43" t="s">
        <v>1833</v>
      </c>
      <c r="C1777" s="44" t="s">
        <v>1934</v>
      </c>
      <c r="D1777" s="45">
        <f>MROUND(MID($C1777,6,3)/Basis!$E$3,0.5)</f>
        <v>14</v>
      </c>
      <c r="E1777" s="45">
        <f>MROUND(MID($C1777,9,3)/Basis!$E$3,0.5)</f>
        <v>43.5</v>
      </c>
      <c r="F1777" s="124" t="s">
        <v>2946</v>
      </c>
      <c r="G1777" s="45">
        <f>ROUND((ROUNDDOWN($F1777/5,0)*5+1.8)/Basis!$E$3,1)</f>
        <v>4.5999999999999996</v>
      </c>
      <c r="H1777" s="120">
        <f>ROUND($P1777*Basis!$E$2*((TaH-TrH)/LN(1/µ)/Basis!$E$7)^$N1777*$AA$4*Glycol,0)</f>
        <v>2792</v>
      </c>
      <c r="I1777" s="83">
        <f>ROUND(H1777/(MID($C1777,9,3)/Basis!$E$3/Basis!$E$9)*Basis!$E$11,0)</f>
        <v>774</v>
      </c>
      <c r="J1777" s="123">
        <f>IF(Basis!$E$1=1,ROUND(H1777/((TaH-TrH)*1.163)/3600,3),ROUND(H1777/(500*(TaH-TrH)),2))</f>
        <v>0.28000000000000003</v>
      </c>
      <c r="K1777" s="84"/>
      <c r="L1777" s="177">
        <f>CHOOSE(Basis!$E$1,((AJ1777*(J1777*3600/Basis!$E$5)^AK1777*(((MID(C1777,9,3)*10)-144)/1000)*AL1777+AM1777*(J1777*3600/Basis!$E$5)^2)*0.0098)/Basis!$E$10,((AJ1777*(J1777/Basis!$E$5)^AK1777*(((MID(C1777,9,3)*10)-144)/1000)*AL1777+AM1777*(J1777/Basis!$E$5)^2)*0.0098)/Basis!$E$10)</f>
        <v>1.4261195079484626E-2</v>
      </c>
      <c r="M1777" s="85"/>
      <c r="N1777" s="109">
        <v>1.44</v>
      </c>
      <c r="O1777" s="68"/>
      <c r="P1777" s="67">
        <v>1316</v>
      </c>
      <c r="Q1777" s="68"/>
      <c r="R1777" s="69"/>
      <c r="S1777" s="69"/>
      <c r="T1777" s="69"/>
      <c r="U1777" s="69"/>
      <c r="V1777" s="69"/>
      <c r="W1777" s="68"/>
      <c r="X1777" s="70"/>
      <c r="Y1777" s="70"/>
      <c r="Z1777" s="70"/>
      <c r="AA1777" s="70"/>
      <c r="AB1777" s="70"/>
      <c r="AC1777" s="68"/>
      <c r="AD1777" s="71"/>
      <c r="AE1777" s="71"/>
      <c r="AF1777" s="71"/>
      <c r="AG1777" s="71"/>
      <c r="AH1777" s="71"/>
      <c r="AI1777" s="68"/>
      <c r="AJ1777" s="214">
        <v>3.9689999999999994E-4</v>
      </c>
      <c r="AK1777" s="214">
        <v>1.7345999999999999</v>
      </c>
      <c r="AL1777" s="214">
        <v>4</v>
      </c>
      <c r="AM1777" s="214">
        <v>5.7428799999999995E-4</v>
      </c>
      <c r="AN1777" s="68"/>
      <c r="AO1777" s="67"/>
      <c r="AP1777" s="67"/>
      <c r="AQ1777" s="67"/>
      <c r="AR1777" s="67"/>
      <c r="AS1777" s="67"/>
      <c r="AT1777" s="68"/>
      <c r="AU1777" s="49"/>
      <c r="AV1777" s="50"/>
    </row>
    <row r="1778" spans="1:48" ht="12.75" customHeight="1" x14ac:dyDescent="0.25">
      <c r="A1778" s="72" t="s">
        <v>20</v>
      </c>
      <c r="B1778" s="43" t="s">
        <v>1833</v>
      </c>
      <c r="C1778" s="44" t="s">
        <v>1935</v>
      </c>
      <c r="D1778" s="45">
        <f>MROUND(MID($C1778,6,3)/Basis!$E$3,0.5)</f>
        <v>14</v>
      </c>
      <c r="E1778" s="45">
        <f>MROUND(MID($C1778,9,3)/Basis!$E$3,0.5)</f>
        <v>43.5</v>
      </c>
      <c r="F1778" s="124" t="s">
        <v>2944</v>
      </c>
      <c r="G1778" s="45">
        <f>ROUND((ROUNDDOWN($F1778/5,0)*5+1.8)/Basis!$E$3,1)</f>
        <v>6.6</v>
      </c>
      <c r="H1778" s="120">
        <f>ROUND($P1778*Basis!$E$2*((TaH-TrH)/LN(1/µ)/Basis!$E$7)^$N1778*$AA$4*Glycol,0)</f>
        <v>3487</v>
      </c>
      <c r="I1778" s="83">
        <f>ROUND(H1778/(MID($C1778,9,3)/Basis!$E$3/Basis!$E$9)*Basis!$E$11,0)</f>
        <v>966</v>
      </c>
      <c r="J1778" s="123">
        <f>IF(Basis!$E$1=1,ROUND(H1778/((TaH-TrH)*1.163)/3600,3),ROUND(H1778/(500*(TaH-TrH)),2))</f>
        <v>0.35</v>
      </c>
      <c r="K1778" s="84"/>
      <c r="L1778" s="177">
        <f>CHOOSE(Basis!$E$1,((AJ1778*(J1778*3600/Basis!$E$5)^AK1778*(((MID(C1778,9,3)*10)-144)/1000)*AL1778+AM1778*(J1778*3600/Basis!$E$5)^2)*0.0098)/Basis!$E$10,((AJ1778*(J1778/Basis!$E$5)^AK1778*(((MID(C1778,9,3)*10)-144)/1000)*AL1778+AM1778*(J1778/Basis!$E$5)^2)*0.0098)/Basis!$E$10)</f>
        <v>1.2001939850326142E-2</v>
      </c>
      <c r="M1778" s="85"/>
      <c r="N1778" s="109">
        <v>1.39</v>
      </c>
      <c r="O1778" s="68"/>
      <c r="P1778" s="67">
        <v>1617</v>
      </c>
      <c r="Q1778" s="68"/>
      <c r="R1778" s="69"/>
      <c r="S1778" s="69"/>
      <c r="T1778" s="69"/>
      <c r="U1778" s="69"/>
      <c r="V1778" s="69"/>
      <c r="W1778" s="68"/>
      <c r="X1778" s="70"/>
      <c r="Y1778" s="70"/>
      <c r="Z1778" s="70"/>
      <c r="AA1778" s="70"/>
      <c r="AB1778" s="70"/>
      <c r="AC1778" s="68"/>
      <c r="AD1778" s="71"/>
      <c r="AE1778" s="71"/>
      <c r="AF1778" s="71"/>
      <c r="AG1778" s="71"/>
      <c r="AH1778" s="71"/>
      <c r="AI1778" s="68"/>
      <c r="AJ1778" s="214">
        <v>2.0829999999999999E-4</v>
      </c>
      <c r="AK1778" s="214">
        <v>1.724</v>
      </c>
      <c r="AL1778" s="214">
        <v>2</v>
      </c>
      <c r="AM1778" s="214">
        <v>4.6182900000000003E-4</v>
      </c>
      <c r="AN1778" s="68"/>
      <c r="AO1778" s="67"/>
      <c r="AP1778" s="67"/>
      <c r="AQ1778" s="67"/>
      <c r="AR1778" s="67"/>
      <c r="AS1778" s="67"/>
      <c r="AT1778" s="68"/>
      <c r="AU1778" s="49"/>
      <c r="AV1778" s="50"/>
    </row>
    <row r="1779" spans="1:48" ht="12.75" customHeight="1" x14ac:dyDescent="0.25">
      <c r="A1779" s="72" t="s">
        <v>20</v>
      </c>
      <c r="B1779" s="43" t="s">
        <v>1833</v>
      </c>
      <c r="C1779" s="44" t="s">
        <v>1936</v>
      </c>
      <c r="D1779" s="45">
        <f>MROUND(MID($C1779,6,3)/Basis!$E$3,0.5)</f>
        <v>14</v>
      </c>
      <c r="E1779" s="45">
        <f>MROUND(MID($C1779,9,3)/Basis!$E$3,0.5)</f>
        <v>43.5</v>
      </c>
      <c r="F1779" s="124" t="s">
        <v>2947</v>
      </c>
      <c r="G1779" s="45">
        <f>ROUND((ROUNDDOWN($F1779/5,0)*5+1.8)/Basis!$E$3,1)</f>
        <v>6.6</v>
      </c>
      <c r="H1779" s="120">
        <f>ROUND($P1779*Basis!$E$2*((TaH-TrH)/LN(1/µ)/Basis!$E$7)^$N1779*$AA$4*Glycol,0)</f>
        <v>3695</v>
      </c>
      <c r="I1779" s="83">
        <f>ROUND(H1779/(MID($C1779,9,3)/Basis!$E$3/Basis!$E$9)*Basis!$E$11,0)</f>
        <v>1024</v>
      </c>
      <c r="J1779" s="123">
        <f>IF(Basis!$E$1=1,ROUND(H1779/((TaH-TrH)*1.163)/3600,3),ROUND(H1779/(500*(TaH-TrH)),2))</f>
        <v>0.37</v>
      </c>
      <c r="K1779" s="84"/>
      <c r="L1779" s="177">
        <f>CHOOSE(Basis!$E$1,((AJ1779*(J1779*3600/Basis!$E$5)^AK1779*(((MID(C1779,9,3)*10)-144)/1000)*AL1779+AM1779*(J1779*3600/Basis!$E$5)^2)*0.0098)/Basis!$E$10,((AJ1779*(J1779/Basis!$E$5)^AK1779*(((MID(C1779,9,3)*10)-144)/1000)*AL1779+AM1779*(J1779/Basis!$E$5)^2)*0.0098)/Basis!$E$10)</f>
        <v>3.7574720037352231E-2</v>
      </c>
      <c r="M1779" s="85"/>
      <c r="N1779" s="109">
        <v>1.458</v>
      </c>
      <c r="O1779" s="68"/>
      <c r="P1779" s="67">
        <v>1752</v>
      </c>
      <c r="Q1779" s="68"/>
      <c r="R1779" s="69"/>
      <c r="S1779" s="69"/>
      <c r="T1779" s="69"/>
      <c r="U1779" s="69"/>
      <c r="V1779" s="69"/>
      <c r="W1779" s="68"/>
      <c r="X1779" s="70"/>
      <c r="Y1779" s="70"/>
      <c r="Z1779" s="70"/>
      <c r="AA1779" s="70"/>
      <c r="AB1779" s="70"/>
      <c r="AC1779" s="68"/>
      <c r="AD1779" s="71"/>
      <c r="AE1779" s="71"/>
      <c r="AF1779" s="71"/>
      <c r="AG1779" s="71"/>
      <c r="AH1779" s="71"/>
      <c r="AI1779" s="68"/>
      <c r="AJ1779" s="214">
        <v>2.0829999999999999E-4</v>
      </c>
      <c r="AK1779" s="214">
        <v>1.724</v>
      </c>
      <c r="AL1779" s="214">
        <v>4</v>
      </c>
      <c r="AM1779" s="214">
        <v>1.392796E-3</v>
      </c>
      <c r="AN1779" s="68"/>
      <c r="AO1779" s="67"/>
      <c r="AP1779" s="67"/>
      <c r="AQ1779" s="67"/>
      <c r="AR1779" s="67"/>
      <c r="AS1779" s="67"/>
      <c r="AT1779" s="68"/>
      <c r="AU1779" s="49"/>
      <c r="AV1779" s="50"/>
    </row>
    <row r="1780" spans="1:48" ht="12.75" customHeight="1" x14ac:dyDescent="0.25">
      <c r="A1780" s="72" t="s">
        <v>20</v>
      </c>
      <c r="B1780" s="43" t="s">
        <v>1833</v>
      </c>
      <c r="C1780" s="44" t="s">
        <v>1937</v>
      </c>
      <c r="D1780" s="45">
        <f>MROUND(MID($C1780,6,3)/Basis!$E$3,0.5)</f>
        <v>14</v>
      </c>
      <c r="E1780" s="45">
        <f>MROUND(MID($C1780,9,3)/Basis!$E$3,0.5)</f>
        <v>43.5</v>
      </c>
      <c r="F1780" s="124" t="s">
        <v>2945</v>
      </c>
      <c r="G1780" s="45">
        <f>ROUND((ROUNDDOWN($F1780/5,0)*5+1.8)/Basis!$E$3,1)</f>
        <v>8.6</v>
      </c>
      <c r="H1780" s="120">
        <f>ROUND($P1780*Basis!$E$2*((TaH-TrH)/LN(1/µ)/Basis!$E$7)^$N1780*$AA$4*Glycol,0)</f>
        <v>4887</v>
      </c>
      <c r="I1780" s="83">
        <f>ROUND(H1780/(MID($C1780,9,3)/Basis!$E$3/Basis!$E$9)*Basis!$E$11,0)</f>
        <v>1354</v>
      </c>
      <c r="J1780" s="123">
        <f>IF(Basis!$E$1=1,ROUND(H1780/((TaH-TrH)*1.163)/3600,3),ROUND(H1780/(500*(TaH-TrH)),2))</f>
        <v>0.49</v>
      </c>
      <c r="K1780" s="84"/>
      <c r="L1780" s="177">
        <f>CHOOSE(Basis!$E$1,((AJ1780*(J1780*3600/Basis!$E$5)^AK1780*(((MID(C1780,9,3)*10)-144)/1000)*AL1780+AM1780*(J1780*3600/Basis!$E$5)^2)*0.0098)/Basis!$E$10,((AJ1780*(J1780/Basis!$E$5)^AK1780*(((MID(C1780,9,3)*10)-144)/1000)*AL1780+AM1780*(J1780/Basis!$E$5)^2)*0.0098)/Basis!$E$10)</f>
        <v>1.7916591302062246E-2</v>
      </c>
      <c r="M1780" s="85"/>
      <c r="N1780" s="109">
        <v>1.39</v>
      </c>
      <c r="O1780" s="68"/>
      <c r="P1780" s="67">
        <v>2266</v>
      </c>
      <c r="Q1780" s="68"/>
      <c r="R1780" s="69"/>
      <c r="S1780" s="69"/>
      <c r="T1780" s="69"/>
      <c r="U1780" s="69"/>
      <c r="V1780" s="69"/>
      <c r="W1780" s="68"/>
      <c r="X1780" s="70"/>
      <c r="Y1780" s="70"/>
      <c r="Z1780" s="70"/>
      <c r="AA1780" s="70"/>
      <c r="AB1780" s="70"/>
      <c r="AC1780" s="68"/>
      <c r="AD1780" s="71"/>
      <c r="AE1780" s="71"/>
      <c r="AF1780" s="71"/>
      <c r="AG1780" s="71"/>
      <c r="AH1780" s="71"/>
      <c r="AI1780" s="68"/>
      <c r="AJ1780" s="214">
        <v>1.2760000000000001E-4</v>
      </c>
      <c r="AK1780" s="214">
        <v>1.7219</v>
      </c>
      <c r="AL1780" s="214">
        <v>2</v>
      </c>
      <c r="AM1780" s="214">
        <v>3.76611E-4</v>
      </c>
      <c r="AN1780" s="68"/>
      <c r="AO1780" s="67"/>
      <c r="AP1780" s="67"/>
      <c r="AQ1780" s="67"/>
      <c r="AR1780" s="67"/>
      <c r="AS1780" s="67"/>
      <c r="AT1780" s="68"/>
      <c r="AU1780" s="49"/>
      <c r="AV1780" s="50"/>
    </row>
    <row r="1781" spans="1:48" ht="12.75" customHeight="1" x14ac:dyDescent="0.25">
      <c r="A1781" s="72" t="s">
        <v>20</v>
      </c>
      <c r="B1781" s="43" t="s">
        <v>1833</v>
      </c>
      <c r="C1781" s="44" t="s">
        <v>1938</v>
      </c>
      <c r="D1781" s="45">
        <f>MROUND(MID($C1781,6,3)/Basis!$E$3,0.5)</f>
        <v>14</v>
      </c>
      <c r="E1781" s="45">
        <f>MROUND(MID($C1781,9,3)/Basis!$E$3,0.5)</f>
        <v>43.5</v>
      </c>
      <c r="F1781" s="124" t="s">
        <v>2948</v>
      </c>
      <c r="G1781" s="45">
        <f>ROUND((ROUNDDOWN($F1781/5,0)*5+1.8)/Basis!$E$3,1)</f>
        <v>8.6</v>
      </c>
      <c r="H1781" s="120">
        <f>ROUND($P1781*Basis!$E$2*((TaH-TrH)/LN(1/µ)/Basis!$E$7)^$N1781*$AA$4*Glycol,0)</f>
        <v>4880</v>
      </c>
      <c r="I1781" s="83">
        <f>ROUND(H1781/(MID($C1781,9,3)/Basis!$E$3/Basis!$E$9)*Basis!$E$11,0)</f>
        <v>1352</v>
      </c>
      <c r="J1781" s="123">
        <f>IF(Basis!$E$1=1,ROUND(H1781/((TaH-TrH)*1.163)/3600,3),ROUND(H1781/(500*(TaH-TrH)),2))</f>
        <v>0.49</v>
      </c>
      <c r="K1781" s="84"/>
      <c r="L1781" s="177">
        <f>CHOOSE(Basis!$E$1,((AJ1781*(J1781*3600/Basis!$E$5)^AK1781*(((MID(C1781,9,3)*10)-144)/1000)*AL1781+AM1781*(J1781*3600/Basis!$E$5)^2)*0.0098)/Basis!$E$10,((AJ1781*(J1781/Basis!$E$5)^AK1781*(((MID(C1781,9,3)*10)-144)/1000)*AL1781+AM1781*(J1781/Basis!$E$5)^2)*0.0098)/Basis!$E$10)</f>
        <v>2.615338722889474E-2</v>
      </c>
      <c r="M1781" s="85"/>
      <c r="N1781" s="109">
        <v>1.472</v>
      </c>
      <c r="O1781" s="68"/>
      <c r="P1781" s="67">
        <v>2325</v>
      </c>
      <c r="Q1781" s="68"/>
      <c r="R1781" s="69"/>
      <c r="S1781" s="69"/>
      <c r="T1781" s="69"/>
      <c r="U1781" s="69"/>
      <c r="V1781" s="69"/>
      <c r="W1781" s="68"/>
      <c r="X1781" s="70"/>
      <c r="Y1781" s="70"/>
      <c r="Z1781" s="70"/>
      <c r="AA1781" s="70"/>
      <c r="AB1781" s="70"/>
      <c r="AC1781" s="68"/>
      <c r="AD1781" s="71"/>
      <c r="AE1781" s="71"/>
      <c r="AF1781" s="71"/>
      <c r="AG1781" s="71"/>
      <c r="AH1781" s="71"/>
      <c r="AI1781" s="68"/>
      <c r="AJ1781" s="214">
        <v>1.2760000000000001E-4</v>
      </c>
      <c r="AK1781" s="214">
        <v>1.7219</v>
      </c>
      <c r="AL1781" s="214">
        <v>4</v>
      </c>
      <c r="AM1781" s="214">
        <v>5.1420100000000005E-4</v>
      </c>
      <c r="AN1781" s="68"/>
      <c r="AO1781" s="67"/>
      <c r="AP1781" s="67"/>
      <c r="AQ1781" s="67"/>
      <c r="AR1781" s="67"/>
      <c r="AS1781" s="67"/>
      <c r="AT1781" s="68"/>
      <c r="AU1781" s="49"/>
      <c r="AV1781" s="50"/>
    </row>
    <row r="1782" spans="1:48" ht="12.75" customHeight="1" x14ac:dyDescent="0.25">
      <c r="A1782" s="72" t="s">
        <v>20</v>
      </c>
      <c r="B1782" s="43" t="s">
        <v>1833</v>
      </c>
      <c r="C1782" s="44" t="s">
        <v>1939</v>
      </c>
      <c r="D1782" s="45">
        <f>MROUND(MID($C1782,6,3)/Basis!$E$3,0.5)</f>
        <v>14</v>
      </c>
      <c r="E1782" s="45">
        <f>MROUND(MID($C1782,9,3)/Basis!$E$3,0.5)</f>
        <v>47</v>
      </c>
      <c r="F1782" s="124" t="s">
        <v>2949</v>
      </c>
      <c r="G1782" s="45">
        <f>ROUND((ROUNDDOWN($F1782/5,0)*5+3.5)/Basis!$E$3,1)</f>
        <v>3.3</v>
      </c>
      <c r="H1782" s="120">
        <f>ROUND($P1782*Basis!$E$2*((TaH-TrH)/LN(1/µ)/Basis!$E$7)^$N1782*$AA$4*Glycol,0)</f>
        <v>2043</v>
      </c>
      <c r="I1782" s="83">
        <f>ROUND(H1782/(MID($C1782,9,3)/Basis!$E$3/Basis!$E$9)*Basis!$E$11,0)</f>
        <v>519</v>
      </c>
      <c r="J1782" s="123">
        <f>IF(Basis!$E$1=1,ROUND(H1782/((TaH-TrH)*1.163)/3600,3),ROUND(H1782/(500*(TaH-TrH)),2))</f>
        <v>0.2</v>
      </c>
      <c r="K1782" s="84"/>
      <c r="L1782" s="177">
        <f>CHOOSE(Basis!$E$1,((AJ1782*(J1782*3600/Basis!$E$5)^AK1782*(((MID(C1782,9,3)*10)-144)/1000)*AL1782+AM1782*(J1782*3600/Basis!$E$5)^2)*0.0098)/Basis!$E$10,((AJ1782*(J1782/Basis!$E$5)^AK1782*(((MID(C1782,9,3)*10)-144)/1000)*AL1782+AM1782*(J1782/Basis!$E$5)^2)*0.0098)/Basis!$E$10)</f>
        <v>1.7407084424050267E-2</v>
      </c>
      <c r="M1782" s="85"/>
      <c r="N1782" s="109">
        <v>1.393</v>
      </c>
      <c r="O1782" s="68"/>
      <c r="P1782" s="67">
        <v>948</v>
      </c>
      <c r="Q1782" s="68"/>
      <c r="R1782" s="69"/>
      <c r="S1782" s="69"/>
      <c r="T1782" s="69"/>
      <c r="U1782" s="69"/>
      <c r="V1782" s="69"/>
      <c r="W1782" s="68"/>
      <c r="X1782" s="70"/>
      <c r="Y1782" s="70"/>
      <c r="Z1782" s="70"/>
      <c r="AA1782" s="70"/>
      <c r="AB1782" s="70"/>
      <c r="AC1782" s="68"/>
      <c r="AD1782" s="71"/>
      <c r="AE1782" s="71"/>
      <c r="AF1782" s="71"/>
      <c r="AG1782" s="71"/>
      <c r="AH1782" s="71"/>
      <c r="AI1782" s="68"/>
      <c r="AJ1782" s="214">
        <v>1.6125983042710999E-4</v>
      </c>
      <c r="AK1782" s="214">
        <v>2.1458504622376</v>
      </c>
      <c r="AL1782" s="214">
        <v>4</v>
      </c>
      <c r="AM1782" s="214">
        <v>1.3916423712342001E-3</v>
      </c>
      <c r="AN1782" s="68"/>
      <c r="AO1782" s="67"/>
      <c r="AP1782" s="67"/>
      <c r="AQ1782" s="67"/>
      <c r="AR1782" s="67"/>
      <c r="AS1782" s="67"/>
      <c r="AT1782" s="68"/>
      <c r="AU1782" s="49"/>
      <c r="AV1782" s="50"/>
    </row>
    <row r="1783" spans="1:48" ht="12.75" customHeight="1" x14ac:dyDescent="0.25">
      <c r="A1783" s="72" t="s">
        <v>20</v>
      </c>
      <c r="B1783" s="43" t="s">
        <v>1833</v>
      </c>
      <c r="C1783" s="44" t="s">
        <v>1940</v>
      </c>
      <c r="D1783" s="45">
        <f>MROUND(MID($C1783,6,3)/Basis!$E$3,0.5)</f>
        <v>14</v>
      </c>
      <c r="E1783" s="45">
        <f>MROUND(MID($C1783,9,3)/Basis!$E$3,0.5)</f>
        <v>47</v>
      </c>
      <c r="F1783" s="124" t="s">
        <v>2943</v>
      </c>
      <c r="G1783" s="45">
        <f>ROUND((ROUNDDOWN($F1783/5,0)*5+1.8)/Basis!$E$3,1)</f>
        <v>4.5999999999999996</v>
      </c>
      <c r="H1783" s="120">
        <f>ROUND($P1783*Basis!$E$2*((TaH-TrH)/LN(1/µ)/Basis!$E$7)^$N1783*$AA$4*Glycol,0)</f>
        <v>2318</v>
      </c>
      <c r="I1783" s="83">
        <f>ROUND(H1783/(MID($C1783,9,3)/Basis!$E$3/Basis!$E$9)*Basis!$E$11,0)</f>
        <v>589</v>
      </c>
      <c r="J1783" s="123">
        <f>IF(Basis!$E$1=1,ROUND(H1783/((TaH-TrH)*1.163)/3600,3),ROUND(H1783/(500*(TaH-TrH)),2))</f>
        <v>0.23</v>
      </c>
      <c r="K1783" s="84"/>
      <c r="L1783" s="177">
        <f>CHOOSE(Basis!$E$1,((AJ1783*(J1783*3600/Basis!$E$5)^AK1783*(((MID(C1783,9,3)*10)-144)/1000)*AL1783+AM1783*(J1783*3600/Basis!$E$5)^2)*0.0098)/Basis!$E$10,((AJ1783*(J1783/Basis!$E$5)^AK1783*(((MID(C1783,9,3)*10)-144)/1000)*AL1783+AM1783*(J1783/Basis!$E$5)^2)*0.0098)/Basis!$E$10)</f>
        <v>5.8953895259909019E-3</v>
      </c>
      <c r="M1783" s="85"/>
      <c r="N1783" s="110">
        <v>1.399</v>
      </c>
      <c r="O1783" s="74"/>
      <c r="P1783" s="73">
        <v>1078</v>
      </c>
      <c r="Q1783" s="74"/>
      <c r="R1783" s="75"/>
      <c r="S1783" s="75"/>
      <c r="T1783" s="75"/>
      <c r="U1783" s="75"/>
      <c r="V1783" s="75"/>
      <c r="W1783" s="74"/>
      <c r="X1783" s="76"/>
      <c r="Y1783" s="76"/>
      <c r="Z1783" s="76"/>
      <c r="AA1783" s="76"/>
      <c r="AB1783" s="76"/>
      <c r="AC1783" s="74"/>
      <c r="AD1783" s="77"/>
      <c r="AE1783" s="77"/>
      <c r="AF1783" s="77"/>
      <c r="AG1783" s="77"/>
      <c r="AH1783" s="77"/>
      <c r="AI1783" s="68"/>
      <c r="AJ1783" s="213">
        <v>3.9689999999999994E-4</v>
      </c>
      <c r="AK1783" s="213">
        <v>1.7345999999999999</v>
      </c>
      <c r="AL1783" s="213">
        <v>2</v>
      </c>
      <c r="AM1783" s="213">
        <v>3.6734700000000002E-4</v>
      </c>
      <c r="AN1783" s="74"/>
      <c r="AO1783" s="73"/>
      <c r="AP1783" s="73"/>
      <c r="AQ1783" s="73"/>
      <c r="AR1783" s="73"/>
      <c r="AS1783" s="73"/>
      <c r="AT1783" s="74"/>
      <c r="AU1783" s="47"/>
      <c r="AV1783" s="48"/>
    </row>
    <row r="1784" spans="1:48" ht="12.75" customHeight="1" x14ac:dyDescent="0.25">
      <c r="A1784" s="72" t="s">
        <v>20</v>
      </c>
      <c r="B1784" s="43" t="s">
        <v>1833</v>
      </c>
      <c r="C1784" s="44" t="s">
        <v>1941</v>
      </c>
      <c r="D1784" s="45">
        <f>MROUND(MID($C1784,6,3)/Basis!$E$3,0.5)</f>
        <v>14</v>
      </c>
      <c r="E1784" s="45">
        <f>MROUND(MID($C1784,9,3)/Basis!$E$3,0.5)</f>
        <v>47</v>
      </c>
      <c r="F1784" s="124" t="s">
        <v>2946</v>
      </c>
      <c r="G1784" s="45">
        <f>ROUND((ROUNDDOWN($F1784/5,0)*5+1.8)/Basis!$E$3,1)</f>
        <v>4.5999999999999996</v>
      </c>
      <c r="H1784" s="120">
        <f>ROUND($P1784*Basis!$E$2*((TaH-TrH)/LN(1/µ)/Basis!$E$7)^$N1784*$AA$4*Glycol,0)</f>
        <v>3044</v>
      </c>
      <c r="I1784" s="83">
        <f>ROUND(H1784/(MID($C1784,9,3)/Basis!$E$3/Basis!$E$9)*Basis!$E$11,0)</f>
        <v>773</v>
      </c>
      <c r="J1784" s="123">
        <f>IF(Basis!$E$1=1,ROUND(H1784/((TaH-TrH)*1.163)/3600,3),ROUND(H1784/(500*(TaH-TrH)),2))</f>
        <v>0.3</v>
      </c>
      <c r="K1784" s="84"/>
      <c r="L1784" s="177">
        <f>CHOOSE(Basis!$E$1,((AJ1784*(J1784*3600/Basis!$E$5)^AK1784*(((MID(C1784,9,3)*10)-144)/1000)*AL1784+AM1784*(J1784*3600/Basis!$E$5)^2)*0.0098)/Basis!$E$10,((AJ1784*(J1784/Basis!$E$5)^AK1784*(((MID(C1784,9,3)*10)-144)/1000)*AL1784+AM1784*(J1784/Basis!$E$5)^2)*0.0098)/Basis!$E$10)</f>
        <v>1.7018445546815121E-2</v>
      </c>
      <c r="M1784" s="85"/>
      <c r="N1784" s="110">
        <v>1.44</v>
      </c>
      <c r="O1784" s="74"/>
      <c r="P1784" s="73">
        <v>1435</v>
      </c>
      <c r="Q1784" s="74"/>
      <c r="R1784" s="75"/>
      <c r="S1784" s="75"/>
      <c r="T1784" s="75"/>
      <c r="U1784" s="75"/>
      <c r="V1784" s="75"/>
      <c r="W1784" s="74"/>
      <c r="X1784" s="76"/>
      <c r="Y1784" s="76"/>
      <c r="Z1784" s="76"/>
      <c r="AA1784" s="76"/>
      <c r="AB1784" s="76"/>
      <c r="AC1784" s="74"/>
      <c r="AD1784" s="77"/>
      <c r="AE1784" s="77"/>
      <c r="AF1784" s="77"/>
      <c r="AG1784" s="77"/>
      <c r="AH1784" s="77"/>
      <c r="AI1784" s="68"/>
      <c r="AJ1784" s="213">
        <v>3.9689999999999994E-4</v>
      </c>
      <c r="AK1784" s="213">
        <v>1.7345999999999999</v>
      </c>
      <c r="AL1784" s="213">
        <v>4</v>
      </c>
      <c r="AM1784" s="213">
        <v>5.7428799999999995E-4</v>
      </c>
      <c r="AN1784" s="74"/>
      <c r="AO1784" s="73"/>
      <c r="AP1784" s="73"/>
      <c r="AQ1784" s="73"/>
      <c r="AR1784" s="73"/>
      <c r="AS1784" s="73"/>
      <c r="AT1784" s="74"/>
      <c r="AU1784" s="47"/>
      <c r="AV1784" s="48"/>
    </row>
    <row r="1785" spans="1:48" ht="12.75" customHeight="1" x14ac:dyDescent="0.25">
      <c r="A1785" s="72" t="s">
        <v>20</v>
      </c>
      <c r="B1785" s="43" t="s">
        <v>1833</v>
      </c>
      <c r="C1785" s="44" t="s">
        <v>1942</v>
      </c>
      <c r="D1785" s="45">
        <f>MROUND(MID($C1785,6,3)/Basis!$E$3,0.5)</f>
        <v>14</v>
      </c>
      <c r="E1785" s="45">
        <f>MROUND(MID($C1785,9,3)/Basis!$E$3,0.5)</f>
        <v>47</v>
      </c>
      <c r="F1785" s="124" t="s">
        <v>2944</v>
      </c>
      <c r="G1785" s="45">
        <f>ROUND((ROUNDDOWN($F1785/5,0)*5+1.8)/Basis!$E$3,1)</f>
        <v>6.6</v>
      </c>
      <c r="H1785" s="120">
        <f>ROUND($P1785*Basis!$E$2*((TaH-TrH)/LN(1/µ)/Basis!$E$7)^$N1785*$AA$4*Glycol,0)</f>
        <v>3804</v>
      </c>
      <c r="I1785" s="83">
        <f>ROUND(H1785/(MID($C1785,9,3)/Basis!$E$3/Basis!$E$9)*Basis!$E$11,0)</f>
        <v>966</v>
      </c>
      <c r="J1785" s="123">
        <f>IF(Basis!$E$1=1,ROUND(H1785/((TaH-TrH)*1.163)/3600,3),ROUND(H1785/(500*(TaH-TrH)),2))</f>
        <v>0.38</v>
      </c>
      <c r="K1785" s="84"/>
      <c r="L1785" s="177">
        <f>CHOOSE(Basis!$E$1,((AJ1785*(J1785*3600/Basis!$E$5)^AK1785*(((MID(C1785,9,3)*10)-144)/1000)*AL1785+AM1785*(J1785*3600/Basis!$E$5)^2)*0.0098)/Basis!$E$10,((AJ1785*(J1785/Basis!$E$5)^AK1785*(((MID(C1785,9,3)*10)-144)/1000)*AL1785+AM1785*(J1785/Basis!$E$5)^2)*0.0098)/Basis!$E$10)</f>
        <v>1.437899500846411E-2</v>
      </c>
      <c r="M1785" s="85"/>
      <c r="N1785" s="110">
        <v>1.39</v>
      </c>
      <c r="O1785" s="74"/>
      <c r="P1785" s="73">
        <v>1764</v>
      </c>
      <c r="Q1785" s="74"/>
      <c r="R1785" s="75"/>
      <c r="S1785" s="75"/>
      <c r="T1785" s="75"/>
      <c r="U1785" s="75"/>
      <c r="V1785" s="75"/>
      <c r="W1785" s="74"/>
      <c r="X1785" s="76"/>
      <c r="Y1785" s="76"/>
      <c r="Z1785" s="76"/>
      <c r="AA1785" s="76"/>
      <c r="AB1785" s="76"/>
      <c r="AC1785" s="74"/>
      <c r="AD1785" s="77"/>
      <c r="AE1785" s="77"/>
      <c r="AF1785" s="77"/>
      <c r="AG1785" s="77"/>
      <c r="AH1785" s="77"/>
      <c r="AI1785" s="68"/>
      <c r="AJ1785" s="213">
        <v>2.0829999999999999E-4</v>
      </c>
      <c r="AK1785" s="213">
        <v>1.724</v>
      </c>
      <c r="AL1785" s="213">
        <v>2</v>
      </c>
      <c r="AM1785" s="213">
        <v>4.6182900000000003E-4</v>
      </c>
      <c r="AN1785" s="74"/>
      <c r="AO1785" s="73"/>
      <c r="AP1785" s="73"/>
      <c r="AQ1785" s="73"/>
      <c r="AR1785" s="73"/>
      <c r="AS1785" s="73"/>
      <c r="AT1785" s="74"/>
      <c r="AU1785" s="47"/>
      <c r="AV1785" s="48"/>
    </row>
    <row r="1786" spans="1:48" ht="12.75" customHeight="1" x14ac:dyDescent="0.25">
      <c r="A1786" s="72" t="s">
        <v>20</v>
      </c>
      <c r="B1786" s="43" t="s">
        <v>1833</v>
      </c>
      <c r="C1786" s="44" t="s">
        <v>1943</v>
      </c>
      <c r="D1786" s="45">
        <f>MROUND(MID($C1786,6,3)/Basis!$E$3,0.5)</f>
        <v>14</v>
      </c>
      <c r="E1786" s="45">
        <f>MROUND(MID($C1786,9,3)/Basis!$E$3,0.5)</f>
        <v>47</v>
      </c>
      <c r="F1786" s="124" t="s">
        <v>2947</v>
      </c>
      <c r="G1786" s="45">
        <f>ROUND((ROUNDDOWN($F1786/5,0)*5+1.8)/Basis!$E$3,1)</f>
        <v>6.6</v>
      </c>
      <c r="H1786" s="120">
        <f>ROUND($P1786*Basis!$E$2*((TaH-TrH)/LN(1/µ)/Basis!$E$7)^$N1786*$AA$4*Glycol,0)</f>
        <v>4032</v>
      </c>
      <c r="I1786" s="83">
        <f>ROUND(H1786/(MID($C1786,9,3)/Basis!$E$3/Basis!$E$9)*Basis!$E$11,0)</f>
        <v>1024</v>
      </c>
      <c r="J1786" s="123">
        <f>IF(Basis!$E$1=1,ROUND(H1786/((TaH-TrH)*1.163)/3600,3),ROUND(H1786/(500*(TaH-TrH)),2))</f>
        <v>0.4</v>
      </c>
      <c r="K1786" s="84"/>
      <c r="L1786" s="177">
        <f>CHOOSE(Basis!$E$1,((AJ1786*(J1786*3600/Basis!$E$5)^AK1786*(((MID(C1786,9,3)*10)-144)/1000)*AL1786+AM1786*(J1786*3600/Basis!$E$5)^2)*0.0098)/Basis!$E$10,((AJ1786*(J1786/Basis!$E$5)^AK1786*(((MID(C1786,9,3)*10)-144)/1000)*AL1786+AM1786*(J1786/Basis!$E$5)^2)*0.0098)/Basis!$E$10)</f>
        <v>4.4428006250927778E-2</v>
      </c>
      <c r="M1786" s="85"/>
      <c r="N1786" s="110">
        <v>1.458</v>
      </c>
      <c r="O1786" s="74"/>
      <c r="P1786" s="73">
        <v>1912</v>
      </c>
      <c r="Q1786" s="74"/>
      <c r="R1786" s="75"/>
      <c r="S1786" s="75"/>
      <c r="T1786" s="75"/>
      <c r="U1786" s="75"/>
      <c r="V1786" s="75"/>
      <c r="W1786" s="74"/>
      <c r="X1786" s="76"/>
      <c r="Y1786" s="76"/>
      <c r="Z1786" s="76"/>
      <c r="AA1786" s="76"/>
      <c r="AB1786" s="76"/>
      <c r="AC1786" s="74"/>
      <c r="AD1786" s="77"/>
      <c r="AE1786" s="77"/>
      <c r="AF1786" s="77"/>
      <c r="AG1786" s="77"/>
      <c r="AH1786" s="77"/>
      <c r="AI1786" s="68"/>
      <c r="AJ1786" s="213">
        <v>2.0829999999999999E-4</v>
      </c>
      <c r="AK1786" s="213">
        <v>1.724</v>
      </c>
      <c r="AL1786" s="213">
        <v>4</v>
      </c>
      <c r="AM1786" s="213">
        <v>1.392796E-3</v>
      </c>
      <c r="AN1786" s="74"/>
      <c r="AO1786" s="73"/>
      <c r="AP1786" s="73"/>
      <c r="AQ1786" s="73"/>
      <c r="AR1786" s="73"/>
      <c r="AS1786" s="73"/>
      <c r="AT1786" s="74"/>
      <c r="AU1786" s="47"/>
      <c r="AV1786" s="48"/>
    </row>
    <row r="1787" spans="1:48" ht="12.75" customHeight="1" x14ac:dyDescent="0.25">
      <c r="A1787" s="72" t="s">
        <v>20</v>
      </c>
      <c r="B1787" s="43" t="s">
        <v>1833</v>
      </c>
      <c r="C1787" s="44" t="s">
        <v>1944</v>
      </c>
      <c r="D1787" s="45">
        <f>MROUND(MID($C1787,6,3)/Basis!$E$3,0.5)</f>
        <v>14</v>
      </c>
      <c r="E1787" s="45">
        <f>MROUND(MID($C1787,9,3)/Basis!$E$3,0.5)</f>
        <v>47</v>
      </c>
      <c r="F1787" s="124" t="s">
        <v>2945</v>
      </c>
      <c r="G1787" s="45">
        <f>ROUND((ROUNDDOWN($F1787/5,0)*5+1.8)/Basis!$E$3,1)</f>
        <v>8.6</v>
      </c>
      <c r="H1787" s="120">
        <f>ROUND($P1787*Basis!$E$2*((TaH-TrH)/LN(1/µ)/Basis!$E$7)^$N1787*$AA$4*Glycol,0)</f>
        <v>5331</v>
      </c>
      <c r="I1787" s="83">
        <f>ROUND(H1787/(MID($C1787,9,3)/Basis!$E$3/Basis!$E$9)*Basis!$E$11,0)</f>
        <v>1354</v>
      </c>
      <c r="J1787" s="123">
        <f>IF(Basis!$E$1=1,ROUND(H1787/((TaH-TrH)*1.163)/3600,3),ROUND(H1787/(500*(TaH-TrH)),2))</f>
        <v>0.53</v>
      </c>
      <c r="K1787" s="84"/>
      <c r="L1787" s="177">
        <f>CHOOSE(Basis!$E$1,((AJ1787*(J1787*3600/Basis!$E$5)^AK1787*(((MID(C1787,9,3)*10)-144)/1000)*AL1787+AM1787*(J1787*3600/Basis!$E$5)^2)*0.0098)/Basis!$E$10,((AJ1787*(J1787/Basis!$E$5)^AK1787*(((MID(C1787,9,3)*10)-144)/1000)*AL1787+AM1787*(J1787/Basis!$E$5)^2)*0.0098)/Basis!$E$10)</f>
        <v>2.1212908919423654E-2</v>
      </c>
      <c r="M1787" s="85"/>
      <c r="N1787" s="110">
        <v>1.39</v>
      </c>
      <c r="O1787" s="74"/>
      <c r="P1787" s="73">
        <v>2472</v>
      </c>
      <c r="Q1787" s="74"/>
      <c r="R1787" s="75"/>
      <c r="S1787" s="75"/>
      <c r="T1787" s="75"/>
      <c r="U1787" s="75"/>
      <c r="V1787" s="75"/>
      <c r="W1787" s="74"/>
      <c r="X1787" s="76"/>
      <c r="Y1787" s="76"/>
      <c r="Z1787" s="76"/>
      <c r="AA1787" s="76"/>
      <c r="AB1787" s="76"/>
      <c r="AC1787" s="74"/>
      <c r="AD1787" s="77"/>
      <c r="AE1787" s="77"/>
      <c r="AF1787" s="77"/>
      <c r="AG1787" s="77"/>
      <c r="AH1787" s="77"/>
      <c r="AI1787" s="68"/>
      <c r="AJ1787" s="214">
        <v>1.2760000000000001E-4</v>
      </c>
      <c r="AK1787" s="214">
        <v>1.7219</v>
      </c>
      <c r="AL1787" s="214">
        <v>2</v>
      </c>
      <c r="AM1787" s="214">
        <v>3.76611E-4</v>
      </c>
      <c r="AN1787" s="74"/>
      <c r="AO1787" s="73"/>
      <c r="AP1787" s="73"/>
      <c r="AQ1787" s="73"/>
      <c r="AR1787" s="73"/>
      <c r="AS1787" s="73"/>
      <c r="AT1787" s="74"/>
      <c r="AU1787" s="47"/>
      <c r="AV1787" s="48"/>
    </row>
    <row r="1788" spans="1:48" ht="12.75" customHeight="1" x14ac:dyDescent="0.25">
      <c r="A1788" s="72" t="s">
        <v>20</v>
      </c>
      <c r="B1788" s="43" t="s">
        <v>1833</v>
      </c>
      <c r="C1788" s="44" t="s">
        <v>1945</v>
      </c>
      <c r="D1788" s="45">
        <f>MROUND(MID($C1788,6,3)/Basis!$E$3,0.5)</f>
        <v>14</v>
      </c>
      <c r="E1788" s="45">
        <f>MROUND(MID($C1788,9,3)/Basis!$E$3,0.5)</f>
        <v>47</v>
      </c>
      <c r="F1788" s="124" t="s">
        <v>2948</v>
      </c>
      <c r="G1788" s="45">
        <f>ROUND((ROUNDDOWN($F1788/5,0)*5+1.8)/Basis!$E$3,1)</f>
        <v>8.6</v>
      </c>
      <c r="H1788" s="120">
        <f>ROUND($P1788*Basis!$E$2*((TaH-TrH)/LN(1/µ)/Basis!$E$7)^$N1788*$AA$4*Glycol,0)</f>
        <v>5325</v>
      </c>
      <c r="I1788" s="83">
        <f>ROUND(H1788/(MID($C1788,9,3)/Basis!$E$3/Basis!$E$9)*Basis!$E$11,0)</f>
        <v>1353</v>
      </c>
      <c r="J1788" s="123">
        <f>IF(Basis!$E$1=1,ROUND(H1788/((TaH-TrH)*1.163)/3600,3),ROUND(H1788/(500*(TaH-TrH)),2))</f>
        <v>0.53</v>
      </c>
      <c r="K1788" s="84"/>
      <c r="L1788" s="177">
        <f>CHOOSE(Basis!$E$1,((AJ1788*(J1788*3600/Basis!$E$5)^AK1788*(((MID(C1788,9,3)*10)-144)/1000)*AL1788+AM1788*(J1788*3600/Basis!$E$5)^2)*0.0098)/Basis!$E$10,((AJ1788*(J1788/Basis!$E$5)^AK1788*(((MID(C1788,9,3)*10)-144)/1000)*AL1788+AM1788*(J1788/Basis!$E$5)^2)*0.0098)/Basis!$E$10)</f>
        <v>3.1101142616431498E-2</v>
      </c>
      <c r="M1788" s="85"/>
      <c r="N1788" s="110">
        <v>1.472</v>
      </c>
      <c r="O1788" s="74"/>
      <c r="P1788" s="73">
        <v>2537</v>
      </c>
      <c r="Q1788" s="74"/>
      <c r="R1788" s="75"/>
      <c r="S1788" s="75"/>
      <c r="T1788" s="75"/>
      <c r="U1788" s="75"/>
      <c r="V1788" s="75"/>
      <c r="W1788" s="74"/>
      <c r="X1788" s="76"/>
      <c r="Y1788" s="76"/>
      <c r="Z1788" s="76"/>
      <c r="AA1788" s="76"/>
      <c r="AB1788" s="76"/>
      <c r="AC1788" s="74"/>
      <c r="AD1788" s="77"/>
      <c r="AE1788" s="77"/>
      <c r="AF1788" s="77"/>
      <c r="AG1788" s="77"/>
      <c r="AH1788" s="77"/>
      <c r="AI1788" s="68"/>
      <c r="AJ1788" s="213">
        <v>1.2760000000000001E-4</v>
      </c>
      <c r="AK1788" s="213">
        <v>1.7219</v>
      </c>
      <c r="AL1788" s="213">
        <v>4</v>
      </c>
      <c r="AM1788" s="213">
        <v>5.1420100000000005E-4</v>
      </c>
      <c r="AN1788" s="74"/>
      <c r="AO1788" s="73"/>
      <c r="AP1788" s="73"/>
      <c r="AQ1788" s="73"/>
      <c r="AR1788" s="73"/>
      <c r="AS1788" s="73"/>
      <c r="AT1788" s="74"/>
      <c r="AU1788" s="47"/>
      <c r="AV1788" s="48"/>
    </row>
    <row r="1789" spans="1:48" ht="12.75" customHeight="1" x14ac:dyDescent="0.25">
      <c r="A1789" s="72" t="s">
        <v>20</v>
      </c>
      <c r="B1789" s="43" t="s">
        <v>1833</v>
      </c>
      <c r="C1789" s="44" t="s">
        <v>1946</v>
      </c>
      <c r="D1789" s="45">
        <f>MROUND(MID($C1789,6,3)/Basis!$E$3,0.5)</f>
        <v>14</v>
      </c>
      <c r="E1789" s="45">
        <f>MROUND(MID($C1789,9,3)/Basis!$E$3,0.5)</f>
        <v>55</v>
      </c>
      <c r="F1789" s="124" t="s">
        <v>2949</v>
      </c>
      <c r="G1789" s="45">
        <f>ROUND((ROUNDDOWN($F1789/5,0)*5+3.5)/Basis!$E$3,1)</f>
        <v>3.3</v>
      </c>
      <c r="H1789" s="120">
        <f>ROUND($P1789*Basis!$E$2*((TaH-TrH)/LN(1/µ)/Basis!$E$7)^$N1789*$AA$4*Glycol,0)</f>
        <v>2383</v>
      </c>
      <c r="I1789" s="83">
        <f>ROUND(H1789/(MID($C1789,9,3)/Basis!$E$3/Basis!$E$9)*Basis!$E$11,0)</f>
        <v>519</v>
      </c>
      <c r="J1789" s="123">
        <f>IF(Basis!$E$1=1,ROUND(H1789/((TaH-TrH)*1.163)/3600,3),ROUND(H1789/(500*(TaH-TrH)),2))</f>
        <v>0.24</v>
      </c>
      <c r="K1789" s="84"/>
      <c r="L1789" s="177">
        <f>CHOOSE(Basis!$E$1,((AJ1789*(J1789*3600/Basis!$E$5)^AK1789*(((MID(C1789,9,3)*10)-144)/1000)*AL1789+AM1789*(J1789*3600/Basis!$E$5)^2)*0.0098)/Basis!$E$10,((AJ1789*(J1789/Basis!$E$5)^AK1789*(((MID(C1789,9,3)*10)-144)/1000)*AL1789+AM1789*(J1789/Basis!$E$5)^2)*0.0098)/Basis!$E$10)</f>
        <v>2.7622985486791714E-2</v>
      </c>
      <c r="M1789" s="85"/>
      <c r="N1789" s="110">
        <v>1.393</v>
      </c>
      <c r="O1789" s="74"/>
      <c r="P1789" s="73">
        <v>1106</v>
      </c>
      <c r="Q1789" s="74"/>
      <c r="R1789" s="75"/>
      <c r="S1789" s="75"/>
      <c r="T1789" s="75"/>
      <c r="U1789" s="75"/>
      <c r="V1789" s="75"/>
      <c r="W1789" s="74"/>
      <c r="X1789" s="76"/>
      <c r="Y1789" s="76"/>
      <c r="Z1789" s="76"/>
      <c r="AA1789" s="76"/>
      <c r="AB1789" s="76"/>
      <c r="AC1789" s="74"/>
      <c r="AD1789" s="77"/>
      <c r="AE1789" s="77"/>
      <c r="AF1789" s="77"/>
      <c r="AG1789" s="77"/>
      <c r="AH1789" s="77"/>
      <c r="AI1789" s="68"/>
      <c r="AJ1789" s="213">
        <v>1.6125983042710999E-4</v>
      </c>
      <c r="AK1789" s="213">
        <v>2.1458504622376</v>
      </c>
      <c r="AL1789" s="213">
        <v>4</v>
      </c>
      <c r="AM1789" s="213">
        <v>1.3916423712342001E-3</v>
      </c>
      <c r="AN1789" s="74"/>
      <c r="AO1789" s="73"/>
      <c r="AP1789" s="73"/>
      <c r="AQ1789" s="73"/>
      <c r="AR1789" s="73"/>
      <c r="AS1789" s="73"/>
      <c r="AT1789" s="74"/>
      <c r="AU1789" s="47"/>
      <c r="AV1789" s="48"/>
    </row>
    <row r="1790" spans="1:48" ht="12.75" customHeight="1" x14ac:dyDescent="0.25">
      <c r="A1790" s="72" t="s">
        <v>20</v>
      </c>
      <c r="B1790" s="43" t="s">
        <v>1833</v>
      </c>
      <c r="C1790" s="44" t="s">
        <v>1947</v>
      </c>
      <c r="D1790" s="45">
        <f>MROUND(MID($C1790,6,3)/Basis!$E$3,0.5)</f>
        <v>14</v>
      </c>
      <c r="E1790" s="45">
        <f>MROUND(MID($C1790,9,3)/Basis!$E$3,0.5)</f>
        <v>55</v>
      </c>
      <c r="F1790" s="124" t="s">
        <v>2943</v>
      </c>
      <c r="G1790" s="45">
        <f>ROUND((ROUNDDOWN($F1790/5,0)*5+1.8)/Basis!$E$3,1)</f>
        <v>4.5999999999999996</v>
      </c>
      <c r="H1790" s="120">
        <f>ROUND($P1790*Basis!$E$2*((TaH-TrH)/LN(1/µ)/Basis!$E$7)^$N1790*$AA$4*Glycol,0)</f>
        <v>2703</v>
      </c>
      <c r="I1790" s="83">
        <f>ROUND(H1790/(MID($C1790,9,3)/Basis!$E$3/Basis!$E$9)*Basis!$E$11,0)</f>
        <v>588</v>
      </c>
      <c r="J1790" s="123">
        <f>IF(Basis!$E$1=1,ROUND(H1790/((TaH-TrH)*1.163)/3600,3),ROUND(H1790/(500*(TaH-TrH)),2))</f>
        <v>0.27</v>
      </c>
      <c r="K1790" s="84"/>
      <c r="L1790" s="177">
        <f>CHOOSE(Basis!$E$1,((AJ1790*(J1790*3600/Basis!$E$5)^AK1790*(((MID(C1790,9,3)*10)-144)/1000)*AL1790+AM1790*(J1790*3600/Basis!$E$5)^2)*0.0098)/Basis!$E$10,((AJ1790*(J1790/Basis!$E$5)^AK1790*(((MID(C1790,9,3)*10)-144)/1000)*AL1790+AM1790*(J1790/Basis!$E$5)^2)*0.0098)/Basis!$E$10)</f>
        <v>8.6287270013287037E-3</v>
      </c>
      <c r="M1790" s="85"/>
      <c r="N1790" s="109">
        <v>1.399</v>
      </c>
      <c r="O1790" s="68"/>
      <c r="P1790" s="67">
        <v>1257</v>
      </c>
      <c r="Q1790" s="68"/>
      <c r="R1790" s="69"/>
      <c r="S1790" s="69"/>
      <c r="T1790" s="69"/>
      <c r="U1790" s="69"/>
      <c r="V1790" s="69"/>
      <c r="W1790" s="68"/>
      <c r="X1790" s="70"/>
      <c r="Y1790" s="70"/>
      <c r="Z1790" s="70"/>
      <c r="AA1790" s="70"/>
      <c r="AB1790" s="70"/>
      <c r="AC1790" s="68"/>
      <c r="AD1790" s="71"/>
      <c r="AE1790" s="71"/>
      <c r="AF1790" s="71"/>
      <c r="AG1790" s="71"/>
      <c r="AH1790" s="71"/>
      <c r="AI1790" s="68"/>
      <c r="AJ1790" s="214">
        <v>3.9689999999999994E-4</v>
      </c>
      <c r="AK1790" s="214">
        <v>1.7345999999999999</v>
      </c>
      <c r="AL1790" s="214">
        <v>2</v>
      </c>
      <c r="AM1790" s="214">
        <v>3.6734700000000002E-4</v>
      </c>
      <c r="AN1790" s="68"/>
      <c r="AO1790" s="67"/>
      <c r="AP1790" s="67"/>
      <c r="AQ1790" s="67"/>
      <c r="AR1790" s="67"/>
      <c r="AS1790" s="67"/>
      <c r="AT1790" s="68"/>
      <c r="AU1790" s="49"/>
      <c r="AV1790" s="50"/>
    </row>
    <row r="1791" spans="1:48" ht="12.75" customHeight="1" x14ac:dyDescent="0.25">
      <c r="A1791" s="72" t="s">
        <v>20</v>
      </c>
      <c r="B1791" s="43" t="s">
        <v>1833</v>
      </c>
      <c r="C1791" s="44" t="s">
        <v>1948</v>
      </c>
      <c r="D1791" s="45">
        <f>MROUND(MID($C1791,6,3)/Basis!$E$3,0.5)</f>
        <v>14</v>
      </c>
      <c r="E1791" s="45">
        <f>MROUND(MID($C1791,9,3)/Basis!$E$3,0.5)</f>
        <v>55</v>
      </c>
      <c r="F1791" s="124" t="s">
        <v>2946</v>
      </c>
      <c r="G1791" s="45">
        <f>ROUND((ROUNDDOWN($F1791/5,0)*5+1.8)/Basis!$E$3,1)</f>
        <v>4.5999999999999996</v>
      </c>
      <c r="H1791" s="120">
        <f>ROUND($P1791*Basis!$E$2*((TaH-TrH)/LN(1/µ)/Basis!$E$7)^$N1791*$AA$4*Glycol,0)</f>
        <v>3551</v>
      </c>
      <c r="I1791" s="83">
        <f>ROUND(H1791/(MID($C1791,9,3)/Basis!$E$3/Basis!$E$9)*Basis!$E$11,0)</f>
        <v>773</v>
      </c>
      <c r="J1791" s="123">
        <f>IF(Basis!$E$1=1,ROUND(H1791/((TaH-TrH)*1.163)/3600,3),ROUND(H1791/(500*(TaH-TrH)),2))</f>
        <v>0.36</v>
      </c>
      <c r="K1791" s="84"/>
      <c r="L1791" s="177">
        <f>CHOOSE(Basis!$E$1,((AJ1791*(J1791*3600/Basis!$E$5)^AK1791*(((MID(C1791,9,3)*10)-144)/1000)*AL1791+AM1791*(J1791*3600/Basis!$E$5)^2)*0.0098)/Basis!$E$10,((AJ1791*(J1791/Basis!$E$5)^AK1791*(((MID(C1791,9,3)*10)-144)/1000)*AL1791+AM1791*(J1791/Basis!$E$5)^2)*0.0098)/Basis!$E$10)</f>
        <v>2.6098817946573441E-2</v>
      </c>
      <c r="M1791" s="85"/>
      <c r="N1791" s="109">
        <v>1.44</v>
      </c>
      <c r="O1791" s="68"/>
      <c r="P1791" s="67">
        <v>1674</v>
      </c>
      <c r="Q1791" s="68"/>
      <c r="R1791" s="69"/>
      <c r="S1791" s="69"/>
      <c r="T1791" s="69"/>
      <c r="U1791" s="69"/>
      <c r="V1791" s="69"/>
      <c r="W1791" s="68"/>
      <c r="X1791" s="70"/>
      <c r="Y1791" s="70"/>
      <c r="Z1791" s="70"/>
      <c r="AA1791" s="70"/>
      <c r="AB1791" s="70"/>
      <c r="AC1791" s="68"/>
      <c r="AD1791" s="71"/>
      <c r="AE1791" s="71"/>
      <c r="AF1791" s="71"/>
      <c r="AG1791" s="71"/>
      <c r="AH1791" s="71"/>
      <c r="AI1791" s="68"/>
      <c r="AJ1791" s="214">
        <v>3.9689999999999994E-4</v>
      </c>
      <c r="AK1791" s="214">
        <v>1.7345999999999999</v>
      </c>
      <c r="AL1791" s="214">
        <v>4</v>
      </c>
      <c r="AM1791" s="214">
        <v>5.7428799999999995E-4</v>
      </c>
      <c r="AN1791" s="68"/>
      <c r="AO1791" s="67"/>
      <c r="AP1791" s="67"/>
      <c r="AQ1791" s="67"/>
      <c r="AR1791" s="67"/>
      <c r="AS1791" s="67"/>
      <c r="AT1791" s="68"/>
      <c r="AU1791" s="49"/>
      <c r="AV1791" s="50"/>
    </row>
    <row r="1792" spans="1:48" ht="12.75" customHeight="1" x14ac:dyDescent="0.25">
      <c r="A1792" s="72" t="s">
        <v>20</v>
      </c>
      <c r="B1792" s="43" t="s">
        <v>1833</v>
      </c>
      <c r="C1792" s="44" t="s">
        <v>1949</v>
      </c>
      <c r="D1792" s="45">
        <f>MROUND(MID($C1792,6,3)/Basis!$E$3,0.5)</f>
        <v>14</v>
      </c>
      <c r="E1792" s="45">
        <f>MROUND(MID($C1792,9,3)/Basis!$E$3,0.5)</f>
        <v>55</v>
      </c>
      <c r="F1792" s="124" t="s">
        <v>2944</v>
      </c>
      <c r="G1792" s="45">
        <f>ROUND((ROUNDDOWN($F1792/5,0)*5+1.8)/Basis!$E$3,1)</f>
        <v>6.6</v>
      </c>
      <c r="H1792" s="120">
        <f>ROUND($P1792*Basis!$E$2*((TaH-TrH)/LN(1/µ)/Basis!$E$7)^$N1792*$AA$4*Glycol,0)</f>
        <v>4438</v>
      </c>
      <c r="I1792" s="83">
        <f>ROUND(H1792/(MID($C1792,9,3)/Basis!$E$3/Basis!$E$9)*Basis!$E$11,0)</f>
        <v>966</v>
      </c>
      <c r="J1792" s="123">
        <f>IF(Basis!$E$1=1,ROUND(H1792/((TaH-TrH)*1.163)/3600,3),ROUND(H1792/(500*(TaH-TrH)),2))</f>
        <v>0.44</v>
      </c>
      <c r="K1792" s="84"/>
      <c r="L1792" s="177">
        <f>CHOOSE(Basis!$E$1,((AJ1792*(J1792*3600/Basis!$E$5)^AK1792*(((MID(C1792,9,3)*10)-144)/1000)*AL1792+AM1792*(J1792*3600/Basis!$E$5)^2)*0.0098)/Basis!$E$10,((AJ1792*(J1792/Basis!$E$5)^AK1792*(((MID(C1792,9,3)*10)-144)/1000)*AL1792+AM1792*(J1792/Basis!$E$5)^2)*0.0098)/Basis!$E$10)</f>
        <v>1.9875200664094782E-2</v>
      </c>
      <c r="M1792" s="85"/>
      <c r="N1792" s="109">
        <v>1.39</v>
      </c>
      <c r="O1792" s="68"/>
      <c r="P1792" s="67">
        <v>2058</v>
      </c>
      <c r="Q1792" s="68"/>
      <c r="R1792" s="69"/>
      <c r="S1792" s="69"/>
      <c r="T1792" s="69"/>
      <c r="U1792" s="69"/>
      <c r="V1792" s="69"/>
      <c r="W1792" s="68"/>
      <c r="X1792" s="70"/>
      <c r="Y1792" s="70"/>
      <c r="Z1792" s="70"/>
      <c r="AA1792" s="70"/>
      <c r="AB1792" s="70"/>
      <c r="AC1792" s="68"/>
      <c r="AD1792" s="71"/>
      <c r="AE1792" s="71"/>
      <c r="AF1792" s="71"/>
      <c r="AG1792" s="71"/>
      <c r="AH1792" s="71"/>
      <c r="AI1792" s="68"/>
      <c r="AJ1792" s="214">
        <v>2.0829999999999999E-4</v>
      </c>
      <c r="AK1792" s="214">
        <v>1.724</v>
      </c>
      <c r="AL1792" s="214">
        <v>2</v>
      </c>
      <c r="AM1792" s="214">
        <v>4.6182900000000003E-4</v>
      </c>
      <c r="AN1792" s="68"/>
      <c r="AO1792" s="67"/>
      <c r="AP1792" s="67"/>
      <c r="AQ1792" s="67"/>
      <c r="AR1792" s="67"/>
      <c r="AS1792" s="67"/>
      <c r="AT1792" s="68"/>
      <c r="AU1792" s="49"/>
      <c r="AV1792" s="50"/>
    </row>
    <row r="1793" spans="1:48" ht="12.75" customHeight="1" x14ac:dyDescent="0.25">
      <c r="A1793" s="72" t="s">
        <v>20</v>
      </c>
      <c r="B1793" s="43" t="s">
        <v>1833</v>
      </c>
      <c r="C1793" s="44" t="s">
        <v>1950</v>
      </c>
      <c r="D1793" s="45">
        <f>MROUND(MID($C1793,6,3)/Basis!$E$3,0.5)</f>
        <v>14</v>
      </c>
      <c r="E1793" s="45">
        <f>MROUND(MID($C1793,9,3)/Basis!$E$3,0.5)</f>
        <v>55</v>
      </c>
      <c r="F1793" s="124" t="s">
        <v>2947</v>
      </c>
      <c r="G1793" s="45">
        <f>ROUND((ROUNDDOWN($F1793/5,0)*5+1.8)/Basis!$E$3,1)</f>
        <v>6.6</v>
      </c>
      <c r="H1793" s="120">
        <f>ROUND($P1793*Basis!$E$2*((TaH-TrH)/LN(1/µ)/Basis!$E$7)^$N1793*$AA$4*Glycol,0)</f>
        <v>4703</v>
      </c>
      <c r="I1793" s="83">
        <f>ROUND(H1793/(MID($C1793,9,3)/Basis!$E$3/Basis!$E$9)*Basis!$E$11,0)</f>
        <v>1024</v>
      </c>
      <c r="J1793" s="123">
        <f>IF(Basis!$E$1=1,ROUND(H1793/((TaH-TrH)*1.163)/3600,3),ROUND(H1793/(500*(TaH-TrH)),2))</f>
        <v>0.47</v>
      </c>
      <c r="K1793" s="84"/>
      <c r="L1793" s="177">
        <f>CHOOSE(Basis!$E$1,((AJ1793*(J1793*3600/Basis!$E$5)^AK1793*(((MID(C1793,9,3)*10)-144)/1000)*AL1793+AM1793*(J1793*3600/Basis!$E$5)^2)*0.0098)/Basis!$E$10,((AJ1793*(J1793/Basis!$E$5)^AK1793*(((MID(C1793,9,3)*10)-144)/1000)*AL1793+AM1793*(J1793/Basis!$E$5)^2)*0.0098)/Basis!$E$10)</f>
        <v>6.263804209114536E-2</v>
      </c>
      <c r="M1793" s="85"/>
      <c r="N1793" s="109">
        <v>1.458</v>
      </c>
      <c r="O1793" s="68"/>
      <c r="P1793" s="67">
        <v>2230</v>
      </c>
      <c r="Q1793" s="68"/>
      <c r="R1793" s="69"/>
      <c r="S1793" s="69"/>
      <c r="T1793" s="69"/>
      <c r="U1793" s="69"/>
      <c r="V1793" s="69"/>
      <c r="W1793" s="68"/>
      <c r="X1793" s="70"/>
      <c r="Y1793" s="70"/>
      <c r="Z1793" s="70"/>
      <c r="AA1793" s="70"/>
      <c r="AB1793" s="70"/>
      <c r="AC1793" s="68"/>
      <c r="AD1793" s="71"/>
      <c r="AE1793" s="71"/>
      <c r="AF1793" s="71"/>
      <c r="AG1793" s="71"/>
      <c r="AH1793" s="71"/>
      <c r="AI1793" s="68"/>
      <c r="AJ1793" s="214">
        <v>2.0829999999999999E-4</v>
      </c>
      <c r="AK1793" s="214">
        <v>1.724</v>
      </c>
      <c r="AL1793" s="214">
        <v>4</v>
      </c>
      <c r="AM1793" s="214">
        <v>1.392796E-3</v>
      </c>
      <c r="AN1793" s="68"/>
      <c r="AO1793" s="67"/>
      <c r="AP1793" s="67"/>
      <c r="AQ1793" s="67"/>
      <c r="AR1793" s="67"/>
      <c r="AS1793" s="67"/>
      <c r="AT1793" s="68"/>
      <c r="AU1793" s="49"/>
      <c r="AV1793" s="50"/>
    </row>
    <row r="1794" spans="1:48" ht="12.75" customHeight="1" x14ac:dyDescent="0.25">
      <c r="A1794" s="72" t="s">
        <v>20</v>
      </c>
      <c r="B1794" s="43" t="s">
        <v>1833</v>
      </c>
      <c r="C1794" s="44" t="s">
        <v>1951</v>
      </c>
      <c r="D1794" s="45">
        <f>MROUND(MID($C1794,6,3)/Basis!$E$3,0.5)</f>
        <v>14</v>
      </c>
      <c r="E1794" s="45">
        <f>MROUND(MID($C1794,9,3)/Basis!$E$3,0.5)</f>
        <v>55</v>
      </c>
      <c r="F1794" s="124" t="s">
        <v>2945</v>
      </c>
      <c r="G1794" s="45">
        <f>ROUND((ROUNDDOWN($F1794/5,0)*5+1.8)/Basis!$E$3,1)</f>
        <v>8.6</v>
      </c>
      <c r="H1794" s="120">
        <f>ROUND($P1794*Basis!$E$2*((TaH-TrH)/LN(1/µ)/Basis!$E$7)^$N1794*$AA$4*Glycol,0)</f>
        <v>6220</v>
      </c>
      <c r="I1794" s="83">
        <f>ROUND(H1794/(MID($C1794,9,3)/Basis!$E$3/Basis!$E$9)*Basis!$E$11,0)</f>
        <v>1354</v>
      </c>
      <c r="J1794" s="123">
        <f>IF(Basis!$E$1=1,ROUND(H1794/((TaH-TrH)*1.163)/3600,3),ROUND(H1794/(500*(TaH-TrH)),2))</f>
        <v>0.62</v>
      </c>
      <c r="K1794" s="84"/>
      <c r="L1794" s="177">
        <f>CHOOSE(Basis!$E$1,((AJ1794*(J1794*3600/Basis!$E$5)^AK1794*(((MID(C1794,9,3)*10)-144)/1000)*AL1794+AM1794*(J1794*3600/Basis!$E$5)^2)*0.0098)/Basis!$E$10,((AJ1794*(J1794/Basis!$E$5)^AK1794*(((MID(C1794,9,3)*10)-144)/1000)*AL1794+AM1794*(J1794/Basis!$E$5)^2)*0.0098)/Basis!$E$10)</f>
        <v>2.966817504744856E-2</v>
      </c>
      <c r="M1794" s="85"/>
      <c r="N1794" s="109">
        <v>1.39</v>
      </c>
      <c r="O1794" s="68"/>
      <c r="P1794" s="67">
        <v>2884</v>
      </c>
      <c r="Q1794" s="68"/>
      <c r="R1794" s="69"/>
      <c r="S1794" s="69"/>
      <c r="T1794" s="69"/>
      <c r="U1794" s="69"/>
      <c r="V1794" s="69"/>
      <c r="W1794" s="68"/>
      <c r="X1794" s="70"/>
      <c r="Y1794" s="70"/>
      <c r="Z1794" s="70"/>
      <c r="AA1794" s="70"/>
      <c r="AB1794" s="70"/>
      <c r="AC1794" s="68"/>
      <c r="AD1794" s="71"/>
      <c r="AE1794" s="71"/>
      <c r="AF1794" s="71"/>
      <c r="AG1794" s="71"/>
      <c r="AH1794" s="71"/>
      <c r="AI1794" s="68"/>
      <c r="AJ1794" s="214">
        <v>1.2760000000000001E-4</v>
      </c>
      <c r="AK1794" s="214">
        <v>1.7219</v>
      </c>
      <c r="AL1794" s="214">
        <v>2</v>
      </c>
      <c r="AM1794" s="214">
        <v>3.76611E-4</v>
      </c>
      <c r="AN1794" s="68"/>
      <c r="AO1794" s="67"/>
      <c r="AP1794" s="67"/>
      <c r="AQ1794" s="67"/>
      <c r="AR1794" s="67"/>
      <c r="AS1794" s="67"/>
      <c r="AT1794" s="68"/>
      <c r="AU1794" s="49"/>
      <c r="AV1794" s="50"/>
    </row>
    <row r="1795" spans="1:48" ht="12.75" customHeight="1" x14ac:dyDescent="0.25">
      <c r="A1795" s="72" t="s">
        <v>20</v>
      </c>
      <c r="B1795" s="43" t="s">
        <v>1833</v>
      </c>
      <c r="C1795" s="44" t="s">
        <v>1952</v>
      </c>
      <c r="D1795" s="45">
        <f>MROUND(MID($C1795,6,3)/Basis!$E$3,0.5)</f>
        <v>14</v>
      </c>
      <c r="E1795" s="45">
        <f>MROUND(MID($C1795,9,3)/Basis!$E$3,0.5)</f>
        <v>55</v>
      </c>
      <c r="F1795" s="124" t="s">
        <v>2948</v>
      </c>
      <c r="G1795" s="45">
        <f>ROUND((ROUNDDOWN($F1795/5,0)*5+1.8)/Basis!$E$3,1)</f>
        <v>8.6</v>
      </c>
      <c r="H1795" s="120">
        <f>ROUND($P1795*Basis!$E$2*((TaH-TrH)/LN(1/µ)/Basis!$E$7)^$N1795*$AA$4*Glycol,0)</f>
        <v>6213</v>
      </c>
      <c r="I1795" s="83">
        <f>ROUND(H1795/(MID($C1795,9,3)/Basis!$E$3/Basis!$E$9)*Basis!$E$11,0)</f>
        <v>1353</v>
      </c>
      <c r="J1795" s="123">
        <f>IF(Basis!$E$1=1,ROUND(H1795/((TaH-TrH)*1.163)/3600,3),ROUND(H1795/(500*(TaH-TrH)),2))</f>
        <v>0.62</v>
      </c>
      <c r="K1795" s="84"/>
      <c r="L1795" s="177">
        <f>CHOOSE(Basis!$E$1,((AJ1795*(J1795*3600/Basis!$E$5)^AK1795*(((MID(C1795,9,3)*10)-144)/1000)*AL1795+AM1795*(J1795*3600/Basis!$E$5)^2)*0.0098)/Basis!$E$10,((AJ1795*(J1795/Basis!$E$5)^AK1795*(((MID(C1795,9,3)*10)-144)/1000)*AL1795+AM1795*(J1795/Basis!$E$5)^2)*0.0098)/Basis!$E$10)</f>
        <v>4.3839001730722527E-2</v>
      </c>
      <c r="M1795" s="85"/>
      <c r="N1795" s="109">
        <v>1.472</v>
      </c>
      <c r="O1795" s="68"/>
      <c r="P1795" s="67">
        <v>2960</v>
      </c>
      <c r="Q1795" s="68"/>
      <c r="R1795" s="69"/>
      <c r="S1795" s="69"/>
      <c r="T1795" s="69"/>
      <c r="U1795" s="69"/>
      <c r="V1795" s="69"/>
      <c r="W1795" s="68"/>
      <c r="X1795" s="70"/>
      <c r="Y1795" s="70"/>
      <c r="Z1795" s="70"/>
      <c r="AA1795" s="70"/>
      <c r="AB1795" s="70"/>
      <c r="AC1795" s="68"/>
      <c r="AD1795" s="71"/>
      <c r="AE1795" s="71"/>
      <c r="AF1795" s="71"/>
      <c r="AG1795" s="71"/>
      <c r="AH1795" s="71"/>
      <c r="AI1795" s="68"/>
      <c r="AJ1795" s="214">
        <v>1.2760000000000001E-4</v>
      </c>
      <c r="AK1795" s="214">
        <v>1.7219</v>
      </c>
      <c r="AL1795" s="214">
        <v>4</v>
      </c>
      <c r="AM1795" s="214">
        <v>5.1420100000000005E-4</v>
      </c>
      <c r="AN1795" s="68"/>
      <c r="AO1795" s="67"/>
      <c r="AP1795" s="67"/>
      <c r="AQ1795" s="67"/>
      <c r="AR1795" s="67"/>
      <c r="AS1795" s="67"/>
      <c r="AT1795" s="68"/>
      <c r="AU1795" s="49"/>
      <c r="AV1795" s="50"/>
    </row>
    <row r="1796" spans="1:48" ht="12.75" customHeight="1" x14ac:dyDescent="0.25">
      <c r="A1796" s="72" t="s">
        <v>20</v>
      </c>
      <c r="B1796" s="43" t="s">
        <v>1833</v>
      </c>
      <c r="C1796" s="44" t="s">
        <v>1953</v>
      </c>
      <c r="D1796" s="45">
        <f>MROUND(MID($C1796,6,3)/Basis!$E$3,0.5)</f>
        <v>14</v>
      </c>
      <c r="E1796" s="45">
        <f>MROUND(MID($C1796,9,3)/Basis!$E$3,0.5)</f>
        <v>63</v>
      </c>
      <c r="F1796" s="124" t="s">
        <v>2949</v>
      </c>
      <c r="G1796" s="45">
        <f>ROUND((ROUNDDOWN($F1796/5,0)*5+3.5)/Basis!$E$3,1)</f>
        <v>3.3</v>
      </c>
      <c r="H1796" s="120">
        <f>ROUND($P1796*Basis!$E$2*((TaH-TrH)/LN(1/µ)/Basis!$E$7)^$N1796*$AA$4*Glycol,0)</f>
        <v>2723</v>
      </c>
      <c r="I1796" s="83">
        <f>ROUND(H1796/(MID($C1796,9,3)/Basis!$E$3/Basis!$E$9)*Basis!$E$11,0)</f>
        <v>519</v>
      </c>
      <c r="J1796" s="123">
        <f>IF(Basis!$E$1=1,ROUND(H1796/((TaH-TrH)*1.163)/3600,3),ROUND(H1796/(500*(TaH-TrH)),2))</f>
        <v>0.27</v>
      </c>
      <c r="K1796" s="84"/>
      <c r="L1796" s="177">
        <f>CHOOSE(Basis!$E$1,((AJ1796*(J1796*3600/Basis!$E$5)^AK1796*(((MID(C1796,9,3)*10)-144)/1000)*AL1796+AM1796*(J1796*3600/Basis!$E$5)^2)*0.0098)/Basis!$E$10,((AJ1796*(J1796/Basis!$E$5)^AK1796*(((MID(C1796,9,3)*10)-144)/1000)*AL1796+AM1796*(J1796/Basis!$E$5)^2)*0.0098)/Basis!$E$10)</f>
        <v>3.8160992997415079E-2</v>
      </c>
      <c r="M1796" s="85"/>
      <c r="N1796" s="109">
        <v>1.393</v>
      </c>
      <c r="O1796" s="68"/>
      <c r="P1796" s="67">
        <v>1264</v>
      </c>
      <c r="Q1796" s="68"/>
      <c r="R1796" s="69"/>
      <c r="S1796" s="69"/>
      <c r="T1796" s="69"/>
      <c r="U1796" s="69"/>
      <c r="V1796" s="69"/>
      <c r="W1796" s="68"/>
      <c r="X1796" s="70"/>
      <c r="Y1796" s="70"/>
      <c r="Z1796" s="70"/>
      <c r="AA1796" s="70"/>
      <c r="AB1796" s="70"/>
      <c r="AC1796" s="68"/>
      <c r="AD1796" s="71"/>
      <c r="AE1796" s="71"/>
      <c r="AF1796" s="71"/>
      <c r="AG1796" s="71"/>
      <c r="AH1796" s="71"/>
      <c r="AI1796" s="68"/>
      <c r="AJ1796" s="214">
        <v>1.6125983042710999E-4</v>
      </c>
      <c r="AK1796" s="214">
        <v>2.1458504622376</v>
      </c>
      <c r="AL1796" s="214">
        <v>4</v>
      </c>
      <c r="AM1796" s="214">
        <v>1.3916423712342001E-3</v>
      </c>
      <c r="AN1796" s="68"/>
      <c r="AO1796" s="67"/>
      <c r="AP1796" s="67"/>
      <c r="AQ1796" s="67"/>
      <c r="AR1796" s="67"/>
      <c r="AS1796" s="67"/>
      <c r="AT1796" s="68"/>
      <c r="AU1796" s="49"/>
      <c r="AV1796" s="50"/>
    </row>
    <row r="1797" spans="1:48" ht="12.75" customHeight="1" x14ac:dyDescent="0.25">
      <c r="A1797" s="72" t="s">
        <v>20</v>
      </c>
      <c r="B1797" s="43" t="s">
        <v>1833</v>
      </c>
      <c r="C1797" s="44" t="s">
        <v>1954</v>
      </c>
      <c r="D1797" s="45">
        <f>MROUND(MID($C1797,6,3)/Basis!$E$3,0.5)</f>
        <v>14</v>
      </c>
      <c r="E1797" s="45">
        <f>MROUND(MID($C1797,9,3)/Basis!$E$3,0.5)</f>
        <v>63</v>
      </c>
      <c r="F1797" s="124" t="s">
        <v>2943</v>
      </c>
      <c r="G1797" s="45">
        <f>ROUND((ROUNDDOWN($F1797/5,0)*5+1.8)/Basis!$E$3,1)</f>
        <v>4.5999999999999996</v>
      </c>
      <c r="H1797" s="120">
        <f>ROUND($P1797*Basis!$E$2*((TaH-TrH)/LN(1/µ)/Basis!$E$7)^$N1797*$AA$4*Glycol,0)</f>
        <v>3090</v>
      </c>
      <c r="I1797" s="83">
        <f>ROUND(H1797/(MID($C1797,9,3)/Basis!$E$3/Basis!$E$9)*Basis!$E$11,0)</f>
        <v>589</v>
      </c>
      <c r="J1797" s="123">
        <f>IF(Basis!$E$1=1,ROUND(H1797/((TaH-TrH)*1.163)/3600,3),ROUND(H1797/(500*(TaH-TrH)),2))</f>
        <v>0.31</v>
      </c>
      <c r="K1797" s="84"/>
      <c r="L1797" s="177">
        <f>CHOOSE(Basis!$E$1,((AJ1797*(J1797*3600/Basis!$E$5)^AK1797*(((MID(C1797,9,3)*10)-144)/1000)*AL1797+AM1797*(J1797*3600/Basis!$E$5)^2)*0.0098)/Basis!$E$10,((AJ1797*(J1797/Basis!$E$5)^AK1797*(((MID(C1797,9,3)*10)-144)/1000)*AL1797+AM1797*(J1797/Basis!$E$5)^2)*0.0098)/Basis!$E$10)</f>
        <v>1.2011673198649115E-2</v>
      </c>
      <c r="M1797" s="85"/>
      <c r="N1797" s="110">
        <v>1.399</v>
      </c>
      <c r="O1797" s="74"/>
      <c r="P1797" s="73">
        <v>1437</v>
      </c>
      <c r="Q1797" s="74"/>
      <c r="R1797" s="75"/>
      <c r="S1797" s="75"/>
      <c r="T1797" s="75"/>
      <c r="U1797" s="75"/>
      <c r="V1797" s="75"/>
      <c r="W1797" s="74"/>
      <c r="X1797" s="76"/>
      <c r="Y1797" s="76"/>
      <c r="Z1797" s="76"/>
      <c r="AA1797" s="76"/>
      <c r="AB1797" s="76"/>
      <c r="AC1797" s="74"/>
      <c r="AD1797" s="77"/>
      <c r="AE1797" s="77"/>
      <c r="AF1797" s="77"/>
      <c r="AG1797" s="77"/>
      <c r="AH1797" s="77"/>
      <c r="AI1797" s="68"/>
      <c r="AJ1797" s="213">
        <v>3.9689999999999994E-4</v>
      </c>
      <c r="AK1797" s="213">
        <v>1.7345999999999999</v>
      </c>
      <c r="AL1797" s="213">
        <v>2</v>
      </c>
      <c r="AM1797" s="213">
        <v>3.6734700000000002E-4</v>
      </c>
      <c r="AN1797" s="74"/>
      <c r="AO1797" s="73"/>
      <c r="AP1797" s="73"/>
      <c r="AQ1797" s="73"/>
      <c r="AR1797" s="73"/>
      <c r="AS1797" s="73"/>
      <c r="AT1797" s="74"/>
      <c r="AU1797" s="47"/>
      <c r="AV1797" s="48"/>
    </row>
    <row r="1798" spans="1:48" ht="12.75" customHeight="1" x14ac:dyDescent="0.25">
      <c r="A1798" s="72" t="s">
        <v>20</v>
      </c>
      <c r="B1798" s="43" t="s">
        <v>1833</v>
      </c>
      <c r="C1798" s="44" t="s">
        <v>1955</v>
      </c>
      <c r="D1798" s="45">
        <f>MROUND(MID($C1798,6,3)/Basis!$E$3,0.5)</f>
        <v>14</v>
      </c>
      <c r="E1798" s="45">
        <f>MROUND(MID($C1798,9,3)/Basis!$E$3,0.5)</f>
        <v>63</v>
      </c>
      <c r="F1798" s="124" t="s">
        <v>2946</v>
      </c>
      <c r="G1798" s="45">
        <f>ROUND((ROUNDDOWN($F1798/5,0)*5+1.8)/Basis!$E$3,1)</f>
        <v>4.5999999999999996</v>
      </c>
      <c r="H1798" s="120">
        <f>ROUND($P1798*Basis!$E$2*((TaH-TrH)/LN(1/µ)/Basis!$E$7)^$N1798*$AA$4*Glycol,0)</f>
        <v>4060</v>
      </c>
      <c r="I1798" s="83">
        <f>ROUND(H1798/(MID($C1798,9,3)/Basis!$E$3/Basis!$E$9)*Basis!$E$11,0)</f>
        <v>773</v>
      </c>
      <c r="J1798" s="123">
        <f>IF(Basis!$E$1=1,ROUND(H1798/((TaH-TrH)*1.163)/3600,3),ROUND(H1798/(500*(TaH-TrH)),2))</f>
        <v>0.41</v>
      </c>
      <c r="K1798" s="84"/>
      <c r="L1798" s="177">
        <f>CHOOSE(Basis!$E$1,((AJ1798*(J1798*3600/Basis!$E$5)^AK1798*(((MID(C1798,9,3)*10)-144)/1000)*AL1798+AM1798*(J1798*3600/Basis!$E$5)^2)*0.0098)/Basis!$E$10,((AJ1798*(J1798/Basis!$E$5)^AK1798*(((MID(C1798,9,3)*10)-144)/1000)*AL1798+AM1798*(J1798/Basis!$E$5)^2)*0.0098)/Basis!$E$10)</f>
        <v>3.595855632739775E-2</v>
      </c>
      <c r="M1798" s="85"/>
      <c r="N1798" s="110">
        <v>1.44</v>
      </c>
      <c r="O1798" s="74"/>
      <c r="P1798" s="73">
        <v>1914</v>
      </c>
      <c r="Q1798" s="74"/>
      <c r="R1798" s="75"/>
      <c r="S1798" s="75"/>
      <c r="T1798" s="75"/>
      <c r="U1798" s="75"/>
      <c r="V1798" s="75"/>
      <c r="W1798" s="74"/>
      <c r="X1798" s="76"/>
      <c r="Y1798" s="76"/>
      <c r="Z1798" s="76"/>
      <c r="AA1798" s="76"/>
      <c r="AB1798" s="76"/>
      <c r="AC1798" s="74"/>
      <c r="AD1798" s="77"/>
      <c r="AE1798" s="77"/>
      <c r="AF1798" s="77"/>
      <c r="AG1798" s="77"/>
      <c r="AH1798" s="77"/>
      <c r="AI1798" s="68"/>
      <c r="AJ1798" s="213">
        <v>3.9689999999999994E-4</v>
      </c>
      <c r="AK1798" s="213">
        <v>1.7345999999999999</v>
      </c>
      <c r="AL1798" s="213">
        <v>4</v>
      </c>
      <c r="AM1798" s="213">
        <v>5.7428799999999995E-4</v>
      </c>
      <c r="AN1798" s="74"/>
      <c r="AO1798" s="73"/>
      <c r="AP1798" s="73"/>
      <c r="AQ1798" s="73"/>
      <c r="AR1798" s="73"/>
      <c r="AS1798" s="73"/>
      <c r="AT1798" s="74"/>
      <c r="AU1798" s="47"/>
      <c r="AV1798" s="48"/>
    </row>
    <row r="1799" spans="1:48" ht="12.75" customHeight="1" x14ac:dyDescent="0.25">
      <c r="A1799" s="72" t="s">
        <v>20</v>
      </c>
      <c r="B1799" s="43" t="s">
        <v>1833</v>
      </c>
      <c r="C1799" s="44" t="s">
        <v>1956</v>
      </c>
      <c r="D1799" s="45">
        <f>MROUND(MID($C1799,6,3)/Basis!$E$3,0.5)</f>
        <v>14</v>
      </c>
      <c r="E1799" s="45">
        <f>MROUND(MID($C1799,9,3)/Basis!$E$3,0.5)</f>
        <v>63</v>
      </c>
      <c r="F1799" s="124" t="s">
        <v>2944</v>
      </c>
      <c r="G1799" s="45">
        <f>ROUND((ROUNDDOWN($F1799/5,0)*5+1.8)/Basis!$E$3,1)</f>
        <v>6.6</v>
      </c>
      <c r="H1799" s="120">
        <f>ROUND($P1799*Basis!$E$2*((TaH-TrH)/LN(1/µ)/Basis!$E$7)^$N1799*$AA$4*Glycol,0)</f>
        <v>5073</v>
      </c>
      <c r="I1799" s="83">
        <f>ROUND(H1799/(MID($C1799,9,3)/Basis!$E$3/Basis!$E$9)*Basis!$E$11,0)</f>
        <v>966</v>
      </c>
      <c r="J1799" s="123">
        <f>IF(Basis!$E$1=1,ROUND(H1799/((TaH-TrH)*1.163)/3600,3),ROUND(H1799/(500*(TaH-TrH)),2))</f>
        <v>0.51</v>
      </c>
      <c r="K1799" s="84"/>
      <c r="L1799" s="177">
        <f>CHOOSE(Basis!$E$1,((AJ1799*(J1799*3600/Basis!$E$5)^AK1799*(((MID(C1799,9,3)*10)-144)/1000)*AL1799+AM1799*(J1799*3600/Basis!$E$5)^2)*0.0098)/Basis!$E$10,((AJ1799*(J1799/Basis!$E$5)^AK1799*(((MID(C1799,9,3)*10)-144)/1000)*AL1799+AM1799*(J1799/Basis!$E$5)^2)*0.0098)/Basis!$E$10)</f>
        <v>2.7429699194466403E-2</v>
      </c>
      <c r="M1799" s="85"/>
      <c r="N1799" s="110">
        <v>1.39</v>
      </c>
      <c r="O1799" s="74"/>
      <c r="P1799" s="73">
        <v>2352</v>
      </c>
      <c r="Q1799" s="74"/>
      <c r="R1799" s="75"/>
      <c r="S1799" s="75"/>
      <c r="T1799" s="75"/>
      <c r="U1799" s="75"/>
      <c r="V1799" s="75"/>
      <c r="W1799" s="74"/>
      <c r="X1799" s="76"/>
      <c r="Y1799" s="76"/>
      <c r="Z1799" s="76"/>
      <c r="AA1799" s="76"/>
      <c r="AB1799" s="76"/>
      <c r="AC1799" s="74"/>
      <c r="AD1799" s="77"/>
      <c r="AE1799" s="77"/>
      <c r="AF1799" s="77"/>
      <c r="AG1799" s="77"/>
      <c r="AH1799" s="77"/>
      <c r="AI1799" s="68"/>
      <c r="AJ1799" s="213">
        <v>2.0829999999999999E-4</v>
      </c>
      <c r="AK1799" s="213">
        <v>1.724</v>
      </c>
      <c r="AL1799" s="213">
        <v>2</v>
      </c>
      <c r="AM1799" s="213">
        <v>4.6182900000000003E-4</v>
      </c>
      <c r="AN1799" s="74"/>
      <c r="AO1799" s="73"/>
      <c r="AP1799" s="73"/>
      <c r="AQ1799" s="73"/>
      <c r="AR1799" s="73"/>
      <c r="AS1799" s="73"/>
      <c r="AT1799" s="74"/>
      <c r="AU1799" s="47"/>
      <c r="AV1799" s="48"/>
    </row>
    <row r="1800" spans="1:48" ht="12.75" customHeight="1" x14ac:dyDescent="0.25">
      <c r="A1800" s="72" t="s">
        <v>20</v>
      </c>
      <c r="B1800" s="43" t="s">
        <v>1833</v>
      </c>
      <c r="C1800" s="44" t="s">
        <v>1957</v>
      </c>
      <c r="D1800" s="45">
        <f>MROUND(MID($C1800,6,3)/Basis!$E$3,0.5)</f>
        <v>14</v>
      </c>
      <c r="E1800" s="45">
        <f>MROUND(MID($C1800,9,3)/Basis!$E$3,0.5)</f>
        <v>63</v>
      </c>
      <c r="F1800" s="124" t="s">
        <v>2947</v>
      </c>
      <c r="G1800" s="45">
        <f>ROUND((ROUNDDOWN($F1800/5,0)*5+1.8)/Basis!$E$3,1)</f>
        <v>6.6</v>
      </c>
      <c r="H1800" s="120">
        <f>ROUND($P1800*Basis!$E$2*((TaH-TrH)/LN(1/µ)/Basis!$E$7)^$N1800*$AA$4*Glycol,0)</f>
        <v>5375</v>
      </c>
      <c r="I1800" s="83">
        <f>ROUND(H1800/(MID($C1800,9,3)/Basis!$E$3/Basis!$E$9)*Basis!$E$11,0)</f>
        <v>1024</v>
      </c>
      <c r="J1800" s="123">
        <f>IF(Basis!$E$1=1,ROUND(H1800/((TaH-TrH)*1.163)/3600,3),ROUND(H1800/(500*(TaH-TrH)),2))</f>
        <v>0.54</v>
      </c>
      <c r="K1800" s="84"/>
      <c r="L1800" s="177">
        <f>CHOOSE(Basis!$E$1,((AJ1800*(J1800*3600/Basis!$E$5)^AK1800*(((MID(C1800,9,3)*10)-144)/1000)*AL1800+AM1800*(J1800*3600/Basis!$E$5)^2)*0.0098)/Basis!$E$10,((AJ1800*(J1800/Basis!$E$5)^AK1800*(((MID(C1800,9,3)*10)-144)/1000)*AL1800+AM1800*(J1800/Basis!$E$5)^2)*0.0098)/Basis!$E$10)</f>
        <v>8.4325852491525161E-2</v>
      </c>
      <c r="M1800" s="85"/>
      <c r="N1800" s="110">
        <v>1.458</v>
      </c>
      <c r="O1800" s="74"/>
      <c r="P1800" s="73">
        <v>2549</v>
      </c>
      <c r="Q1800" s="74"/>
      <c r="R1800" s="75"/>
      <c r="S1800" s="75"/>
      <c r="T1800" s="75"/>
      <c r="U1800" s="75"/>
      <c r="V1800" s="75"/>
      <c r="W1800" s="74"/>
      <c r="X1800" s="76"/>
      <c r="Y1800" s="76"/>
      <c r="Z1800" s="76"/>
      <c r="AA1800" s="76"/>
      <c r="AB1800" s="76"/>
      <c r="AC1800" s="74"/>
      <c r="AD1800" s="77"/>
      <c r="AE1800" s="77"/>
      <c r="AF1800" s="77"/>
      <c r="AG1800" s="77"/>
      <c r="AH1800" s="77"/>
      <c r="AI1800" s="68"/>
      <c r="AJ1800" s="213">
        <v>2.0829999999999999E-4</v>
      </c>
      <c r="AK1800" s="213">
        <v>1.724</v>
      </c>
      <c r="AL1800" s="213">
        <v>4</v>
      </c>
      <c r="AM1800" s="213">
        <v>1.392796E-3</v>
      </c>
      <c r="AN1800" s="74"/>
      <c r="AO1800" s="73"/>
      <c r="AP1800" s="73"/>
      <c r="AQ1800" s="73"/>
      <c r="AR1800" s="73"/>
      <c r="AS1800" s="73"/>
      <c r="AT1800" s="74"/>
      <c r="AU1800" s="47"/>
      <c r="AV1800" s="48"/>
    </row>
    <row r="1801" spans="1:48" ht="12.75" customHeight="1" x14ac:dyDescent="0.25">
      <c r="A1801" s="72" t="s">
        <v>20</v>
      </c>
      <c r="B1801" s="43" t="s">
        <v>1833</v>
      </c>
      <c r="C1801" s="44" t="s">
        <v>1958</v>
      </c>
      <c r="D1801" s="45">
        <f>MROUND(MID($C1801,6,3)/Basis!$E$3,0.5)</f>
        <v>14</v>
      </c>
      <c r="E1801" s="45">
        <f>MROUND(MID($C1801,9,3)/Basis!$E$3,0.5)</f>
        <v>63</v>
      </c>
      <c r="F1801" s="124" t="s">
        <v>2945</v>
      </c>
      <c r="G1801" s="45">
        <f>ROUND((ROUNDDOWN($F1801/5,0)*5+1.8)/Basis!$E$3,1)</f>
        <v>8.6</v>
      </c>
      <c r="H1801" s="120">
        <f>ROUND($P1801*Basis!$E$2*((TaH-TrH)/LN(1/µ)/Basis!$E$7)^$N1801*$AA$4*Glycol,0)</f>
        <v>7108</v>
      </c>
      <c r="I1801" s="83">
        <f>ROUND(H1801/(MID($C1801,9,3)/Basis!$E$3/Basis!$E$9)*Basis!$E$11,0)</f>
        <v>1354</v>
      </c>
      <c r="J1801" s="123">
        <f>IF(Basis!$E$1=1,ROUND(H1801/((TaH-TrH)*1.163)/3600,3),ROUND(H1801/(500*(TaH-TrH)),2))</f>
        <v>0.71</v>
      </c>
      <c r="K1801" s="84"/>
      <c r="L1801" s="177">
        <f>CHOOSE(Basis!$E$1,((AJ1801*(J1801*3600/Basis!$E$5)^AK1801*(((MID(C1801,9,3)*10)-144)/1000)*AL1801+AM1801*(J1801*3600/Basis!$E$5)^2)*0.0098)/Basis!$E$10,((AJ1801*(J1801/Basis!$E$5)^AK1801*(((MID(C1801,9,3)*10)-144)/1000)*AL1801+AM1801*(J1801/Basis!$E$5)^2)*0.0098)/Basis!$E$10)</f>
        <v>3.9707726752593903E-2</v>
      </c>
      <c r="M1801" s="85"/>
      <c r="N1801" s="110">
        <v>1.39</v>
      </c>
      <c r="O1801" s="74"/>
      <c r="P1801" s="73">
        <v>3296</v>
      </c>
      <c r="Q1801" s="74"/>
      <c r="R1801" s="75"/>
      <c r="S1801" s="75"/>
      <c r="T1801" s="75"/>
      <c r="U1801" s="75"/>
      <c r="V1801" s="75"/>
      <c r="W1801" s="74"/>
      <c r="X1801" s="76"/>
      <c r="Y1801" s="76"/>
      <c r="Z1801" s="76"/>
      <c r="AA1801" s="76"/>
      <c r="AB1801" s="76"/>
      <c r="AC1801" s="74"/>
      <c r="AD1801" s="77"/>
      <c r="AE1801" s="77"/>
      <c r="AF1801" s="77"/>
      <c r="AG1801" s="77"/>
      <c r="AH1801" s="77"/>
      <c r="AI1801" s="68"/>
      <c r="AJ1801" s="214">
        <v>1.2760000000000001E-4</v>
      </c>
      <c r="AK1801" s="214">
        <v>1.7219</v>
      </c>
      <c r="AL1801" s="214">
        <v>2</v>
      </c>
      <c r="AM1801" s="214">
        <v>3.76611E-4</v>
      </c>
      <c r="AN1801" s="74"/>
      <c r="AO1801" s="73"/>
      <c r="AP1801" s="73"/>
      <c r="AQ1801" s="73"/>
      <c r="AR1801" s="73"/>
      <c r="AS1801" s="73"/>
      <c r="AT1801" s="74"/>
      <c r="AU1801" s="47"/>
      <c r="AV1801" s="48"/>
    </row>
    <row r="1802" spans="1:48" ht="12.75" customHeight="1" x14ac:dyDescent="0.25">
      <c r="A1802" s="72" t="s">
        <v>20</v>
      </c>
      <c r="B1802" s="43" t="s">
        <v>1833</v>
      </c>
      <c r="C1802" s="44" t="s">
        <v>1959</v>
      </c>
      <c r="D1802" s="45">
        <f>MROUND(MID($C1802,6,3)/Basis!$E$3,0.5)</f>
        <v>14</v>
      </c>
      <c r="E1802" s="45">
        <f>MROUND(MID($C1802,9,3)/Basis!$E$3,0.5)</f>
        <v>63</v>
      </c>
      <c r="F1802" s="124" t="s">
        <v>2948</v>
      </c>
      <c r="G1802" s="45">
        <f>ROUND((ROUNDDOWN($F1802/5,0)*5+1.8)/Basis!$E$3,1)</f>
        <v>8.6</v>
      </c>
      <c r="H1802" s="120">
        <f>ROUND($P1802*Basis!$E$2*((TaH-TrH)/LN(1/µ)/Basis!$E$7)^$N1802*$AA$4*Glycol,0)</f>
        <v>7099</v>
      </c>
      <c r="I1802" s="83">
        <f>ROUND(H1802/(MID($C1802,9,3)/Basis!$E$3/Basis!$E$9)*Basis!$E$11,0)</f>
        <v>1352</v>
      </c>
      <c r="J1802" s="123">
        <f>IF(Basis!$E$1=1,ROUND(H1802/((TaH-TrH)*1.163)/3600,3),ROUND(H1802/(500*(TaH-TrH)),2))</f>
        <v>0.71</v>
      </c>
      <c r="K1802" s="84"/>
      <c r="L1802" s="177">
        <f>CHOOSE(Basis!$E$1,((AJ1802*(J1802*3600/Basis!$E$5)^AK1802*(((MID(C1802,9,3)*10)-144)/1000)*AL1802+AM1802*(J1802*3600/Basis!$E$5)^2)*0.0098)/Basis!$E$10,((AJ1802*(J1802/Basis!$E$5)^AK1802*(((MID(C1802,9,3)*10)-144)/1000)*AL1802+AM1802*(J1802/Basis!$E$5)^2)*0.0098)/Basis!$E$10)</f>
        <v>5.9092317942283534E-2</v>
      </c>
      <c r="M1802" s="85"/>
      <c r="N1802" s="110">
        <v>1.472</v>
      </c>
      <c r="O1802" s="74"/>
      <c r="P1802" s="73">
        <v>3382</v>
      </c>
      <c r="Q1802" s="74"/>
      <c r="R1802" s="75"/>
      <c r="S1802" s="75"/>
      <c r="T1802" s="75"/>
      <c r="U1802" s="75"/>
      <c r="V1802" s="75"/>
      <c r="W1802" s="74"/>
      <c r="X1802" s="76"/>
      <c r="Y1802" s="76"/>
      <c r="Z1802" s="76"/>
      <c r="AA1802" s="76"/>
      <c r="AB1802" s="76"/>
      <c r="AC1802" s="74"/>
      <c r="AD1802" s="77"/>
      <c r="AE1802" s="77"/>
      <c r="AF1802" s="77"/>
      <c r="AG1802" s="77"/>
      <c r="AH1802" s="77"/>
      <c r="AI1802" s="68"/>
      <c r="AJ1802" s="213">
        <v>1.2760000000000001E-4</v>
      </c>
      <c r="AK1802" s="213">
        <v>1.7219</v>
      </c>
      <c r="AL1802" s="213">
        <v>4</v>
      </c>
      <c r="AM1802" s="213">
        <v>5.1420100000000005E-4</v>
      </c>
      <c r="AN1802" s="74"/>
      <c r="AO1802" s="73"/>
      <c r="AP1802" s="73"/>
      <c r="AQ1802" s="73"/>
      <c r="AR1802" s="73"/>
      <c r="AS1802" s="73"/>
      <c r="AT1802" s="74"/>
      <c r="AU1802" s="47"/>
      <c r="AV1802" s="48"/>
    </row>
    <row r="1803" spans="1:48" ht="12.75" customHeight="1" x14ac:dyDescent="0.25">
      <c r="A1803" s="72" t="s">
        <v>20</v>
      </c>
      <c r="B1803" s="43" t="s">
        <v>1833</v>
      </c>
      <c r="C1803" s="44" t="s">
        <v>1960</v>
      </c>
      <c r="D1803" s="45">
        <f>MROUND(MID($C1803,6,3)/Basis!$E$3,0.5)</f>
        <v>14</v>
      </c>
      <c r="E1803" s="45">
        <f>MROUND(MID($C1803,9,3)/Basis!$E$3,0.5)</f>
        <v>71</v>
      </c>
      <c r="F1803" s="124" t="s">
        <v>2949</v>
      </c>
      <c r="G1803" s="45">
        <f>ROUND((ROUNDDOWN($F1803/5,0)*5+3.5)/Basis!$E$3,1)</f>
        <v>3.3</v>
      </c>
      <c r="H1803" s="120">
        <f>ROUND($P1803*Basis!$E$2*((TaH-TrH)/LN(1/µ)/Basis!$E$7)^$N1803*$AA$4*Glycol,0)</f>
        <v>3064</v>
      </c>
      <c r="I1803" s="83">
        <f>ROUND(H1803/(MID($C1803,9,3)/Basis!$E$3/Basis!$E$9)*Basis!$E$11,0)</f>
        <v>519</v>
      </c>
      <c r="J1803" s="123">
        <f>IF(Basis!$E$1=1,ROUND(H1803/((TaH-TrH)*1.163)/3600,3),ROUND(H1803/(500*(TaH-TrH)),2))</f>
        <v>0.31</v>
      </c>
      <c r="K1803" s="84"/>
      <c r="L1803" s="177">
        <f>CHOOSE(Basis!$E$1,((AJ1803*(J1803*3600/Basis!$E$5)^AK1803*(((MID(C1803,9,3)*10)-144)/1000)*AL1803+AM1803*(J1803*3600/Basis!$E$5)^2)*0.0098)/Basis!$E$10,((AJ1803*(J1803/Basis!$E$5)^AK1803*(((MID(C1803,9,3)*10)-144)/1000)*AL1803+AM1803*(J1803/Basis!$E$5)^2)*0.0098)/Basis!$E$10)</f>
        <v>5.4759414595233626E-2</v>
      </c>
      <c r="M1803" s="85"/>
      <c r="N1803" s="110">
        <v>1.393</v>
      </c>
      <c r="O1803" s="74"/>
      <c r="P1803" s="73">
        <v>1422</v>
      </c>
      <c r="Q1803" s="74"/>
      <c r="R1803" s="75"/>
      <c r="S1803" s="75"/>
      <c r="T1803" s="75"/>
      <c r="U1803" s="75"/>
      <c r="V1803" s="75"/>
      <c r="W1803" s="74"/>
      <c r="X1803" s="76"/>
      <c r="Y1803" s="76"/>
      <c r="Z1803" s="76"/>
      <c r="AA1803" s="76"/>
      <c r="AB1803" s="76"/>
      <c r="AC1803" s="74"/>
      <c r="AD1803" s="77"/>
      <c r="AE1803" s="77"/>
      <c r="AF1803" s="77"/>
      <c r="AG1803" s="77"/>
      <c r="AH1803" s="77"/>
      <c r="AI1803" s="68"/>
      <c r="AJ1803" s="213">
        <v>1.6125983042710999E-4</v>
      </c>
      <c r="AK1803" s="213">
        <v>2.1458504622376</v>
      </c>
      <c r="AL1803" s="213">
        <v>4</v>
      </c>
      <c r="AM1803" s="213">
        <v>1.3916423712342001E-3</v>
      </c>
      <c r="AN1803" s="74"/>
      <c r="AO1803" s="73"/>
      <c r="AP1803" s="73"/>
      <c r="AQ1803" s="73"/>
      <c r="AR1803" s="73"/>
      <c r="AS1803" s="73"/>
      <c r="AT1803" s="74"/>
      <c r="AU1803" s="47"/>
      <c r="AV1803" s="48"/>
    </row>
    <row r="1804" spans="1:48" ht="12.75" customHeight="1" x14ac:dyDescent="0.25">
      <c r="A1804" s="72" t="s">
        <v>20</v>
      </c>
      <c r="B1804" s="43" t="s">
        <v>1833</v>
      </c>
      <c r="C1804" s="44" t="s">
        <v>1961</v>
      </c>
      <c r="D1804" s="45">
        <f>MROUND(MID($C1804,6,3)/Basis!$E$3,0.5)</f>
        <v>14</v>
      </c>
      <c r="E1804" s="45">
        <f>MROUND(MID($C1804,9,3)/Basis!$E$3,0.5)</f>
        <v>71</v>
      </c>
      <c r="F1804" s="124" t="s">
        <v>2943</v>
      </c>
      <c r="G1804" s="45">
        <f>ROUND((ROUNDDOWN($F1804/5,0)*5+1.8)/Basis!$E$3,1)</f>
        <v>4.5999999999999996</v>
      </c>
      <c r="H1804" s="120">
        <f>ROUND($P1804*Basis!$E$2*((TaH-TrH)/LN(1/µ)/Basis!$E$7)^$N1804*$AA$4*Glycol,0)</f>
        <v>3475</v>
      </c>
      <c r="I1804" s="83">
        <f>ROUND(H1804/(MID($C1804,9,3)/Basis!$E$3/Basis!$E$9)*Basis!$E$11,0)</f>
        <v>588</v>
      </c>
      <c r="J1804" s="123">
        <f>IF(Basis!$E$1=1,ROUND(H1804/((TaH-TrH)*1.163)/3600,3),ROUND(H1804/(500*(TaH-TrH)),2))</f>
        <v>0.35</v>
      </c>
      <c r="K1804" s="84"/>
      <c r="L1804" s="177">
        <f>CHOOSE(Basis!$E$1,((AJ1804*(J1804*3600/Basis!$E$5)^AK1804*(((MID(C1804,9,3)*10)-144)/1000)*AL1804+AM1804*(J1804*3600/Basis!$E$5)^2)*0.0098)/Basis!$E$10,((AJ1804*(J1804/Basis!$E$5)^AK1804*(((MID(C1804,9,3)*10)-144)/1000)*AL1804+AM1804*(J1804/Basis!$E$5)^2)*0.0098)/Basis!$E$10)</f>
        <v>1.6093711963140616E-2</v>
      </c>
      <c r="M1804" s="85"/>
      <c r="N1804" s="109">
        <v>1.399</v>
      </c>
      <c r="O1804" s="68"/>
      <c r="P1804" s="67">
        <v>1616</v>
      </c>
      <c r="Q1804" s="68"/>
      <c r="R1804" s="69"/>
      <c r="S1804" s="69"/>
      <c r="T1804" s="69"/>
      <c r="U1804" s="69"/>
      <c r="V1804" s="69"/>
      <c r="W1804" s="68"/>
      <c r="X1804" s="70"/>
      <c r="Y1804" s="70"/>
      <c r="Z1804" s="70"/>
      <c r="AA1804" s="70"/>
      <c r="AB1804" s="70"/>
      <c r="AC1804" s="68"/>
      <c r="AD1804" s="71"/>
      <c r="AE1804" s="71"/>
      <c r="AF1804" s="71"/>
      <c r="AG1804" s="71"/>
      <c r="AH1804" s="71"/>
      <c r="AI1804" s="68"/>
      <c r="AJ1804" s="214">
        <v>3.9689999999999994E-4</v>
      </c>
      <c r="AK1804" s="214">
        <v>1.7345999999999999</v>
      </c>
      <c r="AL1804" s="214">
        <v>2</v>
      </c>
      <c r="AM1804" s="214">
        <v>3.6734700000000002E-4</v>
      </c>
      <c r="AN1804" s="68"/>
      <c r="AO1804" s="67"/>
      <c r="AP1804" s="67"/>
      <c r="AQ1804" s="67"/>
      <c r="AR1804" s="67"/>
      <c r="AS1804" s="67"/>
      <c r="AT1804" s="68"/>
      <c r="AU1804" s="49"/>
      <c r="AV1804" s="50"/>
    </row>
    <row r="1805" spans="1:48" ht="12.75" customHeight="1" x14ac:dyDescent="0.25">
      <c r="A1805" s="72" t="s">
        <v>20</v>
      </c>
      <c r="B1805" s="43" t="s">
        <v>1833</v>
      </c>
      <c r="C1805" s="44" t="s">
        <v>1962</v>
      </c>
      <c r="D1805" s="45">
        <f>MROUND(MID($C1805,6,3)/Basis!$E$3,0.5)</f>
        <v>14</v>
      </c>
      <c r="E1805" s="45">
        <f>MROUND(MID($C1805,9,3)/Basis!$E$3,0.5)</f>
        <v>71</v>
      </c>
      <c r="F1805" s="124" t="s">
        <v>2946</v>
      </c>
      <c r="G1805" s="45">
        <f>ROUND((ROUNDDOWN($F1805/5,0)*5+1.8)/Basis!$E$3,1)</f>
        <v>4.5999999999999996</v>
      </c>
      <c r="H1805" s="120">
        <f>ROUND($P1805*Basis!$E$2*((TaH-TrH)/LN(1/µ)/Basis!$E$7)^$N1805*$AA$4*Glycol,0)</f>
        <v>4567</v>
      </c>
      <c r="I1805" s="83">
        <f>ROUND(H1805/(MID($C1805,9,3)/Basis!$E$3/Basis!$E$9)*Basis!$E$11,0)</f>
        <v>773</v>
      </c>
      <c r="J1805" s="123">
        <f>IF(Basis!$E$1=1,ROUND(H1805/((TaH-TrH)*1.163)/3600,3),ROUND(H1805/(500*(TaH-TrH)),2))</f>
        <v>0.46</v>
      </c>
      <c r="K1805" s="84"/>
      <c r="L1805" s="177">
        <f>CHOOSE(Basis!$E$1,((AJ1805*(J1805*3600/Basis!$E$5)^AK1805*(((MID(C1805,9,3)*10)-144)/1000)*AL1805+AM1805*(J1805*3600/Basis!$E$5)^2)*0.0098)/Basis!$E$10,((AJ1805*(J1805/Basis!$E$5)^AK1805*(((MID(C1805,9,3)*10)-144)/1000)*AL1805+AM1805*(J1805/Basis!$E$5)^2)*0.0098)/Basis!$E$10)</f>
        <v>4.7818517092007386E-2</v>
      </c>
      <c r="M1805" s="85"/>
      <c r="N1805" s="109">
        <v>1.44</v>
      </c>
      <c r="O1805" s="68"/>
      <c r="P1805" s="67">
        <v>2153</v>
      </c>
      <c r="Q1805" s="68"/>
      <c r="R1805" s="69"/>
      <c r="S1805" s="69"/>
      <c r="T1805" s="69"/>
      <c r="U1805" s="69"/>
      <c r="V1805" s="69"/>
      <c r="W1805" s="68"/>
      <c r="X1805" s="70"/>
      <c r="Y1805" s="70"/>
      <c r="Z1805" s="70"/>
      <c r="AA1805" s="70"/>
      <c r="AB1805" s="70"/>
      <c r="AC1805" s="68"/>
      <c r="AD1805" s="71"/>
      <c r="AE1805" s="71"/>
      <c r="AF1805" s="71"/>
      <c r="AG1805" s="71"/>
      <c r="AH1805" s="71"/>
      <c r="AI1805" s="68"/>
      <c r="AJ1805" s="214">
        <v>3.9689999999999994E-4</v>
      </c>
      <c r="AK1805" s="214">
        <v>1.7345999999999999</v>
      </c>
      <c r="AL1805" s="214">
        <v>4</v>
      </c>
      <c r="AM1805" s="214">
        <v>5.7428799999999995E-4</v>
      </c>
      <c r="AN1805" s="68"/>
      <c r="AO1805" s="67"/>
      <c r="AP1805" s="67"/>
      <c r="AQ1805" s="67"/>
      <c r="AR1805" s="67"/>
      <c r="AS1805" s="67"/>
      <c r="AT1805" s="68"/>
      <c r="AU1805" s="49"/>
      <c r="AV1805" s="50"/>
    </row>
    <row r="1806" spans="1:48" ht="12.75" customHeight="1" x14ac:dyDescent="0.25">
      <c r="A1806" s="72" t="s">
        <v>20</v>
      </c>
      <c r="B1806" s="43" t="s">
        <v>1833</v>
      </c>
      <c r="C1806" s="44" t="s">
        <v>1963</v>
      </c>
      <c r="D1806" s="45">
        <f>MROUND(MID($C1806,6,3)/Basis!$E$3,0.5)</f>
        <v>14</v>
      </c>
      <c r="E1806" s="45">
        <f>MROUND(MID($C1806,9,3)/Basis!$E$3,0.5)</f>
        <v>71</v>
      </c>
      <c r="F1806" s="124" t="s">
        <v>2944</v>
      </c>
      <c r="G1806" s="45">
        <f>ROUND((ROUNDDOWN($F1806/5,0)*5+1.8)/Basis!$E$3,1)</f>
        <v>6.6</v>
      </c>
      <c r="H1806" s="120">
        <f>ROUND($P1806*Basis!$E$2*((TaH-TrH)/LN(1/µ)/Basis!$E$7)^$N1806*$AA$4*Glycol,0)</f>
        <v>5707</v>
      </c>
      <c r="I1806" s="83">
        <f>ROUND(H1806/(MID($C1806,9,3)/Basis!$E$3/Basis!$E$9)*Basis!$E$11,0)</f>
        <v>966</v>
      </c>
      <c r="J1806" s="123">
        <f>IF(Basis!$E$1=1,ROUND(H1806/((TaH-TrH)*1.163)/3600,3),ROUND(H1806/(500*(TaH-TrH)),2))</f>
        <v>0.56999999999999995</v>
      </c>
      <c r="K1806" s="84"/>
      <c r="L1806" s="177">
        <f>CHOOSE(Basis!$E$1,((AJ1806*(J1806*3600/Basis!$E$5)^AK1806*(((MID(C1806,9,3)*10)-144)/1000)*AL1806+AM1806*(J1806*3600/Basis!$E$5)^2)*0.0098)/Basis!$E$10,((AJ1806*(J1806/Basis!$E$5)^AK1806*(((MID(C1806,9,3)*10)-144)/1000)*AL1806+AM1806*(J1806/Basis!$E$5)^2)*0.0098)/Basis!$E$10)</f>
        <v>3.5185538723677946E-2</v>
      </c>
      <c r="M1806" s="85"/>
      <c r="N1806" s="109">
        <v>1.39</v>
      </c>
      <c r="O1806" s="68"/>
      <c r="P1806" s="67">
        <v>2646</v>
      </c>
      <c r="Q1806" s="68"/>
      <c r="R1806" s="69"/>
      <c r="S1806" s="69"/>
      <c r="T1806" s="69"/>
      <c r="U1806" s="69"/>
      <c r="V1806" s="69"/>
      <c r="W1806" s="68"/>
      <c r="X1806" s="70"/>
      <c r="Y1806" s="70"/>
      <c r="Z1806" s="70"/>
      <c r="AA1806" s="70"/>
      <c r="AB1806" s="70"/>
      <c r="AC1806" s="68"/>
      <c r="AD1806" s="71"/>
      <c r="AE1806" s="71"/>
      <c r="AF1806" s="71"/>
      <c r="AG1806" s="71"/>
      <c r="AH1806" s="71"/>
      <c r="AI1806" s="68"/>
      <c r="AJ1806" s="214">
        <v>2.0829999999999999E-4</v>
      </c>
      <c r="AK1806" s="214">
        <v>1.724</v>
      </c>
      <c r="AL1806" s="214">
        <v>2</v>
      </c>
      <c r="AM1806" s="214">
        <v>4.6182900000000003E-4</v>
      </c>
      <c r="AN1806" s="68"/>
      <c r="AO1806" s="67"/>
      <c r="AP1806" s="67"/>
      <c r="AQ1806" s="67"/>
      <c r="AR1806" s="67"/>
      <c r="AS1806" s="67"/>
      <c r="AT1806" s="68"/>
      <c r="AU1806" s="49"/>
      <c r="AV1806" s="50"/>
    </row>
    <row r="1807" spans="1:48" ht="12.75" customHeight="1" x14ac:dyDescent="0.25">
      <c r="A1807" s="72" t="s">
        <v>20</v>
      </c>
      <c r="B1807" s="43" t="s">
        <v>1833</v>
      </c>
      <c r="C1807" s="44" t="s">
        <v>1964</v>
      </c>
      <c r="D1807" s="45">
        <f>MROUND(MID($C1807,6,3)/Basis!$E$3,0.5)</f>
        <v>14</v>
      </c>
      <c r="E1807" s="45">
        <f>MROUND(MID($C1807,9,3)/Basis!$E$3,0.5)</f>
        <v>71</v>
      </c>
      <c r="F1807" s="124" t="s">
        <v>2947</v>
      </c>
      <c r="G1807" s="45">
        <f>ROUND((ROUNDDOWN($F1807/5,0)*5+1.8)/Basis!$E$3,1)</f>
        <v>6.6</v>
      </c>
      <c r="H1807" s="120">
        <f>ROUND($P1807*Basis!$E$2*((TaH-TrH)/LN(1/µ)/Basis!$E$7)^$N1807*$AA$4*Glycol,0)</f>
        <v>6046</v>
      </c>
      <c r="I1807" s="83">
        <f>ROUND(H1807/(MID($C1807,9,3)/Basis!$E$3/Basis!$E$9)*Basis!$E$11,0)</f>
        <v>1024</v>
      </c>
      <c r="J1807" s="123">
        <f>IF(Basis!$E$1=1,ROUND(H1807/((TaH-TrH)*1.163)/3600,3),ROUND(H1807/(500*(TaH-TrH)),2))</f>
        <v>0.6</v>
      </c>
      <c r="K1807" s="84"/>
      <c r="L1807" s="177">
        <f>CHOOSE(Basis!$E$1,((AJ1807*(J1807*3600/Basis!$E$5)^AK1807*(((MID(C1807,9,3)*10)-144)/1000)*AL1807+AM1807*(J1807*3600/Basis!$E$5)^2)*0.0098)/Basis!$E$10,((AJ1807*(J1807/Basis!$E$5)^AK1807*(((MID(C1807,9,3)*10)-144)/1000)*AL1807+AM1807*(J1807/Basis!$E$5)^2)*0.0098)/Basis!$E$10)</f>
        <v>0.10615244052073723</v>
      </c>
      <c r="M1807" s="85"/>
      <c r="N1807" s="109">
        <v>1.458</v>
      </c>
      <c r="O1807" s="68"/>
      <c r="P1807" s="67">
        <v>2867</v>
      </c>
      <c r="Q1807" s="68"/>
      <c r="R1807" s="69"/>
      <c r="S1807" s="69"/>
      <c r="T1807" s="69"/>
      <c r="U1807" s="69"/>
      <c r="V1807" s="69"/>
      <c r="W1807" s="68"/>
      <c r="X1807" s="70"/>
      <c r="Y1807" s="70"/>
      <c r="Z1807" s="70"/>
      <c r="AA1807" s="70"/>
      <c r="AB1807" s="70"/>
      <c r="AC1807" s="68"/>
      <c r="AD1807" s="71"/>
      <c r="AE1807" s="71"/>
      <c r="AF1807" s="71"/>
      <c r="AG1807" s="71"/>
      <c r="AH1807" s="71"/>
      <c r="AI1807" s="68"/>
      <c r="AJ1807" s="214">
        <v>2.0829999999999999E-4</v>
      </c>
      <c r="AK1807" s="214">
        <v>1.724</v>
      </c>
      <c r="AL1807" s="214">
        <v>4</v>
      </c>
      <c r="AM1807" s="214">
        <v>1.392796E-3</v>
      </c>
      <c r="AN1807" s="68"/>
      <c r="AO1807" s="67"/>
      <c r="AP1807" s="67"/>
      <c r="AQ1807" s="67"/>
      <c r="AR1807" s="67"/>
      <c r="AS1807" s="67"/>
      <c r="AT1807" s="68"/>
      <c r="AU1807" s="49"/>
      <c r="AV1807" s="50"/>
    </row>
    <row r="1808" spans="1:48" ht="12.75" customHeight="1" x14ac:dyDescent="0.25">
      <c r="A1808" s="72" t="s">
        <v>20</v>
      </c>
      <c r="B1808" s="43" t="s">
        <v>1833</v>
      </c>
      <c r="C1808" s="44" t="s">
        <v>1965</v>
      </c>
      <c r="D1808" s="45">
        <f>MROUND(MID($C1808,6,3)/Basis!$E$3,0.5)</f>
        <v>14</v>
      </c>
      <c r="E1808" s="45">
        <f>MROUND(MID($C1808,9,3)/Basis!$E$3,0.5)</f>
        <v>71</v>
      </c>
      <c r="F1808" s="124" t="s">
        <v>2945</v>
      </c>
      <c r="G1808" s="45">
        <f>ROUND((ROUNDDOWN($F1808/5,0)*5+1.8)/Basis!$E$3,1)</f>
        <v>8.6</v>
      </c>
      <c r="H1808" s="120">
        <f>ROUND($P1808*Basis!$E$2*((TaH-TrH)/LN(1/µ)/Basis!$E$7)^$N1808*$AA$4*Glycol,0)</f>
        <v>7997</v>
      </c>
      <c r="I1808" s="83">
        <f>ROUND(H1808/(MID($C1808,9,3)/Basis!$E$3/Basis!$E$9)*Basis!$E$11,0)</f>
        <v>1354</v>
      </c>
      <c r="J1808" s="123">
        <f>IF(Basis!$E$1=1,ROUND(H1808/((TaH-TrH)*1.163)/3600,3),ROUND(H1808/(500*(TaH-TrH)),2))</f>
        <v>0.8</v>
      </c>
      <c r="K1808" s="84"/>
      <c r="L1808" s="177">
        <f>CHOOSE(Basis!$E$1,((AJ1808*(J1808*3600/Basis!$E$5)^AK1808*(((MID(C1808,9,3)*10)-144)/1000)*AL1808+AM1808*(J1808*3600/Basis!$E$5)^2)*0.0098)/Basis!$E$10,((AJ1808*(J1808/Basis!$E$5)^AK1808*(((MID(C1808,9,3)*10)-144)/1000)*AL1808+AM1808*(J1808/Basis!$E$5)^2)*0.0098)/Basis!$E$10)</f>
        <v>5.1390558231661235E-2</v>
      </c>
      <c r="M1808" s="85"/>
      <c r="N1808" s="109">
        <v>1.39</v>
      </c>
      <c r="O1808" s="68"/>
      <c r="P1808" s="67">
        <v>3708</v>
      </c>
      <c r="Q1808" s="68"/>
      <c r="R1808" s="69"/>
      <c r="S1808" s="69"/>
      <c r="T1808" s="69"/>
      <c r="U1808" s="69"/>
      <c r="V1808" s="69"/>
      <c r="W1808" s="68"/>
      <c r="X1808" s="70"/>
      <c r="Y1808" s="70"/>
      <c r="Z1808" s="70"/>
      <c r="AA1808" s="70"/>
      <c r="AB1808" s="70"/>
      <c r="AC1808" s="68"/>
      <c r="AD1808" s="71"/>
      <c r="AE1808" s="71"/>
      <c r="AF1808" s="71"/>
      <c r="AG1808" s="71"/>
      <c r="AH1808" s="71"/>
      <c r="AI1808" s="68"/>
      <c r="AJ1808" s="214">
        <v>1.2760000000000001E-4</v>
      </c>
      <c r="AK1808" s="214">
        <v>1.7219</v>
      </c>
      <c r="AL1808" s="214">
        <v>2</v>
      </c>
      <c r="AM1808" s="214">
        <v>3.76611E-4</v>
      </c>
      <c r="AN1808" s="68"/>
      <c r="AO1808" s="67"/>
      <c r="AP1808" s="67"/>
      <c r="AQ1808" s="67"/>
      <c r="AR1808" s="67"/>
      <c r="AS1808" s="67"/>
      <c r="AT1808" s="68"/>
      <c r="AU1808" s="49"/>
      <c r="AV1808" s="50"/>
    </row>
    <row r="1809" spans="1:48" ht="12.75" customHeight="1" x14ac:dyDescent="0.25">
      <c r="A1809" s="72" t="s">
        <v>20</v>
      </c>
      <c r="B1809" s="43" t="s">
        <v>1833</v>
      </c>
      <c r="C1809" s="44" t="s">
        <v>1966</v>
      </c>
      <c r="D1809" s="45">
        <f>MROUND(MID($C1809,6,3)/Basis!$E$3,0.5)</f>
        <v>14</v>
      </c>
      <c r="E1809" s="45">
        <f>MROUND(MID($C1809,9,3)/Basis!$E$3,0.5)</f>
        <v>71</v>
      </c>
      <c r="F1809" s="124" t="s">
        <v>2948</v>
      </c>
      <c r="G1809" s="45">
        <f>ROUND((ROUNDDOWN($F1809/5,0)*5+1.8)/Basis!$E$3,1)</f>
        <v>8.6</v>
      </c>
      <c r="H1809" s="120">
        <f>ROUND($P1809*Basis!$E$2*((TaH-TrH)/LN(1/µ)/Basis!$E$7)^$N1809*$AA$4*Glycol,0)</f>
        <v>7987</v>
      </c>
      <c r="I1809" s="83">
        <f>ROUND(H1809/(MID($C1809,9,3)/Basis!$E$3/Basis!$E$9)*Basis!$E$11,0)</f>
        <v>1352</v>
      </c>
      <c r="J1809" s="123">
        <f>IF(Basis!$E$1=1,ROUND(H1809/((TaH-TrH)*1.163)/3600,3),ROUND(H1809/(500*(TaH-TrH)),2))</f>
        <v>0.8</v>
      </c>
      <c r="K1809" s="84"/>
      <c r="L1809" s="177">
        <f>CHOOSE(Basis!$E$1,((AJ1809*(J1809*3600/Basis!$E$5)^AK1809*(((MID(C1809,9,3)*10)-144)/1000)*AL1809+AM1809*(J1809*3600/Basis!$E$5)^2)*0.0098)/Basis!$E$10,((AJ1809*(J1809/Basis!$E$5)^AK1809*(((MID(C1809,9,3)*10)-144)/1000)*AL1809+AM1809*(J1809/Basis!$E$5)^2)*0.0098)/Basis!$E$10)</f>
        <v>7.6979079644717535E-2</v>
      </c>
      <c r="M1809" s="85"/>
      <c r="N1809" s="109">
        <v>1.472</v>
      </c>
      <c r="O1809" s="68"/>
      <c r="P1809" s="67">
        <v>3805</v>
      </c>
      <c r="Q1809" s="68"/>
      <c r="R1809" s="69"/>
      <c r="S1809" s="69"/>
      <c r="T1809" s="69"/>
      <c r="U1809" s="69"/>
      <c r="V1809" s="69"/>
      <c r="W1809" s="68"/>
      <c r="X1809" s="70"/>
      <c r="Y1809" s="70"/>
      <c r="Z1809" s="70"/>
      <c r="AA1809" s="70"/>
      <c r="AB1809" s="70"/>
      <c r="AC1809" s="68"/>
      <c r="AD1809" s="71"/>
      <c r="AE1809" s="71"/>
      <c r="AF1809" s="71"/>
      <c r="AG1809" s="71"/>
      <c r="AH1809" s="71"/>
      <c r="AI1809" s="68"/>
      <c r="AJ1809" s="214">
        <v>1.2760000000000001E-4</v>
      </c>
      <c r="AK1809" s="214">
        <v>1.7219</v>
      </c>
      <c r="AL1809" s="214">
        <v>4</v>
      </c>
      <c r="AM1809" s="214">
        <v>5.1420100000000005E-4</v>
      </c>
      <c r="AN1809" s="68"/>
      <c r="AO1809" s="67"/>
      <c r="AP1809" s="67"/>
      <c r="AQ1809" s="67"/>
      <c r="AR1809" s="67"/>
      <c r="AS1809" s="67"/>
      <c r="AT1809" s="68"/>
      <c r="AU1809" s="49"/>
      <c r="AV1809" s="50"/>
    </row>
    <row r="1810" spans="1:48" ht="12.75" customHeight="1" x14ac:dyDescent="0.25">
      <c r="A1810" s="72" t="s">
        <v>20</v>
      </c>
      <c r="B1810" s="43" t="s">
        <v>1833</v>
      </c>
      <c r="C1810" s="44" t="s">
        <v>1967</v>
      </c>
      <c r="D1810" s="45">
        <f>MROUND(MID($C1810,6,3)/Basis!$E$3,0.5)</f>
        <v>14</v>
      </c>
      <c r="E1810" s="45">
        <f>MROUND(MID($C1810,9,3)/Basis!$E$3,0.5)</f>
        <v>78.5</v>
      </c>
      <c r="F1810" s="124" t="s">
        <v>2949</v>
      </c>
      <c r="G1810" s="45">
        <f>ROUND((ROUNDDOWN($F1810/5,0)*5+3.5)/Basis!$E$3,1)</f>
        <v>3.3</v>
      </c>
      <c r="H1810" s="120">
        <f>ROUND($P1810*Basis!$E$2*((TaH-TrH)/LN(1/µ)/Basis!$E$7)^$N1810*$AA$4*Glycol,0)</f>
        <v>3404</v>
      </c>
      <c r="I1810" s="83">
        <f>ROUND(H1810/(MID($C1810,9,3)/Basis!$E$3/Basis!$E$9)*Basis!$E$11,0)</f>
        <v>519</v>
      </c>
      <c r="J1810" s="123">
        <f>IF(Basis!$E$1=1,ROUND(H1810/((TaH-TrH)*1.163)/3600,3),ROUND(H1810/(500*(TaH-TrH)),2))</f>
        <v>0.34</v>
      </c>
      <c r="K1810" s="84"/>
      <c r="L1810" s="177">
        <f>CHOOSE(Basis!$E$1,((AJ1810*(J1810*3600/Basis!$E$5)^AK1810*(((MID(C1810,9,3)*10)-144)/1000)*AL1810+AM1810*(J1810*3600/Basis!$E$5)^2)*0.0098)/Basis!$E$10,((AJ1810*(J1810/Basis!$E$5)^AK1810*(((MID(C1810,9,3)*10)-144)/1000)*AL1810+AM1810*(J1810/Basis!$E$5)^2)*0.0098)/Basis!$E$10)</f>
        <v>7.1138005371070595E-2</v>
      </c>
      <c r="M1810" s="85"/>
      <c r="N1810" s="109">
        <v>1.393</v>
      </c>
      <c r="O1810" s="68"/>
      <c r="P1810" s="67">
        <v>1580</v>
      </c>
      <c r="Q1810" s="68"/>
      <c r="R1810" s="69"/>
      <c r="S1810" s="69"/>
      <c r="T1810" s="69"/>
      <c r="U1810" s="69"/>
      <c r="V1810" s="69"/>
      <c r="W1810" s="68"/>
      <c r="X1810" s="70"/>
      <c r="Y1810" s="70"/>
      <c r="Z1810" s="70"/>
      <c r="AA1810" s="70"/>
      <c r="AB1810" s="70"/>
      <c r="AC1810" s="68"/>
      <c r="AD1810" s="71"/>
      <c r="AE1810" s="71"/>
      <c r="AF1810" s="71"/>
      <c r="AG1810" s="71"/>
      <c r="AH1810" s="71"/>
      <c r="AI1810" s="68"/>
      <c r="AJ1810" s="214">
        <v>1.6125983042710999E-4</v>
      </c>
      <c r="AK1810" s="214">
        <v>2.1458504622376</v>
      </c>
      <c r="AL1810" s="214">
        <v>4</v>
      </c>
      <c r="AM1810" s="214">
        <v>1.3916423712342001E-3</v>
      </c>
      <c r="AN1810" s="68"/>
      <c r="AO1810" s="67"/>
      <c r="AP1810" s="67"/>
      <c r="AQ1810" s="67"/>
      <c r="AR1810" s="67"/>
      <c r="AS1810" s="67"/>
      <c r="AT1810" s="68"/>
      <c r="AU1810" s="49"/>
      <c r="AV1810" s="50"/>
    </row>
    <row r="1811" spans="1:48" ht="12.75" customHeight="1" x14ac:dyDescent="0.25">
      <c r="A1811" s="72" t="s">
        <v>20</v>
      </c>
      <c r="B1811" s="43" t="s">
        <v>1833</v>
      </c>
      <c r="C1811" s="44" t="s">
        <v>1968</v>
      </c>
      <c r="D1811" s="45">
        <f>MROUND(MID($C1811,6,3)/Basis!$E$3,0.5)</f>
        <v>14</v>
      </c>
      <c r="E1811" s="45">
        <f>MROUND(MID($C1811,9,3)/Basis!$E$3,0.5)</f>
        <v>78.5</v>
      </c>
      <c r="F1811" s="124" t="s">
        <v>2943</v>
      </c>
      <c r="G1811" s="45">
        <f>ROUND((ROUNDDOWN($F1811/5,0)*5+1.8)/Basis!$E$3,1)</f>
        <v>4.5999999999999996</v>
      </c>
      <c r="H1811" s="120">
        <f>ROUND($P1811*Basis!$E$2*((TaH-TrH)/LN(1/µ)/Basis!$E$7)^$N1811*$AA$4*Glycol,0)</f>
        <v>3862</v>
      </c>
      <c r="I1811" s="83">
        <f>ROUND(H1811/(MID($C1811,9,3)/Basis!$E$3/Basis!$E$9)*Basis!$E$11,0)</f>
        <v>589</v>
      </c>
      <c r="J1811" s="123">
        <f>IF(Basis!$E$1=1,ROUND(H1811/((TaH-TrH)*1.163)/3600,3),ROUND(H1811/(500*(TaH-TrH)),2))</f>
        <v>0.39</v>
      </c>
      <c r="K1811" s="84"/>
      <c r="L1811" s="177">
        <f>CHOOSE(Basis!$E$1,((AJ1811*(J1811*3600/Basis!$E$5)^AK1811*(((MID(C1811,9,3)*10)-144)/1000)*AL1811+AM1811*(J1811*3600/Basis!$E$5)^2)*0.0098)/Basis!$E$10,((AJ1811*(J1811/Basis!$E$5)^AK1811*(((MID(C1811,9,3)*10)-144)/1000)*AL1811+AM1811*(J1811/Basis!$E$5)^2)*0.0098)/Basis!$E$10)</f>
        <v>2.0922613337750761E-2</v>
      </c>
      <c r="M1811" s="85"/>
      <c r="N1811" s="110">
        <v>1.399</v>
      </c>
      <c r="O1811" s="74"/>
      <c r="P1811" s="73">
        <v>1796</v>
      </c>
      <c r="Q1811" s="74"/>
      <c r="R1811" s="75"/>
      <c r="S1811" s="75"/>
      <c r="T1811" s="75"/>
      <c r="U1811" s="75"/>
      <c r="V1811" s="75"/>
      <c r="W1811" s="74"/>
      <c r="X1811" s="76"/>
      <c r="Y1811" s="76"/>
      <c r="Z1811" s="76"/>
      <c r="AA1811" s="76"/>
      <c r="AB1811" s="76"/>
      <c r="AC1811" s="74"/>
      <c r="AD1811" s="77"/>
      <c r="AE1811" s="77"/>
      <c r="AF1811" s="77"/>
      <c r="AG1811" s="77"/>
      <c r="AH1811" s="77"/>
      <c r="AI1811" s="68"/>
      <c r="AJ1811" s="213">
        <v>3.9689999999999994E-4</v>
      </c>
      <c r="AK1811" s="213">
        <v>1.7345999999999999</v>
      </c>
      <c r="AL1811" s="213">
        <v>2</v>
      </c>
      <c r="AM1811" s="213">
        <v>3.6734700000000002E-4</v>
      </c>
      <c r="AN1811" s="74"/>
      <c r="AO1811" s="73"/>
      <c r="AP1811" s="73"/>
      <c r="AQ1811" s="73"/>
      <c r="AR1811" s="73"/>
      <c r="AS1811" s="73"/>
      <c r="AT1811" s="74"/>
      <c r="AU1811" s="47"/>
      <c r="AV1811" s="48"/>
    </row>
    <row r="1812" spans="1:48" ht="12.75" customHeight="1" x14ac:dyDescent="0.25">
      <c r="A1812" s="72" t="s">
        <v>20</v>
      </c>
      <c r="B1812" s="43" t="s">
        <v>1833</v>
      </c>
      <c r="C1812" s="44" t="s">
        <v>1969</v>
      </c>
      <c r="D1812" s="45">
        <f>MROUND(MID($C1812,6,3)/Basis!$E$3,0.5)</f>
        <v>14</v>
      </c>
      <c r="E1812" s="45">
        <f>MROUND(MID($C1812,9,3)/Basis!$E$3,0.5)</f>
        <v>78.5</v>
      </c>
      <c r="F1812" s="124" t="s">
        <v>2946</v>
      </c>
      <c r="G1812" s="45">
        <f>ROUND((ROUNDDOWN($F1812/5,0)*5+1.8)/Basis!$E$3,1)</f>
        <v>4.5999999999999996</v>
      </c>
      <c r="H1812" s="120">
        <f>ROUND($P1812*Basis!$E$2*((TaH-TrH)/LN(1/µ)/Basis!$E$7)^$N1812*$AA$4*Glycol,0)</f>
        <v>5074</v>
      </c>
      <c r="I1812" s="83">
        <f>ROUND(H1812/(MID($C1812,9,3)/Basis!$E$3/Basis!$E$9)*Basis!$E$11,0)</f>
        <v>773</v>
      </c>
      <c r="J1812" s="123">
        <f>IF(Basis!$E$1=1,ROUND(H1812/((TaH-TrH)*1.163)/3600,3),ROUND(H1812/(500*(TaH-TrH)),2))</f>
        <v>0.51</v>
      </c>
      <c r="K1812" s="84"/>
      <c r="L1812" s="177">
        <f>CHOOSE(Basis!$E$1,((AJ1812*(J1812*3600/Basis!$E$5)^AK1812*(((MID(C1812,9,3)*10)-144)/1000)*AL1812+AM1812*(J1812*3600/Basis!$E$5)^2)*0.0098)/Basis!$E$10,((AJ1812*(J1812/Basis!$E$5)^AK1812*(((MID(C1812,9,3)*10)-144)/1000)*AL1812+AM1812*(J1812/Basis!$E$5)^2)*0.0098)/Basis!$E$10)</f>
        <v>6.181807500890437E-2</v>
      </c>
      <c r="M1812" s="85"/>
      <c r="N1812" s="110">
        <v>1.44</v>
      </c>
      <c r="O1812" s="74"/>
      <c r="P1812" s="73">
        <v>2392</v>
      </c>
      <c r="Q1812" s="74"/>
      <c r="R1812" s="75"/>
      <c r="S1812" s="75"/>
      <c r="T1812" s="75"/>
      <c r="U1812" s="75"/>
      <c r="V1812" s="75"/>
      <c r="W1812" s="74"/>
      <c r="X1812" s="76"/>
      <c r="Y1812" s="76"/>
      <c r="Z1812" s="76"/>
      <c r="AA1812" s="76"/>
      <c r="AB1812" s="76"/>
      <c r="AC1812" s="74"/>
      <c r="AD1812" s="77"/>
      <c r="AE1812" s="77"/>
      <c r="AF1812" s="77"/>
      <c r="AG1812" s="77"/>
      <c r="AH1812" s="77"/>
      <c r="AI1812" s="68"/>
      <c r="AJ1812" s="213">
        <v>3.9689999999999994E-4</v>
      </c>
      <c r="AK1812" s="213">
        <v>1.7345999999999999</v>
      </c>
      <c r="AL1812" s="213">
        <v>4</v>
      </c>
      <c r="AM1812" s="213">
        <v>5.7428799999999995E-4</v>
      </c>
      <c r="AN1812" s="74"/>
      <c r="AO1812" s="73"/>
      <c r="AP1812" s="73"/>
      <c r="AQ1812" s="73"/>
      <c r="AR1812" s="73"/>
      <c r="AS1812" s="73"/>
      <c r="AT1812" s="74"/>
      <c r="AU1812" s="47"/>
      <c r="AV1812" s="48"/>
    </row>
    <row r="1813" spans="1:48" ht="12.75" customHeight="1" x14ac:dyDescent="0.25">
      <c r="A1813" s="72" t="s">
        <v>20</v>
      </c>
      <c r="B1813" s="43" t="s">
        <v>1833</v>
      </c>
      <c r="C1813" s="44" t="s">
        <v>1970</v>
      </c>
      <c r="D1813" s="45">
        <f>MROUND(MID($C1813,6,3)/Basis!$E$3,0.5)</f>
        <v>14</v>
      </c>
      <c r="E1813" s="45">
        <f>MROUND(MID($C1813,9,3)/Basis!$E$3,0.5)</f>
        <v>78.5</v>
      </c>
      <c r="F1813" s="124" t="s">
        <v>2944</v>
      </c>
      <c r="G1813" s="45">
        <f>ROUND((ROUNDDOWN($F1813/5,0)*5+1.8)/Basis!$E$3,1)</f>
        <v>6.6</v>
      </c>
      <c r="H1813" s="120">
        <f>ROUND($P1813*Basis!$E$2*((TaH-TrH)/LN(1/µ)/Basis!$E$7)^$N1813*$AA$4*Glycol,0)</f>
        <v>6341</v>
      </c>
      <c r="I1813" s="83">
        <f>ROUND(H1813/(MID($C1813,9,3)/Basis!$E$3/Basis!$E$9)*Basis!$E$11,0)</f>
        <v>966</v>
      </c>
      <c r="J1813" s="123">
        <f>IF(Basis!$E$1=1,ROUND(H1813/((TaH-TrH)*1.163)/3600,3),ROUND(H1813/(500*(TaH-TrH)),2))</f>
        <v>0.63</v>
      </c>
      <c r="K1813" s="84"/>
      <c r="L1813" s="177">
        <f>CHOOSE(Basis!$E$1,((AJ1813*(J1813*3600/Basis!$E$5)^AK1813*(((MID(C1813,9,3)*10)-144)/1000)*AL1813+AM1813*(J1813*3600/Basis!$E$5)^2)*0.0098)/Basis!$E$10,((AJ1813*(J1813/Basis!$E$5)^AK1813*(((MID(C1813,9,3)*10)-144)/1000)*AL1813+AM1813*(J1813/Basis!$E$5)^2)*0.0098)/Basis!$E$10)</f>
        <v>4.4071664651669097E-2</v>
      </c>
      <c r="M1813" s="85"/>
      <c r="N1813" s="110">
        <v>1.39</v>
      </c>
      <c r="O1813" s="74"/>
      <c r="P1813" s="73">
        <v>2940</v>
      </c>
      <c r="Q1813" s="74"/>
      <c r="R1813" s="75"/>
      <c r="S1813" s="75"/>
      <c r="T1813" s="75"/>
      <c r="U1813" s="75"/>
      <c r="V1813" s="75"/>
      <c r="W1813" s="74"/>
      <c r="X1813" s="76"/>
      <c r="Y1813" s="76"/>
      <c r="Z1813" s="76"/>
      <c r="AA1813" s="76"/>
      <c r="AB1813" s="76"/>
      <c r="AC1813" s="74"/>
      <c r="AD1813" s="77"/>
      <c r="AE1813" s="77"/>
      <c r="AF1813" s="77"/>
      <c r="AG1813" s="77"/>
      <c r="AH1813" s="77"/>
      <c r="AI1813" s="68"/>
      <c r="AJ1813" s="213">
        <v>2.0829999999999999E-4</v>
      </c>
      <c r="AK1813" s="213">
        <v>1.724</v>
      </c>
      <c r="AL1813" s="213">
        <v>2</v>
      </c>
      <c r="AM1813" s="213">
        <v>4.6182900000000003E-4</v>
      </c>
      <c r="AN1813" s="74"/>
      <c r="AO1813" s="73"/>
      <c r="AP1813" s="73"/>
      <c r="AQ1813" s="73"/>
      <c r="AR1813" s="73"/>
      <c r="AS1813" s="73"/>
      <c r="AT1813" s="74"/>
      <c r="AU1813" s="47"/>
      <c r="AV1813" s="48"/>
    </row>
    <row r="1814" spans="1:48" ht="12.75" customHeight="1" x14ac:dyDescent="0.25">
      <c r="A1814" s="72" t="s">
        <v>20</v>
      </c>
      <c r="B1814" s="43" t="s">
        <v>1833</v>
      </c>
      <c r="C1814" s="44" t="s">
        <v>1971</v>
      </c>
      <c r="D1814" s="45">
        <f>MROUND(MID($C1814,6,3)/Basis!$E$3,0.5)</f>
        <v>14</v>
      </c>
      <c r="E1814" s="45">
        <f>MROUND(MID($C1814,9,3)/Basis!$E$3,0.5)</f>
        <v>78.5</v>
      </c>
      <c r="F1814" s="124" t="s">
        <v>2947</v>
      </c>
      <c r="G1814" s="45">
        <f>ROUND((ROUNDDOWN($F1814/5,0)*5+1.8)/Basis!$E$3,1)</f>
        <v>6.6</v>
      </c>
      <c r="H1814" s="120">
        <f>ROUND($P1814*Basis!$E$2*((TaH-TrH)/LN(1/µ)/Basis!$E$7)^$N1814*$AA$4*Glycol,0)</f>
        <v>6719</v>
      </c>
      <c r="I1814" s="83">
        <f>ROUND(H1814/(MID($C1814,9,3)/Basis!$E$3/Basis!$E$9)*Basis!$E$11,0)</f>
        <v>1024</v>
      </c>
      <c r="J1814" s="123">
        <f>IF(Basis!$E$1=1,ROUND(H1814/((TaH-TrH)*1.163)/3600,3),ROUND(H1814/(500*(TaH-TrH)),2))</f>
        <v>0.67</v>
      </c>
      <c r="K1814" s="84"/>
      <c r="L1814" s="177">
        <f>CHOOSE(Basis!$E$1,((AJ1814*(J1814*3600/Basis!$E$5)^AK1814*(((MID(C1814,9,3)*10)-144)/1000)*AL1814+AM1814*(J1814*3600/Basis!$E$5)^2)*0.0098)/Basis!$E$10,((AJ1814*(J1814/Basis!$E$5)^AK1814*(((MID(C1814,9,3)*10)-144)/1000)*AL1814+AM1814*(J1814/Basis!$E$5)^2)*0.0098)/Basis!$E$10)</f>
        <v>0.13471142503519071</v>
      </c>
      <c r="M1814" s="85"/>
      <c r="N1814" s="110">
        <v>1.458</v>
      </c>
      <c r="O1814" s="74"/>
      <c r="P1814" s="73">
        <v>3186</v>
      </c>
      <c r="Q1814" s="74"/>
      <c r="R1814" s="75"/>
      <c r="S1814" s="75"/>
      <c r="T1814" s="75"/>
      <c r="U1814" s="75"/>
      <c r="V1814" s="75"/>
      <c r="W1814" s="74"/>
      <c r="X1814" s="76"/>
      <c r="Y1814" s="76"/>
      <c r="Z1814" s="76"/>
      <c r="AA1814" s="76"/>
      <c r="AB1814" s="76"/>
      <c r="AC1814" s="74"/>
      <c r="AD1814" s="77"/>
      <c r="AE1814" s="77"/>
      <c r="AF1814" s="77"/>
      <c r="AG1814" s="77"/>
      <c r="AH1814" s="77"/>
      <c r="AI1814" s="68"/>
      <c r="AJ1814" s="213">
        <v>2.0829999999999999E-4</v>
      </c>
      <c r="AK1814" s="213">
        <v>1.724</v>
      </c>
      <c r="AL1814" s="213">
        <v>4</v>
      </c>
      <c r="AM1814" s="213">
        <v>1.392796E-3</v>
      </c>
      <c r="AN1814" s="74"/>
      <c r="AO1814" s="73"/>
      <c r="AP1814" s="73"/>
      <c r="AQ1814" s="73"/>
      <c r="AR1814" s="73"/>
      <c r="AS1814" s="73"/>
      <c r="AT1814" s="74"/>
      <c r="AU1814" s="47"/>
      <c r="AV1814" s="48"/>
    </row>
    <row r="1815" spans="1:48" ht="12.75" customHeight="1" x14ac:dyDescent="0.25">
      <c r="A1815" s="72" t="s">
        <v>20</v>
      </c>
      <c r="B1815" s="43" t="s">
        <v>1833</v>
      </c>
      <c r="C1815" s="44" t="s">
        <v>1972</v>
      </c>
      <c r="D1815" s="45">
        <f>MROUND(MID($C1815,6,3)/Basis!$E$3,0.5)</f>
        <v>14</v>
      </c>
      <c r="E1815" s="45">
        <f>MROUND(MID($C1815,9,3)/Basis!$E$3,0.5)</f>
        <v>78.5</v>
      </c>
      <c r="F1815" s="124" t="s">
        <v>2945</v>
      </c>
      <c r="G1815" s="45">
        <f>ROUND((ROUNDDOWN($F1815/5,0)*5+1.8)/Basis!$E$3,1)</f>
        <v>8.6</v>
      </c>
      <c r="H1815" s="120">
        <f>ROUND($P1815*Basis!$E$2*((TaH-TrH)/LN(1/µ)/Basis!$E$7)^$N1815*$AA$4*Glycol,0)</f>
        <v>8886</v>
      </c>
      <c r="I1815" s="83">
        <f>ROUND(H1815/(MID($C1815,9,3)/Basis!$E$3/Basis!$E$9)*Basis!$E$11,0)</f>
        <v>1354</v>
      </c>
      <c r="J1815" s="123">
        <f>IF(Basis!$E$1=1,ROUND(H1815/((TaH-TrH)*1.163)/3600,3),ROUND(H1815/(500*(TaH-TrH)),2))</f>
        <v>0.89</v>
      </c>
      <c r="K1815" s="84"/>
      <c r="L1815" s="177">
        <f>CHOOSE(Basis!$E$1,((AJ1815*(J1815*3600/Basis!$E$5)^AK1815*(((MID(C1815,9,3)*10)-144)/1000)*AL1815+AM1815*(J1815*3600/Basis!$E$5)^2)*0.0098)/Basis!$E$10,((AJ1815*(J1815/Basis!$E$5)^AK1815*(((MID(C1815,9,3)*10)-144)/1000)*AL1815+AM1815*(J1815/Basis!$E$5)^2)*0.0098)/Basis!$E$10)</f>
        <v>6.4773549459807886E-2</v>
      </c>
      <c r="M1815" s="85"/>
      <c r="N1815" s="110">
        <v>1.39</v>
      </c>
      <c r="O1815" s="74"/>
      <c r="P1815" s="73">
        <v>4120</v>
      </c>
      <c r="Q1815" s="74"/>
      <c r="R1815" s="75"/>
      <c r="S1815" s="75"/>
      <c r="T1815" s="75"/>
      <c r="U1815" s="75"/>
      <c r="V1815" s="75"/>
      <c r="W1815" s="74"/>
      <c r="X1815" s="76"/>
      <c r="Y1815" s="76"/>
      <c r="Z1815" s="76"/>
      <c r="AA1815" s="76"/>
      <c r="AB1815" s="76"/>
      <c r="AC1815" s="74"/>
      <c r="AD1815" s="77"/>
      <c r="AE1815" s="77"/>
      <c r="AF1815" s="77"/>
      <c r="AG1815" s="77"/>
      <c r="AH1815" s="77"/>
      <c r="AI1815" s="68"/>
      <c r="AJ1815" s="214">
        <v>1.2760000000000001E-4</v>
      </c>
      <c r="AK1815" s="214">
        <v>1.7219</v>
      </c>
      <c r="AL1815" s="214">
        <v>2</v>
      </c>
      <c r="AM1815" s="214">
        <v>3.76611E-4</v>
      </c>
      <c r="AN1815" s="74"/>
      <c r="AO1815" s="73"/>
      <c r="AP1815" s="73"/>
      <c r="AQ1815" s="73"/>
      <c r="AR1815" s="73"/>
      <c r="AS1815" s="73"/>
      <c r="AT1815" s="74"/>
      <c r="AU1815" s="47"/>
      <c r="AV1815" s="48"/>
    </row>
    <row r="1816" spans="1:48" ht="12.75" customHeight="1" x14ac:dyDescent="0.25">
      <c r="A1816" s="72" t="s">
        <v>20</v>
      </c>
      <c r="B1816" s="43" t="s">
        <v>1833</v>
      </c>
      <c r="C1816" s="44" t="s">
        <v>1973</v>
      </c>
      <c r="D1816" s="45">
        <f>MROUND(MID($C1816,6,3)/Basis!$E$3,0.5)</f>
        <v>14</v>
      </c>
      <c r="E1816" s="45">
        <f>MROUND(MID($C1816,9,3)/Basis!$E$3,0.5)</f>
        <v>78.5</v>
      </c>
      <c r="F1816" s="124" t="s">
        <v>2948</v>
      </c>
      <c r="G1816" s="45">
        <f>ROUND((ROUNDDOWN($F1816/5,0)*5+1.8)/Basis!$E$3,1)</f>
        <v>8.6</v>
      </c>
      <c r="H1816" s="120">
        <f>ROUND($P1816*Basis!$E$2*((TaH-TrH)/LN(1/µ)/Basis!$E$7)^$N1816*$AA$4*Glycol,0)</f>
        <v>8875</v>
      </c>
      <c r="I1816" s="83">
        <f>ROUND(H1816/(MID($C1816,9,3)/Basis!$E$3/Basis!$E$9)*Basis!$E$11,0)</f>
        <v>1353</v>
      </c>
      <c r="J1816" s="123">
        <f>IF(Basis!$E$1=1,ROUND(H1816/((TaH-TrH)*1.163)/3600,3),ROUND(H1816/(500*(TaH-TrH)),2))</f>
        <v>0.89</v>
      </c>
      <c r="K1816" s="84"/>
      <c r="L1816" s="177">
        <f>CHOOSE(Basis!$E$1,((AJ1816*(J1816*3600/Basis!$E$5)^AK1816*(((MID(C1816,9,3)*10)-144)/1000)*AL1816+AM1816*(J1816*3600/Basis!$E$5)^2)*0.0098)/Basis!$E$10,((AJ1816*(J1816/Basis!$E$5)^AK1816*(((MID(C1816,9,3)*10)-144)/1000)*AL1816+AM1816*(J1816/Basis!$E$5)^2)*0.0098)/Basis!$E$10)</f>
        <v>9.7613046788339278E-2</v>
      </c>
      <c r="M1816" s="85"/>
      <c r="N1816" s="110">
        <v>1.472</v>
      </c>
      <c r="O1816" s="74"/>
      <c r="P1816" s="73">
        <v>4228</v>
      </c>
      <c r="Q1816" s="74"/>
      <c r="R1816" s="75"/>
      <c r="S1816" s="75"/>
      <c r="T1816" s="75"/>
      <c r="U1816" s="75"/>
      <c r="V1816" s="75"/>
      <c r="W1816" s="74"/>
      <c r="X1816" s="76"/>
      <c r="Y1816" s="76"/>
      <c r="Z1816" s="76"/>
      <c r="AA1816" s="76"/>
      <c r="AB1816" s="76"/>
      <c r="AC1816" s="74"/>
      <c r="AD1816" s="77"/>
      <c r="AE1816" s="77"/>
      <c r="AF1816" s="77"/>
      <c r="AG1816" s="77"/>
      <c r="AH1816" s="77"/>
      <c r="AI1816" s="68"/>
      <c r="AJ1816" s="213">
        <v>1.2760000000000001E-4</v>
      </c>
      <c r="AK1816" s="213">
        <v>1.7219</v>
      </c>
      <c r="AL1816" s="213">
        <v>4</v>
      </c>
      <c r="AM1816" s="213">
        <v>5.1420100000000005E-4</v>
      </c>
      <c r="AN1816" s="74"/>
      <c r="AO1816" s="73"/>
      <c r="AP1816" s="73"/>
      <c r="AQ1816" s="73"/>
      <c r="AR1816" s="73"/>
      <c r="AS1816" s="73"/>
      <c r="AT1816" s="74"/>
      <c r="AU1816" s="47"/>
      <c r="AV1816" s="48"/>
    </row>
    <row r="1817" spans="1:48" ht="12.75" customHeight="1" x14ac:dyDescent="0.25">
      <c r="A1817" s="72" t="s">
        <v>20</v>
      </c>
      <c r="B1817" s="43" t="s">
        <v>1833</v>
      </c>
      <c r="C1817" s="44" t="s">
        <v>1974</v>
      </c>
      <c r="D1817" s="45">
        <f>MROUND(MID($C1817,6,3)/Basis!$E$3,0.5)</f>
        <v>14</v>
      </c>
      <c r="E1817" s="45">
        <f>MROUND(MID($C1817,9,3)/Basis!$E$3,0.5)</f>
        <v>94.5</v>
      </c>
      <c r="F1817" s="124" t="s">
        <v>2949</v>
      </c>
      <c r="G1817" s="45">
        <f>ROUND((ROUNDDOWN($F1817/5,0)*5+3.5)/Basis!$E$3,1)</f>
        <v>3.3</v>
      </c>
      <c r="H1817" s="120">
        <f>ROUND($P1817*Basis!$E$2*((TaH-TrH)/LN(1/µ)/Basis!$E$7)^$N1817*$AA$4*Glycol,0)</f>
        <v>4085</v>
      </c>
      <c r="I1817" s="83">
        <f>ROUND(H1817/(MID($C1817,9,3)/Basis!$E$3/Basis!$E$9)*Basis!$E$11,0)</f>
        <v>519</v>
      </c>
      <c r="J1817" s="123">
        <f>IF(Basis!$E$1=1,ROUND(H1817/((TaH-TrH)*1.163)/3600,3),ROUND(H1817/(500*(TaH-TrH)),2))</f>
        <v>0.41</v>
      </c>
      <c r="K1817" s="84"/>
      <c r="L1817" s="177">
        <f>CHOOSE(Basis!$E$1,((AJ1817*(J1817*3600/Basis!$E$5)^AK1817*(((MID(C1817,9,3)*10)-144)/1000)*AL1817+AM1817*(J1817*3600/Basis!$E$5)^2)*0.0098)/Basis!$E$10,((AJ1817*(J1817/Basis!$E$5)^AK1817*(((MID(C1817,9,3)*10)-144)/1000)*AL1817+AM1817*(J1817/Basis!$E$5)^2)*0.0098)/Basis!$E$10)</f>
        <v>0.11938891423454158</v>
      </c>
      <c r="M1817" s="85"/>
      <c r="N1817" s="110">
        <v>1.393</v>
      </c>
      <c r="O1817" s="74"/>
      <c r="P1817" s="73">
        <v>1896</v>
      </c>
      <c r="Q1817" s="74"/>
      <c r="R1817" s="75"/>
      <c r="S1817" s="75"/>
      <c r="T1817" s="75"/>
      <c r="U1817" s="75"/>
      <c r="V1817" s="75"/>
      <c r="W1817" s="74"/>
      <c r="X1817" s="76"/>
      <c r="Y1817" s="76"/>
      <c r="Z1817" s="76"/>
      <c r="AA1817" s="76"/>
      <c r="AB1817" s="76"/>
      <c r="AC1817" s="74"/>
      <c r="AD1817" s="77"/>
      <c r="AE1817" s="77"/>
      <c r="AF1817" s="77"/>
      <c r="AG1817" s="77"/>
      <c r="AH1817" s="77"/>
      <c r="AI1817" s="68"/>
      <c r="AJ1817" s="213">
        <v>1.6125983042710999E-4</v>
      </c>
      <c r="AK1817" s="213">
        <v>2.1458504622376</v>
      </c>
      <c r="AL1817" s="213">
        <v>4</v>
      </c>
      <c r="AM1817" s="213">
        <v>1.3916423712342001E-3</v>
      </c>
      <c r="AN1817" s="74"/>
      <c r="AO1817" s="73"/>
      <c r="AP1817" s="73"/>
      <c r="AQ1817" s="73"/>
      <c r="AR1817" s="73"/>
      <c r="AS1817" s="73"/>
      <c r="AT1817" s="74"/>
      <c r="AU1817" s="47"/>
      <c r="AV1817" s="48"/>
    </row>
    <row r="1818" spans="1:48" ht="12.75" customHeight="1" x14ac:dyDescent="0.25">
      <c r="A1818" s="72" t="s">
        <v>20</v>
      </c>
      <c r="B1818" s="43" t="s">
        <v>1833</v>
      </c>
      <c r="C1818" s="44" t="s">
        <v>1975</v>
      </c>
      <c r="D1818" s="45">
        <f>MROUND(MID($C1818,6,3)/Basis!$E$3,0.5)</f>
        <v>14</v>
      </c>
      <c r="E1818" s="45">
        <f>MROUND(MID($C1818,9,3)/Basis!$E$3,0.5)</f>
        <v>94.5</v>
      </c>
      <c r="F1818" s="124" t="s">
        <v>2943</v>
      </c>
      <c r="G1818" s="45">
        <f>ROUND((ROUNDDOWN($F1818/5,0)*5+1.8)/Basis!$E$3,1)</f>
        <v>4.5999999999999996</v>
      </c>
      <c r="H1818" s="120">
        <f>ROUND($P1818*Basis!$E$2*((TaH-TrH)/LN(1/µ)/Basis!$E$7)^$N1818*$AA$4*Glycol,0)</f>
        <v>4634</v>
      </c>
      <c r="I1818" s="83">
        <f>ROUND(H1818/(MID($C1818,9,3)/Basis!$E$3/Basis!$E$9)*Basis!$E$11,0)</f>
        <v>589</v>
      </c>
      <c r="J1818" s="123">
        <f>IF(Basis!$E$1=1,ROUND(H1818/((TaH-TrH)*1.163)/3600,3),ROUND(H1818/(500*(TaH-TrH)),2))</f>
        <v>0.46</v>
      </c>
      <c r="K1818" s="84"/>
      <c r="L1818" s="177">
        <f>CHOOSE(Basis!$E$1,((AJ1818*(J1818*3600/Basis!$E$5)^AK1818*(((MID(C1818,9,3)*10)-144)/1000)*AL1818+AM1818*(J1818*3600/Basis!$E$5)^2)*0.0098)/Basis!$E$10,((AJ1818*(J1818/Basis!$E$5)^AK1818*(((MID(C1818,9,3)*10)-144)/1000)*AL1818+AM1818*(J1818/Basis!$E$5)^2)*0.0098)/Basis!$E$10)</f>
        <v>3.1721359756805269E-2</v>
      </c>
      <c r="M1818" s="85"/>
      <c r="N1818" s="109">
        <v>1.399</v>
      </c>
      <c r="O1818" s="68"/>
      <c r="P1818" s="67">
        <v>2155</v>
      </c>
      <c r="Q1818" s="68"/>
      <c r="R1818" s="69"/>
      <c r="S1818" s="69"/>
      <c r="T1818" s="69"/>
      <c r="U1818" s="69"/>
      <c r="V1818" s="69"/>
      <c r="W1818" s="68"/>
      <c r="X1818" s="70"/>
      <c r="Y1818" s="70"/>
      <c r="Z1818" s="70"/>
      <c r="AA1818" s="70"/>
      <c r="AB1818" s="70"/>
      <c r="AC1818" s="68"/>
      <c r="AD1818" s="71"/>
      <c r="AE1818" s="71"/>
      <c r="AF1818" s="71"/>
      <c r="AG1818" s="71"/>
      <c r="AH1818" s="71"/>
      <c r="AI1818" s="68"/>
      <c r="AJ1818" s="214">
        <v>3.9689999999999994E-4</v>
      </c>
      <c r="AK1818" s="214">
        <v>1.7345999999999999</v>
      </c>
      <c r="AL1818" s="214">
        <v>2</v>
      </c>
      <c r="AM1818" s="214">
        <v>3.6734700000000002E-4</v>
      </c>
      <c r="AN1818" s="68"/>
      <c r="AO1818" s="67"/>
      <c r="AP1818" s="67"/>
      <c r="AQ1818" s="67"/>
      <c r="AR1818" s="67"/>
      <c r="AS1818" s="67"/>
      <c r="AT1818" s="68"/>
      <c r="AU1818" s="49"/>
      <c r="AV1818" s="50"/>
    </row>
    <row r="1819" spans="1:48" ht="12.75" customHeight="1" x14ac:dyDescent="0.25">
      <c r="A1819" s="72" t="s">
        <v>20</v>
      </c>
      <c r="B1819" s="43" t="s">
        <v>1833</v>
      </c>
      <c r="C1819" s="44" t="s">
        <v>1976</v>
      </c>
      <c r="D1819" s="45">
        <f>MROUND(MID($C1819,6,3)/Basis!$E$3,0.5)</f>
        <v>14</v>
      </c>
      <c r="E1819" s="45">
        <f>MROUND(MID($C1819,9,3)/Basis!$E$3,0.5)</f>
        <v>94.5</v>
      </c>
      <c r="F1819" s="124" t="s">
        <v>2946</v>
      </c>
      <c r="G1819" s="45">
        <f>ROUND((ROUNDDOWN($F1819/5,0)*5+1.8)/Basis!$E$3,1)</f>
        <v>4.5999999999999996</v>
      </c>
      <c r="H1819" s="120">
        <f>ROUND($P1819*Basis!$E$2*((TaH-TrH)/LN(1/µ)/Basis!$E$7)^$N1819*$AA$4*Glycol,0)</f>
        <v>6088</v>
      </c>
      <c r="I1819" s="83">
        <f>ROUND(H1819/(MID($C1819,9,3)/Basis!$E$3/Basis!$E$9)*Basis!$E$11,0)</f>
        <v>773</v>
      </c>
      <c r="J1819" s="123">
        <f>IF(Basis!$E$1=1,ROUND(H1819/((TaH-TrH)*1.163)/3600,3),ROUND(H1819/(500*(TaH-TrH)),2))</f>
        <v>0.61</v>
      </c>
      <c r="K1819" s="84"/>
      <c r="L1819" s="177">
        <f>CHOOSE(Basis!$E$1,((AJ1819*(J1819*3600/Basis!$E$5)^AK1819*(((MID(C1819,9,3)*10)-144)/1000)*AL1819+AM1819*(J1819*3600/Basis!$E$5)^2)*0.0098)/Basis!$E$10,((AJ1819*(J1819/Basis!$E$5)^AK1819*(((MID(C1819,9,3)*10)-144)/1000)*AL1819+AM1819*(J1819/Basis!$E$5)^2)*0.0098)/Basis!$E$10)</f>
        <v>9.677337973048307E-2</v>
      </c>
      <c r="M1819" s="85"/>
      <c r="N1819" s="109">
        <v>1.44</v>
      </c>
      <c r="O1819" s="68"/>
      <c r="P1819" s="67">
        <v>2870</v>
      </c>
      <c r="Q1819" s="68"/>
      <c r="R1819" s="69"/>
      <c r="S1819" s="69"/>
      <c r="T1819" s="69"/>
      <c r="U1819" s="69"/>
      <c r="V1819" s="69"/>
      <c r="W1819" s="68"/>
      <c r="X1819" s="70"/>
      <c r="Y1819" s="70"/>
      <c r="Z1819" s="70"/>
      <c r="AA1819" s="70"/>
      <c r="AB1819" s="70"/>
      <c r="AC1819" s="68"/>
      <c r="AD1819" s="71"/>
      <c r="AE1819" s="71"/>
      <c r="AF1819" s="71"/>
      <c r="AG1819" s="71"/>
      <c r="AH1819" s="71"/>
      <c r="AI1819" s="68"/>
      <c r="AJ1819" s="214">
        <v>3.9689999999999994E-4</v>
      </c>
      <c r="AK1819" s="214">
        <v>1.7345999999999999</v>
      </c>
      <c r="AL1819" s="214">
        <v>4</v>
      </c>
      <c r="AM1819" s="214">
        <v>5.7428799999999995E-4</v>
      </c>
      <c r="AN1819" s="68"/>
      <c r="AO1819" s="67"/>
      <c r="AP1819" s="67"/>
      <c r="AQ1819" s="67"/>
      <c r="AR1819" s="67"/>
      <c r="AS1819" s="67"/>
      <c r="AT1819" s="68"/>
      <c r="AU1819" s="49"/>
      <c r="AV1819" s="50"/>
    </row>
    <row r="1820" spans="1:48" ht="12.75" customHeight="1" x14ac:dyDescent="0.25">
      <c r="A1820" s="72" t="s">
        <v>20</v>
      </c>
      <c r="B1820" s="43" t="s">
        <v>1833</v>
      </c>
      <c r="C1820" s="44" t="s">
        <v>1977</v>
      </c>
      <c r="D1820" s="45">
        <f>MROUND(MID($C1820,6,3)/Basis!$E$3,0.5)</f>
        <v>14</v>
      </c>
      <c r="E1820" s="45">
        <f>MROUND(MID($C1820,9,3)/Basis!$E$3,0.5)</f>
        <v>94.5</v>
      </c>
      <c r="F1820" s="124" t="s">
        <v>2944</v>
      </c>
      <c r="G1820" s="45">
        <f>ROUND((ROUNDDOWN($F1820/5,0)*5+1.8)/Basis!$E$3,1)</f>
        <v>6.6</v>
      </c>
      <c r="H1820" s="120">
        <f>ROUND($P1820*Basis!$E$2*((TaH-TrH)/LN(1/µ)/Basis!$E$7)^$N1820*$AA$4*Glycol,0)</f>
        <v>7609</v>
      </c>
      <c r="I1820" s="83">
        <f>ROUND(H1820/(MID($C1820,9,3)/Basis!$E$3/Basis!$E$9)*Basis!$E$11,0)</f>
        <v>966</v>
      </c>
      <c r="J1820" s="123">
        <f>IF(Basis!$E$1=1,ROUND(H1820/((TaH-TrH)*1.163)/3600,3),ROUND(H1820/(500*(TaH-TrH)),2))</f>
        <v>0.76</v>
      </c>
      <c r="K1820" s="84"/>
      <c r="L1820" s="177">
        <f>CHOOSE(Basis!$E$1,((AJ1820*(J1820*3600/Basis!$E$5)^AK1820*(((MID(C1820,9,3)*10)-144)/1000)*AL1820+AM1820*(J1820*3600/Basis!$E$5)^2)*0.0098)/Basis!$E$10,((AJ1820*(J1820/Basis!$E$5)^AK1820*(((MID(C1820,9,3)*10)-144)/1000)*AL1820+AM1820*(J1820/Basis!$E$5)^2)*0.0098)/Basis!$E$10)</f>
        <v>6.7088122888031052E-2</v>
      </c>
      <c r="M1820" s="85"/>
      <c r="N1820" s="109">
        <v>1.39</v>
      </c>
      <c r="O1820" s="68"/>
      <c r="P1820" s="67">
        <v>3528</v>
      </c>
      <c r="Q1820" s="68"/>
      <c r="R1820" s="69"/>
      <c r="S1820" s="69"/>
      <c r="T1820" s="69"/>
      <c r="U1820" s="69"/>
      <c r="V1820" s="69"/>
      <c r="W1820" s="68"/>
      <c r="X1820" s="70"/>
      <c r="Y1820" s="70"/>
      <c r="Z1820" s="70"/>
      <c r="AA1820" s="70"/>
      <c r="AB1820" s="70"/>
      <c r="AC1820" s="68"/>
      <c r="AD1820" s="71"/>
      <c r="AE1820" s="71"/>
      <c r="AF1820" s="71"/>
      <c r="AG1820" s="71"/>
      <c r="AH1820" s="71"/>
      <c r="AI1820" s="68"/>
      <c r="AJ1820" s="214">
        <v>2.0829999999999999E-4</v>
      </c>
      <c r="AK1820" s="214">
        <v>1.724</v>
      </c>
      <c r="AL1820" s="214">
        <v>2</v>
      </c>
      <c r="AM1820" s="214">
        <v>4.6182900000000003E-4</v>
      </c>
      <c r="AN1820" s="68"/>
      <c r="AO1820" s="67"/>
      <c r="AP1820" s="67"/>
      <c r="AQ1820" s="67"/>
      <c r="AR1820" s="67"/>
      <c r="AS1820" s="67"/>
      <c r="AT1820" s="68"/>
      <c r="AU1820" s="49"/>
      <c r="AV1820" s="50"/>
    </row>
    <row r="1821" spans="1:48" ht="12.75" customHeight="1" x14ac:dyDescent="0.25">
      <c r="A1821" s="72" t="s">
        <v>20</v>
      </c>
      <c r="B1821" s="43" t="s">
        <v>1833</v>
      </c>
      <c r="C1821" s="44" t="s">
        <v>1978</v>
      </c>
      <c r="D1821" s="45">
        <f>MROUND(MID($C1821,6,3)/Basis!$E$3,0.5)</f>
        <v>14</v>
      </c>
      <c r="E1821" s="45">
        <f>MROUND(MID($C1821,9,3)/Basis!$E$3,0.5)</f>
        <v>94.5</v>
      </c>
      <c r="F1821" s="124" t="s">
        <v>2947</v>
      </c>
      <c r="G1821" s="45">
        <f>ROUND((ROUNDDOWN($F1821/5,0)*5+1.8)/Basis!$E$3,1)</f>
        <v>6.6</v>
      </c>
      <c r="H1821" s="120">
        <f>ROUND($P1821*Basis!$E$2*((TaH-TrH)/LN(1/µ)/Basis!$E$7)^$N1821*$AA$4*Glycol,0)</f>
        <v>8062</v>
      </c>
      <c r="I1821" s="83">
        <f>ROUND(H1821/(MID($C1821,9,3)/Basis!$E$3/Basis!$E$9)*Basis!$E$11,0)</f>
        <v>1024</v>
      </c>
      <c r="J1821" s="123">
        <f>IF(Basis!$E$1=1,ROUND(H1821/((TaH-TrH)*1.163)/3600,3),ROUND(H1821/(500*(TaH-TrH)),2))</f>
        <v>0.81</v>
      </c>
      <c r="K1821" s="84"/>
      <c r="L1821" s="177">
        <f>CHOOSE(Basis!$E$1,((AJ1821*(J1821*3600/Basis!$E$5)^AK1821*(((MID(C1821,9,3)*10)-144)/1000)*AL1821+AM1821*(J1821*3600/Basis!$E$5)^2)*0.0098)/Basis!$E$10,((AJ1821*(J1821/Basis!$E$5)^AK1821*(((MID(C1821,9,3)*10)-144)/1000)*AL1821+AM1821*(J1821/Basis!$E$5)^2)*0.0098)/Basis!$E$10)</f>
        <v>0.20345364328752658</v>
      </c>
      <c r="M1821" s="85"/>
      <c r="N1821" s="109">
        <v>1.458</v>
      </c>
      <c r="O1821" s="68"/>
      <c r="P1821" s="67">
        <v>3823</v>
      </c>
      <c r="Q1821" s="68"/>
      <c r="R1821" s="69"/>
      <c r="S1821" s="69"/>
      <c r="T1821" s="69"/>
      <c r="U1821" s="69"/>
      <c r="V1821" s="69"/>
      <c r="W1821" s="68"/>
      <c r="X1821" s="70"/>
      <c r="Y1821" s="70"/>
      <c r="Z1821" s="70"/>
      <c r="AA1821" s="70"/>
      <c r="AB1821" s="70"/>
      <c r="AC1821" s="68"/>
      <c r="AD1821" s="71"/>
      <c r="AE1821" s="71"/>
      <c r="AF1821" s="71"/>
      <c r="AG1821" s="71"/>
      <c r="AH1821" s="71"/>
      <c r="AI1821" s="68"/>
      <c r="AJ1821" s="214">
        <v>2.0829999999999999E-4</v>
      </c>
      <c r="AK1821" s="214">
        <v>1.724</v>
      </c>
      <c r="AL1821" s="214">
        <v>4</v>
      </c>
      <c r="AM1821" s="214">
        <v>1.392796E-3</v>
      </c>
      <c r="AN1821" s="68"/>
      <c r="AO1821" s="67"/>
      <c r="AP1821" s="67"/>
      <c r="AQ1821" s="67"/>
      <c r="AR1821" s="67"/>
      <c r="AS1821" s="67"/>
      <c r="AT1821" s="68"/>
      <c r="AU1821" s="49"/>
      <c r="AV1821" s="50"/>
    </row>
    <row r="1822" spans="1:48" ht="12.75" customHeight="1" x14ac:dyDescent="0.25">
      <c r="A1822" s="72" t="s">
        <v>20</v>
      </c>
      <c r="B1822" s="43" t="s">
        <v>1833</v>
      </c>
      <c r="C1822" s="44" t="s">
        <v>1979</v>
      </c>
      <c r="D1822" s="45">
        <f>MROUND(MID($C1822,6,3)/Basis!$E$3,0.5)</f>
        <v>14</v>
      </c>
      <c r="E1822" s="45">
        <f>MROUND(MID($C1822,9,3)/Basis!$E$3,0.5)</f>
        <v>94.5</v>
      </c>
      <c r="F1822" s="124" t="s">
        <v>2945</v>
      </c>
      <c r="G1822" s="45">
        <f>ROUND((ROUNDDOWN($F1822/5,0)*5+1.8)/Basis!$E$3,1)</f>
        <v>8.6</v>
      </c>
      <c r="H1822" s="120">
        <f>ROUND($P1822*Basis!$E$2*((TaH-TrH)/LN(1/µ)/Basis!$E$7)^$N1822*$AA$4*Glycol,0)</f>
        <v>10663</v>
      </c>
      <c r="I1822" s="83">
        <f>ROUND(H1822/(MID($C1822,9,3)/Basis!$E$3/Basis!$E$9)*Basis!$E$11,0)</f>
        <v>1354</v>
      </c>
      <c r="J1822" s="123">
        <f>IF(Basis!$E$1=1,ROUND(H1822/((TaH-TrH)*1.163)/3600,3),ROUND(H1822/(500*(TaH-TrH)),2))</f>
        <v>1.07</v>
      </c>
      <c r="K1822" s="84"/>
      <c r="L1822" s="177">
        <f>CHOOSE(Basis!$E$1,((AJ1822*(J1822*3600/Basis!$E$5)^AK1822*(((MID(C1822,9,3)*10)-144)/1000)*AL1822+AM1822*(J1822*3600/Basis!$E$5)^2)*0.0098)/Basis!$E$10,((AJ1822*(J1822/Basis!$E$5)^AK1822*(((MID(C1822,9,3)*10)-144)/1000)*AL1822+AM1822*(J1822/Basis!$E$5)^2)*0.0098)/Basis!$E$10)</f>
        <v>9.6858744562282814E-2</v>
      </c>
      <c r="M1822" s="85"/>
      <c r="N1822" s="109">
        <v>1.39</v>
      </c>
      <c r="O1822" s="68"/>
      <c r="P1822" s="67">
        <v>4944</v>
      </c>
      <c r="Q1822" s="68"/>
      <c r="R1822" s="69"/>
      <c r="S1822" s="69"/>
      <c r="T1822" s="69"/>
      <c r="U1822" s="69"/>
      <c r="V1822" s="69"/>
      <c r="W1822" s="68"/>
      <c r="X1822" s="70"/>
      <c r="Y1822" s="70"/>
      <c r="Z1822" s="70"/>
      <c r="AA1822" s="70"/>
      <c r="AB1822" s="70"/>
      <c r="AC1822" s="68"/>
      <c r="AD1822" s="71"/>
      <c r="AE1822" s="71"/>
      <c r="AF1822" s="71"/>
      <c r="AG1822" s="71"/>
      <c r="AH1822" s="71"/>
      <c r="AI1822" s="68"/>
      <c r="AJ1822" s="214">
        <v>1.2760000000000001E-4</v>
      </c>
      <c r="AK1822" s="214">
        <v>1.7219</v>
      </c>
      <c r="AL1822" s="214">
        <v>2</v>
      </c>
      <c r="AM1822" s="214">
        <v>3.76611E-4</v>
      </c>
      <c r="AN1822" s="68"/>
      <c r="AO1822" s="67"/>
      <c r="AP1822" s="67"/>
      <c r="AQ1822" s="67"/>
      <c r="AR1822" s="67"/>
      <c r="AS1822" s="67"/>
      <c r="AT1822" s="68"/>
      <c r="AU1822" s="49"/>
      <c r="AV1822" s="50"/>
    </row>
    <row r="1823" spans="1:48" ht="12.75" customHeight="1" x14ac:dyDescent="0.25">
      <c r="A1823" s="72" t="s">
        <v>20</v>
      </c>
      <c r="B1823" s="43" t="s">
        <v>1833</v>
      </c>
      <c r="C1823" s="44" t="s">
        <v>1980</v>
      </c>
      <c r="D1823" s="45">
        <f>MROUND(MID($C1823,6,3)/Basis!$E$3,0.5)</f>
        <v>14</v>
      </c>
      <c r="E1823" s="45">
        <f>MROUND(MID($C1823,9,3)/Basis!$E$3,0.5)</f>
        <v>94.5</v>
      </c>
      <c r="F1823" s="124" t="s">
        <v>2948</v>
      </c>
      <c r="G1823" s="45">
        <f>ROUND((ROUNDDOWN($F1823/5,0)*5+1.8)/Basis!$E$3,1)</f>
        <v>8.6</v>
      </c>
      <c r="H1823" s="120">
        <f>ROUND($P1823*Basis!$E$2*((TaH-TrH)/LN(1/µ)/Basis!$E$7)^$N1823*$AA$4*Glycol,0)</f>
        <v>10651</v>
      </c>
      <c r="I1823" s="83">
        <f>ROUND(H1823/(MID($C1823,9,3)/Basis!$E$3/Basis!$E$9)*Basis!$E$11,0)</f>
        <v>1353</v>
      </c>
      <c r="J1823" s="123">
        <f>IF(Basis!$E$1=1,ROUND(H1823/((TaH-TrH)*1.163)/3600,3),ROUND(H1823/(500*(TaH-TrH)),2))</f>
        <v>1.07</v>
      </c>
      <c r="K1823" s="84"/>
      <c r="L1823" s="177">
        <f>CHOOSE(Basis!$E$1,((AJ1823*(J1823*3600/Basis!$E$5)^AK1823*(((MID(C1823,9,3)*10)-144)/1000)*AL1823+AM1823*(J1823*3600/Basis!$E$5)^2)*0.0098)/Basis!$E$10,((AJ1823*(J1823/Basis!$E$5)^AK1823*(((MID(C1823,9,3)*10)-144)/1000)*AL1823+AM1823*(J1823/Basis!$E$5)^2)*0.0098)/Basis!$E$10)</f>
        <v>0.14756006419703319</v>
      </c>
      <c r="M1823" s="85"/>
      <c r="N1823" s="109">
        <v>1.472</v>
      </c>
      <c r="O1823" s="68"/>
      <c r="P1823" s="67">
        <v>5074</v>
      </c>
      <c r="Q1823" s="68"/>
      <c r="R1823" s="69"/>
      <c r="S1823" s="69"/>
      <c r="T1823" s="69"/>
      <c r="U1823" s="69"/>
      <c r="V1823" s="69"/>
      <c r="W1823" s="68"/>
      <c r="X1823" s="70"/>
      <c r="Y1823" s="70"/>
      <c r="Z1823" s="70"/>
      <c r="AA1823" s="70"/>
      <c r="AB1823" s="70"/>
      <c r="AC1823" s="68"/>
      <c r="AD1823" s="71"/>
      <c r="AE1823" s="71"/>
      <c r="AF1823" s="71"/>
      <c r="AG1823" s="71"/>
      <c r="AH1823" s="71"/>
      <c r="AI1823" s="68"/>
      <c r="AJ1823" s="214">
        <v>1.2760000000000001E-4</v>
      </c>
      <c r="AK1823" s="214">
        <v>1.7219</v>
      </c>
      <c r="AL1823" s="214">
        <v>4</v>
      </c>
      <c r="AM1823" s="214">
        <v>5.1420100000000005E-4</v>
      </c>
      <c r="AN1823" s="68"/>
      <c r="AO1823" s="67"/>
      <c r="AP1823" s="67"/>
      <c r="AQ1823" s="67"/>
      <c r="AR1823" s="67"/>
      <c r="AS1823" s="67"/>
      <c r="AT1823" s="68"/>
      <c r="AU1823" s="49"/>
      <c r="AV1823" s="50"/>
    </row>
    <row r="1824" spans="1:48" ht="12.75" customHeight="1" x14ac:dyDescent="0.25">
      <c r="A1824" s="72" t="s">
        <v>20</v>
      </c>
      <c r="B1824" s="43" t="s">
        <v>1833</v>
      </c>
      <c r="C1824" s="44" t="s">
        <v>1981</v>
      </c>
      <c r="D1824" s="45">
        <f>MROUND(MID($C1824,6,3)/Basis!$E$3,0.5)</f>
        <v>14</v>
      </c>
      <c r="E1824" s="45">
        <f>MROUND(MID($C1824,9,3)/Basis!$E$3,0.5)</f>
        <v>110</v>
      </c>
      <c r="F1824" s="124" t="s">
        <v>2949</v>
      </c>
      <c r="G1824" s="45">
        <f>ROUND((ROUNDDOWN($F1824/5,0)*5+3.5)/Basis!$E$3,1)</f>
        <v>3.3</v>
      </c>
      <c r="H1824" s="120">
        <f>ROUND($P1824*Basis!$E$2*((TaH-TrH)/LN(1/µ)/Basis!$E$7)^$N1824*$AA$4*Glycol,0)</f>
        <v>4766</v>
      </c>
      <c r="I1824" s="83">
        <f>ROUND(H1824/(MID($C1824,9,3)/Basis!$E$3/Basis!$E$9)*Basis!$E$11,0)</f>
        <v>519</v>
      </c>
      <c r="J1824" s="123">
        <f>IF(Basis!$E$1=1,ROUND(H1824/((TaH-TrH)*1.163)/3600,3),ROUND(H1824/(500*(TaH-TrH)),2))</f>
        <v>0.48</v>
      </c>
      <c r="K1824" s="84"/>
      <c r="L1824" s="177">
        <f>CHOOSE(Basis!$E$1,((AJ1824*(J1824*3600/Basis!$E$5)^AK1824*(((MID(C1824,9,3)*10)-144)/1000)*AL1824+AM1824*(J1824*3600/Basis!$E$5)^2)*0.0098)/Basis!$E$10,((AJ1824*(J1824/Basis!$E$5)^AK1824*(((MID(C1824,9,3)*10)-144)/1000)*AL1824+AM1824*(J1824/Basis!$E$5)^2)*0.0098)/Basis!$E$10)</f>
        <v>0.18606014220613468</v>
      </c>
      <c r="M1824" s="85"/>
      <c r="N1824" s="109">
        <v>1.393</v>
      </c>
      <c r="O1824" s="68"/>
      <c r="P1824" s="67">
        <v>2212</v>
      </c>
      <c r="Q1824" s="68"/>
      <c r="R1824" s="69"/>
      <c r="S1824" s="69"/>
      <c r="T1824" s="69"/>
      <c r="U1824" s="69"/>
      <c r="V1824" s="69"/>
      <c r="W1824" s="68"/>
      <c r="X1824" s="70"/>
      <c r="Y1824" s="70"/>
      <c r="Z1824" s="70"/>
      <c r="AA1824" s="70"/>
      <c r="AB1824" s="70"/>
      <c r="AC1824" s="68"/>
      <c r="AD1824" s="71"/>
      <c r="AE1824" s="71"/>
      <c r="AF1824" s="71"/>
      <c r="AG1824" s="71"/>
      <c r="AH1824" s="71"/>
      <c r="AI1824" s="68"/>
      <c r="AJ1824" s="214">
        <v>1.6125983042710999E-4</v>
      </c>
      <c r="AK1824" s="214">
        <v>2.1458504622376</v>
      </c>
      <c r="AL1824" s="214">
        <v>4</v>
      </c>
      <c r="AM1824" s="214">
        <v>1.3916423712342001E-3</v>
      </c>
      <c r="AN1824" s="68"/>
      <c r="AO1824" s="67"/>
      <c r="AP1824" s="67"/>
      <c r="AQ1824" s="67"/>
      <c r="AR1824" s="67"/>
      <c r="AS1824" s="67"/>
      <c r="AT1824" s="68"/>
      <c r="AU1824" s="49"/>
      <c r="AV1824" s="50"/>
    </row>
    <row r="1825" spans="1:48" ht="12.75" customHeight="1" x14ac:dyDescent="0.25">
      <c r="A1825" s="72" t="s">
        <v>20</v>
      </c>
      <c r="B1825" s="43" t="s">
        <v>1833</v>
      </c>
      <c r="C1825" s="44" t="s">
        <v>1982</v>
      </c>
      <c r="D1825" s="45">
        <f>MROUND(MID($C1825,6,3)/Basis!$E$3,0.5)</f>
        <v>14</v>
      </c>
      <c r="E1825" s="45">
        <f>MROUND(MID($C1825,9,3)/Basis!$E$3,0.5)</f>
        <v>110</v>
      </c>
      <c r="F1825" s="124" t="s">
        <v>2943</v>
      </c>
      <c r="G1825" s="45">
        <f>ROUND((ROUNDDOWN($F1825/5,0)*5+1.8)/Basis!$E$3,1)</f>
        <v>4.5999999999999996</v>
      </c>
      <c r="H1825" s="120">
        <f>ROUND($P1825*Basis!$E$2*((TaH-TrH)/LN(1/µ)/Basis!$E$7)^$N1825*$AA$4*Glycol,0)</f>
        <v>5406</v>
      </c>
      <c r="I1825" s="83">
        <f>ROUND(H1825/(MID($C1825,9,3)/Basis!$E$3/Basis!$E$9)*Basis!$E$11,0)</f>
        <v>588</v>
      </c>
      <c r="J1825" s="123">
        <f>IF(Basis!$E$1=1,ROUND(H1825/((TaH-TrH)*1.163)/3600,3),ROUND(H1825/(500*(TaH-TrH)),2))</f>
        <v>0.54</v>
      </c>
      <c r="K1825" s="84"/>
      <c r="L1825" s="177">
        <f>CHOOSE(Basis!$E$1,((AJ1825*(J1825*3600/Basis!$E$5)^AK1825*(((MID(C1825,9,3)*10)-144)/1000)*AL1825+AM1825*(J1825*3600/Basis!$E$5)^2)*0.0098)/Basis!$E$10,((AJ1825*(J1825/Basis!$E$5)^AK1825*(((MID(C1825,9,3)*10)-144)/1000)*AL1825+AM1825*(J1825/Basis!$E$5)^2)*0.0098)/Basis!$E$10)</f>
        <v>4.7003645663797076E-2</v>
      </c>
      <c r="M1825" s="85"/>
      <c r="N1825" s="110">
        <v>1.399</v>
      </c>
      <c r="O1825" s="74"/>
      <c r="P1825" s="73">
        <v>2514</v>
      </c>
      <c r="Q1825" s="74"/>
      <c r="R1825" s="75"/>
      <c r="S1825" s="75"/>
      <c r="T1825" s="75"/>
      <c r="U1825" s="75"/>
      <c r="V1825" s="75"/>
      <c r="W1825" s="74"/>
      <c r="X1825" s="76"/>
      <c r="Y1825" s="76"/>
      <c r="Z1825" s="76"/>
      <c r="AA1825" s="76"/>
      <c r="AB1825" s="76"/>
      <c r="AC1825" s="74"/>
      <c r="AD1825" s="77"/>
      <c r="AE1825" s="77"/>
      <c r="AF1825" s="77"/>
      <c r="AG1825" s="77"/>
      <c r="AH1825" s="77"/>
      <c r="AI1825" s="68"/>
      <c r="AJ1825" s="213">
        <v>3.9689999999999994E-4</v>
      </c>
      <c r="AK1825" s="213">
        <v>1.7345999999999999</v>
      </c>
      <c r="AL1825" s="213">
        <v>2</v>
      </c>
      <c r="AM1825" s="213">
        <v>3.6734700000000002E-4</v>
      </c>
      <c r="AN1825" s="74"/>
      <c r="AO1825" s="73"/>
      <c r="AP1825" s="73"/>
      <c r="AQ1825" s="73"/>
      <c r="AR1825" s="73"/>
      <c r="AS1825" s="73"/>
      <c r="AT1825" s="74"/>
      <c r="AU1825" s="47"/>
      <c r="AV1825" s="48"/>
    </row>
    <row r="1826" spans="1:48" ht="12.75" customHeight="1" x14ac:dyDescent="0.25">
      <c r="A1826" s="72" t="s">
        <v>20</v>
      </c>
      <c r="B1826" s="43" t="s">
        <v>1833</v>
      </c>
      <c r="C1826" s="44" t="s">
        <v>1983</v>
      </c>
      <c r="D1826" s="45">
        <f>MROUND(MID($C1826,6,3)/Basis!$E$3,0.5)</f>
        <v>14</v>
      </c>
      <c r="E1826" s="45">
        <f>MROUND(MID($C1826,9,3)/Basis!$E$3,0.5)</f>
        <v>110</v>
      </c>
      <c r="F1826" s="124" t="s">
        <v>2946</v>
      </c>
      <c r="G1826" s="45">
        <f>ROUND((ROUNDDOWN($F1826/5,0)*5+1.8)/Basis!$E$3,1)</f>
        <v>4.5999999999999996</v>
      </c>
      <c r="H1826" s="120">
        <f>ROUND($P1826*Basis!$E$2*((TaH-TrH)/LN(1/µ)/Basis!$E$7)^$N1826*$AA$4*Glycol,0)</f>
        <v>7105</v>
      </c>
      <c r="I1826" s="83">
        <f>ROUND(H1826/(MID($C1826,9,3)/Basis!$E$3/Basis!$E$9)*Basis!$E$11,0)</f>
        <v>773</v>
      </c>
      <c r="J1826" s="123">
        <f>IF(Basis!$E$1=1,ROUND(H1826/((TaH-TrH)*1.163)/3600,3),ROUND(H1826/(500*(TaH-TrH)),2))</f>
        <v>0.71</v>
      </c>
      <c r="K1826" s="84"/>
      <c r="L1826" s="177">
        <f>CHOOSE(Basis!$E$1,((AJ1826*(J1826*3600/Basis!$E$5)^AK1826*(((MID(C1826,9,3)*10)-144)/1000)*AL1826+AM1826*(J1826*3600/Basis!$E$5)^2)*0.0098)/Basis!$E$10,((AJ1826*(J1826/Basis!$E$5)^AK1826*(((MID(C1826,9,3)*10)-144)/1000)*AL1826+AM1826*(J1826/Basis!$E$5)^2)*0.0098)/Basis!$E$10)</f>
        <v>0.14186567859209898</v>
      </c>
      <c r="M1826" s="85"/>
      <c r="N1826" s="110">
        <v>1.44</v>
      </c>
      <c r="O1826" s="74"/>
      <c r="P1826" s="73">
        <v>3349</v>
      </c>
      <c r="Q1826" s="74"/>
      <c r="R1826" s="75"/>
      <c r="S1826" s="75"/>
      <c r="T1826" s="75"/>
      <c r="U1826" s="75"/>
      <c r="V1826" s="75"/>
      <c r="W1826" s="74"/>
      <c r="X1826" s="76"/>
      <c r="Y1826" s="76"/>
      <c r="Z1826" s="76"/>
      <c r="AA1826" s="76"/>
      <c r="AB1826" s="76"/>
      <c r="AC1826" s="74"/>
      <c r="AD1826" s="77"/>
      <c r="AE1826" s="77"/>
      <c r="AF1826" s="77"/>
      <c r="AG1826" s="77"/>
      <c r="AH1826" s="77"/>
      <c r="AI1826" s="68"/>
      <c r="AJ1826" s="213">
        <v>3.9689999999999994E-4</v>
      </c>
      <c r="AK1826" s="213">
        <v>1.7345999999999999</v>
      </c>
      <c r="AL1826" s="213">
        <v>4</v>
      </c>
      <c r="AM1826" s="213">
        <v>5.7428799999999995E-4</v>
      </c>
      <c r="AN1826" s="74"/>
      <c r="AO1826" s="73"/>
      <c r="AP1826" s="73"/>
      <c r="AQ1826" s="73"/>
      <c r="AR1826" s="73"/>
      <c r="AS1826" s="73"/>
      <c r="AT1826" s="74"/>
      <c r="AU1826" s="47"/>
      <c r="AV1826" s="48"/>
    </row>
    <row r="1827" spans="1:48" ht="12.75" customHeight="1" x14ac:dyDescent="0.25">
      <c r="A1827" s="72" t="s">
        <v>20</v>
      </c>
      <c r="B1827" s="43" t="s">
        <v>1833</v>
      </c>
      <c r="C1827" s="44" t="s">
        <v>1984</v>
      </c>
      <c r="D1827" s="45">
        <f>MROUND(MID($C1827,6,3)/Basis!$E$3,0.5)</f>
        <v>14</v>
      </c>
      <c r="E1827" s="45">
        <f>MROUND(MID($C1827,9,3)/Basis!$E$3,0.5)</f>
        <v>110</v>
      </c>
      <c r="F1827" s="124" t="s">
        <v>2944</v>
      </c>
      <c r="G1827" s="45">
        <f>ROUND((ROUNDDOWN($F1827/5,0)*5+1.8)/Basis!$E$3,1)</f>
        <v>6.6</v>
      </c>
      <c r="H1827" s="120">
        <f>ROUND($P1827*Basis!$E$2*((TaH-TrH)/LN(1/µ)/Basis!$E$7)^$N1827*$AA$4*Glycol,0)</f>
        <v>8877</v>
      </c>
      <c r="I1827" s="83">
        <f>ROUND(H1827/(MID($C1827,9,3)/Basis!$E$3/Basis!$E$9)*Basis!$E$11,0)</f>
        <v>966</v>
      </c>
      <c r="J1827" s="123">
        <f>IF(Basis!$E$1=1,ROUND(H1827/((TaH-TrH)*1.163)/3600,3),ROUND(H1827/(500*(TaH-TrH)),2))</f>
        <v>0.89</v>
      </c>
      <c r="K1827" s="84"/>
      <c r="L1827" s="177">
        <f>CHOOSE(Basis!$E$1,((AJ1827*(J1827*3600/Basis!$E$5)^AK1827*(((MID(C1827,9,3)*10)-144)/1000)*AL1827+AM1827*(J1827*3600/Basis!$E$5)^2)*0.0098)/Basis!$E$10,((AJ1827*(J1827/Basis!$E$5)^AK1827*(((MID(C1827,9,3)*10)-144)/1000)*AL1827+AM1827*(J1827/Basis!$E$5)^2)*0.0098)/Basis!$E$10)</f>
        <v>9.5853373585394003E-2</v>
      </c>
      <c r="M1827" s="85"/>
      <c r="N1827" s="110">
        <v>1.39</v>
      </c>
      <c r="O1827" s="74"/>
      <c r="P1827" s="73">
        <v>4116</v>
      </c>
      <c r="Q1827" s="74"/>
      <c r="R1827" s="75"/>
      <c r="S1827" s="75"/>
      <c r="T1827" s="75"/>
      <c r="U1827" s="75"/>
      <c r="V1827" s="75"/>
      <c r="W1827" s="74"/>
      <c r="X1827" s="76"/>
      <c r="Y1827" s="76"/>
      <c r="Z1827" s="76"/>
      <c r="AA1827" s="76"/>
      <c r="AB1827" s="76"/>
      <c r="AC1827" s="74"/>
      <c r="AD1827" s="77"/>
      <c r="AE1827" s="77"/>
      <c r="AF1827" s="77"/>
      <c r="AG1827" s="77"/>
      <c r="AH1827" s="77"/>
      <c r="AI1827" s="68"/>
      <c r="AJ1827" s="213">
        <v>2.0829999999999999E-4</v>
      </c>
      <c r="AK1827" s="213">
        <v>1.724</v>
      </c>
      <c r="AL1827" s="213">
        <v>2</v>
      </c>
      <c r="AM1827" s="213">
        <v>4.6182900000000003E-4</v>
      </c>
      <c r="AN1827" s="74"/>
      <c r="AO1827" s="73"/>
      <c r="AP1827" s="73"/>
      <c r="AQ1827" s="73"/>
      <c r="AR1827" s="73"/>
      <c r="AS1827" s="73"/>
      <c r="AT1827" s="74"/>
      <c r="AU1827" s="47"/>
      <c r="AV1827" s="48"/>
    </row>
    <row r="1828" spans="1:48" ht="12.75" customHeight="1" x14ac:dyDescent="0.25">
      <c r="A1828" s="72" t="s">
        <v>20</v>
      </c>
      <c r="B1828" s="43" t="s">
        <v>1833</v>
      </c>
      <c r="C1828" s="44" t="s">
        <v>1985</v>
      </c>
      <c r="D1828" s="45">
        <f>MROUND(MID($C1828,6,3)/Basis!$E$3,0.5)</f>
        <v>14</v>
      </c>
      <c r="E1828" s="45">
        <f>MROUND(MID($C1828,9,3)/Basis!$E$3,0.5)</f>
        <v>110</v>
      </c>
      <c r="F1828" s="124" t="s">
        <v>2947</v>
      </c>
      <c r="G1828" s="45">
        <f>ROUND((ROUNDDOWN($F1828/5,0)*5+1.8)/Basis!$E$3,1)</f>
        <v>6.6</v>
      </c>
      <c r="H1828" s="120">
        <f>ROUND($P1828*Basis!$E$2*((TaH-TrH)/LN(1/µ)/Basis!$E$7)^$N1828*$AA$4*Glycol,0)</f>
        <v>9405</v>
      </c>
      <c r="I1828" s="83">
        <f>ROUND(H1828/(MID($C1828,9,3)/Basis!$E$3/Basis!$E$9)*Basis!$E$11,0)</f>
        <v>1024</v>
      </c>
      <c r="J1828" s="123">
        <f>IF(Basis!$E$1=1,ROUND(H1828/((TaH-TrH)*1.163)/3600,3),ROUND(H1828/(500*(TaH-TrH)),2))</f>
        <v>0.94</v>
      </c>
      <c r="K1828" s="84"/>
      <c r="L1828" s="177">
        <f>CHOOSE(Basis!$E$1,((AJ1828*(J1828*3600/Basis!$E$5)^AK1828*(((MID(C1828,9,3)*10)-144)/1000)*AL1828+AM1828*(J1828*3600/Basis!$E$5)^2)*0.0098)/Basis!$E$10,((AJ1828*(J1828/Basis!$E$5)^AK1828*(((MID(C1828,9,3)*10)-144)/1000)*AL1828+AM1828*(J1828/Basis!$E$5)^2)*0.0098)/Basis!$E$10)</f>
        <v>0.28262994267282182</v>
      </c>
      <c r="M1828" s="85"/>
      <c r="N1828" s="110">
        <v>1.458</v>
      </c>
      <c r="O1828" s="74"/>
      <c r="P1828" s="73">
        <v>4460</v>
      </c>
      <c r="Q1828" s="74"/>
      <c r="R1828" s="75"/>
      <c r="S1828" s="75"/>
      <c r="T1828" s="75"/>
      <c r="U1828" s="75"/>
      <c r="V1828" s="75"/>
      <c r="W1828" s="74"/>
      <c r="X1828" s="76"/>
      <c r="Y1828" s="76"/>
      <c r="Z1828" s="76"/>
      <c r="AA1828" s="76"/>
      <c r="AB1828" s="76"/>
      <c r="AC1828" s="74"/>
      <c r="AD1828" s="77"/>
      <c r="AE1828" s="77"/>
      <c r="AF1828" s="77"/>
      <c r="AG1828" s="77"/>
      <c r="AH1828" s="77"/>
      <c r="AI1828" s="68"/>
      <c r="AJ1828" s="213">
        <v>2.0829999999999999E-4</v>
      </c>
      <c r="AK1828" s="213">
        <v>1.724</v>
      </c>
      <c r="AL1828" s="213">
        <v>4</v>
      </c>
      <c r="AM1828" s="213">
        <v>1.392796E-3</v>
      </c>
      <c r="AN1828" s="74"/>
      <c r="AO1828" s="73"/>
      <c r="AP1828" s="73"/>
      <c r="AQ1828" s="73"/>
      <c r="AR1828" s="73"/>
      <c r="AS1828" s="73"/>
      <c r="AT1828" s="74"/>
      <c r="AU1828" s="47"/>
      <c r="AV1828" s="48"/>
    </row>
    <row r="1829" spans="1:48" ht="12.75" customHeight="1" x14ac:dyDescent="0.25">
      <c r="A1829" s="72" t="s">
        <v>20</v>
      </c>
      <c r="B1829" s="43" t="s">
        <v>1833</v>
      </c>
      <c r="C1829" s="44" t="s">
        <v>1986</v>
      </c>
      <c r="D1829" s="45">
        <f>MROUND(MID($C1829,6,3)/Basis!$E$3,0.5)</f>
        <v>14</v>
      </c>
      <c r="E1829" s="45">
        <f>MROUND(MID($C1829,9,3)/Basis!$E$3,0.5)</f>
        <v>110</v>
      </c>
      <c r="F1829" s="124" t="s">
        <v>2945</v>
      </c>
      <c r="G1829" s="45">
        <f>ROUND((ROUNDDOWN($F1829/5,0)*5+1.8)/Basis!$E$3,1)</f>
        <v>8.6</v>
      </c>
      <c r="H1829" s="120">
        <f>ROUND($P1829*Basis!$E$2*((TaH-TrH)/LN(1/µ)/Basis!$E$7)^$N1829*$AA$4*Glycol,0)</f>
        <v>12440</v>
      </c>
      <c r="I1829" s="83">
        <f>ROUND(H1829/(MID($C1829,9,3)/Basis!$E$3/Basis!$E$9)*Basis!$E$11,0)</f>
        <v>1354</v>
      </c>
      <c r="J1829" s="123">
        <f>IF(Basis!$E$1=1,ROUND(H1829/((TaH-TrH)*1.163)/3600,3),ROUND(H1829/(500*(TaH-TrH)),2))</f>
        <v>1.24</v>
      </c>
      <c r="K1829" s="84"/>
      <c r="L1829" s="177">
        <f>CHOOSE(Basis!$E$1,((AJ1829*(J1829*3600/Basis!$E$5)^AK1829*(((MID(C1829,9,3)*10)-144)/1000)*AL1829+AM1829*(J1829*3600/Basis!$E$5)^2)*0.0098)/Basis!$E$10,((AJ1829*(J1829/Basis!$E$5)^AK1829*(((MID(C1829,9,3)*10)-144)/1000)*AL1829+AM1829*(J1829/Basis!$E$5)^2)*0.0098)/Basis!$E$10)</f>
        <v>0.13429444510779182</v>
      </c>
      <c r="M1829" s="85"/>
      <c r="N1829" s="110">
        <v>1.39</v>
      </c>
      <c r="O1829" s="74"/>
      <c r="P1829" s="73">
        <v>5768</v>
      </c>
      <c r="Q1829" s="74"/>
      <c r="R1829" s="75"/>
      <c r="S1829" s="75"/>
      <c r="T1829" s="75"/>
      <c r="U1829" s="75"/>
      <c r="V1829" s="75"/>
      <c r="W1829" s="74"/>
      <c r="X1829" s="76"/>
      <c r="Y1829" s="76"/>
      <c r="Z1829" s="76"/>
      <c r="AA1829" s="76"/>
      <c r="AB1829" s="76"/>
      <c r="AC1829" s="74"/>
      <c r="AD1829" s="77"/>
      <c r="AE1829" s="77"/>
      <c r="AF1829" s="77"/>
      <c r="AG1829" s="77"/>
      <c r="AH1829" s="77"/>
      <c r="AI1829" s="68"/>
      <c r="AJ1829" s="214">
        <v>1.2760000000000001E-4</v>
      </c>
      <c r="AK1829" s="214">
        <v>1.7219</v>
      </c>
      <c r="AL1829" s="214">
        <v>2</v>
      </c>
      <c r="AM1829" s="214">
        <v>3.76611E-4</v>
      </c>
      <c r="AN1829" s="74"/>
      <c r="AO1829" s="73"/>
      <c r="AP1829" s="73"/>
      <c r="AQ1829" s="73"/>
      <c r="AR1829" s="73"/>
      <c r="AS1829" s="73"/>
      <c r="AT1829" s="74"/>
      <c r="AU1829" s="47"/>
      <c r="AV1829" s="48"/>
    </row>
    <row r="1830" spans="1:48" ht="12.75" customHeight="1" x14ac:dyDescent="0.25">
      <c r="A1830" s="72" t="s">
        <v>20</v>
      </c>
      <c r="B1830" s="43" t="s">
        <v>1833</v>
      </c>
      <c r="C1830" s="44" t="s">
        <v>1987</v>
      </c>
      <c r="D1830" s="45">
        <f>MROUND(MID($C1830,6,3)/Basis!$E$3,0.5)</f>
        <v>14</v>
      </c>
      <c r="E1830" s="45">
        <f>MROUND(MID($C1830,9,3)/Basis!$E$3,0.5)</f>
        <v>110</v>
      </c>
      <c r="F1830" s="124" t="s">
        <v>2948</v>
      </c>
      <c r="G1830" s="45">
        <f>ROUND((ROUNDDOWN($F1830/5,0)*5+1.8)/Basis!$E$3,1)</f>
        <v>8.6</v>
      </c>
      <c r="H1830" s="120">
        <f>ROUND($P1830*Basis!$E$2*((TaH-TrH)/LN(1/µ)/Basis!$E$7)^$N1830*$AA$4*Glycol,0)</f>
        <v>12425</v>
      </c>
      <c r="I1830" s="83">
        <f>ROUND(H1830/(MID($C1830,9,3)/Basis!$E$3/Basis!$E$9)*Basis!$E$11,0)</f>
        <v>1353</v>
      </c>
      <c r="J1830" s="123">
        <f>IF(Basis!$E$1=1,ROUND(H1830/((TaH-TrH)*1.163)/3600,3),ROUND(H1830/(500*(TaH-TrH)),2))</f>
        <v>1.24</v>
      </c>
      <c r="K1830" s="84"/>
      <c r="L1830" s="177">
        <f>CHOOSE(Basis!$E$1,((AJ1830*(J1830*3600/Basis!$E$5)^AK1830*(((MID(C1830,9,3)*10)-144)/1000)*AL1830+AM1830*(J1830*3600/Basis!$E$5)^2)*0.0098)/Basis!$E$10,((AJ1830*(J1830/Basis!$E$5)^AK1830*(((MID(C1830,9,3)*10)-144)/1000)*AL1830+AM1830*(J1830/Basis!$E$5)^2)*0.0098)/Basis!$E$10)</f>
        <v>0.20659949675888528</v>
      </c>
      <c r="M1830" s="85"/>
      <c r="N1830" s="110">
        <v>1.472</v>
      </c>
      <c r="O1830" s="74"/>
      <c r="P1830" s="73">
        <v>5919</v>
      </c>
      <c r="Q1830" s="74"/>
      <c r="R1830" s="75"/>
      <c r="S1830" s="75"/>
      <c r="T1830" s="75"/>
      <c r="U1830" s="75"/>
      <c r="V1830" s="75"/>
      <c r="W1830" s="74"/>
      <c r="X1830" s="76"/>
      <c r="Y1830" s="76"/>
      <c r="Z1830" s="76"/>
      <c r="AA1830" s="76"/>
      <c r="AB1830" s="76"/>
      <c r="AC1830" s="74"/>
      <c r="AD1830" s="77"/>
      <c r="AE1830" s="77"/>
      <c r="AF1830" s="77"/>
      <c r="AG1830" s="77"/>
      <c r="AH1830" s="77"/>
      <c r="AI1830" s="68"/>
      <c r="AJ1830" s="213">
        <v>1.2760000000000001E-4</v>
      </c>
      <c r="AK1830" s="213">
        <v>1.7219</v>
      </c>
      <c r="AL1830" s="213">
        <v>4</v>
      </c>
      <c r="AM1830" s="213">
        <v>5.1420100000000005E-4</v>
      </c>
      <c r="AN1830" s="74"/>
      <c r="AO1830" s="73"/>
      <c r="AP1830" s="73"/>
      <c r="AQ1830" s="73"/>
      <c r="AR1830" s="73"/>
      <c r="AS1830" s="73"/>
      <c r="AT1830" s="74"/>
      <c r="AU1830" s="47"/>
      <c r="AV1830" s="48"/>
    </row>
    <row r="1831" spans="1:48" ht="12.75" customHeight="1" x14ac:dyDescent="0.25">
      <c r="A1831" s="72" t="s">
        <v>20</v>
      </c>
      <c r="B1831" s="43" t="s">
        <v>1833</v>
      </c>
      <c r="C1831" s="44" t="s">
        <v>1988</v>
      </c>
      <c r="D1831" s="45">
        <f>MROUND(MID($C1831,6,3)/Basis!$E$3,0.5)</f>
        <v>19.5</v>
      </c>
      <c r="E1831" s="45">
        <f>MROUND(MID($C1831,9,3)/Basis!$E$3,0.5)</f>
        <v>19.5</v>
      </c>
      <c r="F1831" s="124" t="s">
        <v>2949</v>
      </c>
      <c r="G1831" s="45">
        <f>ROUND((ROUNDDOWN($F1831/5,0)*5+3.5)/Basis!$E$3,1)</f>
        <v>3.3</v>
      </c>
      <c r="H1831" s="120">
        <f>ROUND($P1831*Basis!$E$2*((TaH-TrH)/LN(1/µ)/Basis!$E$7)^$N1831*$AA$4*Glycol,0)</f>
        <v>1028</v>
      </c>
      <c r="I1831" s="83">
        <f>ROUND(H1831/(MID($C1831,9,3)/Basis!$E$3/Basis!$E$9)*Basis!$E$11,0)</f>
        <v>627</v>
      </c>
      <c r="J1831" s="123">
        <f>IF(Basis!$E$1=1,ROUND(H1831/((TaH-TrH)*1.163)/3600,3),ROUND(H1831/(500*(TaH-TrH)),2))</f>
        <v>0.1</v>
      </c>
      <c r="K1831" s="84"/>
      <c r="L1831" s="177">
        <f>CHOOSE(Basis!$E$1,((AJ1831*(J1831*3600/Basis!$E$5)^AK1831*(((MID(C1831,9,3)*10)-144)/1000)*AL1831+AM1831*(J1831*3600/Basis!$E$5)^2)*0.0098)/Basis!$E$10,((AJ1831*(J1831/Basis!$E$5)^AK1831*(((MID(C1831,9,3)*10)-144)/1000)*AL1831+AM1831*(J1831/Basis!$E$5)^2)*0.0098)/Basis!$E$10)</f>
        <v>2.9580626983900364E-3</v>
      </c>
      <c r="M1831" s="85"/>
      <c r="N1831" s="110">
        <v>1.3720000000000001</v>
      </c>
      <c r="O1831" s="74"/>
      <c r="P1831" s="73">
        <v>474</v>
      </c>
      <c r="Q1831" s="74"/>
      <c r="R1831" s="75"/>
      <c r="S1831" s="75"/>
      <c r="T1831" s="75"/>
      <c r="U1831" s="75"/>
      <c r="V1831" s="75"/>
      <c r="W1831" s="74"/>
      <c r="X1831" s="76"/>
      <c r="Y1831" s="76"/>
      <c r="Z1831" s="76"/>
      <c r="AA1831" s="76"/>
      <c r="AB1831" s="76"/>
      <c r="AC1831" s="74"/>
      <c r="AD1831" s="77"/>
      <c r="AE1831" s="77"/>
      <c r="AF1831" s="77"/>
      <c r="AG1831" s="77"/>
      <c r="AH1831" s="77"/>
      <c r="AI1831" s="68"/>
      <c r="AJ1831" s="213">
        <v>1.6125983042710999E-4</v>
      </c>
      <c r="AK1831" s="213">
        <v>2.1458504622376</v>
      </c>
      <c r="AL1831" s="213">
        <v>4</v>
      </c>
      <c r="AM1831" s="213">
        <v>1.3916423712342001E-3</v>
      </c>
      <c r="AN1831" s="74"/>
      <c r="AO1831" s="73"/>
      <c r="AP1831" s="73"/>
      <c r="AQ1831" s="73"/>
      <c r="AR1831" s="73"/>
      <c r="AS1831" s="73"/>
      <c r="AT1831" s="74"/>
      <c r="AU1831" s="47"/>
      <c r="AV1831" s="48"/>
    </row>
    <row r="1832" spans="1:48" ht="12.75" customHeight="1" x14ac:dyDescent="0.25">
      <c r="A1832" s="72" t="s">
        <v>20</v>
      </c>
      <c r="B1832" s="43" t="s">
        <v>1833</v>
      </c>
      <c r="C1832" s="44" t="s">
        <v>1989</v>
      </c>
      <c r="D1832" s="45">
        <f>MROUND(MID($C1832,6,3)/Basis!$E$3,0.5)</f>
        <v>19.5</v>
      </c>
      <c r="E1832" s="45">
        <f>MROUND(MID($C1832,9,3)/Basis!$E$3,0.5)</f>
        <v>19.5</v>
      </c>
      <c r="F1832" s="124" t="s">
        <v>2943</v>
      </c>
      <c r="G1832" s="45">
        <f>ROUND((ROUNDDOWN($F1832/5,0)*5+1.8)/Basis!$E$3,1)</f>
        <v>4.5999999999999996</v>
      </c>
      <c r="H1832" s="120">
        <f>ROUND($P1832*Basis!$E$2*((TaH-TrH)/LN(1/µ)/Basis!$E$7)^$N1832*$AA$4*Glycol,0)</f>
        <v>1162</v>
      </c>
      <c r="I1832" s="83">
        <f>ROUND(H1832/(MID($C1832,9,3)/Basis!$E$3/Basis!$E$9)*Basis!$E$11,0)</f>
        <v>708</v>
      </c>
      <c r="J1832" s="123">
        <f>IF(Basis!$E$1=1,ROUND(H1832/((TaH-TrH)*1.163)/3600,3),ROUND(H1832/(500*(TaH-TrH)),2))</f>
        <v>0.12</v>
      </c>
      <c r="K1832" s="84"/>
      <c r="L1832" s="177">
        <f>CHOOSE(Basis!$E$1,((AJ1832*(J1832*3600/Basis!$E$5)^AK1832*(((MID(C1832,9,3)*10)-144)/1000)*AL1832+AM1832*(J1832*3600/Basis!$E$5)^2)*0.0098)/Basis!$E$10,((AJ1832*(J1832/Basis!$E$5)^AK1832*(((MID(C1832,9,3)*10)-144)/1000)*AL1832+AM1832*(J1832/Basis!$E$5)^2)*0.0098)/Basis!$E$10)</f>
        <v>1.177724754177181E-3</v>
      </c>
      <c r="M1832" s="85"/>
      <c r="N1832" s="109">
        <v>1.385</v>
      </c>
      <c r="O1832" s="68"/>
      <c r="P1832" s="67">
        <v>538</v>
      </c>
      <c r="Q1832" s="68"/>
      <c r="R1832" s="69"/>
      <c r="S1832" s="69"/>
      <c r="T1832" s="69"/>
      <c r="U1832" s="69"/>
      <c r="V1832" s="69"/>
      <c r="W1832" s="68"/>
      <c r="X1832" s="70"/>
      <c r="Y1832" s="70"/>
      <c r="Z1832" s="70"/>
      <c r="AA1832" s="70"/>
      <c r="AB1832" s="70"/>
      <c r="AC1832" s="68"/>
      <c r="AD1832" s="71"/>
      <c r="AE1832" s="71"/>
      <c r="AF1832" s="71"/>
      <c r="AG1832" s="71"/>
      <c r="AH1832" s="71"/>
      <c r="AI1832" s="68"/>
      <c r="AJ1832" s="214">
        <v>3.9689999999999994E-4</v>
      </c>
      <c r="AK1832" s="214">
        <v>1.7345999999999999</v>
      </c>
      <c r="AL1832" s="214">
        <v>2</v>
      </c>
      <c r="AM1832" s="214">
        <v>3.6734700000000002E-4</v>
      </c>
      <c r="AN1832" s="68"/>
      <c r="AO1832" s="67"/>
      <c r="AP1832" s="67"/>
      <c r="AQ1832" s="67"/>
      <c r="AR1832" s="67"/>
      <c r="AS1832" s="67"/>
      <c r="AT1832" s="68"/>
      <c r="AU1832" s="49"/>
      <c r="AV1832" s="50"/>
    </row>
    <row r="1833" spans="1:48" ht="12.75" customHeight="1" x14ac:dyDescent="0.25">
      <c r="A1833" s="72" t="s">
        <v>20</v>
      </c>
      <c r="B1833" s="43" t="s">
        <v>1833</v>
      </c>
      <c r="C1833" s="44" t="s">
        <v>1990</v>
      </c>
      <c r="D1833" s="45">
        <f>MROUND(MID($C1833,6,3)/Basis!$E$3,0.5)</f>
        <v>19.5</v>
      </c>
      <c r="E1833" s="45">
        <f>MROUND(MID($C1833,9,3)/Basis!$E$3,0.5)</f>
        <v>19.5</v>
      </c>
      <c r="F1833" s="124" t="s">
        <v>2946</v>
      </c>
      <c r="G1833" s="45">
        <f>ROUND((ROUNDDOWN($F1833/5,0)*5+1.8)/Basis!$E$3,1)</f>
        <v>4.5999999999999996</v>
      </c>
      <c r="H1833" s="120">
        <f>ROUND($P1833*Basis!$E$2*((TaH-TrH)/LN(1/µ)/Basis!$E$7)^$N1833*$AA$4*Glycol,0)</f>
        <v>1471</v>
      </c>
      <c r="I1833" s="83">
        <f>ROUND(H1833/(MID($C1833,9,3)/Basis!$E$3/Basis!$E$9)*Basis!$E$11,0)</f>
        <v>897</v>
      </c>
      <c r="J1833" s="123">
        <f>IF(Basis!$E$1=1,ROUND(H1833/((TaH-TrH)*1.163)/3600,3),ROUND(H1833/(500*(TaH-TrH)),2))</f>
        <v>0.15</v>
      </c>
      <c r="K1833" s="84"/>
      <c r="L1833" s="177">
        <f>CHOOSE(Basis!$E$1,((AJ1833*(J1833*3600/Basis!$E$5)^AK1833*(((MID(C1833,9,3)*10)-144)/1000)*AL1833+AM1833*(J1833*3600/Basis!$E$5)^2)*0.0098)/Basis!$E$10,((AJ1833*(J1833/Basis!$E$5)^AK1833*(((MID(C1833,9,3)*10)-144)/1000)*AL1833+AM1833*(J1833/Basis!$E$5)^2)*0.0098)/Basis!$E$10)</f>
        <v>3.0203346348982953E-3</v>
      </c>
      <c r="M1833" s="85"/>
      <c r="N1833" s="110">
        <v>1.4379999999999999</v>
      </c>
      <c r="O1833" s="74"/>
      <c r="P1833" s="73">
        <v>693</v>
      </c>
      <c r="Q1833" s="74"/>
      <c r="R1833" s="75"/>
      <c r="S1833" s="75"/>
      <c r="T1833" s="75"/>
      <c r="U1833" s="75"/>
      <c r="V1833" s="75"/>
      <c r="W1833" s="74"/>
      <c r="X1833" s="76"/>
      <c r="Y1833" s="76"/>
      <c r="Z1833" s="76"/>
      <c r="AA1833" s="76"/>
      <c r="AB1833" s="76"/>
      <c r="AC1833" s="74"/>
      <c r="AD1833" s="77"/>
      <c r="AE1833" s="77"/>
      <c r="AF1833" s="77"/>
      <c r="AG1833" s="77"/>
      <c r="AH1833" s="77"/>
      <c r="AI1833" s="68"/>
      <c r="AJ1833" s="213">
        <v>3.9689999999999994E-4</v>
      </c>
      <c r="AK1833" s="213">
        <v>1.7345999999999999</v>
      </c>
      <c r="AL1833" s="213">
        <v>4</v>
      </c>
      <c r="AM1833" s="213">
        <v>5.7428799999999995E-4</v>
      </c>
      <c r="AN1833" s="74"/>
      <c r="AO1833" s="73"/>
      <c r="AP1833" s="73"/>
      <c r="AQ1833" s="73"/>
      <c r="AR1833" s="73"/>
      <c r="AS1833" s="73"/>
      <c r="AT1833" s="74"/>
      <c r="AU1833" s="47"/>
      <c r="AV1833" s="48"/>
    </row>
    <row r="1834" spans="1:48" ht="12.75" customHeight="1" x14ac:dyDescent="0.25">
      <c r="A1834" s="72" t="s">
        <v>20</v>
      </c>
      <c r="B1834" s="43" t="s">
        <v>1833</v>
      </c>
      <c r="C1834" s="44" t="s">
        <v>1991</v>
      </c>
      <c r="D1834" s="45">
        <f>MROUND(MID($C1834,6,3)/Basis!$E$3,0.5)</f>
        <v>19.5</v>
      </c>
      <c r="E1834" s="45">
        <f>MROUND(MID($C1834,9,3)/Basis!$E$3,0.5)</f>
        <v>19.5</v>
      </c>
      <c r="F1834" s="124" t="s">
        <v>2944</v>
      </c>
      <c r="G1834" s="45">
        <f>ROUND((ROUNDDOWN($F1834/5,0)*5+1.8)/Basis!$E$3,1)</f>
        <v>6.6</v>
      </c>
      <c r="H1834" s="120">
        <f>ROUND($P1834*Basis!$E$2*((TaH-TrH)/LN(1/µ)/Basis!$E$7)^$N1834*$AA$4*Glycol,0)</f>
        <v>1880</v>
      </c>
      <c r="I1834" s="83">
        <f>ROUND(H1834/(MID($C1834,9,3)/Basis!$E$3/Basis!$E$9)*Basis!$E$11,0)</f>
        <v>1146</v>
      </c>
      <c r="J1834" s="123">
        <f>IF(Basis!$E$1=1,ROUND(H1834/((TaH-TrH)*1.163)/3600,3),ROUND(H1834/(500*(TaH-TrH)),2))</f>
        <v>0.19</v>
      </c>
      <c r="K1834" s="84"/>
      <c r="L1834" s="177">
        <f>CHOOSE(Basis!$E$1,((AJ1834*(J1834*3600/Basis!$E$5)^AK1834*(((MID(C1834,9,3)*10)-144)/1000)*AL1834+AM1834*(J1834*3600/Basis!$E$5)^2)*0.0098)/Basis!$E$10,((AJ1834*(J1834/Basis!$E$5)^AK1834*(((MID(C1834,9,3)*10)-144)/1000)*AL1834+AM1834*(J1834/Basis!$E$5)^2)*0.0098)/Basis!$E$10)</f>
        <v>3.1315584148762171E-3</v>
      </c>
      <c r="M1834" s="85"/>
      <c r="N1834" s="109">
        <v>1.373</v>
      </c>
      <c r="O1834" s="68"/>
      <c r="P1834" s="67">
        <v>867</v>
      </c>
      <c r="Q1834" s="68"/>
      <c r="R1834" s="69"/>
      <c r="S1834" s="69"/>
      <c r="T1834" s="69"/>
      <c r="U1834" s="69"/>
      <c r="V1834" s="69"/>
      <c r="W1834" s="68"/>
      <c r="X1834" s="70"/>
      <c r="Y1834" s="70"/>
      <c r="Z1834" s="70"/>
      <c r="AA1834" s="70"/>
      <c r="AB1834" s="70"/>
      <c r="AC1834" s="68"/>
      <c r="AD1834" s="71"/>
      <c r="AE1834" s="71"/>
      <c r="AF1834" s="71"/>
      <c r="AG1834" s="71"/>
      <c r="AH1834" s="71"/>
      <c r="AI1834" s="68"/>
      <c r="AJ1834" s="214">
        <v>2.0829999999999999E-4</v>
      </c>
      <c r="AK1834" s="214">
        <v>1.724</v>
      </c>
      <c r="AL1834" s="214">
        <v>2</v>
      </c>
      <c r="AM1834" s="214">
        <v>4.6182900000000003E-4</v>
      </c>
      <c r="AN1834" s="68"/>
      <c r="AO1834" s="67"/>
      <c r="AP1834" s="67"/>
      <c r="AQ1834" s="67"/>
      <c r="AR1834" s="67"/>
      <c r="AS1834" s="67"/>
      <c r="AT1834" s="68"/>
      <c r="AU1834" s="49"/>
      <c r="AV1834" s="50"/>
    </row>
    <row r="1835" spans="1:48" ht="12.75" customHeight="1" x14ac:dyDescent="0.25">
      <c r="A1835" s="72" t="s">
        <v>20</v>
      </c>
      <c r="B1835" s="43" t="s">
        <v>1833</v>
      </c>
      <c r="C1835" s="44" t="s">
        <v>1992</v>
      </c>
      <c r="D1835" s="45">
        <f>MROUND(MID($C1835,6,3)/Basis!$E$3,0.5)</f>
        <v>19.5</v>
      </c>
      <c r="E1835" s="45">
        <f>MROUND(MID($C1835,9,3)/Basis!$E$3,0.5)</f>
        <v>19.5</v>
      </c>
      <c r="F1835" s="124" t="s">
        <v>2947</v>
      </c>
      <c r="G1835" s="45">
        <f>ROUND((ROUNDDOWN($F1835/5,0)*5+1.8)/Basis!$E$3,1)</f>
        <v>6.6</v>
      </c>
      <c r="H1835" s="120">
        <f>ROUND($P1835*Basis!$E$2*((TaH-TrH)/LN(1/µ)/Basis!$E$7)^$N1835*$AA$4*Glycol,0)</f>
        <v>1997</v>
      </c>
      <c r="I1835" s="83">
        <f>ROUND(H1835/(MID($C1835,9,3)/Basis!$E$3/Basis!$E$9)*Basis!$E$11,0)</f>
        <v>1217</v>
      </c>
      <c r="J1835" s="123">
        <f>IF(Basis!$E$1=1,ROUND(H1835/((TaH-TrH)*1.163)/3600,3),ROUND(H1835/(500*(TaH-TrH)),2))</f>
        <v>0.2</v>
      </c>
      <c r="K1835" s="84"/>
      <c r="L1835" s="177">
        <f>CHOOSE(Basis!$E$1,((AJ1835*(J1835*3600/Basis!$E$5)^AK1835*(((MID(C1835,9,3)*10)-144)/1000)*AL1835+AM1835*(J1835*3600/Basis!$E$5)^2)*0.0098)/Basis!$E$10,((AJ1835*(J1835/Basis!$E$5)^AK1835*(((MID(C1835,9,3)*10)-144)/1000)*AL1835+AM1835*(J1835/Basis!$E$5)^2)*0.0098)/Basis!$E$10)</f>
        <v>1.0094970154423176E-2</v>
      </c>
      <c r="M1835" s="85"/>
      <c r="N1835" s="110">
        <v>1.464</v>
      </c>
      <c r="O1835" s="74"/>
      <c r="P1835" s="73">
        <v>949</v>
      </c>
      <c r="Q1835" s="74"/>
      <c r="R1835" s="75"/>
      <c r="S1835" s="75"/>
      <c r="T1835" s="75"/>
      <c r="U1835" s="75"/>
      <c r="V1835" s="75"/>
      <c r="W1835" s="74"/>
      <c r="X1835" s="76"/>
      <c r="Y1835" s="76"/>
      <c r="Z1835" s="76"/>
      <c r="AA1835" s="76"/>
      <c r="AB1835" s="76"/>
      <c r="AC1835" s="74"/>
      <c r="AD1835" s="77"/>
      <c r="AE1835" s="77"/>
      <c r="AF1835" s="77"/>
      <c r="AG1835" s="77"/>
      <c r="AH1835" s="77"/>
      <c r="AI1835" s="68"/>
      <c r="AJ1835" s="213">
        <v>2.0829999999999999E-4</v>
      </c>
      <c r="AK1835" s="213">
        <v>1.724</v>
      </c>
      <c r="AL1835" s="213">
        <v>4</v>
      </c>
      <c r="AM1835" s="213">
        <v>1.392796E-3</v>
      </c>
      <c r="AN1835" s="74"/>
      <c r="AO1835" s="73"/>
      <c r="AP1835" s="73"/>
      <c r="AQ1835" s="73"/>
      <c r="AR1835" s="73"/>
      <c r="AS1835" s="73"/>
      <c r="AT1835" s="74"/>
      <c r="AU1835" s="47"/>
      <c r="AV1835" s="48"/>
    </row>
    <row r="1836" spans="1:48" ht="12.75" customHeight="1" x14ac:dyDescent="0.25">
      <c r="A1836" s="72" t="s">
        <v>20</v>
      </c>
      <c r="B1836" s="43" t="s">
        <v>1833</v>
      </c>
      <c r="C1836" s="44" t="s">
        <v>1993</v>
      </c>
      <c r="D1836" s="45">
        <f>MROUND(MID($C1836,6,3)/Basis!$E$3,0.5)</f>
        <v>19.5</v>
      </c>
      <c r="E1836" s="45">
        <f>MROUND(MID($C1836,9,3)/Basis!$E$3,0.5)</f>
        <v>19.5</v>
      </c>
      <c r="F1836" s="124" t="s">
        <v>2945</v>
      </c>
      <c r="G1836" s="45">
        <f>ROUND((ROUNDDOWN($F1836/5,0)*5+1.8)/Basis!$E$3,1)</f>
        <v>8.6</v>
      </c>
      <c r="H1836" s="120">
        <f>ROUND($P1836*Basis!$E$2*((TaH-TrH)/LN(1/µ)/Basis!$E$7)^$N1836*$AA$4*Glycol,0)</f>
        <v>2631</v>
      </c>
      <c r="I1836" s="83">
        <f>ROUND(H1836/(MID($C1836,9,3)/Basis!$E$3/Basis!$E$9)*Basis!$E$11,0)</f>
        <v>1604</v>
      </c>
      <c r="J1836" s="123">
        <f>IF(Basis!$E$1=1,ROUND(H1836/((TaH-TrH)*1.163)/3600,3),ROUND(H1836/(500*(TaH-TrH)),2))</f>
        <v>0.26</v>
      </c>
      <c r="K1836" s="84"/>
      <c r="L1836" s="177">
        <f>CHOOSE(Basis!$E$1,((AJ1836*(J1836*3600/Basis!$E$5)^AK1836*(((MID(C1836,9,3)*10)-144)/1000)*AL1836+AM1836*(J1836*3600/Basis!$E$5)^2)*0.0098)/Basis!$E$10,((AJ1836*(J1836/Basis!$E$5)^AK1836*(((MID(C1836,9,3)*10)-144)/1000)*AL1836+AM1836*(J1836/Basis!$E$5)^2)*0.0098)/Basis!$E$10)</f>
        <v>4.6273795118290505E-3</v>
      </c>
      <c r="M1836" s="85"/>
      <c r="N1836" s="109">
        <v>1.373</v>
      </c>
      <c r="O1836" s="68"/>
      <c r="P1836" s="67">
        <v>1213</v>
      </c>
      <c r="Q1836" s="68"/>
      <c r="R1836" s="69"/>
      <c r="S1836" s="69"/>
      <c r="T1836" s="69"/>
      <c r="U1836" s="69"/>
      <c r="V1836" s="69"/>
      <c r="W1836" s="68"/>
      <c r="X1836" s="70"/>
      <c r="Y1836" s="70"/>
      <c r="Z1836" s="70"/>
      <c r="AA1836" s="70"/>
      <c r="AB1836" s="70"/>
      <c r="AC1836" s="68"/>
      <c r="AD1836" s="71"/>
      <c r="AE1836" s="71"/>
      <c r="AF1836" s="71"/>
      <c r="AG1836" s="71"/>
      <c r="AH1836" s="71"/>
      <c r="AI1836" s="68"/>
      <c r="AJ1836" s="214">
        <v>1.2760000000000001E-4</v>
      </c>
      <c r="AK1836" s="214">
        <v>1.7219</v>
      </c>
      <c r="AL1836" s="214">
        <v>2</v>
      </c>
      <c r="AM1836" s="214">
        <v>3.76611E-4</v>
      </c>
      <c r="AN1836" s="68"/>
      <c r="AO1836" s="67"/>
      <c r="AP1836" s="67"/>
      <c r="AQ1836" s="67"/>
      <c r="AR1836" s="67"/>
      <c r="AS1836" s="67"/>
      <c r="AT1836" s="68"/>
      <c r="AU1836" s="49"/>
      <c r="AV1836" s="50"/>
    </row>
    <row r="1837" spans="1:48" ht="12.75" customHeight="1" x14ac:dyDescent="0.25">
      <c r="A1837" s="72" t="s">
        <v>20</v>
      </c>
      <c r="B1837" s="43" t="s">
        <v>1833</v>
      </c>
      <c r="C1837" s="44" t="s">
        <v>1994</v>
      </c>
      <c r="D1837" s="45">
        <f>MROUND(MID($C1837,6,3)/Basis!$E$3,0.5)</f>
        <v>19.5</v>
      </c>
      <c r="E1837" s="45">
        <f>MROUND(MID($C1837,9,3)/Basis!$E$3,0.5)</f>
        <v>19.5</v>
      </c>
      <c r="F1837" s="124" t="s">
        <v>2948</v>
      </c>
      <c r="G1837" s="45">
        <f>ROUND((ROUNDDOWN($F1837/5,0)*5+1.8)/Basis!$E$3,1)</f>
        <v>8.6</v>
      </c>
      <c r="H1837" s="120">
        <f>ROUND($P1837*Basis!$E$2*((TaH-TrH)/LN(1/µ)/Basis!$E$7)^$N1837*$AA$4*Glycol,0)</f>
        <v>2698</v>
      </c>
      <c r="I1837" s="83">
        <f>ROUND(H1837/(MID($C1837,9,3)/Basis!$E$3/Basis!$E$9)*Basis!$E$11,0)</f>
        <v>1645</v>
      </c>
      <c r="J1837" s="123">
        <f>IF(Basis!$E$1=1,ROUND(H1837/((TaH-TrH)*1.163)/3600,3),ROUND(H1837/(500*(TaH-TrH)),2))</f>
        <v>0.27</v>
      </c>
      <c r="K1837" s="84"/>
      <c r="L1837" s="177">
        <f>CHOOSE(Basis!$E$1,((AJ1837*(J1837*3600/Basis!$E$5)^AK1837*(((MID(C1837,9,3)*10)-144)/1000)*AL1837+AM1837*(J1837*3600/Basis!$E$5)^2)*0.0098)/Basis!$E$10,((AJ1837*(J1837/Basis!$E$5)^AK1837*(((MID(C1837,9,3)*10)-144)/1000)*AL1837+AM1837*(J1837/Basis!$E$5)^2)*0.0098)/Basis!$E$10)</f>
        <v>7.0338370333079383E-3</v>
      </c>
      <c r="M1837" s="85"/>
      <c r="N1837" s="110">
        <v>1.4850000000000001</v>
      </c>
      <c r="O1837" s="74"/>
      <c r="P1837" s="73">
        <v>1291</v>
      </c>
      <c r="Q1837" s="74"/>
      <c r="R1837" s="75"/>
      <c r="S1837" s="75"/>
      <c r="T1837" s="75"/>
      <c r="U1837" s="75"/>
      <c r="V1837" s="75"/>
      <c r="W1837" s="74"/>
      <c r="X1837" s="76"/>
      <c r="Y1837" s="76"/>
      <c r="Z1837" s="76"/>
      <c r="AA1837" s="76"/>
      <c r="AB1837" s="76"/>
      <c r="AC1837" s="74"/>
      <c r="AD1837" s="77"/>
      <c r="AE1837" s="77"/>
      <c r="AF1837" s="77"/>
      <c r="AG1837" s="77"/>
      <c r="AH1837" s="77"/>
      <c r="AI1837" s="68"/>
      <c r="AJ1837" s="213">
        <v>1.2760000000000001E-4</v>
      </c>
      <c r="AK1837" s="213">
        <v>1.7219</v>
      </c>
      <c r="AL1837" s="213">
        <v>4</v>
      </c>
      <c r="AM1837" s="213">
        <v>5.1420100000000005E-4</v>
      </c>
      <c r="AN1837" s="74"/>
      <c r="AO1837" s="73"/>
      <c r="AP1837" s="73"/>
      <c r="AQ1837" s="73"/>
      <c r="AR1837" s="73"/>
      <c r="AS1837" s="73"/>
      <c r="AT1837" s="74"/>
      <c r="AU1837" s="47"/>
      <c r="AV1837" s="48"/>
    </row>
    <row r="1838" spans="1:48" ht="12.75" customHeight="1" x14ac:dyDescent="0.25">
      <c r="A1838" s="72" t="s">
        <v>20</v>
      </c>
      <c r="B1838" s="43" t="s">
        <v>1833</v>
      </c>
      <c r="C1838" s="44" t="s">
        <v>1995</v>
      </c>
      <c r="D1838" s="45">
        <f>MROUND(MID($C1838,6,3)/Basis!$E$3,0.5)</f>
        <v>19.5</v>
      </c>
      <c r="E1838" s="45">
        <f>MROUND(MID($C1838,9,3)/Basis!$E$3,0.5)</f>
        <v>23.5</v>
      </c>
      <c r="F1838" s="124" t="s">
        <v>2949</v>
      </c>
      <c r="G1838" s="45">
        <f>ROUND((ROUNDDOWN($F1838/5,0)*5+3.5)/Basis!$E$3,1)</f>
        <v>3.3</v>
      </c>
      <c r="H1838" s="120">
        <f>ROUND($P1838*Basis!$E$2*((TaH-TrH)/LN(1/µ)/Basis!$E$7)^$N1838*$AA$4*Glycol,0)</f>
        <v>1232</v>
      </c>
      <c r="I1838" s="83">
        <f>ROUND(H1838/(MID($C1838,9,3)/Basis!$E$3/Basis!$E$9)*Basis!$E$11,0)</f>
        <v>626</v>
      </c>
      <c r="J1838" s="123">
        <f>IF(Basis!$E$1=1,ROUND(H1838/((TaH-TrH)*1.163)/3600,3),ROUND(H1838/(500*(TaH-TrH)),2))</f>
        <v>0.12</v>
      </c>
      <c r="K1838" s="84"/>
      <c r="L1838" s="177">
        <f>CHOOSE(Basis!$E$1,((AJ1838*(J1838*3600/Basis!$E$5)^AK1838*(((MID(C1838,9,3)*10)-144)/1000)*AL1838+AM1838*(J1838*3600/Basis!$E$5)^2)*0.0098)/Basis!$E$10,((AJ1838*(J1838/Basis!$E$5)^AK1838*(((MID(C1838,9,3)*10)-144)/1000)*AL1838+AM1838*(J1838/Basis!$E$5)^2)*0.0098)/Basis!$E$10)</f>
        <v>4.5370263981645174E-3</v>
      </c>
      <c r="M1838" s="85"/>
      <c r="N1838" s="109">
        <v>1.3720000000000001</v>
      </c>
      <c r="O1838" s="68"/>
      <c r="P1838" s="67">
        <v>568</v>
      </c>
      <c r="Q1838" s="68"/>
      <c r="R1838" s="69"/>
      <c r="S1838" s="69"/>
      <c r="T1838" s="69"/>
      <c r="U1838" s="69"/>
      <c r="V1838" s="69"/>
      <c r="W1838" s="68"/>
      <c r="X1838" s="70"/>
      <c r="Y1838" s="70"/>
      <c r="Z1838" s="70"/>
      <c r="AA1838" s="70"/>
      <c r="AB1838" s="70"/>
      <c r="AC1838" s="68"/>
      <c r="AD1838" s="71"/>
      <c r="AE1838" s="71"/>
      <c r="AF1838" s="71"/>
      <c r="AG1838" s="71"/>
      <c r="AH1838" s="71"/>
      <c r="AI1838" s="68"/>
      <c r="AJ1838" s="214">
        <v>1.6125983042710999E-4</v>
      </c>
      <c r="AK1838" s="214">
        <v>2.1458504622376</v>
      </c>
      <c r="AL1838" s="214">
        <v>4</v>
      </c>
      <c r="AM1838" s="214">
        <v>1.3916423712342001E-3</v>
      </c>
      <c r="AN1838" s="68"/>
      <c r="AO1838" s="67"/>
      <c r="AP1838" s="67"/>
      <c r="AQ1838" s="67"/>
      <c r="AR1838" s="67"/>
      <c r="AS1838" s="67"/>
      <c r="AT1838" s="68"/>
      <c r="AU1838" s="49"/>
      <c r="AV1838" s="50"/>
    </row>
    <row r="1839" spans="1:48" ht="12.75" customHeight="1" x14ac:dyDescent="0.25">
      <c r="A1839" s="72" t="s">
        <v>20</v>
      </c>
      <c r="B1839" s="43" t="s">
        <v>1833</v>
      </c>
      <c r="C1839" s="44" t="s">
        <v>1996</v>
      </c>
      <c r="D1839" s="45">
        <f>MROUND(MID($C1839,6,3)/Basis!$E$3,0.5)</f>
        <v>19.5</v>
      </c>
      <c r="E1839" s="45">
        <f>MROUND(MID($C1839,9,3)/Basis!$E$3,0.5)</f>
        <v>23.5</v>
      </c>
      <c r="F1839" s="124" t="s">
        <v>2943</v>
      </c>
      <c r="G1839" s="45">
        <f>ROUND((ROUNDDOWN($F1839/5,0)*5+1.8)/Basis!$E$3,1)</f>
        <v>4.5999999999999996</v>
      </c>
      <c r="H1839" s="120">
        <f>ROUND($P1839*Basis!$E$2*((TaH-TrH)/LN(1/µ)/Basis!$E$7)^$N1839*$AA$4*Glycol,0)</f>
        <v>1396</v>
      </c>
      <c r="I1839" s="83">
        <f>ROUND(H1839/(MID($C1839,9,3)/Basis!$E$3/Basis!$E$9)*Basis!$E$11,0)</f>
        <v>709</v>
      </c>
      <c r="J1839" s="123">
        <f>IF(Basis!$E$1=1,ROUND(H1839/((TaH-TrH)*1.163)/3600,3),ROUND(H1839/(500*(TaH-TrH)),2))</f>
        <v>0.14000000000000001</v>
      </c>
      <c r="K1839" s="84"/>
      <c r="L1839" s="177">
        <f>CHOOSE(Basis!$E$1,((AJ1839*(J1839*3600/Basis!$E$5)^AK1839*(((MID(C1839,9,3)*10)-144)/1000)*AL1839+AM1839*(J1839*3600/Basis!$E$5)^2)*0.0098)/Basis!$E$10,((AJ1839*(J1839/Basis!$E$5)^AK1839*(((MID(C1839,9,3)*10)-144)/1000)*AL1839+AM1839*(J1839/Basis!$E$5)^2)*0.0098)/Basis!$E$10)</f>
        <v>1.6922160915461598E-3</v>
      </c>
      <c r="M1839" s="85"/>
      <c r="N1839" s="110">
        <v>1.385</v>
      </c>
      <c r="O1839" s="74"/>
      <c r="P1839" s="73">
        <v>646</v>
      </c>
      <c r="Q1839" s="74"/>
      <c r="R1839" s="75"/>
      <c r="S1839" s="75"/>
      <c r="T1839" s="75"/>
      <c r="U1839" s="75"/>
      <c r="V1839" s="75"/>
      <c r="W1839" s="74"/>
      <c r="X1839" s="76"/>
      <c r="Y1839" s="76"/>
      <c r="Z1839" s="76"/>
      <c r="AA1839" s="76"/>
      <c r="AB1839" s="76"/>
      <c r="AC1839" s="74"/>
      <c r="AD1839" s="77"/>
      <c r="AE1839" s="77"/>
      <c r="AF1839" s="77"/>
      <c r="AG1839" s="77"/>
      <c r="AH1839" s="77"/>
      <c r="AI1839" s="68"/>
      <c r="AJ1839" s="213">
        <v>3.9689999999999994E-4</v>
      </c>
      <c r="AK1839" s="213">
        <v>1.7345999999999999</v>
      </c>
      <c r="AL1839" s="213">
        <v>2</v>
      </c>
      <c r="AM1839" s="213">
        <v>3.6734700000000002E-4</v>
      </c>
      <c r="AN1839" s="74"/>
      <c r="AO1839" s="73"/>
      <c r="AP1839" s="73"/>
      <c r="AQ1839" s="73"/>
      <c r="AR1839" s="73"/>
      <c r="AS1839" s="73"/>
      <c r="AT1839" s="74"/>
      <c r="AU1839" s="47"/>
      <c r="AV1839" s="48"/>
    </row>
    <row r="1840" spans="1:48" ht="12.75" customHeight="1" x14ac:dyDescent="0.25">
      <c r="A1840" s="72" t="s">
        <v>20</v>
      </c>
      <c r="B1840" s="43" t="s">
        <v>1833</v>
      </c>
      <c r="C1840" s="44" t="s">
        <v>1997</v>
      </c>
      <c r="D1840" s="45">
        <f>MROUND(MID($C1840,6,3)/Basis!$E$3,0.5)</f>
        <v>19.5</v>
      </c>
      <c r="E1840" s="45">
        <f>MROUND(MID($C1840,9,3)/Basis!$E$3,0.5)</f>
        <v>23.5</v>
      </c>
      <c r="F1840" s="124" t="s">
        <v>2946</v>
      </c>
      <c r="G1840" s="45">
        <f>ROUND((ROUNDDOWN($F1840/5,0)*5+1.8)/Basis!$E$3,1)</f>
        <v>4.5999999999999996</v>
      </c>
      <c r="H1840" s="120">
        <f>ROUND($P1840*Basis!$E$2*((TaH-TrH)/LN(1/µ)/Basis!$E$7)^$N1840*$AA$4*Glycol,0)</f>
        <v>1766</v>
      </c>
      <c r="I1840" s="83">
        <f>ROUND(H1840/(MID($C1840,9,3)/Basis!$E$3/Basis!$E$9)*Basis!$E$11,0)</f>
        <v>897</v>
      </c>
      <c r="J1840" s="123">
        <f>IF(Basis!$E$1=1,ROUND(H1840/((TaH-TrH)*1.163)/3600,3),ROUND(H1840/(500*(TaH-TrH)),2))</f>
        <v>0.18</v>
      </c>
      <c r="K1840" s="84"/>
      <c r="L1840" s="177">
        <f>CHOOSE(Basis!$E$1,((AJ1840*(J1840*3600/Basis!$E$5)^AK1840*(((MID(C1840,9,3)*10)-144)/1000)*AL1840+AM1840*(J1840*3600/Basis!$E$5)^2)*0.0098)/Basis!$E$10,((AJ1840*(J1840/Basis!$E$5)^AK1840*(((MID(C1840,9,3)*10)-144)/1000)*AL1840+AM1840*(J1840/Basis!$E$5)^2)*0.0098)/Basis!$E$10)</f>
        <v>4.6161462096240054E-3</v>
      </c>
      <c r="M1840" s="85"/>
      <c r="N1840" s="110">
        <v>1.4379999999999999</v>
      </c>
      <c r="O1840" s="74"/>
      <c r="P1840" s="73">
        <v>832</v>
      </c>
      <c r="Q1840" s="74"/>
      <c r="R1840" s="75"/>
      <c r="S1840" s="75"/>
      <c r="T1840" s="75"/>
      <c r="U1840" s="75"/>
      <c r="V1840" s="75"/>
      <c r="W1840" s="74"/>
      <c r="X1840" s="76"/>
      <c r="Y1840" s="76"/>
      <c r="Z1840" s="76"/>
      <c r="AA1840" s="76"/>
      <c r="AB1840" s="76"/>
      <c r="AC1840" s="74"/>
      <c r="AD1840" s="77"/>
      <c r="AE1840" s="77"/>
      <c r="AF1840" s="77"/>
      <c r="AG1840" s="77"/>
      <c r="AH1840" s="77"/>
      <c r="AI1840" s="68"/>
      <c r="AJ1840" s="213">
        <v>3.9689999999999994E-4</v>
      </c>
      <c r="AK1840" s="213">
        <v>1.7345999999999999</v>
      </c>
      <c r="AL1840" s="213">
        <v>4</v>
      </c>
      <c r="AM1840" s="213">
        <v>5.7428799999999995E-4</v>
      </c>
      <c r="AN1840" s="74"/>
      <c r="AO1840" s="73"/>
      <c r="AP1840" s="73"/>
      <c r="AQ1840" s="73"/>
      <c r="AR1840" s="73"/>
      <c r="AS1840" s="73"/>
      <c r="AT1840" s="74"/>
      <c r="AU1840" s="47"/>
      <c r="AV1840" s="48"/>
    </row>
    <row r="1841" spans="1:48" ht="12.75" customHeight="1" x14ac:dyDescent="0.25">
      <c r="A1841" s="72" t="s">
        <v>20</v>
      </c>
      <c r="B1841" s="43" t="s">
        <v>1833</v>
      </c>
      <c r="C1841" s="44" t="s">
        <v>1998</v>
      </c>
      <c r="D1841" s="45">
        <f>MROUND(MID($C1841,6,3)/Basis!$E$3,0.5)</f>
        <v>19.5</v>
      </c>
      <c r="E1841" s="45">
        <f>MROUND(MID($C1841,9,3)/Basis!$E$3,0.5)</f>
        <v>23.5</v>
      </c>
      <c r="F1841" s="124" t="s">
        <v>2944</v>
      </c>
      <c r="G1841" s="45">
        <f>ROUND((ROUNDDOWN($F1841/5,0)*5+1.8)/Basis!$E$3,1)</f>
        <v>6.6</v>
      </c>
      <c r="H1841" s="120">
        <f>ROUND($P1841*Basis!$E$2*((TaH-TrH)/LN(1/µ)/Basis!$E$7)^$N1841*$AA$4*Glycol,0)</f>
        <v>2256</v>
      </c>
      <c r="I1841" s="83">
        <f>ROUND(H1841/(MID($C1841,9,3)/Basis!$E$3/Basis!$E$9)*Basis!$E$11,0)</f>
        <v>1146</v>
      </c>
      <c r="J1841" s="123">
        <f>IF(Basis!$E$1=1,ROUND(H1841/((TaH-TrH)*1.163)/3600,3),ROUND(H1841/(500*(TaH-TrH)),2))</f>
        <v>0.23</v>
      </c>
      <c r="K1841" s="84"/>
      <c r="L1841" s="177">
        <f>CHOOSE(Basis!$E$1,((AJ1841*(J1841*3600/Basis!$E$5)^AK1841*(((MID(C1841,9,3)*10)-144)/1000)*AL1841+AM1841*(J1841*3600/Basis!$E$5)^2)*0.0098)/Basis!$E$10,((AJ1841*(J1841/Basis!$E$5)^AK1841*(((MID(C1841,9,3)*10)-144)/1000)*AL1841+AM1841*(J1841/Basis!$E$5)^2)*0.0098)/Basis!$E$10)</f>
        <v>4.6896095866809625E-3</v>
      </c>
      <c r="M1841" s="85"/>
      <c r="N1841" s="110">
        <v>1.373</v>
      </c>
      <c r="O1841" s="74"/>
      <c r="P1841" s="73">
        <v>1040</v>
      </c>
      <c r="Q1841" s="74"/>
      <c r="R1841" s="75"/>
      <c r="S1841" s="75"/>
      <c r="T1841" s="75"/>
      <c r="U1841" s="75"/>
      <c r="V1841" s="75"/>
      <c r="W1841" s="74"/>
      <c r="X1841" s="76"/>
      <c r="Y1841" s="76"/>
      <c r="Z1841" s="76"/>
      <c r="AA1841" s="76"/>
      <c r="AB1841" s="76"/>
      <c r="AC1841" s="74"/>
      <c r="AD1841" s="77"/>
      <c r="AE1841" s="77"/>
      <c r="AF1841" s="77"/>
      <c r="AG1841" s="77"/>
      <c r="AH1841" s="77"/>
      <c r="AI1841" s="68"/>
      <c r="AJ1841" s="213">
        <v>2.0829999999999999E-4</v>
      </c>
      <c r="AK1841" s="213">
        <v>1.724</v>
      </c>
      <c r="AL1841" s="213">
        <v>2</v>
      </c>
      <c r="AM1841" s="213">
        <v>4.6182900000000003E-4</v>
      </c>
      <c r="AN1841" s="74"/>
      <c r="AO1841" s="73"/>
      <c r="AP1841" s="73"/>
      <c r="AQ1841" s="73"/>
      <c r="AR1841" s="73"/>
      <c r="AS1841" s="73"/>
      <c r="AT1841" s="74"/>
      <c r="AU1841" s="47"/>
      <c r="AV1841" s="48"/>
    </row>
    <row r="1842" spans="1:48" ht="12.75" customHeight="1" x14ac:dyDescent="0.25">
      <c r="A1842" s="72" t="s">
        <v>20</v>
      </c>
      <c r="B1842" s="43" t="s">
        <v>1833</v>
      </c>
      <c r="C1842" s="44" t="s">
        <v>1999</v>
      </c>
      <c r="D1842" s="45">
        <f>MROUND(MID($C1842,6,3)/Basis!$E$3,0.5)</f>
        <v>19.5</v>
      </c>
      <c r="E1842" s="45">
        <f>MROUND(MID($C1842,9,3)/Basis!$E$3,0.5)</f>
        <v>23.5</v>
      </c>
      <c r="F1842" s="124" t="s">
        <v>2947</v>
      </c>
      <c r="G1842" s="45">
        <f>ROUND((ROUNDDOWN($F1842/5,0)*5+1.8)/Basis!$E$3,1)</f>
        <v>6.6</v>
      </c>
      <c r="H1842" s="120">
        <f>ROUND($P1842*Basis!$E$2*((TaH-TrH)/LN(1/µ)/Basis!$E$7)^$N1842*$AA$4*Glycol,0)</f>
        <v>2397</v>
      </c>
      <c r="I1842" s="83">
        <f>ROUND(H1842/(MID($C1842,9,3)/Basis!$E$3/Basis!$E$9)*Basis!$E$11,0)</f>
        <v>1218</v>
      </c>
      <c r="J1842" s="123">
        <f>IF(Basis!$E$1=1,ROUND(H1842/((TaH-TrH)*1.163)/3600,3),ROUND(H1842/(500*(TaH-TrH)),2))</f>
        <v>0.24</v>
      </c>
      <c r="K1842" s="84"/>
      <c r="L1842" s="177">
        <f>CHOOSE(Basis!$E$1,((AJ1842*(J1842*3600/Basis!$E$5)^AK1842*(((MID(C1842,9,3)*10)-144)/1000)*AL1842+AM1842*(J1842*3600/Basis!$E$5)^2)*0.0098)/Basis!$E$10,((AJ1842*(J1842/Basis!$E$5)^AK1842*(((MID(C1842,9,3)*10)-144)/1000)*AL1842+AM1842*(J1842/Basis!$E$5)^2)*0.0098)/Basis!$E$10)</f>
        <v>1.4755927550914144E-2</v>
      </c>
      <c r="M1842" s="85"/>
      <c r="N1842" s="110">
        <v>1.464</v>
      </c>
      <c r="O1842" s="74"/>
      <c r="P1842" s="73">
        <v>1139</v>
      </c>
      <c r="Q1842" s="74"/>
      <c r="R1842" s="75"/>
      <c r="S1842" s="75"/>
      <c r="T1842" s="75"/>
      <c r="U1842" s="75"/>
      <c r="V1842" s="75"/>
      <c r="W1842" s="74"/>
      <c r="X1842" s="76"/>
      <c r="Y1842" s="76"/>
      <c r="Z1842" s="76"/>
      <c r="AA1842" s="76"/>
      <c r="AB1842" s="76"/>
      <c r="AC1842" s="74"/>
      <c r="AD1842" s="77"/>
      <c r="AE1842" s="77"/>
      <c r="AF1842" s="77"/>
      <c r="AG1842" s="77"/>
      <c r="AH1842" s="77"/>
      <c r="AI1842" s="68"/>
      <c r="AJ1842" s="213">
        <v>2.0829999999999999E-4</v>
      </c>
      <c r="AK1842" s="213">
        <v>1.724</v>
      </c>
      <c r="AL1842" s="213">
        <v>4</v>
      </c>
      <c r="AM1842" s="213">
        <v>1.392796E-3</v>
      </c>
      <c r="AN1842" s="74"/>
      <c r="AO1842" s="73"/>
      <c r="AP1842" s="73"/>
      <c r="AQ1842" s="73"/>
      <c r="AR1842" s="73"/>
      <c r="AS1842" s="73"/>
      <c r="AT1842" s="74"/>
      <c r="AU1842" s="47"/>
      <c r="AV1842" s="48"/>
    </row>
    <row r="1843" spans="1:48" ht="12.75" customHeight="1" x14ac:dyDescent="0.25">
      <c r="A1843" s="72" t="s">
        <v>20</v>
      </c>
      <c r="B1843" s="43" t="s">
        <v>1833</v>
      </c>
      <c r="C1843" s="44" t="s">
        <v>2000</v>
      </c>
      <c r="D1843" s="45">
        <f>MROUND(MID($C1843,6,3)/Basis!$E$3,0.5)</f>
        <v>19.5</v>
      </c>
      <c r="E1843" s="45">
        <f>MROUND(MID($C1843,9,3)/Basis!$E$3,0.5)</f>
        <v>23.5</v>
      </c>
      <c r="F1843" s="124" t="s">
        <v>2945</v>
      </c>
      <c r="G1843" s="45">
        <f>ROUND((ROUNDDOWN($F1843/5,0)*5+1.8)/Basis!$E$3,1)</f>
        <v>8.6</v>
      </c>
      <c r="H1843" s="120">
        <f>ROUND($P1843*Basis!$E$2*((TaH-TrH)/LN(1/µ)/Basis!$E$7)^$N1843*$AA$4*Glycol,0)</f>
        <v>3156</v>
      </c>
      <c r="I1843" s="83">
        <f>ROUND(H1843/(MID($C1843,9,3)/Basis!$E$3/Basis!$E$9)*Basis!$E$11,0)</f>
        <v>1603</v>
      </c>
      <c r="J1843" s="123">
        <f>IF(Basis!$E$1=1,ROUND(H1843/((TaH-TrH)*1.163)/3600,3),ROUND(H1843/(500*(TaH-TrH)),2))</f>
        <v>0.32</v>
      </c>
      <c r="K1843" s="84"/>
      <c r="L1843" s="177">
        <f>CHOOSE(Basis!$E$1,((AJ1843*(J1843*3600/Basis!$E$5)^AK1843*(((MID(C1843,9,3)*10)-144)/1000)*AL1843+AM1843*(J1843*3600/Basis!$E$5)^2)*0.0098)/Basis!$E$10,((AJ1843*(J1843/Basis!$E$5)^AK1843*(((MID(C1843,9,3)*10)-144)/1000)*AL1843+AM1843*(J1843/Basis!$E$5)^2)*0.0098)/Basis!$E$10)</f>
        <v>7.1150325886397423E-3</v>
      </c>
      <c r="M1843" s="85"/>
      <c r="N1843" s="110">
        <v>1.373</v>
      </c>
      <c r="O1843" s="74"/>
      <c r="P1843" s="73">
        <v>1455</v>
      </c>
      <c r="Q1843" s="74"/>
      <c r="R1843" s="75"/>
      <c r="S1843" s="75"/>
      <c r="T1843" s="75"/>
      <c r="U1843" s="75"/>
      <c r="V1843" s="75"/>
      <c r="W1843" s="74"/>
      <c r="X1843" s="76"/>
      <c r="Y1843" s="76"/>
      <c r="Z1843" s="76"/>
      <c r="AA1843" s="76"/>
      <c r="AB1843" s="76"/>
      <c r="AC1843" s="74"/>
      <c r="AD1843" s="77"/>
      <c r="AE1843" s="77"/>
      <c r="AF1843" s="77"/>
      <c r="AG1843" s="77"/>
      <c r="AH1843" s="77"/>
      <c r="AI1843" s="68"/>
      <c r="AJ1843" s="214">
        <v>1.2760000000000001E-4</v>
      </c>
      <c r="AK1843" s="214">
        <v>1.7219</v>
      </c>
      <c r="AL1843" s="214">
        <v>2</v>
      </c>
      <c r="AM1843" s="214">
        <v>3.76611E-4</v>
      </c>
      <c r="AN1843" s="74"/>
      <c r="AO1843" s="73"/>
      <c r="AP1843" s="73"/>
      <c r="AQ1843" s="73"/>
      <c r="AR1843" s="73"/>
      <c r="AS1843" s="73"/>
      <c r="AT1843" s="74"/>
      <c r="AU1843" s="47"/>
      <c r="AV1843" s="48"/>
    </row>
    <row r="1844" spans="1:48" ht="12.75" customHeight="1" x14ac:dyDescent="0.25">
      <c r="A1844" s="72" t="s">
        <v>20</v>
      </c>
      <c r="B1844" s="43" t="s">
        <v>1833</v>
      </c>
      <c r="C1844" s="44" t="s">
        <v>2001</v>
      </c>
      <c r="D1844" s="45">
        <f>MROUND(MID($C1844,6,3)/Basis!$E$3,0.5)</f>
        <v>19.5</v>
      </c>
      <c r="E1844" s="45">
        <f>MROUND(MID($C1844,9,3)/Basis!$E$3,0.5)</f>
        <v>23.5</v>
      </c>
      <c r="F1844" s="124" t="s">
        <v>2948</v>
      </c>
      <c r="G1844" s="45">
        <f>ROUND((ROUNDDOWN($F1844/5,0)*5+1.8)/Basis!$E$3,1)</f>
        <v>8.6</v>
      </c>
      <c r="H1844" s="120">
        <f>ROUND($P1844*Basis!$E$2*((TaH-TrH)/LN(1/µ)/Basis!$E$7)^$N1844*$AA$4*Glycol,0)</f>
        <v>3238</v>
      </c>
      <c r="I1844" s="83">
        <f>ROUND(H1844/(MID($C1844,9,3)/Basis!$E$3/Basis!$E$9)*Basis!$E$11,0)</f>
        <v>1645</v>
      </c>
      <c r="J1844" s="123">
        <f>IF(Basis!$E$1=1,ROUND(H1844/((TaH-TrH)*1.163)/3600,3),ROUND(H1844/(500*(TaH-TrH)),2))</f>
        <v>0.32</v>
      </c>
      <c r="K1844" s="84"/>
      <c r="L1844" s="177">
        <f>CHOOSE(Basis!$E$1,((AJ1844*(J1844*3600/Basis!$E$5)^AK1844*(((MID(C1844,9,3)*10)-144)/1000)*AL1844+AM1844*(J1844*3600/Basis!$E$5)^2)*0.0098)/Basis!$E$10,((AJ1844*(J1844/Basis!$E$5)^AK1844*(((MID(C1844,9,3)*10)-144)/1000)*AL1844+AM1844*(J1844/Basis!$E$5)^2)*0.0098)/Basis!$E$10)</f>
        <v>1.0101739286302699E-2</v>
      </c>
      <c r="M1844" s="85"/>
      <c r="N1844" s="110">
        <v>1.4850000000000001</v>
      </c>
      <c r="O1844" s="74"/>
      <c r="P1844" s="73">
        <v>1549</v>
      </c>
      <c r="Q1844" s="74"/>
      <c r="R1844" s="75"/>
      <c r="S1844" s="75"/>
      <c r="T1844" s="75"/>
      <c r="U1844" s="75"/>
      <c r="V1844" s="75"/>
      <c r="W1844" s="74"/>
      <c r="X1844" s="76"/>
      <c r="Y1844" s="76"/>
      <c r="Z1844" s="76"/>
      <c r="AA1844" s="76"/>
      <c r="AB1844" s="76"/>
      <c r="AC1844" s="74"/>
      <c r="AD1844" s="77"/>
      <c r="AE1844" s="77"/>
      <c r="AF1844" s="77"/>
      <c r="AG1844" s="77"/>
      <c r="AH1844" s="77"/>
      <c r="AI1844" s="68"/>
      <c r="AJ1844" s="213">
        <v>1.2760000000000001E-4</v>
      </c>
      <c r="AK1844" s="213">
        <v>1.7219</v>
      </c>
      <c r="AL1844" s="213">
        <v>4</v>
      </c>
      <c r="AM1844" s="213">
        <v>5.1420100000000005E-4</v>
      </c>
      <c r="AN1844" s="74"/>
      <c r="AO1844" s="73"/>
      <c r="AP1844" s="73"/>
      <c r="AQ1844" s="73"/>
      <c r="AR1844" s="73"/>
      <c r="AS1844" s="73"/>
      <c r="AT1844" s="74"/>
      <c r="AU1844" s="47"/>
      <c r="AV1844" s="48"/>
    </row>
    <row r="1845" spans="1:48" ht="12.75" customHeight="1" x14ac:dyDescent="0.25">
      <c r="A1845" s="72" t="s">
        <v>20</v>
      </c>
      <c r="B1845" s="43" t="s">
        <v>1833</v>
      </c>
      <c r="C1845" s="44" t="s">
        <v>2002</v>
      </c>
      <c r="D1845" s="45">
        <f>MROUND(MID($C1845,6,3)/Basis!$E$3,0.5)</f>
        <v>19.5</v>
      </c>
      <c r="E1845" s="45">
        <f>MROUND(MID($C1845,9,3)/Basis!$E$3,0.5)</f>
        <v>27.5</v>
      </c>
      <c r="F1845" s="124" t="s">
        <v>2949</v>
      </c>
      <c r="G1845" s="45">
        <f>ROUND((ROUNDDOWN($F1845/5,0)*5+3.5)/Basis!$E$3,1)</f>
        <v>3.3</v>
      </c>
      <c r="H1845" s="120">
        <f>ROUND($P1845*Basis!$E$2*((TaH-TrH)/LN(1/µ)/Basis!$E$7)^$N1845*$AA$4*Glycol,0)</f>
        <v>1438</v>
      </c>
      <c r="I1845" s="83">
        <f>ROUND(H1845/(MID($C1845,9,3)/Basis!$E$3/Basis!$E$9)*Basis!$E$11,0)</f>
        <v>626</v>
      </c>
      <c r="J1845" s="123">
        <f>IF(Basis!$E$1=1,ROUND(H1845/((TaH-TrH)*1.163)/3600,3),ROUND(H1845/(500*(TaH-TrH)),2))</f>
        <v>0.14000000000000001</v>
      </c>
      <c r="K1845" s="84"/>
      <c r="L1845" s="177">
        <f>CHOOSE(Basis!$E$1,((AJ1845*(J1845*3600/Basis!$E$5)^AK1845*(((MID(C1845,9,3)*10)-144)/1000)*AL1845+AM1845*(J1845*3600/Basis!$E$5)^2)*0.0098)/Basis!$E$10,((AJ1845*(J1845/Basis!$E$5)^AK1845*(((MID(C1845,9,3)*10)-144)/1000)*AL1845+AM1845*(J1845/Basis!$E$5)^2)*0.0098)/Basis!$E$10)</f>
        <v>6.5643879666233062E-3</v>
      </c>
      <c r="M1845" s="85"/>
      <c r="N1845" s="110">
        <v>1.3720000000000001</v>
      </c>
      <c r="O1845" s="74"/>
      <c r="P1845" s="73">
        <v>663</v>
      </c>
      <c r="Q1845" s="74"/>
      <c r="R1845" s="75"/>
      <c r="S1845" s="75"/>
      <c r="T1845" s="75"/>
      <c r="U1845" s="75"/>
      <c r="V1845" s="75"/>
      <c r="W1845" s="74"/>
      <c r="X1845" s="76"/>
      <c r="Y1845" s="76"/>
      <c r="Z1845" s="76"/>
      <c r="AA1845" s="76"/>
      <c r="AB1845" s="76"/>
      <c r="AC1845" s="74"/>
      <c r="AD1845" s="77"/>
      <c r="AE1845" s="77"/>
      <c r="AF1845" s="77"/>
      <c r="AG1845" s="77"/>
      <c r="AH1845" s="77"/>
      <c r="AI1845" s="68"/>
      <c r="AJ1845" s="213">
        <v>1.6125983042710999E-4</v>
      </c>
      <c r="AK1845" s="213">
        <v>2.1458504622376</v>
      </c>
      <c r="AL1845" s="213">
        <v>4</v>
      </c>
      <c r="AM1845" s="213">
        <v>1.3916423712342001E-3</v>
      </c>
      <c r="AN1845" s="74"/>
      <c r="AO1845" s="73"/>
      <c r="AP1845" s="73"/>
      <c r="AQ1845" s="73"/>
      <c r="AR1845" s="73"/>
      <c r="AS1845" s="73"/>
      <c r="AT1845" s="74"/>
      <c r="AU1845" s="47"/>
      <c r="AV1845" s="48"/>
    </row>
    <row r="1846" spans="1:48" ht="12.75" customHeight="1" x14ac:dyDescent="0.25">
      <c r="A1846" s="72" t="s">
        <v>20</v>
      </c>
      <c r="B1846" s="43" t="s">
        <v>1833</v>
      </c>
      <c r="C1846" s="44" t="s">
        <v>2003</v>
      </c>
      <c r="D1846" s="45">
        <f>MROUND(MID($C1846,6,3)/Basis!$E$3,0.5)</f>
        <v>19.5</v>
      </c>
      <c r="E1846" s="45">
        <f>MROUND(MID($C1846,9,3)/Basis!$E$3,0.5)</f>
        <v>27.5</v>
      </c>
      <c r="F1846" s="124" t="s">
        <v>2943</v>
      </c>
      <c r="G1846" s="45">
        <f>ROUND((ROUNDDOWN($F1846/5,0)*5+1.8)/Basis!$E$3,1)</f>
        <v>4.5999999999999996</v>
      </c>
      <c r="H1846" s="120">
        <f>ROUND($P1846*Basis!$E$2*((TaH-TrH)/LN(1/µ)/Basis!$E$7)^$N1846*$AA$4*Glycol,0)</f>
        <v>1627</v>
      </c>
      <c r="I1846" s="83">
        <f>ROUND(H1846/(MID($C1846,9,3)/Basis!$E$3/Basis!$E$9)*Basis!$E$11,0)</f>
        <v>708</v>
      </c>
      <c r="J1846" s="123">
        <f>IF(Basis!$E$1=1,ROUND(H1846/((TaH-TrH)*1.163)/3600,3),ROUND(H1846/(500*(TaH-TrH)),2))</f>
        <v>0.16</v>
      </c>
      <c r="K1846" s="84"/>
      <c r="L1846" s="177">
        <f>CHOOSE(Basis!$E$1,((AJ1846*(J1846*3600/Basis!$E$5)^AK1846*(((MID(C1846,9,3)*10)-144)/1000)*AL1846+AM1846*(J1846*3600/Basis!$E$5)^2)*0.0098)/Basis!$E$10,((AJ1846*(J1846/Basis!$E$5)^AK1846*(((MID(C1846,9,3)*10)-144)/1000)*AL1846+AM1846*(J1846/Basis!$E$5)^2)*0.0098)/Basis!$E$10)</f>
        <v>2.3206016653743865E-3</v>
      </c>
      <c r="M1846" s="85"/>
      <c r="N1846" s="109">
        <v>1.385</v>
      </c>
      <c r="O1846" s="68"/>
      <c r="P1846" s="67">
        <v>753</v>
      </c>
      <c r="Q1846" s="68"/>
      <c r="R1846" s="69"/>
      <c r="S1846" s="69"/>
      <c r="T1846" s="69"/>
      <c r="U1846" s="69"/>
      <c r="V1846" s="69"/>
      <c r="W1846" s="68"/>
      <c r="X1846" s="70"/>
      <c r="Y1846" s="70"/>
      <c r="Z1846" s="70"/>
      <c r="AA1846" s="70"/>
      <c r="AB1846" s="70"/>
      <c r="AC1846" s="68"/>
      <c r="AD1846" s="71"/>
      <c r="AE1846" s="71"/>
      <c r="AF1846" s="71"/>
      <c r="AG1846" s="71"/>
      <c r="AH1846" s="71"/>
      <c r="AI1846" s="68"/>
      <c r="AJ1846" s="214">
        <v>3.9689999999999994E-4</v>
      </c>
      <c r="AK1846" s="214">
        <v>1.7345999999999999</v>
      </c>
      <c r="AL1846" s="214">
        <v>2</v>
      </c>
      <c r="AM1846" s="214">
        <v>3.6734700000000002E-4</v>
      </c>
      <c r="AN1846" s="68"/>
      <c r="AO1846" s="67"/>
      <c r="AP1846" s="67"/>
      <c r="AQ1846" s="67"/>
      <c r="AR1846" s="67"/>
      <c r="AS1846" s="67"/>
      <c r="AT1846" s="68"/>
      <c r="AU1846" s="49"/>
      <c r="AV1846" s="50"/>
    </row>
    <row r="1847" spans="1:48" ht="12.75" customHeight="1" x14ac:dyDescent="0.25">
      <c r="A1847" s="72" t="s">
        <v>20</v>
      </c>
      <c r="B1847" s="43" t="s">
        <v>1833</v>
      </c>
      <c r="C1847" s="44" t="s">
        <v>2004</v>
      </c>
      <c r="D1847" s="45">
        <f>MROUND(MID($C1847,6,3)/Basis!$E$3,0.5)</f>
        <v>19.5</v>
      </c>
      <c r="E1847" s="45">
        <f>MROUND(MID($C1847,9,3)/Basis!$E$3,0.5)</f>
        <v>27.5</v>
      </c>
      <c r="F1847" s="124" t="s">
        <v>2946</v>
      </c>
      <c r="G1847" s="45">
        <f>ROUND((ROUNDDOWN($F1847/5,0)*5+1.8)/Basis!$E$3,1)</f>
        <v>4.5999999999999996</v>
      </c>
      <c r="H1847" s="120">
        <f>ROUND($P1847*Basis!$E$2*((TaH-TrH)/LN(1/µ)/Basis!$E$7)^$N1847*$AA$4*Glycol,0)</f>
        <v>2059</v>
      </c>
      <c r="I1847" s="83">
        <f>ROUND(H1847/(MID($C1847,9,3)/Basis!$E$3/Basis!$E$9)*Basis!$E$11,0)</f>
        <v>897</v>
      </c>
      <c r="J1847" s="123">
        <f>IF(Basis!$E$1=1,ROUND(H1847/((TaH-TrH)*1.163)/3600,3),ROUND(H1847/(500*(TaH-TrH)),2))</f>
        <v>0.21</v>
      </c>
      <c r="K1847" s="84"/>
      <c r="L1847" s="177">
        <f>CHOOSE(Basis!$E$1,((AJ1847*(J1847*3600/Basis!$E$5)^AK1847*(((MID(C1847,9,3)*10)-144)/1000)*AL1847+AM1847*(J1847*3600/Basis!$E$5)^2)*0.0098)/Basis!$E$10,((AJ1847*(J1847/Basis!$E$5)^AK1847*(((MID(C1847,9,3)*10)-144)/1000)*AL1847+AM1847*(J1847/Basis!$E$5)^2)*0.0098)/Basis!$E$10)</f>
        <v>6.6258622373469422E-3</v>
      </c>
      <c r="M1847" s="85"/>
      <c r="N1847" s="109">
        <v>1.4379999999999999</v>
      </c>
      <c r="O1847" s="68"/>
      <c r="P1847" s="67">
        <v>970</v>
      </c>
      <c r="Q1847" s="68"/>
      <c r="R1847" s="69"/>
      <c r="S1847" s="69"/>
      <c r="T1847" s="69"/>
      <c r="U1847" s="69"/>
      <c r="V1847" s="69"/>
      <c r="W1847" s="68"/>
      <c r="X1847" s="70"/>
      <c r="Y1847" s="70"/>
      <c r="Z1847" s="70"/>
      <c r="AA1847" s="70"/>
      <c r="AB1847" s="70"/>
      <c r="AC1847" s="68"/>
      <c r="AD1847" s="71"/>
      <c r="AE1847" s="71"/>
      <c r="AF1847" s="71"/>
      <c r="AG1847" s="71"/>
      <c r="AH1847" s="71"/>
      <c r="AI1847" s="68"/>
      <c r="AJ1847" s="214">
        <v>3.9689999999999994E-4</v>
      </c>
      <c r="AK1847" s="214">
        <v>1.7345999999999999</v>
      </c>
      <c r="AL1847" s="214">
        <v>4</v>
      </c>
      <c r="AM1847" s="214">
        <v>5.7428799999999995E-4</v>
      </c>
      <c r="AN1847" s="68"/>
      <c r="AO1847" s="67"/>
      <c r="AP1847" s="67"/>
      <c r="AQ1847" s="67"/>
      <c r="AR1847" s="67"/>
      <c r="AS1847" s="67"/>
      <c r="AT1847" s="68"/>
      <c r="AU1847" s="49"/>
      <c r="AV1847" s="50"/>
    </row>
    <row r="1848" spans="1:48" ht="12.75" customHeight="1" x14ac:dyDescent="0.25">
      <c r="A1848" s="72" t="s">
        <v>20</v>
      </c>
      <c r="B1848" s="43" t="s">
        <v>1833</v>
      </c>
      <c r="C1848" s="44" t="s">
        <v>2005</v>
      </c>
      <c r="D1848" s="45">
        <f>MROUND(MID($C1848,6,3)/Basis!$E$3,0.5)</f>
        <v>19.5</v>
      </c>
      <c r="E1848" s="45">
        <f>MROUND(MID($C1848,9,3)/Basis!$E$3,0.5)</f>
        <v>27.5</v>
      </c>
      <c r="F1848" s="124" t="s">
        <v>2944</v>
      </c>
      <c r="G1848" s="45">
        <f>ROUND((ROUNDDOWN($F1848/5,0)*5+1.8)/Basis!$E$3,1)</f>
        <v>6.6</v>
      </c>
      <c r="H1848" s="120">
        <f>ROUND($P1848*Basis!$E$2*((TaH-TrH)/LN(1/µ)/Basis!$E$7)^$N1848*$AA$4*Glycol,0)</f>
        <v>2633</v>
      </c>
      <c r="I1848" s="83">
        <f>ROUND(H1848/(MID($C1848,9,3)/Basis!$E$3/Basis!$E$9)*Basis!$E$11,0)</f>
        <v>1146</v>
      </c>
      <c r="J1848" s="123">
        <f>IF(Basis!$E$1=1,ROUND(H1848/((TaH-TrH)*1.163)/3600,3),ROUND(H1848/(500*(TaH-TrH)),2))</f>
        <v>0.26</v>
      </c>
      <c r="K1848" s="84"/>
      <c r="L1848" s="177">
        <f>CHOOSE(Basis!$E$1,((AJ1848*(J1848*3600/Basis!$E$5)^AK1848*(((MID(C1848,9,3)*10)-144)/1000)*AL1848+AM1848*(J1848*3600/Basis!$E$5)^2)*0.0098)/Basis!$E$10,((AJ1848*(J1848/Basis!$E$5)^AK1848*(((MID(C1848,9,3)*10)-144)/1000)*AL1848+AM1848*(J1848/Basis!$E$5)^2)*0.0098)/Basis!$E$10)</f>
        <v>6.122699488726722E-3</v>
      </c>
      <c r="M1848" s="85"/>
      <c r="N1848" s="109">
        <v>1.373</v>
      </c>
      <c r="O1848" s="68"/>
      <c r="P1848" s="67">
        <v>1214</v>
      </c>
      <c r="Q1848" s="68"/>
      <c r="R1848" s="69"/>
      <c r="S1848" s="69"/>
      <c r="T1848" s="69"/>
      <c r="U1848" s="69"/>
      <c r="V1848" s="69"/>
      <c r="W1848" s="68"/>
      <c r="X1848" s="70"/>
      <c r="Y1848" s="70"/>
      <c r="Z1848" s="70"/>
      <c r="AA1848" s="70"/>
      <c r="AB1848" s="70"/>
      <c r="AC1848" s="68"/>
      <c r="AD1848" s="71"/>
      <c r="AE1848" s="71"/>
      <c r="AF1848" s="71"/>
      <c r="AG1848" s="71"/>
      <c r="AH1848" s="71"/>
      <c r="AI1848" s="68"/>
      <c r="AJ1848" s="214">
        <v>2.0829999999999999E-4</v>
      </c>
      <c r="AK1848" s="214">
        <v>1.724</v>
      </c>
      <c r="AL1848" s="214">
        <v>2</v>
      </c>
      <c r="AM1848" s="214">
        <v>4.6182900000000003E-4</v>
      </c>
      <c r="AN1848" s="68"/>
      <c r="AO1848" s="67"/>
      <c r="AP1848" s="67"/>
      <c r="AQ1848" s="67"/>
      <c r="AR1848" s="67"/>
      <c r="AS1848" s="67"/>
      <c r="AT1848" s="68"/>
      <c r="AU1848" s="49"/>
      <c r="AV1848" s="50"/>
    </row>
    <row r="1849" spans="1:48" ht="12.75" customHeight="1" x14ac:dyDescent="0.25">
      <c r="A1849" s="72" t="s">
        <v>20</v>
      </c>
      <c r="B1849" s="43" t="s">
        <v>1833</v>
      </c>
      <c r="C1849" s="44" t="s">
        <v>2006</v>
      </c>
      <c r="D1849" s="45">
        <f>MROUND(MID($C1849,6,3)/Basis!$E$3,0.5)</f>
        <v>19.5</v>
      </c>
      <c r="E1849" s="45">
        <f>MROUND(MID($C1849,9,3)/Basis!$E$3,0.5)</f>
        <v>27.5</v>
      </c>
      <c r="F1849" s="124" t="s">
        <v>2947</v>
      </c>
      <c r="G1849" s="45">
        <f>ROUND((ROUNDDOWN($F1849/5,0)*5+1.8)/Basis!$E$3,1)</f>
        <v>6.6</v>
      </c>
      <c r="H1849" s="120">
        <f>ROUND($P1849*Basis!$E$2*((TaH-TrH)/LN(1/µ)/Basis!$E$7)^$N1849*$AA$4*Glycol,0)</f>
        <v>2797</v>
      </c>
      <c r="I1849" s="83">
        <f>ROUND(H1849/(MID($C1849,9,3)/Basis!$E$3/Basis!$E$9)*Basis!$E$11,0)</f>
        <v>1218</v>
      </c>
      <c r="J1849" s="123">
        <f>IF(Basis!$E$1=1,ROUND(H1849/((TaH-TrH)*1.163)/3600,3),ROUND(H1849/(500*(TaH-TrH)),2))</f>
        <v>0.28000000000000003</v>
      </c>
      <c r="K1849" s="84"/>
      <c r="L1849" s="177">
        <f>CHOOSE(Basis!$E$1,((AJ1849*(J1849*3600/Basis!$E$5)^AK1849*(((MID(C1849,9,3)*10)-144)/1000)*AL1849+AM1849*(J1849*3600/Basis!$E$5)^2)*0.0098)/Basis!$E$10,((AJ1849*(J1849/Basis!$E$5)^AK1849*(((MID(C1849,9,3)*10)-144)/1000)*AL1849+AM1849*(J1849/Basis!$E$5)^2)*0.0098)/Basis!$E$10)</f>
        <v>2.0365279207537831E-2</v>
      </c>
      <c r="M1849" s="85"/>
      <c r="N1849" s="109">
        <v>1.464</v>
      </c>
      <c r="O1849" s="68"/>
      <c r="P1849" s="67">
        <v>1329</v>
      </c>
      <c r="Q1849" s="68"/>
      <c r="R1849" s="69"/>
      <c r="S1849" s="69"/>
      <c r="T1849" s="69"/>
      <c r="U1849" s="69"/>
      <c r="V1849" s="69"/>
      <c r="W1849" s="68"/>
      <c r="X1849" s="70"/>
      <c r="Y1849" s="70"/>
      <c r="Z1849" s="70"/>
      <c r="AA1849" s="70"/>
      <c r="AB1849" s="70"/>
      <c r="AC1849" s="68"/>
      <c r="AD1849" s="71"/>
      <c r="AE1849" s="71"/>
      <c r="AF1849" s="71"/>
      <c r="AG1849" s="71"/>
      <c r="AH1849" s="71"/>
      <c r="AI1849" s="68"/>
      <c r="AJ1849" s="214">
        <v>2.0829999999999999E-4</v>
      </c>
      <c r="AK1849" s="214">
        <v>1.724</v>
      </c>
      <c r="AL1849" s="214">
        <v>4</v>
      </c>
      <c r="AM1849" s="214">
        <v>1.392796E-3</v>
      </c>
      <c r="AN1849" s="68"/>
      <c r="AO1849" s="67"/>
      <c r="AP1849" s="67"/>
      <c r="AQ1849" s="67"/>
      <c r="AR1849" s="67"/>
      <c r="AS1849" s="67"/>
      <c r="AT1849" s="68"/>
      <c r="AU1849" s="49"/>
      <c r="AV1849" s="50"/>
    </row>
    <row r="1850" spans="1:48" ht="12.75" customHeight="1" x14ac:dyDescent="0.25">
      <c r="A1850" s="72" t="s">
        <v>20</v>
      </c>
      <c r="B1850" s="43" t="s">
        <v>1833</v>
      </c>
      <c r="C1850" s="44" t="s">
        <v>2007</v>
      </c>
      <c r="D1850" s="45">
        <f>MROUND(MID($C1850,6,3)/Basis!$E$3,0.5)</f>
        <v>19.5</v>
      </c>
      <c r="E1850" s="45">
        <f>MROUND(MID($C1850,9,3)/Basis!$E$3,0.5)</f>
        <v>27.5</v>
      </c>
      <c r="F1850" s="124" t="s">
        <v>2945</v>
      </c>
      <c r="G1850" s="45">
        <f>ROUND((ROUNDDOWN($F1850/5,0)*5+1.8)/Basis!$E$3,1)</f>
        <v>8.6</v>
      </c>
      <c r="H1850" s="120">
        <f>ROUND($P1850*Basis!$E$2*((TaH-TrH)/LN(1/µ)/Basis!$E$7)^$N1850*$AA$4*Glycol,0)</f>
        <v>3683</v>
      </c>
      <c r="I1850" s="83">
        <f>ROUND(H1850/(MID($C1850,9,3)/Basis!$E$3/Basis!$E$9)*Basis!$E$11,0)</f>
        <v>1604</v>
      </c>
      <c r="J1850" s="123">
        <f>IF(Basis!$E$1=1,ROUND(H1850/((TaH-TrH)*1.163)/3600,3),ROUND(H1850/(500*(TaH-TrH)),2))</f>
        <v>0.37</v>
      </c>
      <c r="K1850" s="84"/>
      <c r="L1850" s="177">
        <f>CHOOSE(Basis!$E$1,((AJ1850*(J1850*3600/Basis!$E$5)^AK1850*(((MID(C1850,9,3)*10)-144)/1000)*AL1850+AM1850*(J1850*3600/Basis!$E$5)^2)*0.0098)/Basis!$E$10,((AJ1850*(J1850/Basis!$E$5)^AK1850*(((MID(C1850,9,3)*10)-144)/1000)*AL1850+AM1850*(J1850/Basis!$E$5)^2)*0.0098)/Basis!$E$10)</f>
        <v>9.6517445856657263E-3</v>
      </c>
      <c r="M1850" s="85"/>
      <c r="N1850" s="109">
        <v>1.373</v>
      </c>
      <c r="O1850" s="68"/>
      <c r="P1850" s="67">
        <v>1698</v>
      </c>
      <c r="Q1850" s="68"/>
      <c r="R1850" s="69"/>
      <c r="S1850" s="69"/>
      <c r="T1850" s="69"/>
      <c r="U1850" s="69"/>
      <c r="V1850" s="69"/>
      <c r="W1850" s="68"/>
      <c r="X1850" s="70"/>
      <c r="Y1850" s="70"/>
      <c r="Z1850" s="70"/>
      <c r="AA1850" s="70"/>
      <c r="AB1850" s="70"/>
      <c r="AC1850" s="68"/>
      <c r="AD1850" s="71"/>
      <c r="AE1850" s="71"/>
      <c r="AF1850" s="71"/>
      <c r="AG1850" s="71"/>
      <c r="AH1850" s="71"/>
      <c r="AI1850" s="68"/>
      <c r="AJ1850" s="214">
        <v>1.2760000000000001E-4</v>
      </c>
      <c r="AK1850" s="214">
        <v>1.7219</v>
      </c>
      <c r="AL1850" s="214">
        <v>2</v>
      </c>
      <c r="AM1850" s="214">
        <v>3.76611E-4</v>
      </c>
      <c r="AN1850" s="68"/>
      <c r="AO1850" s="67"/>
      <c r="AP1850" s="67"/>
      <c r="AQ1850" s="67"/>
      <c r="AR1850" s="67"/>
      <c r="AS1850" s="67"/>
      <c r="AT1850" s="68"/>
      <c r="AU1850" s="49"/>
      <c r="AV1850" s="50"/>
    </row>
    <row r="1851" spans="1:48" ht="12.75" customHeight="1" x14ac:dyDescent="0.25">
      <c r="A1851" s="72" t="s">
        <v>20</v>
      </c>
      <c r="B1851" s="43" t="s">
        <v>1833</v>
      </c>
      <c r="C1851" s="44" t="s">
        <v>2008</v>
      </c>
      <c r="D1851" s="45">
        <f>MROUND(MID($C1851,6,3)/Basis!$E$3,0.5)</f>
        <v>19.5</v>
      </c>
      <c r="E1851" s="45">
        <f>MROUND(MID($C1851,9,3)/Basis!$E$3,0.5)</f>
        <v>27.5</v>
      </c>
      <c r="F1851" s="124" t="s">
        <v>2948</v>
      </c>
      <c r="G1851" s="45">
        <f>ROUND((ROUNDDOWN($F1851/5,0)*5+1.8)/Basis!$E$3,1)</f>
        <v>8.6</v>
      </c>
      <c r="H1851" s="120">
        <f>ROUND($P1851*Basis!$E$2*((TaH-TrH)/LN(1/µ)/Basis!$E$7)^$N1851*$AA$4*Glycol,0)</f>
        <v>3777</v>
      </c>
      <c r="I1851" s="83">
        <f>ROUND(H1851/(MID($C1851,9,3)/Basis!$E$3/Basis!$E$9)*Basis!$E$11,0)</f>
        <v>1645</v>
      </c>
      <c r="J1851" s="123">
        <f>IF(Basis!$E$1=1,ROUND(H1851/((TaH-TrH)*1.163)/3600,3),ROUND(H1851/(500*(TaH-TrH)),2))</f>
        <v>0.38</v>
      </c>
      <c r="K1851" s="84"/>
      <c r="L1851" s="177">
        <f>CHOOSE(Basis!$E$1,((AJ1851*(J1851*3600/Basis!$E$5)^AK1851*(((MID(C1851,9,3)*10)-144)/1000)*AL1851+AM1851*(J1851*3600/Basis!$E$5)^2)*0.0098)/Basis!$E$10,((AJ1851*(J1851/Basis!$E$5)^AK1851*(((MID(C1851,9,3)*10)-144)/1000)*AL1851+AM1851*(J1851/Basis!$E$5)^2)*0.0098)/Basis!$E$10)</f>
        <v>1.4524543753618762E-2</v>
      </c>
      <c r="M1851" s="85"/>
      <c r="N1851" s="109">
        <v>1.4850000000000001</v>
      </c>
      <c r="O1851" s="68"/>
      <c r="P1851" s="67">
        <v>1807</v>
      </c>
      <c r="Q1851" s="68"/>
      <c r="R1851" s="69"/>
      <c r="S1851" s="69"/>
      <c r="T1851" s="69"/>
      <c r="U1851" s="69"/>
      <c r="V1851" s="69"/>
      <c r="W1851" s="68"/>
      <c r="X1851" s="70"/>
      <c r="Y1851" s="70"/>
      <c r="Z1851" s="70"/>
      <c r="AA1851" s="70"/>
      <c r="AB1851" s="70"/>
      <c r="AC1851" s="68"/>
      <c r="AD1851" s="71"/>
      <c r="AE1851" s="71"/>
      <c r="AF1851" s="71"/>
      <c r="AG1851" s="71"/>
      <c r="AH1851" s="71"/>
      <c r="AI1851" s="68"/>
      <c r="AJ1851" s="214">
        <v>1.2760000000000001E-4</v>
      </c>
      <c r="AK1851" s="214">
        <v>1.7219</v>
      </c>
      <c r="AL1851" s="214">
        <v>4</v>
      </c>
      <c r="AM1851" s="214">
        <v>5.1420100000000005E-4</v>
      </c>
      <c r="AN1851" s="68"/>
      <c r="AO1851" s="67"/>
      <c r="AP1851" s="67"/>
      <c r="AQ1851" s="67"/>
      <c r="AR1851" s="67"/>
      <c r="AS1851" s="67"/>
      <c r="AT1851" s="68"/>
      <c r="AU1851" s="49"/>
      <c r="AV1851" s="50"/>
    </row>
    <row r="1852" spans="1:48" ht="12.75" customHeight="1" x14ac:dyDescent="0.25">
      <c r="A1852" s="72" t="s">
        <v>20</v>
      </c>
      <c r="B1852" s="43" t="s">
        <v>1833</v>
      </c>
      <c r="C1852" s="44" t="s">
        <v>2009</v>
      </c>
      <c r="D1852" s="45">
        <f>MROUND(MID($C1852,6,3)/Basis!$E$3,0.5)</f>
        <v>19.5</v>
      </c>
      <c r="E1852" s="45">
        <f>MROUND(MID($C1852,9,3)/Basis!$E$3,0.5)</f>
        <v>31.5</v>
      </c>
      <c r="F1852" s="124" t="s">
        <v>2949</v>
      </c>
      <c r="G1852" s="45">
        <f>ROUND((ROUNDDOWN($F1852/5,0)*5+3.5)/Basis!$E$3,1)</f>
        <v>3.3</v>
      </c>
      <c r="H1852" s="120">
        <f>ROUND($P1852*Basis!$E$2*((TaH-TrH)/LN(1/µ)/Basis!$E$7)^$N1852*$AA$4*Glycol,0)</f>
        <v>1645</v>
      </c>
      <c r="I1852" s="83">
        <f>ROUND(H1852/(MID($C1852,9,3)/Basis!$E$3/Basis!$E$9)*Basis!$E$11,0)</f>
        <v>627</v>
      </c>
      <c r="J1852" s="123">
        <f>IF(Basis!$E$1=1,ROUND(H1852/((TaH-TrH)*1.163)/3600,3),ROUND(H1852/(500*(TaH-TrH)),2))</f>
        <v>0.16</v>
      </c>
      <c r="K1852" s="84"/>
      <c r="L1852" s="177">
        <f>CHOOSE(Basis!$E$1,((AJ1852*(J1852*3600/Basis!$E$5)^AK1852*(((MID(C1852,9,3)*10)-144)/1000)*AL1852+AM1852*(J1852*3600/Basis!$E$5)^2)*0.0098)/Basis!$E$10,((AJ1852*(J1852/Basis!$E$5)^AK1852*(((MID(C1852,9,3)*10)-144)/1000)*AL1852+AM1852*(J1852/Basis!$E$5)^2)*0.0098)/Basis!$E$10)</f>
        <v>9.0947118950782131E-3</v>
      </c>
      <c r="M1852" s="85"/>
      <c r="N1852" s="109">
        <v>1.3720000000000001</v>
      </c>
      <c r="O1852" s="68"/>
      <c r="P1852" s="67">
        <v>758</v>
      </c>
      <c r="Q1852" s="68"/>
      <c r="R1852" s="69"/>
      <c r="S1852" s="69"/>
      <c r="T1852" s="69"/>
      <c r="U1852" s="69"/>
      <c r="V1852" s="69"/>
      <c r="W1852" s="68"/>
      <c r="X1852" s="70"/>
      <c r="Y1852" s="70"/>
      <c r="Z1852" s="70"/>
      <c r="AA1852" s="70"/>
      <c r="AB1852" s="70"/>
      <c r="AC1852" s="68"/>
      <c r="AD1852" s="71"/>
      <c r="AE1852" s="71"/>
      <c r="AF1852" s="71"/>
      <c r="AG1852" s="71"/>
      <c r="AH1852" s="71"/>
      <c r="AI1852" s="68"/>
      <c r="AJ1852" s="214">
        <v>1.6125983042710999E-4</v>
      </c>
      <c r="AK1852" s="214">
        <v>2.1458504622376</v>
      </c>
      <c r="AL1852" s="214">
        <v>4</v>
      </c>
      <c r="AM1852" s="214">
        <v>1.3916423712342001E-3</v>
      </c>
      <c r="AN1852" s="68"/>
      <c r="AO1852" s="67"/>
      <c r="AP1852" s="67"/>
      <c r="AQ1852" s="67"/>
      <c r="AR1852" s="67"/>
      <c r="AS1852" s="67"/>
      <c r="AT1852" s="68"/>
      <c r="AU1852" s="49"/>
      <c r="AV1852" s="50"/>
    </row>
    <row r="1853" spans="1:48" ht="12.75" customHeight="1" x14ac:dyDescent="0.25">
      <c r="A1853" s="72" t="s">
        <v>20</v>
      </c>
      <c r="B1853" s="43" t="s">
        <v>1833</v>
      </c>
      <c r="C1853" s="44" t="s">
        <v>2010</v>
      </c>
      <c r="D1853" s="45">
        <f>MROUND(MID($C1853,6,3)/Basis!$E$3,0.5)</f>
        <v>19.5</v>
      </c>
      <c r="E1853" s="45">
        <f>MROUND(MID($C1853,9,3)/Basis!$E$3,0.5)</f>
        <v>31.5</v>
      </c>
      <c r="F1853" s="124" t="s">
        <v>2943</v>
      </c>
      <c r="G1853" s="45">
        <f>ROUND((ROUNDDOWN($F1853/5,0)*5+1.8)/Basis!$E$3,1)</f>
        <v>4.5999999999999996</v>
      </c>
      <c r="H1853" s="120">
        <f>ROUND($P1853*Basis!$E$2*((TaH-TrH)/LN(1/µ)/Basis!$E$7)^$N1853*$AA$4*Glycol,0)</f>
        <v>1860</v>
      </c>
      <c r="I1853" s="83">
        <f>ROUND(H1853/(MID($C1853,9,3)/Basis!$E$3/Basis!$E$9)*Basis!$E$11,0)</f>
        <v>709</v>
      </c>
      <c r="J1853" s="123">
        <f>IF(Basis!$E$1=1,ROUND(H1853/((TaH-TrH)*1.163)/3600,3),ROUND(H1853/(500*(TaH-TrH)),2))</f>
        <v>0.19</v>
      </c>
      <c r="K1853" s="84"/>
      <c r="L1853" s="177">
        <f>CHOOSE(Basis!$E$1,((AJ1853*(J1853*3600/Basis!$E$5)^AK1853*(((MID(C1853,9,3)*10)-144)/1000)*AL1853+AM1853*(J1853*3600/Basis!$E$5)^2)*0.0098)/Basis!$E$10,((AJ1853*(J1853/Basis!$E$5)^AK1853*(((MID(C1853,9,3)*10)-144)/1000)*AL1853+AM1853*(J1853/Basis!$E$5)^2)*0.0098)/Basis!$E$10)</f>
        <v>3.404198837016622E-3</v>
      </c>
      <c r="M1853" s="85"/>
      <c r="N1853" s="110">
        <v>1.385</v>
      </c>
      <c r="O1853" s="74"/>
      <c r="P1853" s="73">
        <v>861</v>
      </c>
      <c r="Q1853" s="74"/>
      <c r="R1853" s="75"/>
      <c r="S1853" s="75"/>
      <c r="T1853" s="75"/>
      <c r="U1853" s="75"/>
      <c r="V1853" s="75"/>
      <c r="W1853" s="74"/>
      <c r="X1853" s="76"/>
      <c r="Y1853" s="76"/>
      <c r="Z1853" s="76"/>
      <c r="AA1853" s="76"/>
      <c r="AB1853" s="76"/>
      <c r="AC1853" s="74"/>
      <c r="AD1853" s="77"/>
      <c r="AE1853" s="77"/>
      <c r="AF1853" s="77"/>
      <c r="AG1853" s="77"/>
      <c r="AH1853" s="77"/>
      <c r="AI1853" s="68"/>
      <c r="AJ1853" s="213">
        <v>3.9689999999999994E-4</v>
      </c>
      <c r="AK1853" s="213">
        <v>1.7345999999999999</v>
      </c>
      <c r="AL1853" s="213">
        <v>2</v>
      </c>
      <c r="AM1853" s="213">
        <v>3.6734700000000002E-4</v>
      </c>
      <c r="AN1853" s="74"/>
      <c r="AO1853" s="73"/>
      <c r="AP1853" s="73"/>
      <c r="AQ1853" s="73"/>
      <c r="AR1853" s="73"/>
      <c r="AS1853" s="73"/>
      <c r="AT1853" s="74"/>
      <c r="AU1853" s="47"/>
      <c r="AV1853" s="48"/>
    </row>
    <row r="1854" spans="1:48" ht="12.75" customHeight="1" x14ac:dyDescent="0.25">
      <c r="A1854" s="72" t="s">
        <v>20</v>
      </c>
      <c r="B1854" s="43" t="s">
        <v>1833</v>
      </c>
      <c r="C1854" s="44" t="s">
        <v>2011</v>
      </c>
      <c r="D1854" s="45">
        <f>MROUND(MID($C1854,6,3)/Basis!$E$3,0.5)</f>
        <v>19.5</v>
      </c>
      <c r="E1854" s="45">
        <f>MROUND(MID($C1854,9,3)/Basis!$E$3,0.5)</f>
        <v>31.5</v>
      </c>
      <c r="F1854" s="124" t="s">
        <v>2946</v>
      </c>
      <c r="G1854" s="45">
        <f>ROUND((ROUNDDOWN($F1854/5,0)*5+1.8)/Basis!$E$3,1)</f>
        <v>4.5999999999999996</v>
      </c>
      <c r="H1854" s="120">
        <f>ROUND($P1854*Basis!$E$2*((TaH-TrH)/LN(1/µ)/Basis!$E$7)^$N1854*$AA$4*Glycol,0)</f>
        <v>2354</v>
      </c>
      <c r="I1854" s="83">
        <f>ROUND(H1854/(MID($C1854,9,3)/Basis!$E$3/Basis!$E$9)*Basis!$E$11,0)</f>
        <v>897</v>
      </c>
      <c r="J1854" s="123">
        <f>IF(Basis!$E$1=1,ROUND(H1854/((TaH-TrH)*1.163)/3600,3),ROUND(H1854/(500*(TaH-TrH)),2))</f>
        <v>0.24</v>
      </c>
      <c r="K1854" s="84"/>
      <c r="L1854" s="177">
        <f>CHOOSE(Basis!$E$1,((AJ1854*(J1854*3600/Basis!$E$5)^AK1854*(((MID(C1854,9,3)*10)-144)/1000)*AL1854+AM1854*(J1854*3600/Basis!$E$5)^2)*0.0098)/Basis!$E$10,((AJ1854*(J1854/Basis!$E$5)^AK1854*(((MID(C1854,9,3)*10)-144)/1000)*AL1854+AM1854*(J1854/Basis!$E$5)^2)*0.0098)/Basis!$E$10)</f>
        <v>9.0808867386825715E-3</v>
      </c>
      <c r="M1854" s="85"/>
      <c r="N1854" s="110">
        <v>1.4379999999999999</v>
      </c>
      <c r="O1854" s="74"/>
      <c r="P1854" s="73">
        <v>1109</v>
      </c>
      <c r="Q1854" s="74"/>
      <c r="R1854" s="75"/>
      <c r="S1854" s="75"/>
      <c r="T1854" s="75"/>
      <c r="U1854" s="75"/>
      <c r="V1854" s="75"/>
      <c r="W1854" s="74"/>
      <c r="X1854" s="76"/>
      <c r="Y1854" s="76"/>
      <c r="Z1854" s="76"/>
      <c r="AA1854" s="76"/>
      <c r="AB1854" s="76"/>
      <c r="AC1854" s="74"/>
      <c r="AD1854" s="77"/>
      <c r="AE1854" s="77"/>
      <c r="AF1854" s="77"/>
      <c r="AG1854" s="77"/>
      <c r="AH1854" s="77"/>
      <c r="AI1854" s="68"/>
      <c r="AJ1854" s="213">
        <v>3.9689999999999994E-4</v>
      </c>
      <c r="AK1854" s="213">
        <v>1.7345999999999999</v>
      </c>
      <c r="AL1854" s="213">
        <v>4</v>
      </c>
      <c r="AM1854" s="213">
        <v>5.7428799999999995E-4</v>
      </c>
      <c r="AN1854" s="74"/>
      <c r="AO1854" s="73"/>
      <c r="AP1854" s="73"/>
      <c r="AQ1854" s="73"/>
      <c r="AR1854" s="73"/>
      <c r="AS1854" s="73"/>
      <c r="AT1854" s="74"/>
      <c r="AU1854" s="47"/>
      <c r="AV1854" s="48"/>
    </row>
    <row r="1855" spans="1:48" ht="12.75" customHeight="1" x14ac:dyDescent="0.25">
      <c r="A1855" s="72" t="s">
        <v>20</v>
      </c>
      <c r="B1855" s="43" t="s">
        <v>1833</v>
      </c>
      <c r="C1855" s="44" t="s">
        <v>2012</v>
      </c>
      <c r="D1855" s="45">
        <f>MROUND(MID($C1855,6,3)/Basis!$E$3,0.5)</f>
        <v>19.5</v>
      </c>
      <c r="E1855" s="45">
        <f>MROUND(MID($C1855,9,3)/Basis!$E$3,0.5)</f>
        <v>31.5</v>
      </c>
      <c r="F1855" s="124" t="s">
        <v>2944</v>
      </c>
      <c r="G1855" s="45">
        <f>ROUND((ROUNDDOWN($F1855/5,0)*5+1.8)/Basis!$E$3,1)</f>
        <v>6.6</v>
      </c>
      <c r="H1855" s="120">
        <f>ROUND($P1855*Basis!$E$2*((TaH-TrH)/LN(1/µ)/Basis!$E$7)^$N1855*$AA$4*Glycol,0)</f>
        <v>3008</v>
      </c>
      <c r="I1855" s="83">
        <f>ROUND(H1855/(MID($C1855,9,3)/Basis!$E$3/Basis!$E$9)*Basis!$E$11,0)</f>
        <v>1146</v>
      </c>
      <c r="J1855" s="123">
        <f>IF(Basis!$E$1=1,ROUND(H1855/((TaH-TrH)*1.163)/3600,3),ROUND(H1855/(500*(TaH-TrH)),2))</f>
        <v>0.3</v>
      </c>
      <c r="K1855" s="84"/>
      <c r="L1855" s="177">
        <f>CHOOSE(Basis!$E$1,((AJ1855*(J1855*3600/Basis!$E$5)^AK1855*(((MID(C1855,9,3)*10)-144)/1000)*AL1855+AM1855*(J1855*3600/Basis!$E$5)^2)*0.0098)/Basis!$E$10,((AJ1855*(J1855/Basis!$E$5)^AK1855*(((MID(C1855,9,3)*10)-144)/1000)*AL1855+AM1855*(J1855/Basis!$E$5)^2)*0.0098)/Basis!$E$10)</f>
        <v>8.304580842692727E-3</v>
      </c>
      <c r="M1855" s="85"/>
      <c r="N1855" s="110">
        <v>1.373</v>
      </c>
      <c r="O1855" s="74"/>
      <c r="P1855" s="73">
        <v>1387</v>
      </c>
      <c r="Q1855" s="74"/>
      <c r="R1855" s="75"/>
      <c r="S1855" s="75"/>
      <c r="T1855" s="75"/>
      <c r="U1855" s="75"/>
      <c r="V1855" s="75"/>
      <c r="W1855" s="74"/>
      <c r="X1855" s="76"/>
      <c r="Y1855" s="76"/>
      <c r="Z1855" s="76"/>
      <c r="AA1855" s="76"/>
      <c r="AB1855" s="76"/>
      <c r="AC1855" s="74"/>
      <c r="AD1855" s="77"/>
      <c r="AE1855" s="77"/>
      <c r="AF1855" s="77"/>
      <c r="AG1855" s="77"/>
      <c r="AH1855" s="77"/>
      <c r="AI1855" s="68"/>
      <c r="AJ1855" s="213">
        <v>2.0829999999999999E-4</v>
      </c>
      <c r="AK1855" s="213">
        <v>1.724</v>
      </c>
      <c r="AL1855" s="213">
        <v>2</v>
      </c>
      <c r="AM1855" s="213">
        <v>4.6182900000000003E-4</v>
      </c>
      <c r="AN1855" s="74"/>
      <c r="AO1855" s="73"/>
      <c r="AP1855" s="73"/>
      <c r="AQ1855" s="73"/>
      <c r="AR1855" s="73"/>
      <c r="AS1855" s="73"/>
      <c r="AT1855" s="74"/>
      <c r="AU1855" s="47"/>
      <c r="AV1855" s="48"/>
    </row>
    <row r="1856" spans="1:48" ht="12.75" customHeight="1" x14ac:dyDescent="0.25">
      <c r="A1856" s="72" t="s">
        <v>20</v>
      </c>
      <c r="B1856" s="43" t="s">
        <v>1833</v>
      </c>
      <c r="C1856" s="44" t="s">
        <v>2013</v>
      </c>
      <c r="D1856" s="45">
        <f>MROUND(MID($C1856,6,3)/Basis!$E$3,0.5)</f>
        <v>19.5</v>
      </c>
      <c r="E1856" s="45">
        <f>MROUND(MID($C1856,9,3)/Basis!$E$3,0.5)</f>
        <v>31.5</v>
      </c>
      <c r="F1856" s="124" t="s">
        <v>2947</v>
      </c>
      <c r="G1856" s="45">
        <f>ROUND((ROUNDDOWN($F1856/5,0)*5+1.8)/Basis!$E$3,1)</f>
        <v>6.6</v>
      </c>
      <c r="H1856" s="120">
        <f>ROUND($P1856*Basis!$E$2*((TaH-TrH)/LN(1/µ)/Basis!$E$7)^$N1856*$AA$4*Glycol,0)</f>
        <v>3195</v>
      </c>
      <c r="I1856" s="83">
        <f>ROUND(H1856/(MID($C1856,9,3)/Basis!$E$3/Basis!$E$9)*Basis!$E$11,0)</f>
        <v>1217</v>
      </c>
      <c r="J1856" s="123">
        <f>IF(Basis!$E$1=1,ROUND(H1856/((TaH-TrH)*1.163)/3600,3),ROUND(H1856/(500*(TaH-TrH)),2))</f>
        <v>0.32</v>
      </c>
      <c r="K1856" s="84"/>
      <c r="L1856" s="177">
        <f>CHOOSE(Basis!$E$1,((AJ1856*(J1856*3600/Basis!$E$5)^AK1856*(((MID(C1856,9,3)*10)-144)/1000)*AL1856+AM1856*(J1856*3600/Basis!$E$5)^2)*0.0098)/Basis!$E$10,((AJ1856*(J1856/Basis!$E$5)^AK1856*(((MID(C1856,9,3)*10)-144)/1000)*AL1856+AM1856*(J1856/Basis!$E$5)^2)*0.0098)/Basis!$E$10)</f>
        <v>2.6948417466216731E-2</v>
      </c>
      <c r="M1856" s="85"/>
      <c r="N1856" s="110">
        <v>1.464</v>
      </c>
      <c r="O1856" s="74"/>
      <c r="P1856" s="73">
        <v>1518</v>
      </c>
      <c r="Q1856" s="74"/>
      <c r="R1856" s="75"/>
      <c r="S1856" s="75"/>
      <c r="T1856" s="75"/>
      <c r="U1856" s="75"/>
      <c r="V1856" s="75"/>
      <c r="W1856" s="74"/>
      <c r="X1856" s="76"/>
      <c r="Y1856" s="76"/>
      <c r="Z1856" s="76"/>
      <c r="AA1856" s="76"/>
      <c r="AB1856" s="76"/>
      <c r="AC1856" s="74"/>
      <c r="AD1856" s="77"/>
      <c r="AE1856" s="77"/>
      <c r="AF1856" s="77"/>
      <c r="AG1856" s="77"/>
      <c r="AH1856" s="77"/>
      <c r="AI1856" s="68"/>
      <c r="AJ1856" s="213">
        <v>2.0829999999999999E-4</v>
      </c>
      <c r="AK1856" s="213">
        <v>1.724</v>
      </c>
      <c r="AL1856" s="213">
        <v>4</v>
      </c>
      <c r="AM1856" s="213">
        <v>1.392796E-3</v>
      </c>
      <c r="AN1856" s="74"/>
      <c r="AO1856" s="73"/>
      <c r="AP1856" s="73"/>
      <c r="AQ1856" s="73"/>
      <c r="AR1856" s="73"/>
      <c r="AS1856" s="73"/>
      <c r="AT1856" s="74"/>
      <c r="AU1856" s="47"/>
      <c r="AV1856" s="48"/>
    </row>
    <row r="1857" spans="1:48" ht="12.75" customHeight="1" x14ac:dyDescent="0.25">
      <c r="A1857" s="72" t="s">
        <v>20</v>
      </c>
      <c r="B1857" s="43" t="s">
        <v>1833</v>
      </c>
      <c r="C1857" s="44" t="s">
        <v>2014</v>
      </c>
      <c r="D1857" s="45">
        <f>MROUND(MID($C1857,6,3)/Basis!$E$3,0.5)</f>
        <v>19.5</v>
      </c>
      <c r="E1857" s="45">
        <f>MROUND(MID($C1857,9,3)/Basis!$E$3,0.5)</f>
        <v>31.5</v>
      </c>
      <c r="F1857" s="124" t="s">
        <v>2945</v>
      </c>
      <c r="G1857" s="45">
        <f>ROUND((ROUNDDOWN($F1857/5,0)*5+1.8)/Basis!$E$3,1)</f>
        <v>8.6</v>
      </c>
      <c r="H1857" s="120">
        <f>ROUND($P1857*Basis!$E$2*((TaH-TrH)/LN(1/µ)/Basis!$E$7)^$N1857*$AA$4*Glycol,0)</f>
        <v>4208</v>
      </c>
      <c r="I1857" s="83">
        <f>ROUND(H1857/(MID($C1857,9,3)/Basis!$E$3/Basis!$E$9)*Basis!$E$11,0)</f>
        <v>1603</v>
      </c>
      <c r="J1857" s="123">
        <f>IF(Basis!$E$1=1,ROUND(H1857/((TaH-TrH)*1.163)/3600,3),ROUND(H1857/(500*(TaH-TrH)),2))</f>
        <v>0.42</v>
      </c>
      <c r="K1857" s="84"/>
      <c r="L1857" s="177">
        <f>CHOOSE(Basis!$E$1,((AJ1857*(J1857*3600/Basis!$E$5)^AK1857*(((MID(C1857,9,3)*10)-144)/1000)*AL1857+AM1857*(J1857*3600/Basis!$E$5)^2)*0.0098)/Basis!$E$10,((AJ1857*(J1857/Basis!$E$5)^AK1857*(((MID(C1857,9,3)*10)-144)/1000)*AL1857+AM1857*(J1857/Basis!$E$5)^2)*0.0098)/Basis!$E$10)</f>
        <v>1.2607694752682985E-2</v>
      </c>
      <c r="M1857" s="85"/>
      <c r="N1857" s="110">
        <v>1.373</v>
      </c>
      <c r="O1857" s="74"/>
      <c r="P1857" s="73">
        <v>1940</v>
      </c>
      <c r="Q1857" s="74"/>
      <c r="R1857" s="75"/>
      <c r="S1857" s="75"/>
      <c r="T1857" s="75"/>
      <c r="U1857" s="75"/>
      <c r="V1857" s="75"/>
      <c r="W1857" s="74"/>
      <c r="X1857" s="76"/>
      <c r="Y1857" s="76"/>
      <c r="Z1857" s="76"/>
      <c r="AA1857" s="76"/>
      <c r="AB1857" s="76"/>
      <c r="AC1857" s="74"/>
      <c r="AD1857" s="77"/>
      <c r="AE1857" s="77"/>
      <c r="AF1857" s="77"/>
      <c r="AG1857" s="77"/>
      <c r="AH1857" s="77"/>
      <c r="AI1857" s="68"/>
      <c r="AJ1857" s="214">
        <v>1.2760000000000001E-4</v>
      </c>
      <c r="AK1857" s="214">
        <v>1.7219</v>
      </c>
      <c r="AL1857" s="214">
        <v>2</v>
      </c>
      <c r="AM1857" s="214">
        <v>3.76611E-4</v>
      </c>
      <c r="AN1857" s="74"/>
      <c r="AO1857" s="73"/>
      <c r="AP1857" s="73"/>
      <c r="AQ1857" s="73"/>
      <c r="AR1857" s="73"/>
      <c r="AS1857" s="73"/>
      <c r="AT1857" s="74"/>
      <c r="AU1857" s="47"/>
      <c r="AV1857" s="48"/>
    </row>
    <row r="1858" spans="1:48" ht="12.75" customHeight="1" x14ac:dyDescent="0.25">
      <c r="A1858" s="72" t="s">
        <v>20</v>
      </c>
      <c r="B1858" s="43" t="s">
        <v>1833</v>
      </c>
      <c r="C1858" s="44" t="s">
        <v>2015</v>
      </c>
      <c r="D1858" s="45">
        <f>MROUND(MID($C1858,6,3)/Basis!$E$3,0.5)</f>
        <v>19.5</v>
      </c>
      <c r="E1858" s="45">
        <f>MROUND(MID($C1858,9,3)/Basis!$E$3,0.5)</f>
        <v>31.5</v>
      </c>
      <c r="F1858" s="124" t="s">
        <v>2948</v>
      </c>
      <c r="G1858" s="45">
        <f>ROUND((ROUNDDOWN($F1858/5,0)*5+1.8)/Basis!$E$3,1)</f>
        <v>8.6</v>
      </c>
      <c r="H1858" s="120">
        <f>ROUND($P1858*Basis!$E$2*((TaH-TrH)/LN(1/µ)/Basis!$E$7)^$N1858*$AA$4*Glycol,0)</f>
        <v>4318</v>
      </c>
      <c r="I1858" s="83">
        <f>ROUND(H1858/(MID($C1858,9,3)/Basis!$E$3/Basis!$E$9)*Basis!$E$11,0)</f>
        <v>1645</v>
      </c>
      <c r="J1858" s="123">
        <f>IF(Basis!$E$1=1,ROUND(H1858/((TaH-TrH)*1.163)/3600,3),ROUND(H1858/(500*(TaH-TrH)),2))</f>
        <v>0.43</v>
      </c>
      <c r="K1858" s="84"/>
      <c r="L1858" s="177">
        <f>CHOOSE(Basis!$E$1,((AJ1858*(J1858*3600/Basis!$E$5)^AK1858*(((MID(C1858,9,3)*10)-144)/1000)*AL1858+AM1858*(J1858*3600/Basis!$E$5)^2)*0.0098)/Basis!$E$10,((AJ1858*(J1858/Basis!$E$5)^AK1858*(((MID(C1858,9,3)*10)-144)/1000)*AL1858+AM1858*(J1858/Basis!$E$5)^2)*0.0098)/Basis!$E$10)</f>
        <v>1.8956873544516892E-2</v>
      </c>
      <c r="M1858" s="85"/>
      <c r="N1858" s="110">
        <v>1.4850000000000001</v>
      </c>
      <c r="O1858" s="74"/>
      <c r="P1858" s="73">
        <v>2066</v>
      </c>
      <c r="Q1858" s="74"/>
      <c r="R1858" s="75"/>
      <c r="S1858" s="75"/>
      <c r="T1858" s="75"/>
      <c r="U1858" s="75"/>
      <c r="V1858" s="75"/>
      <c r="W1858" s="74"/>
      <c r="X1858" s="76"/>
      <c r="Y1858" s="76"/>
      <c r="Z1858" s="76"/>
      <c r="AA1858" s="76"/>
      <c r="AB1858" s="76"/>
      <c r="AC1858" s="74"/>
      <c r="AD1858" s="77"/>
      <c r="AE1858" s="77"/>
      <c r="AF1858" s="77"/>
      <c r="AG1858" s="77"/>
      <c r="AH1858" s="77"/>
      <c r="AI1858" s="68"/>
      <c r="AJ1858" s="213">
        <v>1.2760000000000001E-4</v>
      </c>
      <c r="AK1858" s="213">
        <v>1.7219</v>
      </c>
      <c r="AL1858" s="213">
        <v>4</v>
      </c>
      <c r="AM1858" s="213">
        <v>5.1420100000000005E-4</v>
      </c>
      <c r="AN1858" s="74"/>
      <c r="AO1858" s="73"/>
      <c r="AP1858" s="73"/>
      <c r="AQ1858" s="73"/>
      <c r="AR1858" s="73"/>
      <c r="AS1858" s="73"/>
      <c r="AT1858" s="74"/>
      <c r="AU1858" s="47"/>
      <c r="AV1858" s="48"/>
    </row>
    <row r="1859" spans="1:48" ht="12.75" customHeight="1" x14ac:dyDescent="0.25">
      <c r="A1859" s="72" t="s">
        <v>20</v>
      </c>
      <c r="B1859" s="43" t="s">
        <v>1833</v>
      </c>
      <c r="C1859" s="44" t="s">
        <v>2016</v>
      </c>
      <c r="D1859" s="45">
        <f>MROUND(MID($C1859,6,3)/Basis!$E$3,0.5)</f>
        <v>19.5</v>
      </c>
      <c r="E1859" s="45">
        <f>MROUND(MID($C1859,9,3)/Basis!$E$3,0.5)</f>
        <v>35.5</v>
      </c>
      <c r="F1859" s="124" t="s">
        <v>2949</v>
      </c>
      <c r="G1859" s="45">
        <f>ROUND((ROUNDDOWN($F1859/5,0)*5+3.5)/Basis!$E$3,1)</f>
        <v>3.3</v>
      </c>
      <c r="H1859" s="120">
        <f>ROUND($P1859*Basis!$E$2*((TaH-TrH)/LN(1/µ)/Basis!$E$7)^$N1859*$AA$4*Glycol,0)</f>
        <v>1848</v>
      </c>
      <c r="I1859" s="83">
        <f>ROUND(H1859/(MID($C1859,9,3)/Basis!$E$3/Basis!$E$9)*Basis!$E$11,0)</f>
        <v>626</v>
      </c>
      <c r="J1859" s="123">
        <f>IF(Basis!$E$1=1,ROUND(H1859/((TaH-TrH)*1.163)/3600,3),ROUND(H1859/(500*(TaH-TrH)),2))</f>
        <v>0.18</v>
      </c>
      <c r="K1859" s="84"/>
      <c r="L1859" s="177">
        <f>CHOOSE(Basis!$E$1,((AJ1859*(J1859*3600/Basis!$E$5)^AK1859*(((MID(C1859,9,3)*10)-144)/1000)*AL1859+AM1859*(J1859*3600/Basis!$E$5)^2)*0.0098)/Basis!$E$10,((AJ1859*(J1859/Basis!$E$5)^AK1859*(((MID(C1859,9,3)*10)-144)/1000)*AL1859+AM1859*(J1859/Basis!$E$5)^2)*0.0098)/Basis!$E$10)</f>
        <v>1.2183796796312136E-2</v>
      </c>
      <c r="M1859" s="85"/>
      <c r="N1859" s="110">
        <v>1.3720000000000001</v>
      </c>
      <c r="O1859" s="74"/>
      <c r="P1859" s="73">
        <v>852</v>
      </c>
      <c r="Q1859" s="74"/>
      <c r="R1859" s="75"/>
      <c r="S1859" s="75"/>
      <c r="T1859" s="75"/>
      <c r="U1859" s="75"/>
      <c r="V1859" s="75"/>
      <c r="W1859" s="74"/>
      <c r="X1859" s="76"/>
      <c r="Y1859" s="76"/>
      <c r="Z1859" s="76"/>
      <c r="AA1859" s="76"/>
      <c r="AB1859" s="76"/>
      <c r="AC1859" s="74"/>
      <c r="AD1859" s="77"/>
      <c r="AE1859" s="77"/>
      <c r="AF1859" s="77"/>
      <c r="AG1859" s="77"/>
      <c r="AH1859" s="77"/>
      <c r="AI1859" s="68"/>
      <c r="AJ1859" s="213">
        <v>1.6125983042710999E-4</v>
      </c>
      <c r="AK1859" s="213">
        <v>2.1458504622376</v>
      </c>
      <c r="AL1859" s="213">
        <v>4</v>
      </c>
      <c r="AM1859" s="213">
        <v>1.3916423712342001E-3</v>
      </c>
      <c r="AN1859" s="74"/>
      <c r="AO1859" s="73"/>
      <c r="AP1859" s="73"/>
      <c r="AQ1859" s="73"/>
      <c r="AR1859" s="73"/>
      <c r="AS1859" s="73"/>
      <c r="AT1859" s="74"/>
      <c r="AU1859" s="47"/>
      <c r="AV1859" s="48"/>
    </row>
    <row r="1860" spans="1:48" ht="12.75" customHeight="1" x14ac:dyDescent="0.25">
      <c r="A1860" s="72" t="s">
        <v>20</v>
      </c>
      <c r="B1860" s="43" t="s">
        <v>1833</v>
      </c>
      <c r="C1860" s="44" t="s">
        <v>2017</v>
      </c>
      <c r="D1860" s="45">
        <f>MROUND(MID($C1860,6,3)/Basis!$E$3,0.5)</f>
        <v>19.5</v>
      </c>
      <c r="E1860" s="45">
        <f>MROUND(MID($C1860,9,3)/Basis!$E$3,0.5)</f>
        <v>35.5</v>
      </c>
      <c r="F1860" s="124" t="s">
        <v>2943</v>
      </c>
      <c r="G1860" s="45">
        <f>ROUND((ROUNDDOWN($F1860/5,0)*5+1.8)/Basis!$E$3,1)</f>
        <v>4.5999999999999996</v>
      </c>
      <c r="H1860" s="120">
        <f>ROUND($P1860*Basis!$E$2*((TaH-TrH)/LN(1/µ)/Basis!$E$7)^$N1860*$AA$4*Glycol,0)</f>
        <v>2091</v>
      </c>
      <c r="I1860" s="83">
        <f>ROUND(H1860/(MID($C1860,9,3)/Basis!$E$3/Basis!$E$9)*Basis!$E$11,0)</f>
        <v>708</v>
      </c>
      <c r="J1860" s="123">
        <f>IF(Basis!$E$1=1,ROUND(H1860/((TaH-TrH)*1.163)/3600,3),ROUND(H1860/(500*(TaH-TrH)),2))</f>
        <v>0.21</v>
      </c>
      <c r="K1860" s="84"/>
      <c r="L1860" s="177">
        <f>CHOOSE(Basis!$E$1,((AJ1860*(J1860*3600/Basis!$E$5)^AK1860*(((MID(C1860,9,3)*10)-144)/1000)*AL1860+AM1860*(J1860*3600/Basis!$E$5)^2)*0.0098)/Basis!$E$10,((AJ1860*(J1860/Basis!$E$5)^AK1860*(((MID(C1860,9,3)*10)-144)/1000)*AL1860+AM1860*(J1860/Basis!$E$5)^2)*0.0098)/Basis!$E$10)</f>
        <v>4.3329096846455228E-3</v>
      </c>
      <c r="M1860" s="85"/>
      <c r="N1860" s="109">
        <v>1.385</v>
      </c>
      <c r="O1860" s="68"/>
      <c r="P1860" s="67">
        <v>968</v>
      </c>
      <c r="Q1860" s="68"/>
      <c r="R1860" s="69"/>
      <c r="S1860" s="69"/>
      <c r="T1860" s="69"/>
      <c r="U1860" s="69"/>
      <c r="V1860" s="69"/>
      <c r="W1860" s="68"/>
      <c r="X1860" s="70"/>
      <c r="Y1860" s="70"/>
      <c r="Z1860" s="70"/>
      <c r="AA1860" s="70"/>
      <c r="AB1860" s="70"/>
      <c r="AC1860" s="68"/>
      <c r="AD1860" s="71"/>
      <c r="AE1860" s="71"/>
      <c r="AF1860" s="71"/>
      <c r="AG1860" s="71"/>
      <c r="AH1860" s="71"/>
      <c r="AI1860" s="68"/>
      <c r="AJ1860" s="214">
        <v>3.9689999999999994E-4</v>
      </c>
      <c r="AK1860" s="214">
        <v>1.7345999999999999</v>
      </c>
      <c r="AL1860" s="214">
        <v>2</v>
      </c>
      <c r="AM1860" s="214">
        <v>3.6734700000000002E-4</v>
      </c>
      <c r="AN1860" s="68"/>
      <c r="AO1860" s="67"/>
      <c r="AP1860" s="67"/>
      <c r="AQ1860" s="67"/>
      <c r="AR1860" s="67"/>
      <c r="AS1860" s="67"/>
      <c r="AT1860" s="68"/>
      <c r="AU1860" s="49"/>
      <c r="AV1860" s="50"/>
    </row>
    <row r="1861" spans="1:48" ht="12.75" customHeight="1" x14ac:dyDescent="0.25">
      <c r="A1861" s="72" t="s">
        <v>20</v>
      </c>
      <c r="B1861" s="43" t="s">
        <v>1833</v>
      </c>
      <c r="C1861" s="44" t="s">
        <v>2018</v>
      </c>
      <c r="D1861" s="45">
        <f>MROUND(MID($C1861,6,3)/Basis!$E$3,0.5)</f>
        <v>19.5</v>
      </c>
      <c r="E1861" s="45">
        <f>MROUND(MID($C1861,9,3)/Basis!$E$3,0.5)</f>
        <v>35.5</v>
      </c>
      <c r="F1861" s="124" t="s">
        <v>2946</v>
      </c>
      <c r="G1861" s="45">
        <f>ROUND((ROUNDDOWN($F1861/5,0)*5+1.8)/Basis!$E$3,1)</f>
        <v>4.5999999999999996</v>
      </c>
      <c r="H1861" s="120">
        <f>ROUND($P1861*Basis!$E$2*((TaH-TrH)/LN(1/µ)/Basis!$E$7)^$N1861*$AA$4*Glycol,0)</f>
        <v>2647</v>
      </c>
      <c r="I1861" s="83">
        <f>ROUND(H1861/(MID($C1861,9,3)/Basis!$E$3/Basis!$E$9)*Basis!$E$11,0)</f>
        <v>896</v>
      </c>
      <c r="J1861" s="123">
        <f>IF(Basis!$E$1=1,ROUND(H1861/((TaH-TrH)*1.163)/3600,3),ROUND(H1861/(500*(TaH-TrH)),2))</f>
        <v>0.26</v>
      </c>
      <c r="K1861" s="84"/>
      <c r="L1861" s="177">
        <f>CHOOSE(Basis!$E$1,((AJ1861*(J1861*3600/Basis!$E$5)^AK1861*(((MID(C1861,9,3)*10)-144)/1000)*AL1861+AM1861*(J1861*3600/Basis!$E$5)^2)*0.0098)/Basis!$E$10,((AJ1861*(J1861/Basis!$E$5)^AK1861*(((MID(C1861,9,3)*10)-144)/1000)*AL1861+AM1861*(J1861/Basis!$E$5)^2)*0.0098)/Basis!$E$10)</f>
        <v>1.1184311409155216E-2</v>
      </c>
      <c r="M1861" s="85"/>
      <c r="N1861" s="109">
        <v>1.4379999999999999</v>
      </c>
      <c r="O1861" s="68"/>
      <c r="P1861" s="67">
        <v>1247</v>
      </c>
      <c r="Q1861" s="68"/>
      <c r="R1861" s="69"/>
      <c r="S1861" s="69"/>
      <c r="T1861" s="69"/>
      <c r="U1861" s="69"/>
      <c r="V1861" s="69"/>
      <c r="W1861" s="68"/>
      <c r="X1861" s="70"/>
      <c r="Y1861" s="70"/>
      <c r="Z1861" s="70"/>
      <c r="AA1861" s="70"/>
      <c r="AB1861" s="70"/>
      <c r="AC1861" s="68"/>
      <c r="AD1861" s="71"/>
      <c r="AE1861" s="71"/>
      <c r="AF1861" s="71"/>
      <c r="AG1861" s="71"/>
      <c r="AH1861" s="71"/>
      <c r="AI1861" s="68"/>
      <c r="AJ1861" s="214">
        <v>3.9689999999999994E-4</v>
      </c>
      <c r="AK1861" s="214">
        <v>1.7345999999999999</v>
      </c>
      <c r="AL1861" s="214">
        <v>4</v>
      </c>
      <c r="AM1861" s="214">
        <v>5.7428799999999995E-4</v>
      </c>
      <c r="AN1861" s="68"/>
      <c r="AO1861" s="67"/>
      <c r="AP1861" s="67"/>
      <c r="AQ1861" s="67"/>
      <c r="AR1861" s="67"/>
      <c r="AS1861" s="67"/>
      <c r="AT1861" s="68"/>
      <c r="AU1861" s="49"/>
      <c r="AV1861" s="50"/>
    </row>
    <row r="1862" spans="1:48" ht="12.75" customHeight="1" x14ac:dyDescent="0.25">
      <c r="A1862" s="72" t="s">
        <v>20</v>
      </c>
      <c r="B1862" s="43" t="s">
        <v>1833</v>
      </c>
      <c r="C1862" s="44" t="s">
        <v>2019</v>
      </c>
      <c r="D1862" s="45">
        <f>MROUND(MID($C1862,6,3)/Basis!$E$3,0.5)</f>
        <v>19.5</v>
      </c>
      <c r="E1862" s="45">
        <f>MROUND(MID($C1862,9,3)/Basis!$E$3,0.5)</f>
        <v>35.5</v>
      </c>
      <c r="F1862" s="124" t="s">
        <v>2944</v>
      </c>
      <c r="G1862" s="45">
        <f>ROUND((ROUNDDOWN($F1862/5,0)*5+1.8)/Basis!$E$3,1)</f>
        <v>6.6</v>
      </c>
      <c r="H1862" s="120">
        <f>ROUND($P1862*Basis!$E$2*((TaH-TrH)/LN(1/µ)/Basis!$E$7)^$N1862*$AA$4*Glycol,0)</f>
        <v>3386</v>
      </c>
      <c r="I1862" s="83">
        <f>ROUND(H1862/(MID($C1862,9,3)/Basis!$E$3/Basis!$E$9)*Basis!$E$11,0)</f>
        <v>1147</v>
      </c>
      <c r="J1862" s="123">
        <f>IF(Basis!$E$1=1,ROUND(H1862/((TaH-TrH)*1.163)/3600,3),ROUND(H1862/(500*(TaH-TrH)),2))</f>
        <v>0.34</v>
      </c>
      <c r="K1862" s="84"/>
      <c r="L1862" s="177">
        <f>CHOOSE(Basis!$E$1,((AJ1862*(J1862*3600/Basis!$E$5)^AK1862*(((MID(C1862,9,3)*10)-144)/1000)*AL1862+AM1862*(J1862*3600/Basis!$E$5)^2)*0.0098)/Basis!$E$10,((AJ1862*(J1862/Basis!$E$5)^AK1862*(((MID(C1862,9,3)*10)-144)/1000)*AL1862+AM1862*(J1862/Basis!$E$5)^2)*0.0098)/Basis!$E$10)</f>
        <v>1.085508029368876E-2</v>
      </c>
      <c r="M1862" s="85"/>
      <c r="N1862" s="109">
        <v>1.373</v>
      </c>
      <c r="O1862" s="68"/>
      <c r="P1862" s="67">
        <v>1561</v>
      </c>
      <c r="Q1862" s="68"/>
      <c r="R1862" s="69"/>
      <c r="S1862" s="69"/>
      <c r="T1862" s="69"/>
      <c r="U1862" s="69"/>
      <c r="V1862" s="69"/>
      <c r="W1862" s="68"/>
      <c r="X1862" s="70"/>
      <c r="Y1862" s="70"/>
      <c r="Z1862" s="70"/>
      <c r="AA1862" s="70"/>
      <c r="AB1862" s="70"/>
      <c r="AC1862" s="68"/>
      <c r="AD1862" s="71"/>
      <c r="AE1862" s="71"/>
      <c r="AF1862" s="71"/>
      <c r="AG1862" s="71"/>
      <c r="AH1862" s="71"/>
      <c r="AI1862" s="68"/>
      <c r="AJ1862" s="214">
        <v>2.0829999999999999E-4</v>
      </c>
      <c r="AK1862" s="214">
        <v>1.724</v>
      </c>
      <c r="AL1862" s="214">
        <v>2</v>
      </c>
      <c r="AM1862" s="214">
        <v>4.6182900000000003E-4</v>
      </c>
      <c r="AN1862" s="68"/>
      <c r="AO1862" s="67"/>
      <c r="AP1862" s="67"/>
      <c r="AQ1862" s="67"/>
      <c r="AR1862" s="67"/>
      <c r="AS1862" s="67"/>
      <c r="AT1862" s="68"/>
      <c r="AU1862" s="49"/>
      <c r="AV1862" s="50"/>
    </row>
    <row r="1863" spans="1:48" ht="12.75" customHeight="1" x14ac:dyDescent="0.25">
      <c r="A1863" s="72" t="s">
        <v>20</v>
      </c>
      <c r="B1863" s="43" t="s">
        <v>1833</v>
      </c>
      <c r="C1863" s="44" t="s">
        <v>2020</v>
      </c>
      <c r="D1863" s="45">
        <f>MROUND(MID($C1863,6,3)/Basis!$E$3,0.5)</f>
        <v>19.5</v>
      </c>
      <c r="E1863" s="45">
        <f>MROUND(MID($C1863,9,3)/Basis!$E$3,0.5)</f>
        <v>35.5</v>
      </c>
      <c r="F1863" s="124" t="s">
        <v>2947</v>
      </c>
      <c r="G1863" s="45">
        <f>ROUND((ROUNDDOWN($F1863/5,0)*5+1.8)/Basis!$E$3,1)</f>
        <v>6.6</v>
      </c>
      <c r="H1863" s="120">
        <f>ROUND($P1863*Basis!$E$2*((TaH-TrH)/LN(1/µ)/Basis!$E$7)^$N1863*$AA$4*Glycol,0)</f>
        <v>3595</v>
      </c>
      <c r="I1863" s="83">
        <f>ROUND(H1863/(MID($C1863,9,3)/Basis!$E$3/Basis!$E$9)*Basis!$E$11,0)</f>
        <v>1218</v>
      </c>
      <c r="J1863" s="123">
        <f>IF(Basis!$E$1=1,ROUND(H1863/((TaH-TrH)*1.163)/3600,3),ROUND(H1863/(500*(TaH-TrH)),2))</f>
        <v>0.36</v>
      </c>
      <c r="K1863" s="84"/>
      <c r="L1863" s="177">
        <f>CHOOSE(Basis!$E$1,((AJ1863*(J1863*3600/Basis!$E$5)^AK1863*(((MID(C1863,9,3)*10)-144)/1000)*AL1863+AM1863*(J1863*3600/Basis!$E$5)^2)*0.0098)/Basis!$E$10,((AJ1863*(J1863/Basis!$E$5)^AK1863*(((MID(C1863,9,3)*10)-144)/1000)*AL1863+AM1863*(J1863/Basis!$E$5)^2)*0.0098)/Basis!$E$10)</f>
        <v>3.4529672023749736E-2</v>
      </c>
      <c r="M1863" s="85"/>
      <c r="N1863" s="109">
        <v>1.464</v>
      </c>
      <c r="O1863" s="68"/>
      <c r="P1863" s="67">
        <v>1708</v>
      </c>
      <c r="Q1863" s="68"/>
      <c r="R1863" s="69"/>
      <c r="S1863" s="69"/>
      <c r="T1863" s="69"/>
      <c r="U1863" s="69"/>
      <c r="V1863" s="69"/>
      <c r="W1863" s="68"/>
      <c r="X1863" s="70"/>
      <c r="Y1863" s="70"/>
      <c r="Z1863" s="70"/>
      <c r="AA1863" s="70"/>
      <c r="AB1863" s="70"/>
      <c r="AC1863" s="68"/>
      <c r="AD1863" s="71"/>
      <c r="AE1863" s="71"/>
      <c r="AF1863" s="71"/>
      <c r="AG1863" s="71"/>
      <c r="AH1863" s="71"/>
      <c r="AI1863" s="68"/>
      <c r="AJ1863" s="214">
        <v>2.0829999999999999E-4</v>
      </c>
      <c r="AK1863" s="214">
        <v>1.724</v>
      </c>
      <c r="AL1863" s="214">
        <v>4</v>
      </c>
      <c r="AM1863" s="214">
        <v>1.392796E-3</v>
      </c>
      <c r="AN1863" s="68"/>
      <c r="AO1863" s="67"/>
      <c r="AP1863" s="67"/>
      <c r="AQ1863" s="67"/>
      <c r="AR1863" s="67"/>
      <c r="AS1863" s="67"/>
      <c r="AT1863" s="68"/>
      <c r="AU1863" s="49"/>
      <c r="AV1863" s="50"/>
    </row>
    <row r="1864" spans="1:48" ht="12.75" customHeight="1" x14ac:dyDescent="0.25">
      <c r="A1864" s="72" t="s">
        <v>20</v>
      </c>
      <c r="B1864" s="43" t="s">
        <v>1833</v>
      </c>
      <c r="C1864" s="44" t="s">
        <v>2021</v>
      </c>
      <c r="D1864" s="45">
        <f>MROUND(MID($C1864,6,3)/Basis!$E$3,0.5)</f>
        <v>19.5</v>
      </c>
      <c r="E1864" s="45">
        <f>MROUND(MID($C1864,9,3)/Basis!$E$3,0.5)</f>
        <v>35.5</v>
      </c>
      <c r="F1864" s="124" t="s">
        <v>2945</v>
      </c>
      <c r="G1864" s="45">
        <f>ROUND((ROUNDDOWN($F1864/5,0)*5+1.8)/Basis!$E$3,1)</f>
        <v>8.6</v>
      </c>
      <c r="H1864" s="120">
        <f>ROUND($P1864*Basis!$E$2*((TaH-TrH)/LN(1/µ)/Basis!$E$7)^$N1864*$AA$4*Glycol,0)</f>
        <v>4735</v>
      </c>
      <c r="I1864" s="83">
        <f>ROUND(H1864/(MID($C1864,9,3)/Basis!$E$3/Basis!$E$9)*Basis!$E$11,0)</f>
        <v>1604</v>
      </c>
      <c r="J1864" s="123">
        <f>IF(Basis!$E$1=1,ROUND(H1864/((TaH-TrH)*1.163)/3600,3),ROUND(H1864/(500*(TaH-TrH)),2))</f>
        <v>0.47</v>
      </c>
      <c r="K1864" s="84"/>
      <c r="L1864" s="177">
        <f>CHOOSE(Basis!$E$1,((AJ1864*(J1864*3600/Basis!$E$5)^AK1864*(((MID(C1864,9,3)*10)-144)/1000)*AL1864+AM1864*(J1864*3600/Basis!$E$5)^2)*0.0098)/Basis!$E$10,((AJ1864*(J1864/Basis!$E$5)^AK1864*(((MID(C1864,9,3)*10)-144)/1000)*AL1864+AM1864*(J1864/Basis!$E$5)^2)*0.0098)/Basis!$E$10)</f>
        <v>1.5993566399738358E-2</v>
      </c>
      <c r="M1864" s="85"/>
      <c r="N1864" s="109">
        <v>1.373</v>
      </c>
      <c r="O1864" s="68"/>
      <c r="P1864" s="67">
        <v>2183</v>
      </c>
      <c r="Q1864" s="68"/>
      <c r="R1864" s="69"/>
      <c r="S1864" s="69"/>
      <c r="T1864" s="69"/>
      <c r="U1864" s="69"/>
      <c r="V1864" s="69"/>
      <c r="W1864" s="68"/>
      <c r="X1864" s="70"/>
      <c r="Y1864" s="70"/>
      <c r="Z1864" s="70"/>
      <c r="AA1864" s="70"/>
      <c r="AB1864" s="70"/>
      <c r="AC1864" s="68"/>
      <c r="AD1864" s="71"/>
      <c r="AE1864" s="71"/>
      <c r="AF1864" s="71"/>
      <c r="AG1864" s="71"/>
      <c r="AH1864" s="71"/>
      <c r="AI1864" s="68"/>
      <c r="AJ1864" s="214">
        <v>1.2760000000000001E-4</v>
      </c>
      <c r="AK1864" s="214">
        <v>1.7219</v>
      </c>
      <c r="AL1864" s="214">
        <v>2</v>
      </c>
      <c r="AM1864" s="214">
        <v>3.76611E-4</v>
      </c>
      <c r="AN1864" s="68"/>
      <c r="AO1864" s="67"/>
      <c r="AP1864" s="67"/>
      <c r="AQ1864" s="67"/>
      <c r="AR1864" s="67"/>
      <c r="AS1864" s="67"/>
      <c r="AT1864" s="68"/>
      <c r="AU1864" s="49"/>
      <c r="AV1864" s="50"/>
    </row>
    <row r="1865" spans="1:48" ht="12.75" customHeight="1" x14ac:dyDescent="0.25">
      <c r="A1865" s="72" t="s">
        <v>20</v>
      </c>
      <c r="B1865" s="43" t="s">
        <v>1833</v>
      </c>
      <c r="C1865" s="44" t="s">
        <v>2022</v>
      </c>
      <c r="D1865" s="45">
        <f>MROUND(MID($C1865,6,3)/Basis!$E$3,0.5)</f>
        <v>19.5</v>
      </c>
      <c r="E1865" s="45">
        <f>MROUND(MID($C1865,9,3)/Basis!$E$3,0.5)</f>
        <v>35.5</v>
      </c>
      <c r="F1865" s="124" t="s">
        <v>2948</v>
      </c>
      <c r="G1865" s="45">
        <f>ROUND((ROUNDDOWN($F1865/5,0)*5+1.8)/Basis!$E$3,1)</f>
        <v>8.6</v>
      </c>
      <c r="H1865" s="120">
        <f>ROUND($P1865*Basis!$E$2*((TaH-TrH)/LN(1/µ)/Basis!$E$7)^$N1865*$AA$4*Glycol,0)</f>
        <v>4857</v>
      </c>
      <c r="I1865" s="83">
        <f>ROUND(H1865/(MID($C1865,9,3)/Basis!$E$3/Basis!$E$9)*Basis!$E$11,0)</f>
        <v>1645</v>
      </c>
      <c r="J1865" s="123">
        <f>IF(Basis!$E$1=1,ROUND(H1865/((TaH-TrH)*1.163)/3600,3),ROUND(H1865/(500*(TaH-TrH)),2))</f>
        <v>0.49</v>
      </c>
      <c r="K1865" s="84"/>
      <c r="L1865" s="177">
        <f>CHOOSE(Basis!$E$1,((AJ1865*(J1865*3600/Basis!$E$5)^AK1865*(((MID(C1865,9,3)*10)-144)/1000)*AL1865+AM1865*(J1865*3600/Basis!$E$5)^2)*0.0098)/Basis!$E$10,((AJ1865*(J1865/Basis!$E$5)^AK1865*(((MID(C1865,9,3)*10)-144)/1000)*AL1865+AM1865*(J1865/Basis!$E$5)^2)*0.0098)/Basis!$E$10)</f>
        <v>2.5038441421889414E-2</v>
      </c>
      <c r="M1865" s="85"/>
      <c r="N1865" s="109">
        <v>1.4850000000000001</v>
      </c>
      <c r="O1865" s="68"/>
      <c r="P1865" s="67">
        <v>2324</v>
      </c>
      <c r="Q1865" s="68"/>
      <c r="R1865" s="69"/>
      <c r="S1865" s="69"/>
      <c r="T1865" s="69"/>
      <c r="U1865" s="69"/>
      <c r="V1865" s="69"/>
      <c r="W1865" s="68"/>
      <c r="X1865" s="70"/>
      <c r="Y1865" s="70"/>
      <c r="Z1865" s="70"/>
      <c r="AA1865" s="70"/>
      <c r="AB1865" s="70"/>
      <c r="AC1865" s="68"/>
      <c r="AD1865" s="71"/>
      <c r="AE1865" s="71"/>
      <c r="AF1865" s="71"/>
      <c r="AG1865" s="71"/>
      <c r="AH1865" s="71"/>
      <c r="AI1865" s="68"/>
      <c r="AJ1865" s="214">
        <v>1.2760000000000001E-4</v>
      </c>
      <c r="AK1865" s="214">
        <v>1.7219</v>
      </c>
      <c r="AL1865" s="214">
        <v>4</v>
      </c>
      <c r="AM1865" s="214">
        <v>5.1420100000000005E-4</v>
      </c>
      <c r="AN1865" s="68"/>
      <c r="AO1865" s="67"/>
      <c r="AP1865" s="67"/>
      <c r="AQ1865" s="67"/>
      <c r="AR1865" s="67"/>
      <c r="AS1865" s="67"/>
      <c r="AT1865" s="68"/>
      <c r="AU1865" s="49"/>
      <c r="AV1865" s="50"/>
    </row>
    <row r="1866" spans="1:48" ht="12.75" customHeight="1" x14ac:dyDescent="0.25">
      <c r="A1866" s="72" t="s">
        <v>20</v>
      </c>
      <c r="B1866" s="43" t="s">
        <v>1833</v>
      </c>
      <c r="C1866" s="44" t="s">
        <v>2023</v>
      </c>
      <c r="D1866" s="45">
        <f>MROUND(MID($C1866,6,3)/Basis!$E$3,0.5)</f>
        <v>19.5</v>
      </c>
      <c r="E1866" s="45">
        <f>MROUND(MID($C1866,9,3)/Basis!$E$3,0.5)</f>
        <v>39.5</v>
      </c>
      <c r="F1866" s="124" t="s">
        <v>2949</v>
      </c>
      <c r="G1866" s="45">
        <f>ROUND((ROUNDDOWN($F1866/5,0)*5+3.5)/Basis!$E$3,1)</f>
        <v>3.3</v>
      </c>
      <c r="H1866" s="120">
        <f>ROUND($P1866*Basis!$E$2*((TaH-TrH)/LN(1/µ)/Basis!$E$7)^$N1866*$AA$4*Glycol,0)</f>
        <v>2055</v>
      </c>
      <c r="I1866" s="83">
        <f>ROUND(H1866/(MID($C1866,9,3)/Basis!$E$3/Basis!$E$9)*Basis!$E$11,0)</f>
        <v>626</v>
      </c>
      <c r="J1866" s="123">
        <f>IF(Basis!$E$1=1,ROUND(H1866/((TaH-TrH)*1.163)/3600,3),ROUND(H1866/(500*(TaH-TrH)),2))</f>
        <v>0.21</v>
      </c>
      <c r="K1866" s="84"/>
      <c r="L1866" s="177">
        <f>CHOOSE(Basis!$E$1,((AJ1866*(J1866*3600/Basis!$E$5)^AK1866*(((MID(C1866,9,3)*10)-144)/1000)*AL1866+AM1866*(J1866*3600/Basis!$E$5)^2)*0.0098)/Basis!$E$10,((AJ1866*(J1866/Basis!$E$5)^AK1866*(((MID(C1866,9,3)*10)-144)/1000)*AL1866+AM1866*(J1866/Basis!$E$5)^2)*0.0098)/Basis!$E$10)</f>
        <v>1.7568280768148814E-2</v>
      </c>
      <c r="M1866" s="85"/>
      <c r="N1866" s="109">
        <v>1.3720000000000001</v>
      </c>
      <c r="O1866" s="68"/>
      <c r="P1866" s="67">
        <v>947</v>
      </c>
      <c r="Q1866" s="68"/>
      <c r="R1866" s="69"/>
      <c r="S1866" s="69"/>
      <c r="T1866" s="69"/>
      <c r="U1866" s="69"/>
      <c r="V1866" s="69"/>
      <c r="W1866" s="68"/>
      <c r="X1866" s="70"/>
      <c r="Y1866" s="70"/>
      <c r="Z1866" s="70"/>
      <c r="AA1866" s="70"/>
      <c r="AB1866" s="70"/>
      <c r="AC1866" s="68"/>
      <c r="AD1866" s="71"/>
      <c r="AE1866" s="71"/>
      <c r="AF1866" s="71"/>
      <c r="AG1866" s="71"/>
      <c r="AH1866" s="71"/>
      <c r="AI1866" s="68"/>
      <c r="AJ1866" s="214">
        <v>1.6125983042710999E-4</v>
      </c>
      <c r="AK1866" s="214">
        <v>2.1458504622376</v>
      </c>
      <c r="AL1866" s="214">
        <v>4</v>
      </c>
      <c r="AM1866" s="214">
        <v>1.3916423712342001E-3</v>
      </c>
      <c r="AN1866" s="68"/>
      <c r="AO1866" s="67"/>
      <c r="AP1866" s="67"/>
      <c r="AQ1866" s="67"/>
      <c r="AR1866" s="67"/>
      <c r="AS1866" s="67"/>
      <c r="AT1866" s="68"/>
      <c r="AU1866" s="49"/>
      <c r="AV1866" s="50"/>
    </row>
    <row r="1867" spans="1:48" ht="12.75" customHeight="1" x14ac:dyDescent="0.25">
      <c r="A1867" s="72" t="s">
        <v>20</v>
      </c>
      <c r="B1867" s="43" t="s">
        <v>1833</v>
      </c>
      <c r="C1867" s="44" t="s">
        <v>2024</v>
      </c>
      <c r="D1867" s="45">
        <f>MROUND(MID($C1867,6,3)/Basis!$E$3,0.5)</f>
        <v>19.5</v>
      </c>
      <c r="E1867" s="45">
        <f>MROUND(MID($C1867,9,3)/Basis!$E$3,0.5)</f>
        <v>39.5</v>
      </c>
      <c r="F1867" s="124" t="s">
        <v>2943</v>
      </c>
      <c r="G1867" s="45">
        <f>ROUND((ROUNDDOWN($F1867/5,0)*5+1.8)/Basis!$E$3,1)</f>
        <v>4.5999999999999996</v>
      </c>
      <c r="H1867" s="120">
        <f>ROUND($P1867*Basis!$E$2*((TaH-TrH)/LN(1/µ)/Basis!$E$7)^$N1867*$AA$4*Glycol,0)</f>
        <v>2324</v>
      </c>
      <c r="I1867" s="83">
        <f>ROUND(H1867/(MID($C1867,9,3)/Basis!$E$3/Basis!$E$9)*Basis!$E$11,0)</f>
        <v>708</v>
      </c>
      <c r="J1867" s="123">
        <f>IF(Basis!$E$1=1,ROUND(H1867/((TaH-TrH)*1.163)/3600,3),ROUND(H1867/(500*(TaH-TrH)),2))</f>
        <v>0.23</v>
      </c>
      <c r="K1867" s="84"/>
      <c r="L1867" s="177">
        <f>CHOOSE(Basis!$E$1,((AJ1867*(J1867*3600/Basis!$E$5)^AK1867*(((MID(C1867,9,3)*10)-144)/1000)*AL1867+AM1867*(J1867*3600/Basis!$E$5)^2)*0.0098)/Basis!$E$10,((AJ1867*(J1867/Basis!$E$5)^AK1867*(((MID(C1867,9,3)*10)-144)/1000)*AL1867+AM1867*(J1867/Basis!$E$5)^2)*0.0098)/Basis!$E$10)</f>
        <v>5.3996163181241211E-3</v>
      </c>
      <c r="M1867" s="85"/>
      <c r="N1867" s="110">
        <v>1.385</v>
      </c>
      <c r="O1867" s="74"/>
      <c r="P1867" s="73">
        <v>1076</v>
      </c>
      <c r="Q1867" s="74"/>
      <c r="R1867" s="75"/>
      <c r="S1867" s="75"/>
      <c r="T1867" s="75"/>
      <c r="U1867" s="75"/>
      <c r="V1867" s="75"/>
      <c r="W1867" s="74"/>
      <c r="X1867" s="76"/>
      <c r="Y1867" s="76"/>
      <c r="Z1867" s="76"/>
      <c r="AA1867" s="76"/>
      <c r="AB1867" s="76"/>
      <c r="AC1867" s="74"/>
      <c r="AD1867" s="77"/>
      <c r="AE1867" s="77"/>
      <c r="AF1867" s="77"/>
      <c r="AG1867" s="77"/>
      <c r="AH1867" s="77"/>
      <c r="AI1867" s="68"/>
      <c r="AJ1867" s="213">
        <v>3.9689999999999994E-4</v>
      </c>
      <c r="AK1867" s="213">
        <v>1.7345999999999999</v>
      </c>
      <c r="AL1867" s="213">
        <v>2</v>
      </c>
      <c r="AM1867" s="213">
        <v>3.6734700000000002E-4</v>
      </c>
      <c r="AN1867" s="74"/>
      <c r="AO1867" s="73"/>
      <c r="AP1867" s="73"/>
      <c r="AQ1867" s="73"/>
      <c r="AR1867" s="73"/>
      <c r="AS1867" s="73"/>
      <c r="AT1867" s="74"/>
      <c r="AU1867" s="47"/>
      <c r="AV1867" s="48"/>
    </row>
    <row r="1868" spans="1:48" ht="12.75" customHeight="1" x14ac:dyDescent="0.25">
      <c r="A1868" s="72" t="s">
        <v>20</v>
      </c>
      <c r="B1868" s="43" t="s">
        <v>1833</v>
      </c>
      <c r="C1868" s="44" t="s">
        <v>2025</v>
      </c>
      <c r="D1868" s="45">
        <f>MROUND(MID($C1868,6,3)/Basis!$E$3,0.5)</f>
        <v>19.5</v>
      </c>
      <c r="E1868" s="45">
        <f>MROUND(MID($C1868,9,3)/Basis!$E$3,0.5)</f>
        <v>39.5</v>
      </c>
      <c r="F1868" s="124" t="s">
        <v>2946</v>
      </c>
      <c r="G1868" s="45">
        <f>ROUND((ROUNDDOWN($F1868/5,0)*5+1.8)/Basis!$E$3,1)</f>
        <v>4.5999999999999996</v>
      </c>
      <c r="H1868" s="120">
        <f>ROUND($P1868*Basis!$E$2*((TaH-TrH)/LN(1/µ)/Basis!$E$7)^$N1868*$AA$4*Glycol,0)</f>
        <v>2942</v>
      </c>
      <c r="I1868" s="83">
        <f>ROUND(H1868/(MID($C1868,9,3)/Basis!$E$3/Basis!$E$9)*Basis!$E$11,0)</f>
        <v>897</v>
      </c>
      <c r="J1868" s="123">
        <f>IF(Basis!$E$1=1,ROUND(H1868/((TaH-TrH)*1.163)/3600,3),ROUND(H1868/(500*(TaH-TrH)),2))</f>
        <v>0.28999999999999998</v>
      </c>
      <c r="K1868" s="84"/>
      <c r="L1868" s="177">
        <f>CHOOSE(Basis!$E$1,((AJ1868*(J1868*3600/Basis!$E$5)^AK1868*(((MID(C1868,9,3)*10)-144)/1000)*AL1868+AM1868*(J1868*3600/Basis!$E$5)^2)*0.0098)/Basis!$E$10,((AJ1868*(J1868/Basis!$E$5)^AK1868*(((MID(C1868,9,3)*10)-144)/1000)*AL1868+AM1868*(J1868/Basis!$E$5)^2)*0.0098)/Basis!$E$10)</f>
        <v>1.4490597095091937E-2</v>
      </c>
      <c r="M1868" s="85"/>
      <c r="N1868" s="110">
        <v>1.4379999999999999</v>
      </c>
      <c r="O1868" s="74"/>
      <c r="P1868" s="73">
        <v>1386</v>
      </c>
      <c r="Q1868" s="74"/>
      <c r="R1868" s="75"/>
      <c r="S1868" s="75"/>
      <c r="T1868" s="75"/>
      <c r="U1868" s="75"/>
      <c r="V1868" s="75"/>
      <c r="W1868" s="74"/>
      <c r="X1868" s="76"/>
      <c r="Y1868" s="76"/>
      <c r="Z1868" s="76"/>
      <c r="AA1868" s="76"/>
      <c r="AB1868" s="76"/>
      <c r="AC1868" s="74"/>
      <c r="AD1868" s="77"/>
      <c r="AE1868" s="77"/>
      <c r="AF1868" s="77"/>
      <c r="AG1868" s="77"/>
      <c r="AH1868" s="77"/>
      <c r="AI1868" s="68"/>
      <c r="AJ1868" s="213">
        <v>3.9689999999999994E-4</v>
      </c>
      <c r="AK1868" s="213">
        <v>1.7345999999999999</v>
      </c>
      <c r="AL1868" s="213">
        <v>4</v>
      </c>
      <c r="AM1868" s="213">
        <v>5.7428799999999995E-4</v>
      </c>
      <c r="AN1868" s="74"/>
      <c r="AO1868" s="73"/>
      <c r="AP1868" s="73"/>
      <c r="AQ1868" s="73"/>
      <c r="AR1868" s="73"/>
      <c r="AS1868" s="73"/>
      <c r="AT1868" s="74"/>
      <c r="AU1868" s="47"/>
      <c r="AV1868" s="48"/>
    </row>
    <row r="1869" spans="1:48" ht="12.75" customHeight="1" x14ac:dyDescent="0.25">
      <c r="A1869" s="72" t="s">
        <v>20</v>
      </c>
      <c r="B1869" s="43" t="s">
        <v>1833</v>
      </c>
      <c r="C1869" s="44" t="s">
        <v>2026</v>
      </c>
      <c r="D1869" s="45">
        <f>MROUND(MID($C1869,6,3)/Basis!$E$3,0.5)</f>
        <v>19.5</v>
      </c>
      <c r="E1869" s="45">
        <f>MROUND(MID($C1869,9,3)/Basis!$E$3,0.5)</f>
        <v>39.5</v>
      </c>
      <c r="F1869" s="124" t="s">
        <v>2944</v>
      </c>
      <c r="G1869" s="45">
        <f>ROUND((ROUNDDOWN($F1869/5,0)*5+1.8)/Basis!$E$3,1)</f>
        <v>6.6</v>
      </c>
      <c r="H1869" s="120">
        <f>ROUND($P1869*Basis!$E$2*((TaH-TrH)/LN(1/µ)/Basis!$E$7)^$N1869*$AA$4*Glycol,0)</f>
        <v>3761</v>
      </c>
      <c r="I1869" s="83">
        <f>ROUND(H1869/(MID($C1869,9,3)/Basis!$E$3/Basis!$E$9)*Basis!$E$11,0)</f>
        <v>1146</v>
      </c>
      <c r="J1869" s="123">
        <f>IF(Basis!$E$1=1,ROUND(H1869/((TaH-TrH)*1.163)/3600,3),ROUND(H1869/(500*(TaH-TrH)),2))</f>
        <v>0.38</v>
      </c>
      <c r="K1869" s="84"/>
      <c r="L1869" s="177">
        <f>CHOOSE(Basis!$E$1,((AJ1869*(J1869*3600/Basis!$E$5)^AK1869*(((MID(C1869,9,3)*10)-144)/1000)*AL1869+AM1869*(J1869*3600/Basis!$E$5)^2)*0.0098)/Basis!$E$10,((AJ1869*(J1869/Basis!$E$5)^AK1869*(((MID(C1869,9,3)*10)-144)/1000)*AL1869+AM1869*(J1869/Basis!$E$5)^2)*0.0098)/Basis!$E$10)</f>
        <v>1.3786057701373792E-2</v>
      </c>
      <c r="M1869" s="85"/>
      <c r="N1869" s="110">
        <v>1.373</v>
      </c>
      <c r="O1869" s="74"/>
      <c r="P1869" s="73">
        <v>1734</v>
      </c>
      <c r="Q1869" s="74"/>
      <c r="R1869" s="75"/>
      <c r="S1869" s="75"/>
      <c r="T1869" s="75"/>
      <c r="U1869" s="75"/>
      <c r="V1869" s="75"/>
      <c r="W1869" s="74"/>
      <c r="X1869" s="76"/>
      <c r="Y1869" s="76"/>
      <c r="Z1869" s="76"/>
      <c r="AA1869" s="76"/>
      <c r="AB1869" s="76"/>
      <c r="AC1869" s="74"/>
      <c r="AD1869" s="77"/>
      <c r="AE1869" s="77"/>
      <c r="AF1869" s="77"/>
      <c r="AG1869" s="77"/>
      <c r="AH1869" s="77"/>
      <c r="AI1869" s="68"/>
      <c r="AJ1869" s="213">
        <v>2.0829999999999999E-4</v>
      </c>
      <c r="AK1869" s="213">
        <v>1.724</v>
      </c>
      <c r="AL1869" s="213">
        <v>2</v>
      </c>
      <c r="AM1869" s="213">
        <v>4.6182900000000003E-4</v>
      </c>
      <c r="AN1869" s="74"/>
      <c r="AO1869" s="73"/>
      <c r="AP1869" s="73"/>
      <c r="AQ1869" s="73"/>
      <c r="AR1869" s="73"/>
      <c r="AS1869" s="73"/>
      <c r="AT1869" s="74"/>
      <c r="AU1869" s="47"/>
      <c r="AV1869" s="48"/>
    </row>
    <row r="1870" spans="1:48" ht="12.75" customHeight="1" x14ac:dyDescent="0.25">
      <c r="A1870" s="72" t="s">
        <v>20</v>
      </c>
      <c r="B1870" s="43" t="s">
        <v>1833</v>
      </c>
      <c r="C1870" s="44" t="s">
        <v>2027</v>
      </c>
      <c r="D1870" s="45">
        <f>MROUND(MID($C1870,6,3)/Basis!$E$3,0.5)</f>
        <v>19.5</v>
      </c>
      <c r="E1870" s="45">
        <f>MROUND(MID($C1870,9,3)/Basis!$E$3,0.5)</f>
        <v>39.5</v>
      </c>
      <c r="F1870" s="124" t="s">
        <v>2947</v>
      </c>
      <c r="G1870" s="45">
        <f>ROUND((ROUNDDOWN($F1870/5,0)*5+1.8)/Basis!$E$3,1)</f>
        <v>6.6</v>
      </c>
      <c r="H1870" s="120">
        <f>ROUND($P1870*Basis!$E$2*((TaH-TrH)/LN(1/µ)/Basis!$E$7)^$N1870*$AA$4*Glycol,0)</f>
        <v>3995</v>
      </c>
      <c r="I1870" s="83">
        <f>ROUND(H1870/(MID($C1870,9,3)/Basis!$E$3/Basis!$E$9)*Basis!$E$11,0)</f>
        <v>1218</v>
      </c>
      <c r="J1870" s="123">
        <f>IF(Basis!$E$1=1,ROUND(H1870/((TaH-TrH)*1.163)/3600,3),ROUND(H1870/(500*(TaH-TrH)),2))</f>
        <v>0.4</v>
      </c>
      <c r="K1870" s="84"/>
      <c r="L1870" s="177">
        <f>CHOOSE(Basis!$E$1,((AJ1870*(J1870*3600/Basis!$E$5)^AK1870*(((MID(C1870,9,3)*10)-144)/1000)*AL1870+AM1870*(J1870*3600/Basis!$E$5)^2)*0.0098)/Basis!$E$10,((AJ1870*(J1870/Basis!$E$5)^AK1870*(((MID(C1870,9,3)*10)-144)/1000)*AL1870+AM1870*(J1870/Basis!$E$5)^2)*0.0098)/Basis!$E$10)</f>
        <v>4.3132488772067358E-2</v>
      </c>
      <c r="M1870" s="85"/>
      <c r="N1870" s="110">
        <v>1.464</v>
      </c>
      <c r="O1870" s="74"/>
      <c r="P1870" s="73">
        <v>1898</v>
      </c>
      <c r="Q1870" s="74"/>
      <c r="R1870" s="75"/>
      <c r="S1870" s="75"/>
      <c r="T1870" s="75"/>
      <c r="U1870" s="75"/>
      <c r="V1870" s="75"/>
      <c r="W1870" s="74"/>
      <c r="X1870" s="76"/>
      <c r="Y1870" s="76"/>
      <c r="Z1870" s="76"/>
      <c r="AA1870" s="76"/>
      <c r="AB1870" s="76"/>
      <c r="AC1870" s="74"/>
      <c r="AD1870" s="77"/>
      <c r="AE1870" s="77"/>
      <c r="AF1870" s="77"/>
      <c r="AG1870" s="77"/>
      <c r="AH1870" s="77"/>
      <c r="AI1870" s="68"/>
      <c r="AJ1870" s="213">
        <v>2.0829999999999999E-4</v>
      </c>
      <c r="AK1870" s="213">
        <v>1.724</v>
      </c>
      <c r="AL1870" s="213">
        <v>4</v>
      </c>
      <c r="AM1870" s="213">
        <v>1.392796E-3</v>
      </c>
      <c r="AN1870" s="74"/>
      <c r="AO1870" s="73"/>
      <c r="AP1870" s="73"/>
      <c r="AQ1870" s="73"/>
      <c r="AR1870" s="73"/>
      <c r="AS1870" s="73"/>
      <c r="AT1870" s="74"/>
      <c r="AU1870" s="47"/>
      <c r="AV1870" s="48"/>
    </row>
    <row r="1871" spans="1:48" ht="12.75" customHeight="1" x14ac:dyDescent="0.25">
      <c r="A1871" s="72" t="s">
        <v>20</v>
      </c>
      <c r="B1871" s="43" t="s">
        <v>1833</v>
      </c>
      <c r="C1871" s="44" t="s">
        <v>2028</v>
      </c>
      <c r="D1871" s="45">
        <f>MROUND(MID($C1871,6,3)/Basis!$E$3,0.5)</f>
        <v>19.5</v>
      </c>
      <c r="E1871" s="45">
        <f>MROUND(MID($C1871,9,3)/Basis!$E$3,0.5)</f>
        <v>39.5</v>
      </c>
      <c r="F1871" s="124" t="s">
        <v>2945</v>
      </c>
      <c r="G1871" s="45">
        <f>ROUND((ROUNDDOWN($F1871/5,0)*5+1.8)/Basis!$E$3,1)</f>
        <v>8.6</v>
      </c>
      <c r="H1871" s="120">
        <f>ROUND($P1871*Basis!$E$2*((TaH-TrH)/LN(1/µ)/Basis!$E$7)^$N1871*$AA$4*Glycol,0)</f>
        <v>5259</v>
      </c>
      <c r="I1871" s="83">
        <f>ROUND(H1871/(MID($C1871,9,3)/Basis!$E$3/Basis!$E$9)*Basis!$E$11,0)</f>
        <v>1603</v>
      </c>
      <c r="J1871" s="123">
        <f>IF(Basis!$E$1=1,ROUND(H1871/((TaH-TrH)*1.163)/3600,3),ROUND(H1871/(500*(TaH-TrH)),2))</f>
        <v>0.53</v>
      </c>
      <c r="K1871" s="84"/>
      <c r="L1871" s="177">
        <f>CHOOSE(Basis!$E$1,((AJ1871*(J1871*3600/Basis!$E$5)^AK1871*(((MID(C1871,9,3)*10)-144)/1000)*AL1871+AM1871*(J1871*3600/Basis!$E$5)^2)*0.0098)/Basis!$E$10,((AJ1871*(J1871/Basis!$E$5)^AK1871*(((MID(C1871,9,3)*10)-144)/1000)*AL1871+AM1871*(J1871/Basis!$E$5)^2)*0.0098)/Basis!$E$10)</f>
        <v>2.0574783929454853E-2</v>
      </c>
      <c r="M1871" s="85"/>
      <c r="N1871" s="110">
        <v>1.373</v>
      </c>
      <c r="O1871" s="74"/>
      <c r="P1871" s="73">
        <v>2425</v>
      </c>
      <c r="Q1871" s="74"/>
      <c r="R1871" s="75"/>
      <c r="S1871" s="75"/>
      <c r="T1871" s="75"/>
      <c r="U1871" s="75"/>
      <c r="V1871" s="75"/>
      <c r="W1871" s="74"/>
      <c r="X1871" s="76"/>
      <c r="Y1871" s="76"/>
      <c r="Z1871" s="76"/>
      <c r="AA1871" s="76"/>
      <c r="AB1871" s="76"/>
      <c r="AC1871" s="74"/>
      <c r="AD1871" s="77"/>
      <c r="AE1871" s="77"/>
      <c r="AF1871" s="77"/>
      <c r="AG1871" s="77"/>
      <c r="AH1871" s="77"/>
      <c r="AI1871" s="68"/>
      <c r="AJ1871" s="214">
        <v>1.2760000000000001E-4</v>
      </c>
      <c r="AK1871" s="214">
        <v>1.7219</v>
      </c>
      <c r="AL1871" s="214">
        <v>2</v>
      </c>
      <c r="AM1871" s="214">
        <v>3.76611E-4</v>
      </c>
      <c r="AN1871" s="74"/>
      <c r="AO1871" s="73"/>
      <c r="AP1871" s="73"/>
      <c r="AQ1871" s="73"/>
      <c r="AR1871" s="73"/>
      <c r="AS1871" s="73"/>
      <c r="AT1871" s="74"/>
      <c r="AU1871" s="47"/>
      <c r="AV1871" s="48"/>
    </row>
    <row r="1872" spans="1:48" ht="12.75" customHeight="1" x14ac:dyDescent="0.25">
      <c r="A1872" s="72" t="s">
        <v>20</v>
      </c>
      <c r="B1872" s="43" t="s">
        <v>1833</v>
      </c>
      <c r="C1872" s="44" t="s">
        <v>2029</v>
      </c>
      <c r="D1872" s="45">
        <f>MROUND(MID($C1872,6,3)/Basis!$E$3,0.5)</f>
        <v>19.5</v>
      </c>
      <c r="E1872" s="45">
        <f>MROUND(MID($C1872,9,3)/Basis!$E$3,0.5)</f>
        <v>39.5</v>
      </c>
      <c r="F1872" s="124" t="s">
        <v>2948</v>
      </c>
      <c r="G1872" s="45">
        <f>ROUND((ROUNDDOWN($F1872/5,0)*5+1.8)/Basis!$E$3,1)</f>
        <v>8.6</v>
      </c>
      <c r="H1872" s="120">
        <f>ROUND($P1872*Basis!$E$2*((TaH-TrH)/LN(1/µ)/Basis!$E$7)^$N1872*$AA$4*Glycol,0)</f>
        <v>5397</v>
      </c>
      <c r="I1872" s="83">
        <f>ROUND(H1872/(MID($C1872,9,3)/Basis!$E$3/Basis!$E$9)*Basis!$E$11,0)</f>
        <v>1645</v>
      </c>
      <c r="J1872" s="123">
        <f>IF(Basis!$E$1=1,ROUND(H1872/((TaH-TrH)*1.163)/3600,3),ROUND(H1872/(500*(TaH-TrH)),2))</f>
        <v>0.54</v>
      </c>
      <c r="K1872" s="84"/>
      <c r="L1872" s="177">
        <f>CHOOSE(Basis!$E$1,((AJ1872*(J1872*3600/Basis!$E$5)^AK1872*(((MID(C1872,9,3)*10)-144)/1000)*AL1872+AM1872*(J1872*3600/Basis!$E$5)^2)*0.0098)/Basis!$E$10,((AJ1872*(J1872/Basis!$E$5)^AK1872*(((MID(C1872,9,3)*10)-144)/1000)*AL1872+AM1872*(J1872/Basis!$E$5)^2)*0.0098)/Basis!$E$10)</f>
        <v>3.093157793527427E-2</v>
      </c>
      <c r="M1872" s="85"/>
      <c r="N1872" s="110">
        <v>1.4850000000000001</v>
      </c>
      <c r="O1872" s="74"/>
      <c r="P1872" s="73">
        <v>2582</v>
      </c>
      <c r="Q1872" s="74"/>
      <c r="R1872" s="75"/>
      <c r="S1872" s="75"/>
      <c r="T1872" s="75"/>
      <c r="U1872" s="75"/>
      <c r="V1872" s="75"/>
      <c r="W1872" s="74"/>
      <c r="X1872" s="76"/>
      <c r="Y1872" s="76"/>
      <c r="Z1872" s="76"/>
      <c r="AA1872" s="76"/>
      <c r="AB1872" s="76"/>
      <c r="AC1872" s="74"/>
      <c r="AD1872" s="77"/>
      <c r="AE1872" s="77"/>
      <c r="AF1872" s="77"/>
      <c r="AG1872" s="77"/>
      <c r="AH1872" s="77"/>
      <c r="AI1872" s="68"/>
      <c r="AJ1872" s="213">
        <v>1.2760000000000001E-4</v>
      </c>
      <c r="AK1872" s="213">
        <v>1.7219</v>
      </c>
      <c r="AL1872" s="213">
        <v>4</v>
      </c>
      <c r="AM1872" s="213">
        <v>5.1420100000000005E-4</v>
      </c>
      <c r="AN1872" s="74"/>
      <c r="AO1872" s="73"/>
      <c r="AP1872" s="73"/>
      <c r="AQ1872" s="73"/>
      <c r="AR1872" s="73"/>
      <c r="AS1872" s="73"/>
      <c r="AT1872" s="74"/>
      <c r="AU1872" s="47"/>
      <c r="AV1872" s="48"/>
    </row>
    <row r="1873" spans="1:48" ht="12.75" customHeight="1" x14ac:dyDescent="0.25">
      <c r="A1873" s="72" t="s">
        <v>20</v>
      </c>
      <c r="B1873" s="43" t="s">
        <v>1833</v>
      </c>
      <c r="C1873" s="44" t="s">
        <v>2030</v>
      </c>
      <c r="D1873" s="45">
        <f>MROUND(MID($C1873,6,3)/Basis!$E$3,0.5)</f>
        <v>19.5</v>
      </c>
      <c r="E1873" s="45">
        <f>MROUND(MID($C1873,9,3)/Basis!$E$3,0.5)</f>
        <v>43.5</v>
      </c>
      <c r="F1873" s="124" t="s">
        <v>2949</v>
      </c>
      <c r="G1873" s="45">
        <f>ROUND((ROUNDDOWN($F1873/5,0)*5+3.5)/Basis!$E$3,1)</f>
        <v>3.3</v>
      </c>
      <c r="H1873" s="120">
        <f>ROUND($P1873*Basis!$E$2*((TaH-TrH)/LN(1/µ)/Basis!$E$7)^$N1873*$AA$4*Glycol,0)</f>
        <v>2261</v>
      </c>
      <c r="I1873" s="83">
        <f>ROUND(H1873/(MID($C1873,9,3)/Basis!$E$3/Basis!$E$9)*Basis!$E$11,0)</f>
        <v>627</v>
      </c>
      <c r="J1873" s="123">
        <f>IF(Basis!$E$1=1,ROUND(H1873/((TaH-TrH)*1.163)/3600,3),ROUND(H1873/(500*(TaH-TrH)),2))</f>
        <v>0.23</v>
      </c>
      <c r="K1873" s="84"/>
      <c r="L1873" s="177">
        <f>CHOOSE(Basis!$E$1,((AJ1873*(J1873*3600/Basis!$E$5)^AK1873*(((MID(C1873,9,3)*10)-144)/1000)*AL1873+AM1873*(J1873*3600/Basis!$E$5)^2)*0.0098)/Basis!$E$10,((AJ1873*(J1873/Basis!$E$5)^AK1873*(((MID(C1873,9,3)*10)-144)/1000)*AL1873+AM1873*(J1873/Basis!$E$5)^2)*0.0098)/Basis!$E$10)</f>
        <v>2.2214416814093911E-2</v>
      </c>
      <c r="M1873" s="85"/>
      <c r="N1873" s="110">
        <v>1.3720000000000001</v>
      </c>
      <c r="O1873" s="74"/>
      <c r="P1873" s="73">
        <v>1042</v>
      </c>
      <c r="Q1873" s="74"/>
      <c r="R1873" s="75"/>
      <c r="S1873" s="75"/>
      <c r="T1873" s="75"/>
      <c r="U1873" s="75"/>
      <c r="V1873" s="75"/>
      <c r="W1873" s="74"/>
      <c r="X1873" s="76"/>
      <c r="Y1873" s="76"/>
      <c r="Z1873" s="76"/>
      <c r="AA1873" s="76"/>
      <c r="AB1873" s="76"/>
      <c r="AC1873" s="74"/>
      <c r="AD1873" s="77"/>
      <c r="AE1873" s="77"/>
      <c r="AF1873" s="77"/>
      <c r="AG1873" s="77"/>
      <c r="AH1873" s="77"/>
      <c r="AI1873" s="68"/>
      <c r="AJ1873" s="213">
        <v>1.6125983042710999E-4</v>
      </c>
      <c r="AK1873" s="213">
        <v>2.1458504622376</v>
      </c>
      <c r="AL1873" s="213">
        <v>4</v>
      </c>
      <c r="AM1873" s="213">
        <v>1.3916423712342001E-3</v>
      </c>
      <c r="AN1873" s="74"/>
      <c r="AO1873" s="73"/>
      <c r="AP1873" s="73"/>
      <c r="AQ1873" s="73"/>
      <c r="AR1873" s="73"/>
      <c r="AS1873" s="73"/>
      <c r="AT1873" s="74"/>
      <c r="AU1873" s="47"/>
      <c r="AV1873" s="48"/>
    </row>
    <row r="1874" spans="1:48" ht="12.75" customHeight="1" x14ac:dyDescent="0.25">
      <c r="A1874" s="72" t="s">
        <v>20</v>
      </c>
      <c r="B1874" s="43" t="s">
        <v>1833</v>
      </c>
      <c r="C1874" s="44" t="s">
        <v>2031</v>
      </c>
      <c r="D1874" s="45">
        <f>MROUND(MID($C1874,6,3)/Basis!$E$3,0.5)</f>
        <v>19.5</v>
      </c>
      <c r="E1874" s="45">
        <f>MROUND(MID($C1874,9,3)/Basis!$E$3,0.5)</f>
        <v>43.5</v>
      </c>
      <c r="F1874" s="124" t="s">
        <v>2943</v>
      </c>
      <c r="G1874" s="45">
        <f>ROUND((ROUNDDOWN($F1874/5,0)*5+1.8)/Basis!$E$3,1)</f>
        <v>4.5999999999999996</v>
      </c>
      <c r="H1874" s="120">
        <f>ROUND($P1874*Basis!$E$2*((TaH-TrH)/LN(1/µ)/Basis!$E$7)^$N1874*$AA$4*Glycol,0)</f>
        <v>2558</v>
      </c>
      <c r="I1874" s="83">
        <f>ROUND(H1874/(MID($C1874,9,3)/Basis!$E$3/Basis!$E$9)*Basis!$E$11,0)</f>
        <v>709</v>
      </c>
      <c r="J1874" s="123">
        <f>IF(Basis!$E$1=1,ROUND(H1874/((TaH-TrH)*1.163)/3600,3),ROUND(H1874/(500*(TaH-TrH)),2))</f>
        <v>0.26</v>
      </c>
      <c r="K1874" s="84"/>
      <c r="L1874" s="177">
        <f>CHOOSE(Basis!$E$1,((AJ1874*(J1874*3600/Basis!$E$5)^AK1874*(((MID(C1874,9,3)*10)-144)/1000)*AL1874+AM1874*(J1874*3600/Basis!$E$5)^2)*0.0098)/Basis!$E$10,((AJ1874*(J1874/Basis!$E$5)^AK1874*(((MID(C1874,9,3)*10)-144)/1000)*AL1874+AM1874*(J1874/Basis!$E$5)^2)*0.0098)/Basis!$E$10)</f>
        <v>7.1198952148428278E-3</v>
      </c>
      <c r="M1874" s="85"/>
      <c r="N1874" s="109">
        <v>1.385</v>
      </c>
      <c r="O1874" s="68"/>
      <c r="P1874" s="67">
        <v>1184</v>
      </c>
      <c r="Q1874" s="68"/>
      <c r="R1874" s="69"/>
      <c r="S1874" s="69"/>
      <c r="T1874" s="69"/>
      <c r="U1874" s="69"/>
      <c r="V1874" s="69"/>
      <c r="W1874" s="68"/>
      <c r="X1874" s="70"/>
      <c r="Y1874" s="70"/>
      <c r="Z1874" s="70"/>
      <c r="AA1874" s="70"/>
      <c r="AB1874" s="70"/>
      <c r="AC1874" s="68"/>
      <c r="AD1874" s="71"/>
      <c r="AE1874" s="71"/>
      <c r="AF1874" s="71"/>
      <c r="AG1874" s="71"/>
      <c r="AH1874" s="71"/>
      <c r="AI1874" s="68"/>
      <c r="AJ1874" s="214">
        <v>3.9689999999999994E-4</v>
      </c>
      <c r="AK1874" s="214">
        <v>1.7345999999999999</v>
      </c>
      <c r="AL1874" s="214">
        <v>2</v>
      </c>
      <c r="AM1874" s="214">
        <v>3.6734700000000002E-4</v>
      </c>
      <c r="AN1874" s="68"/>
      <c r="AO1874" s="67"/>
      <c r="AP1874" s="67"/>
      <c r="AQ1874" s="67"/>
      <c r="AR1874" s="67"/>
      <c r="AS1874" s="67"/>
      <c r="AT1874" s="68"/>
      <c r="AU1874" s="49"/>
      <c r="AV1874" s="50"/>
    </row>
    <row r="1875" spans="1:48" ht="12.75" customHeight="1" x14ac:dyDescent="0.25">
      <c r="A1875" s="72" t="s">
        <v>20</v>
      </c>
      <c r="B1875" s="43" t="s">
        <v>1833</v>
      </c>
      <c r="C1875" s="44" t="s">
        <v>2032</v>
      </c>
      <c r="D1875" s="45">
        <f>MROUND(MID($C1875,6,3)/Basis!$E$3,0.5)</f>
        <v>19.5</v>
      </c>
      <c r="E1875" s="45">
        <f>MROUND(MID($C1875,9,3)/Basis!$E$3,0.5)</f>
        <v>43.5</v>
      </c>
      <c r="F1875" s="124" t="s">
        <v>2946</v>
      </c>
      <c r="G1875" s="45">
        <f>ROUND((ROUNDDOWN($F1875/5,0)*5+1.8)/Basis!$E$3,1)</f>
        <v>4.5999999999999996</v>
      </c>
      <c r="H1875" s="120">
        <f>ROUND($P1875*Basis!$E$2*((TaH-TrH)/LN(1/µ)/Basis!$E$7)^$N1875*$AA$4*Glycol,0)</f>
        <v>3237</v>
      </c>
      <c r="I1875" s="83">
        <f>ROUND(H1875/(MID($C1875,9,3)/Basis!$E$3/Basis!$E$9)*Basis!$E$11,0)</f>
        <v>897</v>
      </c>
      <c r="J1875" s="123">
        <f>IF(Basis!$E$1=1,ROUND(H1875/((TaH-TrH)*1.163)/3600,3),ROUND(H1875/(500*(TaH-TrH)),2))</f>
        <v>0.32</v>
      </c>
      <c r="K1875" s="84"/>
      <c r="L1875" s="177">
        <f>CHOOSE(Basis!$E$1,((AJ1875*(J1875*3600/Basis!$E$5)^AK1875*(((MID(C1875,9,3)*10)-144)/1000)*AL1875+AM1875*(J1875*3600/Basis!$E$5)^2)*0.0098)/Basis!$E$10,((AJ1875*(J1875/Basis!$E$5)^AK1875*(((MID(C1875,9,3)*10)-144)/1000)*AL1875+AM1875*(J1875/Basis!$E$5)^2)*0.0098)/Basis!$E$10)</f>
        <v>1.8323670985918562E-2</v>
      </c>
      <c r="M1875" s="85"/>
      <c r="N1875" s="109">
        <v>1.4379999999999999</v>
      </c>
      <c r="O1875" s="68"/>
      <c r="P1875" s="67">
        <v>1525</v>
      </c>
      <c r="Q1875" s="68"/>
      <c r="R1875" s="69"/>
      <c r="S1875" s="69"/>
      <c r="T1875" s="69"/>
      <c r="U1875" s="69"/>
      <c r="V1875" s="69"/>
      <c r="W1875" s="68"/>
      <c r="X1875" s="70"/>
      <c r="Y1875" s="70"/>
      <c r="Z1875" s="70"/>
      <c r="AA1875" s="70"/>
      <c r="AB1875" s="70"/>
      <c r="AC1875" s="68"/>
      <c r="AD1875" s="71"/>
      <c r="AE1875" s="71"/>
      <c r="AF1875" s="71"/>
      <c r="AG1875" s="71"/>
      <c r="AH1875" s="71"/>
      <c r="AI1875" s="68"/>
      <c r="AJ1875" s="214">
        <v>3.9689999999999994E-4</v>
      </c>
      <c r="AK1875" s="214">
        <v>1.7345999999999999</v>
      </c>
      <c r="AL1875" s="214">
        <v>4</v>
      </c>
      <c r="AM1875" s="214">
        <v>5.7428799999999995E-4</v>
      </c>
      <c r="AN1875" s="68"/>
      <c r="AO1875" s="67"/>
      <c r="AP1875" s="67"/>
      <c r="AQ1875" s="67"/>
      <c r="AR1875" s="67"/>
      <c r="AS1875" s="67"/>
      <c r="AT1875" s="68"/>
      <c r="AU1875" s="49"/>
      <c r="AV1875" s="50"/>
    </row>
    <row r="1876" spans="1:48" ht="12.75" customHeight="1" x14ac:dyDescent="0.25">
      <c r="A1876" s="72" t="s">
        <v>20</v>
      </c>
      <c r="B1876" s="43" t="s">
        <v>1833</v>
      </c>
      <c r="C1876" s="44" t="s">
        <v>2033</v>
      </c>
      <c r="D1876" s="45">
        <f>MROUND(MID($C1876,6,3)/Basis!$E$3,0.5)</f>
        <v>19.5</v>
      </c>
      <c r="E1876" s="45">
        <f>MROUND(MID($C1876,9,3)/Basis!$E$3,0.5)</f>
        <v>43.5</v>
      </c>
      <c r="F1876" s="124" t="s">
        <v>2944</v>
      </c>
      <c r="G1876" s="45">
        <f>ROUND((ROUNDDOWN($F1876/5,0)*5+1.8)/Basis!$E$3,1)</f>
        <v>6.6</v>
      </c>
      <c r="H1876" s="120">
        <f>ROUND($P1876*Basis!$E$2*((TaH-TrH)/LN(1/µ)/Basis!$E$7)^$N1876*$AA$4*Glycol,0)</f>
        <v>4136</v>
      </c>
      <c r="I1876" s="83">
        <f>ROUND(H1876/(MID($C1876,9,3)/Basis!$E$3/Basis!$E$9)*Basis!$E$11,0)</f>
        <v>1146</v>
      </c>
      <c r="J1876" s="123">
        <f>IF(Basis!$E$1=1,ROUND(H1876/((TaH-TrH)*1.163)/3600,3),ROUND(H1876/(500*(TaH-TrH)),2))</f>
        <v>0.41</v>
      </c>
      <c r="K1876" s="84"/>
      <c r="L1876" s="177">
        <f>CHOOSE(Basis!$E$1,((AJ1876*(J1876*3600/Basis!$E$5)^AK1876*(((MID(C1876,9,3)*10)-144)/1000)*AL1876+AM1876*(J1876*3600/Basis!$E$5)^2)*0.0098)/Basis!$E$10,((AJ1876*(J1876/Basis!$E$5)^AK1876*(((MID(C1876,9,3)*10)-144)/1000)*AL1876+AM1876*(J1876/Basis!$E$5)^2)*0.0098)/Basis!$E$10)</f>
        <v>1.6325379935801403E-2</v>
      </c>
      <c r="M1876" s="85"/>
      <c r="N1876" s="109">
        <v>1.373</v>
      </c>
      <c r="O1876" s="68"/>
      <c r="P1876" s="67">
        <v>1907</v>
      </c>
      <c r="Q1876" s="68"/>
      <c r="R1876" s="69"/>
      <c r="S1876" s="69"/>
      <c r="T1876" s="69"/>
      <c r="U1876" s="69"/>
      <c r="V1876" s="69"/>
      <c r="W1876" s="68"/>
      <c r="X1876" s="70"/>
      <c r="Y1876" s="70"/>
      <c r="Z1876" s="70"/>
      <c r="AA1876" s="70"/>
      <c r="AB1876" s="70"/>
      <c r="AC1876" s="68"/>
      <c r="AD1876" s="71"/>
      <c r="AE1876" s="71"/>
      <c r="AF1876" s="71"/>
      <c r="AG1876" s="71"/>
      <c r="AH1876" s="71"/>
      <c r="AI1876" s="68"/>
      <c r="AJ1876" s="214">
        <v>2.0829999999999999E-4</v>
      </c>
      <c r="AK1876" s="214">
        <v>1.724</v>
      </c>
      <c r="AL1876" s="214">
        <v>2</v>
      </c>
      <c r="AM1876" s="214">
        <v>4.6182900000000003E-4</v>
      </c>
      <c r="AN1876" s="68"/>
      <c r="AO1876" s="67"/>
      <c r="AP1876" s="67"/>
      <c r="AQ1876" s="67"/>
      <c r="AR1876" s="67"/>
      <c r="AS1876" s="67"/>
      <c r="AT1876" s="68"/>
      <c r="AU1876" s="49"/>
      <c r="AV1876" s="50"/>
    </row>
    <row r="1877" spans="1:48" ht="12.75" customHeight="1" x14ac:dyDescent="0.25">
      <c r="A1877" s="72" t="s">
        <v>20</v>
      </c>
      <c r="B1877" s="43" t="s">
        <v>1833</v>
      </c>
      <c r="C1877" s="44" t="s">
        <v>2034</v>
      </c>
      <c r="D1877" s="45">
        <f>MROUND(MID($C1877,6,3)/Basis!$E$3,0.5)</f>
        <v>19.5</v>
      </c>
      <c r="E1877" s="45">
        <f>MROUND(MID($C1877,9,3)/Basis!$E$3,0.5)</f>
        <v>43.5</v>
      </c>
      <c r="F1877" s="124" t="s">
        <v>2947</v>
      </c>
      <c r="G1877" s="45">
        <f>ROUND((ROUNDDOWN($F1877/5,0)*5+1.8)/Basis!$E$3,1)</f>
        <v>6.6</v>
      </c>
      <c r="H1877" s="120">
        <f>ROUND($P1877*Basis!$E$2*((TaH-TrH)/LN(1/µ)/Basis!$E$7)^$N1877*$AA$4*Glycol,0)</f>
        <v>4395</v>
      </c>
      <c r="I1877" s="83">
        <f>ROUND(H1877/(MID($C1877,9,3)/Basis!$E$3/Basis!$E$9)*Basis!$E$11,0)</f>
        <v>1218</v>
      </c>
      <c r="J1877" s="123">
        <f>IF(Basis!$E$1=1,ROUND(H1877/((TaH-TrH)*1.163)/3600,3),ROUND(H1877/(500*(TaH-TrH)),2))</f>
        <v>0.44</v>
      </c>
      <c r="K1877" s="84"/>
      <c r="L1877" s="177">
        <f>CHOOSE(Basis!$E$1,((AJ1877*(J1877*3600/Basis!$E$5)^AK1877*(((MID(C1877,9,3)*10)-144)/1000)*AL1877+AM1877*(J1877*3600/Basis!$E$5)^2)*0.0098)/Basis!$E$10,((AJ1877*(J1877/Basis!$E$5)^AK1877*(((MID(C1877,9,3)*10)-144)/1000)*AL1877+AM1877*(J1877/Basis!$E$5)^2)*0.0098)/Basis!$E$10)</f>
        <v>5.2779561130916697E-2</v>
      </c>
      <c r="M1877" s="85"/>
      <c r="N1877" s="109">
        <v>1.464</v>
      </c>
      <c r="O1877" s="68"/>
      <c r="P1877" s="67">
        <v>2088</v>
      </c>
      <c r="Q1877" s="68"/>
      <c r="R1877" s="69"/>
      <c r="S1877" s="69"/>
      <c r="T1877" s="69"/>
      <c r="U1877" s="69"/>
      <c r="V1877" s="69"/>
      <c r="W1877" s="68"/>
      <c r="X1877" s="70"/>
      <c r="Y1877" s="70"/>
      <c r="Z1877" s="70"/>
      <c r="AA1877" s="70"/>
      <c r="AB1877" s="70"/>
      <c r="AC1877" s="68"/>
      <c r="AD1877" s="71"/>
      <c r="AE1877" s="71"/>
      <c r="AF1877" s="71"/>
      <c r="AG1877" s="71"/>
      <c r="AH1877" s="71"/>
      <c r="AI1877" s="68"/>
      <c r="AJ1877" s="214">
        <v>2.0829999999999999E-4</v>
      </c>
      <c r="AK1877" s="214">
        <v>1.724</v>
      </c>
      <c r="AL1877" s="214">
        <v>4</v>
      </c>
      <c r="AM1877" s="214">
        <v>1.392796E-3</v>
      </c>
      <c r="AN1877" s="68"/>
      <c r="AO1877" s="67"/>
      <c r="AP1877" s="67"/>
      <c r="AQ1877" s="67"/>
      <c r="AR1877" s="67"/>
      <c r="AS1877" s="67"/>
      <c r="AT1877" s="68"/>
      <c r="AU1877" s="49"/>
      <c r="AV1877" s="50"/>
    </row>
    <row r="1878" spans="1:48" ht="12.75" customHeight="1" x14ac:dyDescent="0.25">
      <c r="A1878" s="72" t="s">
        <v>20</v>
      </c>
      <c r="B1878" s="43" t="s">
        <v>1833</v>
      </c>
      <c r="C1878" s="44" t="s">
        <v>2035</v>
      </c>
      <c r="D1878" s="45">
        <f>MROUND(MID($C1878,6,3)/Basis!$E$3,0.5)</f>
        <v>19.5</v>
      </c>
      <c r="E1878" s="45">
        <f>MROUND(MID($C1878,9,3)/Basis!$E$3,0.5)</f>
        <v>43.5</v>
      </c>
      <c r="F1878" s="124" t="s">
        <v>2945</v>
      </c>
      <c r="G1878" s="45">
        <f>ROUND((ROUNDDOWN($F1878/5,0)*5+1.8)/Basis!$E$3,1)</f>
        <v>8.6</v>
      </c>
      <c r="H1878" s="120">
        <f>ROUND($P1878*Basis!$E$2*((TaH-TrH)/LN(1/µ)/Basis!$E$7)^$N1878*$AA$4*Glycol,0)</f>
        <v>5786</v>
      </c>
      <c r="I1878" s="83">
        <f>ROUND(H1878/(MID($C1878,9,3)/Basis!$E$3/Basis!$E$9)*Basis!$E$11,0)</f>
        <v>1603</v>
      </c>
      <c r="J1878" s="123">
        <f>IF(Basis!$E$1=1,ROUND(H1878/((TaH-TrH)*1.163)/3600,3),ROUND(H1878/(500*(TaH-TrH)),2))</f>
        <v>0.57999999999999996</v>
      </c>
      <c r="K1878" s="84"/>
      <c r="L1878" s="177">
        <f>CHOOSE(Basis!$E$1,((AJ1878*(J1878*3600/Basis!$E$5)^AK1878*(((MID(C1878,9,3)*10)-144)/1000)*AL1878+AM1878*(J1878*3600/Basis!$E$5)^2)*0.0098)/Basis!$E$10,((AJ1878*(J1878/Basis!$E$5)^AK1878*(((MID(C1878,9,3)*10)-144)/1000)*AL1878+AM1878*(J1878/Basis!$E$5)^2)*0.0098)/Basis!$E$10)</f>
        <v>2.4931592627257033E-2</v>
      </c>
      <c r="M1878" s="85"/>
      <c r="N1878" s="109">
        <v>1.373</v>
      </c>
      <c r="O1878" s="68"/>
      <c r="P1878" s="67">
        <v>2668</v>
      </c>
      <c r="Q1878" s="68"/>
      <c r="R1878" s="69"/>
      <c r="S1878" s="69"/>
      <c r="T1878" s="69"/>
      <c r="U1878" s="69"/>
      <c r="V1878" s="69"/>
      <c r="W1878" s="68"/>
      <c r="X1878" s="70"/>
      <c r="Y1878" s="70"/>
      <c r="Z1878" s="70"/>
      <c r="AA1878" s="70"/>
      <c r="AB1878" s="70"/>
      <c r="AC1878" s="68"/>
      <c r="AD1878" s="71"/>
      <c r="AE1878" s="71"/>
      <c r="AF1878" s="71"/>
      <c r="AG1878" s="71"/>
      <c r="AH1878" s="71"/>
      <c r="AI1878" s="68"/>
      <c r="AJ1878" s="214">
        <v>1.2760000000000001E-4</v>
      </c>
      <c r="AK1878" s="214">
        <v>1.7219</v>
      </c>
      <c r="AL1878" s="214">
        <v>2</v>
      </c>
      <c r="AM1878" s="214">
        <v>3.76611E-4</v>
      </c>
      <c r="AN1878" s="68"/>
      <c r="AO1878" s="67"/>
      <c r="AP1878" s="67"/>
      <c r="AQ1878" s="67"/>
      <c r="AR1878" s="67"/>
      <c r="AS1878" s="67"/>
      <c r="AT1878" s="68"/>
      <c r="AU1878" s="49"/>
      <c r="AV1878" s="50"/>
    </row>
    <row r="1879" spans="1:48" ht="12.75" customHeight="1" x14ac:dyDescent="0.25">
      <c r="A1879" s="72" t="s">
        <v>20</v>
      </c>
      <c r="B1879" s="43" t="s">
        <v>1833</v>
      </c>
      <c r="C1879" s="44" t="s">
        <v>2036</v>
      </c>
      <c r="D1879" s="45">
        <f>MROUND(MID($C1879,6,3)/Basis!$E$3,0.5)</f>
        <v>19.5</v>
      </c>
      <c r="E1879" s="45">
        <f>MROUND(MID($C1879,9,3)/Basis!$E$3,0.5)</f>
        <v>43.5</v>
      </c>
      <c r="F1879" s="124" t="s">
        <v>2948</v>
      </c>
      <c r="G1879" s="45">
        <f>ROUND((ROUNDDOWN($F1879/5,0)*5+1.8)/Basis!$E$3,1)</f>
        <v>8.6</v>
      </c>
      <c r="H1879" s="120">
        <f>ROUND($P1879*Basis!$E$2*((TaH-TrH)/LN(1/µ)/Basis!$E$7)^$N1879*$AA$4*Glycol,0)</f>
        <v>5936</v>
      </c>
      <c r="I1879" s="83">
        <f>ROUND(H1879/(MID($C1879,9,3)/Basis!$E$3/Basis!$E$9)*Basis!$E$11,0)</f>
        <v>1645</v>
      </c>
      <c r="J1879" s="123">
        <f>IF(Basis!$E$1=1,ROUND(H1879/((TaH-TrH)*1.163)/3600,3),ROUND(H1879/(500*(TaH-TrH)),2))</f>
        <v>0.59</v>
      </c>
      <c r="K1879" s="84"/>
      <c r="L1879" s="177">
        <f>CHOOSE(Basis!$E$1,((AJ1879*(J1879*3600/Basis!$E$5)^AK1879*(((MID(C1879,9,3)*10)-144)/1000)*AL1879+AM1879*(J1879*3600/Basis!$E$5)^2)*0.0098)/Basis!$E$10,((AJ1879*(J1879/Basis!$E$5)^AK1879*(((MID(C1879,9,3)*10)-144)/1000)*AL1879+AM1879*(J1879/Basis!$E$5)^2)*0.0098)/Basis!$E$10)</f>
        <v>3.7528572486834083E-2</v>
      </c>
      <c r="M1879" s="85"/>
      <c r="N1879" s="109">
        <v>1.4850000000000001</v>
      </c>
      <c r="O1879" s="68"/>
      <c r="P1879" s="67">
        <v>2840</v>
      </c>
      <c r="Q1879" s="68"/>
      <c r="R1879" s="69"/>
      <c r="S1879" s="69"/>
      <c r="T1879" s="69"/>
      <c r="U1879" s="69"/>
      <c r="V1879" s="69"/>
      <c r="W1879" s="68"/>
      <c r="X1879" s="70"/>
      <c r="Y1879" s="70"/>
      <c r="Z1879" s="70"/>
      <c r="AA1879" s="70"/>
      <c r="AB1879" s="70"/>
      <c r="AC1879" s="68"/>
      <c r="AD1879" s="71"/>
      <c r="AE1879" s="71"/>
      <c r="AF1879" s="71"/>
      <c r="AG1879" s="71"/>
      <c r="AH1879" s="71"/>
      <c r="AI1879" s="68"/>
      <c r="AJ1879" s="214">
        <v>1.2760000000000001E-4</v>
      </c>
      <c r="AK1879" s="214">
        <v>1.7219</v>
      </c>
      <c r="AL1879" s="214">
        <v>4</v>
      </c>
      <c r="AM1879" s="214">
        <v>5.1420100000000005E-4</v>
      </c>
      <c r="AN1879" s="68"/>
      <c r="AO1879" s="67"/>
      <c r="AP1879" s="67"/>
      <c r="AQ1879" s="67"/>
      <c r="AR1879" s="67"/>
      <c r="AS1879" s="67"/>
      <c r="AT1879" s="68"/>
      <c r="AU1879" s="49"/>
      <c r="AV1879" s="50"/>
    </row>
    <row r="1880" spans="1:48" ht="12.75" customHeight="1" x14ac:dyDescent="0.25">
      <c r="A1880" s="72" t="s">
        <v>20</v>
      </c>
      <c r="B1880" s="43" t="s">
        <v>1833</v>
      </c>
      <c r="C1880" s="44" t="s">
        <v>2037</v>
      </c>
      <c r="D1880" s="45">
        <f>MROUND(MID($C1880,6,3)/Basis!$E$3,0.5)</f>
        <v>19.5</v>
      </c>
      <c r="E1880" s="45">
        <f>MROUND(MID($C1880,9,3)/Basis!$E$3,0.5)</f>
        <v>47</v>
      </c>
      <c r="F1880" s="124" t="s">
        <v>2949</v>
      </c>
      <c r="G1880" s="45">
        <f>ROUND((ROUNDDOWN($F1880/5,0)*5+3.5)/Basis!$E$3,1)</f>
        <v>3.3</v>
      </c>
      <c r="H1880" s="120">
        <f>ROUND($P1880*Basis!$E$2*((TaH-TrH)/LN(1/µ)/Basis!$E$7)^$N1880*$AA$4*Glycol,0)</f>
        <v>2465</v>
      </c>
      <c r="I1880" s="83">
        <f>ROUND(H1880/(MID($C1880,9,3)/Basis!$E$3/Basis!$E$9)*Basis!$E$11,0)</f>
        <v>626</v>
      </c>
      <c r="J1880" s="123">
        <f>IF(Basis!$E$1=1,ROUND(H1880/((TaH-TrH)*1.163)/3600,3),ROUND(H1880/(500*(TaH-TrH)),2))</f>
        <v>0.25</v>
      </c>
      <c r="K1880" s="84"/>
      <c r="L1880" s="177">
        <f>CHOOSE(Basis!$E$1,((AJ1880*(J1880*3600/Basis!$E$5)^AK1880*(((MID(C1880,9,3)*10)-144)/1000)*AL1880+AM1880*(J1880*3600/Basis!$E$5)^2)*0.0098)/Basis!$E$10,((AJ1880*(J1880/Basis!$E$5)^AK1880*(((MID(C1880,9,3)*10)-144)/1000)*AL1880+AM1880*(J1880/Basis!$E$5)^2)*0.0098)/Basis!$E$10)</f>
        <v>2.7613009570850749E-2</v>
      </c>
      <c r="M1880" s="85"/>
      <c r="N1880" s="109">
        <v>1.3720000000000001</v>
      </c>
      <c r="O1880" s="68"/>
      <c r="P1880" s="67">
        <v>1136</v>
      </c>
      <c r="Q1880" s="68"/>
      <c r="R1880" s="69"/>
      <c r="S1880" s="69"/>
      <c r="T1880" s="69"/>
      <c r="U1880" s="69"/>
      <c r="V1880" s="69"/>
      <c r="W1880" s="68"/>
      <c r="X1880" s="70"/>
      <c r="Y1880" s="70"/>
      <c r="Z1880" s="70"/>
      <c r="AA1880" s="70"/>
      <c r="AB1880" s="70"/>
      <c r="AC1880" s="68"/>
      <c r="AD1880" s="71"/>
      <c r="AE1880" s="71"/>
      <c r="AF1880" s="71"/>
      <c r="AG1880" s="71"/>
      <c r="AH1880" s="71"/>
      <c r="AI1880" s="68"/>
      <c r="AJ1880" s="214">
        <v>1.6125983042710999E-4</v>
      </c>
      <c r="AK1880" s="214">
        <v>2.1458504622376</v>
      </c>
      <c r="AL1880" s="214">
        <v>4</v>
      </c>
      <c r="AM1880" s="214">
        <v>1.3916423712342001E-3</v>
      </c>
      <c r="AN1880" s="68"/>
      <c r="AO1880" s="67"/>
      <c r="AP1880" s="67"/>
      <c r="AQ1880" s="67"/>
      <c r="AR1880" s="67"/>
      <c r="AS1880" s="67"/>
      <c r="AT1880" s="68"/>
      <c r="AU1880" s="49"/>
      <c r="AV1880" s="50"/>
    </row>
    <row r="1881" spans="1:48" ht="12.75" customHeight="1" x14ac:dyDescent="0.25">
      <c r="A1881" s="72" t="s">
        <v>20</v>
      </c>
      <c r="B1881" s="43" t="s">
        <v>1833</v>
      </c>
      <c r="C1881" s="44" t="s">
        <v>2038</v>
      </c>
      <c r="D1881" s="45">
        <f>MROUND(MID($C1881,6,3)/Basis!$E$3,0.5)</f>
        <v>19.5</v>
      </c>
      <c r="E1881" s="45">
        <f>MROUND(MID($C1881,9,3)/Basis!$E$3,0.5)</f>
        <v>47</v>
      </c>
      <c r="F1881" s="124" t="s">
        <v>2943</v>
      </c>
      <c r="G1881" s="45">
        <f>ROUND((ROUNDDOWN($F1881/5,0)*5+1.8)/Basis!$E$3,1)</f>
        <v>4.5999999999999996</v>
      </c>
      <c r="H1881" s="120">
        <f>ROUND($P1881*Basis!$E$2*((TaH-TrH)/LN(1/µ)/Basis!$E$7)^$N1881*$AA$4*Glycol,0)</f>
        <v>2789</v>
      </c>
      <c r="I1881" s="83">
        <f>ROUND(H1881/(MID($C1881,9,3)/Basis!$E$3/Basis!$E$9)*Basis!$E$11,0)</f>
        <v>708</v>
      </c>
      <c r="J1881" s="123">
        <f>IF(Basis!$E$1=1,ROUND(H1881/((TaH-TrH)*1.163)/3600,3),ROUND(H1881/(500*(TaH-TrH)),2))</f>
        <v>0.28000000000000003</v>
      </c>
      <c r="K1881" s="84"/>
      <c r="L1881" s="177">
        <f>CHOOSE(Basis!$E$1,((AJ1881*(J1881*3600/Basis!$E$5)^AK1881*(((MID(C1881,9,3)*10)-144)/1000)*AL1881+AM1881*(J1881*3600/Basis!$E$5)^2)*0.0098)/Basis!$E$10,((AJ1881*(J1881/Basis!$E$5)^AK1881*(((MID(C1881,9,3)*10)-144)/1000)*AL1881+AM1881*(J1881/Basis!$E$5)^2)*0.0098)/Basis!$E$10)</f>
        <v>8.5398710994788306E-3</v>
      </c>
      <c r="M1881" s="85"/>
      <c r="N1881" s="110">
        <v>1.385</v>
      </c>
      <c r="O1881" s="74"/>
      <c r="P1881" s="73">
        <v>1291</v>
      </c>
      <c r="Q1881" s="74"/>
      <c r="R1881" s="75"/>
      <c r="S1881" s="75"/>
      <c r="T1881" s="75"/>
      <c r="U1881" s="75"/>
      <c r="V1881" s="75"/>
      <c r="W1881" s="74"/>
      <c r="X1881" s="76"/>
      <c r="Y1881" s="76"/>
      <c r="Z1881" s="76"/>
      <c r="AA1881" s="76"/>
      <c r="AB1881" s="76"/>
      <c r="AC1881" s="74"/>
      <c r="AD1881" s="77"/>
      <c r="AE1881" s="77"/>
      <c r="AF1881" s="77"/>
      <c r="AG1881" s="77"/>
      <c r="AH1881" s="77"/>
      <c r="AI1881" s="68"/>
      <c r="AJ1881" s="213">
        <v>3.9689999999999994E-4</v>
      </c>
      <c r="AK1881" s="213">
        <v>1.7345999999999999</v>
      </c>
      <c r="AL1881" s="213">
        <v>2</v>
      </c>
      <c r="AM1881" s="213">
        <v>3.6734700000000002E-4</v>
      </c>
      <c r="AN1881" s="74"/>
      <c r="AO1881" s="73"/>
      <c r="AP1881" s="73"/>
      <c r="AQ1881" s="73"/>
      <c r="AR1881" s="73"/>
      <c r="AS1881" s="73"/>
      <c r="AT1881" s="74"/>
      <c r="AU1881" s="47"/>
      <c r="AV1881" s="48"/>
    </row>
    <row r="1882" spans="1:48" ht="12.75" customHeight="1" x14ac:dyDescent="0.25">
      <c r="A1882" s="72" t="s">
        <v>20</v>
      </c>
      <c r="B1882" s="43" t="s">
        <v>1833</v>
      </c>
      <c r="C1882" s="44" t="s">
        <v>2039</v>
      </c>
      <c r="D1882" s="45">
        <f>MROUND(MID($C1882,6,3)/Basis!$E$3,0.5)</f>
        <v>19.5</v>
      </c>
      <c r="E1882" s="45">
        <f>MROUND(MID($C1882,9,3)/Basis!$E$3,0.5)</f>
        <v>47</v>
      </c>
      <c r="F1882" s="124" t="s">
        <v>2946</v>
      </c>
      <c r="G1882" s="45">
        <f>ROUND((ROUNDDOWN($F1882/5,0)*5+1.8)/Basis!$E$3,1)</f>
        <v>4.5999999999999996</v>
      </c>
      <c r="H1882" s="120">
        <f>ROUND($P1882*Basis!$E$2*((TaH-TrH)/LN(1/µ)/Basis!$E$7)^$N1882*$AA$4*Glycol,0)</f>
        <v>3530</v>
      </c>
      <c r="I1882" s="83">
        <f>ROUND(H1882/(MID($C1882,9,3)/Basis!$E$3/Basis!$E$9)*Basis!$E$11,0)</f>
        <v>897</v>
      </c>
      <c r="J1882" s="123">
        <f>IF(Basis!$E$1=1,ROUND(H1882/((TaH-TrH)*1.163)/3600,3),ROUND(H1882/(500*(TaH-TrH)),2))</f>
        <v>0.35</v>
      </c>
      <c r="K1882" s="84"/>
      <c r="L1882" s="177">
        <f>CHOOSE(Basis!$E$1,((AJ1882*(J1882*3600/Basis!$E$5)^AK1882*(((MID(C1882,9,3)*10)-144)/1000)*AL1882+AM1882*(J1882*3600/Basis!$E$5)^2)*0.0098)/Basis!$E$10,((AJ1882*(J1882/Basis!$E$5)^AK1882*(((MID(C1882,9,3)*10)-144)/1000)*AL1882+AM1882*(J1882/Basis!$E$5)^2)*0.0098)/Basis!$E$10)</f>
        <v>2.2711103185008207E-2</v>
      </c>
      <c r="M1882" s="85"/>
      <c r="N1882" s="110">
        <v>1.4379999999999999</v>
      </c>
      <c r="O1882" s="74"/>
      <c r="P1882" s="73">
        <v>1663</v>
      </c>
      <c r="Q1882" s="74"/>
      <c r="R1882" s="75"/>
      <c r="S1882" s="75"/>
      <c r="T1882" s="75"/>
      <c r="U1882" s="75"/>
      <c r="V1882" s="75"/>
      <c r="W1882" s="74"/>
      <c r="X1882" s="76"/>
      <c r="Y1882" s="76"/>
      <c r="Z1882" s="76"/>
      <c r="AA1882" s="76"/>
      <c r="AB1882" s="76"/>
      <c r="AC1882" s="74"/>
      <c r="AD1882" s="77"/>
      <c r="AE1882" s="77"/>
      <c r="AF1882" s="77"/>
      <c r="AG1882" s="77"/>
      <c r="AH1882" s="77"/>
      <c r="AI1882" s="68"/>
      <c r="AJ1882" s="213">
        <v>3.9689999999999994E-4</v>
      </c>
      <c r="AK1882" s="213">
        <v>1.7345999999999999</v>
      </c>
      <c r="AL1882" s="213">
        <v>4</v>
      </c>
      <c r="AM1882" s="213">
        <v>5.7428799999999995E-4</v>
      </c>
      <c r="AN1882" s="74"/>
      <c r="AO1882" s="73"/>
      <c r="AP1882" s="73"/>
      <c r="AQ1882" s="73"/>
      <c r="AR1882" s="73"/>
      <c r="AS1882" s="73"/>
      <c r="AT1882" s="74"/>
      <c r="AU1882" s="47"/>
      <c r="AV1882" s="48"/>
    </row>
    <row r="1883" spans="1:48" ht="12.75" customHeight="1" x14ac:dyDescent="0.25">
      <c r="A1883" s="72" t="s">
        <v>20</v>
      </c>
      <c r="B1883" s="43" t="s">
        <v>1833</v>
      </c>
      <c r="C1883" s="44" t="s">
        <v>2040</v>
      </c>
      <c r="D1883" s="45">
        <f>MROUND(MID($C1883,6,3)/Basis!$E$3,0.5)</f>
        <v>19.5</v>
      </c>
      <c r="E1883" s="45">
        <f>MROUND(MID($C1883,9,3)/Basis!$E$3,0.5)</f>
        <v>47</v>
      </c>
      <c r="F1883" s="124" t="s">
        <v>2944</v>
      </c>
      <c r="G1883" s="45">
        <f>ROUND((ROUNDDOWN($F1883/5,0)*5+1.8)/Basis!$E$3,1)</f>
        <v>6.6</v>
      </c>
      <c r="H1883" s="120">
        <f>ROUND($P1883*Basis!$E$2*((TaH-TrH)/LN(1/µ)/Basis!$E$7)^$N1883*$AA$4*Glycol,0)</f>
        <v>4513</v>
      </c>
      <c r="I1883" s="83">
        <f>ROUND(H1883/(MID($C1883,9,3)/Basis!$E$3/Basis!$E$9)*Basis!$E$11,0)</f>
        <v>1146</v>
      </c>
      <c r="J1883" s="123">
        <f>IF(Basis!$E$1=1,ROUND(H1883/((TaH-TrH)*1.163)/3600,3),ROUND(H1883/(500*(TaH-TrH)),2))</f>
        <v>0.45</v>
      </c>
      <c r="K1883" s="84"/>
      <c r="L1883" s="177">
        <f>CHOOSE(Basis!$E$1,((AJ1883*(J1883*3600/Basis!$E$5)^AK1883*(((MID(C1883,9,3)*10)-144)/1000)*AL1883+AM1883*(J1883*3600/Basis!$E$5)^2)*0.0098)/Basis!$E$10,((AJ1883*(J1883/Basis!$E$5)^AK1883*(((MID(C1883,9,3)*10)-144)/1000)*AL1883+AM1883*(J1883/Basis!$E$5)^2)*0.0098)/Basis!$E$10)</f>
        <v>1.9964279531181142E-2</v>
      </c>
      <c r="M1883" s="85"/>
      <c r="N1883" s="110">
        <v>1.373</v>
      </c>
      <c r="O1883" s="74"/>
      <c r="P1883" s="73">
        <v>2081</v>
      </c>
      <c r="Q1883" s="74"/>
      <c r="R1883" s="75"/>
      <c r="S1883" s="75"/>
      <c r="T1883" s="75"/>
      <c r="U1883" s="75"/>
      <c r="V1883" s="75"/>
      <c r="W1883" s="74"/>
      <c r="X1883" s="76"/>
      <c r="Y1883" s="76"/>
      <c r="Z1883" s="76"/>
      <c r="AA1883" s="76"/>
      <c r="AB1883" s="76"/>
      <c r="AC1883" s="74"/>
      <c r="AD1883" s="77"/>
      <c r="AE1883" s="77"/>
      <c r="AF1883" s="77"/>
      <c r="AG1883" s="77"/>
      <c r="AH1883" s="77"/>
      <c r="AI1883" s="68"/>
      <c r="AJ1883" s="213">
        <v>2.0829999999999999E-4</v>
      </c>
      <c r="AK1883" s="213">
        <v>1.724</v>
      </c>
      <c r="AL1883" s="213">
        <v>2</v>
      </c>
      <c r="AM1883" s="213">
        <v>4.6182900000000003E-4</v>
      </c>
      <c r="AN1883" s="74"/>
      <c r="AO1883" s="73"/>
      <c r="AP1883" s="73"/>
      <c r="AQ1883" s="73"/>
      <c r="AR1883" s="73"/>
      <c r="AS1883" s="73"/>
      <c r="AT1883" s="74"/>
      <c r="AU1883" s="47"/>
      <c r="AV1883" s="48"/>
    </row>
    <row r="1884" spans="1:48" ht="12.75" customHeight="1" x14ac:dyDescent="0.25">
      <c r="A1884" s="72" t="s">
        <v>20</v>
      </c>
      <c r="B1884" s="43" t="s">
        <v>1833</v>
      </c>
      <c r="C1884" s="44" t="s">
        <v>2041</v>
      </c>
      <c r="D1884" s="45">
        <f>MROUND(MID($C1884,6,3)/Basis!$E$3,0.5)</f>
        <v>19.5</v>
      </c>
      <c r="E1884" s="45">
        <f>MROUND(MID($C1884,9,3)/Basis!$E$3,0.5)</f>
        <v>47</v>
      </c>
      <c r="F1884" s="124" t="s">
        <v>2947</v>
      </c>
      <c r="G1884" s="45">
        <f>ROUND((ROUNDDOWN($F1884/5,0)*5+1.8)/Basis!$E$3,1)</f>
        <v>6.6</v>
      </c>
      <c r="H1884" s="120">
        <f>ROUND($P1884*Basis!$E$2*((TaH-TrH)/LN(1/µ)/Basis!$E$7)^$N1884*$AA$4*Glycol,0)</f>
        <v>4794</v>
      </c>
      <c r="I1884" s="83">
        <f>ROUND(H1884/(MID($C1884,9,3)/Basis!$E$3/Basis!$E$9)*Basis!$E$11,0)</f>
        <v>1218</v>
      </c>
      <c r="J1884" s="123">
        <f>IF(Basis!$E$1=1,ROUND(H1884/((TaH-TrH)*1.163)/3600,3),ROUND(H1884/(500*(TaH-TrH)),2))</f>
        <v>0.48</v>
      </c>
      <c r="K1884" s="84"/>
      <c r="L1884" s="177">
        <f>CHOOSE(Basis!$E$1,((AJ1884*(J1884*3600/Basis!$E$5)^AK1884*(((MID(C1884,9,3)*10)-144)/1000)*AL1884+AM1884*(J1884*3600/Basis!$E$5)^2)*0.0098)/Basis!$E$10,((AJ1884*(J1884/Basis!$E$5)^AK1884*(((MID(C1884,9,3)*10)-144)/1000)*AL1884+AM1884*(J1884/Basis!$E$5)^2)*0.0098)/Basis!$E$10)</f>
        <v>6.3492930163076236E-2</v>
      </c>
      <c r="M1884" s="85"/>
      <c r="N1884" s="110">
        <v>1.464</v>
      </c>
      <c r="O1884" s="74"/>
      <c r="P1884" s="73">
        <v>2278</v>
      </c>
      <c r="Q1884" s="74"/>
      <c r="R1884" s="75"/>
      <c r="S1884" s="75"/>
      <c r="T1884" s="75"/>
      <c r="U1884" s="75"/>
      <c r="V1884" s="75"/>
      <c r="W1884" s="74"/>
      <c r="X1884" s="76"/>
      <c r="Y1884" s="76"/>
      <c r="Z1884" s="76"/>
      <c r="AA1884" s="76"/>
      <c r="AB1884" s="76"/>
      <c r="AC1884" s="74"/>
      <c r="AD1884" s="77"/>
      <c r="AE1884" s="77"/>
      <c r="AF1884" s="77"/>
      <c r="AG1884" s="77"/>
      <c r="AH1884" s="77"/>
      <c r="AI1884" s="68"/>
      <c r="AJ1884" s="213">
        <v>2.0829999999999999E-4</v>
      </c>
      <c r="AK1884" s="213">
        <v>1.724</v>
      </c>
      <c r="AL1884" s="213">
        <v>4</v>
      </c>
      <c r="AM1884" s="213">
        <v>1.392796E-3</v>
      </c>
      <c r="AN1884" s="74"/>
      <c r="AO1884" s="73"/>
      <c r="AP1884" s="73"/>
      <c r="AQ1884" s="73"/>
      <c r="AR1884" s="73"/>
      <c r="AS1884" s="73"/>
      <c r="AT1884" s="74"/>
      <c r="AU1884" s="47"/>
      <c r="AV1884" s="48"/>
    </row>
    <row r="1885" spans="1:48" ht="12.75" customHeight="1" x14ac:dyDescent="0.25">
      <c r="A1885" s="72" t="s">
        <v>20</v>
      </c>
      <c r="B1885" s="43" t="s">
        <v>1833</v>
      </c>
      <c r="C1885" s="44" t="s">
        <v>2042</v>
      </c>
      <c r="D1885" s="45">
        <f>MROUND(MID($C1885,6,3)/Basis!$E$3,0.5)</f>
        <v>19.5</v>
      </c>
      <c r="E1885" s="45">
        <f>MROUND(MID($C1885,9,3)/Basis!$E$3,0.5)</f>
        <v>47</v>
      </c>
      <c r="F1885" s="124" t="s">
        <v>2945</v>
      </c>
      <c r="G1885" s="45">
        <f>ROUND((ROUNDDOWN($F1885/5,0)*5+1.8)/Basis!$E$3,1)</f>
        <v>8.6</v>
      </c>
      <c r="H1885" s="120">
        <f>ROUND($P1885*Basis!$E$2*((TaH-TrH)/LN(1/µ)/Basis!$E$7)^$N1885*$AA$4*Glycol,0)</f>
        <v>6311</v>
      </c>
      <c r="I1885" s="83">
        <f>ROUND(H1885/(MID($C1885,9,3)/Basis!$E$3/Basis!$E$9)*Basis!$E$11,0)</f>
        <v>1603</v>
      </c>
      <c r="J1885" s="123">
        <f>IF(Basis!$E$1=1,ROUND(H1885/((TaH-TrH)*1.163)/3600,3),ROUND(H1885/(500*(TaH-TrH)),2))</f>
        <v>0.63</v>
      </c>
      <c r="K1885" s="84"/>
      <c r="L1885" s="177">
        <f>CHOOSE(Basis!$E$1,((AJ1885*(J1885*3600/Basis!$E$5)^AK1885*(((MID(C1885,9,3)*10)-144)/1000)*AL1885+AM1885*(J1885*3600/Basis!$E$5)^2)*0.0098)/Basis!$E$10,((AJ1885*(J1885/Basis!$E$5)^AK1885*(((MID(C1885,9,3)*10)-144)/1000)*AL1885+AM1885*(J1885/Basis!$E$5)^2)*0.0098)/Basis!$E$10)</f>
        <v>2.9749535014537223E-2</v>
      </c>
      <c r="M1885" s="85"/>
      <c r="N1885" s="110">
        <v>1.373</v>
      </c>
      <c r="O1885" s="74"/>
      <c r="P1885" s="73">
        <v>2910</v>
      </c>
      <c r="Q1885" s="74"/>
      <c r="R1885" s="75"/>
      <c r="S1885" s="75"/>
      <c r="T1885" s="75"/>
      <c r="U1885" s="75"/>
      <c r="V1885" s="75"/>
      <c r="W1885" s="74"/>
      <c r="X1885" s="76"/>
      <c r="Y1885" s="76"/>
      <c r="Z1885" s="76"/>
      <c r="AA1885" s="76"/>
      <c r="AB1885" s="76"/>
      <c r="AC1885" s="74"/>
      <c r="AD1885" s="77"/>
      <c r="AE1885" s="77"/>
      <c r="AF1885" s="77"/>
      <c r="AG1885" s="77"/>
      <c r="AH1885" s="77"/>
      <c r="AI1885" s="68"/>
      <c r="AJ1885" s="214">
        <v>1.2760000000000001E-4</v>
      </c>
      <c r="AK1885" s="214">
        <v>1.7219</v>
      </c>
      <c r="AL1885" s="214">
        <v>2</v>
      </c>
      <c r="AM1885" s="214">
        <v>3.76611E-4</v>
      </c>
      <c r="AN1885" s="74"/>
      <c r="AO1885" s="73"/>
      <c r="AP1885" s="73"/>
      <c r="AQ1885" s="73"/>
      <c r="AR1885" s="73"/>
      <c r="AS1885" s="73"/>
      <c r="AT1885" s="74"/>
      <c r="AU1885" s="47"/>
      <c r="AV1885" s="48"/>
    </row>
    <row r="1886" spans="1:48" ht="12.75" customHeight="1" x14ac:dyDescent="0.25">
      <c r="A1886" s="72" t="s">
        <v>20</v>
      </c>
      <c r="B1886" s="43" t="s">
        <v>1833</v>
      </c>
      <c r="C1886" s="44" t="s">
        <v>2043</v>
      </c>
      <c r="D1886" s="45">
        <f>MROUND(MID($C1886,6,3)/Basis!$E$3,0.5)</f>
        <v>19.5</v>
      </c>
      <c r="E1886" s="45">
        <f>MROUND(MID($C1886,9,3)/Basis!$E$3,0.5)</f>
        <v>47</v>
      </c>
      <c r="F1886" s="124" t="s">
        <v>2948</v>
      </c>
      <c r="G1886" s="45">
        <f>ROUND((ROUNDDOWN($F1886/5,0)*5+1.8)/Basis!$E$3,1)</f>
        <v>8.6</v>
      </c>
      <c r="H1886" s="120">
        <f>ROUND($P1886*Basis!$E$2*((TaH-TrH)/LN(1/µ)/Basis!$E$7)^$N1886*$AA$4*Glycol,0)</f>
        <v>6475</v>
      </c>
      <c r="I1886" s="83">
        <f>ROUND(H1886/(MID($C1886,9,3)/Basis!$E$3/Basis!$E$9)*Basis!$E$11,0)</f>
        <v>1645</v>
      </c>
      <c r="J1886" s="123">
        <f>IF(Basis!$E$1=1,ROUND(H1886/((TaH-TrH)*1.163)/3600,3),ROUND(H1886/(500*(TaH-TrH)),2))</f>
        <v>0.65</v>
      </c>
      <c r="K1886" s="84"/>
      <c r="L1886" s="177">
        <f>CHOOSE(Basis!$E$1,((AJ1886*(J1886*3600/Basis!$E$5)^AK1886*(((MID(C1886,9,3)*10)-144)/1000)*AL1886+AM1886*(J1886*3600/Basis!$E$5)^2)*0.0098)/Basis!$E$10,((AJ1886*(J1886/Basis!$E$5)^AK1886*(((MID(C1886,9,3)*10)-144)/1000)*AL1886+AM1886*(J1886/Basis!$E$5)^2)*0.0098)/Basis!$E$10)</f>
        <v>4.621978374522745E-2</v>
      </c>
      <c r="M1886" s="85"/>
      <c r="N1886" s="110">
        <v>1.4850000000000001</v>
      </c>
      <c r="O1886" s="74"/>
      <c r="P1886" s="73">
        <v>3098</v>
      </c>
      <c r="Q1886" s="74"/>
      <c r="R1886" s="75"/>
      <c r="S1886" s="75"/>
      <c r="T1886" s="75"/>
      <c r="U1886" s="75"/>
      <c r="V1886" s="75"/>
      <c r="W1886" s="74"/>
      <c r="X1886" s="76"/>
      <c r="Y1886" s="76"/>
      <c r="Z1886" s="76"/>
      <c r="AA1886" s="76"/>
      <c r="AB1886" s="76"/>
      <c r="AC1886" s="74"/>
      <c r="AD1886" s="77"/>
      <c r="AE1886" s="77"/>
      <c r="AF1886" s="77"/>
      <c r="AG1886" s="77"/>
      <c r="AH1886" s="77"/>
      <c r="AI1886" s="68"/>
      <c r="AJ1886" s="213">
        <v>1.2760000000000001E-4</v>
      </c>
      <c r="AK1886" s="213">
        <v>1.7219</v>
      </c>
      <c r="AL1886" s="213">
        <v>4</v>
      </c>
      <c r="AM1886" s="213">
        <v>5.1420100000000005E-4</v>
      </c>
      <c r="AN1886" s="74"/>
      <c r="AO1886" s="73"/>
      <c r="AP1886" s="73"/>
      <c r="AQ1886" s="73"/>
      <c r="AR1886" s="73"/>
      <c r="AS1886" s="73"/>
      <c r="AT1886" s="74"/>
      <c r="AU1886" s="47"/>
      <c r="AV1886" s="48"/>
    </row>
    <row r="1887" spans="1:48" ht="12.75" customHeight="1" x14ac:dyDescent="0.25">
      <c r="A1887" s="72" t="s">
        <v>20</v>
      </c>
      <c r="B1887" s="43" t="s">
        <v>1833</v>
      </c>
      <c r="C1887" s="44" t="s">
        <v>2044</v>
      </c>
      <c r="D1887" s="45">
        <f>MROUND(MID($C1887,6,3)/Basis!$E$3,0.5)</f>
        <v>19.5</v>
      </c>
      <c r="E1887" s="45">
        <f>MROUND(MID($C1887,9,3)/Basis!$E$3,0.5)</f>
        <v>55</v>
      </c>
      <c r="F1887" s="124" t="s">
        <v>2949</v>
      </c>
      <c r="G1887" s="45">
        <f>ROUND((ROUNDDOWN($F1887/5,0)*5+3.5)/Basis!$E$3,1)</f>
        <v>3.3</v>
      </c>
      <c r="H1887" s="120">
        <f>ROUND($P1887*Basis!$E$2*((TaH-TrH)/LN(1/µ)/Basis!$E$7)^$N1887*$AA$4*Glycol,0)</f>
        <v>2877</v>
      </c>
      <c r="I1887" s="83">
        <f>ROUND(H1887/(MID($C1887,9,3)/Basis!$E$3/Basis!$E$9)*Basis!$E$11,0)</f>
        <v>626</v>
      </c>
      <c r="J1887" s="123">
        <f>IF(Basis!$E$1=1,ROUND(H1887/((TaH-TrH)*1.163)/3600,3),ROUND(H1887/(500*(TaH-TrH)),2))</f>
        <v>0.28999999999999998</v>
      </c>
      <c r="K1887" s="84"/>
      <c r="L1887" s="177">
        <f>CHOOSE(Basis!$E$1,((AJ1887*(J1887*3600/Basis!$E$5)^AK1887*(((MID(C1887,9,3)*10)-144)/1000)*AL1887+AM1887*(J1887*3600/Basis!$E$5)^2)*0.0098)/Basis!$E$10,((AJ1887*(J1887/Basis!$E$5)^AK1887*(((MID(C1887,9,3)*10)-144)/1000)*AL1887+AM1887*(J1887/Basis!$E$5)^2)*0.0098)/Basis!$E$10)</f>
        <v>4.0907720867740908E-2</v>
      </c>
      <c r="M1887" s="85"/>
      <c r="N1887" s="110">
        <v>1.3720000000000001</v>
      </c>
      <c r="O1887" s="74"/>
      <c r="P1887" s="73">
        <v>1326</v>
      </c>
      <c r="Q1887" s="74"/>
      <c r="R1887" s="75"/>
      <c r="S1887" s="75"/>
      <c r="T1887" s="75"/>
      <c r="U1887" s="75"/>
      <c r="V1887" s="75"/>
      <c r="W1887" s="74"/>
      <c r="X1887" s="76"/>
      <c r="Y1887" s="76"/>
      <c r="Z1887" s="76"/>
      <c r="AA1887" s="76"/>
      <c r="AB1887" s="76"/>
      <c r="AC1887" s="74"/>
      <c r="AD1887" s="77"/>
      <c r="AE1887" s="77"/>
      <c r="AF1887" s="77"/>
      <c r="AG1887" s="77"/>
      <c r="AH1887" s="77"/>
      <c r="AI1887" s="68"/>
      <c r="AJ1887" s="213">
        <v>1.6125983042710999E-4</v>
      </c>
      <c r="AK1887" s="213">
        <v>2.1458504622376</v>
      </c>
      <c r="AL1887" s="213">
        <v>4</v>
      </c>
      <c r="AM1887" s="213">
        <v>1.3916423712342001E-3</v>
      </c>
      <c r="AN1887" s="74"/>
      <c r="AO1887" s="73"/>
      <c r="AP1887" s="73"/>
      <c r="AQ1887" s="73"/>
      <c r="AR1887" s="73"/>
      <c r="AS1887" s="73"/>
      <c r="AT1887" s="74"/>
      <c r="AU1887" s="47"/>
      <c r="AV1887" s="48"/>
    </row>
    <row r="1888" spans="1:48" ht="12.75" customHeight="1" x14ac:dyDescent="0.25">
      <c r="A1888" s="72" t="s">
        <v>20</v>
      </c>
      <c r="B1888" s="43" t="s">
        <v>1833</v>
      </c>
      <c r="C1888" s="44" t="s">
        <v>2045</v>
      </c>
      <c r="D1888" s="45">
        <f>MROUND(MID($C1888,6,3)/Basis!$E$3,0.5)</f>
        <v>19.5</v>
      </c>
      <c r="E1888" s="45">
        <f>MROUND(MID($C1888,9,3)/Basis!$E$3,0.5)</f>
        <v>55</v>
      </c>
      <c r="F1888" s="124" t="s">
        <v>2943</v>
      </c>
      <c r="G1888" s="45">
        <f>ROUND((ROUNDDOWN($F1888/5,0)*5+1.8)/Basis!$E$3,1)</f>
        <v>4.5999999999999996</v>
      </c>
      <c r="H1888" s="120">
        <f>ROUND($P1888*Basis!$E$2*((TaH-TrH)/LN(1/µ)/Basis!$E$7)^$N1888*$AA$4*Glycol,0)</f>
        <v>3253</v>
      </c>
      <c r="I1888" s="83">
        <f>ROUND(H1888/(MID($C1888,9,3)/Basis!$E$3/Basis!$E$9)*Basis!$E$11,0)</f>
        <v>708</v>
      </c>
      <c r="J1888" s="123">
        <f>IF(Basis!$E$1=1,ROUND(H1888/((TaH-TrH)*1.163)/3600,3),ROUND(H1888/(500*(TaH-TrH)),2))</f>
        <v>0.33</v>
      </c>
      <c r="K1888" s="84"/>
      <c r="L1888" s="177">
        <f>CHOOSE(Basis!$E$1,((AJ1888*(J1888*3600/Basis!$E$5)^AK1888*(((MID(C1888,9,3)*10)-144)/1000)*AL1888+AM1888*(J1888*3600/Basis!$E$5)^2)*0.0098)/Basis!$E$10,((AJ1888*(J1888/Basis!$E$5)^AK1888*(((MID(C1888,9,3)*10)-144)/1000)*AL1888+AM1888*(J1888/Basis!$E$5)^2)*0.0098)/Basis!$E$10)</f>
        <v>1.2571256736469315E-2</v>
      </c>
      <c r="M1888" s="85"/>
      <c r="N1888" s="109">
        <v>1.385</v>
      </c>
      <c r="O1888" s="68"/>
      <c r="P1888" s="67">
        <v>1506</v>
      </c>
      <c r="Q1888" s="68"/>
      <c r="R1888" s="69"/>
      <c r="S1888" s="69"/>
      <c r="T1888" s="69"/>
      <c r="U1888" s="69"/>
      <c r="V1888" s="69"/>
      <c r="W1888" s="68"/>
      <c r="X1888" s="70"/>
      <c r="Y1888" s="70"/>
      <c r="Z1888" s="70"/>
      <c r="AA1888" s="70"/>
      <c r="AB1888" s="70"/>
      <c r="AC1888" s="68"/>
      <c r="AD1888" s="71"/>
      <c r="AE1888" s="71"/>
      <c r="AF1888" s="71"/>
      <c r="AG1888" s="71"/>
      <c r="AH1888" s="71"/>
      <c r="AI1888" s="68"/>
      <c r="AJ1888" s="214">
        <v>3.9689999999999994E-4</v>
      </c>
      <c r="AK1888" s="214">
        <v>1.7345999999999999</v>
      </c>
      <c r="AL1888" s="214">
        <v>2</v>
      </c>
      <c r="AM1888" s="214">
        <v>3.6734700000000002E-4</v>
      </c>
      <c r="AN1888" s="68"/>
      <c r="AO1888" s="67"/>
      <c r="AP1888" s="67"/>
      <c r="AQ1888" s="67"/>
      <c r="AR1888" s="67"/>
      <c r="AS1888" s="67"/>
      <c r="AT1888" s="68"/>
      <c r="AU1888" s="49"/>
      <c r="AV1888" s="50"/>
    </row>
    <row r="1889" spans="1:48" ht="12.75" customHeight="1" x14ac:dyDescent="0.25">
      <c r="A1889" s="72" t="s">
        <v>20</v>
      </c>
      <c r="B1889" s="43" t="s">
        <v>1833</v>
      </c>
      <c r="C1889" s="44" t="s">
        <v>2046</v>
      </c>
      <c r="D1889" s="45">
        <f>MROUND(MID($C1889,6,3)/Basis!$E$3,0.5)</f>
        <v>19.5</v>
      </c>
      <c r="E1889" s="45">
        <f>MROUND(MID($C1889,9,3)/Basis!$E$3,0.5)</f>
        <v>55</v>
      </c>
      <c r="F1889" s="124" t="s">
        <v>2946</v>
      </c>
      <c r="G1889" s="45">
        <f>ROUND((ROUNDDOWN($F1889/5,0)*5+1.8)/Basis!$E$3,1)</f>
        <v>4.5999999999999996</v>
      </c>
      <c r="H1889" s="120">
        <f>ROUND($P1889*Basis!$E$2*((TaH-TrH)/LN(1/µ)/Basis!$E$7)^$N1889*$AA$4*Glycol,0)</f>
        <v>4118</v>
      </c>
      <c r="I1889" s="83">
        <f>ROUND(H1889/(MID($C1889,9,3)/Basis!$E$3/Basis!$E$9)*Basis!$E$11,0)</f>
        <v>897</v>
      </c>
      <c r="J1889" s="123">
        <f>IF(Basis!$E$1=1,ROUND(H1889/((TaH-TrH)*1.163)/3600,3),ROUND(H1889/(500*(TaH-TrH)),2))</f>
        <v>0.41</v>
      </c>
      <c r="K1889" s="84"/>
      <c r="L1889" s="177">
        <f>CHOOSE(Basis!$E$1,((AJ1889*(J1889*3600/Basis!$E$5)^AK1889*(((MID(C1889,9,3)*10)-144)/1000)*AL1889+AM1889*(J1889*3600/Basis!$E$5)^2)*0.0098)/Basis!$E$10,((AJ1889*(J1889/Basis!$E$5)^AK1889*(((MID(C1889,9,3)*10)-144)/1000)*AL1889+AM1889*(J1889/Basis!$E$5)^2)*0.0098)/Basis!$E$10)</f>
        <v>3.3255875116116919E-2</v>
      </c>
      <c r="M1889" s="85"/>
      <c r="N1889" s="109">
        <v>1.4379999999999999</v>
      </c>
      <c r="O1889" s="68"/>
      <c r="P1889" s="67">
        <v>1940</v>
      </c>
      <c r="Q1889" s="68"/>
      <c r="R1889" s="69"/>
      <c r="S1889" s="69"/>
      <c r="T1889" s="69"/>
      <c r="U1889" s="69"/>
      <c r="V1889" s="69"/>
      <c r="W1889" s="68"/>
      <c r="X1889" s="70"/>
      <c r="Y1889" s="70"/>
      <c r="Z1889" s="70"/>
      <c r="AA1889" s="70"/>
      <c r="AB1889" s="70"/>
      <c r="AC1889" s="68"/>
      <c r="AD1889" s="71"/>
      <c r="AE1889" s="71"/>
      <c r="AF1889" s="71"/>
      <c r="AG1889" s="71"/>
      <c r="AH1889" s="71"/>
      <c r="AI1889" s="68"/>
      <c r="AJ1889" s="214">
        <v>3.9689999999999994E-4</v>
      </c>
      <c r="AK1889" s="214">
        <v>1.7345999999999999</v>
      </c>
      <c r="AL1889" s="214">
        <v>4</v>
      </c>
      <c r="AM1889" s="214">
        <v>5.7428799999999995E-4</v>
      </c>
      <c r="AN1889" s="68"/>
      <c r="AO1889" s="67"/>
      <c r="AP1889" s="67"/>
      <c r="AQ1889" s="67"/>
      <c r="AR1889" s="67"/>
      <c r="AS1889" s="67"/>
      <c r="AT1889" s="68"/>
      <c r="AU1889" s="49"/>
      <c r="AV1889" s="50"/>
    </row>
    <row r="1890" spans="1:48" ht="12.75" customHeight="1" x14ac:dyDescent="0.25">
      <c r="A1890" s="72" t="s">
        <v>20</v>
      </c>
      <c r="B1890" s="43" t="s">
        <v>1833</v>
      </c>
      <c r="C1890" s="44" t="s">
        <v>2047</v>
      </c>
      <c r="D1890" s="45">
        <f>MROUND(MID($C1890,6,3)/Basis!$E$3,0.5)</f>
        <v>19.5</v>
      </c>
      <c r="E1890" s="45">
        <f>MROUND(MID($C1890,9,3)/Basis!$E$3,0.5)</f>
        <v>55</v>
      </c>
      <c r="F1890" s="124" t="s">
        <v>2944</v>
      </c>
      <c r="G1890" s="45">
        <f>ROUND((ROUNDDOWN($F1890/5,0)*5+1.8)/Basis!$E$3,1)</f>
        <v>6.6</v>
      </c>
      <c r="H1890" s="120">
        <f>ROUND($P1890*Basis!$E$2*((TaH-TrH)/LN(1/µ)/Basis!$E$7)^$N1890*$AA$4*Glycol,0)</f>
        <v>5266</v>
      </c>
      <c r="I1890" s="83">
        <f>ROUND(H1890/(MID($C1890,9,3)/Basis!$E$3/Basis!$E$9)*Basis!$E$11,0)</f>
        <v>1146</v>
      </c>
      <c r="J1890" s="123">
        <f>IF(Basis!$E$1=1,ROUND(H1890/((TaH-TrH)*1.163)/3600,3),ROUND(H1890/(500*(TaH-TrH)),2))</f>
        <v>0.53</v>
      </c>
      <c r="K1890" s="84"/>
      <c r="L1890" s="177">
        <f>CHOOSE(Basis!$E$1,((AJ1890*(J1890*3600/Basis!$E$5)^AK1890*(((MID(C1890,9,3)*10)-144)/1000)*AL1890+AM1890*(J1890*3600/Basis!$E$5)^2)*0.0098)/Basis!$E$10,((AJ1890*(J1890/Basis!$E$5)^AK1890*(((MID(C1890,9,3)*10)-144)/1000)*AL1890+AM1890*(J1890/Basis!$E$5)^2)*0.0098)/Basis!$E$10)</f>
        <v>2.8489234615429151E-2</v>
      </c>
      <c r="M1890" s="85"/>
      <c r="N1890" s="109">
        <v>1.373</v>
      </c>
      <c r="O1890" s="68"/>
      <c r="P1890" s="67">
        <v>2428</v>
      </c>
      <c r="Q1890" s="68"/>
      <c r="R1890" s="69"/>
      <c r="S1890" s="69"/>
      <c r="T1890" s="69"/>
      <c r="U1890" s="69"/>
      <c r="V1890" s="69"/>
      <c r="W1890" s="68"/>
      <c r="X1890" s="70"/>
      <c r="Y1890" s="70"/>
      <c r="Z1890" s="70"/>
      <c r="AA1890" s="70"/>
      <c r="AB1890" s="70"/>
      <c r="AC1890" s="68"/>
      <c r="AD1890" s="71"/>
      <c r="AE1890" s="71"/>
      <c r="AF1890" s="71"/>
      <c r="AG1890" s="71"/>
      <c r="AH1890" s="71"/>
      <c r="AI1890" s="68"/>
      <c r="AJ1890" s="214">
        <v>2.0829999999999999E-4</v>
      </c>
      <c r="AK1890" s="214">
        <v>1.724</v>
      </c>
      <c r="AL1890" s="214">
        <v>2</v>
      </c>
      <c r="AM1890" s="214">
        <v>4.6182900000000003E-4</v>
      </c>
      <c r="AN1890" s="68"/>
      <c r="AO1890" s="67"/>
      <c r="AP1890" s="67"/>
      <c r="AQ1890" s="67"/>
      <c r="AR1890" s="67"/>
      <c r="AS1890" s="67"/>
      <c r="AT1890" s="68"/>
      <c r="AU1890" s="49"/>
      <c r="AV1890" s="50"/>
    </row>
    <row r="1891" spans="1:48" ht="12.75" customHeight="1" x14ac:dyDescent="0.25">
      <c r="A1891" s="72" t="s">
        <v>20</v>
      </c>
      <c r="B1891" s="43" t="s">
        <v>1833</v>
      </c>
      <c r="C1891" s="44" t="s">
        <v>2048</v>
      </c>
      <c r="D1891" s="45">
        <f>MROUND(MID($C1891,6,3)/Basis!$E$3,0.5)</f>
        <v>19.5</v>
      </c>
      <c r="E1891" s="45">
        <f>MROUND(MID($C1891,9,3)/Basis!$E$3,0.5)</f>
        <v>55</v>
      </c>
      <c r="F1891" s="124" t="s">
        <v>2947</v>
      </c>
      <c r="G1891" s="45">
        <f>ROUND((ROUNDDOWN($F1891/5,0)*5+1.8)/Basis!$E$3,1)</f>
        <v>6.6</v>
      </c>
      <c r="H1891" s="120">
        <f>ROUND($P1891*Basis!$E$2*((TaH-TrH)/LN(1/µ)/Basis!$E$7)^$N1891*$AA$4*Glycol,0)</f>
        <v>5592</v>
      </c>
      <c r="I1891" s="83">
        <f>ROUND(H1891/(MID($C1891,9,3)/Basis!$E$3/Basis!$E$9)*Basis!$E$11,0)</f>
        <v>1217</v>
      </c>
      <c r="J1891" s="123">
        <f>IF(Basis!$E$1=1,ROUND(H1891/((TaH-TrH)*1.163)/3600,3),ROUND(H1891/(500*(TaH-TrH)),2))</f>
        <v>0.56000000000000005</v>
      </c>
      <c r="K1891" s="84"/>
      <c r="L1891" s="177">
        <f>CHOOSE(Basis!$E$1,((AJ1891*(J1891*3600/Basis!$E$5)^AK1891*(((MID(C1891,9,3)*10)-144)/1000)*AL1891+AM1891*(J1891*3600/Basis!$E$5)^2)*0.0098)/Basis!$E$10,((AJ1891*(J1891/Basis!$E$5)^AK1891*(((MID(C1891,9,3)*10)-144)/1000)*AL1891+AM1891*(J1891/Basis!$E$5)^2)*0.0098)/Basis!$E$10)</f>
        <v>8.8203916750662359E-2</v>
      </c>
      <c r="M1891" s="85"/>
      <c r="N1891" s="109">
        <v>1.464</v>
      </c>
      <c r="O1891" s="68"/>
      <c r="P1891" s="67">
        <v>2657</v>
      </c>
      <c r="Q1891" s="68"/>
      <c r="R1891" s="69"/>
      <c r="S1891" s="69"/>
      <c r="T1891" s="69"/>
      <c r="U1891" s="69"/>
      <c r="V1891" s="69"/>
      <c r="W1891" s="68"/>
      <c r="X1891" s="70"/>
      <c r="Y1891" s="70"/>
      <c r="Z1891" s="70"/>
      <c r="AA1891" s="70"/>
      <c r="AB1891" s="70"/>
      <c r="AC1891" s="68"/>
      <c r="AD1891" s="71"/>
      <c r="AE1891" s="71"/>
      <c r="AF1891" s="71"/>
      <c r="AG1891" s="71"/>
      <c r="AH1891" s="71"/>
      <c r="AI1891" s="68"/>
      <c r="AJ1891" s="214">
        <v>2.0829999999999999E-4</v>
      </c>
      <c r="AK1891" s="214">
        <v>1.724</v>
      </c>
      <c r="AL1891" s="214">
        <v>4</v>
      </c>
      <c r="AM1891" s="214">
        <v>1.392796E-3</v>
      </c>
      <c r="AN1891" s="68"/>
      <c r="AO1891" s="67"/>
      <c r="AP1891" s="67"/>
      <c r="AQ1891" s="67"/>
      <c r="AR1891" s="67"/>
      <c r="AS1891" s="67"/>
      <c r="AT1891" s="68"/>
      <c r="AU1891" s="49"/>
      <c r="AV1891" s="50"/>
    </row>
    <row r="1892" spans="1:48" ht="12.75" customHeight="1" x14ac:dyDescent="0.25">
      <c r="A1892" s="72" t="s">
        <v>20</v>
      </c>
      <c r="B1892" s="43" t="s">
        <v>1833</v>
      </c>
      <c r="C1892" s="44" t="s">
        <v>2049</v>
      </c>
      <c r="D1892" s="45">
        <f>MROUND(MID($C1892,6,3)/Basis!$E$3,0.5)</f>
        <v>19.5</v>
      </c>
      <c r="E1892" s="45">
        <f>MROUND(MID($C1892,9,3)/Basis!$E$3,0.5)</f>
        <v>55</v>
      </c>
      <c r="F1892" s="124" t="s">
        <v>2945</v>
      </c>
      <c r="G1892" s="45">
        <f>ROUND((ROUNDDOWN($F1892/5,0)*5+1.8)/Basis!$E$3,1)</f>
        <v>8.6</v>
      </c>
      <c r="H1892" s="120">
        <f>ROUND($P1892*Basis!$E$2*((TaH-TrH)/LN(1/µ)/Basis!$E$7)^$N1892*$AA$4*Glycol,0)</f>
        <v>7363</v>
      </c>
      <c r="I1892" s="83">
        <f>ROUND(H1892/(MID($C1892,9,3)/Basis!$E$3/Basis!$E$9)*Basis!$E$11,0)</f>
        <v>1603</v>
      </c>
      <c r="J1892" s="123">
        <f>IF(Basis!$E$1=1,ROUND(H1892/((TaH-TrH)*1.163)/3600,3),ROUND(H1892/(500*(TaH-TrH)),2))</f>
        <v>0.74</v>
      </c>
      <c r="K1892" s="84"/>
      <c r="L1892" s="177">
        <f>CHOOSE(Basis!$E$1,((AJ1892*(J1892*3600/Basis!$E$5)^AK1892*(((MID(C1892,9,3)*10)-144)/1000)*AL1892+AM1892*(J1892*3600/Basis!$E$5)^2)*0.0098)/Basis!$E$10,((AJ1892*(J1892/Basis!$E$5)^AK1892*(((MID(C1892,9,3)*10)-144)/1000)*AL1892+AM1892*(J1892/Basis!$E$5)^2)*0.0098)/Basis!$E$10)</f>
        <v>4.190494357011549E-2</v>
      </c>
      <c r="M1892" s="85"/>
      <c r="N1892" s="109">
        <v>1.373</v>
      </c>
      <c r="O1892" s="68"/>
      <c r="P1892" s="67">
        <v>3395</v>
      </c>
      <c r="Q1892" s="68"/>
      <c r="R1892" s="69"/>
      <c r="S1892" s="69"/>
      <c r="T1892" s="69"/>
      <c r="U1892" s="69"/>
      <c r="V1892" s="69"/>
      <c r="W1892" s="68"/>
      <c r="X1892" s="70"/>
      <c r="Y1892" s="70"/>
      <c r="Z1892" s="70"/>
      <c r="AA1892" s="70"/>
      <c r="AB1892" s="70"/>
      <c r="AC1892" s="68"/>
      <c r="AD1892" s="71"/>
      <c r="AE1892" s="71"/>
      <c r="AF1892" s="71"/>
      <c r="AG1892" s="71"/>
      <c r="AH1892" s="71"/>
      <c r="AI1892" s="68"/>
      <c r="AJ1892" s="214">
        <v>1.2760000000000001E-4</v>
      </c>
      <c r="AK1892" s="214">
        <v>1.7219</v>
      </c>
      <c r="AL1892" s="214">
        <v>2</v>
      </c>
      <c r="AM1892" s="214">
        <v>3.76611E-4</v>
      </c>
      <c r="AN1892" s="68"/>
      <c r="AO1892" s="67"/>
      <c r="AP1892" s="67"/>
      <c r="AQ1892" s="67"/>
      <c r="AR1892" s="67"/>
      <c r="AS1892" s="67"/>
      <c r="AT1892" s="68"/>
      <c r="AU1892" s="49"/>
      <c r="AV1892" s="50"/>
    </row>
    <row r="1893" spans="1:48" ht="12.75" customHeight="1" x14ac:dyDescent="0.25">
      <c r="A1893" s="72" t="s">
        <v>20</v>
      </c>
      <c r="B1893" s="43" t="s">
        <v>1833</v>
      </c>
      <c r="C1893" s="44" t="s">
        <v>2050</v>
      </c>
      <c r="D1893" s="45">
        <f>MROUND(MID($C1893,6,3)/Basis!$E$3,0.5)</f>
        <v>19.5</v>
      </c>
      <c r="E1893" s="45">
        <f>MROUND(MID($C1893,9,3)/Basis!$E$3,0.5)</f>
        <v>55</v>
      </c>
      <c r="F1893" s="124" t="s">
        <v>2948</v>
      </c>
      <c r="G1893" s="45">
        <f>ROUND((ROUNDDOWN($F1893/5,0)*5+1.8)/Basis!$E$3,1)</f>
        <v>8.6</v>
      </c>
      <c r="H1893" s="120">
        <f>ROUND($P1893*Basis!$E$2*((TaH-TrH)/LN(1/µ)/Basis!$E$7)^$N1893*$AA$4*Glycol,0)</f>
        <v>7556</v>
      </c>
      <c r="I1893" s="83">
        <f>ROUND(H1893/(MID($C1893,9,3)/Basis!$E$3/Basis!$E$9)*Basis!$E$11,0)</f>
        <v>1645</v>
      </c>
      <c r="J1893" s="123">
        <f>IF(Basis!$E$1=1,ROUND(H1893/((TaH-TrH)*1.163)/3600,3),ROUND(H1893/(500*(TaH-TrH)),2))</f>
        <v>0.76</v>
      </c>
      <c r="K1893" s="84"/>
      <c r="L1893" s="177">
        <f>CHOOSE(Basis!$E$1,((AJ1893*(J1893*3600/Basis!$E$5)^AK1893*(((MID(C1893,9,3)*10)-144)/1000)*AL1893+AM1893*(J1893*3600/Basis!$E$5)^2)*0.0098)/Basis!$E$10,((AJ1893*(J1893/Basis!$E$5)^AK1893*(((MID(C1893,9,3)*10)-144)/1000)*AL1893+AM1893*(J1893/Basis!$E$5)^2)*0.0098)/Basis!$E$10)</f>
        <v>6.5004052895369688E-2</v>
      </c>
      <c r="M1893" s="85"/>
      <c r="N1893" s="109">
        <v>1.4850000000000001</v>
      </c>
      <c r="O1893" s="68"/>
      <c r="P1893" s="67">
        <v>3615</v>
      </c>
      <c r="Q1893" s="68"/>
      <c r="R1893" s="69"/>
      <c r="S1893" s="69"/>
      <c r="T1893" s="69"/>
      <c r="U1893" s="69"/>
      <c r="V1893" s="69"/>
      <c r="W1893" s="68"/>
      <c r="X1893" s="70"/>
      <c r="Y1893" s="70"/>
      <c r="Z1893" s="70"/>
      <c r="AA1893" s="70"/>
      <c r="AB1893" s="70"/>
      <c r="AC1893" s="68"/>
      <c r="AD1893" s="71"/>
      <c r="AE1893" s="71"/>
      <c r="AF1893" s="71"/>
      <c r="AG1893" s="71"/>
      <c r="AH1893" s="71"/>
      <c r="AI1893" s="68"/>
      <c r="AJ1893" s="214">
        <v>1.2760000000000001E-4</v>
      </c>
      <c r="AK1893" s="214">
        <v>1.7219</v>
      </c>
      <c r="AL1893" s="214">
        <v>4</v>
      </c>
      <c r="AM1893" s="214">
        <v>5.1420100000000005E-4</v>
      </c>
      <c r="AN1893" s="68"/>
      <c r="AO1893" s="67"/>
      <c r="AP1893" s="67"/>
      <c r="AQ1893" s="67"/>
      <c r="AR1893" s="67"/>
      <c r="AS1893" s="67"/>
      <c r="AT1893" s="68"/>
      <c r="AU1893" s="49"/>
      <c r="AV1893" s="50"/>
    </row>
    <row r="1894" spans="1:48" ht="12.75" customHeight="1" x14ac:dyDescent="0.25">
      <c r="A1894" s="72" t="s">
        <v>20</v>
      </c>
      <c r="B1894" s="43" t="s">
        <v>1833</v>
      </c>
      <c r="C1894" s="44" t="s">
        <v>2051</v>
      </c>
      <c r="D1894" s="45">
        <f>MROUND(MID($C1894,6,3)/Basis!$E$3,0.5)</f>
        <v>19.5</v>
      </c>
      <c r="E1894" s="45">
        <f>MROUND(MID($C1894,9,3)/Basis!$E$3,0.5)</f>
        <v>63</v>
      </c>
      <c r="F1894" s="124" t="s">
        <v>2949</v>
      </c>
      <c r="G1894" s="45">
        <f>ROUND((ROUNDDOWN($F1894/5,0)*5+3.5)/Basis!$E$3,1)</f>
        <v>3.3</v>
      </c>
      <c r="H1894" s="120">
        <f>ROUND($P1894*Basis!$E$2*((TaH-TrH)/LN(1/µ)/Basis!$E$7)^$N1894*$AA$4*Glycol,0)</f>
        <v>3287</v>
      </c>
      <c r="I1894" s="83">
        <f>ROUND(H1894/(MID($C1894,9,3)/Basis!$E$3/Basis!$E$9)*Basis!$E$11,0)</f>
        <v>626</v>
      </c>
      <c r="J1894" s="123">
        <f>IF(Basis!$E$1=1,ROUND(H1894/((TaH-TrH)*1.163)/3600,3),ROUND(H1894/(500*(TaH-TrH)),2))</f>
        <v>0.33</v>
      </c>
      <c r="K1894" s="84"/>
      <c r="L1894" s="177">
        <f>CHOOSE(Basis!$E$1,((AJ1894*(J1894*3600/Basis!$E$5)^AK1894*(((MID(C1894,9,3)*10)-144)/1000)*AL1894+AM1894*(J1894*3600/Basis!$E$5)^2)*0.0098)/Basis!$E$10,((AJ1894*(J1894/Basis!$E$5)^AK1894*(((MID(C1894,9,3)*10)-144)/1000)*AL1894+AM1894*(J1894/Basis!$E$5)^2)*0.0098)/Basis!$E$10)</f>
        <v>5.793982829631518E-2</v>
      </c>
      <c r="M1894" s="85"/>
      <c r="N1894" s="109">
        <v>1.3720000000000001</v>
      </c>
      <c r="O1894" s="68"/>
      <c r="P1894" s="67">
        <v>1515</v>
      </c>
      <c r="Q1894" s="68"/>
      <c r="R1894" s="69"/>
      <c r="S1894" s="69"/>
      <c r="T1894" s="69"/>
      <c r="U1894" s="69"/>
      <c r="V1894" s="69"/>
      <c r="W1894" s="68"/>
      <c r="X1894" s="70"/>
      <c r="Y1894" s="70"/>
      <c r="Z1894" s="70"/>
      <c r="AA1894" s="70"/>
      <c r="AB1894" s="70"/>
      <c r="AC1894" s="68"/>
      <c r="AD1894" s="71"/>
      <c r="AE1894" s="71"/>
      <c r="AF1894" s="71"/>
      <c r="AG1894" s="71"/>
      <c r="AH1894" s="71"/>
      <c r="AI1894" s="68"/>
      <c r="AJ1894" s="214">
        <v>1.6125983042710999E-4</v>
      </c>
      <c r="AK1894" s="214">
        <v>2.1458504622376</v>
      </c>
      <c r="AL1894" s="214">
        <v>4</v>
      </c>
      <c r="AM1894" s="214">
        <v>1.3916423712342001E-3</v>
      </c>
      <c r="AN1894" s="68"/>
      <c r="AO1894" s="67"/>
      <c r="AP1894" s="67"/>
      <c r="AQ1894" s="67"/>
      <c r="AR1894" s="67"/>
      <c r="AS1894" s="67"/>
      <c r="AT1894" s="68"/>
      <c r="AU1894" s="49"/>
      <c r="AV1894" s="50"/>
    </row>
    <row r="1895" spans="1:48" ht="12.75" customHeight="1" x14ac:dyDescent="0.25">
      <c r="A1895" s="72" t="s">
        <v>20</v>
      </c>
      <c r="B1895" s="43" t="s">
        <v>1833</v>
      </c>
      <c r="C1895" s="44" t="s">
        <v>2052</v>
      </c>
      <c r="D1895" s="45">
        <f>MROUND(MID($C1895,6,3)/Basis!$E$3,0.5)</f>
        <v>19.5</v>
      </c>
      <c r="E1895" s="45">
        <f>MROUND(MID($C1895,9,3)/Basis!$E$3,0.5)</f>
        <v>63</v>
      </c>
      <c r="F1895" s="124" t="s">
        <v>2943</v>
      </c>
      <c r="G1895" s="45">
        <f>ROUND((ROUNDDOWN($F1895/5,0)*5+1.8)/Basis!$E$3,1)</f>
        <v>4.5999999999999996</v>
      </c>
      <c r="H1895" s="120">
        <f>ROUND($P1895*Basis!$E$2*((TaH-TrH)/LN(1/µ)/Basis!$E$7)^$N1895*$AA$4*Glycol,0)</f>
        <v>3720</v>
      </c>
      <c r="I1895" s="83">
        <f>ROUND(H1895/(MID($C1895,9,3)/Basis!$E$3/Basis!$E$9)*Basis!$E$11,0)</f>
        <v>709</v>
      </c>
      <c r="J1895" s="123">
        <f>IF(Basis!$E$1=1,ROUND(H1895/((TaH-TrH)*1.163)/3600,3),ROUND(H1895/(500*(TaH-TrH)),2))</f>
        <v>0.37</v>
      </c>
      <c r="K1895" s="84"/>
      <c r="L1895" s="177">
        <f>CHOOSE(Basis!$E$1,((AJ1895*(J1895*3600/Basis!$E$5)^AK1895*(((MID(C1895,9,3)*10)-144)/1000)*AL1895+AM1895*(J1895*3600/Basis!$E$5)^2)*0.0098)/Basis!$E$10,((AJ1895*(J1895/Basis!$E$5)^AK1895*(((MID(C1895,9,3)*10)-144)/1000)*AL1895+AM1895*(J1895/Basis!$E$5)^2)*0.0098)/Basis!$E$10)</f>
        <v>1.6715495784043289E-2</v>
      </c>
      <c r="M1895" s="85"/>
      <c r="N1895" s="110">
        <v>1.385</v>
      </c>
      <c r="O1895" s="74"/>
      <c r="P1895" s="73">
        <v>1722</v>
      </c>
      <c r="Q1895" s="74"/>
      <c r="R1895" s="75"/>
      <c r="S1895" s="75"/>
      <c r="T1895" s="75"/>
      <c r="U1895" s="75"/>
      <c r="V1895" s="75"/>
      <c r="W1895" s="74"/>
      <c r="X1895" s="76"/>
      <c r="Y1895" s="76"/>
      <c r="Z1895" s="76"/>
      <c r="AA1895" s="76"/>
      <c r="AB1895" s="76"/>
      <c r="AC1895" s="74"/>
      <c r="AD1895" s="77"/>
      <c r="AE1895" s="77"/>
      <c r="AF1895" s="77"/>
      <c r="AG1895" s="77"/>
      <c r="AH1895" s="77"/>
      <c r="AI1895" s="68"/>
      <c r="AJ1895" s="213">
        <v>3.9689999999999994E-4</v>
      </c>
      <c r="AK1895" s="213">
        <v>1.7345999999999999</v>
      </c>
      <c r="AL1895" s="213">
        <v>2</v>
      </c>
      <c r="AM1895" s="213">
        <v>3.6734700000000002E-4</v>
      </c>
      <c r="AN1895" s="74"/>
      <c r="AO1895" s="73"/>
      <c r="AP1895" s="73"/>
      <c r="AQ1895" s="73"/>
      <c r="AR1895" s="73"/>
      <c r="AS1895" s="73"/>
      <c r="AT1895" s="74"/>
      <c r="AU1895" s="47"/>
      <c r="AV1895" s="48"/>
    </row>
    <row r="1896" spans="1:48" ht="12.75" customHeight="1" x14ac:dyDescent="0.25">
      <c r="A1896" s="72" t="s">
        <v>20</v>
      </c>
      <c r="B1896" s="43" t="s">
        <v>1833</v>
      </c>
      <c r="C1896" s="44" t="s">
        <v>2053</v>
      </c>
      <c r="D1896" s="45">
        <f>MROUND(MID($C1896,6,3)/Basis!$E$3,0.5)</f>
        <v>19.5</v>
      </c>
      <c r="E1896" s="45">
        <f>MROUND(MID($C1896,9,3)/Basis!$E$3,0.5)</f>
        <v>63</v>
      </c>
      <c r="F1896" s="124" t="s">
        <v>2946</v>
      </c>
      <c r="G1896" s="45">
        <f>ROUND((ROUNDDOWN($F1896/5,0)*5+1.8)/Basis!$E$3,1)</f>
        <v>4.5999999999999996</v>
      </c>
      <c r="H1896" s="120">
        <f>ROUND($P1896*Basis!$E$2*((TaH-TrH)/LN(1/µ)/Basis!$E$7)^$N1896*$AA$4*Glycol,0)</f>
        <v>4708</v>
      </c>
      <c r="I1896" s="83">
        <f>ROUND(H1896/(MID($C1896,9,3)/Basis!$E$3/Basis!$E$9)*Basis!$E$11,0)</f>
        <v>897</v>
      </c>
      <c r="J1896" s="123">
        <f>IF(Basis!$E$1=1,ROUND(H1896/((TaH-TrH)*1.163)/3600,3),ROUND(H1896/(500*(TaH-TrH)),2))</f>
        <v>0.47</v>
      </c>
      <c r="K1896" s="84"/>
      <c r="L1896" s="177">
        <f>CHOOSE(Basis!$E$1,((AJ1896*(J1896*3600/Basis!$E$5)^AK1896*(((MID(C1896,9,3)*10)-144)/1000)*AL1896+AM1896*(J1896*3600/Basis!$E$5)^2)*0.0098)/Basis!$E$10,((AJ1896*(J1896/Basis!$E$5)^AK1896*(((MID(C1896,9,3)*10)-144)/1000)*AL1896+AM1896*(J1896/Basis!$E$5)^2)*0.0098)/Basis!$E$10)</f>
        <v>4.6332684983701501E-2</v>
      </c>
      <c r="M1896" s="85"/>
      <c r="N1896" s="110">
        <v>1.4379999999999999</v>
      </c>
      <c r="O1896" s="74"/>
      <c r="P1896" s="73">
        <v>2218</v>
      </c>
      <c r="Q1896" s="74"/>
      <c r="R1896" s="75"/>
      <c r="S1896" s="75"/>
      <c r="T1896" s="75"/>
      <c r="U1896" s="75"/>
      <c r="V1896" s="75"/>
      <c r="W1896" s="74"/>
      <c r="X1896" s="76"/>
      <c r="Y1896" s="76"/>
      <c r="Z1896" s="76"/>
      <c r="AA1896" s="76"/>
      <c r="AB1896" s="76"/>
      <c r="AC1896" s="74"/>
      <c r="AD1896" s="77"/>
      <c r="AE1896" s="77"/>
      <c r="AF1896" s="77"/>
      <c r="AG1896" s="77"/>
      <c r="AH1896" s="77"/>
      <c r="AI1896" s="68"/>
      <c r="AJ1896" s="213">
        <v>3.9689999999999994E-4</v>
      </c>
      <c r="AK1896" s="213">
        <v>1.7345999999999999</v>
      </c>
      <c r="AL1896" s="213">
        <v>4</v>
      </c>
      <c r="AM1896" s="213">
        <v>5.7428799999999995E-4</v>
      </c>
      <c r="AN1896" s="74"/>
      <c r="AO1896" s="73"/>
      <c r="AP1896" s="73"/>
      <c r="AQ1896" s="73"/>
      <c r="AR1896" s="73"/>
      <c r="AS1896" s="73"/>
      <c r="AT1896" s="74"/>
      <c r="AU1896" s="47"/>
      <c r="AV1896" s="48"/>
    </row>
    <row r="1897" spans="1:48" ht="12.75" customHeight="1" x14ac:dyDescent="0.25">
      <c r="A1897" s="72" t="s">
        <v>20</v>
      </c>
      <c r="B1897" s="43" t="s">
        <v>1833</v>
      </c>
      <c r="C1897" s="44" t="s">
        <v>2054</v>
      </c>
      <c r="D1897" s="45">
        <f>MROUND(MID($C1897,6,3)/Basis!$E$3,0.5)</f>
        <v>19.5</v>
      </c>
      <c r="E1897" s="45">
        <f>MROUND(MID($C1897,9,3)/Basis!$E$3,0.5)</f>
        <v>63</v>
      </c>
      <c r="F1897" s="124" t="s">
        <v>2944</v>
      </c>
      <c r="G1897" s="45">
        <f>ROUND((ROUNDDOWN($F1897/5,0)*5+1.8)/Basis!$E$3,1)</f>
        <v>6.6</v>
      </c>
      <c r="H1897" s="120">
        <f>ROUND($P1897*Basis!$E$2*((TaH-TrH)/LN(1/µ)/Basis!$E$7)^$N1897*$AA$4*Glycol,0)</f>
        <v>6016</v>
      </c>
      <c r="I1897" s="83">
        <f>ROUND(H1897/(MID($C1897,9,3)/Basis!$E$3/Basis!$E$9)*Basis!$E$11,0)</f>
        <v>1146</v>
      </c>
      <c r="J1897" s="123">
        <f>IF(Basis!$E$1=1,ROUND(H1897/((TaH-TrH)*1.163)/3600,3),ROUND(H1897/(500*(TaH-TrH)),2))</f>
        <v>0.6</v>
      </c>
      <c r="K1897" s="84"/>
      <c r="L1897" s="177">
        <f>CHOOSE(Basis!$E$1,((AJ1897*(J1897*3600/Basis!$E$5)^AK1897*(((MID(C1897,9,3)*10)-144)/1000)*AL1897+AM1897*(J1897*3600/Basis!$E$5)^2)*0.0098)/Basis!$E$10,((AJ1897*(J1897/Basis!$E$5)^AK1897*(((MID(C1897,9,3)*10)-144)/1000)*AL1897+AM1897*(J1897/Basis!$E$5)^2)*0.0098)/Basis!$E$10)</f>
        <v>3.7529754792229086E-2</v>
      </c>
      <c r="M1897" s="85"/>
      <c r="N1897" s="110">
        <v>1.373</v>
      </c>
      <c r="O1897" s="74"/>
      <c r="P1897" s="73">
        <v>2774</v>
      </c>
      <c r="Q1897" s="74"/>
      <c r="R1897" s="75"/>
      <c r="S1897" s="75"/>
      <c r="T1897" s="75"/>
      <c r="U1897" s="75"/>
      <c r="V1897" s="75"/>
      <c r="W1897" s="74"/>
      <c r="X1897" s="76"/>
      <c r="Y1897" s="76"/>
      <c r="Z1897" s="76"/>
      <c r="AA1897" s="76"/>
      <c r="AB1897" s="76"/>
      <c r="AC1897" s="74"/>
      <c r="AD1897" s="77"/>
      <c r="AE1897" s="77"/>
      <c r="AF1897" s="77"/>
      <c r="AG1897" s="77"/>
      <c r="AH1897" s="77"/>
      <c r="AI1897" s="68"/>
      <c r="AJ1897" s="213">
        <v>2.0829999999999999E-4</v>
      </c>
      <c r="AK1897" s="213">
        <v>1.724</v>
      </c>
      <c r="AL1897" s="213">
        <v>2</v>
      </c>
      <c r="AM1897" s="213">
        <v>4.6182900000000003E-4</v>
      </c>
      <c r="AN1897" s="74"/>
      <c r="AO1897" s="73"/>
      <c r="AP1897" s="73"/>
      <c r="AQ1897" s="73"/>
      <c r="AR1897" s="73"/>
      <c r="AS1897" s="73"/>
      <c r="AT1897" s="74"/>
      <c r="AU1897" s="47"/>
      <c r="AV1897" s="48"/>
    </row>
    <row r="1898" spans="1:48" ht="12.75" customHeight="1" x14ac:dyDescent="0.25">
      <c r="A1898" s="72" t="s">
        <v>20</v>
      </c>
      <c r="B1898" s="43" t="s">
        <v>1833</v>
      </c>
      <c r="C1898" s="44" t="s">
        <v>2055</v>
      </c>
      <c r="D1898" s="45">
        <f>MROUND(MID($C1898,6,3)/Basis!$E$3,0.5)</f>
        <v>19.5</v>
      </c>
      <c r="E1898" s="45">
        <f>MROUND(MID($C1898,9,3)/Basis!$E$3,0.5)</f>
        <v>63</v>
      </c>
      <c r="F1898" s="124" t="s">
        <v>2947</v>
      </c>
      <c r="G1898" s="45">
        <f>ROUND((ROUNDDOWN($F1898/5,0)*5+1.8)/Basis!$E$3,1)</f>
        <v>6.6</v>
      </c>
      <c r="H1898" s="120">
        <f>ROUND($P1898*Basis!$E$2*((TaH-TrH)/LN(1/µ)/Basis!$E$7)^$N1898*$AA$4*Glycol,0)</f>
        <v>6392</v>
      </c>
      <c r="I1898" s="83">
        <f>ROUND(H1898/(MID($C1898,9,3)/Basis!$E$3/Basis!$E$9)*Basis!$E$11,0)</f>
        <v>1218</v>
      </c>
      <c r="J1898" s="123">
        <f>IF(Basis!$E$1=1,ROUND(H1898/((TaH-TrH)*1.163)/3600,3),ROUND(H1898/(500*(TaH-TrH)),2))</f>
        <v>0.64</v>
      </c>
      <c r="K1898" s="84"/>
      <c r="L1898" s="177">
        <f>CHOOSE(Basis!$E$1,((AJ1898*(J1898*3600/Basis!$E$5)^AK1898*(((MID(C1898,9,3)*10)-144)/1000)*AL1898+AM1898*(J1898*3600/Basis!$E$5)^2)*0.0098)/Basis!$E$10,((AJ1898*(J1898/Basis!$E$5)^AK1898*(((MID(C1898,9,3)*10)-144)/1000)*AL1898+AM1898*(J1898/Basis!$E$5)^2)*0.0098)/Basis!$E$10)</f>
        <v>0.11743136085730375</v>
      </c>
      <c r="M1898" s="85"/>
      <c r="N1898" s="110">
        <v>1.464</v>
      </c>
      <c r="O1898" s="74"/>
      <c r="P1898" s="73">
        <v>3037</v>
      </c>
      <c r="Q1898" s="74"/>
      <c r="R1898" s="75"/>
      <c r="S1898" s="75"/>
      <c r="T1898" s="75"/>
      <c r="U1898" s="75"/>
      <c r="V1898" s="75"/>
      <c r="W1898" s="74"/>
      <c r="X1898" s="76"/>
      <c r="Y1898" s="76"/>
      <c r="Z1898" s="76"/>
      <c r="AA1898" s="76"/>
      <c r="AB1898" s="76"/>
      <c r="AC1898" s="74"/>
      <c r="AD1898" s="77"/>
      <c r="AE1898" s="77"/>
      <c r="AF1898" s="77"/>
      <c r="AG1898" s="77"/>
      <c r="AH1898" s="77"/>
      <c r="AI1898" s="68"/>
      <c r="AJ1898" s="213">
        <v>2.0829999999999999E-4</v>
      </c>
      <c r="AK1898" s="213">
        <v>1.724</v>
      </c>
      <c r="AL1898" s="213">
        <v>4</v>
      </c>
      <c r="AM1898" s="213">
        <v>1.392796E-3</v>
      </c>
      <c r="AN1898" s="74"/>
      <c r="AO1898" s="73"/>
      <c r="AP1898" s="73"/>
      <c r="AQ1898" s="73"/>
      <c r="AR1898" s="73"/>
      <c r="AS1898" s="73"/>
      <c r="AT1898" s="74"/>
      <c r="AU1898" s="47"/>
      <c r="AV1898" s="48"/>
    </row>
    <row r="1899" spans="1:48" ht="12.75" customHeight="1" x14ac:dyDescent="0.25">
      <c r="A1899" s="72" t="s">
        <v>20</v>
      </c>
      <c r="B1899" s="43" t="s">
        <v>1833</v>
      </c>
      <c r="C1899" s="44" t="s">
        <v>2056</v>
      </c>
      <c r="D1899" s="45">
        <f>MROUND(MID($C1899,6,3)/Basis!$E$3,0.5)</f>
        <v>19.5</v>
      </c>
      <c r="E1899" s="45">
        <f>MROUND(MID($C1899,9,3)/Basis!$E$3,0.5)</f>
        <v>63</v>
      </c>
      <c r="F1899" s="124" t="s">
        <v>2945</v>
      </c>
      <c r="G1899" s="45">
        <f>ROUND((ROUNDDOWN($F1899/5,0)*5+1.8)/Basis!$E$3,1)</f>
        <v>8.6</v>
      </c>
      <c r="H1899" s="120">
        <f>ROUND($P1899*Basis!$E$2*((TaH-TrH)/LN(1/µ)/Basis!$E$7)^$N1899*$AA$4*Glycol,0)</f>
        <v>8415</v>
      </c>
      <c r="I1899" s="83">
        <f>ROUND(H1899/(MID($C1899,9,3)/Basis!$E$3/Basis!$E$9)*Basis!$E$11,0)</f>
        <v>1603</v>
      </c>
      <c r="J1899" s="123">
        <f>IF(Basis!$E$1=1,ROUND(H1899/((TaH-TrH)*1.163)/3600,3),ROUND(H1899/(500*(TaH-TrH)),2))</f>
        <v>0.84</v>
      </c>
      <c r="K1899" s="84"/>
      <c r="L1899" s="177">
        <f>CHOOSE(Basis!$E$1,((AJ1899*(J1899*3600/Basis!$E$5)^AK1899*(((MID(C1899,9,3)*10)-144)/1000)*AL1899+AM1899*(J1899*3600/Basis!$E$5)^2)*0.0098)/Basis!$E$10,((AJ1899*(J1899/Basis!$E$5)^AK1899*(((MID(C1899,9,3)*10)-144)/1000)*AL1899+AM1899*(J1899/Basis!$E$5)^2)*0.0098)/Basis!$E$10)</f>
        <v>5.5088338720495358E-2</v>
      </c>
      <c r="M1899" s="85"/>
      <c r="N1899" s="110">
        <v>1.373</v>
      </c>
      <c r="O1899" s="74"/>
      <c r="P1899" s="73">
        <v>3880</v>
      </c>
      <c r="Q1899" s="74"/>
      <c r="R1899" s="75"/>
      <c r="S1899" s="75"/>
      <c r="T1899" s="75"/>
      <c r="U1899" s="75"/>
      <c r="V1899" s="75"/>
      <c r="W1899" s="74"/>
      <c r="X1899" s="76"/>
      <c r="Y1899" s="76"/>
      <c r="Z1899" s="76"/>
      <c r="AA1899" s="76"/>
      <c r="AB1899" s="76"/>
      <c r="AC1899" s="74"/>
      <c r="AD1899" s="77"/>
      <c r="AE1899" s="77"/>
      <c r="AF1899" s="77"/>
      <c r="AG1899" s="77"/>
      <c r="AH1899" s="77"/>
      <c r="AI1899" s="68"/>
      <c r="AJ1899" s="214">
        <v>1.2760000000000001E-4</v>
      </c>
      <c r="AK1899" s="214">
        <v>1.7219</v>
      </c>
      <c r="AL1899" s="214">
        <v>2</v>
      </c>
      <c r="AM1899" s="214">
        <v>3.76611E-4</v>
      </c>
      <c r="AN1899" s="74"/>
      <c r="AO1899" s="73"/>
      <c r="AP1899" s="73"/>
      <c r="AQ1899" s="73"/>
      <c r="AR1899" s="73"/>
      <c r="AS1899" s="73"/>
      <c r="AT1899" s="74"/>
      <c r="AU1899" s="47"/>
      <c r="AV1899" s="48"/>
    </row>
    <row r="1900" spans="1:48" ht="12.75" customHeight="1" x14ac:dyDescent="0.25">
      <c r="A1900" s="72" t="s">
        <v>20</v>
      </c>
      <c r="B1900" s="43" t="s">
        <v>1833</v>
      </c>
      <c r="C1900" s="44" t="s">
        <v>2057</v>
      </c>
      <c r="D1900" s="45">
        <f>MROUND(MID($C1900,6,3)/Basis!$E$3,0.5)</f>
        <v>19.5</v>
      </c>
      <c r="E1900" s="45">
        <f>MROUND(MID($C1900,9,3)/Basis!$E$3,0.5)</f>
        <v>63</v>
      </c>
      <c r="F1900" s="124" t="s">
        <v>2948</v>
      </c>
      <c r="G1900" s="45">
        <f>ROUND((ROUNDDOWN($F1900/5,0)*5+1.8)/Basis!$E$3,1)</f>
        <v>8.6</v>
      </c>
      <c r="H1900" s="120">
        <f>ROUND($P1900*Basis!$E$2*((TaH-TrH)/LN(1/µ)/Basis!$E$7)^$N1900*$AA$4*Glycol,0)</f>
        <v>8634</v>
      </c>
      <c r="I1900" s="83">
        <f>ROUND(H1900/(MID($C1900,9,3)/Basis!$E$3/Basis!$E$9)*Basis!$E$11,0)</f>
        <v>1645</v>
      </c>
      <c r="J1900" s="123">
        <f>IF(Basis!$E$1=1,ROUND(H1900/((TaH-TrH)*1.163)/3600,3),ROUND(H1900/(500*(TaH-TrH)),2))</f>
        <v>0.86</v>
      </c>
      <c r="K1900" s="84"/>
      <c r="L1900" s="177">
        <f>CHOOSE(Basis!$E$1,((AJ1900*(J1900*3600/Basis!$E$5)^AK1900*(((MID(C1900,9,3)*10)-144)/1000)*AL1900+AM1900*(J1900*3600/Basis!$E$5)^2)*0.0098)/Basis!$E$10,((AJ1900*(J1900/Basis!$E$5)^AK1900*(((MID(C1900,9,3)*10)-144)/1000)*AL1900+AM1900*(J1900/Basis!$E$5)^2)*0.0098)/Basis!$E$10)</f>
        <v>8.55277861726806E-2</v>
      </c>
      <c r="M1900" s="85"/>
      <c r="N1900" s="110">
        <v>1.4850000000000001</v>
      </c>
      <c r="O1900" s="74"/>
      <c r="P1900" s="73">
        <v>4131</v>
      </c>
      <c r="Q1900" s="74"/>
      <c r="R1900" s="75"/>
      <c r="S1900" s="75"/>
      <c r="T1900" s="75"/>
      <c r="U1900" s="75"/>
      <c r="V1900" s="75"/>
      <c r="W1900" s="74"/>
      <c r="X1900" s="76"/>
      <c r="Y1900" s="76"/>
      <c r="Z1900" s="76"/>
      <c r="AA1900" s="76"/>
      <c r="AB1900" s="76"/>
      <c r="AC1900" s="74"/>
      <c r="AD1900" s="77"/>
      <c r="AE1900" s="77"/>
      <c r="AF1900" s="77"/>
      <c r="AG1900" s="77"/>
      <c r="AH1900" s="77"/>
      <c r="AI1900" s="68"/>
      <c r="AJ1900" s="213">
        <v>1.2760000000000001E-4</v>
      </c>
      <c r="AK1900" s="213">
        <v>1.7219</v>
      </c>
      <c r="AL1900" s="213">
        <v>4</v>
      </c>
      <c r="AM1900" s="213">
        <v>5.1420100000000005E-4</v>
      </c>
      <c r="AN1900" s="74"/>
      <c r="AO1900" s="73"/>
      <c r="AP1900" s="73"/>
      <c r="AQ1900" s="73"/>
      <c r="AR1900" s="73"/>
      <c r="AS1900" s="73"/>
      <c r="AT1900" s="74"/>
      <c r="AU1900" s="47"/>
      <c r="AV1900" s="48"/>
    </row>
    <row r="1901" spans="1:48" ht="12.75" customHeight="1" x14ac:dyDescent="0.25">
      <c r="A1901" s="72" t="s">
        <v>20</v>
      </c>
      <c r="B1901" s="43" t="s">
        <v>1833</v>
      </c>
      <c r="C1901" s="44" t="s">
        <v>2058</v>
      </c>
      <c r="D1901" s="45">
        <f>MROUND(MID($C1901,6,3)/Basis!$E$3,0.5)</f>
        <v>19.5</v>
      </c>
      <c r="E1901" s="45">
        <f>MROUND(MID($C1901,9,3)/Basis!$E$3,0.5)</f>
        <v>71</v>
      </c>
      <c r="F1901" s="124" t="s">
        <v>2949</v>
      </c>
      <c r="G1901" s="45">
        <f>ROUND((ROUNDDOWN($F1901/5,0)*5+3.5)/Basis!$E$3,1)</f>
        <v>3.3</v>
      </c>
      <c r="H1901" s="120">
        <f>ROUND($P1901*Basis!$E$2*((TaH-TrH)/LN(1/µ)/Basis!$E$7)^$N1901*$AA$4*Glycol,0)</f>
        <v>3699</v>
      </c>
      <c r="I1901" s="83">
        <f>ROUND(H1901/(MID($C1901,9,3)/Basis!$E$3/Basis!$E$9)*Basis!$E$11,0)</f>
        <v>626</v>
      </c>
      <c r="J1901" s="123">
        <f>IF(Basis!$E$1=1,ROUND(H1901/((TaH-TrH)*1.163)/3600,3),ROUND(H1901/(500*(TaH-TrH)),2))</f>
        <v>0.37</v>
      </c>
      <c r="K1901" s="84"/>
      <c r="L1901" s="177">
        <f>CHOOSE(Basis!$E$1,((AJ1901*(J1901*3600/Basis!$E$5)^AK1901*(((MID(C1901,9,3)*10)-144)/1000)*AL1901+AM1901*(J1901*3600/Basis!$E$5)^2)*0.0098)/Basis!$E$10,((AJ1901*(J1901/Basis!$E$5)^AK1901*(((MID(C1901,9,3)*10)-144)/1000)*AL1901+AM1901*(J1901/Basis!$E$5)^2)*0.0098)/Basis!$E$10)</f>
        <v>7.920714352909862E-2</v>
      </c>
      <c r="M1901" s="85"/>
      <c r="N1901" s="110">
        <v>1.3720000000000001</v>
      </c>
      <c r="O1901" s="74"/>
      <c r="P1901" s="73">
        <v>1705</v>
      </c>
      <c r="Q1901" s="74"/>
      <c r="R1901" s="75"/>
      <c r="S1901" s="75"/>
      <c r="T1901" s="75"/>
      <c r="U1901" s="75"/>
      <c r="V1901" s="75"/>
      <c r="W1901" s="74"/>
      <c r="X1901" s="76"/>
      <c r="Y1901" s="76"/>
      <c r="Z1901" s="76"/>
      <c r="AA1901" s="76"/>
      <c r="AB1901" s="76"/>
      <c r="AC1901" s="74"/>
      <c r="AD1901" s="77"/>
      <c r="AE1901" s="77"/>
      <c r="AF1901" s="77"/>
      <c r="AG1901" s="77"/>
      <c r="AH1901" s="77"/>
      <c r="AI1901" s="68"/>
      <c r="AJ1901" s="213">
        <v>1.6125983042710999E-4</v>
      </c>
      <c r="AK1901" s="213">
        <v>2.1458504622376</v>
      </c>
      <c r="AL1901" s="213">
        <v>4</v>
      </c>
      <c r="AM1901" s="213">
        <v>1.3916423712342001E-3</v>
      </c>
      <c r="AN1901" s="74"/>
      <c r="AO1901" s="73"/>
      <c r="AP1901" s="73"/>
      <c r="AQ1901" s="73"/>
      <c r="AR1901" s="73"/>
      <c r="AS1901" s="73"/>
      <c r="AT1901" s="74"/>
      <c r="AU1901" s="47"/>
      <c r="AV1901" s="48"/>
    </row>
    <row r="1902" spans="1:48" ht="12.75" customHeight="1" x14ac:dyDescent="0.25">
      <c r="A1902" s="72" t="s">
        <v>20</v>
      </c>
      <c r="B1902" s="43" t="s">
        <v>1833</v>
      </c>
      <c r="C1902" s="44" t="s">
        <v>2059</v>
      </c>
      <c r="D1902" s="45">
        <f>MROUND(MID($C1902,6,3)/Basis!$E$3,0.5)</f>
        <v>19.5</v>
      </c>
      <c r="E1902" s="45">
        <f>MROUND(MID($C1902,9,3)/Basis!$E$3,0.5)</f>
        <v>71</v>
      </c>
      <c r="F1902" s="124" t="s">
        <v>2943</v>
      </c>
      <c r="G1902" s="45">
        <f>ROUND((ROUNDDOWN($F1902/5,0)*5+1.8)/Basis!$E$3,1)</f>
        <v>4.5999999999999996</v>
      </c>
      <c r="H1902" s="120">
        <f>ROUND($P1902*Basis!$E$2*((TaH-TrH)/LN(1/µ)/Basis!$E$7)^$N1902*$AA$4*Glycol,0)</f>
        <v>4184</v>
      </c>
      <c r="I1902" s="83">
        <f>ROUND(H1902/(MID($C1902,9,3)/Basis!$E$3/Basis!$E$9)*Basis!$E$11,0)</f>
        <v>708</v>
      </c>
      <c r="J1902" s="123">
        <f>IF(Basis!$E$1=1,ROUND(H1902/((TaH-TrH)*1.163)/3600,3),ROUND(H1902/(500*(TaH-TrH)),2))</f>
        <v>0.42</v>
      </c>
      <c r="K1902" s="84"/>
      <c r="L1902" s="177">
        <f>CHOOSE(Basis!$E$1,((AJ1902*(J1902*3600/Basis!$E$5)^AK1902*(((MID(C1902,9,3)*10)-144)/1000)*AL1902+AM1902*(J1902*3600/Basis!$E$5)^2)*0.0098)/Basis!$E$10,((AJ1902*(J1902/Basis!$E$5)^AK1902*(((MID(C1902,9,3)*10)-144)/1000)*AL1902+AM1902*(J1902/Basis!$E$5)^2)*0.0098)/Basis!$E$10)</f>
        <v>2.2596533401072642E-2</v>
      </c>
      <c r="M1902" s="85"/>
      <c r="N1902" s="109">
        <v>1.385</v>
      </c>
      <c r="O1902" s="68"/>
      <c r="P1902" s="67">
        <v>1937</v>
      </c>
      <c r="Q1902" s="68"/>
      <c r="R1902" s="69"/>
      <c r="S1902" s="69"/>
      <c r="T1902" s="69"/>
      <c r="U1902" s="69"/>
      <c r="V1902" s="69"/>
      <c r="W1902" s="68"/>
      <c r="X1902" s="70"/>
      <c r="Y1902" s="70"/>
      <c r="Z1902" s="70"/>
      <c r="AA1902" s="70"/>
      <c r="AB1902" s="70"/>
      <c r="AC1902" s="68"/>
      <c r="AD1902" s="71"/>
      <c r="AE1902" s="71"/>
      <c r="AF1902" s="71"/>
      <c r="AG1902" s="71"/>
      <c r="AH1902" s="71"/>
      <c r="AI1902" s="68"/>
      <c r="AJ1902" s="214">
        <v>3.9689999999999994E-4</v>
      </c>
      <c r="AK1902" s="214">
        <v>1.7345999999999999</v>
      </c>
      <c r="AL1902" s="214">
        <v>2</v>
      </c>
      <c r="AM1902" s="214">
        <v>3.6734700000000002E-4</v>
      </c>
      <c r="AN1902" s="68"/>
      <c r="AO1902" s="67"/>
      <c r="AP1902" s="67"/>
      <c r="AQ1902" s="67"/>
      <c r="AR1902" s="67"/>
      <c r="AS1902" s="67"/>
      <c r="AT1902" s="68"/>
      <c r="AU1902" s="49"/>
      <c r="AV1902" s="50"/>
    </row>
    <row r="1903" spans="1:48" ht="12.75" customHeight="1" x14ac:dyDescent="0.25">
      <c r="A1903" s="72" t="s">
        <v>20</v>
      </c>
      <c r="B1903" s="43" t="s">
        <v>1833</v>
      </c>
      <c r="C1903" s="44" t="s">
        <v>2060</v>
      </c>
      <c r="D1903" s="45">
        <f>MROUND(MID($C1903,6,3)/Basis!$E$3,0.5)</f>
        <v>19.5</v>
      </c>
      <c r="E1903" s="45">
        <f>MROUND(MID($C1903,9,3)/Basis!$E$3,0.5)</f>
        <v>71</v>
      </c>
      <c r="F1903" s="124" t="s">
        <v>2946</v>
      </c>
      <c r="G1903" s="45">
        <f>ROUND((ROUNDDOWN($F1903/5,0)*5+1.8)/Basis!$E$3,1)</f>
        <v>4.5999999999999996</v>
      </c>
      <c r="H1903" s="120">
        <f>ROUND($P1903*Basis!$E$2*((TaH-TrH)/LN(1/µ)/Basis!$E$7)^$N1903*$AA$4*Glycol,0)</f>
        <v>5296</v>
      </c>
      <c r="I1903" s="83">
        <f>ROUND(H1903/(MID($C1903,9,3)/Basis!$E$3/Basis!$E$9)*Basis!$E$11,0)</f>
        <v>897</v>
      </c>
      <c r="J1903" s="123">
        <f>IF(Basis!$E$1=1,ROUND(H1903/((TaH-TrH)*1.163)/3600,3),ROUND(H1903/(500*(TaH-TrH)),2))</f>
        <v>0.53</v>
      </c>
      <c r="K1903" s="84"/>
      <c r="L1903" s="177">
        <f>CHOOSE(Basis!$E$1,((AJ1903*(J1903*3600/Basis!$E$5)^AK1903*(((MID(C1903,9,3)*10)-144)/1000)*AL1903+AM1903*(J1903*3600/Basis!$E$5)^2)*0.0098)/Basis!$E$10,((AJ1903*(J1903/Basis!$E$5)^AK1903*(((MID(C1903,9,3)*10)-144)/1000)*AL1903+AM1903*(J1903/Basis!$E$5)^2)*0.0098)/Basis!$E$10)</f>
        <v>6.2141088074176155E-2</v>
      </c>
      <c r="M1903" s="85"/>
      <c r="N1903" s="109">
        <v>1.4379999999999999</v>
      </c>
      <c r="O1903" s="68"/>
      <c r="P1903" s="67">
        <v>2495</v>
      </c>
      <c r="Q1903" s="68"/>
      <c r="R1903" s="69"/>
      <c r="S1903" s="69"/>
      <c r="T1903" s="69"/>
      <c r="U1903" s="69"/>
      <c r="V1903" s="69"/>
      <c r="W1903" s="68"/>
      <c r="X1903" s="70"/>
      <c r="Y1903" s="70"/>
      <c r="Z1903" s="70"/>
      <c r="AA1903" s="70"/>
      <c r="AB1903" s="70"/>
      <c r="AC1903" s="68"/>
      <c r="AD1903" s="71"/>
      <c r="AE1903" s="71"/>
      <c r="AF1903" s="71"/>
      <c r="AG1903" s="71"/>
      <c r="AH1903" s="71"/>
      <c r="AI1903" s="68"/>
      <c r="AJ1903" s="214">
        <v>3.9689999999999994E-4</v>
      </c>
      <c r="AK1903" s="214">
        <v>1.7345999999999999</v>
      </c>
      <c r="AL1903" s="214">
        <v>4</v>
      </c>
      <c r="AM1903" s="214">
        <v>5.7428799999999995E-4</v>
      </c>
      <c r="AN1903" s="68"/>
      <c r="AO1903" s="67"/>
      <c r="AP1903" s="67"/>
      <c r="AQ1903" s="67"/>
      <c r="AR1903" s="67"/>
      <c r="AS1903" s="67"/>
      <c r="AT1903" s="68"/>
      <c r="AU1903" s="49"/>
      <c r="AV1903" s="50"/>
    </row>
    <row r="1904" spans="1:48" ht="12.75" customHeight="1" x14ac:dyDescent="0.25">
      <c r="A1904" s="72" t="s">
        <v>20</v>
      </c>
      <c r="B1904" s="43" t="s">
        <v>1833</v>
      </c>
      <c r="C1904" s="44" t="s">
        <v>2061</v>
      </c>
      <c r="D1904" s="45">
        <f>MROUND(MID($C1904,6,3)/Basis!$E$3,0.5)</f>
        <v>19.5</v>
      </c>
      <c r="E1904" s="45">
        <f>MROUND(MID($C1904,9,3)/Basis!$E$3,0.5)</f>
        <v>71</v>
      </c>
      <c r="F1904" s="124" t="s">
        <v>2944</v>
      </c>
      <c r="G1904" s="45">
        <f>ROUND((ROUNDDOWN($F1904/5,0)*5+1.8)/Basis!$E$3,1)</f>
        <v>6.6</v>
      </c>
      <c r="H1904" s="120">
        <f>ROUND($P1904*Basis!$E$2*((TaH-TrH)/LN(1/µ)/Basis!$E$7)^$N1904*$AA$4*Glycol,0)</f>
        <v>6769</v>
      </c>
      <c r="I1904" s="83">
        <f>ROUND(H1904/(MID($C1904,9,3)/Basis!$E$3/Basis!$E$9)*Basis!$E$11,0)</f>
        <v>1146</v>
      </c>
      <c r="J1904" s="123">
        <f>IF(Basis!$E$1=1,ROUND(H1904/((TaH-TrH)*1.163)/3600,3),ROUND(H1904/(500*(TaH-TrH)),2))</f>
        <v>0.68</v>
      </c>
      <c r="K1904" s="84"/>
      <c r="L1904" s="177">
        <f>CHOOSE(Basis!$E$1,((AJ1904*(J1904*3600/Basis!$E$5)^AK1904*(((MID(C1904,9,3)*10)-144)/1000)*AL1904+AM1904*(J1904*3600/Basis!$E$5)^2)*0.0098)/Basis!$E$10,((AJ1904*(J1904/Basis!$E$5)^AK1904*(((MID(C1904,9,3)*10)-144)/1000)*AL1904+AM1904*(J1904/Basis!$E$5)^2)*0.0098)/Basis!$E$10)</f>
        <v>4.9408115967079523E-2</v>
      </c>
      <c r="M1904" s="85"/>
      <c r="N1904" s="109">
        <v>1.373</v>
      </c>
      <c r="O1904" s="68"/>
      <c r="P1904" s="67">
        <v>3121</v>
      </c>
      <c r="Q1904" s="68"/>
      <c r="R1904" s="69"/>
      <c r="S1904" s="69"/>
      <c r="T1904" s="69"/>
      <c r="U1904" s="69"/>
      <c r="V1904" s="69"/>
      <c r="W1904" s="68"/>
      <c r="X1904" s="70"/>
      <c r="Y1904" s="70"/>
      <c r="Z1904" s="70"/>
      <c r="AA1904" s="70"/>
      <c r="AB1904" s="70"/>
      <c r="AC1904" s="68"/>
      <c r="AD1904" s="71"/>
      <c r="AE1904" s="71"/>
      <c r="AF1904" s="71"/>
      <c r="AG1904" s="71"/>
      <c r="AH1904" s="71"/>
      <c r="AI1904" s="68"/>
      <c r="AJ1904" s="214">
        <v>2.0829999999999999E-4</v>
      </c>
      <c r="AK1904" s="214">
        <v>1.724</v>
      </c>
      <c r="AL1904" s="214">
        <v>2</v>
      </c>
      <c r="AM1904" s="214">
        <v>4.6182900000000003E-4</v>
      </c>
      <c r="AN1904" s="68"/>
      <c r="AO1904" s="67"/>
      <c r="AP1904" s="67"/>
      <c r="AQ1904" s="67"/>
      <c r="AR1904" s="67"/>
      <c r="AS1904" s="67"/>
      <c r="AT1904" s="68"/>
      <c r="AU1904" s="49"/>
      <c r="AV1904" s="50"/>
    </row>
    <row r="1905" spans="1:48" ht="12.75" customHeight="1" x14ac:dyDescent="0.25">
      <c r="A1905" s="72" t="s">
        <v>20</v>
      </c>
      <c r="B1905" s="43" t="s">
        <v>1833</v>
      </c>
      <c r="C1905" s="44" t="s">
        <v>2062</v>
      </c>
      <c r="D1905" s="45">
        <f>MROUND(MID($C1905,6,3)/Basis!$E$3,0.5)</f>
        <v>19.5</v>
      </c>
      <c r="E1905" s="45">
        <f>MROUND(MID($C1905,9,3)/Basis!$E$3,0.5)</f>
        <v>71</v>
      </c>
      <c r="F1905" s="124" t="s">
        <v>2947</v>
      </c>
      <c r="G1905" s="45">
        <f>ROUND((ROUNDDOWN($F1905/5,0)*5+1.8)/Basis!$E$3,1)</f>
        <v>6.6</v>
      </c>
      <c r="H1905" s="120">
        <f>ROUND($P1905*Basis!$E$2*((TaH-TrH)/LN(1/µ)/Basis!$E$7)^$N1905*$AA$4*Glycol,0)</f>
        <v>7190</v>
      </c>
      <c r="I1905" s="83">
        <f>ROUND(H1905/(MID($C1905,9,3)/Basis!$E$3/Basis!$E$9)*Basis!$E$11,0)</f>
        <v>1218</v>
      </c>
      <c r="J1905" s="123">
        <f>IF(Basis!$E$1=1,ROUND(H1905/((TaH-TrH)*1.163)/3600,3),ROUND(H1905/(500*(TaH-TrH)),2))</f>
        <v>0.72</v>
      </c>
      <c r="K1905" s="84"/>
      <c r="L1905" s="177">
        <f>CHOOSE(Basis!$E$1,((AJ1905*(J1905*3600/Basis!$E$5)^AK1905*(((MID(C1905,9,3)*10)-144)/1000)*AL1905+AM1905*(J1905*3600/Basis!$E$5)^2)*0.0098)/Basis!$E$10,((AJ1905*(J1905/Basis!$E$5)^AK1905*(((MID(C1905,9,3)*10)-144)/1000)*AL1905+AM1905*(J1905/Basis!$E$5)^2)*0.0098)/Basis!$E$10)</f>
        <v>0.15133446693227892</v>
      </c>
      <c r="M1905" s="85"/>
      <c r="N1905" s="109">
        <v>1.464</v>
      </c>
      <c r="O1905" s="68"/>
      <c r="P1905" s="67">
        <v>3416</v>
      </c>
      <c r="Q1905" s="68"/>
      <c r="R1905" s="69"/>
      <c r="S1905" s="69"/>
      <c r="T1905" s="69"/>
      <c r="U1905" s="69"/>
      <c r="V1905" s="69"/>
      <c r="W1905" s="68"/>
      <c r="X1905" s="70"/>
      <c r="Y1905" s="70"/>
      <c r="Z1905" s="70"/>
      <c r="AA1905" s="70"/>
      <c r="AB1905" s="70"/>
      <c r="AC1905" s="68"/>
      <c r="AD1905" s="71"/>
      <c r="AE1905" s="71"/>
      <c r="AF1905" s="71"/>
      <c r="AG1905" s="71"/>
      <c r="AH1905" s="71"/>
      <c r="AI1905" s="68"/>
      <c r="AJ1905" s="214">
        <v>2.0829999999999999E-4</v>
      </c>
      <c r="AK1905" s="214">
        <v>1.724</v>
      </c>
      <c r="AL1905" s="214">
        <v>4</v>
      </c>
      <c r="AM1905" s="214">
        <v>1.392796E-3</v>
      </c>
      <c r="AN1905" s="68"/>
      <c r="AO1905" s="67"/>
      <c r="AP1905" s="67"/>
      <c r="AQ1905" s="67"/>
      <c r="AR1905" s="67"/>
      <c r="AS1905" s="67"/>
      <c r="AT1905" s="68"/>
      <c r="AU1905" s="49"/>
      <c r="AV1905" s="50"/>
    </row>
    <row r="1906" spans="1:48" ht="12.75" customHeight="1" x14ac:dyDescent="0.25">
      <c r="A1906" s="72" t="s">
        <v>20</v>
      </c>
      <c r="B1906" s="43" t="s">
        <v>1833</v>
      </c>
      <c r="C1906" s="44" t="s">
        <v>2063</v>
      </c>
      <c r="D1906" s="45">
        <f>MROUND(MID($C1906,6,3)/Basis!$E$3,0.5)</f>
        <v>19.5</v>
      </c>
      <c r="E1906" s="45">
        <f>MROUND(MID($C1906,9,3)/Basis!$E$3,0.5)</f>
        <v>71</v>
      </c>
      <c r="F1906" s="124" t="s">
        <v>2945</v>
      </c>
      <c r="G1906" s="45">
        <f>ROUND((ROUNDDOWN($F1906/5,0)*5+1.8)/Basis!$E$3,1)</f>
        <v>8.6</v>
      </c>
      <c r="H1906" s="120">
        <f>ROUND($P1906*Basis!$E$2*((TaH-TrH)/LN(1/µ)/Basis!$E$7)^$N1906*$AA$4*Glycol,0)</f>
        <v>9467</v>
      </c>
      <c r="I1906" s="83">
        <f>ROUND(H1906/(MID($C1906,9,3)/Basis!$E$3/Basis!$E$9)*Basis!$E$11,0)</f>
        <v>1603</v>
      </c>
      <c r="J1906" s="123">
        <f>IF(Basis!$E$1=1,ROUND(H1906/((TaH-TrH)*1.163)/3600,3),ROUND(H1906/(500*(TaH-TrH)),2))</f>
        <v>0.95</v>
      </c>
      <c r="K1906" s="84"/>
      <c r="L1906" s="177">
        <f>CHOOSE(Basis!$E$1,((AJ1906*(J1906*3600/Basis!$E$5)^AK1906*(((MID(C1906,9,3)*10)-144)/1000)*AL1906+AM1906*(J1906*3600/Basis!$E$5)^2)*0.0098)/Basis!$E$10,((AJ1906*(J1906/Basis!$E$5)^AK1906*(((MID(C1906,9,3)*10)-144)/1000)*AL1906+AM1906*(J1906/Basis!$E$5)^2)*0.0098)/Basis!$E$10)</f>
        <v>7.176220730168556E-2</v>
      </c>
      <c r="M1906" s="85"/>
      <c r="N1906" s="109">
        <v>1.373</v>
      </c>
      <c r="O1906" s="68"/>
      <c r="P1906" s="67">
        <v>4365</v>
      </c>
      <c r="Q1906" s="68"/>
      <c r="R1906" s="69"/>
      <c r="S1906" s="69"/>
      <c r="T1906" s="69"/>
      <c r="U1906" s="69"/>
      <c r="V1906" s="69"/>
      <c r="W1906" s="68"/>
      <c r="X1906" s="70"/>
      <c r="Y1906" s="70"/>
      <c r="Z1906" s="70"/>
      <c r="AA1906" s="70"/>
      <c r="AB1906" s="70"/>
      <c r="AC1906" s="68"/>
      <c r="AD1906" s="71"/>
      <c r="AE1906" s="71"/>
      <c r="AF1906" s="71"/>
      <c r="AG1906" s="71"/>
      <c r="AH1906" s="71"/>
      <c r="AI1906" s="68"/>
      <c r="AJ1906" s="214">
        <v>1.2760000000000001E-4</v>
      </c>
      <c r="AK1906" s="214">
        <v>1.7219</v>
      </c>
      <c r="AL1906" s="214">
        <v>2</v>
      </c>
      <c r="AM1906" s="214">
        <v>3.76611E-4</v>
      </c>
      <c r="AN1906" s="68"/>
      <c r="AO1906" s="67"/>
      <c r="AP1906" s="67"/>
      <c r="AQ1906" s="67"/>
      <c r="AR1906" s="67"/>
      <c r="AS1906" s="67"/>
      <c r="AT1906" s="68"/>
      <c r="AU1906" s="49"/>
      <c r="AV1906" s="50"/>
    </row>
    <row r="1907" spans="1:48" ht="12.75" customHeight="1" x14ac:dyDescent="0.25">
      <c r="A1907" s="72" t="s">
        <v>20</v>
      </c>
      <c r="B1907" s="43" t="s">
        <v>1833</v>
      </c>
      <c r="C1907" s="44" t="s">
        <v>2064</v>
      </c>
      <c r="D1907" s="45">
        <f>MROUND(MID($C1907,6,3)/Basis!$E$3,0.5)</f>
        <v>19.5</v>
      </c>
      <c r="E1907" s="45">
        <f>MROUND(MID($C1907,9,3)/Basis!$E$3,0.5)</f>
        <v>71</v>
      </c>
      <c r="F1907" s="124" t="s">
        <v>2948</v>
      </c>
      <c r="G1907" s="45">
        <f>ROUND((ROUNDDOWN($F1907/5,0)*5+1.8)/Basis!$E$3,1)</f>
        <v>8.6</v>
      </c>
      <c r="H1907" s="120">
        <f>ROUND($P1907*Basis!$E$2*((TaH-TrH)/LN(1/µ)/Basis!$E$7)^$N1907*$AA$4*Glycol,0)</f>
        <v>9715</v>
      </c>
      <c r="I1907" s="83">
        <f>ROUND(H1907/(MID($C1907,9,3)/Basis!$E$3/Basis!$E$9)*Basis!$E$11,0)</f>
        <v>1645</v>
      </c>
      <c r="J1907" s="123">
        <f>IF(Basis!$E$1=1,ROUND(H1907/((TaH-TrH)*1.163)/3600,3),ROUND(H1907/(500*(TaH-TrH)),2))</f>
        <v>0.97</v>
      </c>
      <c r="K1907" s="84"/>
      <c r="L1907" s="177">
        <f>CHOOSE(Basis!$E$1,((AJ1907*(J1907*3600/Basis!$E$5)^AK1907*(((MID(C1907,9,3)*10)-144)/1000)*AL1907+AM1907*(J1907*3600/Basis!$E$5)^2)*0.0098)/Basis!$E$10,((AJ1907*(J1907/Basis!$E$5)^AK1907*(((MID(C1907,9,3)*10)-144)/1000)*AL1907+AM1907*(J1907/Basis!$E$5)^2)*0.0098)/Basis!$E$10)</f>
        <v>0.11152427718998699</v>
      </c>
      <c r="M1907" s="85"/>
      <c r="N1907" s="109">
        <v>1.4850000000000001</v>
      </c>
      <c r="O1907" s="68"/>
      <c r="P1907" s="67">
        <v>4648</v>
      </c>
      <c r="Q1907" s="68"/>
      <c r="R1907" s="69"/>
      <c r="S1907" s="69"/>
      <c r="T1907" s="69"/>
      <c r="U1907" s="69"/>
      <c r="V1907" s="69"/>
      <c r="W1907" s="68"/>
      <c r="X1907" s="70"/>
      <c r="Y1907" s="70"/>
      <c r="Z1907" s="70"/>
      <c r="AA1907" s="70"/>
      <c r="AB1907" s="70"/>
      <c r="AC1907" s="68"/>
      <c r="AD1907" s="71"/>
      <c r="AE1907" s="71"/>
      <c r="AF1907" s="71"/>
      <c r="AG1907" s="71"/>
      <c r="AH1907" s="71"/>
      <c r="AI1907" s="68"/>
      <c r="AJ1907" s="214">
        <v>1.2760000000000001E-4</v>
      </c>
      <c r="AK1907" s="214">
        <v>1.7219</v>
      </c>
      <c r="AL1907" s="214">
        <v>4</v>
      </c>
      <c r="AM1907" s="214">
        <v>5.1420100000000005E-4</v>
      </c>
      <c r="AN1907" s="68"/>
      <c r="AO1907" s="67"/>
      <c r="AP1907" s="67"/>
      <c r="AQ1907" s="67"/>
      <c r="AR1907" s="67"/>
      <c r="AS1907" s="67"/>
      <c r="AT1907" s="68"/>
      <c r="AU1907" s="49"/>
      <c r="AV1907" s="50"/>
    </row>
    <row r="1908" spans="1:48" ht="12.75" customHeight="1" x14ac:dyDescent="0.25">
      <c r="A1908" s="72" t="s">
        <v>20</v>
      </c>
      <c r="B1908" s="43" t="s">
        <v>1833</v>
      </c>
      <c r="C1908" s="44" t="s">
        <v>2065</v>
      </c>
      <c r="D1908" s="45">
        <f>MROUND(MID($C1908,6,3)/Basis!$E$3,0.5)</f>
        <v>19.5</v>
      </c>
      <c r="E1908" s="45">
        <f>MROUND(MID($C1908,9,3)/Basis!$E$3,0.5)</f>
        <v>78.5</v>
      </c>
      <c r="F1908" s="124" t="s">
        <v>2949</v>
      </c>
      <c r="G1908" s="45">
        <f>ROUND((ROUNDDOWN($F1908/5,0)*5+3.5)/Basis!$E$3,1)</f>
        <v>3.3</v>
      </c>
      <c r="H1908" s="120">
        <f>ROUND($P1908*Basis!$E$2*((TaH-TrH)/LN(1/µ)/Basis!$E$7)^$N1908*$AA$4*Glycol,0)</f>
        <v>4109</v>
      </c>
      <c r="I1908" s="83">
        <f>ROUND(H1908/(MID($C1908,9,3)/Basis!$E$3/Basis!$E$9)*Basis!$E$11,0)</f>
        <v>626</v>
      </c>
      <c r="J1908" s="123">
        <f>IF(Basis!$E$1=1,ROUND(H1908/((TaH-TrH)*1.163)/3600,3),ROUND(H1908/(500*(TaH-TrH)),2))</f>
        <v>0.41</v>
      </c>
      <c r="K1908" s="84"/>
      <c r="L1908" s="177">
        <f>CHOOSE(Basis!$E$1,((AJ1908*(J1908*3600/Basis!$E$5)^AK1908*(((MID(C1908,9,3)*10)-144)/1000)*AL1908+AM1908*(J1908*3600/Basis!$E$5)^2)*0.0098)/Basis!$E$10,((AJ1908*(J1908/Basis!$E$5)^AK1908*(((MID(C1908,9,3)*10)-144)/1000)*AL1908+AM1908*(J1908/Basis!$E$5)^2)*0.0098)/Basis!$E$10)</f>
        <v>0.10521673806164708</v>
      </c>
      <c r="M1908" s="85"/>
      <c r="N1908" s="109">
        <v>1.3720000000000001</v>
      </c>
      <c r="O1908" s="68"/>
      <c r="P1908" s="67">
        <v>1894</v>
      </c>
      <c r="Q1908" s="68"/>
      <c r="R1908" s="69"/>
      <c r="S1908" s="69"/>
      <c r="T1908" s="69"/>
      <c r="U1908" s="69"/>
      <c r="V1908" s="69"/>
      <c r="W1908" s="68"/>
      <c r="X1908" s="70"/>
      <c r="Y1908" s="70"/>
      <c r="Z1908" s="70"/>
      <c r="AA1908" s="70"/>
      <c r="AB1908" s="70"/>
      <c r="AC1908" s="68"/>
      <c r="AD1908" s="71"/>
      <c r="AE1908" s="71"/>
      <c r="AF1908" s="71"/>
      <c r="AG1908" s="71"/>
      <c r="AH1908" s="71"/>
      <c r="AI1908" s="68"/>
      <c r="AJ1908" s="214">
        <v>1.6125983042710999E-4</v>
      </c>
      <c r="AK1908" s="214">
        <v>2.1458504622376</v>
      </c>
      <c r="AL1908" s="214">
        <v>4</v>
      </c>
      <c r="AM1908" s="214">
        <v>1.3916423712342001E-3</v>
      </c>
      <c r="AN1908" s="68"/>
      <c r="AO1908" s="67"/>
      <c r="AP1908" s="67"/>
      <c r="AQ1908" s="67"/>
      <c r="AR1908" s="67"/>
      <c r="AS1908" s="67"/>
      <c r="AT1908" s="68"/>
      <c r="AU1908" s="49"/>
      <c r="AV1908" s="50"/>
    </row>
    <row r="1909" spans="1:48" ht="12.75" customHeight="1" x14ac:dyDescent="0.25">
      <c r="A1909" s="72" t="s">
        <v>20</v>
      </c>
      <c r="B1909" s="43" t="s">
        <v>1833</v>
      </c>
      <c r="C1909" s="44" t="s">
        <v>2066</v>
      </c>
      <c r="D1909" s="45">
        <f>MROUND(MID($C1909,6,3)/Basis!$E$3,0.5)</f>
        <v>19.5</v>
      </c>
      <c r="E1909" s="45">
        <f>MROUND(MID($C1909,9,3)/Basis!$E$3,0.5)</f>
        <v>78.5</v>
      </c>
      <c r="F1909" s="124" t="s">
        <v>2943</v>
      </c>
      <c r="G1909" s="45">
        <f>ROUND((ROUNDDOWN($F1909/5,0)*5+1.8)/Basis!$E$3,1)</f>
        <v>4.5999999999999996</v>
      </c>
      <c r="H1909" s="120">
        <f>ROUND($P1909*Basis!$E$2*((TaH-TrH)/LN(1/µ)/Basis!$E$7)^$N1909*$AA$4*Glycol,0)</f>
        <v>4649</v>
      </c>
      <c r="I1909" s="83">
        <f>ROUND(H1909/(MID($C1909,9,3)/Basis!$E$3/Basis!$E$9)*Basis!$E$11,0)</f>
        <v>709</v>
      </c>
      <c r="J1909" s="123">
        <f>IF(Basis!$E$1=1,ROUND(H1909/((TaH-TrH)*1.163)/3600,3),ROUND(H1909/(500*(TaH-TrH)),2))</f>
        <v>0.46</v>
      </c>
      <c r="K1909" s="84"/>
      <c r="L1909" s="177">
        <f>CHOOSE(Basis!$E$1,((AJ1909*(J1909*3600/Basis!$E$5)^AK1909*(((MID(C1909,9,3)*10)-144)/1000)*AL1909+AM1909*(J1909*3600/Basis!$E$5)^2)*0.0098)/Basis!$E$10,((AJ1909*(J1909/Basis!$E$5)^AK1909*(((MID(C1909,9,3)*10)-144)/1000)*AL1909+AM1909*(J1909/Basis!$E$5)^2)*0.0098)/Basis!$E$10)</f>
        <v>2.8421620075424408E-2</v>
      </c>
      <c r="M1909" s="85"/>
      <c r="N1909" s="110">
        <v>1.385</v>
      </c>
      <c r="O1909" s="74"/>
      <c r="P1909" s="73">
        <v>2152</v>
      </c>
      <c r="Q1909" s="74"/>
      <c r="R1909" s="75"/>
      <c r="S1909" s="75"/>
      <c r="T1909" s="75"/>
      <c r="U1909" s="75"/>
      <c r="V1909" s="75"/>
      <c r="W1909" s="74"/>
      <c r="X1909" s="76"/>
      <c r="Y1909" s="76"/>
      <c r="Z1909" s="76"/>
      <c r="AA1909" s="76"/>
      <c r="AB1909" s="76"/>
      <c r="AC1909" s="74"/>
      <c r="AD1909" s="77"/>
      <c r="AE1909" s="77"/>
      <c r="AF1909" s="77"/>
      <c r="AG1909" s="77"/>
      <c r="AH1909" s="77"/>
      <c r="AI1909" s="68"/>
      <c r="AJ1909" s="213">
        <v>3.9689999999999994E-4</v>
      </c>
      <c r="AK1909" s="213">
        <v>1.7345999999999999</v>
      </c>
      <c r="AL1909" s="213">
        <v>2</v>
      </c>
      <c r="AM1909" s="213">
        <v>3.6734700000000002E-4</v>
      </c>
      <c r="AN1909" s="74"/>
      <c r="AO1909" s="73"/>
      <c r="AP1909" s="73"/>
      <c r="AQ1909" s="73"/>
      <c r="AR1909" s="73"/>
      <c r="AS1909" s="73"/>
      <c r="AT1909" s="74"/>
      <c r="AU1909" s="47"/>
      <c r="AV1909" s="48"/>
    </row>
    <row r="1910" spans="1:48" ht="12.75" customHeight="1" x14ac:dyDescent="0.25">
      <c r="A1910" s="72" t="s">
        <v>20</v>
      </c>
      <c r="B1910" s="43" t="s">
        <v>1833</v>
      </c>
      <c r="C1910" s="44" t="s">
        <v>2067</v>
      </c>
      <c r="D1910" s="45">
        <f>MROUND(MID($C1910,6,3)/Basis!$E$3,0.5)</f>
        <v>19.5</v>
      </c>
      <c r="E1910" s="45">
        <f>MROUND(MID($C1910,9,3)/Basis!$E$3,0.5)</f>
        <v>78.5</v>
      </c>
      <c r="F1910" s="124" t="s">
        <v>2946</v>
      </c>
      <c r="G1910" s="45">
        <f>ROUND((ROUNDDOWN($F1910/5,0)*5+1.8)/Basis!$E$3,1)</f>
        <v>4.5999999999999996</v>
      </c>
      <c r="H1910" s="120">
        <f>ROUND($P1910*Basis!$E$2*((TaH-TrH)/LN(1/µ)/Basis!$E$7)^$N1910*$AA$4*Glycol,0)</f>
        <v>5884</v>
      </c>
      <c r="I1910" s="83">
        <f>ROUND(H1910/(MID($C1910,9,3)/Basis!$E$3/Basis!$E$9)*Basis!$E$11,0)</f>
        <v>897</v>
      </c>
      <c r="J1910" s="123">
        <f>IF(Basis!$E$1=1,ROUND(H1910/((TaH-TrH)*1.163)/3600,3),ROUND(H1910/(500*(TaH-TrH)),2))</f>
        <v>0.59</v>
      </c>
      <c r="K1910" s="84"/>
      <c r="L1910" s="177">
        <f>CHOOSE(Basis!$E$1,((AJ1910*(J1910*3600/Basis!$E$5)^AK1910*(((MID(C1910,9,3)*10)-144)/1000)*AL1910+AM1910*(J1910*3600/Basis!$E$5)^2)*0.0098)/Basis!$E$10,((AJ1910*(J1910/Basis!$E$5)^AK1910*(((MID(C1910,9,3)*10)-144)/1000)*AL1910+AM1910*(J1910/Basis!$E$5)^2)*0.0098)/Basis!$E$10)</f>
        <v>8.087377759912287E-2</v>
      </c>
      <c r="M1910" s="85"/>
      <c r="N1910" s="110">
        <v>1.4379999999999999</v>
      </c>
      <c r="O1910" s="74"/>
      <c r="P1910" s="73">
        <v>2772</v>
      </c>
      <c r="Q1910" s="74"/>
      <c r="R1910" s="75"/>
      <c r="S1910" s="75"/>
      <c r="T1910" s="75"/>
      <c r="U1910" s="75"/>
      <c r="V1910" s="75"/>
      <c r="W1910" s="74"/>
      <c r="X1910" s="76"/>
      <c r="Y1910" s="76"/>
      <c r="Z1910" s="76"/>
      <c r="AA1910" s="76"/>
      <c r="AB1910" s="76"/>
      <c r="AC1910" s="74"/>
      <c r="AD1910" s="77"/>
      <c r="AE1910" s="77"/>
      <c r="AF1910" s="77"/>
      <c r="AG1910" s="77"/>
      <c r="AH1910" s="77"/>
      <c r="AI1910" s="68"/>
      <c r="AJ1910" s="213">
        <v>3.9689999999999994E-4</v>
      </c>
      <c r="AK1910" s="213">
        <v>1.7345999999999999</v>
      </c>
      <c r="AL1910" s="213">
        <v>4</v>
      </c>
      <c r="AM1910" s="213">
        <v>5.7428799999999995E-4</v>
      </c>
      <c r="AN1910" s="74"/>
      <c r="AO1910" s="73"/>
      <c r="AP1910" s="73"/>
      <c r="AQ1910" s="73"/>
      <c r="AR1910" s="73"/>
      <c r="AS1910" s="73"/>
      <c r="AT1910" s="74"/>
      <c r="AU1910" s="47"/>
      <c r="AV1910" s="48"/>
    </row>
    <row r="1911" spans="1:48" ht="12.75" customHeight="1" x14ac:dyDescent="0.25">
      <c r="A1911" s="72" t="s">
        <v>20</v>
      </c>
      <c r="B1911" s="43" t="s">
        <v>1833</v>
      </c>
      <c r="C1911" s="44" t="s">
        <v>2068</v>
      </c>
      <c r="D1911" s="45">
        <f>MROUND(MID($C1911,6,3)/Basis!$E$3,0.5)</f>
        <v>19.5</v>
      </c>
      <c r="E1911" s="45">
        <f>MROUND(MID($C1911,9,3)/Basis!$E$3,0.5)</f>
        <v>78.5</v>
      </c>
      <c r="F1911" s="124" t="s">
        <v>2944</v>
      </c>
      <c r="G1911" s="45">
        <f>ROUND((ROUNDDOWN($F1911/5,0)*5+1.8)/Basis!$E$3,1)</f>
        <v>6.6</v>
      </c>
      <c r="H1911" s="120">
        <f>ROUND($P1911*Basis!$E$2*((TaH-TrH)/LN(1/µ)/Basis!$E$7)^$N1911*$AA$4*Glycol,0)</f>
        <v>7521</v>
      </c>
      <c r="I1911" s="83">
        <f>ROUND(H1911/(MID($C1911,9,3)/Basis!$E$3/Basis!$E$9)*Basis!$E$11,0)</f>
        <v>1146</v>
      </c>
      <c r="J1911" s="123">
        <f>IF(Basis!$E$1=1,ROUND(H1911/((TaH-TrH)*1.163)/3600,3),ROUND(H1911/(500*(TaH-TrH)),2))</f>
        <v>0.75</v>
      </c>
      <c r="K1911" s="84"/>
      <c r="L1911" s="177">
        <f>CHOOSE(Basis!$E$1,((AJ1911*(J1911*3600/Basis!$E$5)^AK1911*(((MID(C1911,9,3)*10)-144)/1000)*AL1911+AM1911*(J1911*3600/Basis!$E$5)^2)*0.0098)/Basis!$E$10,((AJ1911*(J1911/Basis!$E$5)^AK1911*(((MID(C1911,9,3)*10)-144)/1000)*AL1911+AM1911*(J1911/Basis!$E$5)^2)*0.0098)/Basis!$E$10)</f>
        <v>6.1583958819513666E-2</v>
      </c>
      <c r="M1911" s="85"/>
      <c r="N1911" s="110">
        <v>1.373</v>
      </c>
      <c r="O1911" s="74"/>
      <c r="P1911" s="73">
        <v>3468</v>
      </c>
      <c r="Q1911" s="74"/>
      <c r="R1911" s="75"/>
      <c r="S1911" s="75"/>
      <c r="T1911" s="75"/>
      <c r="U1911" s="75"/>
      <c r="V1911" s="75"/>
      <c r="W1911" s="74"/>
      <c r="X1911" s="76"/>
      <c r="Y1911" s="76"/>
      <c r="Z1911" s="76"/>
      <c r="AA1911" s="76"/>
      <c r="AB1911" s="76"/>
      <c r="AC1911" s="74"/>
      <c r="AD1911" s="77"/>
      <c r="AE1911" s="77"/>
      <c r="AF1911" s="77"/>
      <c r="AG1911" s="77"/>
      <c r="AH1911" s="77"/>
      <c r="AI1911" s="68"/>
      <c r="AJ1911" s="213">
        <v>2.0829999999999999E-4</v>
      </c>
      <c r="AK1911" s="213">
        <v>1.724</v>
      </c>
      <c r="AL1911" s="213">
        <v>2</v>
      </c>
      <c r="AM1911" s="213">
        <v>4.6182900000000003E-4</v>
      </c>
      <c r="AN1911" s="74"/>
      <c r="AO1911" s="73"/>
      <c r="AP1911" s="73"/>
      <c r="AQ1911" s="73"/>
      <c r="AR1911" s="73"/>
      <c r="AS1911" s="73"/>
      <c r="AT1911" s="74"/>
      <c r="AU1911" s="47"/>
      <c r="AV1911" s="48"/>
    </row>
    <row r="1912" spans="1:48" ht="12.75" customHeight="1" x14ac:dyDescent="0.25">
      <c r="A1912" s="72" t="s">
        <v>20</v>
      </c>
      <c r="B1912" s="43" t="s">
        <v>1833</v>
      </c>
      <c r="C1912" s="44" t="s">
        <v>2069</v>
      </c>
      <c r="D1912" s="45">
        <f>MROUND(MID($C1912,6,3)/Basis!$E$3,0.5)</f>
        <v>19.5</v>
      </c>
      <c r="E1912" s="45">
        <f>MROUND(MID($C1912,9,3)/Basis!$E$3,0.5)</f>
        <v>78.5</v>
      </c>
      <c r="F1912" s="124" t="s">
        <v>2947</v>
      </c>
      <c r="G1912" s="45">
        <f>ROUND((ROUNDDOWN($F1912/5,0)*5+1.8)/Basis!$E$3,1)</f>
        <v>6.6</v>
      </c>
      <c r="H1912" s="120">
        <f>ROUND($P1912*Basis!$E$2*((TaH-TrH)/LN(1/µ)/Basis!$E$7)^$N1912*$AA$4*Glycol,0)</f>
        <v>7989</v>
      </c>
      <c r="I1912" s="83">
        <f>ROUND(H1912/(MID($C1912,9,3)/Basis!$E$3/Basis!$E$9)*Basis!$E$11,0)</f>
        <v>1218</v>
      </c>
      <c r="J1912" s="123">
        <f>IF(Basis!$E$1=1,ROUND(H1912/((TaH-TrH)*1.163)/3600,3),ROUND(H1912/(500*(TaH-TrH)),2))</f>
        <v>0.8</v>
      </c>
      <c r="K1912" s="84"/>
      <c r="L1912" s="177">
        <f>CHOOSE(Basis!$E$1,((AJ1912*(J1912*3600/Basis!$E$5)^AK1912*(((MID(C1912,9,3)*10)-144)/1000)*AL1912+AM1912*(J1912*3600/Basis!$E$5)^2)*0.0098)/Basis!$E$10,((AJ1912*(J1912/Basis!$E$5)^AK1912*(((MID(C1912,9,3)*10)-144)/1000)*AL1912+AM1912*(J1912/Basis!$E$5)^2)*0.0098)/Basis!$E$10)</f>
        <v>0.19006682968623015</v>
      </c>
      <c r="M1912" s="85"/>
      <c r="N1912" s="110">
        <v>1.464</v>
      </c>
      <c r="O1912" s="74"/>
      <c r="P1912" s="73">
        <v>3796</v>
      </c>
      <c r="Q1912" s="74"/>
      <c r="R1912" s="75"/>
      <c r="S1912" s="75"/>
      <c r="T1912" s="75"/>
      <c r="U1912" s="75"/>
      <c r="V1912" s="75"/>
      <c r="W1912" s="74"/>
      <c r="X1912" s="76"/>
      <c r="Y1912" s="76"/>
      <c r="Z1912" s="76"/>
      <c r="AA1912" s="76"/>
      <c r="AB1912" s="76"/>
      <c r="AC1912" s="74"/>
      <c r="AD1912" s="77"/>
      <c r="AE1912" s="77"/>
      <c r="AF1912" s="77"/>
      <c r="AG1912" s="77"/>
      <c r="AH1912" s="77"/>
      <c r="AI1912" s="68"/>
      <c r="AJ1912" s="213">
        <v>2.0829999999999999E-4</v>
      </c>
      <c r="AK1912" s="213">
        <v>1.724</v>
      </c>
      <c r="AL1912" s="213">
        <v>4</v>
      </c>
      <c r="AM1912" s="213">
        <v>1.392796E-3</v>
      </c>
      <c r="AN1912" s="74"/>
      <c r="AO1912" s="73"/>
      <c r="AP1912" s="73"/>
      <c r="AQ1912" s="73"/>
      <c r="AR1912" s="73"/>
      <c r="AS1912" s="73"/>
      <c r="AT1912" s="74"/>
      <c r="AU1912" s="47"/>
      <c r="AV1912" s="48"/>
    </row>
    <row r="1913" spans="1:48" ht="12.75" customHeight="1" x14ac:dyDescent="0.25">
      <c r="A1913" s="72" t="s">
        <v>20</v>
      </c>
      <c r="B1913" s="43" t="s">
        <v>1833</v>
      </c>
      <c r="C1913" s="44" t="s">
        <v>2070</v>
      </c>
      <c r="D1913" s="45">
        <f>MROUND(MID($C1913,6,3)/Basis!$E$3,0.5)</f>
        <v>19.5</v>
      </c>
      <c r="E1913" s="45">
        <f>MROUND(MID($C1913,9,3)/Basis!$E$3,0.5)</f>
        <v>78.5</v>
      </c>
      <c r="F1913" s="124" t="s">
        <v>2945</v>
      </c>
      <c r="G1913" s="45">
        <f>ROUND((ROUNDDOWN($F1913/5,0)*5+1.8)/Basis!$E$3,1)</f>
        <v>8.6</v>
      </c>
      <c r="H1913" s="120">
        <f>ROUND($P1913*Basis!$E$2*((TaH-TrH)/LN(1/µ)/Basis!$E$7)^$N1913*$AA$4*Glycol,0)</f>
        <v>10519</v>
      </c>
      <c r="I1913" s="83">
        <f>ROUND(H1913/(MID($C1913,9,3)/Basis!$E$3/Basis!$E$9)*Basis!$E$11,0)</f>
        <v>1603</v>
      </c>
      <c r="J1913" s="123">
        <f>IF(Basis!$E$1=1,ROUND(H1913/((TaH-TrH)*1.163)/3600,3),ROUND(H1913/(500*(TaH-TrH)),2))</f>
        <v>1.05</v>
      </c>
      <c r="K1913" s="84"/>
      <c r="L1913" s="177">
        <f>CHOOSE(Basis!$E$1,((AJ1913*(J1913*3600/Basis!$E$5)^AK1913*(((MID(C1913,9,3)*10)-144)/1000)*AL1913+AM1913*(J1913*3600/Basis!$E$5)^2)*0.0098)/Basis!$E$10,((AJ1913*(J1913/Basis!$E$5)^AK1913*(((MID(C1913,9,3)*10)-144)/1000)*AL1913+AM1913*(J1913/Basis!$E$5)^2)*0.0098)/Basis!$E$10)</f>
        <v>8.9252134968730135E-2</v>
      </c>
      <c r="M1913" s="85"/>
      <c r="N1913" s="110">
        <v>1.373</v>
      </c>
      <c r="O1913" s="74"/>
      <c r="P1913" s="73">
        <v>4850</v>
      </c>
      <c r="Q1913" s="74"/>
      <c r="R1913" s="75"/>
      <c r="S1913" s="75"/>
      <c r="T1913" s="75"/>
      <c r="U1913" s="75"/>
      <c r="V1913" s="75"/>
      <c r="W1913" s="74"/>
      <c r="X1913" s="76"/>
      <c r="Y1913" s="76"/>
      <c r="Z1913" s="76"/>
      <c r="AA1913" s="76"/>
      <c r="AB1913" s="76"/>
      <c r="AC1913" s="74"/>
      <c r="AD1913" s="77"/>
      <c r="AE1913" s="77"/>
      <c r="AF1913" s="77"/>
      <c r="AG1913" s="77"/>
      <c r="AH1913" s="77"/>
      <c r="AI1913" s="68"/>
      <c r="AJ1913" s="214">
        <v>1.2760000000000001E-4</v>
      </c>
      <c r="AK1913" s="214">
        <v>1.7219</v>
      </c>
      <c r="AL1913" s="214">
        <v>2</v>
      </c>
      <c r="AM1913" s="214">
        <v>3.76611E-4</v>
      </c>
      <c r="AN1913" s="74"/>
      <c r="AO1913" s="73"/>
      <c r="AP1913" s="73"/>
      <c r="AQ1913" s="73"/>
      <c r="AR1913" s="73"/>
      <c r="AS1913" s="73"/>
      <c r="AT1913" s="74"/>
      <c r="AU1913" s="47"/>
      <c r="AV1913" s="48"/>
    </row>
    <row r="1914" spans="1:48" ht="12.75" customHeight="1" x14ac:dyDescent="0.25">
      <c r="A1914" s="72" t="s">
        <v>20</v>
      </c>
      <c r="B1914" s="43" t="s">
        <v>1833</v>
      </c>
      <c r="C1914" s="44" t="s">
        <v>2071</v>
      </c>
      <c r="D1914" s="45">
        <f>MROUND(MID($C1914,6,3)/Basis!$E$3,0.5)</f>
        <v>19.5</v>
      </c>
      <c r="E1914" s="45">
        <f>MROUND(MID($C1914,9,3)/Basis!$E$3,0.5)</f>
        <v>78.5</v>
      </c>
      <c r="F1914" s="124" t="s">
        <v>2948</v>
      </c>
      <c r="G1914" s="45">
        <f>ROUND((ROUNDDOWN($F1914/5,0)*5+1.8)/Basis!$E$3,1)</f>
        <v>8.6</v>
      </c>
      <c r="H1914" s="120">
        <f>ROUND($P1914*Basis!$E$2*((TaH-TrH)/LN(1/µ)/Basis!$E$7)^$N1914*$AA$4*Glycol,0)</f>
        <v>10793</v>
      </c>
      <c r="I1914" s="83">
        <f>ROUND(H1914/(MID($C1914,9,3)/Basis!$E$3/Basis!$E$9)*Basis!$E$11,0)</f>
        <v>1645</v>
      </c>
      <c r="J1914" s="123">
        <f>IF(Basis!$E$1=1,ROUND(H1914/((TaH-TrH)*1.163)/3600,3),ROUND(H1914/(500*(TaH-TrH)),2))</f>
        <v>1.08</v>
      </c>
      <c r="K1914" s="84"/>
      <c r="L1914" s="177">
        <f>CHOOSE(Basis!$E$1,((AJ1914*(J1914*3600/Basis!$E$5)^AK1914*(((MID(C1914,9,3)*10)-144)/1000)*AL1914+AM1914*(J1914*3600/Basis!$E$5)^2)*0.0098)/Basis!$E$10,((AJ1914*(J1914/Basis!$E$5)^AK1914*(((MID(C1914,9,3)*10)-144)/1000)*AL1914+AM1914*(J1914/Basis!$E$5)^2)*0.0098)/Basis!$E$10)</f>
        <v>0.14150869106102881</v>
      </c>
      <c r="M1914" s="85"/>
      <c r="N1914" s="110">
        <v>1.4850000000000001</v>
      </c>
      <c r="O1914" s="74"/>
      <c r="P1914" s="73">
        <v>5164</v>
      </c>
      <c r="Q1914" s="74"/>
      <c r="R1914" s="75"/>
      <c r="S1914" s="75"/>
      <c r="T1914" s="75"/>
      <c r="U1914" s="75"/>
      <c r="V1914" s="75"/>
      <c r="W1914" s="74"/>
      <c r="X1914" s="76"/>
      <c r="Y1914" s="76"/>
      <c r="Z1914" s="76"/>
      <c r="AA1914" s="76"/>
      <c r="AB1914" s="76"/>
      <c r="AC1914" s="74"/>
      <c r="AD1914" s="77"/>
      <c r="AE1914" s="77"/>
      <c r="AF1914" s="77"/>
      <c r="AG1914" s="77"/>
      <c r="AH1914" s="77"/>
      <c r="AI1914" s="68"/>
      <c r="AJ1914" s="213">
        <v>1.2760000000000001E-4</v>
      </c>
      <c r="AK1914" s="213">
        <v>1.7219</v>
      </c>
      <c r="AL1914" s="213">
        <v>4</v>
      </c>
      <c r="AM1914" s="213">
        <v>5.1420100000000005E-4</v>
      </c>
      <c r="AN1914" s="74"/>
      <c r="AO1914" s="73"/>
      <c r="AP1914" s="73"/>
      <c r="AQ1914" s="73"/>
      <c r="AR1914" s="73"/>
      <c r="AS1914" s="73"/>
      <c r="AT1914" s="74"/>
      <c r="AU1914" s="47"/>
      <c r="AV1914" s="48"/>
    </row>
    <row r="1915" spans="1:48" ht="12.75" customHeight="1" x14ac:dyDescent="0.25">
      <c r="A1915" s="72" t="s">
        <v>20</v>
      </c>
      <c r="B1915" s="43" t="s">
        <v>1833</v>
      </c>
      <c r="C1915" s="44" t="s">
        <v>2072</v>
      </c>
      <c r="D1915" s="45">
        <f>MROUND(MID($C1915,6,3)/Basis!$E$3,0.5)</f>
        <v>19.5</v>
      </c>
      <c r="E1915" s="45">
        <f>MROUND(MID($C1915,9,3)/Basis!$E$3,0.5)</f>
        <v>94.5</v>
      </c>
      <c r="F1915" s="124" t="s">
        <v>2949</v>
      </c>
      <c r="G1915" s="45">
        <f>ROUND((ROUNDDOWN($F1915/5,0)*5+3.5)/Basis!$E$3,1)</f>
        <v>3.3</v>
      </c>
      <c r="H1915" s="120">
        <f>ROUND($P1915*Basis!$E$2*((TaH-TrH)/LN(1/µ)/Basis!$E$7)^$N1915*$AA$4*Glycol,0)</f>
        <v>4931</v>
      </c>
      <c r="I1915" s="83">
        <f>ROUND(H1915/(MID($C1915,9,3)/Basis!$E$3/Basis!$E$9)*Basis!$E$11,0)</f>
        <v>626</v>
      </c>
      <c r="J1915" s="123">
        <f>IF(Basis!$E$1=1,ROUND(H1915/((TaH-TrH)*1.163)/3600,3),ROUND(H1915/(500*(TaH-TrH)),2))</f>
        <v>0.49</v>
      </c>
      <c r="K1915" s="84"/>
      <c r="L1915" s="177">
        <f>CHOOSE(Basis!$E$1,((AJ1915*(J1915*3600/Basis!$E$5)^AK1915*(((MID(C1915,9,3)*10)-144)/1000)*AL1915+AM1915*(J1915*3600/Basis!$E$5)^2)*0.0098)/Basis!$E$10,((AJ1915*(J1915/Basis!$E$5)^AK1915*(((MID(C1915,9,3)*10)-144)/1000)*AL1915+AM1915*(J1915/Basis!$E$5)^2)*0.0098)/Basis!$E$10)</f>
        <v>0.17353213440727225</v>
      </c>
      <c r="M1915" s="85"/>
      <c r="N1915" s="110">
        <v>1.3720000000000001</v>
      </c>
      <c r="O1915" s="74"/>
      <c r="P1915" s="73">
        <v>2273</v>
      </c>
      <c r="Q1915" s="74"/>
      <c r="R1915" s="75"/>
      <c r="S1915" s="75"/>
      <c r="T1915" s="75"/>
      <c r="U1915" s="75"/>
      <c r="V1915" s="75"/>
      <c r="W1915" s="74"/>
      <c r="X1915" s="76"/>
      <c r="Y1915" s="76"/>
      <c r="Z1915" s="76"/>
      <c r="AA1915" s="76"/>
      <c r="AB1915" s="76"/>
      <c r="AC1915" s="74"/>
      <c r="AD1915" s="77"/>
      <c r="AE1915" s="77"/>
      <c r="AF1915" s="77"/>
      <c r="AG1915" s="77"/>
      <c r="AH1915" s="77"/>
      <c r="AI1915" s="68"/>
      <c r="AJ1915" s="213">
        <v>1.6125983042710999E-4</v>
      </c>
      <c r="AK1915" s="213">
        <v>2.1458504622376</v>
      </c>
      <c r="AL1915" s="213">
        <v>4</v>
      </c>
      <c r="AM1915" s="213">
        <v>1.3916423712342001E-3</v>
      </c>
      <c r="AN1915" s="74"/>
      <c r="AO1915" s="73"/>
      <c r="AP1915" s="73"/>
      <c r="AQ1915" s="73"/>
      <c r="AR1915" s="73"/>
      <c r="AS1915" s="73"/>
      <c r="AT1915" s="74"/>
      <c r="AU1915" s="47"/>
      <c r="AV1915" s="48"/>
    </row>
    <row r="1916" spans="1:48" ht="12.75" customHeight="1" x14ac:dyDescent="0.25">
      <c r="A1916" s="72" t="s">
        <v>20</v>
      </c>
      <c r="B1916" s="43" t="s">
        <v>1833</v>
      </c>
      <c r="C1916" s="44" t="s">
        <v>2073</v>
      </c>
      <c r="D1916" s="45">
        <f>MROUND(MID($C1916,6,3)/Basis!$E$3,0.5)</f>
        <v>19.5</v>
      </c>
      <c r="E1916" s="45">
        <f>MROUND(MID($C1916,9,3)/Basis!$E$3,0.5)</f>
        <v>94.5</v>
      </c>
      <c r="F1916" s="124" t="s">
        <v>2943</v>
      </c>
      <c r="G1916" s="45">
        <f>ROUND((ROUNDDOWN($F1916/5,0)*5+1.8)/Basis!$E$3,1)</f>
        <v>4.5999999999999996</v>
      </c>
      <c r="H1916" s="120">
        <f>ROUND($P1916*Basis!$E$2*((TaH-TrH)/LN(1/µ)/Basis!$E$7)^$N1916*$AA$4*Glycol,0)</f>
        <v>5578</v>
      </c>
      <c r="I1916" s="83">
        <f>ROUND(H1916/(MID($C1916,9,3)/Basis!$E$3/Basis!$E$9)*Basis!$E$11,0)</f>
        <v>708</v>
      </c>
      <c r="J1916" s="123">
        <f>IF(Basis!$E$1=1,ROUND(H1916/((TaH-TrH)*1.163)/3600,3),ROUND(H1916/(500*(TaH-TrH)),2))</f>
        <v>0.56000000000000005</v>
      </c>
      <c r="K1916" s="84"/>
      <c r="L1916" s="177">
        <f>CHOOSE(Basis!$E$1,((AJ1916*(J1916*3600/Basis!$E$5)^AK1916*(((MID(C1916,9,3)*10)-144)/1000)*AL1916+AM1916*(J1916*3600/Basis!$E$5)^2)*0.0098)/Basis!$E$10,((AJ1916*(J1916/Basis!$E$5)^AK1916*(((MID(C1916,9,3)*10)-144)/1000)*AL1916+AM1916*(J1916/Basis!$E$5)^2)*0.0098)/Basis!$E$10)</f>
        <v>4.5609367140711739E-2</v>
      </c>
      <c r="M1916" s="85"/>
      <c r="N1916" s="109">
        <v>1.385</v>
      </c>
      <c r="O1916" s="68"/>
      <c r="P1916" s="67">
        <v>2582</v>
      </c>
      <c r="Q1916" s="68"/>
      <c r="R1916" s="69"/>
      <c r="S1916" s="69"/>
      <c r="T1916" s="69"/>
      <c r="U1916" s="69"/>
      <c r="V1916" s="69"/>
      <c r="W1916" s="68"/>
      <c r="X1916" s="70"/>
      <c r="Y1916" s="70"/>
      <c r="Z1916" s="70"/>
      <c r="AA1916" s="70"/>
      <c r="AB1916" s="70"/>
      <c r="AC1916" s="68"/>
      <c r="AD1916" s="71"/>
      <c r="AE1916" s="71"/>
      <c r="AF1916" s="71"/>
      <c r="AG1916" s="71"/>
      <c r="AH1916" s="71"/>
      <c r="AI1916" s="68"/>
      <c r="AJ1916" s="214">
        <v>3.9689999999999994E-4</v>
      </c>
      <c r="AK1916" s="214">
        <v>1.7345999999999999</v>
      </c>
      <c r="AL1916" s="214">
        <v>2</v>
      </c>
      <c r="AM1916" s="214">
        <v>3.6734700000000002E-4</v>
      </c>
      <c r="AN1916" s="68"/>
      <c r="AO1916" s="67"/>
      <c r="AP1916" s="67"/>
      <c r="AQ1916" s="67"/>
      <c r="AR1916" s="67"/>
      <c r="AS1916" s="67"/>
      <c r="AT1916" s="68"/>
      <c r="AU1916" s="49"/>
      <c r="AV1916" s="50"/>
    </row>
    <row r="1917" spans="1:48" ht="12.75" customHeight="1" x14ac:dyDescent="0.25">
      <c r="A1917" s="72" t="s">
        <v>20</v>
      </c>
      <c r="B1917" s="43" t="s">
        <v>1833</v>
      </c>
      <c r="C1917" s="44" t="s">
        <v>2074</v>
      </c>
      <c r="D1917" s="45">
        <f>MROUND(MID($C1917,6,3)/Basis!$E$3,0.5)</f>
        <v>19.5</v>
      </c>
      <c r="E1917" s="45">
        <f>MROUND(MID($C1917,9,3)/Basis!$E$3,0.5)</f>
        <v>94.5</v>
      </c>
      <c r="F1917" s="124" t="s">
        <v>2946</v>
      </c>
      <c r="G1917" s="45">
        <f>ROUND((ROUNDDOWN($F1917/5,0)*5+1.8)/Basis!$E$3,1)</f>
        <v>4.5999999999999996</v>
      </c>
      <c r="H1917" s="120">
        <f>ROUND($P1917*Basis!$E$2*((TaH-TrH)/LN(1/µ)/Basis!$E$7)^$N1917*$AA$4*Glycol,0)</f>
        <v>7060</v>
      </c>
      <c r="I1917" s="83">
        <f>ROUND(H1917/(MID($C1917,9,3)/Basis!$E$3/Basis!$E$9)*Basis!$E$11,0)</f>
        <v>897</v>
      </c>
      <c r="J1917" s="123">
        <f>IF(Basis!$E$1=1,ROUND(H1917/((TaH-TrH)*1.163)/3600,3),ROUND(H1917/(500*(TaH-TrH)),2))</f>
        <v>0.71</v>
      </c>
      <c r="K1917" s="84"/>
      <c r="L1917" s="177">
        <f>CHOOSE(Basis!$E$1,((AJ1917*(J1917*3600/Basis!$E$5)^AK1917*(((MID(C1917,9,3)*10)-144)/1000)*AL1917+AM1917*(J1917*3600/Basis!$E$5)^2)*0.0098)/Basis!$E$10,((AJ1917*(J1917/Basis!$E$5)^AK1917*(((MID(C1917,9,3)*10)-144)/1000)*AL1917+AM1917*(J1917/Basis!$E$5)^2)*0.0098)/Basis!$E$10)</f>
        <v>0.12785424179982532</v>
      </c>
      <c r="M1917" s="85"/>
      <c r="N1917" s="109">
        <v>1.4379999999999999</v>
      </c>
      <c r="O1917" s="68"/>
      <c r="P1917" s="67">
        <v>3326</v>
      </c>
      <c r="Q1917" s="68"/>
      <c r="R1917" s="69"/>
      <c r="S1917" s="69"/>
      <c r="T1917" s="69"/>
      <c r="U1917" s="69"/>
      <c r="V1917" s="69"/>
      <c r="W1917" s="68"/>
      <c r="X1917" s="70"/>
      <c r="Y1917" s="70"/>
      <c r="Z1917" s="70"/>
      <c r="AA1917" s="70"/>
      <c r="AB1917" s="70"/>
      <c r="AC1917" s="68"/>
      <c r="AD1917" s="71"/>
      <c r="AE1917" s="71"/>
      <c r="AF1917" s="71"/>
      <c r="AG1917" s="71"/>
      <c r="AH1917" s="71"/>
      <c r="AI1917" s="68"/>
      <c r="AJ1917" s="214">
        <v>3.9689999999999994E-4</v>
      </c>
      <c r="AK1917" s="214">
        <v>1.7345999999999999</v>
      </c>
      <c r="AL1917" s="214">
        <v>4</v>
      </c>
      <c r="AM1917" s="214">
        <v>5.7428799999999995E-4</v>
      </c>
      <c r="AN1917" s="68"/>
      <c r="AO1917" s="67"/>
      <c r="AP1917" s="67"/>
      <c r="AQ1917" s="67"/>
      <c r="AR1917" s="67"/>
      <c r="AS1917" s="67"/>
      <c r="AT1917" s="68"/>
      <c r="AU1917" s="49"/>
      <c r="AV1917" s="50"/>
    </row>
    <row r="1918" spans="1:48" ht="12.75" customHeight="1" x14ac:dyDescent="0.25">
      <c r="A1918" s="72" t="s">
        <v>20</v>
      </c>
      <c r="B1918" s="43" t="s">
        <v>1833</v>
      </c>
      <c r="C1918" s="44" t="s">
        <v>2075</v>
      </c>
      <c r="D1918" s="45">
        <f>MROUND(MID($C1918,6,3)/Basis!$E$3,0.5)</f>
        <v>19.5</v>
      </c>
      <c r="E1918" s="45">
        <f>MROUND(MID($C1918,9,3)/Basis!$E$3,0.5)</f>
        <v>94.5</v>
      </c>
      <c r="F1918" s="124" t="s">
        <v>2944</v>
      </c>
      <c r="G1918" s="45">
        <f>ROUND((ROUNDDOWN($F1918/5,0)*5+1.8)/Basis!$E$3,1)</f>
        <v>6.6</v>
      </c>
      <c r="H1918" s="120">
        <f>ROUND($P1918*Basis!$E$2*((TaH-TrH)/LN(1/µ)/Basis!$E$7)^$N1918*$AA$4*Glycol,0)</f>
        <v>9027</v>
      </c>
      <c r="I1918" s="83">
        <f>ROUND(H1918/(MID($C1918,9,3)/Basis!$E$3/Basis!$E$9)*Basis!$E$11,0)</f>
        <v>1146</v>
      </c>
      <c r="J1918" s="123">
        <f>IF(Basis!$E$1=1,ROUND(H1918/((TaH-TrH)*1.163)/3600,3),ROUND(H1918/(500*(TaH-TrH)),2))</f>
        <v>0.9</v>
      </c>
      <c r="K1918" s="84"/>
      <c r="L1918" s="177">
        <f>CHOOSE(Basis!$E$1,((AJ1918*(J1918*3600/Basis!$E$5)^AK1918*(((MID(C1918,9,3)*10)-144)/1000)*AL1918+AM1918*(J1918*3600/Basis!$E$5)^2)*0.0098)/Basis!$E$10,((AJ1918*(J1918/Basis!$E$5)^AK1918*(((MID(C1918,9,3)*10)-144)/1000)*AL1918+AM1918*(J1918/Basis!$E$5)^2)*0.0098)/Basis!$E$10)</f>
        <v>9.2668637111770535E-2</v>
      </c>
      <c r="M1918" s="85"/>
      <c r="N1918" s="109">
        <v>1.373</v>
      </c>
      <c r="O1918" s="68"/>
      <c r="P1918" s="67">
        <v>4162</v>
      </c>
      <c r="Q1918" s="68"/>
      <c r="R1918" s="69"/>
      <c r="S1918" s="69"/>
      <c r="T1918" s="69"/>
      <c r="U1918" s="69"/>
      <c r="V1918" s="69"/>
      <c r="W1918" s="68"/>
      <c r="X1918" s="70"/>
      <c r="Y1918" s="70"/>
      <c r="Z1918" s="70"/>
      <c r="AA1918" s="70"/>
      <c r="AB1918" s="70"/>
      <c r="AC1918" s="68"/>
      <c r="AD1918" s="71"/>
      <c r="AE1918" s="71"/>
      <c r="AF1918" s="71"/>
      <c r="AG1918" s="71"/>
      <c r="AH1918" s="71"/>
      <c r="AI1918" s="68"/>
      <c r="AJ1918" s="214">
        <v>2.0829999999999999E-4</v>
      </c>
      <c r="AK1918" s="214">
        <v>1.724</v>
      </c>
      <c r="AL1918" s="214">
        <v>2</v>
      </c>
      <c r="AM1918" s="214">
        <v>4.6182900000000003E-4</v>
      </c>
      <c r="AN1918" s="68"/>
      <c r="AO1918" s="67"/>
      <c r="AP1918" s="67"/>
      <c r="AQ1918" s="67"/>
      <c r="AR1918" s="67"/>
      <c r="AS1918" s="67"/>
      <c r="AT1918" s="68"/>
      <c r="AU1918" s="49"/>
      <c r="AV1918" s="50"/>
    </row>
    <row r="1919" spans="1:48" ht="12.75" customHeight="1" x14ac:dyDescent="0.25">
      <c r="A1919" s="72" t="s">
        <v>20</v>
      </c>
      <c r="B1919" s="43" t="s">
        <v>1833</v>
      </c>
      <c r="C1919" s="44" t="s">
        <v>2076</v>
      </c>
      <c r="D1919" s="45">
        <f>MROUND(MID($C1919,6,3)/Basis!$E$3,0.5)</f>
        <v>19.5</v>
      </c>
      <c r="E1919" s="45">
        <f>MROUND(MID($C1919,9,3)/Basis!$E$3,0.5)</f>
        <v>94.5</v>
      </c>
      <c r="F1919" s="124" t="s">
        <v>2947</v>
      </c>
      <c r="G1919" s="45">
        <f>ROUND((ROUNDDOWN($F1919/5,0)*5+1.8)/Basis!$E$3,1)</f>
        <v>6.6</v>
      </c>
      <c r="H1919" s="120">
        <f>ROUND($P1919*Basis!$E$2*((TaH-TrH)/LN(1/µ)/Basis!$E$7)^$N1919*$AA$4*Glycol,0)</f>
        <v>9587</v>
      </c>
      <c r="I1919" s="83">
        <f>ROUND(H1919/(MID($C1919,9,3)/Basis!$E$3/Basis!$E$9)*Basis!$E$11,0)</f>
        <v>1218</v>
      </c>
      <c r="J1919" s="123">
        <f>IF(Basis!$E$1=1,ROUND(H1919/((TaH-TrH)*1.163)/3600,3),ROUND(H1919/(500*(TaH-TrH)),2))</f>
        <v>0.96</v>
      </c>
      <c r="K1919" s="84"/>
      <c r="L1919" s="177">
        <f>CHOOSE(Basis!$E$1,((AJ1919*(J1919*3600/Basis!$E$5)^AK1919*(((MID(C1919,9,3)*10)-144)/1000)*AL1919+AM1919*(J1919*3600/Basis!$E$5)^2)*0.0098)/Basis!$E$10,((AJ1919*(J1919/Basis!$E$5)^AK1919*(((MID(C1919,9,3)*10)-144)/1000)*AL1919+AM1919*(J1919/Basis!$E$5)^2)*0.0098)/Basis!$E$10)</f>
        <v>0.2826103441327466</v>
      </c>
      <c r="M1919" s="85"/>
      <c r="N1919" s="109">
        <v>1.464</v>
      </c>
      <c r="O1919" s="68"/>
      <c r="P1919" s="67">
        <v>4555</v>
      </c>
      <c r="Q1919" s="68"/>
      <c r="R1919" s="69"/>
      <c r="S1919" s="69"/>
      <c r="T1919" s="69"/>
      <c r="U1919" s="69"/>
      <c r="V1919" s="69"/>
      <c r="W1919" s="68"/>
      <c r="X1919" s="70"/>
      <c r="Y1919" s="70"/>
      <c r="Z1919" s="70"/>
      <c r="AA1919" s="70"/>
      <c r="AB1919" s="70"/>
      <c r="AC1919" s="68"/>
      <c r="AD1919" s="71"/>
      <c r="AE1919" s="71"/>
      <c r="AF1919" s="71"/>
      <c r="AG1919" s="71"/>
      <c r="AH1919" s="71"/>
      <c r="AI1919" s="68"/>
      <c r="AJ1919" s="214">
        <v>2.0829999999999999E-4</v>
      </c>
      <c r="AK1919" s="214">
        <v>1.724</v>
      </c>
      <c r="AL1919" s="214">
        <v>4</v>
      </c>
      <c r="AM1919" s="214">
        <v>1.392796E-3</v>
      </c>
      <c r="AN1919" s="68"/>
      <c r="AO1919" s="67"/>
      <c r="AP1919" s="67"/>
      <c r="AQ1919" s="67"/>
      <c r="AR1919" s="67"/>
      <c r="AS1919" s="67"/>
      <c r="AT1919" s="68"/>
      <c r="AU1919" s="49"/>
      <c r="AV1919" s="50"/>
    </row>
    <row r="1920" spans="1:48" ht="12.75" customHeight="1" x14ac:dyDescent="0.25">
      <c r="A1920" s="72" t="s">
        <v>20</v>
      </c>
      <c r="B1920" s="43" t="s">
        <v>1833</v>
      </c>
      <c r="C1920" s="44" t="s">
        <v>2077</v>
      </c>
      <c r="D1920" s="45">
        <f>MROUND(MID($C1920,6,3)/Basis!$E$3,0.5)</f>
        <v>19.5</v>
      </c>
      <c r="E1920" s="45">
        <f>MROUND(MID($C1920,9,3)/Basis!$E$3,0.5)</f>
        <v>94.5</v>
      </c>
      <c r="F1920" s="124" t="s">
        <v>2945</v>
      </c>
      <c r="G1920" s="45">
        <f>ROUND((ROUNDDOWN($F1920/5,0)*5+1.8)/Basis!$E$3,1)</f>
        <v>8.6</v>
      </c>
      <c r="H1920" s="120">
        <f>ROUND($P1920*Basis!$E$2*((TaH-TrH)/LN(1/µ)/Basis!$E$7)^$N1920*$AA$4*Glycol,0)</f>
        <v>12623</v>
      </c>
      <c r="I1920" s="83">
        <f>ROUND(H1920/(MID($C1920,9,3)/Basis!$E$3/Basis!$E$9)*Basis!$E$11,0)</f>
        <v>1603</v>
      </c>
      <c r="J1920" s="123">
        <f>IF(Basis!$E$1=1,ROUND(H1920/((TaH-TrH)*1.163)/3600,3),ROUND(H1920/(500*(TaH-TrH)),2))</f>
        <v>1.26</v>
      </c>
      <c r="K1920" s="84"/>
      <c r="L1920" s="177">
        <f>CHOOSE(Basis!$E$1,((AJ1920*(J1920*3600/Basis!$E$5)^AK1920*(((MID(C1920,9,3)*10)-144)/1000)*AL1920+AM1920*(J1920*3600/Basis!$E$5)^2)*0.0098)/Basis!$E$10,((AJ1920*(J1920/Basis!$E$5)^AK1920*(((MID(C1920,9,3)*10)-144)/1000)*AL1920+AM1920*(J1920/Basis!$E$5)^2)*0.0098)/Basis!$E$10)</f>
        <v>0.13282423173561977</v>
      </c>
      <c r="M1920" s="85"/>
      <c r="N1920" s="109">
        <v>1.373</v>
      </c>
      <c r="O1920" s="68"/>
      <c r="P1920" s="67">
        <v>5820</v>
      </c>
      <c r="Q1920" s="68"/>
      <c r="R1920" s="69"/>
      <c r="S1920" s="69"/>
      <c r="T1920" s="69"/>
      <c r="U1920" s="69"/>
      <c r="V1920" s="69"/>
      <c r="W1920" s="68"/>
      <c r="X1920" s="70"/>
      <c r="Y1920" s="70"/>
      <c r="Z1920" s="70"/>
      <c r="AA1920" s="70"/>
      <c r="AB1920" s="70"/>
      <c r="AC1920" s="68"/>
      <c r="AD1920" s="71"/>
      <c r="AE1920" s="71"/>
      <c r="AF1920" s="71"/>
      <c r="AG1920" s="71"/>
      <c r="AH1920" s="71"/>
      <c r="AI1920" s="68"/>
      <c r="AJ1920" s="214">
        <v>1.2760000000000001E-4</v>
      </c>
      <c r="AK1920" s="214">
        <v>1.7219</v>
      </c>
      <c r="AL1920" s="214">
        <v>2</v>
      </c>
      <c r="AM1920" s="214">
        <v>3.76611E-4</v>
      </c>
      <c r="AN1920" s="68"/>
      <c r="AO1920" s="67"/>
      <c r="AP1920" s="67"/>
      <c r="AQ1920" s="67"/>
      <c r="AR1920" s="67"/>
      <c r="AS1920" s="67"/>
      <c r="AT1920" s="68"/>
      <c r="AU1920" s="49"/>
      <c r="AV1920" s="50"/>
    </row>
    <row r="1921" spans="1:48" ht="12.75" customHeight="1" x14ac:dyDescent="0.25">
      <c r="A1921" s="72" t="s">
        <v>20</v>
      </c>
      <c r="B1921" s="43" t="s">
        <v>1833</v>
      </c>
      <c r="C1921" s="44" t="s">
        <v>2078</v>
      </c>
      <c r="D1921" s="45">
        <f>MROUND(MID($C1921,6,3)/Basis!$E$3,0.5)</f>
        <v>19.5</v>
      </c>
      <c r="E1921" s="45">
        <f>MROUND(MID($C1921,9,3)/Basis!$E$3,0.5)</f>
        <v>94.5</v>
      </c>
      <c r="F1921" s="124" t="s">
        <v>2948</v>
      </c>
      <c r="G1921" s="45">
        <f>ROUND((ROUNDDOWN($F1921/5,0)*5+1.8)/Basis!$E$3,1)</f>
        <v>8.6</v>
      </c>
      <c r="H1921" s="120">
        <f>ROUND($P1921*Basis!$E$2*((TaH-TrH)/LN(1/µ)/Basis!$E$7)^$N1921*$AA$4*Glycol,0)</f>
        <v>12952</v>
      </c>
      <c r="I1921" s="83">
        <f>ROUND(H1921/(MID($C1921,9,3)/Basis!$E$3/Basis!$E$9)*Basis!$E$11,0)</f>
        <v>1645</v>
      </c>
      <c r="J1921" s="123">
        <f>IF(Basis!$E$1=1,ROUND(H1921/((TaH-TrH)*1.163)/3600,3),ROUND(H1921/(500*(TaH-TrH)),2))</f>
        <v>1.3</v>
      </c>
      <c r="K1921" s="84"/>
      <c r="L1921" s="177">
        <f>CHOOSE(Basis!$E$1,((AJ1921*(J1921*3600/Basis!$E$5)^AK1921*(((MID(C1921,9,3)*10)-144)/1000)*AL1921+AM1921*(J1921*3600/Basis!$E$5)^2)*0.0098)/Basis!$E$10,((AJ1921*(J1921/Basis!$E$5)^AK1921*(((MID(C1921,9,3)*10)-144)/1000)*AL1921+AM1921*(J1921/Basis!$E$5)^2)*0.0098)/Basis!$E$10)</f>
        <v>0.21406015339317858</v>
      </c>
      <c r="M1921" s="85"/>
      <c r="N1921" s="109">
        <v>1.4850000000000001</v>
      </c>
      <c r="O1921" s="68"/>
      <c r="P1921" s="67">
        <v>6197</v>
      </c>
      <c r="Q1921" s="68"/>
      <c r="R1921" s="69"/>
      <c r="S1921" s="69"/>
      <c r="T1921" s="69"/>
      <c r="U1921" s="69"/>
      <c r="V1921" s="69"/>
      <c r="W1921" s="68"/>
      <c r="X1921" s="70"/>
      <c r="Y1921" s="70"/>
      <c r="Z1921" s="70"/>
      <c r="AA1921" s="70"/>
      <c r="AB1921" s="70"/>
      <c r="AC1921" s="68"/>
      <c r="AD1921" s="71"/>
      <c r="AE1921" s="71"/>
      <c r="AF1921" s="71"/>
      <c r="AG1921" s="71"/>
      <c r="AH1921" s="71"/>
      <c r="AI1921" s="68"/>
      <c r="AJ1921" s="214">
        <v>1.2760000000000001E-4</v>
      </c>
      <c r="AK1921" s="214">
        <v>1.7219</v>
      </c>
      <c r="AL1921" s="214">
        <v>4</v>
      </c>
      <c r="AM1921" s="214">
        <v>5.1420100000000005E-4</v>
      </c>
      <c r="AN1921" s="68"/>
      <c r="AO1921" s="67"/>
      <c r="AP1921" s="67"/>
      <c r="AQ1921" s="67"/>
      <c r="AR1921" s="67"/>
      <c r="AS1921" s="67"/>
      <c r="AT1921" s="68"/>
      <c r="AU1921" s="49"/>
      <c r="AV1921" s="50"/>
    </row>
    <row r="1922" spans="1:48" ht="12.75" customHeight="1" x14ac:dyDescent="0.25">
      <c r="A1922" s="72" t="s">
        <v>20</v>
      </c>
      <c r="B1922" s="43" t="s">
        <v>1833</v>
      </c>
      <c r="C1922" s="44" t="s">
        <v>2079</v>
      </c>
      <c r="D1922" s="45">
        <f>MROUND(MID($C1922,6,3)/Basis!$E$3,0.5)</f>
        <v>19.5</v>
      </c>
      <c r="E1922" s="45">
        <f>MROUND(MID($C1922,9,3)/Basis!$E$3,0.5)</f>
        <v>110</v>
      </c>
      <c r="F1922" s="124" t="s">
        <v>2949</v>
      </c>
      <c r="G1922" s="45">
        <f>ROUND((ROUNDDOWN($F1922/5,0)*5+3.5)/Basis!$E$3,1)</f>
        <v>3.3</v>
      </c>
      <c r="H1922" s="120">
        <f>ROUND($P1922*Basis!$E$2*((TaH-TrH)/LN(1/µ)/Basis!$E$7)^$N1922*$AA$4*Glycol,0)</f>
        <v>5754</v>
      </c>
      <c r="I1922" s="83">
        <f>ROUND(H1922/(MID($C1922,9,3)/Basis!$E$3/Basis!$E$9)*Basis!$E$11,0)</f>
        <v>626</v>
      </c>
      <c r="J1922" s="123">
        <f>IF(Basis!$E$1=1,ROUND(H1922/((TaH-TrH)*1.163)/3600,3),ROUND(H1922/(500*(TaH-TrH)),2))</f>
        <v>0.57999999999999996</v>
      </c>
      <c r="K1922" s="84"/>
      <c r="L1922" s="177">
        <f>CHOOSE(Basis!$E$1,((AJ1922*(J1922*3600/Basis!$E$5)^AK1922*(((MID(C1922,9,3)*10)-144)/1000)*AL1922+AM1922*(J1922*3600/Basis!$E$5)^2)*0.0098)/Basis!$E$10,((AJ1922*(J1922/Basis!$E$5)^AK1922*(((MID(C1922,9,3)*10)-144)/1000)*AL1922+AM1922*(J1922/Basis!$E$5)^2)*0.0098)/Basis!$E$10)</f>
        <v>0.27705347548935361</v>
      </c>
      <c r="M1922" s="85"/>
      <c r="N1922" s="109">
        <v>1.3720000000000001</v>
      </c>
      <c r="O1922" s="68"/>
      <c r="P1922" s="67">
        <v>2652</v>
      </c>
      <c r="Q1922" s="68"/>
      <c r="R1922" s="69"/>
      <c r="S1922" s="69"/>
      <c r="T1922" s="69"/>
      <c r="U1922" s="69"/>
      <c r="V1922" s="69"/>
      <c r="W1922" s="68"/>
      <c r="X1922" s="70"/>
      <c r="Y1922" s="70"/>
      <c r="Z1922" s="70"/>
      <c r="AA1922" s="70"/>
      <c r="AB1922" s="70"/>
      <c r="AC1922" s="68"/>
      <c r="AD1922" s="71"/>
      <c r="AE1922" s="71"/>
      <c r="AF1922" s="71"/>
      <c r="AG1922" s="71"/>
      <c r="AH1922" s="71"/>
      <c r="AI1922" s="68"/>
      <c r="AJ1922" s="214">
        <v>1.6125983042710999E-4</v>
      </c>
      <c r="AK1922" s="214">
        <v>2.1458504622376</v>
      </c>
      <c r="AL1922" s="214">
        <v>4</v>
      </c>
      <c r="AM1922" s="214">
        <v>1.3916423712342001E-3</v>
      </c>
      <c r="AN1922" s="68"/>
      <c r="AO1922" s="67"/>
      <c r="AP1922" s="67"/>
      <c r="AQ1922" s="67"/>
      <c r="AR1922" s="67"/>
      <c r="AS1922" s="67"/>
      <c r="AT1922" s="68"/>
      <c r="AU1922" s="49"/>
      <c r="AV1922" s="50"/>
    </row>
    <row r="1923" spans="1:48" ht="12.75" customHeight="1" x14ac:dyDescent="0.25">
      <c r="A1923" s="72" t="s">
        <v>20</v>
      </c>
      <c r="B1923" s="43" t="s">
        <v>1833</v>
      </c>
      <c r="C1923" s="44" t="s">
        <v>2080</v>
      </c>
      <c r="D1923" s="45">
        <f>MROUND(MID($C1923,6,3)/Basis!$E$3,0.5)</f>
        <v>19.5</v>
      </c>
      <c r="E1923" s="45">
        <f>MROUND(MID($C1923,9,3)/Basis!$E$3,0.5)</f>
        <v>110</v>
      </c>
      <c r="F1923" s="124" t="s">
        <v>2943</v>
      </c>
      <c r="G1923" s="45">
        <f>ROUND((ROUNDDOWN($F1923/5,0)*5+1.8)/Basis!$E$3,1)</f>
        <v>4.5999999999999996</v>
      </c>
      <c r="H1923" s="120">
        <f>ROUND($P1923*Basis!$E$2*((TaH-TrH)/LN(1/µ)/Basis!$E$7)^$N1923*$AA$4*Glycol,0)</f>
        <v>6509</v>
      </c>
      <c r="I1923" s="83">
        <f>ROUND(H1923/(MID($C1923,9,3)/Basis!$E$3/Basis!$E$9)*Basis!$E$11,0)</f>
        <v>709</v>
      </c>
      <c r="J1923" s="123">
        <f>IF(Basis!$E$1=1,ROUND(H1923/((TaH-TrH)*1.163)/3600,3),ROUND(H1923/(500*(TaH-TrH)),2))</f>
        <v>0.65</v>
      </c>
      <c r="K1923" s="84"/>
      <c r="L1923" s="177">
        <f>CHOOSE(Basis!$E$1,((AJ1923*(J1923*3600/Basis!$E$5)^AK1923*(((MID(C1923,9,3)*10)-144)/1000)*AL1923+AM1923*(J1923*3600/Basis!$E$5)^2)*0.0098)/Basis!$E$10,((AJ1923*(J1923/Basis!$E$5)^AK1923*(((MID(C1923,9,3)*10)-144)/1000)*AL1923+AM1923*(J1923/Basis!$E$5)^2)*0.0098)/Basis!$E$10)</f>
        <v>6.609065502110871E-2</v>
      </c>
      <c r="M1923" s="85"/>
      <c r="N1923" s="110">
        <v>1.385</v>
      </c>
      <c r="O1923" s="74"/>
      <c r="P1923" s="73">
        <v>3013</v>
      </c>
      <c r="Q1923" s="74"/>
      <c r="R1923" s="75"/>
      <c r="S1923" s="75"/>
      <c r="T1923" s="75"/>
      <c r="U1923" s="75"/>
      <c r="V1923" s="75"/>
      <c r="W1923" s="74"/>
      <c r="X1923" s="76"/>
      <c r="Y1923" s="76"/>
      <c r="Z1923" s="76"/>
      <c r="AA1923" s="76"/>
      <c r="AB1923" s="76"/>
      <c r="AC1923" s="74"/>
      <c r="AD1923" s="77"/>
      <c r="AE1923" s="77"/>
      <c r="AF1923" s="77"/>
      <c r="AG1923" s="77"/>
      <c r="AH1923" s="77"/>
      <c r="AI1923" s="68"/>
      <c r="AJ1923" s="213">
        <v>3.9689999999999994E-4</v>
      </c>
      <c r="AK1923" s="213">
        <v>1.7345999999999999</v>
      </c>
      <c r="AL1923" s="213">
        <v>2</v>
      </c>
      <c r="AM1923" s="213">
        <v>3.6734700000000002E-4</v>
      </c>
      <c r="AN1923" s="74"/>
      <c r="AO1923" s="73"/>
      <c r="AP1923" s="73"/>
      <c r="AQ1923" s="73"/>
      <c r="AR1923" s="73"/>
      <c r="AS1923" s="73"/>
      <c r="AT1923" s="74"/>
      <c r="AU1923" s="47"/>
      <c r="AV1923" s="48"/>
    </row>
    <row r="1924" spans="1:48" ht="12.75" customHeight="1" x14ac:dyDescent="0.25">
      <c r="A1924" s="72" t="s">
        <v>20</v>
      </c>
      <c r="B1924" s="43" t="s">
        <v>1833</v>
      </c>
      <c r="C1924" s="44" t="s">
        <v>2081</v>
      </c>
      <c r="D1924" s="45">
        <f>MROUND(MID($C1924,6,3)/Basis!$E$3,0.5)</f>
        <v>19.5</v>
      </c>
      <c r="E1924" s="45">
        <f>MROUND(MID($C1924,9,3)/Basis!$E$3,0.5)</f>
        <v>110</v>
      </c>
      <c r="F1924" s="124" t="s">
        <v>2946</v>
      </c>
      <c r="G1924" s="45">
        <f>ROUND((ROUNDDOWN($F1924/5,0)*5+1.8)/Basis!$E$3,1)</f>
        <v>4.5999999999999996</v>
      </c>
      <c r="H1924" s="120">
        <f>ROUND($P1924*Basis!$E$2*((TaH-TrH)/LN(1/µ)/Basis!$E$7)^$N1924*$AA$4*Glycol,0)</f>
        <v>8239</v>
      </c>
      <c r="I1924" s="83">
        <f>ROUND(H1924/(MID($C1924,9,3)/Basis!$E$3/Basis!$E$9)*Basis!$E$11,0)</f>
        <v>897</v>
      </c>
      <c r="J1924" s="123">
        <f>IF(Basis!$E$1=1,ROUND(H1924/((TaH-TrH)*1.163)/3600,3),ROUND(H1924/(500*(TaH-TrH)),2))</f>
        <v>0.82</v>
      </c>
      <c r="K1924" s="84"/>
      <c r="L1924" s="177">
        <f>CHOOSE(Basis!$E$1,((AJ1924*(J1924*3600/Basis!$E$5)^AK1924*(((MID(C1924,9,3)*10)-144)/1000)*AL1924+AM1924*(J1924*3600/Basis!$E$5)^2)*0.0098)/Basis!$E$10,((AJ1924*(J1924/Basis!$E$5)^AK1924*(((MID(C1924,9,3)*10)-144)/1000)*AL1924+AM1924*(J1924/Basis!$E$5)^2)*0.0098)/Basis!$E$10)</f>
        <v>0.18457482532087124</v>
      </c>
      <c r="M1924" s="85"/>
      <c r="N1924" s="110">
        <v>1.4379999999999999</v>
      </c>
      <c r="O1924" s="74"/>
      <c r="P1924" s="73">
        <v>3881</v>
      </c>
      <c r="Q1924" s="74"/>
      <c r="R1924" s="75"/>
      <c r="S1924" s="75"/>
      <c r="T1924" s="75"/>
      <c r="U1924" s="75"/>
      <c r="V1924" s="75"/>
      <c r="W1924" s="74"/>
      <c r="X1924" s="76"/>
      <c r="Y1924" s="76"/>
      <c r="Z1924" s="76"/>
      <c r="AA1924" s="76"/>
      <c r="AB1924" s="76"/>
      <c r="AC1924" s="74"/>
      <c r="AD1924" s="77"/>
      <c r="AE1924" s="77"/>
      <c r="AF1924" s="77"/>
      <c r="AG1924" s="77"/>
      <c r="AH1924" s="77"/>
      <c r="AI1924" s="68"/>
      <c r="AJ1924" s="213">
        <v>3.9689999999999994E-4</v>
      </c>
      <c r="AK1924" s="213">
        <v>1.7345999999999999</v>
      </c>
      <c r="AL1924" s="213">
        <v>4</v>
      </c>
      <c r="AM1924" s="213">
        <v>5.7428799999999995E-4</v>
      </c>
      <c r="AN1924" s="74"/>
      <c r="AO1924" s="73"/>
      <c r="AP1924" s="73"/>
      <c r="AQ1924" s="73"/>
      <c r="AR1924" s="73"/>
      <c r="AS1924" s="73"/>
      <c r="AT1924" s="74"/>
      <c r="AU1924" s="47"/>
      <c r="AV1924" s="48"/>
    </row>
    <row r="1925" spans="1:48" ht="12.75" customHeight="1" x14ac:dyDescent="0.25">
      <c r="A1925" s="72" t="s">
        <v>20</v>
      </c>
      <c r="B1925" s="43" t="s">
        <v>1833</v>
      </c>
      <c r="C1925" s="44" t="s">
        <v>2082</v>
      </c>
      <c r="D1925" s="45">
        <f>MROUND(MID($C1925,6,3)/Basis!$E$3,0.5)</f>
        <v>19.5</v>
      </c>
      <c r="E1925" s="45">
        <f>MROUND(MID($C1925,9,3)/Basis!$E$3,0.5)</f>
        <v>110</v>
      </c>
      <c r="F1925" s="124" t="s">
        <v>2944</v>
      </c>
      <c r="G1925" s="45">
        <f>ROUND((ROUNDDOWN($F1925/5,0)*5+1.8)/Basis!$E$3,1)</f>
        <v>6.6</v>
      </c>
      <c r="H1925" s="120">
        <f>ROUND($P1925*Basis!$E$2*((TaH-TrH)/LN(1/µ)/Basis!$E$7)^$N1925*$AA$4*Glycol,0)</f>
        <v>10530</v>
      </c>
      <c r="I1925" s="83">
        <f>ROUND(H1925/(MID($C1925,9,3)/Basis!$E$3/Basis!$E$9)*Basis!$E$11,0)</f>
        <v>1146</v>
      </c>
      <c r="J1925" s="123">
        <f>IF(Basis!$E$1=1,ROUND(H1925/((TaH-TrH)*1.163)/3600,3),ROUND(H1925/(500*(TaH-TrH)),2))</f>
        <v>1.05</v>
      </c>
      <c r="K1925" s="84"/>
      <c r="L1925" s="177">
        <f>CHOOSE(Basis!$E$1,((AJ1925*(J1925*3600/Basis!$E$5)^AK1925*(((MID(C1925,9,3)*10)-144)/1000)*AL1925+AM1925*(J1925*3600/Basis!$E$5)^2)*0.0098)/Basis!$E$10,((AJ1925*(J1925/Basis!$E$5)^AK1925*(((MID(C1925,9,3)*10)-144)/1000)*AL1925+AM1925*(J1925/Basis!$E$5)^2)*0.0098)/Basis!$E$10)</f>
        <v>0.13129518631210635</v>
      </c>
      <c r="M1925" s="85"/>
      <c r="N1925" s="110">
        <v>1.373</v>
      </c>
      <c r="O1925" s="74"/>
      <c r="P1925" s="73">
        <v>4855</v>
      </c>
      <c r="Q1925" s="74"/>
      <c r="R1925" s="75"/>
      <c r="S1925" s="75"/>
      <c r="T1925" s="75"/>
      <c r="U1925" s="75"/>
      <c r="V1925" s="75"/>
      <c r="W1925" s="74"/>
      <c r="X1925" s="76"/>
      <c r="Y1925" s="76"/>
      <c r="Z1925" s="76"/>
      <c r="AA1925" s="76"/>
      <c r="AB1925" s="76"/>
      <c r="AC1925" s="74"/>
      <c r="AD1925" s="77"/>
      <c r="AE1925" s="77"/>
      <c r="AF1925" s="77"/>
      <c r="AG1925" s="77"/>
      <c r="AH1925" s="77"/>
      <c r="AI1925" s="68"/>
      <c r="AJ1925" s="213">
        <v>2.0829999999999999E-4</v>
      </c>
      <c r="AK1925" s="213">
        <v>1.724</v>
      </c>
      <c r="AL1925" s="213">
        <v>2</v>
      </c>
      <c r="AM1925" s="213">
        <v>4.6182900000000003E-4</v>
      </c>
      <c r="AN1925" s="74"/>
      <c r="AO1925" s="73"/>
      <c r="AP1925" s="73"/>
      <c r="AQ1925" s="73"/>
      <c r="AR1925" s="73"/>
      <c r="AS1925" s="73"/>
      <c r="AT1925" s="74"/>
      <c r="AU1925" s="47"/>
      <c r="AV1925" s="48"/>
    </row>
    <row r="1926" spans="1:48" ht="12.75" customHeight="1" x14ac:dyDescent="0.25">
      <c r="A1926" s="72" t="s">
        <v>20</v>
      </c>
      <c r="B1926" s="43" t="s">
        <v>1833</v>
      </c>
      <c r="C1926" s="44" t="s">
        <v>2083</v>
      </c>
      <c r="D1926" s="45">
        <f>MROUND(MID($C1926,6,3)/Basis!$E$3,0.5)</f>
        <v>19.5</v>
      </c>
      <c r="E1926" s="45">
        <f>MROUND(MID($C1926,9,3)/Basis!$E$3,0.5)</f>
        <v>110</v>
      </c>
      <c r="F1926" s="124" t="s">
        <v>2947</v>
      </c>
      <c r="G1926" s="45">
        <f>ROUND((ROUNDDOWN($F1926/5,0)*5+1.8)/Basis!$E$3,1)</f>
        <v>6.6</v>
      </c>
      <c r="H1926" s="120">
        <f>ROUND($P1926*Basis!$E$2*((TaH-TrH)/LN(1/µ)/Basis!$E$7)^$N1926*$AA$4*Glycol,0)</f>
        <v>11184</v>
      </c>
      <c r="I1926" s="83">
        <f>ROUND(H1926/(MID($C1926,9,3)/Basis!$E$3/Basis!$E$9)*Basis!$E$11,0)</f>
        <v>1217</v>
      </c>
      <c r="J1926" s="123">
        <f>IF(Basis!$E$1=1,ROUND(H1926/((TaH-TrH)*1.163)/3600,3),ROUND(H1926/(500*(TaH-TrH)),2))</f>
        <v>1.1200000000000001</v>
      </c>
      <c r="K1926" s="84"/>
      <c r="L1926" s="177">
        <f>CHOOSE(Basis!$E$1,((AJ1926*(J1926*3600/Basis!$E$5)^AK1926*(((MID(C1926,9,3)*10)-144)/1000)*AL1926+AM1926*(J1926*3600/Basis!$E$5)^2)*0.0098)/Basis!$E$10,((AJ1926*(J1926/Basis!$E$5)^AK1926*(((MID(C1926,9,3)*10)-144)/1000)*AL1926+AM1926*(J1926/Basis!$E$5)^2)*0.0098)/Basis!$E$10)</f>
        <v>0.39620507043076358</v>
      </c>
      <c r="M1926" s="85"/>
      <c r="N1926" s="110">
        <v>1.464</v>
      </c>
      <c r="O1926" s="74"/>
      <c r="P1926" s="73">
        <v>5314</v>
      </c>
      <c r="Q1926" s="74"/>
      <c r="R1926" s="75"/>
      <c r="S1926" s="75"/>
      <c r="T1926" s="75"/>
      <c r="U1926" s="75"/>
      <c r="V1926" s="75"/>
      <c r="W1926" s="74"/>
      <c r="X1926" s="76"/>
      <c r="Y1926" s="76"/>
      <c r="Z1926" s="76"/>
      <c r="AA1926" s="76"/>
      <c r="AB1926" s="76"/>
      <c r="AC1926" s="74"/>
      <c r="AD1926" s="77"/>
      <c r="AE1926" s="77"/>
      <c r="AF1926" s="77"/>
      <c r="AG1926" s="77"/>
      <c r="AH1926" s="77"/>
      <c r="AI1926" s="68"/>
      <c r="AJ1926" s="213">
        <v>2.0829999999999999E-4</v>
      </c>
      <c r="AK1926" s="213">
        <v>1.724</v>
      </c>
      <c r="AL1926" s="213">
        <v>4</v>
      </c>
      <c r="AM1926" s="213">
        <v>1.392796E-3</v>
      </c>
      <c r="AN1926" s="74"/>
      <c r="AO1926" s="73"/>
      <c r="AP1926" s="73"/>
      <c r="AQ1926" s="73"/>
      <c r="AR1926" s="73"/>
      <c r="AS1926" s="73"/>
      <c r="AT1926" s="74"/>
      <c r="AU1926" s="47"/>
      <c r="AV1926" s="48"/>
    </row>
    <row r="1927" spans="1:48" ht="12.75" customHeight="1" x14ac:dyDescent="0.25">
      <c r="A1927" s="72" t="s">
        <v>20</v>
      </c>
      <c r="B1927" s="43" t="s">
        <v>1833</v>
      </c>
      <c r="C1927" s="44" t="s">
        <v>2084</v>
      </c>
      <c r="D1927" s="45">
        <f>MROUND(MID($C1927,6,3)/Basis!$E$3,0.5)</f>
        <v>19.5</v>
      </c>
      <c r="E1927" s="45">
        <f>MROUND(MID($C1927,9,3)/Basis!$E$3,0.5)</f>
        <v>110</v>
      </c>
      <c r="F1927" s="124" t="s">
        <v>2945</v>
      </c>
      <c r="G1927" s="45">
        <f>ROUND((ROUNDDOWN($F1927/5,0)*5+1.8)/Basis!$E$3,1)</f>
        <v>8.6</v>
      </c>
      <c r="H1927" s="120">
        <f>ROUND($P1927*Basis!$E$2*((TaH-TrH)/LN(1/µ)/Basis!$E$7)^$N1927*$AA$4*Glycol,0)</f>
        <v>14726</v>
      </c>
      <c r="I1927" s="83">
        <f>ROUND(H1927/(MID($C1927,9,3)/Basis!$E$3/Basis!$E$9)*Basis!$E$11,0)</f>
        <v>1603</v>
      </c>
      <c r="J1927" s="123">
        <f>IF(Basis!$E$1=1,ROUND(H1927/((TaH-TrH)*1.163)/3600,3),ROUND(H1927/(500*(TaH-TrH)),2))</f>
        <v>1.47</v>
      </c>
      <c r="K1927" s="84"/>
      <c r="L1927" s="177">
        <f>CHOOSE(Basis!$E$1,((AJ1927*(J1927*3600/Basis!$E$5)^AK1927*(((MID(C1927,9,3)*10)-144)/1000)*AL1927+AM1927*(J1927*3600/Basis!$E$5)^2)*0.0098)/Basis!$E$10,((AJ1927*(J1927/Basis!$E$5)^AK1927*(((MID(C1927,9,3)*10)-144)/1000)*AL1927+AM1927*(J1927/Basis!$E$5)^2)*0.0098)/Basis!$E$10)</f>
        <v>0.18635501696180629</v>
      </c>
      <c r="M1927" s="85"/>
      <c r="N1927" s="110">
        <v>1.373</v>
      </c>
      <c r="O1927" s="74"/>
      <c r="P1927" s="73">
        <v>6790</v>
      </c>
      <c r="Q1927" s="74"/>
      <c r="R1927" s="75"/>
      <c r="S1927" s="75"/>
      <c r="T1927" s="75"/>
      <c r="U1927" s="75"/>
      <c r="V1927" s="75"/>
      <c r="W1927" s="74"/>
      <c r="X1927" s="76"/>
      <c r="Y1927" s="76"/>
      <c r="Z1927" s="76"/>
      <c r="AA1927" s="76"/>
      <c r="AB1927" s="76"/>
      <c r="AC1927" s="74"/>
      <c r="AD1927" s="77"/>
      <c r="AE1927" s="77"/>
      <c r="AF1927" s="77"/>
      <c r="AG1927" s="77"/>
      <c r="AH1927" s="77"/>
      <c r="AI1927" s="68"/>
      <c r="AJ1927" s="214">
        <v>1.2760000000000001E-4</v>
      </c>
      <c r="AK1927" s="214">
        <v>1.7219</v>
      </c>
      <c r="AL1927" s="214">
        <v>2</v>
      </c>
      <c r="AM1927" s="214">
        <v>3.76611E-4</v>
      </c>
      <c r="AN1927" s="74"/>
      <c r="AO1927" s="73"/>
      <c r="AP1927" s="73"/>
      <c r="AQ1927" s="73"/>
      <c r="AR1927" s="73"/>
      <c r="AS1927" s="73"/>
      <c r="AT1927" s="74"/>
      <c r="AU1927" s="47"/>
      <c r="AV1927" s="48"/>
    </row>
    <row r="1928" spans="1:48" ht="12.75" customHeight="1" x14ac:dyDescent="0.25">
      <c r="A1928" s="72" t="s">
        <v>20</v>
      </c>
      <c r="B1928" s="43" t="s">
        <v>1833</v>
      </c>
      <c r="C1928" s="44" t="s">
        <v>2085</v>
      </c>
      <c r="D1928" s="45">
        <f>MROUND(MID($C1928,6,3)/Basis!$E$3,0.5)</f>
        <v>19.5</v>
      </c>
      <c r="E1928" s="45">
        <f>MROUND(MID($C1928,9,3)/Basis!$E$3,0.5)</f>
        <v>110</v>
      </c>
      <c r="F1928" s="124" t="s">
        <v>2948</v>
      </c>
      <c r="G1928" s="45">
        <f>ROUND((ROUNDDOWN($F1928/5,0)*5+1.8)/Basis!$E$3,1)</f>
        <v>8.6</v>
      </c>
      <c r="H1928" s="120">
        <f>ROUND($P1928*Basis!$E$2*((TaH-TrH)/LN(1/µ)/Basis!$E$7)^$N1928*$AA$4*Glycol,0)</f>
        <v>15112</v>
      </c>
      <c r="I1928" s="83">
        <f>ROUND(H1928/(MID($C1928,9,3)/Basis!$E$3/Basis!$E$9)*Basis!$E$11,0)</f>
        <v>1645</v>
      </c>
      <c r="J1928" s="123">
        <f>IF(Basis!$E$1=1,ROUND(H1928/((TaH-TrH)*1.163)/3600,3),ROUND(H1928/(500*(TaH-TrH)),2))</f>
        <v>1.51</v>
      </c>
      <c r="K1928" s="84"/>
      <c r="L1928" s="177">
        <f>CHOOSE(Basis!$E$1,((AJ1928*(J1928*3600/Basis!$E$5)^AK1928*(((MID(C1928,9,3)*10)-144)/1000)*AL1928+AM1928*(J1928*3600/Basis!$E$5)^2)*0.0098)/Basis!$E$10,((AJ1928*(J1928/Basis!$E$5)^AK1928*(((MID(C1928,9,3)*10)-144)/1000)*AL1928+AM1928*(J1928/Basis!$E$5)^2)*0.0098)/Basis!$E$10)</f>
        <v>0.30057519157632989</v>
      </c>
      <c r="M1928" s="85"/>
      <c r="N1928" s="110">
        <v>1.4850000000000001</v>
      </c>
      <c r="O1928" s="74"/>
      <c r="P1928" s="73">
        <v>7230</v>
      </c>
      <c r="Q1928" s="74"/>
      <c r="R1928" s="75"/>
      <c r="S1928" s="75"/>
      <c r="T1928" s="75"/>
      <c r="U1928" s="75"/>
      <c r="V1928" s="75"/>
      <c r="W1928" s="74"/>
      <c r="X1928" s="76"/>
      <c r="Y1928" s="76"/>
      <c r="Z1928" s="76"/>
      <c r="AA1928" s="76"/>
      <c r="AB1928" s="76"/>
      <c r="AC1928" s="74"/>
      <c r="AD1928" s="77"/>
      <c r="AE1928" s="77"/>
      <c r="AF1928" s="77"/>
      <c r="AG1928" s="77"/>
      <c r="AH1928" s="77"/>
      <c r="AI1928" s="68"/>
      <c r="AJ1928" s="213">
        <v>1.2760000000000001E-4</v>
      </c>
      <c r="AK1928" s="213">
        <v>1.7219</v>
      </c>
      <c r="AL1928" s="213">
        <v>4</v>
      </c>
      <c r="AM1928" s="213">
        <v>5.1420100000000005E-4</v>
      </c>
      <c r="AN1928" s="74"/>
      <c r="AO1928" s="73"/>
      <c r="AP1928" s="73"/>
      <c r="AQ1928" s="73"/>
      <c r="AR1928" s="73"/>
      <c r="AS1928" s="73"/>
      <c r="AT1928" s="74"/>
      <c r="AU1928" s="47"/>
      <c r="AV1928" s="48"/>
    </row>
    <row r="1929" spans="1:48" ht="12.75" customHeight="1" x14ac:dyDescent="0.25">
      <c r="A1929" s="72" t="s">
        <v>20</v>
      </c>
      <c r="B1929" s="43" t="s">
        <v>1833</v>
      </c>
      <c r="C1929" s="44" t="s">
        <v>2086</v>
      </c>
      <c r="D1929" s="45">
        <f>MROUND(MID($C1929,6,3)/Basis!$E$3,0.5)</f>
        <v>25.5</v>
      </c>
      <c r="E1929" s="45">
        <f>MROUND(MID($C1929,9,3)/Basis!$E$3,0.5)</f>
        <v>19.5</v>
      </c>
      <c r="F1929" s="124" t="s">
        <v>2949</v>
      </c>
      <c r="G1929" s="45">
        <f>ROUND((ROUNDDOWN($F1929/5,0)*5+3.5)/Basis!$E$3,1)</f>
        <v>3.3</v>
      </c>
      <c r="H1929" s="120">
        <f>ROUND($P1929*Basis!$E$2*((TaH-TrH)/LN(1/µ)/Basis!$E$7)^$N1929*$AA$4*Glycol,0)</f>
        <v>1165</v>
      </c>
      <c r="I1929" s="83">
        <f>ROUND(H1929/(MID($C1929,9,3)/Basis!$E$3/Basis!$E$9)*Basis!$E$11,0)</f>
        <v>710</v>
      </c>
      <c r="J1929" s="123">
        <f>IF(Basis!$E$1=1,ROUND(H1929/((TaH-TrH)*1.163)/3600,3),ROUND(H1929/(500*(TaH-TrH)),2))</f>
        <v>0.12</v>
      </c>
      <c r="K1929" s="84"/>
      <c r="L1929" s="177">
        <f>CHOOSE(Basis!$E$1,((AJ1929*(J1929*3600/Basis!$E$5)^AK1929*(((MID(C1929,9,3)*10)-144)/1000)*AL1929+AM1929*(J1929*3600/Basis!$E$5)^2)*0.0098)/Basis!$E$10,((AJ1929*(J1929/Basis!$E$5)^AK1929*(((MID(C1929,9,3)*10)-144)/1000)*AL1929+AM1929*(J1929/Basis!$E$5)^2)*0.0098)/Basis!$E$10)</f>
        <v>4.2833119834314107E-3</v>
      </c>
      <c r="M1929" s="85"/>
      <c r="N1929" s="110">
        <v>1.35</v>
      </c>
      <c r="O1929" s="74"/>
      <c r="P1929" s="73">
        <v>533</v>
      </c>
      <c r="Q1929" s="74"/>
      <c r="R1929" s="75"/>
      <c r="S1929" s="75"/>
      <c r="T1929" s="75"/>
      <c r="U1929" s="75"/>
      <c r="V1929" s="75"/>
      <c r="W1929" s="74"/>
      <c r="X1929" s="76"/>
      <c r="Y1929" s="76"/>
      <c r="Z1929" s="76"/>
      <c r="AA1929" s="76"/>
      <c r="AB1929" s="76"/>
      <c r="AC1929" s="74"/>
      <c r="AD1929" s="77"/>
      <c r="AE1929" s="77"/>
      <c r="AF1929" s="77"/>
      <c r="AG1929" s="77"/>
      <c r="AH1929" s="77"/>
      <c r="AI1929" s="68"/>
      <c r="AJ1929" s="213">
        <v>1.6125983042710999E-4</v>
      </c>
      <c r="AK1929" s="213">
        <v>2.1458504622376</v>
      </c>
      <c r="AL1929" s="213">
        <v>4</v>
      </c>
      <c r="AM1929" s="213">
        <v>1.3916423712342001E-3</v>
      </c>
      <c r="AN1929" s="74"/>
      <c r="AO1929" s="73"/>
      <c r="AP1929" s="73"/>
      <c r="AQ1929" s="73"/>
      <c r="AR1929" s="73"/>
      <c r="AS1929" s="73"/>
      <c r="AT1929" s="74"/>
      <c r="AU1929" s="47"/>
      <c r="AV1929" s="48"/>
    </row>
    <row r="1930" spans="1:48" ht="12.75" customHeight="1" x14ac:dyDescent="0.25">
      <c r="A1930" s="72" t="s">
        <v>20</v>
      </c>
      <c r="B1930" s="43" t="s">
        <v>1833</v>
      </c>
      <c r="C1930" s="44" t="s">
        <v>2087</v>
      </c>
      <c r="D1930" s="45">
        <f>MROUND(MID($C1930,6,3)/Basis!$E$3,0.5)</f>
        <v>25.5</v>
      </c>
      <c r="E1930" s="45">
        <f>MROUND(MID($C1930,9,3)/Basis!$E$3,0.5)</f>
        <v>19.5</v>
      </c>
      <c r="F1930" s="124" t="s">
        <v>2943</v>
      </c>
      <c r="G1930" s="45">
        <f>ROUND((ROUNDDOWN($F1930/5,0)*5+1.8)/Basis!$E$3,1)</f>
        <v>4.5999999999999996</v>
      </c>
      <c r="H1930" s="120">
        <f>ROUND($P1930*Basis!$E$2*((TaH-TrH)/LN(1/µ)/Basis!$E$7)^$N1930*$AA$4*Glycol,0)</f>
        <v>1315</v>
      </c>
      <c r="I1930" s="83">
        <f>ROUND(H1930/(MID($C1930,9,3)/Basis!$E$3/Basis!$E$9)*Basis!$E$11,0)</f>
        <v>802</v>
      </c>
      <c r="J1930" s="123">
        <f>IF(Basis!$E$1=1,ROUND(H1930/((TaH-TrH)*1.163)/3600,3),ROUND(H1930/(500*(TaH-TrH)),2))</f>
        <v>0.13</v>
      </c>
      <c r="K1930" s="84"/>
      <c r="L1930" s="177">
        <f>CHOOSE(Basis!$E$1,((AJ1930*(J1930*3600/Basis!$E$5)^AK1930*(((MID(C1930,9,3)*10)-144)/1000)*AL1930+AM1930*(J1930*3600/Basis!$E$5)^2)*0.0098)/Basis!$E$10,((AJ1930*(J1930/Basis!$E$5)^AK1930*(((MID(C1930,9,3)*10)-144)/1000)*AL1930+AM1930*(J1930/Basis!$E$5)^2)*0.0098)/Basis!$E$10)</f>
        <v>1.3751481461631344E-3</v>
      </c>
      <c r="M1930" s="85"/>
      <c r="N1930" s="109">
        <v>1.371</v>
      </c>
      <c r="O1930" s="68"/>
      <c r="P1930" s="67">
        <v>606</v>
      </c>
      <c r="Q1930" s="68"/>
      <c r="R1930" s="69"/>
      <c r="S1930" s="69"/>
      <c r="T1930" s="69"/>
      <c r="U1930" s="69"/>
      <c r="V1930" s="69"/>
      <c r="W1930" s="68"/>
      <c r="X1930" s="70"/>
      <c r="Y1930" s="70"/>
      <c r="Z1930" s="70"/>
      <c r="AA1930" s="70"/>
      <c r="AB1930" s="70"/>
      <c r="AC1930" s="68"/>
      <c r="AD1930" s="71"/>
      <c r="AE1930" s="71"/>
      <c r="AF1930" s="71"/>
      <c r="AG1930" s="71"/>
      <c r="AH1930" s="71"/>
      <c r="AI1930" s="68"/>
      <c r="AJ1930" s="214">
        <v>3.9689999999999994E-4</v>
      </c>
      <c r="AK1930" s="214">
        <v>1.7345999999999999</v>
      </c>
      <c r="AL1930" s="214">
        <v>2</v>
      </c>
      <c r="AM1930" s="214">
        <v>3.6734700000000002E-4</v>
      </c>
      <c r="AN1930" s="68"/>
      <c r="AO1930" s="67"/>
      <c r="AP1930" s="67"/>
      <c r="AQ1930" s="67"/>
      <c r="AR1930" s="67"/>
      <c r="AS1930" s="67"/>
      <c r="AT1930" s="68"/>
      <c r="AU1930" s="49"/>
      <c r="AV1930" s="50"/>
    </row>
    <row r="1931" spans="1:48" ht="12.75" customHeight="1" x14ac:dyDescent="0.25">
      <c r="A1931" s="72" t="s">
        <v>20</v>
      </c>
      <c r="B1931" s="43" t="s">
        <v>1833</v>
      </c>
      <c r="C1931" s="44" t="s">
        <v>2088</v>
      </c>
      <c r="D1931" s="45">
        <f>MROUND(MID($C1931,6,3)/Basis!$E$3,0.5)</f>
        <v>25.5</v>
      </c>
      <c r="E1931" s="45">
        <f>MROUND(MID($C1931,9,3)/Basis!$E$3,0.5)</f>
        <v>19.5</v>
      </c>
      <c r="F1931" s="124" t="s">
        <v>2946</v>
      </c>
      <c r="G1931" s="45">
        <f>ROUND((ROUNDDOWN($F1931/5,0)*5+1.8)/Basis!$E$3,1)</f>
        <v>4.5999999999999996</v>
      </c>
      <c r="H1931" s="120">
        <f>ROUND($P1931*Basis!$E$2*((TaH-TrH)/LN(1/µ)/Basis!$E$7)^$N1931*$AA$4*Glycol,0)</f>
        <v>1639</v>
      </c>
      <c r="I1931" s="83">
        <f>ROUND(H1931/(MID($C1931,9,3)/Basis!$E$3/Basis!$E$9)*Basis!$E$11,0)</f>
        <v>999</v>
      </c>
      <c r="J1931" s="123">
        <f>IF(Basis!$E$1=1,ROUND(H1931/((TaH-TrH)*1.163)/3600,3),ROUND(H1931/(500*(TaH-TrH)),2))</f>
        <v>0.16</v>
      </c>
      <c r="K1931" s="84"/>
      <c r="L1931" s="177">
        <f>CHOOSE(Basis!$E$1,((AJ1931*(J1931*3600/Basis!$E$5)^AK1931*(((MID(C1931,9,3)*10)-144)/1000)*AL1931+AM1931*(J1931*3600/Basis!$E$5)^2)*0.0098)/Basis!$E$10,((AJ1931*(J1931/Basis!$E$5)^AK1931*(((MID(C1931,9,3)*10)-144)/1000)*AL1931+AM1931*(J1931/Basis!$E$5)^2)*0.0098)/Basis!$E$10)</f>
        <v>3.4202219579976324E-3</v>
      </c>
      <c r="M1931" s="85"/>
      <c r="N1931" s="110">
        <v>1.4370000000000001</v>
      </c>
      <c r="O1931" s="74"/>
      <c r="P1931" s="73">
        <v>772</v>
      </c>
      <c r="Q1931" s="74"/>
      <c r="R1931" s="75"/>
      <c r="S1931" s="75"/>
      <c r="T1931" s="75"/>
      <c r="U1931" s="75"/>
      <c r="V1931" s="75"/>
      <c r="W1931" s="74"/>
      <c r="X1931" s="76"/>
      <c r="Y1931" s="76"/>
      <c r="Z1931" s="76"/>
      <c r="AA1931" s="76"/>
      <c r="AB1931" s="76"/>
      <c r="AC1931" s="74"/>
      <c r="AD1931" s="77"/>
      <c r="AE1931" s="77"/>
      <c r="AF1931" s="77"/>
      <c r="AG1931" s="77"/>
      <c r="AH1931" s="77"/>
      <c r="AI1931" s="68"/>
      <c r="AJ1931" s="213">
        <v>3.9689999999999994E-4</v>
      </c>
      <c r="AK1931" s="213">
        <v>1.7345999999999999</v>
      </c>
      <c r="AL1931" s="213">
        <v>4</v>
      </c>
      <c r="AM1931" s="213">
        <v>5.7428799999999995E-4</v>
      </c>
      <c r="AN1931" s="74"/>
      <c r="AO1931" s="73"/>
      <c r="AP1931" s="73"/>
      <c r="AQ1931" s="73"/>
      <c r="AR1931" s="73"/>
      <c r="AS1931" s="73"/>
      <c r="AT1931" s="74"/>
      <c r="AU1931" s="47"/>
      <c r="AV1931" s="48"/>
    </row>
    <row r="1932" spans="1:48" ht="12.75" customHeight="1" x14ac:dyDescent="0.25">
      <c r="A1932" s="72" t="s">
        <v>20</v>
      </c>
      <c r="B1932" s="43" t="s">
        <v>1833</v>
      </c>
      <c r="C1932" s="44" t="s">
        <v>2089</v>
      </c>
      <c r="D1932" s="45">
        <f>MROUND(MID($C1932,6,3)/Basis!$E$3,0.5)</f>
        <v>25.5</v>
      </c>
      <c r="E1932" s="45">
        <f>MROUND(MID($C1932,9,3)/Basis!$E$3,0.5)</f>
        <v>19.5</v>
      </c>
      <c r="F1932" s="124" t="s">
        <v>2944</v>
      </c>
      <c r="G1932" s="45">
        <f>ROUND((ROUNDDOWN($F1932/5,0)*5+1.8)/Basis!$E$3,1)</f>
        <v>6.6</v>
      </c>
      <c r="H1932" s="120">
        <f>ROUND($P1932*Basis!$E$2*((TaH-TrH)/LN(1/µ)/Basis!$E$7)^$N1932*$AA$4*Glycol,0)</f>
        <v>2097</v>
      </c>
      <c r="I1932" s="83">
        <f>ROUND(H1932/(MID($C1932,9,3)/Basis!$E$3/Basis!$E$9)*Basis!$E$11,0)</f>
        <v>1278</v>
      </c>
      <c r="J1932" s="123">
        <f>IF(Basis!$E$1=1,ROUND(H1932/((TaH-TrH)*1.163)/3600,3),ROUND(H1932/(500*(TaH-TrH)),2))</f>
        <v>0.21</v>
      </c>
      <c r="K1932" s="84"/>
      <c r="L1932" s="177">
        <f>CHOOSE(Basis!$E$1,((AJ1932*(J1932*3600/Basis!$E$5)^AK1932*(((MID(C1932,9,3)*10)-144)/1000)*AL1932+AM1932*(J1932*3600/Basis!$E$5)^2)*0.0098)/Basis!$E$10,((AJ1932*(J1932/Basis!$E$5)^AK1932*(((MID(C1932,9,3)*10)-144)/1000)*AL1932+AM1932*(J1932/Basis!$E$5)^2)*0.0098)/Basis!$E$10)</f>
        <v>3.8148991976587956E-3</v>
      </c>
      <c r="M1932" s="85"/>
      <c r="N1932" s="109">
        <v>1.355</v>
      </c>
      <c r="O1932" s="68"/>
      <c r="P1932" s="67">
        <v>961</v>
      </c>
      <c r="Q1932" s="68"/>
      <c r="R1932" s="69"/>
      <c r="S1932" s="69"/>
      <c r="T1932" s="69"/>
      <c r="U1932" s="69"/>
      <c r="V1932" s="69"/>
      <c r="W1932" s="68"/>
      <c r="X1932" s="70"/>
      <c r="Y1932" s="70"/>
      <c r="Z1932" s="70"/>
      <c r="AA1932" s="70"/>
      <c r="AB1932" s="70"/>
      <c r="AC1932" s="68"/>
      <c r="AD1932" s="71"/>
      <c r="AE1932" s="71"/>
      <c r="AF1932" s="71"/>
      <c r="AG1932" s="71"/>
      <c r="AH1932" s="71"/>
      <c r="AI1932" s="68"/>
      <c r="AJ1932" s="214">
        <v>2.0829999999999999E-4</v>
      </c>
      <c r="AK1932" s="214">
        <v>1.724</v>
      </c>
      <c r="AL1932" s="214">
        <v>2</v>
      </c>
      <c r="AM1932" s="214">
        <v>4.6182900000000003E-4</v>
      </c>
      <c r="AN1932" s="68"/>
      <c r="AO1932" s="67"/>
      <c r="AP1932" s="67"/>
      <c r="AQ1932" s="67"/>
      <c r="AR1932" s="67"/>
      <c r="AS1932" s="67"/>
      <c r="AT1932" s="68"/>
      <c r="AU1932" s="49"/>
      <c r="AV1932" s="50"/>
    </row>
    <row r="1933" spans="1:48" ht="12.75" customHeight="1" x14ac:dyDescent="0.25">
      <c r="A1933" s="72" t="s">
        <v>20</v>
      </c>
      <c r="B1933" s="43" t="s">
        <v>1833</v>
      </c>
      <c r="C1933" s="44" t="s">
        <v>2090</v>
      </c>
      <c r="D1933" s="45">
        <f>MROUND(MID($C1933,6,3)/Basis!$E$3,0.5)</f>
        <v>25.5</v>
      </c>
      <c r="E1933" s="45">
        <f>MROUND(MID($C1933,9,3)/Basis!$E$3,0.5)</f>
        <v>19.5</v>
      </c>
      <c r="F1933" s="124" t="s">
        <v>2947</v>
      </c>
      <c r="G1933" s="45">
        <f>ROUND((ROUNDDOWN($F1933/5,0)*5+1.8)/Basis!$E$3,1)</f>
        <v>6.6</v>
      </c>
      <c r="H1933" s="120">
        <f>ROUND($P1933*Basis!$E$2*((TaH-TrH)/LN(1/µ)/Basis!$E$7)^$N1933*$AA$4*Glycol,0)</f>
        <v>2283</v>
      </c>
      <c r="I1933" s="83">
        <f>ROUND(H1933/(MID($C1933,9,3)/Basis!$E$3/Basis!$E$9)*Basis!$E$11,0)</f>
        <v>1392</v>
      </c>
      <c r="J1933" s="123">
        <f>IF(Basis!$E$1=1,ROUND(H1933/((TaH-TrH)*1.163)/3600,3),ROUND(H1933/(500*(TaH-TrH)),2))</f>
        <v>0.23</v>
      </c>
      <c r="K1933" s="84"/>
      <c r="L1933" s="177">
        <f>CHOOSE(Basis!$E$1,((AJ1933*(J1933*3600/Basis!$E$5)^AK1933*(((MID(C1933,9,3)*10)-144)/1000)*AL1933+AM1933*(J1933*3600/Basis!$E$5)^2)*0.0098)/Basis!$E$10,((AJ1933*(J1933/Basis!$E$5)^AK1933*(((MID(C1933,9,3)*10)-144)/1000)*AL1933+AM1933*(J1933/Basis!$E$5)^2)*0.0098)/Basis!$E$10)</f>
        <v>1.3315665351232629E-2</v>
      </c>
      <c r="M1933" s="85"/>
      <c r="N1933" s="110">
        <v>1.47</v>
      </c>
      <c r="O1933" s="74"/>
      <c r="P1933" s="73">
        <v>1087</v>
      </c>
      <c r="Q1933" s="74"/>
      <c r="R1933" s="75"/>
      <c r="S1933" s="75"/>
      <c r="T1933" s="75"/>
      <c r="U1933" s="75"/>
      <c r="V1933" s="75"/>
      <c r="W1933" s="74"/>
      <c r="X1933" s="76"/>
      <c r="Y1933" s="76"/>
      <c r="Z1933" s="76"/>
      <c r="AA1933" s="76"/>
      <c r="AB1933" s="76"/>
      <c r="AC1933" s="74"/>
      <c r="AD1933" s="77"/>
      <c r="AE1933" s="77"/>
      <c r="AF1933" s="77"/>
      <c r="AG1933" s="77"/>
      <c r="AH1933" s="77"/>
      <c r="AI1933" s="68"/>
      <c r="AJ1933" s="213">
        <v>2.0829999999999999E-4</v>
      </c>
      <c r="AK1933" s="213">
        <v>1.724</v>
      </c>
      <c r="AL1933" s="213">
        <v>4</v>
      </c>
      <c r="AM1933" s="213">
        <v>1.392796E-3</v>
      </c>
      <c r="AN1933" s="74"/>
      <c r="AO1933" s="73"/>
      <c r="AP1933" s="73"/>
      <c r="AQ1933" s="73"/>
      <c r="AR1933" s="73"/>
      <c r="AS1933" s="73"/>
      <c r="AT1933" s="74"/>
      <c r="AU1933" s="47"/>
      <c r="AV1933" s="48"/>
    </row>
    <row r="1934" spans="1:48" ht="12.75" customHeight="1" x14ac:dyDescent="0.25">
      <c r="A1934" s="72" t="s">
        <v>20</v>
      </c>
      <c r="B1934" s="43" t="s">
        <v>1833</v>
      </c>
      <c r="C1934" s="44" t="s">
        <v>2091</v>
      </c>
      <c r="D1934" s="45">
        <f>MROUND(MID($C1934,6,3)/Basis!$E$3,0.5)</f>
        <v>25.5</v>
      </c>
      <c r="E1934" s="45">
        <f>MROUND(MID($C1934,9,3)/Basis!$E$3,0.5)</f>
        <v>19.5</v>
      </c>
      <c r="F1934" s="124" t="s">
        <v>2945</v>
      </c>
      <c r="G1934" s="45">
        <f>ROUND((ROUNDDOWN($F1934/5,0)*5+1.8)/Basis!$E$3,1)</f>
        <v>8.6</v>
      </c>
      <c r="H1934" s="120">
        <f>ROUND($P1934*Basis!$E$2*((TaH-TrH)/LN(1/µ)/Basis!$E$7)^$N1934*$AA$4*Glycol,0)</f>
        <v>2930</v>
      </c>
      <c r="I1934" s="83">
        <f>ROUND(H1934/(MID($C1934,9,3)/Basis!$E$3/Basis!$E$9)*Basis!$E$11,0)</f>
        <v>1786</v>
      </c>
      <c r="J1934" s="123">
        <f>IF(Basis!$E$1=1,ROUND(H1934/((TaH-TrH)*1.163)/3600,3),ROUND(H1934/(500*(TaH-TrH)),2))</f>
        <v>0.28999999999999998</v>
      </c>
      <c r="K1934" s="84"/>
      <c r="L1934" s="177">
        <f>CHOOSE(Basis!$E$1,((AJ1934*(J1934*3600/Basis!$E$5)^AK1934*(((MID(C1934,9,3)*10)-144)/1000)*AL1934+AM1934*(J1934*3600/Basis!$E$5)^2)*0.0098)/Basis!$E$10,((AJ1934*(J1934/Basis!$E$5)^AK1934*(((MID(C1934,9,3)*10)-144)/1000)*AL1934+AM1934*(J1934/Basis!$E$5)^2)*0.0098)/Basis!$E$10)</f>
        <v>5.7444432043868661E-3</v>
      </c>
      <c r="M1934" s="85"/>
      <c r="N1934" s="109">
        <v>1.355</v>
      </c>
      <c r="O1934" s="68"/>
      <c r="P1934" s="67">
        <v>1343</v>
      </c>
      <c r="Q1934" s="68"/>
      <c r="R1934" s="69"/>
      <c r="S1934" s="69"/>
      <c r="T1934" s="69"/>
      <c r="U1934" s="69"/>
      <c r="V1934" s="69"/>
      <c r="W1934" s="68"/>
      <c r="X1934" s="70"/>
      <c r="Y1934" s="70"/>
      <c r="Z1934" s="70"/>
      <c r="AA1934" s="70"/>
      <c r="AB1934" s="70"/>
      <c r="AC1934" s="68"/>
      <c r="AD1934" s="71"/>
      <c r="AE1934" s="71"/>
      <c r="AF1934" s="71"/>
      <c r="AG1934" s="71"/>
      <c r="AH1934" s="71"/>
      <c r="AI1934" s="68"/>
      <c r="AJ1934" s="214">
        <v>1.2760000000000001E-4</v>
      </c>
      <c r="AK1934" s="214">
        <v>1.7219</v>
      </c>
      <c r="AL1934" s="214">
        <v>2</v>
      </c>
      <c r="AM1934" s="214">
        <v>3.76611E-4</v>
      </c>
      <c r="AN1934" s="68"/>
      <c r="AO1934" s="67"/>
      <c r="AP1934" s="67"/>
      <c r="AQ1934" s="67"/>
      <c r="AR1934" s="67"/>
      <c r="AS1934" s="67"/>
      <c r="AT1934" s="68"/>
      <c r="AU1934" s="49"/>
      <c r="AV1934" s="50"/>
    </row>
    <row r="1935" spans="1:48" ht="12.75" customHeight="1" x14ac:dyDescent="0.25">
      <c r="A1935" s="72" t="s">
        <v>20</v>
      </c>
      <c r="B1935" s="43" t="s">
        <v>1833</v>
      </c>
      <c r="C1935" s="44" t="s">
        <v>2092</v>
      </c>
      <c r="D1935" s="45">
        <f>MROUND(MID($C1935,6,3)/Basis!$E$3,0.5)</f>
        <v>25.5</v>
      </c>
      <c r="E1935" s="45">
        <f>MROUND(MID($C1935,9,3)/Basis!$E$3,0.5)</f>
        <v>19.5</v>
      </c>
      <c r="F1935" s="124" t="s">
        <v>2948</v>
      </c>
      <c r="G1935" s="45">
        <f>ROUND((ROUNDDOWN($F1935/5,0)*5+1.8)/Basis!$E$3,1)</f>
        <v>8.6</v>
      </c>
      <c r="H1935" s="120">
        <f>ROUND($P1935*Basis!$E$2*((TaH-TrH)/LN(1/µ)/Basis!$E$7)^$N1935*$AA$4*Glycol,0)</f>
        <v>3154</v>
      </c>
      <c r="I1935" s="83">
        <f>ROUND(H1935/(MID($C1935,9,3)/Basis!$E$3/Basis!$E$9)*Basis!$E$11,0)</f>
        <v>1923</v>
      </c>
      <c r="J1935" s="123">
        <f>IF(Basis!$E$1=1,ROUND(H1935/((TaH-TrH)*1.163)/3600,3),ROUND(H1935/(500*(TaH-TrH)),2))</f>
        <v>0.32</v>
      </c>
      <c r="K1935" s="84"/>
      <c r="L1935" s="177">
        <f>CHOOSE(Basis!$E$1,((AJ1935*(J1935*3600/Basis!$E$5)^AK1935*(((MID(C1935,9,3)*10)-144)/1000)*AL1935+AM1935*(J1935*3600/Basis!$E$5)^2)*0.0098)/Basis!$E$10,((AJ1935*(J1935/Basis!$E$5)^AK1935*(((MID(C1935,9,3)*10)-144)/1000)*AL1935+AM1935*(J1935/Basis!$E$5)^2)*0.0098)/Basis!$E$10)</f>
        <v>9.8340734887467016E-3</v>
      </c>
      <c r="M1935" s="85"/>
      <c r="N1935" s="110">
        <v>1.4970000000000001</v>
      </c>
      <c r="O1935" s="74"/>
      <c r="P1935" s="73">
        <v>1515</v>
      </c>
      <c r="Q1935" s="74"/>
      <c r="R1935" s="75"/>
      <c r="S1935" s="75"/>
      <c r="T1935" s="75"/>
      <c r="U1935" s="75"/>
      <c r="V1935" s="75"/>
      <c r="W1935" s="74"/>
      <c r="X1935" s="76"/>
      <c r="Y1935" s="76"/>
      <c r="Z1935" s="76"/>
      <c r="AA1935" s="76"/>
      <c r="AB1935" s="76"/>
      <c r="AC1935" s="74"/>
      <c r="AD1935" s="77"/>
      <c r="AE1935" s="77"/>
      <c r="AF1935" s="77"/>
      <c r="AG1935" s="77"/>
      <c r="AH1935" s="77"/>
      <c r="AI1935" s="68"/>
      <c r="AJ1935" s="213">
        <v>1.2760000000000001E-4</v>
      </c>
      <c r="AK1935" s="213">
        <v>1.7219</v>
      </c>
      <c r="AL1935" s="213">
        <v>4</v>
      </c>
      <c r="AM1935" s="213">
        <v>5.1420100000000005E-4</v>
      </c>
      <c r="AN1935" s="74"/>
      <c r="AO1935" s="73"/>
      <c r="AP1935" s="73"/>
      <c r="AQ1935" s="73"/>
      <c r="AR1935" s="73"/>
      <c r="AS1935" s="73"/>
      <c r="AT1935" s="74"/>
      <c r="AU1935" s="47"/>
      <c r="AV1935" s="48"/>
    </row>
    <row r="1936" spans="1:48" ht="12.75" customHeight="1" x14ac:dyDescent="0.25">
      <c r="A1936" s="72" t="s">
        <v>20</v>
      </c>
      <c r="B1936" s="43" t="s">
        <v>1833</v>
      </c>
      <c r="C1936" s="44" t="s">
        <v>2093</v>
      </c>
      <c r="D1936" s="45">
        <f>MROUND(MID($C1936,6,3)/Basis!$E$3,0.5)</f>
        <v>25.5</v>
      </c>
      <c r="E1936" s="45">
        <f>MROUND(MID($C1936,9,3)/Basis!$E$3,0.5)</f>
        <v>23.5</v>
      </c>
      <c r="F1936" s="124" t="s">
        <v>2949</v>
      </c>
      <c r="G1936" s="45">
        <f>ROUND((ROUNDDOWN($F1936/5,0)*5+3.5)/Basis!$E$3,1)</f>
        <v>3.3</v>
      </c>
      <c r="H1936" s="120">
        <f>ROUND($P1936*Basis!$E$2*((TaH-TrH)/LN(1/µ)/Basis!$E$7)^$N1936*$AA$4*Glycol,0)</f>
        <v>1399</v>
      </c>
      <c r="I1936" s="83">
        <f>ROUND(H1936/(MID($C1936,9,3)/Basis!$E$3/Basis!$E$9)*Basis!$E$11,0)</f>
        <v>711</v>
      </c>
      <c r="J1936" s="123">
        <f>IF(Basis!$E$1=1,ROUND(H1936/((TaH-TrH)*1.163)/3600,3),ROUND(H1936/(500*(TaH-TrH)),2))</f>
        <v>0.14000000000000001</v>
      </c>
      <c r="K1936" s="84"/>
      <c r="L1936" s="177">
        <f>CHOOSE(Basis!$E$1,((AJ1936*(J1936*3600/Basis!$E$5)^AK1936*(((MID(C1936,9,3)*10)-144)/1000)*AL1936+AM1936*(J1936*3600/Basis!$E$5)^2)*0.0098)/Basis!$E$10,((AJ1936*(J1936/Basis!$E$5)^AK1936*(((MID(C1936,9,3)*10)-144)/1000)*AL1936+AM1936*(J1936/Basis!$E$5)^2)*0.0098)/Basis!$E$10)</f>
        <v>6.2112024044912988E-3</v>
      </c>
      <c r="M1936" s="85"/>
      <c r="N1936" s="109">
        <v>1.35</v>
      </c>
      <c r="O1936" s="68"/>
      <c r="P1936" s="67">
        <v>640</v>
      </c>
      <c r="Q1936" s="68"/>
      <c r="R1936" s="69"/>
      <c r="S1936" s="69"/>
      <c r="T1936" s="69"/>
      <c r="U1936" s="69"/>
      <c r="V1936" s="69"/>
      <c r="W1936" s="68"/>
      <c r="X1936" s="70"/>
      <c r="Y1936" s="70"/>
      <c r="Z1936" s="70"/>
      <c r="AA1936" s="70"/>
      <c r="AB1936" s="70"/>
      <c r="AC1936" s="68"/>
      <c r="AD1936" s="71"/>
      <c r="AE1936" s="71"/>
      <c r="AF1936" s="71"/>
      <c r="AG1936" s="71"/>
      <c r="AH1936" s="71"/>
      <c r="AI1936" s="68"/>
      <c r="AJ1936" s="214">
        <v>1.6125983042710999E-4</v>
      </c>
      <c r="AK1936" s="214">
        <v>2.1458504622376</v>
      </c>
      <c r="AL1936" s="214">
        <v>4</v>
      </c>
      <c r="AM1936" s="214">
        <v>1.3916423712342001E-3</v>
      </c>
      <c r="AN1936" s="68"/>
      <c r="AO1936" s="67"/>
      <c r="AP1936" s="67"/>
      <c r="AQ1936" s="67"/>
      <c r="AR1936" s="67"/>
      <c r="AS1936" s="67"/>
      <c r="AT1936" s="68"/>
      <c r="AU1936" s="49"/>
      <c r="AV1936" s="50"/>
    </row>
    <row r="1937" spans="1:48" ht="12.75" customHeight="1" x14ac:dyDescent="0.25">
      <c r="A1937" s="72" t="s">
        <v>20</v>
      </c>
      <c r="B1937" s="43" t="s">
        <v>1833</v>
      </c>
      <c r="C1937" s="44" t="s">
        <v>2094</v>
      </c>
      <c r="D1937" s="45">
        <f>MROUND(MID($C1937,6,3)/Basis!$E$3,0.5)</f>
        <v>25.5</v>
      </c>
      <c r="E1937" s="45">
        <f>MROUND(MID($C1937,9,3)/Basis!$E$3,0.5)</f>
        <v>23.5</v>
      </c>
      <c r="F1937" s="124" t="s">
        <v>2943</v>
      </c>
      <c r="G1937" s="45">
        <f>ROUND((ROUNDDOWN($F1937/5,0)*5+1.8)/Basis!$E$3,1)</f>
        <v>4.5999999999999996</v>
      </c>
      <c r="H1937" s="120">
        <f>ROUND($P1937*Basis!$E$2*((TaH-TrH)/LN(1/µ)/Basis!$E$7)^$N1937*$AA$4*Glycol,0)</f>
        <v>1578</v>
      </c>
      <c r="I1937" s="83">
        <f>ROUND(H1937/(MID($C1937,9,3)/Basis!$E$3/Basis!$E$9)*Basis!$E$11,0)</f>
        <v>802</v>
      </c>
      <c r="J1937" s="123">
        <f>IF(Basis!$E$1=1,ROUND(H1937/((TaH-TrH)*1.163)/3600,3),ROUND(H1937/(500*(TaH-TrH)),2))</f>
        <v>0.16</v>
      </c>
      <c r="K1937" s="84"/>
      <c r="L1937" s="177">
        <f>CHOOSE(Basis!$E$1,((AJ1937*(J1937*3600/Basis!$E$5)^AK1937*(((MID(C1937,9,3)*10)-144)/1000)*AL1937+AM1937*(J1937*3600/Basis!$E$5)^2)*0.0098)/Basis!$E$10,((AJ1937*(J1937/Basis!$E$5)^AK1937*(((MID(C1937,9,3)*10)-144)/1000)*AL1937+AM1937*(J1937/Basis!$E$5)^2)*0.0098)/Basis!$E$10)</f>
        <v>2.1885127192364483E-3</v>
      </c>
      <c r="M1937" s="85"/>
      <c r="N1937" s="110">
        <v>1.371</v>
      </c>
      <c r="O1937" s="74"/>
      <c r="P1937" s="73">
        <v>727</v>
      </c>
      <c r="Q1937" s="74"/>
      <c r="R1937" s="75"/>
      <c r="S1937" s="75"/>
      <c r="T1937" s="75"/>
      <c r="U1937" s="75"/>
      <c r="V1937" s="75"/>
      <c r="W1937" s="74"/>
      <c r="X1937" s="76"/>
      <c r="Y1937" s="76"/>
      <c r="Z1937" s="76"/>
      <c r="AA1937" s="76"/>
      <c r="AB1937" s="76"/>
      <c r="AC1937" s="74"/>
      <c r="AD1937" s="77"/>
      <c r="AE1937" s="77"/>
      <c r="AF1937" s="77"/>
      <c r="AG1937" s="77"/>
      <c r="AH1937" s="77"/>
      <c r="AI1937" s="68"/>
      <c r="AJ1937" s="213">
        <v>3.9689999999999994E-4</v>
      </c>
      <c r="AK1937" s="213">
        <v>1.7345999999999999</v>
      </c>
      <c r="AL1937" s="213">
        <v>2</v>
      </c>
      <c r="AM1937" s="213">
        <v>3.6734700000000002E-4</v>
      </c>
      <c r="AN1937" s="74"/>
      <c r="AO1937" s="73"/>
      <c r="AP1937" s="73"/>
      <c r="AQ1937" s="73"/>
      <c r="AR1937" s="73"/>
      <c r="AS1937" s="73"/>
      <c r="AT1937" s="74"/>
      <c r="AU1937" s="47"/>
      <c r="AV1937" s="48"/>
    </row>
    <row r="1938" spans="1:48" ht="12.75" customHeight="1" x14ac:dyDescent="0.25">
      <c r="A1938" s="72" t="s">
        <v>20</v>
      </c>
      <c r="B1938" s="43" t="s">
        <v>1833</v>
      </c>
      <c r="C1938" s="44" t="s">
        <v>2095</v>
      </c>
      <c r="D1938" s="45">
        <f>MROUND(MID($C1938,6,3)/Basis!$E$3,0.5)</f>
        <v>25.5</v>
      </c>
      <c r="E1938" s="45">
        <f>MROUND(MID($C1938,9,3)/Basis!$E$3,0.5)</f>
        <v>23.5</v>
      </c>
      <c r="F1938" s="124" t="s">
        <v>2946</v>
      </c>
      <c r="G1938" s="45">
        <f>ROUND((ROUNDDOWN($F1938/5,0)*5+1.8)/Basis!$E$3,1)</f>
        <v>4.5999999999999996</v>
      </c>
      <c r="H1938" s="120">
        <f>ROUND($P1938*Basis!$E$2*((TaH-TrH)/LN(1/µ)/Basis!$E$7)^$N1938*$AA$4*Glycol,0)</f>
        <v>1966</v>
      </c>
      <c r="I1938" s="83">
        <f>ROUND(H1938/(MID($C1938,9,3)/Basis!$E$3/Basis!$E$9)*Basis!$E$11,0)</f>
        <v>999</v>
      </c>
      <c r="J1938" s="123">
        <f>IF(Basis!$E$1=1,ROUND(H1938/((TaH-TrH)*1.163)/3600,3),ROUND(H1938/(500*(TaH-TrH)),2))</f>
        <v>0.2</v>
      </c>
      <c r="K1938" s="84"/>
      <c r="L1938" s="177">
        <f>CHOOSE(Basis!$E$1,((AJ1938*(J1938*3600/Basis!$E$5)^AK1938*(((MID(C1938,9,3)*10)-144)/1000)*AL1938+AM1938*(J1938*3600/Basis!$E$5)^2)*0.0098)/Basis!$E$10,((AJ1938*(J1938/Basis!$E$5)^AK1938*(((MID(C1938,9,3)*10)-144)/1000)*AL1938+AM1938*(J1938/Basis!$E$5)^2)*0.0098)/Basis!$E$10)</f>
        <v>5.6486391721736603E-3</v>
      </c>
      <c r="M1938" s="85"/>
      <c r="N1938" s="110">
        <v>1.4370000000000001</v>
      </c>
      <c r="O1938" s="74"/>
      <c r="P1938" s="73">
        <v>926</v>
      </c>
      <c r="Q1938" s="74"/>
      <c r="R1938" s="75"/>
      <c r="S1938" s="75"/>
      <c r="T1938" s="75"/>
      <c r="U1938" s="75"/>
      <c r="V1938" s="75"/>
      <c r="W1938" s="74"/>
      <c r="X1938" s="76"/>
      <c r="Y1938" s="76"/>
      <c r="Z1938" s="76"/>
      <c r="AA1938" s="76"/>
      <c r="AB1938" s="76"/>
      <c r="AC1938" s="74"/>
      <c r="AD1938" s="77"/>
      <c r="AE1938" s="77"/>
      <c r="AF1938" s="77"/>
      <c r="AG1938" s="77"/>
      <c r="AH1938" s="77"/>
      <c r="AI1938" s="68"/>
      <c r="AJ1938" s="213">
        <v>3.9689999999999994E-4</v>
      </c>
      <c r="AK1938" s="213">
        <v>1.7345999999999999</v>
      </c>
      <c r="AL1938" s="213">
        <v>4</v>
      </c>
      <c r="AM1938" s="213">
        <v>5.7428799999999995E-4</v>
      </c>
      <c r="AN1938" s="74"/>
      <c r="AO1938" s="73"/>
      <c r="AP1938" s="73"/>
      <c r="AQ1938" s="73"/>
      <c r="AR1938" s="73"/>
      <c r="AS1938" s="73"/>
      <c r="AT1938" s="74"/>
      <c r="AU1938" s="47"/>
      <c r="AV1938" s="48"/>
    </row>
    <row r="1939" spans="1:48" ht="12.75" customHeight="1" x14ac:dyDescent="0.25">
      <c r="A1939" s="72" t="s">
        <v>20</v>
      </c>
      <c r="B1939" s="43" t="s">
        <v>1833</v>
      </c>
      <c r="C1939" s="44" t="s">
        <v>2096</v>
      </c>
      <c r="D1939" s="45">
        <f>MROUND(MID($C1939,6,3)/Basis!$E$3,0.5)</f>
        <v>25.5</v>
      </c>
      <c r="E1939" s="45">
        <f>MROUND(MID($C1939,9,3)/Basis!$E$3,0.5)</f>
        <v>23.5</v>
      </c>
      <c r="F1939" s="124" t="s">
        <v>2944</v>
      </c>
      <c r="G1939" s="45">
        <f>ROUND((ROUNDDOWN($F1939/5,0)*5+1.8)/Basis!$E$3,1)</f>
        <v>6.6</v>
      </c>
      <c r="H1939" s="120">
        <f>ROUND($P1939*Basis!$E$2*((TaH-TrH)/LN(1/µ)/Basis!$E$7)^$N1939*$AA$4*Glycol,0)</f>
        <v>2516</v>
      </c>
      <c r="I1939" s="83">
        <f>ROUND(H1939/(MID($C1939,9,3)/Basis!$E$3/Basis!$E$9)*Basis!$E$11,0)</f>
        <v>1278</v>
      </c>
      <c r="J1939" s="123">
        <f>IF(Basis!$E$1=1,ROUND(H1939/((TaH-TrH)*1.163)/3600,3),ROUND(H1939/(500*(TaH-TrH)),2))</f>
        <v>0.25</v>
      </c>
      <c r="K1939" s="84"/>
      <c r="L1939" s="177">
        <f>CHOOSE(Basis!$E$1,((AJ1939*(J1939*3600/Basis!$E$5)^AK1939*(((MID(C1939,9,3)*10)-144)/1000)*AL1939+AM1939*(J1939*3600/Basis!$E$5)^2)*0.0098)/Basis!$E$10,((AJ1939*(J1939/Basis!$E$5)^AK1939*(((MID(C1939,9,3)*10)-144)/1000)*AL1939+AM1939*(J1939/Basis!$E$5)^2)*0.0098)/Basis!$E$10)</f>
        <v>5.5253632032331154E-3</v>
      </c>
      <c r="M1939" s="85"/>
      <c r="N1939" s="110">
        <v>1.355</v>
      </c>
      <c r="O1939" s="74"/>
      <c r="P1939" s="73">
        <v>1153</v>
      </c>
      <c r="Q1939" s="74"/>
      <c r="R1939" s="75"/>
      <c r="S1939" s="75"/>
      <c r="T1939" s="75"/>
      <c r="U1939" s="75"/>
      <c r="V1939" s="75"/>
      <c r="W1939" s="74"/>
      <c r="X1939" s="76"/>
      <c r="Y1939" s="76"/>
      <c r="Z1939" s="76"/>
      <c r="AA1939" s="76"/>
      <c r="AB1939" s="76"/>
      <c r="AC1939" s="74"/>
      <c r="AD1939" s="77"/>
      <c r="AE1939" s="77"/>
      <c r="AF1939" s="77"/>
      <c r="AG1939" s="77"/>
      <c r="AH1939" s="77"/>
      <c r="AI1939" s="68"/>
      <c r="AJ1939" s="213">
        <v>2.0829999999999999E-4</v>
      </c>
      <c r="AK1939" s="213">
        <v>1.724</v>
      </c>
      <c r="AL1939" s="213">
        <v>2</v>
      </c>
      <c r="AM1939" s="213">
        <v>4.6182900000000003E-4</v>
      </c>
      <c r="AN1939" s="74"/>
      <c r="AO1939" s="73"/>
      <c r="AP1939" s="73"/>
      <c r="AQ1939" s="73"/>
      <c r="AR1939" s="73"/>
      <c r="AS1939" s="73"/>
      <c r="AT1939" s="74"/>
      <c r="AU1939" s="47"/>
      <c r="AV1939" s="48"/>
    </row>
    <row r="1940" spans="1:48" ht="12.75" customHeight="1" x14ac:dyDescent="0.25">
      <c r="A1940" s="72" t="s">
        <v>20</v>
      </c>
      <c r="B1940" s="43" t="s">
        <v>1833</v>
      </c>
      <c r="C1940" s="44" t="s">
        <v>2097</v>
      </c>
      <c r="D1940" s="45">
        <f>MROUND(MID($C1940,6,3)/Basis!$E$3,0.5)</f>
        <v>25.5</v>
      </c>
      <c r="E1940" s="45">
        <f>MROUND(MID($C1940,9,3)/Basis!$E$3,0.5)</f>
        <v>23.5</v>
      </c>
      <c r="F1940" s="124" t="s">
        <v>2947</v>
      </c>
      <c r="G1940" s="45">
        <f>ROUND((ROUNDDOWN($F1940/5,0)*5+1.8)/Basis!$E$3,1)</f>
        <v>6.6</v>
      </c>
      <c r="H1940" s="120">
        <f>ROUND($P1940*Basis!$E$2*((TaH-TrH)/LN(1/µ)/Basis!$E$7)^$N1940*$AA$4*Glycol,0)</f>
        <v>2739</v>
      </c>
      <c r="I1940" s="83">
        <f>ROUND(H1940/(MID($C1940,9,3)/Basis!$E$3/Basis!$E$9)*Basis!$E$11,0)</f>
        <v>1391</v>
      </c>
      <c r="J1940" s="123">
        <f>IF(Basis!$E$1=1,ROUND(H1940/((TaH-TrH)*1.163)/3600,3),ROUND(H1940/(500*(TaH-TrH)),2))</f>
        <v>0.27</v>
      </c>
      <c r="K1940" s="84"/>
      <c r="L1940" s="177">
        <f>CHOOSE(Basis!$E$1,((AJ1940*(J1940*3600/Basis!$E$5)^AK1940*(((MID(C1940,9,3)*10)-144)/1000)*AL1940+AM1940*(J1940*3600/Basis!$E$5)^2)*0.0098)/Basis!$E$10,((AJ1940*(J1940/Basis!$E$5)^AK1940*(((MID(C1940,9,3)*10)-144)/1000)*AL1940+AM1940*(J1940/Basis!$E$5)^2)*0.0098)/Basis!$E$10)</f>
        <v>1.8625906638155793E-2</v>
      </c>
      <c r="M1940" s="85"/>
      <c r="N1940" s="110">
        <v>1.47</v>
      </c>
      <c r="O1940" s="74"/>
      <c r="P1940" s="73">
        <v>1304</v>
      </c>
      <c r="Q1940" s="74"/>
      <c r="R1940" s="75"/>
      <c r="S1940" s="75"/>
      <c r="T1940" s="75"/>
      <c r="U1940" s="75"/>
      <c r="V1940" s="75"/>
      <c r="W1940" s="74"/>
      <c r="X1940" s="76"/>
      <c r="Y1940" s="76"/>
      <c r="Z1940" s="76"/>
      <c r="AA1940" s="76"/>
      <c r="AB1940" s="76"/>
      <c r="AC1940" s="74"/>
      <c r="AD1940" s="77"/>
      <c r="AE1940" s="77"/>
      <c r="AF1940" s="77"/>
      <c r="AG1940" s="77"/>
      <c r="AH1940" s="77"/>
      <c r="AI1940" s="68"/>
      <c r="AJ1940" s="213">
        <v>2.0829999999999999E-4</v>
      </c>
      <c r="AK1940" s="213">
        <v>1.724</v>
      </c>
      <c r="AL1940" s="213">
        <v>4</v>
      </c>
      <c r="AM1940" s="213">
        <v>1.392796E-3</v>
      </c>
      <c r="AN1940" s="74"/>
      <c r="AO1940" s="73"/>
      <c r="AP1940" s="73"/>
      <c r="AQ1940" s="73"/>
      <c r="AR1940" s="73"/>
      <c r="AS1940" s="73"/>
      <c r="AT1940" s="74"/>
      <c r="AU1940" s="47"/>
      <c r="AV1940" s="48"/>
    </row>
    <row r="1941" spans="1:48" ht="12.75" customHeight="1" x14ac:dyDescent="0.25">
      <c r="A1941" s="72" t="s">
        <v>20</v>
      </c>
      <c r="B1941" s="43" t="s">
        <v>1833</v>
      </c>
      <c r="C1941" s="44" t="s">
        <v>2098</v>
      </c>
      <c r="D1941" s="45">
        <f>MROUND(MID($C1941,6,3)/Basis!$E$3,0.5)</f>
        <v>25.5</v>
      </c>
      <c r="E1941" s="45">
        <f>MROUND(MID($C1941,9,3)/Basis!$E$3,0.5)</f>
        <v>23.5</v>
      </c>
      <c r="F1941" s="124" t="s">
        <v>2945</v>
      </c>
      <c r="G1941" s="45">
        <f>ROUND((ROUNDDOWN($F1941/5,0)*5+1.8)/Basis!$E$3,1)</f>
        <v>8.6</v>
      </c>
      <c r="H1941" s="120">
        <f>ROUND($P1941*Basis!$E$2*((TaH-TrH)/LN(1/µ)/Basis!$E$7)^$N1941*$AA$4*Glycol,0)</f>
        <v>3515</v>
      </c>
      <c r="I1941" s="83">
        <f>ROUND(H1941/(MID($C1941,9,3)/Basis!$E$3/Basis!$E$9)*Basis!$E$11,0)</f>
        <v>1786</v>
      </c>
      <c r="J1941" s="123">
        <f>IF(Basis!$E$1=1,ROUND(H1941/((TaH-TrH)*1.163)/3600,3),ROUND(H1941/(500*(TaH-TrH)),2))</f>
        <v>0.35</v>
      </c>
      <c r="K1941" s="84"/>
      <c r="L1941" s="177">
        <f>CHOOSE(Basis!$E$1,((AJ1941*(J1941*3600/Basis!$E$5)^AK1941*(((MID(C1941,9,3)*10)-144)/1000)*AL1941+AM1941*(J1941*3600/Basis!$E$5)^2)*0.0098)/Basis!$E$10,((AJ1941*(J1941/Basis!$E$5)^AK1941*(((MID(C1941,9,3)*10)-144)/1000)*AL1941+AM1941*(J1941/Basis!$E$5)^2)*0.0098)/Basis!$E$10)</f>
        <v>8.4936663523094875E-3</v>
      </c>
      <c r="M1941" s="85"/>
      <c r="N1941" s="110">
        <v>1.355</v>
      </c>
      <c r="O1941" s="74"/>
      <c r="P1941" s="73">
        <v>1611</v>
      </c>
      <c r="Q1941" s="74"/>
      <c r="R1941" s="75"/>
      <c r="S1941" s="75"/>
      <c r="T1941" s="75"/>
      <c r="U1941" s="75"/>
      <c r="V1941" s="75"/>
      <c r="W1941" s="74"/>
      <c r="X1941" s="76"/>
      <c r="Y1941" s="76"/>
      <c r="Z1941" s="76"/>
      <c r="AA1941" s="76"/>
      <c r="AB1941" s="76"/>
      <c r="AC1941" s="74"/>
      <c r="AD1941" s="77"/>
      <c r="AE1941" s="77"/>
      <c r="AF1941" s="77"/>
      <c r="AG1941" s="77"/>
      <c r="AH1941" s="77"/>
      <c r="AI1941" s="68"/>
      <c r="AJ1941" s="214">
        <v>1.2760000000000001E-4</v>
      </c>
      <c r="AK1941" s="214">
        <v>1.7219</v>
      </c>
      <c r="AL1941" s="214">
        <v>2</v>
      </c>
      <c r="AM1941" s="214">
        <v>3.76611E-4</v>
      </c>
      <c r="AN1941" s="74"/>
      <c r="AO1941" s="73"/>
      <c r="AP1941" s="73"/>
      <c r="AQ1941" s="73"/>
      <c r="AR1941" s="73"/>
      <c r="AS1941" s="73"/>
      <c r="AT1941" s="74"/>
      <c r="AU1941" s="47"/>
      <c r="AV1941" s="48"/>
    </row>
    <row r="1942" spans="1:48" ht="12.75" customHeight="1" x14ac:dyDescent="0.25">
      <c r="A1942" s="72" t="s">
        <v>20</v>
      </c>
      <c r="B1942" s="43" t="s">
        <v>1833</v>
      </c>
      <c r="C1942" s="44" t="s">
        <v>2099</v>
      </c>
      <c r="D1942" s="45">
        <f>MROUND(MID($C1942,6,3)/Basis!$E$3,0.5)</f>
        <v>25.5</v>
      </c>
      <c r="E1942" s="45">
        <f>MROUND(MID($C1942,9,3)/Basis!$E$3,0.5)</f>
        <v>23.5</v>
      </c>
      <c r="F1942" s="124" t="s">
        <v>2948</v>
      </c>
      <c r="G1942" s="45">
        <f>ROUND((ROUNDDOWN($F1942/5,0)*5+1.8)/Basis!$E$3,1)</f>
        <v>8.6</v>
      </c>
      <c r="H1942" s="120">
        <f>ROUND($P1942*Basis!$E$2*((TaH-TrH)/LN(1/µ)/Basis!$E$7)^$N1942*$AA$4*Glycol,0)</f>
        <v>3785</v>
      </c>
      <c r="I1942" s="83">
        <f>ROUND(H1942/(MID($C1942,9,3)/Basis!$E$3/Basis!$E$9)*Basis!$E$11,0)</f>
        <v>1923</v>
      </c>
      <c r="J1942" s="123">
        <f>IF(Basis!$E$1=1,ROUND(H1942/((TaH-TrH)*1.163)/3600,3),ROUND(H1942/(500*(TaH-TrH)),2))</f>
        <v>0.38</v>
      </c>
      <c r="K1942" s="84"/>
      <c r="L1942" s="177">
        <f>CHOOSE(Basis!$E$1,((AJ1942*(J1942*3600/Basis!$E$5)^AK1942*(((MID(C1942,9,3)*10)-144)/1000)*AL1942+AM1942*(J1942*3600/Basis!$E$5)^2)*0.0098)/Basis!$E$10,((AJ1942*(J1942/Basis!$E$5)^AK1942*(((MID(C1942,9,3)*10)-144)/1000)*AL1942+AM1942*(J1942/Basis!$E$5)^2)*0.0098)/Basis!$E$10)</f>
        <v>1.4164707838687958E-2</v>
      </c>
      <c r="M1942" s="85"/>
      <c r="N1942" s="110">
        <v>1.4970000000000001</v>
      </c>
      <c r="O1942" s="74"/>
      <c r="P1942" s="73">
        <v>1818</v>
      </c>
      <c r="Q1942" s="74"/>
      <c r="R1942" s="75"/>
      <c r="S1942" s="75"/>
      <c r="T1942" s="75"/>
      <c r="U1942" s="75"/>
      <c r="V1942" s="75"/>
      <c r="W1942" s="74"/>
      <c r="X1942" s="76"/>
      <c r="Y1942" s="76"/>
      <c r="Z1942" s="76"/>
      <c r="AA1942" s="76"/>
      <c r="AB1942" s="76"/>
      <c r="AC1942" s="74"/>
      <c r="AD1942" s="77"/>
      <c r="AE1942" s="77"/>
      <c r="AF1942" s="77"/>
      <c r="AG1942" s="77"/>
      <c r="AH1942" s="77"/>
      <c r="AI1942" s="68"/>
      <c r="AJ1942" s="213">
        <v>1.2760000000000001E-4</v>
      </c>
      <c r="AK1942" s="213">
        <v>1.7219</v>
      </c>
      <c r="AL1942" s="213">
        <v>4</v>
      </c>
      <c r="AM1942" s="213">
        <v>5.1420100000000005E-4</v>
      </c>
      <c r="AN1942" s="74"/>
      <c r="AO1942" s="73"/>
      <c r="AP1942" s="73"/>
      <c r="AQ1942" s="73"/>
      <c r="AR1942" s="73"/>
      <c r="AS1942" s="73"/>
      <c r="AT1942" s="74"/>
      <c r="AU1942" s="47"/>
      <c r="AV1942" s="48"/>
    </row>
    <row r="1943" spans="1:48" ht="12.75" customHeight="1" x14ac:dyDescent="0.25">
      <c r="A1943" s="72" t="s">
        <v>20</v>
      </c>
      <c r="B1943" s="43" t="s">
        <v>1833</v>
      </c>
      <c r="C1943" s="44" t="s">
        <v>2100</v>
      </c>
      <c r="D1943" s="45">
        <f>MROUND(MID($C1943,6,3)/Basis!$E$3,0.5)</f>
        <v>25.5</v>
      </c>
      <c r="E1943" s="45">
        <f>MROUND(MID($C1943,9,3)/Basis!$E$3,0.5)</f>
        <v>27.5</v>
      </c>
      <c r="F1943" s="124" t="s">
        <v>2949</v>
      </c>
      <c r="G1943" s="45">
        <f>ROUND((ROUNDDOWN($F1943/5,0)*5+3.5)/Basis!$E$3,1)</f>
        <v>3.3</v>
      </c>
      <c r="H1943" s="120">
        <f>ROUND($P1943*Basis!$E$2*((TaH-TrH)/LN(1/µ)/Basis!$E$7)^$N1943*$AA$4*Glycol,0)</f>
        <v>1630</v>
      </c>
      <c r="I1943" s="83">
        <f>ROUND(H1943/(MID($C1943,9,3)/Basis!$E$3/Basis!$E$9)*Basis!$E$11,0)</f>
        <v>710</v>
      </c>
      <c r="J1943" s="123">
        <f>IF(Basis!$E$1=1,ROUND(H1943/((TaH-TrH)*1.163)/3600,3),ROUND(H1943/(500*(TaH-TrH)),2))</f>
        <v>0.16</v>
      </c>
      <c r="K1943" s="84"/>
      <c r="L1943" s="177">
        <f>CHOOSE(Basis!$E$1,((AJ1943*(J1943*3600/Basis!$E$5)^AK1943*(((MID(C1943,9,3)*10)-144)/1000)*AL1943+AM1943*(J1943*3600/Basis!$E$5)^2)*0.0098)/Basis!$E$10,((AJ1943*(J1943/Basis!$E$5)^AK1943*(((MID(C1943,9,3)*10)-144)/1000)*AL1943+AM1943*(J1943/Basis!$E$5)^2)*0.0098)/Basis!$E$10)</f>
        <v>8.6243360755660341E-3</v>
      </c>
      <c r="M1943" s="85"/>
      <c r="N1943" s="110">
        <v>1.35</v>
      </c>
      <c r="O1943" s="74"/>
      <c r="P1943" s="73">
        <v>746</v>
      </c>
      <c r="Q1943" s="74"/>
      <c r="R1943" s="75"/>
      <c r="S1943" s="75"/>
      <c r="T1943" s="75"/>
      <c r="U1943" s="75"/>
      <c r="V1943" s="75"/>
      <c r="W1943" s="74"/>
      <c r="X1943" s="76"/>
      <c r="Y1943" s="76"/>
      <c r="Z1943" s="76"/>
      <c r="AA1943" s="76"/>
      <c r="AB1943" s="76"/>
      <c r="AC1943" s="74"/>
      <c r="AD1943" s="77"/>
      <c r="AE1943" s="77"/>
      <c r="AF1943" s="77"/>
      <c r="AG1943" s="77"/>
      <c r="AH1943" s="77"/>
      <c r="AI1943" s="68"/>
      <c r="AJ1943" s="213">
        <v>1.6125983042710999E-4</v>
      </c>
      <c r="AK1943" s="213">
        <v>2.1458504622376</v>
      </c>
      <c r="AL1943" s="213">
        <v>4</v>
      </c>
      <c r="AM1943" s="213">
        <v>1.3916423712342001E-3</v>
      </c>
      <c r="AN1943" s="74"/>
      <c r="AO1943" s="73"/>
      <c r="AP1943" s="73"/>
      <c r="AQ1943" s="73"/>
      <c r="AR1943" s="73"/>
      <c r="AS1943" s="73"/>
      <c r="AT1943" s="74"/>
      <c r="AU1943" s="47"/>
      <c r="AV1943" s="48"/>
    </row>
    <row r="1944" spans="1:48" ht="12.75" customHeight="1" x14ac:dyDescent="0.25">
      <c r="A1944" s="72" t="s">
        <v>20</v>
      </c>
      <c r="B1944" s="43" t="s">
        <v>1833</v>
      </c>
      <c r="C1944" s="44" t="s">
        <v>2101</v>
      </c>
      <c r="D1944" s="45">
        <f>MROUND(MID($C1944,6,3)/Basis!$E$3,0.5)</f>
        <v>25.5</v>
      </c>
      <c r="E1944" s="45">
        <f>MROUND(MID($C1944,9,3)/Basis!$E$3,0.5)</f>
        <v>27.5</v>
      </c>
      <c r="F1944" s="124" t="s">
        <v>2943</v>
      </c>
      <c r="G1944" s="45">
        <f>ROUND((ROUNDDOWN($F1944/5,0)*5+1.8)/Basis!$E$3,1)</f>
        <v>4.5999999999999996</v>
      </c>
      <c r="H1944" s="120">
        <f>ROUND($P1944*Basis!$E$2*((TaH-TrH)/LN(1/µ)/Basis!$E$7)^$N1944*$AA$4*Glycol,0)</f>
        <v>1840</v>
      </c>
      <c r="I1944" s="83">
        <f>ROUND(H1944/(MID($C1944,9,3)/Basis!$E$3/Basis!$E$9)*Basis!$E$11,0)</f>
        <v>801</v>
      </c>
      <c r="J1944" s="123">
        <f>IF(Basis!$E$1=1,ROUND(H1944/((TaH-TrH)*1.163)/3600,3),ROUND(H1944/(500*(TaH-TrH)),2))</f>
        <v>0.18</v>
      </c>
      <c r="K1944" s="84"/>
      <c r="L1944" s="177">
        <f>CHOOSE(Basis!$E$1,((AJ1944*(J1944*3600/Basis!$E$5)^AK1944*(((MID(C1944,9,3)*10)-144)/1000)*AL1944+AM1944*(J1944*3600/Basis!$E$5)^2)*0.0098)/Basis!$E$10,((AJ1944*(J1944/Basis!$E$5)^AK1944*(((MID(C1944,9,3)*10)-144)/1000)*AL1944+AM1944*(J1944/Basis!$E$5)^2)*0.0098)/Basis!$E$10)</f>
        <v>2.9084053126863948E-3</v>
      </c>
      <c r="M1944" s="85"/>
      <c r="N1944" s="109">
        <v>1.371</v>
      </c>
      <c r="O1944" s="68"/>
      <c r="P1944" s="67">
        <v>848</v>
      </c>
      <c r="Q1944" s="68"/>
      <c r="R1944" s="69"/>
      <c r="S1944" s="69"/>
      <c r="T1944" s="69"/>
      <c r="U1944" s="69"/>
      <c r="V1944" s="69"/>
      <c r="W1944" s="68"/>
      <c r="X1944" s="70"/>
      <c r="Y1944" s="70"/>
      <c r="Z1944" s="70"/>
      <c r="AA1944" s="70"/>
      <c r="AB1944" s="70"/>
      <c r="AC1944" s="68"/>
      <c r="AD1944" s="71"/>
      <c r="AE1944" s="71"/>
      <c r="AF1944" s="71"/>
      <c r="AG1944" s="71"/>
      <c r="AH1944" s="71"/>
      <c r="AI1944" s="68"/>
      <c r="AJ1944" s="214">
        <v>3.9689999999999994E-4</v>
      </c>
      <c r="AK1944" s="214">
        <v>1.7345999999999999</v>
      </c>
      <c r="AL1944" s="214">
        <v>2</v>
      </c>
      <c r="AM1944" s="214">
        <v>3.6734700000000002E-4</v>
      </c>
      <c r="AN1944" s="68"/>
      <c r="AO1944" s="67"/>
      <c r="AP1944" s="67"/>
      <c r="AQ1944" s="67"/>
      <c r="AR1944" s="67"/>
      <c r="AS1944" s="67"/>
      <c r="AT1944" s="68"/>
      <c r="AU1944" s="49"/>
      <c r="AV1944" s="50"/>
    </row>
    <row r="1945" spans="1:48" ht="12.75" customHeight="1" x14ac:dyDescent="0.25">
      <c r="A1945" s="72" t="s">
        <v>20</v>
      </c>
      <c r="B1945" s="43" t="s">
        <v>1833</v>
      </c>
      <c r="C1945" s="44" t="s">
        <v>2102</v>
      </c>
      <c r="D1945" s="45">
        <f>MROUND(MID($C1945,6,3)/Basis!$E$3,0.5)</f>
        <v>25.5</v>
      </c>
      <c r="E1945" s="45">
        <f>MROUND(MID($C1945,9,3)/Basis!$E$3,0.5)</f>
        <v>27.5</v>
      </c>
      <c r="F1945" s="124" t="s">
        <v>2946</v>
      </c>
      <c r="G1945" s="45">
        <f>ROUND((ROUNDDOWN($F1945/5,0)*5+1.8)/Basis!$E$3,1)</f>
        <v>4.5999999999999996</v>
      </c>
      <c r="H1945" s="120">
        <f>ROUND($P1945*Basis!$E$2*((TaH-TrH)/LN(1/µ)/Basis!$E$7)^$N1945*$AA$4*Glycol,0)</f>
        <v>2293</v>
      </c>
      <c r="I1945" s="83">
        <f>ROUND(H1945/(MID($C1945,9,3)/Basis!$E$3/Basis!$E$9)*Basis!$E$11,0)</f>
        <v>998</v>
      </c>
      <c r="J1945" s="123">
        <f>IF(Basis!$E$1=1,ROUND(H1945/((TaH-TrH)*1.163)/3600,3),ROUND(H1945/(500*(TaH-TrH)),2))</f>
        <v>0.23</v>
      </c>
      <c r="K1945" s="84"/>
      <c r="L1945" s="177">
        <f>CHOOSE(Basis!$E$1,((AJ1945*(J1945*3600/Basis!$E$5)^AK1945*(((MID(C1945,9,3)*10)-144)/1000)*AL1945+AM1945*(J1945*3600/Basis!$E$5)^2)*0.0098)/Basis!$E$10,((AJ1945*(J1945/Basis!$E$5)^AK1945*(((MID(C1945,9,3)*10)-144)/1000)*AL1945+AM1945*(J1945/Basis!$E$5)^2)*0.0098)/Basis!$E$10)</f>
        <v>7.8806671682827619E-3</v>
      </c>
      <c r="M1945" s="85"/>
      <c r="N1945" s="109">
        <v>1.4370000000000001</v>
      </c>
      <c r="O1945" s="68"/>
      <c r="P1945" s="67">
        <v>1080</v>
      </c>
      <c r="Q1945" s="68"/>
      <c r="R1945" s="69"/>
      <c r="S1945" s="69"/>
      <c r="T1945" s="69"/>
      <c r="U1945" s="69"/>
      <c r="V1945" s="69"/>
      <c r="W1945" s="68"/>
      <c r="X1945" s="70"/>
      <c r="Y1945" s="70"/>
      <c r="Z1945" s="70"/>
      <c r="AA1945" s="70"/>
      <c r="AB1945" s="70"/>
      <c r="AC1945" s="68"/>
      <c r="AD1945" s="71"/>
      <c r="AE1945" s="71"/>
      <c r="AF1945" s="71"/>
      <c r="AG1945" s="71"/>
      <c r="AH1945" s="71"/>
      <c r="AI1945" s="68"/>
      <c r="AJ1945" s="214">
        <v>3.9689999999999994E-4</v>
      </c>
      <c r="AK1945" s="214">
        <v>1.7345999999999999</v>
      </c>
      <c r="AL1945" s="214">
        <v>4</v>
      </c>
      <c r="AM1945" s="214">
        <v>5.7428799999999995E-4</v>
      </c>
      <c r="AN1945" s="68"/>
      <c r="AO1945" s="67"/>
      <c r="AP1945" s="67"/>
      <c r="AQ1945" s="67"/>
      <c r="AR1945" s="67"/>
      <c r="AS1945" s="67"/>
      <c r="AT1945" s="68"/>
      <c r="AU1945" s="49"/>
      <c r="AV1945" s="50"/>
    </row>
    <row r="1946" spans="1:48" ht="12.75" customHeight="1" x14ac:dyDescent="0.25">
      <c r="A1946" s="72" t="s">
        <v>20</v>
      </c>
      <c r="B1946" s="43" t="s">
        <v>1833</v>
      </c>
      <c r="C1946" s="44" t="s">
        <v>2103</v>
      </c>
      <c r="D1946" s="45">
        <f>MROUND(MID($C1946,6,3)/Basis!$E$3,0.5)</f>
        <v>25.5</v>
      </c>
      <c r="E1946" s="45">
        <f>MROUND(MID($C1946,9,3)/Basis!$E$3,0.5)</f>
        <v>27.5</v>
      </c>
      <c r="F1946" s="124" t="s">
        <v>2944</v>
      </c>
      <c r="G1946" s="45">
        <f>ROUND((ROUNDDOWN($F1946/5,0)*5+1.8)/Basis!$E$3,1)</f>
        <v>6.6</v>
      </c>
      <c r="H1946" s="120">
        <f>ROUND($P1946*Basis!$E$2*((TaH-TrH)/LN(1/µ)/Basis!$E$7)^$N1946*$AA$4*Glycol,0)</f>
        <v>2934</v>
      </c>
      <c r="I1946" s="83">
        <f>ROUND(H1946/(MID($C1946,9,3)/Basis!$E$3/Basis!$E$9)*Basis!$E$11,0)</f>
        <v>1278</v>
      </c>
      <c r="J1946" s="123">
        <f>IF(Basis!$E$1=1,ROUND(H1946/((TaH-TrH)*1.163)/3600,3),ROUND(H1946/(500*(TaH-TrH)),2))</f>
        <v>0.28999999999999998</v>
      </c>
      <c r="K1946" s="84"/>
      <c r="L1946" s="177">
        <f>CHOOSE(Basis!$E$1,((AJ1946*(J1946*3600/Basis!$E$5)^AK1946*(((MID(C1946,9,3)*10)-144)/1000)*AL1946+AM1946*(J1946*3600/Basis!$E$5)^2)*0.0098)/Basis!$E$10,((AJ1946*(J1946/Basis!$E$5)^AK1946*(((MID(C1946,9,3)*10)-144)/1000)*AL1946+AM1946*(J1946/Basis!$E$5)^2)*0.0098)/Basis!$E$10)</f>
        <v>7.5854955863368994E-3</v>
      </c>
      <c r="M1946" s="85"/>
      <c r="N1946" s="109">
        <v>1.355</v>
      </c>
      <c r="O1946" s="68"/>
      <c r="P1946" s="67">
        <v>1345</v>
      </c>
      <c r="Q1946" s="68"/>
      <c r="R1946" s="69"/>
      <c r="S1946" s="69"/>
      <c r="T1946" s="69"/>
      <c r="U1946" s="69"/>
      <c r="V1946" s="69"/>
      <c r="W1946" s="68"/>
      <c r="X1946" s="70"/>
      <c r="Y1946" s="70"/>
      <c r="Z1946" s="70"/>
      <c r="AA1946" s="70"/>
      <c r="AB1946" s="70"/>
      <c r="AC1946" s="68"/>
      <c r="AD1946" s="71"/>
      <c r="AE1946" s="71"/>
      <c r="AF1946" s="71"/>
      <c r="AG1946" s="71"/>
      <c r="AH1946" s="71"/>
      <c r="AI1946" s="68"/>
      <c r="AJ1946" s="214">
        <v>2.0829999999999999E-4</v>
      </c>
      <c r="AK1946" s="214">
        <v>1.724</v>
      </c>
      <c r="AL1946" s="214">
        <v>2</v>
      </c>
      <c r="AM1946" s="214">
        <v>4.6182900000000003E-4</v>
      </c>
      <c r="AN1946" s="68"/>
      <c r="AO1946" s="67"/>
      <c r="AP1946" s="67"/>
      <c r="AQ1946" s="67"/>
      <c r="AR1946" s="67"/>
      <c r="AS1946" s="67"/>
      <c r="AT1946" s="68"/>
      <c r="AU1946" s="49"/>
      <c r="AV1946" s="50"/>
    </row>
    <row r="1947" spans="1:48" ht="12.75" customHeight="1" x14ac:dyDescent="0.25">
      <c r="A1947" s="72" t="s">
        <v>20</v>
      </c>
      <c r="B1947" s="43" t="s">
        <v>1833</v>
      </c>
      <c r="C1947" s="44" t="s">
        <v>2104</v>
      </c>
      <c r="D1947" s="45">
        <f>MROUND(MID($C1947,6,3)/Basis!$E$3,0.5)</f>
        <v>25.5</v>
      </c>
      <c r="E1947" s="45">
        <f>MROUND(MID($C1947,9,3)/Basis!$E$3,0.5)</f>
        <v>27.5</v>
      </c>
      <c r="F1947" s="124" t="s">
        <v>2947</v>
      </c>
      <c r="G1947" s="45">
        <f>ROUND((ROUNDDOWN($F1947/5,0)*5+1.8)/Basis!$E$3,1)</f>
        <v>6.6</v>
      </c>
      <c r="H1947" s="120">
        <f>ROUND($P1947*Basis!$E$2*((TaH-TrH)/LN(1/µ)/Basis!$E$7)^$N1947*$AA$4*Glycol,0)</f>
        <v>3195</v>
      </c>
      <c r="I1947" s="83">
        <f>ROUND(H1947/(MID($C1947,9,3)/Basis!$E$3/Basis!$E$9)*Basis!$E$11,0)</f>
        <v>1391</v>
      </c>
      <c r="J1947" s="123">
        <f>IF(Basis!$E$1=1,ROUND(H1947/((TaH-TrH)*1.163)/3600,3),ROUND(H1947/(500*(TaH-TrH)),2))</f>
        <v>0.32</v>
      </c>
      <c r="K1947" s="84"/>
      <c r="L1947" s="177">
        <f>CHOOSE(Basis!$E$1,((AJ1947*(J1947*3600/Basis!$E$5)^AK1947*(((MID(C1947,9,3)*10)-144)/1000)*AL1947+AM1947*(J1947*3600/Basis!$E$5)^2)*0.0098)/Basis!$E$10,((AJ1947*(J1947/Basis!$E$5)^AK1947*(((MID(C1947,9,3)*10)-144)/1000)*AL1947+AM1947*(J1947/Basis!$E$5)^2)*0.0098)/Basis!$E$10)</f>
        <v>2.6507517141492944E-2</v>
      </c>
      <c r="M1947" s="85"/>
      <c r="N1947" s="109">
        <v>1.47</v>
      </c>
      <c r="O1947" s="68"/>
      <c r="P1947" s="67">
        <v>1521</v>
      </c>
      <c r="Q1947" s="68"/>
      <c r="R1947" s="69"/>
      <c r="S1947" s="69"/>
      <c r="T1947" s="69"/>
      <c r="U1947" s="69"/>
      <c r="V1947" s="69"/>
      <c r="W1947" s="68"/>
      <c r="X1947" s="70"/>
      <c r="Y1947" s="70"/>
      <c r="Z1947" s="70"/>
      <c r="AA1947" s="70"/>
      <c r="AB1947" s="70"/>
      <c r="AC1947" s="68"/>
      <c r="AD1947" s="71"/>
      <c r="AE1947" s="71"/>
      <c r="AF1947" s="71"/>
      <c r="AG1947" s="71"/>
      <c r="AH1947" s="71"/>
      <c r="AI1947" s="68"/>
      <c r="AJ1947" s="214">
        <v>2.0829999999999999E-4</v>
      </c>
      <c r="AK1947" s="214">
        <v>1.724</v>
      </c>
      <c r="AL1947" s="214">
        <v>4</v>
      </c>
      <c r="AM1947" s="214">
        <v>1.392796E-3</v>
      </c>
      <c r="AN1947" s="68"/>
      <c r="AO1947" s="67"/>
      <c r="AP1947" s="67"/>
      <c r="AQ1947" s="67"/>
      <c r="AR1947" s="67"/>
      <c r="AS1947" s="67"/>
      <c r="AT1947" s="68"/>
      <c r="AU1947" s="49"/>
      <c r="AV1947" s="50"/>
    </row>
    <row r="1948" spans="1:48" ht="12.75" customHeight="1" x14ac:dyDescent="0.25">
      <c r="A1948" s="72" t="s">
        <v>20</v>
      </c>
      <c r="B1948" s="43" t="s">
        <v>1833</v>
      </c>
      <c r="C1948" s="44" t="s">
        <v>2105</v>
      </c>
      <c r="D1948" s="45">
        <f>MROUND(MID($C1948,6,3)/Basis!$E$3,0.5)</f>
        <v>25.5</v>
      </c>
      <c r="E1948" s="45">
        <f>MROUND(MID($C1948,9,3)/Basis!$E$3,0.5)</f>
        <v>27.5</v>
      </c>
      <c r="F1948" s="124" t="s">
        <v>2945</v>
      </c>
      <c r="G1948" s="45">
        <f>ROUND((ROUNDDOWN($F1948/5,0)*5+1.8)/Basis!$E$3,1)</f>
        <v>8.6</v>
      </c>
      <c r="H1948" s="120">
        <f>ROUND($P1948*Basis!$E$2*((TaH-TrH)/LN(1/µ)/Basis!$E$7)^$N1948*$AA$4*Glycol,0)</f>
        <v>4102</v>
      </c>
      <c r="I1948" s="83">
        <f>ROUND(H1948/(MID($C1948,9,3)/Basis!$E$3/Basis!$E$9)*Basis!$E$11,0)</f>
        <v>1786</v>
      </c>
      <c r="J1948" s="123">
        <f>IF(Basis!$E$1=1,ROUND(H1948/((TaH-TrH)*1.163)/3600,3),ROUND(H1948/(500*(TaH-TrH)),2))</f>
        <v>0.41</v>
      </c>
      <c r="K1948" s="84"/>
      <c r="L1948" s="177">
        <f>CHOOSE(Basis!$E$1,((AJ1948*(J1948*3600/Basis!$E$5)^AK1948*(((MID(C1948,9,3)*10)-144)/1000)*AL1948+AM1948*(J1948*3600/Basis!$E$5)^2)*0.0098)/Basis!$E$10,((AJ1948*(J1948/Basis!$E$5)^AK1948*(((MID(C1948,9,3)*10)-144)/1000)*AL1948+AM1948*(J1948/Basis!$E$5)^2)*0.0098)/Basis!$E$10)</f>
        <v>1.1818392726907644E-2</v>
      </c>
      <c r="M1948" s="85"/>
      <c r="N1948" s="109">
        <v>1.355</v>
      </c>
      <c r="O1948" s="68"/>
      <c r="P1948" s="67">
        <v>1880</v>
      </c>
      <c r="Q1948" s="68"/>
      <c r="R1948" s="69"/>
      <c r="S1948" s="69"/>
      <c r="T1948" s="69"/>
      <c r="U1948" s="69"/>
      <c r="V1948" s="69"/>
      <c r="W1948" s="68"/>
      <c r="X1948" s="70"/>
      <c r="Y1948" s="70"/>
      <c r="Z1948" s="70"/>
      <c r="AA1948" s="70"/>
      <c r="AB1948" s="70"/>
      <c r="AC1948" s="68"/>
      <c r="AD1948" s="71"/>
      <c r="AE1948" s="71"/>
      <c r="AF1948" s="71"/>
      <c r="AG1948" s="71"/>
      <c r="AH1948" s="71"/>
      <c r="AI1948" s="68"/>
      <c r="AJ1948" s="214">
        <v>1.2760000000000001E-4</v>
      </c>
      <c r="AK1948" s="214">
        <v>1.7219</v>
      </c>
      <c r="AL1948" s="214">
        <v>2</v>
      </c>
      <c r="AM1948" s="214">
        <v>3.76611E-4</v>
      </c>
      <c r="AN1948" s="68"/>
      <c r="AO1948" s="67"/>
      <c r="AP1948" s="67"/>
      <c r="AQ1948" s="67"/>
      <c r="AR1948" s="67"/>
      <c r="AS1948" s="67"/>
      <c r="AT1948" s="68"/>
      <c r="AU1948" s="49"/>
      <c r="AV1948" s="50"/>
    </row>
    <row r="1949" spans="1:48" ht="12.75" customHeight="1" x14ac:dyDescent="0.25">
      <c r="A1949" s="72" t="s">
        <v>20</v>
      </c>
      <c r="B1949" s="43" t="s">
        <v>1833</v>
      </c>
      <c r="C1949" s="44" t="s">
        <v>2106</v>
      </c>
      <c r="D1949" s="45">
        <f>MROUND(MID($C1949,6,3)/Basis!$E$3,0.5)</f>
        <v>25.5</v>
      </c>
      <c r="E1949" s="45">
        <f>MROUND(MID($C1949,9,3)/Basis!$E$3,0.5)</f>
        <v>27.5</v>
      </c>
      <c r="F1949" s="124" t="s">
        <v>2948</v>
      </c>
      <c r="G1949" s="45">
        <f>ROUND((ROUNDDOWN($F1949/5,0)*5+1.8)/Basis!$E$3,1)</f>
        <v>8.6</v>
      </c>
      <c r="H1949" s="120">
        <f>ROUND($P1949*Basis!$E$2*((TaH-TrH)/LN(1/µ)/Basis!$E$7)^$N1949*$AA$4*Glycol,0)</f>
        <v>4416</v>
      </c>
      <c r="I1949" s="83">
        <f>ROUND(H1949/(MID($C1949,9,3)/Basis!$E$3/Basis!$E$9)*Basis!$E$11,0)</f>
        <v>1923</v>
      </c>
      <c r="J1949" s="123">
        <f>IF(Basis!$E$1=1,ROUND(H1949/((TaH-TrH)*1.163)/3600,3),ROUND(H1949/(500*(TaH-TrH)),2))</f>
        <v>0.44</v>
      </c>
      <c r="K1949" s="84"/>
      <c r="L1949" s="177">
        <f>CHOOSE(Basis!$E$1,((AJ1949*(J1949*3600/Basis!$E$5)^AK1949*(((MID(C1949,9,3)*10)-144)/1000)*AL1949+AM1949*(J1949*3600/Basis!$E$5)^2)*0.0098)/Basis!$E$10,((AJ1949*(J1949/Basis!$E$5)^AK1949*(((MID(C1949,9,3)*10)-144)/1000)*AL1949+AM1949*(J1949/Basis!$E$5)^2)*0.0098)/Basis!$E$10)</f>
        <v>1.936618781794559E-2</v>
      </c>
      <c r="M1949" s="85"/>
      <c r="N1949" s="109">
        <v>1.4970000000000001</v>
      </c>
      <c r="O1949" s="68"/>
      <c r="P1949" s="67">
        <v>2121</v>
      </c>
      <c r="Q1949" s="68"/>
      <c r="R1949" s="69"/>
      <c r="S1949" s="69"/>
      <c r="T1949" s="69"/>
      <c r="U1949" s="69"/>
      <c r="V1949" s="69"/>
      <c r="W1949" s="68"/>
      <c r="X1949" s="70"/>
      <c r="Y1949" s="70"/>
      <c r="Z1949" s="70"/>
      <c r="AA1949" s="70"/>
      <c r="AB1949" s="70"/>
      <c r="AC1949" s="68"/>
      <c r="AD1949" s="71"/>
      <c r="AE1949" s="71"/>
      <c r="AF1949" s="71"/>
      <c r="AG1949" s="71"/>
      <c r="AH1949" s="71"/>
      <c r="AI1949" s="68"/>
      <c r="AJ1949" s="214">
        <v>1.2760000000000001E-4</v>
      </c>
      <c r="AK1949" s="214">
        <v>1.7219</v>
      </c>
      <c r="AL1949" s="214">
        <v>4</v>
      </c>
      <c r="AM1949" s="214">
        <v>5.1420100000000005E-4</v>
      </c>
      <c r="AN1949" s="68"/>
      <c r="AO1949" s="67"/>
      <c r="AP1949" s="67"/>
      <c r="AQ1949" s="67"/>
      <c r="AR1949" s="67"/>
      <c r="AS1949" s="67"/>
      <c r="AT1949" s="68"/>
      <c r="AU1949" s="49"/>
      <c r="AV1949" s="50"/>
    </row>
    <row r="1950" spans="1:48" ht="12.75" customHeight="1" x14ac:dyDescent="0.25">
      <c r="A1950" s="72" t="s">
        <v>20</v>
      </c>
      <c r="B1950" s="43" t="s">
        <v>1833</v>
      </c>
      <c r="C1950" s="44" t="s">
        <v>2107</v>
      </c>
      <c r="D1950" s="45">
        <f>MROUND(MID($C1950,6,3)/Basis!$E$3,0.5)</f>
        <v>25.5</v>
      </c>
      <c r="E1950" s="45">
        <f>MROUND(MID($C1950,9,3)/Basis!$E$3,0.5)</f>
        <v>31.5</v>
      </c>
      <c r="F1950" s="124" t="s">
        <v>2949</v>
      </c>
      <c r="G1950" s="45">
        <f>ROUND((ROUNDDOWN($F1950/5,0)*5+3.5)/Basis!$E$3,1)</f>
        <v>3.3</v>
      </c>
      <c r="H1950" s="120">
        <f>ROUND($P1950*Basis!$E$2*((TaH-TrH)/LN(1/µ)/Basis!$E$7)^$N1950*$AA$4*Glycol,0)</f>
        <v>1864</v>
      </c>
      <c r="I1950" s="83">
        <f>ROUND(H1950/(MID($C1950,9,3)/Basis!$E$3/Basis!$E$9)*Basis!$E$11,0)</f>
        <v>710</v>
      </c>
      <c r="J1950" s="123">
        <f>IF(Basis!$E$1=1,ROUND(H1950/((TaH-TrH)*1.163)/3600,3),ROUND(H1950/(500*(TaH-TrH)),2))</f>
        <v>0.19</v>
      </c>
      <c r="K1950" s="84"/>
      <c r="L1950" s="177">
        <f>CHOOSE(Basis!$E$1,((AJ1950*(J1950*3600/Basis!$E$5)^AK1950*(((MID(C1950,9,3)*10)-144)/1000)*AL1950+AM1950*(J1950*3600/Basis!$E$5)^2)*0.0098)/Basis!$E$10,((AJ1950*(J1950/Basis!$E$5)^AK1950*(((MID(C1950,9,3)*10)-144)/1000)*AL1950+AM1950*(J1950/Basis!$E$5)^2)*0.0098)/Basis!$E$10)</f>
        <v>1.293540525399979E-2</v>
      </c>
      <c r="M1950" s="85"/>
      <c r="N1950" s="109">
        <v>1.35</v>
      </c>
      <c r="O1950" s="68"/>
      <c r="P1950" s="67">
        <v>853</v>
      </c>
      <c r="Q1950" s="68"/>
      <c r="R1950" s="69"/>
      <c r="S1950" s="69"/>
      <c r="T1950" s="69"/>
      <c r="U1950" s="69"/>
      <c r="V1950" s="69"/>
      <c r="W1950" s="68"/>
      <c r="X1950" s="70"/>
      <c r="Y1950" s="70"/>
      <c r="Z1950" s="70"/>
      <c r="AA1950" s="70"/>
      <c r="AB1950" s="70"/>
      <c r="AC1950" s="68"/>
      <c r="AD1950" s="71"/>
      <c r="AE1950" s="71"/>
      <c r="AF1950" s="71"/>
      <c r="AG1950" s="71"/>
      <c r="AH1950" s="71"/>
      <c r="AI1950" s="68"/>
      <c r="AJ1950" s="214">
        <v>1.6125983042710999E-4</v>
      </c>
      <c r="AK1950" s="214">
        <v>2.1458504622376</v>
      </c>
      <c r="AL1950" s="214">
        <v>4</v>
      </c>
      <c r="AM1950" s="214">
        <v>1.3916423712342001E-3</v>
      </c>
      <c r="AN1950" s="68"/>
      <c r="AO1950" s="67"/>
      <c r="AP1950" s="67"/>
      <c r="AQ1950" s="67"/>
      <c r="AR1950" s="67"/>
      <c r="AS1950" s="67"/>
      <c r="AT1950" s="68"/>
      <c r="AU1950" s="49"/>
      <c r="AV1950" s="50"/>
    </row>
    <row r="1951" spans="1:48" ht="12.75" customHeight="1" x14ac:dyDescent="0.25">
      <c r="A1951" s="72" t="s">
        <v>20</v>
      </c>
      <c r="B1951" s="43" t="s">
        <v>1833</v>
      </c>
      <c r="C1951" s="44" t="s">
        <v>2108</v>
      </c>
      <c r="D1951" s="45">
        <f>MROUND(MID($C1951,6,3)/Basis!$E$3,0.5)</f>
        <v>25.5</v>
      </c>
      <c r="E1951" s="45">
        <f>MROUND(MID($C1951,9,3)/Basis!$E$3,0.5)</f>
        <v>31.5</v>
      </c>
      <c r="F1951" s="124" t="s">
        <v>2943</v>
      </c>
      <c r="G1951" s="45">
        <f>ROUND((ROUNDDOWN($F1951/5,0)*5+1.8)/Basis!$E$3,1)</f>
        <v>4.5999999999999996</v>
      </c>
      <c r="H1951" s="120">
        <f>ROUND($P1951*Basis!$E$2*((TaH-TrH)/LN(1/µ)/Basis!$E$7)^$N1951*$AA$4*Glycol,0)</f>
        <v>2103</v>
      </c>
      <c r="I1951" s="83">
        <f>ROUND(H1951/(MID($C1951,9,3)/Basis!$E$3/Basis!$E$9)*Basis!$E$11,0)</f>
        <v>801</v>
      </c>
      <c r="J1951" s="123">
        <f>IF(Basis!$E$1=1,ROUND(H1951/((TaH-TrH)*1.163)/3600,3),ROUND(H1951/(500*(TaH-TrH)),2))</f>
        <v>0.21</v>
      </c>
      <c r="K1951" s="84"/>
      <c r="L1951" s="177">
        <f>CHOOSE(Basis!$E$1,((AJ1951*(J1951*3600/Basis!$E$5)^AK1951*(((MID(C1951,9,3)*10)-144)/1000)*AL1951+AM1951*(J1951*3600/Basis!$E$5)^2)*0.0098)/Basis!$E$10,((AJ1951*(J1951/Basis!$E$5)^AK1951*(((MID(C1951,9,3)*10)-144)/1000)*AL1951+AM1951*(J1951/Basis!$E$5)^2)*0.0098)/Basis!$E$10)</f>
        <v>4.1212093512648972E-3</v>
      </c>
      <c r="M1951" s="85"/>
      <c r="N1951" s="110">
        <v>1.371</v>
      </c>
      <c r="O1951" s="74"/>
      <c r="P1951" s="73">
        <v>969</v>
      </c>
      <c r="Q1951" s="74"/>
      <c r="R1951" s="75"/>
      <c r="S1951" s="75"/>
      <c r="T1951" s="75"/>
      <c r="U1951" s="75"/>
      <c r="V1951" s="75"/>
      <c r="W1951" s="74"/>
      <c r="X1951" s="76"/>
      <c r="Y1951" s="76"/>
      <c r="Z1951" s="76"/>
      <c r="AA1951" s="76"/>
      <c r="AB1951" s="76"/>
      <c r="AC1951" s="74"/>
      <c r="AD1951" s="77"/>
      <c r="AE1951" s="77"/>
      <c r="AF1951" s="77"/>
      <c r="AG1951" s="77"/>
      <c r="AH1951" s="77"/>
      <c r="AI1951" s="68"/>
      <c r="AJ1951" s="213">
        <v>3.9689999999999994E-4</v>
      </c>
      <c r="AK1951" s="213">
        <v>1.7345999999999999</v>
      </c>
      <c r="AL1951" s="213">
        <v>2</v>
      </c>
      <c r="AM1951" s="213">
        <v>3.6734700000000002E-4</v>
      </c>
      <c r="AN1951" s="74"/>
      <c r="AO1951" s="73"/>
      <c r="AP1951" s="73"/>
      <c r="AQ1951" s="73"/>
      <c r="AR1951" s="73"/>
      <c r="AS1951" s="73"/>
      <c r="AT1951" s="74"/>
      <c r="AU1951" s="47"/>
      <c r="AV1951" s="48"/>
    </row>
    <row r="1952" spans="1:48" ht="12.75" customHeight="1" x14ac:dyDescent="0.25">
      <c r="A1952" s="72" t="s">
        <v>20</v>
      </c>
      <c r="B1952" s="43" t="s">
        <v>1833</v>
      </c>
      <c r="C1952" s="44" t="s">
        <v>2109</v>
      </c>
      <c r="D1952" s="45">
        <f>MROUND(MID($C1952,6,3)/Basis!$E$3,0.5)</f>
        <v>25.5</v>
      </c>
      <c r="E1952" s="45">
        <f>MROUND(MID($C1952,9,3)/Basis!$E$3,0.5)</f>
        <v>31.5</v>
      </c>
      <c r="F1952" s="124" t="s">
        <v>2946</v>
      </c>
      <c r="G1952" s="45">
        <f>ROUND((ROUNDDOWN($F1952/5,0)*5+1.8)/Basis!$E$3,1)</f>
        <v>4.5999999999999996</v>
      </c>
      <c r="H1952" s="120">
        <f>ROUND($P1952*Basis!$E$2*((TaH-TrH)/LN(1/µ)/Basis!$E$7)^$N1952*$AA$4*Glycol,0)</f>
        <v>2620</v>
      </c>
      <c r="I1952" s="83">
        <f>ROUND(H1952/(MID($C1952,9,3)/Basis!$E$3/Basis!$E$9)*Basis!$E$11,0)</f>
        <v>998</v>
      </c>
      <c r="J1952" s="123">
        <f>IF(Basis!$E$1=1,ROUND(H1952/((TaH-TrH)*1.163)/3600,3),ROUND(H1952/(500*(TaH-TrH)),2))</f>
        <v>0.26</v>
      </c>
      <c r="K1952" s="84"/>
      <c r="L1952" s="177">
        <f>CHOOSE(Basis!$E$1,((AJ1952*(J1952*3600/Basis!$E$5)^AK1952*(((MID(C1952,9,3)*10)-144)/1000)*AL1952+AM1952*(J1952*3600/Basis!$E$5)^2)*0.0098)/Basis!$E$10,((AJ1952*(J1952/Basis!$E$5)^AK1952*(((MID(C1952,9,3)*10)-144)/1000)*AL1952+AM1952*(J1952/Basis!$E$5)^2)*0.0098)/Basis!$E$10)</f>
        <v>1.0571054120809498E-2</v>
      </c>
      <c r="M1952" s="85"/>
      <c r="N1952" s="110">
        <v>1.4370000000000001</v>
      </c>
      <c r="O1952" s="74"/>
      <c r="P1952" s="73">
        <v>1234</v>
      </c>
      <c r="Q1952" s="74"/>
      <c r="R1952" s="75"/>
      <c r="S1952" s="75"/>
      <c r="T1952" s="75"/>
      <c r="U1952" s="75"/>
      <c r="V1952" s="75"/>
      <c r="W1952" s="74"/>
      <c r="X1952" s="76"/>
      <c r="Y1952" s="76"/>
      <c r="Z1952" s="76"/>
      <c r="AA1952" s="76"/>
      <c r="AB1952" s="76"/>
      <c r="AC1952" s="74"/>
      <c r="AD1952" s="77"/>
      <c r="AE1952" s="77"/>
      <c r="AF1952" s="77"/>
      <c r="AG1952" s="77"/>
      <c r="AH1952" s="77"/>
      <c r="AI1952" s="68"/>
      <c r="AJ1952" s="213">
        <v>3.9689999999999994E-4</v>
      </c>
      <c r="AK1952" s="213">
        <v>1.7345999999999999</v>
      </c>
      <c r="AL1952" s="213">
        <v>4</v>
      </c>
      <c r="AM1952" s="213">
        <v>5.7428799999999995E-4</v>
      </c>
      <c r="AN1952" s="74"/>
      <c r="AO1952" s="73"/>
      <c r="AP1952" s="73"/>
      <c r="AQ1952" s="73"/>
      <c r="AR1952" s="73"/>
      <c r="AS1952" s="73"/>
      <c r="AT1952" s="74"/>
      <c r="AU1952" s="47"/>
      <c r="AV1952" s="48"/>
    </row>
    <row r="1953" spans="1:48" ht="12.75" customHeight="1" x14ac:dyDescent="0.25">
      <c r="A1953" s="72" t="s">
        <v>20</v>
      </c>
      <c r="B1953" s="43" t="s">
        <v>1833</v>
      </c>
      <c r="C1953" s="44" t="s">
        <v>2110</v>
      </c>
      <c r="D1953" s="45">
        <f>MROUND(MID($C1953,6,3)/Basis!$E$3,0.5)</f>
        <v>25.5</v>
      </c>
      <c r="E1953" s="45">
        <f>MROUND(MID($C1953,9,3)/Basis!$E$3,0.5)</f>
        <v>31.5</v>
      </c>
      <c r="F1953" s="124" t="s">
        <v>2944</v>
      </c>
      <c r="G1953" s="45">
        <f>ROUND((ROUNDDOWN($F1953/5,0)*5+1.8)/Basis!$E$3,1)</f>
        <v>6.6</v>
      </c>
      <c r="H1953" s="120">
        <f>ROUND($P1953*Basis!$E$2*((TaH-TrH)/LN(1/µ)/Basis!$E$7)^$N1953*$AA$4*Glycol,0)</f>
        <v>3356</v>
      </c>
      <c r="I1953" s="83">
        <f>ROUND(H1953/(MID($C1953,9,3)/Basis!$E$3/Basis!$E$9)*Basis!$E$11,0)</f>
        <v>1279</v>
      </c>
      <c r="J1953" s="123">
        <f>IF(Basis!$E$1=1,ROUND(H1953/((TaH-TrH)*1.163)/3600,3),ROUND(H1953/(500*(TaH-TrH)),2))</f>
        <v>0.34</v>
      </c>
      <c r="K1953" s="84"/>
      <c r="L1953" s="177">
        <f>CHOOSE(Basis!$E$1,((AJ1953*(J1953*3600/Basis!$E$5)^AK1953*(((MID(C1953,9,3)*10)-144)/1000)*AL1953+AM1953*(J1953*3600/Basis!$E$5)^2)*0.0098)/Basis!$E$10,((AJ1953*(J1953/Basis!$E$5)^AK1953*(((MID(C1953,9,3)*10)-144)/1000)*AL1953+AM1953*(J1953/Basis!$E$5)^2)*0.0098)/Basis!$E$10)</f>
        <v>1.0610342233549093E-2</v>
      </c>
      <c r="M1953" s="85"/>
      <c r="N1953" s="110">
        <v>1.355</v>
      </c>
      <c r="O1953" s="74"/>
      <c r="P1953" s="73">
        <v>1538</v>
      </c>
      <c r="Q1953" s="74"/>
      <c r="R1953" s="75"/>
      <c r="S1953" s="75"/>
      <c r="T1953" s="75"/>
      <c r="U1953" s="75"/>
      <c r="V1953" s="75"/>
      <c r="W1953" s="74"/>
      <c r="X1953" s="76"/>
      <c r="Y1953" s="76"/>
      <c r="Z1953" s="76"/>
      <c r="AA1953" s="76"/>
      <c r="AB1953" s="76"/>
      <c r="AC1953" s="74"/>
      <c r="AD1953" s="77"/>
      <c r="AE1953" s="77"/>
      <c r="AF1953" s="77"/>
      <c r="AG1953" s="77"/>
      <c r="AH1953" s="77"/>
      <c r="AI1953" s="68"/>
      <c r="AJ1953" s="213">
        <v>2.0829999999999999E-4</v>
      </c>
      <c r="AK1953" s="213">
        <v>1.724</v>
      </c>
      <c r="AL1953" s="213">
        <v>2</v>
      </c>
      <c r="AM1953" s="213">
        <v>4.6182900000000003E-4</v>
      </c>
      <c r="AN1953" s="74"/>
      <c r="AO1953" s="73"/>
      <c r="AP1953" s="73"/>
      <c r="AQ1953" s="73"/>
      <c r="AR1953" s="73"/>
      <c r="AS1953" s="73"/>
      <c r="AT1953" s="74"/>
      <c r="AU1953" s="47"/>
      <c r="AV1953" s="48"/>
    </row>
    <row r="1954" spans="1:48" ht="12.75" customHeight="1" x14ac:dyDescent="0.25">
      <c r="A1954" s="72" t="s">
        <v>20</v>
      </c>
      <c r="B1954" s="43" t="s">
        <v>1833</v>
      </c>
      <c r="C1954" s="44" t="s">
        <v>2111</v>
      </c>
      <c r="D1954" s="45">
        <f>MROUND(MID($C1954,6,3)/Basis!$E$3,0.5)</f>
        <v>25.5</v>
      </c>
      <c r="E1954" s="45">
        <f>MROUND(MID($C1954,9,3)/Basis!$E$3,0.5)</f>
        <v>31.5</v>
      </c>
      <c r="F1954" s="124" t="s">
        <v>2947</v>
      </c>
      <c r="G1954" s="45">
        <f>ROUND((ROUNDDOWN($F1954/5,0)*5+1.8)/Basis!$E$3,1)</f>
        <v>6.6</v>
      </c>
      <c r="H1954" s="120">
        <f>ROUND($P1954*Basis!$E$2*((TaH-TrH)/LN(1/µ)/Basis!$E$7)^$N1954*$AA$4*Glycol,0)</f>
        <v>3651</v>
      </c>
      <c r="I1954" s="83">
        <f>ROUND(H1954/(MID($C1954,9,3)/Basis!$E$3/Basis!$E$9)*Basis!$E$11,0)</f>
        <v>1391</v>
      </c>
      <c r="J1954" s="123">
        <f>IF(Basis!$E$1=1,ROUND(H1954/((TaH-TrH)*1.163)/3600,3),ROUND(H1954/(500*(TaH-TrH)),2))</f>
        <v>0.37</v>
      </c>
      <c r="K1954" s="84"/>
      <c r="L1954" s="177">
        <f>CHOOSE(Basis!$E$1,((AJ1954*(J1954*3600/Basis!$E$5)^AK1954*(((MID(C1954,9,3)*10)-144)/1000)*AL1954+AM1954*(J1954*3600/Basis!$E$5)^2)*0.0098)/Basis!$E$10,((AJ1954*(J1954/Basis!$E$5)^AK1954*(((MID(C1954,9,3)*10)-144)/1000)*AL1954+AM1954*(J1954/Basis!$E$5)^2)*0.0098)/Basis!$E$10)</f>
        <v>3.587583933552696E-2</v>
      </c>
      <c r="M1954" s="85"/>
      <c r="N1954" s="110">
        <v>1.47</v>
      </c>
      <c r="O1954" s="74"/>
      <c r="P1954" s="73">
        <v>1738</v>
      </c>
      <c r="Q1954" s="74"/>
      <c r="R1954" s="75"/>
      <c r="S1954" s="75"/>
      <c r="T1954" s="75"/>
      <c r="U1954" s="75"/>
      <c r="V1954" s="75"/>
      <c r="W1954" s="74"/>
      <c r="X1954" s="76"/>
      <c r="Y1954" s="76"/>
      <c r="Z1954" s="76"/>
      <c r="AA1954" s="76"/>
      <c r="AB1954" s="76"/>
      <c r="AC1954" s="74"/>
      <c r="AD1954" s="77"/>
      <c r="AE1954" s="77"/>
      <c r="AF1954" s="77"/>
      <c r="AG1954" s="77"/>
      <c r="AH1954" s="77"/>
      <c r="AI1954" s="68"/>
      <c r="AJ1954" s="213">
        <v>2.0829999999999999E-4</v>
      </c>
      <c r="AK1954" s="213">
        <v>1.724</v>
      </c>
      <c r="AL1954" s="213">
        <v>4</v>
      </c>
      <c r="AM1954" s="213">
        <v>1.392796E-3</v>
      </c>
      <c r="AN1954" s="74"/>
      <c r="AO1954" s="73"/>
      <c r="AP1954" s="73"/>
      <c r="AQ1954" s="73"/>
      <c r="AR1954" s="73"/>
      <c r="AS1954" s="73"/>
      <c r="AT1954" s="74"/>
      <c r="AU1954" s="47"/>
      <c r="AV1954" s="48"/>
    </row>
    <row r="1955" spans="1:48" ht="12.75" customHeight="1" x14ac:dyDescent="0.25">
      <c r="A1955" s="72" t="s">
        <v>20</v>
      </c>
      <c r="B1955" s="43" t="s">
        <v>1833</v>
      </c>
      <c r="C1955" s="44" t="s">
        <v>2112</v>
      </c>
      <c r="D1955" s="45">
        <f>MROUND(MID($C1955,6,3)/Basis!$E$3,0.5)</f>
        <v>25.5</v>
      </c>
      <c r="E1955" s="45">
        <f>MROUND(MID($C1955,9,3)/Basis!$E$3,0.5)</f>
        <v>31.5</v>
      </c>
      <c r="F1955" s="124" t="s">
        <v>2945</v>
      </c>
      <c r="G1955" s="45">
        <f>ROUND((ROUNDDOWN($F1955/5,0)*5+1.8)/Basis!$E$3,1)</f>
        <v>8.6</v>
      </c>
      <c r="H1955" s="120">
        <f>ROUND($P1955*Basis!$E$2*((TaH-TrH)/LN(1/µ)/Basis!$E$7)^$N1955*$AA$4*Glycol,0)</f>
        <v>4686</v>
      </c>
      <c r="I1955" s="83">
        <f>ROUND(H1955/(MID($C1955,9,3)/Basis!$E$3/Basis!$E$9)*Basis!$E$11,0)</f>
        <v>1785</v>
      </c>
      <c r="J1955" s="123">
        <f>IF(Basis!$E$1=1,ROUND(H1955/((TaH-TrH)*1.163)/3600,3),ROUND(H1955/(500*(TaH-TrH)),2))</f>
        <v>0.47</v>
      </c>
      <c r="K1955" s="84"/>
      <c r="L1955" s="177">
        <f>CHOOSE(Basis!$E$1,((AJ1955*(J1955*3600/Basis!$E$5)^AK1955*(((MID(C1955,9,3)*10)-144)/1000)*AL1955+AM1955*(J1955*3600/Basis!$E$5)^2)*0.0098)/Basis!$E$10,((AJ1955*(J1955/Basis!$E$5)^AK1955*(((MID(C1955,9,3)*10)-144)/1000)*AL1955+AM1955*(J1955/Basis!$E$5)^2)*0.0098)/Basis!$E$10)</f>
        <v>1.5734130280911161E-2</v>
      </c>
      <c r="M1955" s="85"/>
      <c r="N1955" s="110">
        <v>1.355</v>
      </c>
      <c r="O1955" s="74"/>
      <c r="P1955" s="73">
        <v>2148</v>
      </c>
      <c r="Q1955" s="74"/>
      <c r="R1955" s="75"/>
      <c r="S1955" s="75"/>
      <c r="T1955" s="75"/>
      <c r="U1955" s="75"/>
      <c r="V1955" s="75"/>
      <c r="W1955" s="74"/>
      <c r="X1955" s="76"/>
      <c r="Y1955" s="76"/>
      <c r="Z1955" s="76"/>
      <c r="AA1955" s="76"/>
      <c r="AB1955" s="76"/>
      <c r="AC1955" s="74"/>
      <c r="AD1955" s="77"/>
      <c r="AE1955" s="77"/>
      <c r="AF1955" s="77"/>
      <c r="AG1955" s="77"/>
      <c r="AH1955" s="77"/>
      <c r="AI1955" s="68"/>
      <c r="AJ1955" s="214">
        <v>1.2760000000000001E-4</v>
      </c>
      <c r="AK1955" s="214">
        <v>1.7219</v>
      </c>
      <c r="AL1955" s="214">
        <v>2</v>
      </c>
      <c r="AM1955" s="214">
        <v>3.76611E-4</v>
      </c>
      <c r="AN1955" s="74"/>
      <c r="AO1955" s="73"/>
      <c r="AP1955" s="73"/>
      <c r="AQ1955" s="73"/>
      <c r="AR1955" s="73"/>
      <c r="AS1955" s="73"/>
      <c r="AT1955" s="74"/>
      <c r="AU1955" s="47"/>
      <c r="AV1955" s="48"/>
    </row>
    <row r="1956" spans="1:48" ht="12.75" customHeight="1" x14ac:dyDescent="0.25">
      <c r="A1956" s="72" t="s">
        <v>20</v>
      </c>
      <c r="B1956" s="43" t="s">
        <v>1833</v>
      </c>
      <c r="C1956" s="44" t="s">
        <v>2113</v>
      </c>
      <c r="D1956" s="45">
        <f>MROUND(MID($C1956,6,3)/Basis!$E$3,0.5)</f>
        <v>25.5</v>
      </c>
      <c r="E1956" s="45">
        <f>MROUND(MID($C1956,9,3)/Basis!$E$3,0.5)</f>
        <v>31.5</v>
      </c>
      <c r="F1956" s="124" t="s">
        <v>2948</v>
      </c>
      <c r="G1956" s="45">
        <f>ROUND((ROUNDDOWN($F1956/5,0)*5+1.8)/Basis!$E$3,1)</f>
        <v>8.6</v>
      </c>
      <c r="H1956" s="120">
        <f>ROUND($P1956*Basis!$E$2*((TaH-TrH)/LN(1/µ)/Basis!$E$7)^$N1956*$AA$4*Glycol,0)</f>
        <v>5046</v>
      </c>
      <c r="I1956" s="83">
        <f>ROUND(H1956/(MID($C1956,9,3)/Basis!$E$3/Basis!$E$9)*Basis!$E$11,0)</f>
        <v>1923</v>
      </c>
      <c r="J1956" s="123">
        <f>IF(Basis!$E$1=1,ROUND(H1956/((TaH-TrH)*1.163)/3600,3),ROUND(H1956/(500*(TaH-TrH)),2))</f>
        <v>0.5</v>
      </c>
      <c r="K1956" s="84"/>
      <c r="L1956" s="177">
        <f>CHOOSE(Basis!$E$1,((AJ1956*(J1956*3600/Basis!$E$5)^AK1956*(((MID(C1956,9,3)*10)-144)/1000)*AL1956+AM1956*(J1956*3600/Basis!$E$5)^2)*0.0098)/Basis!$E$10,((AJ1956*(J1956/Basis!$E$5)^AK1956*(((MID(C1956,9,3)*10)-144)/1000)*AL1956+AM1956*(J1956/Basis!$E$5)^2)*0.0098)/Basis!$E$10)</f>
        <v>2.5469054159442058E-2</v>
      </c>
      <c r="M1956" s="85"/>
      <c r="N1956" s="110">
        <v>1.4970000000000001</v>
      </c>
      <c r="O1956" s="74"/>
      <c r="P1956" s="73">
        <v>2424</v>
      </c>
      <c r="Q1956" s="74"/>
      <c r="R1956" s="75"/>
      <c r="S1956" s="75"/>
      <c r="T1956" s="75"/>
      <c r="U1956" s="75"/>
      <c r="V1956" s="75"/>
      <c r="W1956" s="74"/>
      <c r="X1956" s="76"/>
      <c r="Y1956" s="76"/>
      <c r="Z1956" s="76"/>
      <c r="AA1956" s="76"/>
      <c r="AB1956" s="76"/>
      <c r="AC1956" s="74"/>
      <c r="AD1956" s="77"/>
      <c r="AE1956" s="77"/>
      <c r="AF1956" s="77"/>
      <c r="AG1956" s="77"/>
      <c r="AH1956" s="77"/>
      <c r="AI1956" s="68"/>
      <c r="AJ1956" s="213">
        <v>1.2760000000000001E-4</v>
      </c>
      <c r="AK1956" s="213">
        <v>1.7219</v>
      </c>
      <c r="AL1956" s="213">
        <v>4</v>
      </c>
      <c r="AM1956" s="213">
        <v>5.1420100000000005E-4</v>
      </c>
      <c r="AN1956" s="74"/>
      <c r="AO1956" s="73"/>
      <c r="AP1956" s="73"/>
      <c r="AQ1956" s="73"/>
      <c r="AR1956" s="73"/>
      <c r="AS1956" s="73"/>
      <c r="AT1956" s="74"/>
      <c r="AU1956" s="47"/>
      <c r="AV1956" s="48"/>
    </row>
    <row r="1957" spans="1:48" ht="12.75" customHeight="1" x14ac:dyDescent="0.25">
      <c r="A1957" s="72" t="s">
        <v>20</v>
      </c>
      <c r="B1957" s="43" t="s">
        <v>1833</v>
      </c>
      <c r="C1957" s="44" t="s">
        <v>2114</v>
      </c>
      <c r="D1957" s="45">
        <f>MROUND(MID($C1957,6,3)/Basis!$E$3,0.5)</f>
        <v>25.5</v>
      </c>
      <c r="E1957" s="45">
        <f>MROUND(MID($C1957,9,3)/Basis!$E$3,0.5)</f>
        <v>35.5</v>
      </c>
      <c r="F1957" s="124" t="s">
        <v>2949</v>
      </c>
      <c r="G1957" s="45">
        <f>ROUND((ROUNDDOWN($F1957/5,0)*5+3.5)/Basis!$E$3,1)</f>
        <v>3.3</v>
      </c>
      <c r="H1957" s="120">
        <f>ROUND($P1957*Basis!$E$2*((TaH-TrH)/LN(1/µ)/Basis!$E$7)^$N1957*$AA$4*Glycol,0)</f>
        <v>2096</v>
      </c>
      <c r="I1957" s="83">
        <f>ROUND(H1957/(MID($C1957,9,3)/Basis!$E$3/Basis!$E$9)*Basis!$E$11,0)</f>
        <v>710</v>
      </c>
      <c r="J1957" s="123">
        <f>IF(Basis!$E$1=1,ROUND(H1957/((TaH-TrH)*1.163)/3600,3),ROUND(H1957/(500*(TaH-TrH)),2))</f>
        <v>0.21</v>
      </c>
      <c r="K1957" s="84"/>
      <c r="L1957" s="177">
        <f>CHOOSE(Basis!$E$1,((AJ1957*(J1957*3600/Basis!$E$5)^AK1957*(((MID(C1957,9,3)*10)-144)/1000)*AL1957+AM1957*(J1957*3600/Basis!$E$5)^2)*0.0098)/Basis!$E$10,((AJ1957*(J1957/Basis!$E$5)^AK1957*(((MID(C1957,9,3)*10)-144)/1000)*AL1957+AM1957*(J1957/Basis!$E$5)^2)*0.0098)/Basis!$E$10)</f>
        <v>1.6725201419373371E-2</v>
      </c>
      <c r="M1957" s="85"/>
      <c r="N1957" s="110">
        <v>1.35</v>
      </c>
      <c r="O1957" s="74"/>
      <c r="P1957" s="73">
        <v>959</v>
      </c>
      <c r="Q1957" s="74"/>
      <c r="R1957" s="75"/>
      <c r="S1957" s="75"/>
      <c r="T1957" s="75"/>
      <c r="U1957" s="75"/>
      <c r="V1957" s="75"/>
      <c r="W1957" s="74"/>
      <c r="X1957" s="76"/>
      <c r="Y1957" s="76"/>
      <c r="Z1957" s="76"/>
      <c r="AA1957" s="76"/>
      <c r="AB1957" s="76"/>
      <c r="AC1957" s="74"/>
      <c r="AD1957" s="77"/>
      <c r="AE1957" s="77"/>
      <c r="AF1957" s="77"/>
      <c r="AG1957" s="77"/>
      <c r="AH1957" s="77"/>
      <c r="AI1957" s="68"/>
      <c r="AJ1957" s="213">
        <v>1.6125983042710999E-4</v>
      </c>
      <c r="AK1957" s="213">
        <v>2.1458504622376</v>
      </c>
      <c r="AL1957" s="213">
        <v>4</v>
      </c>
      <c r="AM1957" s="213">
        <v>1.3916423712342001E-3</v>
      </c>
      <c r="AN1957" s="74"/>
      <c r="AO1957" s="73"/>
      <c r="AP1957" s="73"/>
      <c r="AQ1957" s="73"/>
      <c r="AR1957" s="73"/>
      <c r="AS1957" s="73"/>
      <c r="AT1957" s="74"/>
      <c r="AU1957" s="47"/>
      <c r="AV1957" s="48"/>
    </row>
    <row r="1958" spans="1:48" ht="12.75" customHeight="1" x14ac:dyDescent="0.25">
      <c r="A1958" s="72" t="s">
        <v>20</v>
      </c>
      <c r="B1958" s="43" t="s">
        <v>1833</v>
      </c>
      <c r="C1958" s="44" t="s">
        <v>2115</v>
      </c>
      <c r="D1958" s="45">
        <f>MROUND(MID($C1958,6,3)/Basis!$E$3,0.5)</f>
        <v>25.5</v>
      </c>
      <c r="E1958" s="45">
        <f>MROUND(MID($C1958,9,3)/Basis!$E$3,0.5)</f>
        <v>35.5</v>
      </c>
      <c r="F1958" s="124" t="s">
        <v>2943</v>
      </c>
      <c r="G1958" s="45">
        <f>ROUND((ROUNDDOWN($F1958/5,0)*5+1.8)/Basis!$E$3,1)</f>
        <v>4.5999999999999996</v>
      </c>
      <c r="H1958" s="120">
        <f>ROUND($P1958*Basis!$E$2*((TaH-TrH)/LN(1/µ)/Basis!$E$7)^$N1958*$AA$4*Glycol,0)</f>
        <v>2366</v>
      </c>
      <c r="I1958" s="83">
        <f>ROUND(H1958/(MID($C1958,9,3)/Basis!$E$3/Basis!$E$9)*Basis!$E$11,0)</f>
        <v>801</v>
      </c>
      <c r="J1958" s="123">
        <f>IF(Basis!$E$1=1,ROUND(H1958/((TaH-TrH)*1.163)/3600,3),ROUND(H1958/(500*(TaH-TrH)),2))</f>
        <v>0.24</v>
      </c>
      <c r="K1958" s="84"/>
      <c r="L1958" s="177">
        <f>CHOOSE(Basis!$E$1,((AJ1958*(J1958*3600/Basis!$E$5)^AK1958*(((MID(C1958,9,3)*10)-144)/1000)*AL1958+AM1958*(J1958*3600/Basis!$E$5)^2)*0.0098)/Basis!$E$10,((AJ1958*(J1958/Basis!$E$5)^AK1958*(((MID(C1958,9,3)*10)-144)/1000)*AL1958+AM1958*(J1958/Basis!$E$5)^2)*0.0098)/Basis!$E$10)</f>
        <v>5.5865261385593208E-3</v>
      </c>
      <c r="M1958" s="85"/>
      <c r="N1958" s="109">
        <v>1.371</v>
      </c>
      <c r="O1958" s="68"/>
      <c r="P1958" s="67">
        <v>1090</v>
      </c>
      <c r="Q1958" s="68"/>
      <c r="R1958" s="69"/>
      <c r="S1958" s="69"/>
      <c r="T1958" s="69"/>
      <c r="U1958" s="69"/>
      <c r="V1958" s="69"/>
      <c r="W1958" s="68"/>
      <c r="X1958" s="70"/>
      <c r="Y1958" s="70"/>
      <c r="Z1958" s="70"/>
      <c r="AA1958" s="70"/>
      <c r="AB1958" s="70"/>
      <c r="AC1958" s="68"/>
      <c r="AD1958" s="71"/>
      <c r="AE1958" s="71"/>
      <c r="AF1958" s="71"/>
      <c r="AG1958" s="71"/>
      <c r="AH1958" s="71"/>
      <c r="AI1958" s="68"/>
      <c r="AJ1958" s="214">
        <v>3.9689999999999994E-4</v>
      </c>
      <c r="AK1958" s="214">
        <v>1.7345999999999999</v>
      </c>
      <c r="AL1958" s="214">
        <v>2</v>
      </c>
      <c r="AM1958" s="214">
        <v>3.6734700000000002E-4</v>
      </c>
      <c r="AN1958" s="68"/>
      <c r="AO1958" s="67"/>
      <c r="AP1958" s="67"/>
      <c r="AQ1958" s="67"/>
      <c r="AR1958" s="67"/>
      <c r="AS1958" s="67"/>
      <c r="AT1958" s="68"/>
      <c r="AU1958" s="49"/>
      <c r="AV1958" s="50"/>
    </row>
    <row r="1959" spans="1:48" ht="12.75" customHeight="1" x14ac:dyDescent="0.25">
      <c r="A1959" s="72" t="s">
        <v>20</v>
      </c>
      <c r="B1959" s="43" t="s">
        <v>1833</v>
      </c>
      <c r="C1959" s="44" t="s">
        <v>2116</v>
      </c>
      <c r="D1959" s="45">
        <f>MROUND(MID($C1959,6,3)/Basis!$E$3,0.5)</f>
        <v>25.5</v>
      </c>
      <c r="E1959" s="45">
        <f>MROUND(MID($C1959,9,3)/Basis!$E$3,0.5)</f>
        <v>35.5</v>
      </c>
      <c r="F1959" s="124" t="s">
        <v>2946</v>
      </c>
      <c r="G1959" s="45">
        <f>ROUND((ROUNDDOWN($F1959/5,0)*5+1.8)/Basis!$E$3,1)</f>
        <v>4.5999999999999996</v>
      </c>
      <c r="H1959" s="120">
        <f>ROUND($P1959*Basis!$E$2*((TaH-TrH)/LN(1/µ)/Basis!$E$7)^$N1959*$AA$4*Glycol,0)</f>
        <v>2950</v>
      </c>
      <c r="I1959" s="83">
        <f>ROUND(H1959/(MID($C1959,9,3)/Basis!$E$3/Basis!$E$9)*Basis!$E$11,0)</f>
        <v>999</v>
      </c>
      <c r="J1959" s="123">
        <f>IF(Basis!$E$1=1,ROUND(H1959/((TaH-TrH)*1.163)/3600,3),ROUND(H1959/(500*(TaH-TrH)),2))</f>
        <v>0.3</v>
      </c>
      <c r="K1959" s="84"/>
      <c r="L1959" s="177">
        <f>CHOOSE(Basis!$E$1,((AJ1959*(J1959*3600/Basis!$E$5)^AK1959*(((MID(C1959,9,3)*10)-144)/1000)*AL1959+AM1959*(J1959*3600/Basis!$E$5)^2)*0.0098)/Basis!$E$10,((AJ1959*(J1959/Basis!$E$5)^AK1959*(((MID(C1959,9,3)*10)-144)/1000)*AL1959+AM1959*(J1959/Basis!$E$5)^2)*0.0098)/Basis!$E$10)</f>
        <v>1.4660326467626215E-2</v>
      </c>
      <c r="M1959" s="85"/>
      <c r="N1959" s="109">
        <v>1.4370000000000001</v>
      </c>
      <c r="O1959" s="68"/>
      <c r="P1959" s="67">
        <v>1389</v>
      </c>
      <c r="Q1959" s="68"/>
      <c r="R1959" s="69"/>
      <c r="S1959" s="69"/>
      <c r="T1959" s="69"/>
      <c r="U1959" s="69"/>
      <c r="V1959" s="69"/>
      <c r="W1959" s="68"/>
      <c r="X1959" s="70"/>
      <c r="Y1959" s="70"/>
      <c r="Z1959" s="70"/>
      <c r="AA1959" s="70"/>
      <c r="AB1959" s="70"/>
      <c r="AC1959" s="68"/>
      <c r="AD1959" s="71"/>
      <c r="AE1959" s="71"/>
      <c r="AF1959" s="71"/>
      <c r="AG1959" s="71"/>
      <c r="AH1959" s="71"/>
      <c r="AI1959" s="68"/>
      <c r="AJ1959" s="214">
        <v>3.9689999999999994E-4</v>
      </c>
      <c r="AK1959" s="214">
        <v>1.7345999999999999</v>
      </c>
      <c r="AL1959" s="214">
        <v>4</v>
      </c>
      <c r="AM1959" s="214">
        <v>5.7428799999999995E-4</v>
      </c>
      <c r="AN1959" s="68"/>
      <c r="AO1959" s="67"/>
      <c r="AP1959" s="67"/>
      <c r="AQ1959" s="67"/>
      <c r="AR1959" s="67"/>
      <c r="AS1959" s="67"/>
      <c r="AT1959" s="68"/>
      <c r="AU1959" s="49"/>
      <c r="AV1959" s="50"/>
    </row>
    <row r="1960" spans="1:48" ht="12.75" customHeight="1" x14ac:dyDescent="0.25">
      <c r="A1960" s="72" t="s">
        <v>20</v>
      </c>
      <c r="B1960" s="43" t="s">
        <v>1833</v>
      </c>
      <c r="C1960" s="44" t="s">
        <v>2117</v>
      </c>
      <c r="D1960" s="45">
        <f>MROUND(MID($C1960,6,3)/Basis!$E$3,0.5)</f>
        <v>25.5</v>
      </c>
      <c r="E1960" s="45">
        <f>MROUND(MID($C1960,9,3)/Basis!$E$3,0.5)</f>
        <v>35.5</v>
      </c>
      <c r="F1960" s="124" t="s">
        <v>2944</v>
      </c>
      <c r="G1960" s="45">
        <f>ROUND((ROUNDDOWN($F1960/5,0)*5+1.8)/Basis!$E$3,1)</f>
        <v>6.6</v>
      </c>
      <c r="H1960" s="120">
        <f>ROUND($P1960*Basis!$E$2*((TaH-TrH)/LN(1/µ)/Basis!$E$7)^$N1960*$AA$4*Glycol,0)</f>
        <v>3774</v>
      </c>
      <c r="I1960" s="83">
        <f>ROUND(H1960/(MID($C1960,9,3)/Basis!$E$3/Basis!$E$9)*Basis!$E$11,0)</f>
        <v>1278</v>
      </c>
      <c r="J1960" s="123">
        <f>IF(Basis!$E$1=1,ROUND(H1960/((TaH-TrH)*1.163)/3600,3),ROUND(H1960/(500*(TaH-TrH)),2))</f>
        <v>0.38</v>
      </c>
      <c r="K1960" s="84"/>
      <c r="L1960" s="177">
        <f>CHOOSE(Basis!$E$1,((AJ1960*(J1960*3600/Basis!$E$5)^AK1960*(((MID(C1960,9,3)*10)-144)/1000)*AL1960+AM1960*(J1960*3600/Basis!$E$5)^2)*0.0098)/Basis!$E$10,((AJ1960*(J1960/Basis!$E$5)^AK1960*(((MID(C1960,9,3)*10)-144)/1000)*AL1960+AM1960*(J1960/Basis!$E$5)^2)*0.0098)/Basis!$E$10)</f>
        <v>1.3489589047828631E-2</v>
      </c>
      <c r="M1960" s="85"/>
      <c r="N1960" s="109">
        <v>1.355</v>
      </c>
      <c r="O1960" s="68"/>
      <c r="P1960" s="67">
        <v>1730</v>
      </c>
      <c r="Q1960" s="68"/>
      <c r="R1960" s="69"/>
      <c r="S1960" s="69"/>
      <c r="T1960" s="69"/>
      <c r="U1960" s="69"/>
      <c r="V1960" s="69"/>
      <c r="W1960" s="68"/>
      <c r="X1960" s="70"/>
      <c r="Y1960" s="70"/>
      <c r="Z1960" s="70"/>
      <c r="AA1960" s="70"/>
      <c r="AB1960" s="70"/>
      <c r="AC1960" s="68"/>
      <c r="AD1960" s="71"/>
      <c r="AE1960" s="71"/>
      <c r="AF1960" s="71"/>
      <c r="AG1960" s="71"/>
      <c r="AH1960" s="71"/>
      <c r="AI1960" s="68"/>
      <c r="AJ1960" s="214">
        <v>2.0829999999999999E-4</v>
      </c>
      <c r="AK1960" s="214">
        <v>1.724</v>
      </c>
      <c r="AL1960" s="214">
        <v>2</v>
      </c>
      <c r="AM1960" s="214">
        <v>4.6182900000000003E-4</v>
      </c>
      <c r="AN1960" s="68"/>
      <c r="AO1960" s="67"/>
      <c r="AP1960" s="67"/>
      <c r="AQ1960" s="67"/>
      <c r="AR1960" s="67"/>
      <c r="AS1960" s="67"/>
      <c r="AT1960" s="68"/>
      <c r="AU1960" s="49"/>
      <c r="AV1960" s="50"/>
    </row>
    <row r="1961" spans="1:48" ht="12.75" customHeight="1" x14ac:dyDescent="0.25">
      <c r="A1961" s="72" t="s">
        <v>20</v>
      </c>
      <c r="B1961" s="43" t="s">
        <v>1833</v>
      </c>
      <c r="C1961" s="44" t="s">
        <v>2118</v>
      </c>
      <c r="D1961" s="45">
        <f>MROUND(MID($C1961,6,3)/Basis!$E$3,0.5)</f>
        <v>25.5</v>
      </c>
      <c r="E1961" s="45">
        <f>MROUND(MID($C1961,9,3)/Basis!$E$3,0.5)</f>
        <v>35.5</v>
      </c>
      <c r="F1961" s="124" t="s">
        <v>2947</v>
      </c>
      <c r="G1961" s="45">
        <f>ROUND((ROUNDDOWN($F1961/5,0)*5+1.8)/Basis!$E$3,1)</f>
        <v>6.6</v>
      </c>
      <c r="H1961" s="120">
        <f>ROUND($P1961*Basis!$E$2*((TaH-TrH)/LN(1/µ)/Basis!$E$7)^$N1961*$AA$4*Glycol,0)</f>
        <v>4109</v>
      </c>
      <c r="I1961" s="83">
        <f>ROUND(H1961/(MID($C1961,9,3)/Basis!$E$3/Basis!$E$9)*Basis!$E$11,0)</f>
        <v>1392</v>
      </c>
      <c r="J1961" s="123">
        <f>IF(Basis!$E$1=1,ROUND(H1961/((TaH-TrH)*1.163)/3600,3),ROUND(H1961/(500*(TaH-TrH)),2))</f>
        <v>0.41</v>
      </c>
      <c r="K1961" s="84"/>
      <c r="L1961" s="177">
        <f>CHOOSE(Basis!$E$1,((AJ1961*(J1961*3600/Basis!$E$5)^AK1961*(((MID(C1961,9,3)*10)-144)/1000)*AL1961+AM1961*(J1961*3600/Basis!$E$5)^2)*0.0098)/Basis!$E$10,((AJ1961*(J1961/Basis!$E$5)^AK1961*(((MID(C1961,9,3)*10)-144)/1000)*AL1961+AM1961*(J1961/Basis!$E$5)^2)*0.0098)/Basis!$E$10)</f>
        <v>4.4600574906181654E-2</v>
      </c>
      <c r="M1961" s="85"/>
      <c r="N1961" s="109">
        <v>1.47</v>
      </c>
      <c r="O1961" s="68"/>
      <c r="P1961" s="67">
        <v>1956</v>
      </c>
      <c r="Q1961" s="68"/>
      <c r="R1961" s="69"/>
      <c r="S1961" s="69"/>
      <c r="T1961" s="69"/>
      <c r="U1961" s="69"/>
      <c r="V1961" s="69"/>
      <c r="W1961" s="68"/>
      <c r="X1961" s="70"/>
      <c r="Y1961" s="70"/>
      <c r="Z1961" s="70"/>
      <c r="AA1961" s="70"/>
      <c r="AB1961" s="70"/>
      <c r="AC1961" s="68"/>
      <c r="AD1961" s="71"/>
      <c r="AE1961" s="71"/>
      <c r="AF1961" s="71"/>
      <c r="AG1961" s="71"/>
      <c r="AH1961" s="71"/>
      <c r="AI1961" s="68"/>
      <c r="AJ1961" s="214">
        <v>2.0829999999999999E-4</v>
      </c>
      <c r="AK1961" s="214">
        <v>1.724</v>
      </c>
      <c r="AL1961" s="214">
        <v>4</v>
      </c>
      <c r="AM1961" s="214">
        <v>1.392796E-3</v>
      </c>
      <c r="AN1961" s="68"/>
      <c r="AO1961" s="67"/>
      <c r="AP1961" s="67"/>
      <c r="AQ1961" s="67"/>
      <c r="AR1961" s="67"/>
      <c r="AS1961" s="67"/>
      <c r="AT1961" s="68"/>
      <c r="AU1961" s="49"/>
      <c r="AV1961" s="50"/>
    </row>
    <row r="1962" spans="1:48" ht="12.75" customHeight="1" x14ac:dyDescent="0.25">
      <c r="A1962" s="72" t="s">
        <v>20</v>
      </c>
      <c r="B1962" s="43" t="s">
        <v>1833</v>
      </c>
      <c r="C1962" s="44" t="s">
        <v>2119</v>
      </c>
      <c r="D1962" s="45">
        <f>MROUND(MID($C1962,6,3)/Basis!$E$3,0.5)</f>
        <v>25.5</v>
      </c>
      <c r="E1962" s="45">
        <f>MROUND(MID($C1962,9,3)/Basis!$E$3,0.5)</f>
        <v>35.5</v>
      </c>
      <c r="F1962" s="124" t="s">
        <v>2945</v>
      </c>
      <c r="G1962" s="45">
        <f>ROUND((ROUNDDOWN($F1962/5,0)*5+1.8)/Basis!$E$3,1)</f>
        <v>8.6</v>
      </c>
      <c r="H1962" s="120">
        <f>ROUND($P1962*Basis!$E$2*((TaH-TrH)/LN(1/µ)/Basis!$E$7)^$N1962*$AA$4*Glycol,0)</f>
        <v>5273</v>
      </c>
      <c r="I1962" s="83">
        <f>ROUND(H1962/(MID($C1962,9,3)/Basis!$E$3/Basis!$E$9)*Basis!$E$11,0)</f>
        <v>1786</v>
      </c>
      <c r="J1962" s="123">
        <f>IF(Basis!$E$1=1,ROUND(H1962/((TaH-TrH)*1.163)/3600,3),ROUND(H1962/(500*(TaH-TrH)),2))</f>
        <v>0.53</v>
      </c>
      <c r="K1962" s="84"/>
      <c r="L1962" s="177">
        <f>CHOOSE(Basis!$E$1,((AJ1962*(J1962*3600/Basis!$E$5)^AK1962*(((MID(C1962,9,3)*10)-144)/1000)*AL1962+AM1962*(J1962*3600/Basis!$E$5)^2)*0.0098)/Basis!$E$10,((AJ1962*(J1962/Basis!$E$5)^AK1962*(((MID(C1962,9,3)*10)-144)/1000)*AL1962+AM1962*(J1962/Basis!$E$5)^2)*0.0098)/Basis!$E$10)</f>
        <v>2.025572143447045E-2</v>
      </c>
      <c r="M1962" s="85"/>
      <c r="N1962" s="109">
        <v>1.355</v>
      </c>
      <c r="O1962" s="68"/>
      <c r="P1962" s="67">
        <v>2417</v>
      </c>
      <c r="Q1962" s="68"/>
      <c r="R1962" s="69"/>
      <c r="S1962" s="69"/>
      <c r="T1962" s="69"/>
      <c r="U1962" s="69"/>
      <c r="V1962" s="69"/>
      <c r="W1962" s="68"/>
      <c r="X1962" s="70"/>
      <c r="Y1962" s="70"/>
      <c r="Z1962" s="70"/>
      <c r="AA1962" s="70"/>
      <c r="AB1962" s="70"/>
      <c r="AC1962" s="68"/>
      <c r="AD1962" s="71"/>
      <c r="AE1962" s="71"/>
      <c r="AF1962" s="71"/>
      <c r="AG1962" s="71"/>
      <c r="AH1962" s="71"/>
      <c r="AI1962" s="68"/>
      <c r="AJ1962" s="214">
        <v>1.2760000000000001E-4</v>
      </c>
      <c r="AK1962" s="214">
        <v>1.7219</v>
      </c>
      <c r="AL1962" s="214">
        <v>2</v>
      </c>
      <c r="AM1962" s="214">
        <v>3.76611E-4</v>
      </c>
      <c r="AN1962" s="68"/>
      <c r="AO1962" s="67"/>
      <c r="AP1962" s="67"/>
      <c r="AQ1962" s="67"/>
      <c r="AR1962" s="67"/>
      <c r="AS1962" s="67"/>
      <c r="AT1962" s="68"/>
      <c r="AU1962" s="49"/>
      <c r="AV1962" s="50"/>
    </row>
    <row r="1963" spans="1:48" ht="12.75" customHeight="1" x14ac:dyDescent="0.25">
      <c r="A1963" s="72" t="s">
        <v>20</v>
      </c>
      <c r="B1963" s="43" t="s">
        <v>1833</v>
      </c>
      <c r="C1963" s="44" t="s">
        <v>2120</v>
      </c>
      <c r="D1963" s="45">
        <f>MROUND(MID($C1963,6,3)/Basis!$E$3,0.5)</f>
        <v>25.5</v>
      </c>
      <c r="E1963" s="45">
        <f>MROUND(MID($C1963,9,3)/Basis!$E$3,0.5)</f>
        <v>35.5</v>
      </c>
      <c r="F1963" s="124" t="s">
        <v>2948</v>
      </c>
      <c r="G1963" s="45">
        <f>ROUND((ROUNDDOWN($F1963/5,0)*5+1.8)/Basis!$E$3,1)</f>
        <v>8.6</v>
      </c>
      <c r="H1963" s="120">
        <f>ROUND($P1963*Basis!$E$2*((TaH-TrH)/LN(1/µ)/Basis!$E$7)^$N1963*$AA$4*Glycol,0)</f>
        <v>5677</v>
      </c>
      <c r="I1963" s="83">
        <f>ROUND(H1963/(MID($C1963,9,3)/Basis!$E$3/Basis!$E$9)*Basis!$E$11,0)</f>
        <v>1923</v>
      </c>
      <c r="J1963" s="123">
        <f>IF(Basis!$E$1=1,ROUND(H1963/((TaH-TrH)*1.163)/3600,3),ROUND(H1963/(500*(TaH-TrH)),2))</f>
        <v>0.56999999999999995</v>
      </c>
      <c r="K1963" s="84"/>
      <c r="L1963" s="177">
        <f>CHOOSE(Basis!$E$1,((AJ1963*(J1963*3600/Basis!$E$5)^AK1963*(((MID(C1963,9,3)*10)-144)/1000)*AL1963+AM1963*(J1963*3600/Basis!$E$5)^2)*0.0098)/Basis!$E$10,((AJ1963*(J1963/Basis!$E$5)^AK1963*(((MID(C1963,9,3)*10)-144)/1000)*AL1963+AM1963*(J1963/Basis!$E$5)^2)*0.0098)/Basis!$E$10)</f>
        <v>3.3646793700466464E-2</v>
      </c>
      <c r="M1963" s="85"/>
      <c r="N1963" s="109">
        <v>1.4970000000000001</v>
      </c>
      <c r="O1963" s="68"/>
      <c r="P1963" s="67">
        <v>2727</v>
      </c>
      <c r="Q1963" s="68"/>
      <c r="R1963" s="69"/>
      <c r="S1963" s="69"/>
      <c r="T1963" s="69"/>
      <c r="U1963" s="69"/>
      <c r="V1963" s="69"/>
      <c r="W1963" s="68"/>
      <c r="X1963" s="70"/>
      <c r="Y1963" s="70"/>
      <c r="Z1963" s="70"/>
      <c r="AA1963" s="70"/>
      <c r="AB1963" s="70"/>
      <c r="AC1963" s="68"/>
      <c r="AD1963" s="71"/>
      <c r="AE1963" s="71"/>
      <c r="AF1963" s="71"/>
      <c r="AG1963" s="71"/>
      <c r="AH1963" s="71"/>
      <c r="AI1963" s="68"/>
      <c r="AJ1963" s="214">
        <v>1.2760000000000001E-4</v>
      </c>
      <c r="AK1963" s="214">
        <v>1.7219</v>
      </c>
      <c r="AL1963" s="214">
        <v>4</v>
      </c>
      <c r="AM1963" s="214">
        <v>5.1420100000000005E-4</v>
      </c>
      <c r="AN1963" s="68"/>
      <c r="AO1963" s="67"/>
      <c r="AP1963" s="67"/>
      <c r="AQ1963" s="67"/>
      <c r="AR1963" s="67"/>
      <c r="AS1963" s="67"/>
      <c r="AT1963" s="68"/>
      <c r="AU1963" s="49"/>
      <c r="AV1963" s="50"/>
    </row>
    <row r="1964" spans="1:48" ht="12.75" customHeight="1" x14ac:dyDescent="0.25">
      <c r="A1964" s="72" t="s">
        <v>20</v>
      </c>
      <c r="B1964" s="43" t="s">
        <v>1833</v>
      </c>
      <c r="C1964" s="44" t="s">
        <v>2121</v>
      </c>
      <c r="D1964" s="45">
        <f>MROUND(MID($C1964,6,3)/Basis!$E$3,0.5)</f>
        <v>25.5</v>
      </c>
      <c r="E1964" s="45">
        <f>MROUND(MID($C1964,9,3)/Basis!$E$3,0.5)</f>
        <v>39.5</v>
      </c>
      <c r="F1964" s="124" t="s">
        <v>2949</v>
      </c>
      <c r="G1964" s="45">
        <f>ROUND((ROUNDDOWN($F1964/5,0)*5+3.5)/Basis!$E$3,1)</f>
        <v>3.3</v>
      </c>
      <c r="H1964" s="120">
        <f>ROUND($P1964*Basis!$E$2*((TaH-TrH)/LN(1/µ)/Basis!$E$7)^$N1964*$AA$4*Glycol,0)</f>
        <v>2330</v>
      </c>
      <c r="I1964" s="83">
        <f>ROUND(H1964/(MID($C1964,9,3)/Basis!$E$3/Basis!$E$9)*Basis!$E$11,0)</f>
        <v>710</v>
      </c>
      <c r="J1964" s="123">
        <f>IF(Basis!$E$1=1,ROUND(H1964/((TaH-TrH)*1.163)/3600,3),ROUND(H1964/(500*(TaH-TrH)),2))</f>
        <v>0.23</v>
      </c>
      <c r="K1964" s="84"/>
      <c r="L1964" s="177">
        <f>CHOOSE(Basis!$E$1,((AJ1964*(J1964*3600/Basis!$E$5)^AK1964*(((MID(C1964,9,3)*10)-144)/1000)*AL1964+AM1964*(J1964*3600/Basis!$E$5)^2)*0.0098)/Basis!$E$10,((AJ1964*(J1964/Basis!$E$5)^AK1964*(((MID(C1964,9,3)*10)-144)/1000)*AL1964+AM1964*(J1964/Basis!$E$5)^2)*0.0098)/Basis!$E$10)</f>
        <v>2.1189596151904612E-2</v>
      </c>
      <c r="M1964" s="85"/>
      <c r="N1964" s="109">
        <v>1.35</v>
      </c>
      <c r="O1964" s="68"/>
      <c r="P1964" s="67">
        <v>1066</v>
      </c>
      <c r="Q1964" s="68"/>
      <c r="R1964" s="69"/>
      <c r="S1964" s="69"/>
      <c r="T1964" s="69"/>
      <c r="U1964" s="69"/>
      <c r="V1964" s="69"/>
      <c r="W1964" s="68"/>
      <c r="X1964" s="70"/>
      <c r="Y1964" s="70"/>
      <c r="Z1964" s="70"/>
      <c r="AA1964" s="70"/>
      <c r="AB1964" s="70"/>
      <c r="AC1964" s="68"/>
      <c r="AD1964" s="71"/>
      <c r="AE1964" s="71"/>
      <c r="AF1964" s="71"/>
      <c r="AG1964" s="71"/>
      <c r="AH1964" s="71"/>
      <c r="AI1964" s="68"/>
      <c r="AJ1964" s="214">
        <v>1.6125983042710999E-4</v>
      </c>
      <c r="AK1964" s="214">
        <v>2.1458504622376</v>
      </c>
      <c r="AL1964" s="214">
        <v>4</v>
      </c>
      <c r="AM1964" s="214">
        <v>1.3916423712342001E-3</v>
      </c>
      <c r="AN1964" s="68"/>
      <c r="AO1964" s="67"/>
      <c r="AP1964" s="67"/>
      <c r="AQ1964" s="67"/>
      <c r="AR1964" s="67"/>
      <c r="AS1964" s="67"/>
      <c r="AT1964" s="68"/>
      <c r="AU1964" s="49"/>
      <c r="AV1964" s="50"/>
    </row>
    <row r="1965" spans="1:48" ht="12.75" customHeight="1" x14ac:dyDescent="0.25">
      <c r="A1965" s="72" t="s">
        <v>20</v>
      </c>
      <c r="B1965" s="43" t="s">
        <v>1833</v>
      </c>
      <c r="C1965" s="44" t="s">
        <v>2122</v>
      </c>
      <c r="D1965" s="45">
        <f>MROUND(MID($C1965,6,3)/Basis!$E$3,0.5)</f>
        <v>25.5</v>
      </c>
      <c r="E1965" s="45">
        <f>MROUND(MID($C1965,9,3)/Basis!$E$3,0.5)</f>
        <v>39.5</v>
      </c>
      <c r="F1965" s="124" t="s">
        <v>2943</v>
      </c>
      <c r="G1965" s="45">
        <f>ROUND((ROUNDDOWN($F1965/5,0)*5+1.8)/Basis!$E$3,1)</f>
        <v>4.5999999999999996</v>
      </c>
      <c r="H1965" s="120">
        <f>ROUND($P1965*Basis!$E$2*((TaH-TrH)/LN(1/µ)/Basis!$E$7)^$N1965*$AA$4*Glycol,0)</f>
        <v>2628</v>
      </c>
      <c r="I1965" s="83">
        <f>ROUND(H1965/(MID($C1965,9,3)/Basis!$E$3/Basis!$E$9)*Basis!$E$11,0)</f>
        <v>801</v>
      </c>
      <c r="J1965" s="123">
        <f>IF(Basis!$E$1=1,ROUND(H1965/((TaH-TrH)*1.163)/3600,3),ROUND(H1965/(500*(TaH-TrH)),2))</f>
        <v>0.26</v>
      </c>
      <c r="K1965" s="84"/>
      <c r="L1965" s="177">
        <f>CHOOSE(Basis!$E$1,((AJ1965*(J1965*3600/Basis!$E$5)^AK1965*(((MID(C1965,9,3)*10)-144)/1000)*AL1965+AM1965*(J1965*3600/Basis!$E$5)^2)*0.0098)/Basis!$E$10,((AJ1965*(J1965/Basis!$E$5)^AK1965*(((MID(C1965,9,3)*10)-144)/1000)*AL1965+AM1965*(J1965/Basis!$E$5)^2)*0.0098)/Basis!$E$10)</f>
        <v>6.8132665706699689E-3</v>
      </c>
      <c r="M1965" s="85"/>
      <c r="N1965" s="110">
        <v>1.371</v>
      </c>
      <c r="O1965" s="74"/>
      <c r="P1965" s="73">
        <v>1211</v>
      </c>
      <c r="Q1965" s="74"/>
      <c r="R1965" s="75"/>
      <c r="S1965" s="75"/>
      <c r="T1965" s="75"/>
      <c r="U1965" s="75"/>
      <c r="V1965" s="75"/>
      <c r="W1965" s="74"/>
      <c r="X1965" s="76"/>
      <c r="Y1965" s="76"/>
      <c r="Z1965" s="76"/>
      <c r="AA1965" s="76"/>
      <c r="AB1965" s="76"/>
      <c r="AC1965" s="74"/>
      <c r="AD1965" s="77"/>
      <c r="AE1965" s="77"/>
      <c r="AF1965" s="77"/>
      <c r="AG1965" s="77"/>
      <c r="AH1965" s="77"/>
      <c r="AI1965" s="68"/>
      <c r="AJ1965" s="213">
        <v>3.9689999999999994E-4</v>
      </c>
      <c r="AK1965" s="213">
        <v>1.7345999999999999</v>
      </c>
      <c r="AL1965" s="213">
        <v>2</v>
      </c>
      <c r="AM1965" s="213">
        <v>3.6734700000000002E-4</v>
      </c>
      <c r="AN1965" s="74"/>
      <c r="AO1965" s="73"/>
      <c r="AP1965" s="73"/>
      <c r="AQ1965" s="73"/>
      <c r="AR1965" s="73"/>
      <c r="AS1965" s="73"/>
      <c r="AT1965" s="74"/>
      <c r="AU1965" s="47"/>
      <c r="AV1965" s="48"/>
    </row>
    <row r="1966" spans="1:48" ht="12.75" customHeight="1" x14ac:dyDescent="0.25">
      <c r="A1966" s="72" t="s">
        <v>20</v>
      </c>
      <c r="B1966" s="43" t="s">
        <v>1833</v>
      </c>
      <c r="C1966" s="44" t="s">
        <v>2123</v>
      </c>
      <c r="D1966" s="45">
        <f>MROUND(MID($C1966,6,3)/Basis!$E$3,0.5)</f>
        <v>25.5</v>
      </c>
      <c r="E1966" s="45">
        <f>MROUND(MID($C1966,9,3)/Basis!$E$3,0.5)</f>
        <v>39.5</v>
      </c>
      <c r="F1966" s="124" t="s">
        <v>2946</v>
      </c>
      <c r="G1966" s="45">
        <f>ROUND((ROUNDDOWN($F1966/5,0)*5+1.8)/Basis!$E$3,1)</f>
        <v>4.5999999999999996</v>
      </c>
      <c r="H1966" s="120">
        <f>ROUND($P1966*Basis!$E$2*((TaH-TrH)/LN(1/µ)/Basis!$E$7)^$N1966*$AA$4*Glycol,0)</f>
        <v>3277</v>
      </c>
      <c r="I1966" s="83">
        <f>ROUND(H1966/(MID($C1966,9,3)/Basis!$E$3/Basis!$E$9)*Basis!$E$11,0)</f>
        <v>999</v>
      </c>
      <c r="J1966" s="123">
        <f>IF(Basis!$E$1=1,ROUND(H1966/((TaH-TrH)*1.163)/3600,3),ROUND(H1966/(500*(TaH-TrH)),2))</f>
        <v>0.33</v>
      </c>
      <c r="K1966" s="84"/>
      <c r="L1966" s="177">
        <f>CHOOSE(Basis!$E$1,((AJ1966*(J1966*3600/Basis!$E$5)^AK1966*(((MID(C1966,9,3)*10)-144)/1000)*AL1966+AM1966*(J1966*3600/Basis!$E$5)^2)*0.0098)/Basis!$E$10,((AJ1966*(J1966/Basis!$E$5)^AK1966*(((MID(C1966,9,3)*10)-144)/1000)*AL1966+AM1966*(J1966/Basis!$E$5)^2)*0.0098)/Basis!$E$10)</f>
        <v>1.8486744433106304E-2</v>
      </c>
      <c r="M1966" s="85"/>
      <c r="N1966" s="110">
        <v>1.4370000000000001</v>
      </c>
      <c r="O1966" s="74"/>
      <c r="P1966" s="73">
        <v>1543</v>
      </c>
      <c r="Q1966" s="74"/>
      <c r="R1966" s="75"/>
      <c r="S1966" s="75"/>
      <c r="T1966" s="75"/>
      <c r="U1966" s="75"/>
      <c r="V1966" s="75"/>
      <c r="W1966" s="74"/>
      <c r="X1966" s="76"/>
      <c r="Y1966" s="76"/>
      <c r="Z1966" s="76"/>
      <c r="AA1966" s="76"/>
      <c r="AB1966" s="76"/>
      <c r="AC1966" s="74"/>
      <c r="AD1966" s="77"/>
      <c r="AE1966" s="77"/>
      <c r="AF1966" s="77"/>
      <c r="AG1966" s="77"/>
      <c r="AH1966" s="77"/>
      <c r="AI1966" s="68"/>
      <c r="AJ1966" s="213">
        <v>3.9689999999999994E-4</v>
      </c>
      <c r="AK1966" s="213">
        <v>1.7345999999999999</v>
      </c>
      <c r="AL1966" s="213">
        <v>4</v>
      </c>
      <c r="AM1966" s="213">
        <v>5.7428799999999995E-4</v>
      </c>
      <c r="AN1966" s="74"/>
      <c r="AO1966" s="73"/>
      <c r="AP1966" s="73"/>
      <c r="AQ1966" s="73"/>
      <c r="AR1966" s="73"/>
      <c r="AS1966" s="73"/>
      <c r="AT1966" s="74"/>
      <c r="AU1966" s="47"/>
      <c r="AV1966" s="48"/>
    </row>
    <row r="1967" spans="1:48" ht="12.75" customHeight="1" x14ac:dyDescent="0.25">
      <c r="A1967" s="72" t="s">
        <v>20</v>
      </c>
      <c r="B1967" s="43" t="s">
        <v>1833</v>
      </c>
      <c r="C1967" s="44" t="s">
        <v>2124</v>
      </c>
      <c r="D1967" s="45">
        <f>MROUND(MID($C1967,6,3)/Basis!$E$3,0.5)</f>
        <v>25.5</v>
      </c>
      <c r="E1967" s="45">
        <f>MROUND(MID($C1967,9,3)/Basis!$E$3,0.5)</f>
        <v>39.5</v>
      </c>
      <c r="F1967" s="124" t="s">
        <v>2944</v>
      </c>
      <c r="G1967" s="45">
        <f>ROUND((ROUNDDOWN($F1967/5,0)*5+1.8)/Basis!$E$3,1)</f>
        <v>6.6</v>
      </c>
      <c r="H1967" s="120">
        <f>ROUND($P1967*Basis!$E$2*((TaH-TrH)/LN(1/µ)/Basis!$E$7)^$N1967*$AA$4*Glycol,0)</f>
        <v>4193</v>
      </c>
      <c r="I1967" s="83">
        <f>ROUND(H1967/(MID($C1967,9,3)/Basis!$E$3/Basis!$E$9)*Basis!$E$11,0)</f>
        <v>1278</v>
      </c>
      <c r="J1967" s="123">
        <f>IF(Basis!$E$1=1,ROUND(H1967/((TaH-TrH)*1.163)/3600,3),ROUND(H1967/(500*(TaH-TrH)),2))</f>
        <v>0.42</v>
      </c>
      <c r="K1967" s="84"/>
      <c r="L1967" s="177">
        <f>CHOOSE(Basis!$E$1,((AJ1967*(J1967*3600/Basis!$E$5)^AK1967*(((MID(C1967,9,3)*10)-144)/1000)*AL1967+AM1967*(J1967*3600/Basis!$E$5)^2)*0.0098)/Basis!$E$10,((AJ1967*(J1967/Basis!$E$5)^AK1967*(((MID(C1967,9,3)*10)-144)/1000)*AL1967+AM1967*(J1967/Basis!$E$5)^2)*0.0098)/Basis!$E$10)</f>
        <v>1.675667589273178E-2</v>
      </c>
      <c r="M1967" s="85"/>
      <c r="N1967" s="110">
        <v>1.355</v>
      </c>
      <c r="O1967" s="74"/>
      <c r="P1967" s="73">
        <v>1922</v>
      </c>
      <c r="Q1967" s="74"/>
      <c r="R1967" s="75"/>
      <c r="S1967" s="75"/>
      <c r="T1967" s="75"/>
      <c r="U1967" s="75"/>
      <c r="V1967" s="75"/>
      <c r="W1967" s="74"/>
      <c r="X1967" s="76"/>
      <c r="Y1967" s="76"/>
      <c r="Z1967" s="76"/>
      <c r="AA1967" s="76"/>
      <c r="AB1967" s="76"/>
      <c r="AC1967" s="74"/>
      <c r="AD1967" s="77"/>
      <c r="AE1967" s="77"/>
      <c r="AF1967" s="77"/>
      <c r="AG1967" s="77"/>
      <c r="AH1967" s="77"/>
      <c r="AI1967" s="68"/>
      <c r="AJ1967" s="213">
        <v>2.0829999999999999E-4</v>
      </c>
      <c r="AK1967" s="213">
        <v>1.724</v>
      </c>
      <c r="AL1967" s="213">
        <v>2</v>
      </c>
      <c r="AM1967" s="213">
        <v>4.6182900000000003E-4</v>
      </c>
      <c r="AN1967" s="74"/>
      <c r="AO1967" s="73"/>
      <c r="AP1967" s="73"/>
      <c r="AQ1967" s="73"/>
      <c r="AR1967" s="73"/>
      <c r="AS1967" s="73"/>
      <c r="AT1967" s="74"/>
      <c r="AU1967" s="47"/>
      <c r="AV1967" s="48"/>
    </row>
    <row r="1968" spans="1:48" ht="12.75" customHeight="1" x14ac:dyDescent="0.25">
      <c r="A1968" s="72" t="s">
        <v>20</v>
      </c>
      <c r="B1968" s="43" t="s">
        <v>1833</v>
      </c>
      <c r="C1968" s="44" t="s">
        <v>2125</v>
      </c>
      <c r="D1968" s="45">
        <f>MROUND(MID($C1968,6,3)/Basis!$E$3,0.5)</f>
        <v>25.5</v>
      </c>
      <c r="E1968" s="45">
        <f>MROUND(MID($C1968,9,3)/Basis!$E$3,0.5)</f>
        <v>39.5</v>
      </c>
      <c r="F1968" s="124" t="s">
        <v>2947</v>
      </c>
      <c r="G1968" s="45">
        <f>ROUND((ROUNDDOWN($F1968/5,0)*5+1.8)/Basis!$E$3,1)</f>
        <v>6.6</v>
      </c>
      <c r="H1968" s="120">
        <f>ROUND($P1968*Basis!$E$2*((TaH-TrH)/LN(1/µ)/Basis!$E$7)^$N1968*$AA$4*Glycol,0)</f>
        <v>4564</v>
      </c>
      <c r="I1968" s="83">
        <f>ROUND(H1968/(MID($C1968,9,3)/Basis!$E$3/Basis!$E$9)*Basis!$E$11,0)</f>
        <v>1391</v>
      </c>
      <c r="J1968" s="123">
        <f>IF(Basis!$E$1=1,ROUND(H1968/((TaH-TrH)*1.163)/3600,3),ROUND(H1968/(500*(TaH-TrH)),2))</f>
        <v>0.46</v>
      </c>
      <c r="K1968" s="84"/>
      <c r="L1968" s="177">
        <f>CHOOSE(Basis!$E$1,((AJ1968*(J1968*3600/Basis!$E$5)^AK1968*(((MID(C1968,9,3)*10)-144)/1000)*AL1968+AM1968*(J1968*3600/Basis!$E$5)^2)*0.0098)/Basis!$E$10,((AJ1968*(J1968/Basis!$E$5)^AK1968*(((MID(C1968,9,3)*10)-144)/1000)*AL1968+AM1968*(J1968/Basis!$E$5)^2)*0.0098)/Basis!$E$10)</f>
        <v>5.6765236609354799E-2</v>
      </c>
      <c r="M1968" s="85"/>
      <c r="N1968" s="110">
        <v>1.47</v>
      </c>
      <c r="O1968" s="74"/>
      <c r="P1968" s="73">
        <v>2173</v>
      </c>
      <c r="Q1968" s="74"/>
      <c r="R1968" s="75"/>
      <c r="S1968" s="75"/>
      <c r="T1968" s="75"/>
      <c r="U1968" s="75"/>
      <c r="V1968" s="75"/>
      <c r="W1968" s="74"/>
      <c r="X1968" s="76"/>
      <c r="Y1968" s="76"/>
      <c r="Z1968" s="76"/>
      <c r="AA1968" s="76"/>
      <c r="AB1968" s="76"/>
      <c r="AC1968" s="74"/>
      <c r="AD1968" s="77"/>
      <c r="AE1968" s="77"/>
      <c r="AF1968" s="77"/>
      <c r="AG1968" s="77"/>
      <c r="AH1968" s="77"/>
      <c r="AI1968" s="68"/>
      <c r="AJ1968" s="213">
        <v>2.0829999999999999E-4</v>
      </c>
      <c r="AK1968" s="213">
        <v>1.724</v>
      </c>
      <c r="AL1968" s="213">
        <v>4</v>
      </c>
      <c r="AM1968" s="213">
        <v>1.392796E-3</v>
      </c>
      <c r="AN1968" s="74"/>
      <c r="AO1968" s="73"/>
      <c r="AP1968" s="73"/>
      <c r="AQ1968" s="73"/>
      <c r="AR1968" s="73"/>
      <c r="AS1968" s="73"/>
      <c r="AT1968" s="74"/>
      <c r="AU1968" s="47"/>
      <c r="AV1968" s="48"/>
    </row>
    <row r="1969" spans="1:48" ht="12.75" customHeight="1" x14ac:dyDescent="0.25">
      <c r="A1969" s="72" t="s">
        <v>20</v>
      </c>
      <c r="B1969" s="43" t="s">
        <v>1833</v>
      </c>
      <c r="C1969" s="44" t="s">
        <v>2126</v>
      </c>
      <c r="D1969" s="45">
        <f>MROUND(MID($C1969,6,3)/Basis!$E$3,0.5)</f>
        <v>25.5</v>
      </c>
      <c r="E1969" s="45">
        <f>MROUND(MID($C1969,9,3)/Basis!$E$3,0.5)</f>
        <v>39.5</v>
      </c>
      <c r="F1969" s="124" t="s">
        <v>2945</v>
      </c>
      <c r="G1969" s="45">
        <f>ROUND((ROUNDDOWN($F1969/5,0)*5+1.8)/Basis!$E$3,1)</f>
        <v>8.6</v>
      </c>
      <c r="H1969" s="120">
        <f>ROUND($P1969*Basis!$E$2*((TaH-TrH)/LN(1/µ)/Basis!$E$7)^$N1969*$AA$4*Glycol,0)</f>
        <v>5858</v>
      </c>
      <c r="I1969" s="83">
        <f>ROUND(H1969/(MID($C1969,9,3)/Basis!$E$3/Basis!$E$9)*Basis!$E$11,0)</f>
        <v>1786</v>
      </c>
      <c r="J1969" s="123">
        <f>IF(Basis!$E$1=1,ROUND(H1969/((TaH-TrH)*1.163)/3600,3),ROUND(H1969/(500*(TaH-TrH)),2))</f>
        <v>0.59</v>
      </c>
      <c r="K1969" s="84"/>
      <c r="L1969" s="177">
        <f>CHOOSE(Basis!$E$1,((AJ1969*(J1969*3600/Basis!$E$5)^AK1969*(((MID(C1969,9,3)*10)-144)/1000)*AL1969+AM1969*(J1969*3600/Basis!$E$5)^2)*0.0098)/Basis!$E$10,((AJ1969*(J1969/Basis!$E$5)^AK1969*(((MID(C1969,9,3)*10)-144)/1000)*AL1969+AM1969*(J1969/Basis!$E$5)^2)*0.0098)/Basis!$E$10)</f>
        <v>2.5397457081690444E-2</v>
      </c>
      <c r="M1969" s="85"/>
      <c r="N1969" s="110">
        <v>1.355</v>
      </c>
      <c r="O1969" s="74"/>
      <c r="P1969" s="73">
        <v>2685</v>
      </c>
      <c r="Q1969" s="74"/>
      <c r="R1969" s="75"/>
      <c r="S1969" s="75"/>
      <c r="T1969" s="75"/>
      <c r="U1969" s="75"/>
      <c r="V1969" s="75"/>
      <c r="W1969" s="74"/>
      <c r="X1969" s="76"/>
      <c r="Y1969" s="76"/>
      <c r="Z1969" s="76"/>
      <c r="AA1969" s="76"/>
      <c r="AB1969" s="76"/>
      <c r="AC1969" s="74"/>
      <c r="AD1969" s="77"/>
      <c r="AE1969" s="77"/>
      <c r="AF1969" s="77"/>
      <c r="AG1969" s="77"/>
      <c r="AH1969" s="77"/>
      <c r="AI1969" s="68"/>
      <c r="AJ1969" s="214">
        <v>1.2760000000000001E-4</v>
      </c>
      <c r="AK1969" s="214">
        <v>1.7219</v>
      </c>
      <c r="AL1969" s="214">
        <v>2</v>
      </c>
      <c r="AM1969" s="214">
        <v>3.76611E-4</v>
      </c>
      <c r="AN1969" s="74"/>
      <c r="AO1969" s="73"/>
      <c r="AP1969" s="73"/>
      <c r="AQ1969" s="73"/>
      <c r="AR1969" s="73"/>
      <c r="AS1969" s="73"/>
      <c r="AT1969" s="74"/>
      <c r="AU1969" s="47"/>
      <c r="AV1969" s="48"/>
    </row>
    <row r="1970" spans="1:48" ht="12.75" customHeight="1" x14ac:dyDescent="0.25">
      <c r="A1970" s="72" t="s">
        <v>20</v>
      </c>
      <c r="B1970" s="43" t="s">
        <v>1833</v>
      </c>
      <c r="C1970" s="44" t="s">
        <v>2127</v>
      </c>
      <c r="D1970" s="45">
        <f>MROUND(MID($C1970,6,3)/Basis!$E$3,0.5)</f>
        <v>25.5</v>
      </c>
      <c r="E1970" s="45">
        <f>MROUND(MID($C1970,9,3)/Basis!$E$3,0.5)</f>
        <v>39.5</v>
      </c>
      <c r="F1970" s="124" t="s">
        <v>2948</v>
      </c>
      <c r="G1970" s="45">
        <f>ROUND((ROUNDDOWN($F1970/5,0)*5+1.8)/Basis!$E$3,1)</f>
        <v>8.6</v>
      </c>
      <c r="H1970" s="120">
        <f>ROUND($P1970*Basis!$E$2*((TaH-TrH)/LN(1/µ)/Basis!$E$7)^$N1970*$AA$4*Glycol,0)</f>
        <v>6308</v>
      </c>
      <c r="I1970" s="83">
        <f>ROUND(H1970/(MID($C1970,9,3)/Basis!$E$3/Basis!$E$9)*Basis!$E$11,0)</f>
        <v>1923</v>
      </c>
      <c r="J1970" s="123">
        <f>IF(Basis!$E$1=1,ROUND(H1970/((TaH-TrH)*1.163)/3600,3),ROUND(H1970/(500*(TaH-TrH)),2))</f>
        <v>0.63</v>
      </c>
      <c r="K1970" s="84"/>
      <c r="L1970" s="177">
        <f>CHOOSE(Basis!$E$1,((AJ1970*(J1970*3600/Basis!$E$5)^AK1970*(((MID(C1970,9,3)*10)-144)/1000)*AL1970+AM1970*(J1970*3600/Basis!$E$5)^2)*0.0098)/Basis!$E$10,((AJ1970*(J1970/Basis!$E$5)^AK1970*(((MID(C1970,9,3)*10)-144)/1000)*AL1970+AM1970*(J1970/Basis!$E$5)^2)*0.0098)/Basis!$E$10)</f>
        <v>4.1779117013748431E-2</v>
      </c>
      <c r="M1970" s="85"/>
      <c r="N1970" s="110">
        <v>1.4970000000000001</v>
      </c>
      <c r="O1970" s="74"/>
      <c r="P1970" s="73">
        <v>3030</v>
      </c>
      <c r="Q1970" s="74"/>
      <c r="R1970" s="75"/>
      <c r="S1970" s="75"/>
      <c r="T1970" s="75"/>
      <c r="U1970" s="75"/>
      <c r="V1970" s="75"/>
      <c r="W1970" s="74"/>
      <c r="X1970" s="76"/>
      <c r="Y1970" s="76"/>
      <c r="Z1970" s="76"/>
      <c r="AA1970" s="76"/>
      <c r="AB1970" s="76"/>
      <c r="AC1970" s="74"/>
      <c r="AD1970" s="77"/>
      <c r="AE1970" s="77"/>
      <c r="AF1970" s="77"/>
      <c r="AG1970" s="77"/>
      <c r="AH1970" s="77"/>
      <c r="AI1970" s="68"/>
      <c r="AJ1970" s="213">
        <v>1.2760000000000001E-4</v>
      </c>
      <c r="AK1970" s="213">
        <v>1.7219</v>
      </c>
      <c r="AL1970" s="213">
        <v>4</v>
      </c>
      <c r="AM1970" s="213">
        <v>5.1420100000000005E-4</v>
      </c>
      <c r="AN1970" s="74"/>
      <c r="AO1970" s="73"/>
      <c r="AP1970" s="73"/>
      <c r="AQ1970" s="73"/>
      <c r="AR1970" s="73"/>
      <c r="AS1970" s="73"/>
      <c r="AT1970" s="74"/>
      <c r="AU1970" s="47"/>
      <c r="AV1970" s="48"/>
    </row>
    <row r="1971" spans="1:48" ht="12.75" customHeight="1" x14ac:dyDescent="0.25">
      <c r="A1971" s="72" t="s">
        <v>20</v>
      </c>
      <c r="B1971" s="43" t="s">
        <v>1833</v>
      </c>
      <c r="C1971" s="44" t="s">
        <v>2128</v>
      </c>
      <c r="D1971" s="45">
        <f>MROUND(MID($C1971,6,3)/Basis!$E$3,0.5)</f>
        <v>25.5</v>
      </c>
      <c r="E1971" s="45">
        <f>MROUND(MID($C1971,9,3)/Basis!$E$3,0.5)</f>
        <v>43.5</v>
      </c>
      <c r="F1971" s="124" t="s">
        <v>2949</v>
      </c>
      <c r="G1971" s="45">
        <f>ROUND((ROUNDDOWN($F1971/5,0)*5+3.5)/Basis!$E$3,1)</f>
        <v>3.3</v>
      </c>
      <c r="H1971" s="120">
        <f>ROUND($P1971*Basis!$E$2*((TaH-TrH)/LN(1/µ)/Basis!$E$7)^$N1971*$AA$4*Glycol,0)</f>
        <v>2563</v>
      </c>
      <c r="I1971" s="83">
        <f>ROUND(H1971/(MID($C1971,9,3)/Basis!$E$3/Basis!$E$9)*Basis!$E$11,0)</f>
        <v>710</v>
      </c>
      <c r="J1971" s="123">
        <f>IF(Basis!$E$1=1,ROUND(H1971/((TaH-TrH)*1.163)/3600,3),ROUND(H1971/(500*(TaH-TrH)),2))</f>
        <v>0.26</v>
      </c>
      <c r="K1971" s="84"/>
      <c r="L1971" s="177">
        <f>CHOOSE(Basis!$E$1,((AJ1971*(J1971*3600/Basis!$E$5)^AK1971*(((MID(C1971,9,3)*10)-144)/1000)*AL1971+AM1971*(J1971*3600/Basis!$E$5)^2)*0.0098)/Basis!$E$10,((AJ1971*(J1971/Basis!$E$5)^AK1971*(((MID(C1971,9,3)*10)-144)/1000)*AL1971+AM1971*(J1971/Basis!$E$5)^2)*0.0098)/Basis!$E$10)</f>
        <v>2.8613308516440079E-2</v>
      </c>
      <c r="M1971" s="85"/>
      <c r="N1971" s="110">
        <v>1.35</v>
      </c>
      <c r="O1971" s="74"/>
      <c r="P1971" s="73">
        <v>1173</v>
      </c>
      <c r="Q1971" s="74"/>
      <c r="R1971" s="75"/>
      <c r="S1971" s="75"/>
      <c r="T1971" s="75"/>
      <c r="U1971" s="75"/>
      <c r="V1971" s="75"/>
      <c r="W1971" s="74"/>
      <c r="X1971" s="76"/>
      <c r="Y1971" s="76"/>
      <c r="Z1971" s="76"/>
      <c r="AA1971" s="76"/>
      <c r="AB1971" s="76"/>
      <c r="AC1971" s="74"/>
      <c r="AD1971" s="77"/>
      <c r="AE1971" s="77"/>
      <c r="AF1971" s="77"/>
      <c r="AG1971" s="77"/>
      <c r="AH1971" s="77"/>
      <c r="AI1971" s="68"/>
      <c r="AJ1971" s="213">
        <v>1.6125983042710999E-4</v>
      </c>
      <c r="AK1971" s="213">
        <v>2.1458504622376</v>
      </c>
      <c r="AL1971" s="213">
        <v>4</v>
      </c>
      <c r="AM1971" s="213">
        <v>1.3916423712342001E-3</v>
      </c>
      <c r="AN1971" s="74"/>
      <c r="AO1971" s="73"/>
      <c r="AP1971" s="73"/>
      <c r="AQ1971" s="73"/>
      <c r="AR1971" s="73"/>
      <c r="AS1971" s="73"/>
      <c r="AT1971" s="74"/>
      <c r="AU1971" s="47"/>
      <c r="AV1971" s="48"/>
    </row>
    <row r="1972" spans="1:48" ht="12.75" customHeight="1" x14ac:dyDescent="0.25">
      <c r="A1972" s="72" t="s">
        <v>20</v>
      </c>
      <c r="B1972" s="43" t="s">
        <v>1833</v>
      </c>
      <c r="C1972" s="44" t="s">
        <v>2129</v>
      </c>
      <c r="D1972" s="45">
        <f>MROUND(MID($C1972,6,3)/Basis!$E$3,0.5)</f>
        <v>25.5</v>
      </c>
      <c r="E1972" s="45">
        <f>MROUND(MID($C1972,9,3)/Basis!$E$3,0.5)</f>
        <v>43.5</v>
      </c>
      <c r="F1972" s="124" t="s">
        <v>2943</v>
      </c>
      <c r="G1972" s="45">
        <f>ROUND((ROUNDDOWN($F1972/5,0)*5+1.8)/Basis!$E$3,1)</f>
        <v>4.5999999999999996</v>
      </c>
      <c r="H1972" s="120">
        <f>ROUND($P1972*Basis!$E$2*((TaH-TrH)/LN(1/µ)/Basis!$E$7)^$N1972*$AA$4*Glycol,0)</f>
        <v>2891</v>
      </c>
      <c r="I1972" s="83">
        <f>ROUND(H1972/(MID($C1972,9,3)/Basis!$E$3/Basis!$E$9)*Basis!$E$11,0)</f>
        <v>801</v>
      </c>
      <c r="J1972" s="123">
        <f>IF(Basis!$E$1=1,ROUND(H1972/((TaH-TrH)*1.163)/3600,3),ROUND(H1972/(500*(TaH-TrH)),2))</f>
        <v>0.28999999999999998</v>
      </c>
      <c r="K1972" s="84"/>
      <c r="L1972" s="177">
        <f>CHOOSE(Basis!$E$1,((AJ1972*(J1972*3600/Basis!$E$5)^AK1972*(((MID(C1972,9,3)*10)-144)/1000)*AL1972+AM1972*(J1972*3600/Basis!$E$5)^2)*0.0098)/Basis!$E$10,((AJ1972*(J1972/Basis!$E$5)^AK1972*(((MID(C1972,9,3)*10)-144)/1000)*AL1972+AM1972*(J1972/Basis!$E$5)^2)*0.0098)/Basis!$E$10)</f>
        <v>8.7535646782706481E-3</v>
      </c>
      <c r="M1972" s="85"/>
      <c r="N1972" s="109">
        <v>1.371</v>
      </c>
      <c r="O1972" s="68"/>
      <c r="P1972" s="67">
        <v>1332</v>
      </c>
      <c r="Q1972" s="68"/>
      <c r="R1972" s="69"/>
      <c r="S1972" s="69"/>
      <c r="T1972" s="69"/>
      <c r="U1972" s="69"/>
      <c r="V1972" s="69"/>
      <c r="W1972" s="68"/>
      <c r="X1972" s="70"/>
      <c r="Y1972" s="70"/>
      <c r="Z1972" s="70"/>
      <c r="AA1972" s="70"/>
      <c r="AB1972" s="70"/>
      <c r="AC1972" s="68"/>
      <c r="AD1972" s="71"/>
      <c r="AE1972" s="71"/>
      <c r="AF1972" s="71"/>
      <c r="AG1972" s="71"/>
      <c r="AH1972" s="71"/>
      <c r="AI1972" s="68"/>
      <c r="AJ1972" s="214">
        <v>3.9689999999999994E-4</v>
      </c>
      <c r="AK1972" s="214">
        <v>1.7345999999999999</v>
      </c>
      <c r="AL1972" s="214">
        <v>2</v>
      </c>
      <c r="AM1972" s="214">
        <v>3.6734700000000002E-4</v>
      </c>
      <c r="AN1972" s="68"/>
      <c r="AO1972" s="67"/>
      <c r="AP1972" s="67"/>
      <c r="AQ1972" s="67"/>
      <c r="AR1972" s="67"/>
      <c r="AS1972" s="67"/>
      <c r="AT1972" s="68"/>
      <c r="AU1972" s="49"/>
      <c r="AV1972" s="50"/>
    </row>
    <row r="1973" spans="1:48" ht="12.75" customHeight="1" x14ac:dyDescent="0.25">
      <c r="A1973" s="72" t="s">
        <v>20</v>
      </c>
      <c r="B1973" s="43" t="s">
        <v>1833</v>
      </c>
      <c r="C1973" s="44" t="s">
        <v>2130</v>
      </c>
      <c r="D1973" s="45">
        <f>MROUND(MID($C1973,6,3)/Basis!$E$3,0.5)</f>
        <v>25.5</v>
      </c>
      <c r="E1973" s="45">
        <f>MROUND(MID($C1973,9,3)/Basis!$E$3,0.5)</f>
        <v>43.5</v>
      </c>
      <c r="F1973" s="124" t="s">
        <v>2946</v>
      </c>
      <c r="G1973" s="45">
        <f>ROUND((ROUNDDOWN($F1973/5,0)*5+1.8)/Basis!$E$3,1)</f>
        <v>4.5999999999999996</v>
      </c>
      <c r="H1973" s="120">
        <f>ROUND($P1973*Basis!$E$2*((TaH-TrH)/LN(1/µ)/Basis!$E$7)^$N1973*$AA$4*Glycol,0)</f>
        <v>3604</v>
      </c>
      <c r="I1973" s="83">
        <f>ROUND(H1973/(MID($C1973,9,3)/Basis!$E$3/Basis!$E$9)*Basis!$E$11,0)</f>
        <v>999</v>
      </c>
      <c r="J1973" s="123">
        <f>IF(Basis!$E$1=1,ROUND(H1973/((TaH-TrH)*1.163)/3600,3),ROUND(H1973/(500*(TaH-TrH)),2))</f>
        <v>0.36</v>
      </c>
      <c r="K1973" s="84"/>
      <c r="L1973" s="177">
        <f>CHOOSE(Basis!$E$1,((AJ1973*(J1973*3600/Basis!$E$5)^AK1973*(((MID(C1973,9,3)*10)-144)/1000)*AL1973+AM1973*(J1973*3600/Basis!$E$5)^2)*0.0098)/Basis!$E$10,((AJ1973*(J1973/Basis!$E$5)^AK1973*(((MID(C1973,9,3)*10)-144)/1000)*AL1973+AM1973*(J1973/Basis!$E$5)^2)*0.0098)/Basis!$E$10)</f>
        <v>2.2863525666059335E-2</v>
      </c>
      <c r="M1973" s="85"/>
      <c r="N1973" s="109">
        <v>1.4370000000000001</v>
      </c>
      <c r="O1973" s="68"/>
      <c r="P1973" s="67">
        <v>1697</v>
      </c>
      <c r="Q1973" s="68"/>
      <c r="R1973" s="69"/>
      <c r="S1973" s="69"/>
      <c r="T1973" s="69"/>
      <c r="U1973" s="69"/>
      <c r="V1973" s="69"/>
      <c r="W1973" s="68"/>
      <c r="X1973" s="70"/>
      <c r="Y1973" s="70"/>
      <c r="Z1973" s="70"/>
      <c r="AA1973" s="70"/>
      <c r="AB1973" s="70"/>
      <c r="AC1973" s="68"/>
      <c r="AD1973" s="71"/>
      <c r="AE1973" s="71"/>
      <c r="AF1973" s="71"/>
      <c r="AG1973" s="71"/>
      <c r="AH1973" s="71"/>
      <c r="AI1973" s="68"/>
      <c r="AJ1973" s="214">
        <v>3.9689999999999994E-4</v>
      </c>
      <c r="AK1973" s="214">
        <v>1.7345999999999999</v>
      </c>
      <c r="AL1973" s="214">
        <v>4</v>
      </c>
      <c r="AM1973" s="214">
        <v>5.7428799999999995E-4</v>
      </c>
      <c r="AN1973" s="68"/>
      <c r="AO1973" s="67"/>
      <c r="AP1973" s="67"/>
      <c r="AQ1973" s="67"/>
      <c r="AR1973" s="67"/>
      <c r="AS1973" s="67"/>
      <c r="AT1973" s="68"/>
      <c r="AU1973" s="49"/>
      <c r="AV1973" s="50"/>
    </row>
    <row r="1974" spans="1:48" ht="12.75" customHeight="1" x14ac:dyDescent="0.25">
      <c r="A1974" s="72" t="s">
        <v>20</v>
      </c>
      <c r="B1974" s="43" t="s">
        <v>1833</v>
      </c>
      <c r="C1974" s="44" t="s">
        <v>2131</v>
      </c>
      <c r="D1974" s="45">
        <f>MROUND(MID($C1974,6,3)/Basis!$E$3,0.5)</f>
        <v>25.5</v>
      </c>
      <c r="E1974" s="45">
        <f>MROUND(MID($C1974,9,3)/Basis!$E$3,0.5)</f>
        <v>43.5</v>
      </c>
      <c r="F1974" s="124" t="s">
        <v>2944</v>
      </c>
      <c r="G1974" s="45">
        <f>ROUND((ROUNDDOWN($F1974/5,0)*5+1.8)/Basis!$E$3,1)</f>
        <v>6.6</v>
      </c>
      <c r="H1974" s="120">
        <f>ROUND($P1974*Basis!$E$2*((TaH-TrH)/LN(1/µ)/Basis!$E$7)^$N1974*$AA$4*Glycol,0)</f>
        <v>4612</v>
      </c>
      <c r="I1974" s="83">
        <f>ROUND(H1974/(MID($C1974,9,3)/Basis!$E$3/Basis!$E$9)*Basis!$E$11,0)</f>
        <v>1278</v>
      </c>
      <c r="J1974" s="123">
        <f>IF(Basis!$E$1=1,ROUND(H1974/((TaH-TrH)*1.163)/3600,3),ROUND(H1974/(500*(TaH-TrH)),2))</f>
        <v>0.46</v>
      </c>
      <c r="K1974" s="84"/>
      <c r="L1974" s="177">
        <f>CHOOSE(Basis!$E$1,((AJ1974*(J1974*3600/Basis!$E$5)^AK1974*(((MID(C1974,9,3)*10)-144)/1000)*AL1974+AM1974*(J1974*3600/Basis!$E$5)^2)*0.0098)/Basis!$E$10,((AJ1974*(J1974/Basis!$E$5)^AK1974*(((MID(C1974,9,3)*10)-144)/1000)*AL1974+AM1974*(J1974/Basis!$E$5)^2)*0.0098)/Basis!$E$10)</f>
        <v>2.0422836883981825E-2</v>
      </c>
      <c r="M1974" s="85"/>
      <c r="N1974" s="109">
        <v>1.355</v>
      </c>
      <c r="O1974" s="68"/>
      <c r="P1974" s="67">
        <v>2114</v>
      </c>
      <c r="Q1974" s="68"/>
      <c r="R1974" s="69"/>
      <c r="S1974" s="69"/>
      <c r="T1974" s="69"/>
      <c r="U1974" s="69"/>
      <c r="V1974" s="69"/>
      <c r="W1974" s="68"/>
      <c r="X1974" s="70"/>
      <c r="Y1974" s="70"/>
      <c r="Z1974" s="70"/>
      <c r="AA1974" s="70"/>
      <c r="AB1974" s="70"/>
      <c r="AC1974" s="68"/>
      <c r="AD1974" s="71"/>
      <c r="AE1974" s="71"/>
      <c r="AF1974" s="71"/>
      <c r="AG1974" s="71"/>
      <c r="AH1974" s="71"/>
      <c r="AI1974" s="68"/>
      <c r="AJ1974" s="214">
        <v>2.0829999999999999E-4</v>
      </c>
      <c r="AK1974" s="214">
        <v>1.724</v>
      </c>
      <c r="AL1974" s="214">
        <v>2</v>
      </c>
      <c r="AM1974" s="214">
        <v>4.6182900000000003E-4</v>
      </c>
      <c r="AN1974" s="68"/>
      <c r="AO1974" s="67"/>
      <c r="AP1974" s="67"/>
      <c r="AQ1974" s="67"/>
      <c r="AR1974" s="67"/>
      <c r="AS1974" s="67"/>
      <c r="AT1974" s="68"/>
      <c r="AU1974" s="49"/>
      <c r="AV1974" s="50"/>
    </row>
    <row r="1975" spans="1:48" ht="12.75" customHeight="1" x14ac:dyDescent="0.25">
      <c r="A1975" s="72" t="s">
        <v>20</v>
      </c>
      <c r="B1975" s="43" t="s">
        <v>1833</v>
      </c>
      <c r="C1975" s="44" t="s">
        <v>2132</v>
      </c>
      <c r="D1975" s="45">
        <f>MROUND(MID($C1975,6,3)/Basis!$E$3,0.5)</f>
        <v>25.5</v>
      </c>
      <c r="E1975" s="45">
        <f>MROUND(MID($C1975,9,3)/Basis!$E$3,0.5)</f>
        <v>43.5</v>
      </c>
      <c r="F1975" s="124" t="s">
        <v>2947</v>
      </c>
      <c r="G1975" s="45">
        <f>ROUND((ROUNDDOWN($F1975/5,0)*5+1.8)/Basis!$E$3,1)</f>
        <v>6.6</v>
      </c>
      <c r="H1975" s="120">
        <f>ROUND($P1975*Basis!$E$2*((TaH-TrH)/LN(1/µ)/Basis!$E$7)^$N1975*$AA$4*Glycol,0)</f>
        <v>5020</v>
      </c>
      <c r="I1975" s="83">
        <f>ROUND(H1975/(MID($C1975,9,3)/Basis!$E$3/Basis!$E$9)*Basis!$E$11,0)</f>
        <v>1391</v>
      </c>
      <c r="J1975" s="123">
        <f>IF(Basis!$E$1=1,ROUND(H1975/((TaH-TrH)*1.163)/3600,3),ROUND(H1975/(500*(TaH-TrH)),2))</f>
        <v>0.5</v>
      </c>
      <c r="K1975" s="84"/>
      <c r="L1975" s="177">
        <f>CHOOSE(Basis!$E$1,((AJ1975*(J1975*3600/Basis!$E$5)^AK1975*(((MID(C1975,9,3)*10)-144)/1000)*AL1975+AM1975*(J1975*3600/Basis!$E$5)^2)*0.0098)/Basis!$E$10,((AJ1975*(J1975/Basis!$E$5)^AK1975*(((MID(C1975,9,3)*10)-144)/1000)*AL1975+AM1975*(J1975/Basis!$E$5)^2)*0.0098)/Basis!$E$10)</f>
        <v>6.7828700833145184E-2</v>
      </c>
      <c r="M1975" s="85"/>
      <c r="N1975" s="109">
        <v>1.47</v>
      </c>
      <c r="O1975" s="68"/>
      <c r="P1975" s="67">
        <v>2390</v>
      </c>
      <c r="Q1975" s="68"/>
      <c r="R1975" s="69"/>
      <c r="S1975" s="69"/>
      <c r="T1975" s="69"/>
      <c r="U1975" s="69"/>
      <c r="V1975" s="69"/>
      <c r="W1975" s="68"/>
      <c r="X1975" s="70"/>
      <c r="Y1975" s="70"/>
      <c r="Z1975" s="70"/>
      <c r="AA1975" s="70"/>
      <c r="AB1975" s="70"/>
      <c r="AC1975" s="68"/>
      <c r="AD1975" s="71"/>
      <c r="AE1975" s="71"/>
      <c r="AF1975" s="71"/>
      <c r="AG1975" s="71"/>
      <c r="AH1975" s="71"/>
      <c r="AI1975" s="68"/>
      <c r="AJ1975" s="214">
        <v>2.0829999999999999E-4</v>
      </c>
      <c r="AK1975" s="214">
        <v>1.724</v>
      </c>
      <c r="AL1975" s="214">
        <v>4</v>
      </c>
      <c r="AM1975" s="214">
        <v>1.392796E-3</v>
      </c>
      <c r="AN1975" s="68"/>
      <c r="AO1975" s="67"/>
      <c r="AP1975" s="67"/>
      <c r="AQ1975" s="67"/>
      <c r="AR1975" s="67"/>
      <c r="AS1975" s="67"/>
      <c r="AT1975" s="68"/>
      <c r="AU1975" s="49"/>
      <c r="AV1975" s="50"/>
    </row>
    <row r="1976" spans="1:48" ht="12.75" customHeight="1" x14ac:dyDescent="0.25">
      <c r="A1976" s="72" t="s">
        <v>20</v>
      </c>
      <c r="B1976" s="43" t="s">
        <v>1833</v>
      </c>
      <c r="C1976" s="44" t="s">
        <v>2133</v>
      </c>
      <c r="D1976" s="45">
        <f>MROUND(MID($C1976,6,3)/Basis!$E$3,0.5)</f>
        <v>25.5</v>
      </c>
      <c r="E1976" s="45">
        <f>MROUND(MID($C1976,9,3)/Basis!$E$3,0.5)</f>
        <v>43.5</v>
      </c>
      <c r="F1976" s="124" t="s">
        <v>2945</v>
      </c>
      <c r="G1976" s="45">
        <f>ROUND((ROUNDDOWN($F1976/5,0)*5+1.8)/Basis!$E$3,1)</f>
        <v>8.6</v>
      </c>
      <c r="H1976" s="120">
        <f>ROUND($P1976*Basis!$E$2*((TaH-TrH)/LN(1/µ)/Basis!$E$7)^$N1976*$AA$4*Glycol,0)</f>
        <v>6445</v>
      </c>
      <c r="I1976" s="83">
        <f>ROUND(H1976/(MID($C1976,9,3)/Basis!$E$3/Basis!$E$9)*Basis!$E$11,0)</f>
        <v>1786</v>
      </c>
      <c r="J1976" s="123">
        <f>IF(Basis!$E$1=1,ROUND(H1976/((TaH-TrH)*1.163)/3600,3),ROUND(H1976/(500*(TaH-TrH)),2))</f>
        <v>0.64</v>
      </c>
      <c r="K1976" s="84"/>
      <c r="L1976" s="177">
        <f>CHOOSE(Basis!$E$1,((AJ1976*(J1976*3600/Basis!$E$5)^AK1976*(((MID(C1976,9,3)*10)-144)/1000)*AL1976+AM1976*(J1976*3600/Basis!$E$5)^2)*0.0098)/Basis!$E$10,((AJ1976*(J1976/Basis!$E$5)^AK1976*(((MID(C1976,9,3)*10)-144)/1000)*AL1976+AM1976*(J1976/Basis!$E$5)^2)*0.0098)/Basis!$E$10)</f>
        <v>3.0239522381362884E-2</v>
      </c>
      <c r="M1976" s="85"/>
      <c r="N1976" s="109">
        <v>1.355</v>
      </c>
      <c r="O1976" s="68"/>
      <c r="P1976" s="67">
        <v>2954</v>
      </c>
      <c r="Q1976" s="68"/>
      <c r="R1976" s="69"/>
      <c r="S1976" s="69"/>
      <c r="T1976" s="69"/>
      <c r="U1976" s="69"/>
      <c r="V1976" s="69"/>
      <c r="W1976" s="68"/>
      <c r="X1976" s="70"/>
      <c r="Y1976" s="70"/>
      <c r="Z1976" s="70"/>
      <c r="AA1976" s="70"/>
      <c r="AB1976" s="70"/>
      <c r="AC1976" s="68"/>
      <c r="AD1976" s="71"/>
      <c r="AE1976" s="71"/>
      <c r="AF1976" s="71"/>
      <c r="AG1976" s="71"/>
      <c r="AH1976" s="71"/>
      <c r="AI1976" s="68"/>
      <c r="AJ1976" s="214">
        <v>1.2760000000000001E-4</v>
      </c>
      <c r="AK1976" s="214">
        <v>1.7219</v>
      </c>
      <c r="AL1976" s="214">
        <v>2</v>
      </c>
      <c r="AM1976" s="214">
        <v>3.76611E-4</v>
      </c>
      <c r="AN1976" s="68"/>
      <c r="AO1976" s="67"/>
      <c r="AP1976" s="67"/>
      <c r="AQ1976" s="67"/>
      <c r="AR1976" s="67"/>
      <c r="AS1976" s="67"/>
      <c r="AT1976" s="68"/>
      <c r="AU1976" s="49"/>
      <c r="AV1976" s="50"/>
    </row>
    <row r="1977" spans="1:48" ht="12.75" customHeight="1" x14ac:dyDescent="0.25">
      <c r="A1977" s="72" t="s">
        <v>20</v>
      </c>
      <c r="B1977" s="43" t="s">
        <v>1833</v>
      </c>
      <c r="C1977" s="44" t="s">
        <v>2134</v>
      </c>
      <c r="D1977" s="45">
        <f>MROUND(MID($C1977,6,3)/Basis!$E$3,0.5)</f>
        <v>25.5</v>
      </c>
      <c r="E1977" s="45">
        <f>MROUND(MID($C1977,9,3)/Basis!$E$3,0.5)</f>
        <v>43.5</v>
      </c>
      <c r="F1977" s="124" t="s">
        <v>2948</v>
      </c>
      <c r="G1977" s="45">
        <f>ROUND((ROUNDDOWN($F1977/5,0)*5+1.8)/Basis!$E$3,1)</f>
        <v>8.6</v>
      </c>
      <c r="H1977" s="120">
        <f>ROUND($P1977*Basis!$E$2*((TaH-TrH)/LN(1/µ)/Basis!$E$7)^$N1977*$AA$4*Glycol,0)</f>
        <v>6939</v>
      </c>
      <c r="I1977" s="83">
        <f>ROUND(H1977/(MID($C1977,9,3)/Basis!$E$3/Basis!$E$9)*Basis!$E$11,0)</f>
        <v>1923</v>
      </c>
      <c r="J1977" s="123">
        <f>IF(Basis!$E$1=1,ROUND(H1977/((TaH-TrH)*1.163)/3600,3),ROUND(H1977/(500*(TaH-TrH)),2))</f>
        <v>0.69</v>
      </c>
      <c r="K1977" s="84"/>
      <c r="L1977" s="177">
        <f>CHOOSE(Basis!$E$1,((AJ1977*(J1977*3600/Basis!$E$5)^AK1977*(((MID(C1977,9,3)*10)-144)/1000)*AL1977+AM1977*(J1977*3600/Basis!$E$5)^2)*0.0098)/Basis!$E$10,((AJ1977*(J1977/Basis!$E$5)^AK1977*(((MID(C1977,9,3)*10)-144)/1000)*AL1977+AM1977*(J1977/Basis!$E$5)^2)*0.0098)/Basis!$E$10)</f>
        <v>5.090061421576355E-2</v>
      </c>
      <c r="M1977" s="85"/>
      <c r="N1977" s="109">
        <v>1.4970000000000001</v>
      </c>
      <c r="O1977" s="68"/>
      <c r="P1977" s="67">
        <v>3333</v>
      </c>
      <c r="Q1977" s="68"/>
      <c r="R1977" s="69"/>
      <c r="S1977" s="69"/>
      <c r="T1977" s="69"/>
      <c r="U1977" s="69"/>
      <c r="V1977" s="69"/>
      <c r="W1977" s="68"/>
      <c r="X1977" s="70"/>
      <c r="Y1977" s="70"/>
      <c r="Z1977" s="70"/>
      <c r="AA1977" s="70"/>
      <c r="AB1977" s="70"/>
      <c r="AC1977" s="68"/>
      <c r="AD1977" s="71"/>
      <c r="AE1977" s="71"/>
      <c r="AF1977" s="71"/>
      <c r="AG1977" s="71"/>
      <c r="AH1977" s="71"/>
      <c r="AI1977" s="68"/>
      <c r="AJ1977" s="214">
        <v>1.2760000000000001E-4</v>
      </c>
      <c r="AK1977" s="214">
        <v>1.7219</v>
      </c>
      <c r="AL1977" s="214">
        <v>4</v>
      </c>
      <c r="AM1977" s="214">
        <v>5.1420100000000005E-4</v>
      </c>
      <c r="AN1977" s="68"/>
      <c r="AO1977" s="67"/>
      <c r="AP1977" s="67"/>
      <c r="AQ1977" s="67"/>
      <c r="AR1977" s="67"/>
      <c r="AS1977" s="67"/>
      <c r="AT1977" s="68"/>
      <c r="AU1977" s="49"/>
      <c r="AV1977" s="50"/>
    </row>
    <row r="1978" spans="1:48" ht="12.75" customHeight="1" x14ac:dyDescent="0.25">
      <c r="A1978" s="72" t="s">
        <v>20</v>
      </c>
      <c r="B1978" s="43" t="s">
        <v>1833</v>
      </c>
      <c r="C1978" s="44" t="s">
        <v>2135</v>
      </c>
      <c r="D1978" s="45">
        <f>MROUND(MID($C1978,6,3)/Basis!$E$3,0.5)</f>
        <v>25.5</v>
      </c>
      <c r="E1978" s="45">
        <f>MROUND(MID($C1978,9,3)/Basis!$E$3,0.5)</f>
        <v>47</v>
      </c>
      <c r="F1978" s="124" t="s">
        <v>2949</v>
      </c>
      <c r="G1978" s="45">
        <f>ROUND((ROUNDDOWN($F1978/5,0)*5+3.5)/Basis!$E$3,1)</f>
        <v>3.3</v>
      </c>
      <c r="H1978" s="120">
        <f>ROUND($P1978*Basis!$E$2*((TaH-TrH)/LN(1/µ)/Basis!$E$7)^$N1978*$AA$4*Glycol,0)</f>
        <v>2795</v>
      </c>
      <c r="I1978" s="83">
        <f>ROUND(H1978/(MID($C1978,9,3)/Basis!$E$3/Basis!$E$9)*Basis!$E$11,0)</f>
        <v>710</v>
      </c>
      <c r="J1978" s="123">
        <f>IF(Basis!$E$1=1,ROUND(H1978/((TaH-TrH)*1.163)/3600,3),ROUND(H1978/(500*(TaH-TrH)),2))</f>
        <v>0.28000000000000003</v>
      </c>
      <c r="K1978" s="84"/>
      <c r="L1978" s="177">
        <f>CHOOSE(Basis!$E$1,((AJ1978*(J1978*3600/Basis!$E$5)^AK1978*(((MID(C1978,9,3)*10)-144)/1000)*AL1978+AM1978*(J1978*3600/Basis!$E$5)^2)*0.0098)/Basis!$E$10,((AJ1978*(J1978/Basis!$E$5)^AK1978*(((MID(C1978,9,3)*10)-144)/1000)*AL1978+AM1978*(J1978/Basis!$E$5)^2)*0.0098)/Basis!$E$10)</f>
        <v>3.4908339138117438E-2</v>
      </c>
      <c r="M1978" s="85"/>
      <c r="N1978" s="109">
        <v>1.35</v>
      </c>
      <c r="O1978" s="68"/>
      <c r="P1978" s="67">
        <v>1279</v>
      </c>
      <c r="Q1978" s="68"/>
      <c r="R1978" s="69"/>
      <c r="S1978" s="69"/>
      <c r="T1978" s="69"/>
      <c r="U1978" s="69"/>
      <c r="V1978" s="69"/>
      <c r="W1978" s="68"/>
      <c r="X1978" s="70"/>
      <c r="Y1978" s="70"/>
      <c r="Z1978" s="70"/>
      <c r="AA1978" s="70"/>
      <c r="AB1978" s="70"/>
      <c r="AC1978" s="68"/>
      <c r="AD1978" s="71"/>
      <c r="AE1978" s="71"/>
      <c r="AF1978" s="71"/>
      <c r="AG1978" s="71"/>
      <c r="AH1978" s="71"/>
      <c r="AI1978" s="68"/>
      <c r="AJ1978" s="214">
        <v>1.6125983042710999E-4</v>
      </c>
      <c r="AK1978" s="214">
        <v>2.1458504622376</v>
      </c>
      <c r="AL1978" s="214">
        <v>4</v>
      </c>
      <c r="AM1978" s="214">
        <v>1.3916423712342001E-3</v>
      </c>
      <c r="AN1978" s="68"/>
      <c r="AO1978" s="67"/>
      <c r="AP1978" s="67"/>
      <c r="AQ1978" s="67"/>
      <c r="AR1978" s="67"/>
      <c r="AS1978" s="67"/>
      <c r="AT1978" s="68"/>
      <c r="AU1978" s="49"/>
      <c r="AV1978" s="50"/>
    </row>
    <row r="1979" spans="1:48" ht="12.75" customHeight="1" x14ac:dyDescent="0.25">
      <c r="A1979" s="72" t="s">
        <v>20</v>
      </c>
      <c r="B1979" s="43" t="s">
        <v>1833</v>
      </c>
      <c r="C1979" s="44" t="s">
        <v>2136</v>
      </c>
      <c r="D1979" s="45">
        <f>MROUND(MID($C1979,6,3)/Basis!$E$3,0.5)</f>
        <v>25.5</v>
      </c>
      <c r="E1979" s="45">
        <f>MROUND(MID($C1979,9,3)/Basis!$E$3,0.5)</f>
        <v>47</v>
      </c>
      <c r="F1979" s="124" t="s">
        <v>2943</v>
      </c>
      <c r="G1979" s="45">
        <f>ROUND((ROUNDDOWN($F1979/5,0)*5+1.8)/Basis!$E$3,1)</f>
        <v>4.5999999999999996</v>
      </c>
      <c r="H1979" s="120">
        <f>ROUND($P1979*Basis!$E$2*((TaH-TrH)/LN(1/µ)/Basis!$E$7)^$N1979*$AA$4*Glycol,0)</f>
        <v>3153</v>
      </c>
      <c r="I1979" s="83">
        <f>ROUND(H1979/(MID($C1979,9,3)/Basis!$E$3/Basis!$E$9)*Basis!$E$11,0)</f>
        <v>801</v>
      </c>
      <c r="J1979" s="123">
        <f>IF(Basis!$E$1=1,ROUND(H1979/((TaH-TrH)*1.163)/3600,3),ROUND(H1979/(500*(TaH-TrH)),2))</f>
        <v>0.32</v>
      </c>
      <c r="K1979" s="84"/>
      <c r="L1979" s="177">
        <f>CHOOSE(Basis!$E$1,((AJ1979*(J1979*3600/Basis!$E$5)^AK1979*(((MID(C1979,9,3)*10)-144)/1000)*AL1979+AM1979*(J1979*3600/Basis!$E$5)^2)*0.0098)/Basis!$E$10,((AJ1979*(J1979/Basis!$E$5)^AK1979*(((MID(C1979,9,3)*10)-144)/1000)*AL1979+AM1979*(J1979/Basis!$E$5)^2)*0.0098)/Basis!$E$10)</f>
        <v>1.0986661791739674E-2</v>
      </c>
      <c r="M1979" s="85"/>
      <c r="N1979" s="110">
        <v>1.371</v>
      </c>
      <c r="O1979" s="74"/>
      <c r="P1979" s="73">
        <v>1453</v>
      </c>
      <c r="Q1979" s="74"/>
      <c r="R1979" s="75"/>
      <c r="S1979" s="75"/>
      <c r="T1979" s="75"/>
      <c r="U1979" s="75"/>
      <c r="V1979" s="75"/>
      <c r="W1979" s="74"/>
      <c r="X1979" s="76"/>
      <c r="Y1979" s="76"/>
      <c r="Z1979" s="76"/>
      <c r="AA1979" s="76"/>
      <c r="AB1979" s="76"/>
      <c r="AC1979" s="74"/>
      <c r="AD1979" s="77"/>
      <c r="AE1979" s="77"/>
      <c r="AF1979" s="77"/>
      <c r="AG1979" s="77"/>
      <c r="AH1979" s="77"/>
      <c r="AI1979" s="68"/>
      <c r="AJ1979" s="213">
        <v>3.9689999999999994E-4</v>
      </c>
      <c r="AK1979" s="213">
        <v>1.7345999999999999</v>
      </c>
      <c r="AL1979" s="213">
        <v>2</v>
      </c>
      <c r="AM1979" s="213">
        <v>3.6734700000000002E-4</v>
      </c>
      <c r="AN1979" s="74"/>
      <c r="AO1979" s="73"/>
      <c r="AP1979" s="73"/>
      <c r="AQ1979" s="73"/>
      <c r="AR1979" s="73"/>
      <c r="AS1979" s="73"/>
      <c r="AT1979" s="74"/>
      <c r="AU1979" s="47"/>
      <c r="AV1979" s="48"/>
    </row>
    <row r="1980" spans="1:48" ht="12.75" customHeight="1" x14ac:dyDescent="0.25">
      <c r="A1980" s="72" t="s">
        <v>20</v>
      </c>
      <c r="B1980" s="43" t="s">
        <v>1833</v>
      </c>
      <c r="C1980" s="44" t="s">
        <v>2137</v>
      </c>
      <c r="D1980" s="45">
        <f>MROUND(MID($C1980,6,3)/Basis!$E$3,0.5)</f>
        <v>25.5</v>
      </c>
      <c r="E1980" s="45">
        <f>MROUND(MID($C1980,9,3)/Basis!$E$3,0.5)</f>
        <v>47</v>
      </c>
      <c r="F1980" s="124" t="s">
        <v>2946</v>
      </c>
      <c r="G1980" s="45">
        <f>ROUND((ROUNDDOWN($F1980/5,0)*5+1.8)/Basis!$E$3,1)</f>
        <v>4.5999999999999996</v>
      </c>
      <c r="H1980" s="120">
        <f>ROUND($P1980*Basis!$E$2*((TaH-TrH)/LN(1/µ)/Basis!$E$7)^$N1980*$AA$4*Glycol,0)</f>
        <v>3933</v>
      </c>
      <c r="I1980" s="83">
        <f>ROUND(H1980/(MID($C1980,9,3)/Basis!$E$3/Basis!$E$9)*Basis!$E$11,0)</f>
        <v>999</v>
      </c>
      <c r="J1980" s="123">
        <f>IF(Basis!$E$1=1,ROUND(H1980/((TaH-TrH)*1.163)/3600,3),ROUND(H1980/(500*(TaH-TrH)),2))</f>
        <v>0.39</v>
      </c>
      <c r="K1980" s="84"/>
      <c r="L1980" s="177">
        <f>CHOOSE(Basis!$E$1,((AJ1980*(J1980*3600/Basis!$E$5)^AK1980*(((MID(C1980,9,3)*10)-144)/1000)*AL1980+AM1980*(J1980*3600/Basis!$E$5)^2)*0.0098)/Basis!$E$10,((AJ1980*(J1980/Basis!$E$5)^AK1980*(((MID(C1980,9,3)*10)-144)/1000)*AL1980+AM1980*(J1980/Basis!$E$5)^2)*0.0098)/Basis!$E$10)</f>
        <v>2.7817615952283943E-2</v>
      </c>
      <c r="M1980" s="85"/>
      <c r="N1980" s="110">
        <v>1.4370000000000001</v>
      </c>
      <c r="O1980" s="74"/>
      <c r="P1980" s="73">
        <v>1852</v>
      </c>
      <c r="Q1980" s="74"/>
      <c r="R1980" s="75"/>
      <c r="S1980" s="75"/>
      <c r="T1980" s="75"/>
      <c r="U1980" s="75"/>
      <c r="V1980" s="75"/>
      <c r="W1980" s="74"/>
      <c r="X1980" s="76"/>
      <c r="Y1980" s="76"/>
      <c r="Z1980" s="76"/>
      <c r="AA1980" s="76"/>
      <c r="AB1980" s="76"/>
      <c r="AC1980" s="74"/>
      <c r="AD1980" s="77"/>
      <c r="AE1980" s="77"/>
      <c r="AF1980" s="77"/>
      <c r="AG1980" s="77"/>
      <c r="AH1980" s="77"/>
      <c r="AI1980" s="68"/>
      <c r="AJ1980" s="213">
        <v>3.9689999999999994E-4</v>
      </c>
      <c r="AK1980" s="213">
        <v>1.7345999999999999</v>
      </c>
      <c r="AL1980" s="213">
        <v>4</v>
      </c>
      <c r="AM1980" s="213">
        <v>5.7428799999999995E-4</v>
      </c>
      <c r="AN1980" s="74"/>
      <c r="AO1980" s="73"/>
      <c r="AP1980" s="73"/>
      <c r="AQ1980" s="73"/>
      <c r="AR1980" s="73"/>
      <c r="AS1980" s="73"/>
      <c r="AT1980" s="74"/>
      <c r="AU1980" s="47"/>
      <c r="AV1980" s="48"/>
    </row>
    <row r="1981" spans="1:48" ht="12.75" customHeight="1" x14ac:dyDescent="0.25">
      <c r="A1981" s="72" t="s">
        <v>20</v>
      </c>
      <c r="B1981" s="43" t="s">
        <v>1833</v>
      </c>
      <c r="C1981" s="44" t="s">
        <v>2138</v>
      </c>
      <c r="D1981" s="45">
        <f>MROUND(MID($C1981,6,3)/Basis!$E$3,0.5)</f>
        <v>25.5</v>
      </c>
      <c r="E1981" s="45">
        <f>MROUND(MID($C1981,9,3)/Basis!$E$3,0.5)</f>
        <v>47</v>
      </c>
      <c r="F1981" s="124" t="s">
        <v>2944</v>
      </c>
      <c r="G1981" s="45">
        <f>ROUND((ROUNDDOWN($F1981/5,0)*5+1.8)/Basis!$E$3,1)</f>
        <v>6.6</v>
      </c>
      <c r="H1981" s="120">
        <f>ROUND($P1981*Basis!$E$2*((TaH-TrH)/LN(1/µ)/Basis!$E$7)^$N1981*$AA$4*Glycol,0)</f>
        <v>5031</v>
      </c>
      <c r="I1981" s="83">
        <f>ROUND(H1981/(MID($C1981,9,3)/Basis!$E$3/Basis!$E$9)*Basis!$E$11,0)</f>
        <v>1278</v>
      </c>
      <c r="J1981" s="123">
        <f>IF(Basis!$E$1=1,ROUND(H1981/((TaH-TrH)*1.163)/3600,3),ROUND(H1981/(500*(TaH-TrH)),2))</f>
        <v>0.5</v>
      </c>
      <c r="K1981" s="84"/>
      <c r="L1981" s="177">
        <f>CHOOSE(Basis!$E$1,((AJ1981*(J1981*3600/Basis!$E$5)^AK1981*(((MID(C1981,9,3)*10)-144)/1000)*AL1981+AM1981*(J1981*3600/Basis!$E$5)^2)*0.0098)/Basis!$E$10,((AJ1981*(J1981/Basis!$E$5)^AK1981*(((MID(C1981,9,3)*10)-144)/1000)*AL1981+AM1981*(J1981/Basis!$E$5)^2)*0.0098)/Basis!$E$10)</f>
        <v>2.4498994284988244E-2</v>
      </c>
      <c r="M1981" s="85"/>
      <c r="N1981" s="110">
        <v>1.355</v>
      </c>
      <c r="O1981" s="74"/>
      <c r="P1981" s="73">
        <v>2306</v>
      </c>
      <c r="Q1981" s="74"/>
      <c r="R1981" s="75"/>
      <c r="S1981" s="75"/>
      <c r="T1981" s="75"/>
      <c r="U1981" s="75"/>
      <c r="V1981" s="75"/>
      <c r="W1981" s="74"/>
      <c r="X1981" s="76"/>
      <c r="Y1981" s="76"/>
      <c r="Z1981" s="76"/>
      <c r="AA1981" s="76"/>
      <c r="AB1981" s="76"/>
      <c r="AC1981" s="74"/>
      <c r="AD1981" s="77"/>
      <c r="AE1981" s="77"/>
      <c r="AF1981" s="77"/>
      <c r="AG1981" s="77"/>
      <c r="AH1981" s="77"/>
      <c r="AI1981" s="68"/>
      <c r="AJ1981" s="213">
        <v>2.0829999999999999E-4</v>
      </c>
      <c r="AK1981" s="213">
        <v>1.724</v>
      </c>
      <c r="AL1981" s="213">
        <v>2</v>
      </c>
      <c r="AM1981" s="213">
        <v>4.6182900000000003E-4</v>
      </c>
      <c r="AN1981" s="74"/>
      <c r="AO1981" s="73"/>
      <c r="AP1981" s="73"/>
      <c r="AQ1981" s="73"/>
      <c r="AR1981" s="73"/>
      <c r="AS1981" s="73"/>
      <c r="AT1981" s="74"/>
      <c r="AU1981" s="47"/>
      <c r="AV1981" s="48"/>
    </row>
    <row r="1982" spans="1:48" ht="12.75" customHeight="1" x14ac:dyDescent="0.25">
      <c r="A1982" s="72" t="s">
        <v>20</v>
      </c>
      <c r="B1982" s="43" t="s">
        <v>1833</v>
      </c>
      <c r="C1982" s="44" t="s">
        <v>2139</v>
      </c>
      <c r="D1982" s="45">
        <f>MROUND(MID($C1982,6,3)/Basis!$E$3,0.5)</f>
        <v>25.5</v>
      </c>
      <c r="E1982" s="45">
        <f>MROUND(MID($C1982,9,3)/Basis!$E$3,0.5)</f>
        <v>47</v>
      </c>
      <c r="F1982" s="124" t="s">
        <v>2947</v>
      </c>
      <c r="G1982" s="45">
        <f>ROUND((ROUNDDOWN($F1982/5,0)*5+1.8)/Basis!$E$3,1)</f>
        <v>6.6</v>
      </c>
      <c r="H1982" s="120">
        <f>ROUND($P1982*Basis!$E$2*((TaH-TrH)/LN(1/µ)/Basis!$E$7)^$N1982*$AA$4*Glycol,0)</f>
        <v>5478</v>
      </c>
      <c r="I1982" s="83">
        <f>ROUND(H1982/(MID($C1982,9,3)/Basis!$E$3/Basis!$E$9)*Basis!$E$11,0)</f>
        <v>1391</v>
      </c>
      <c r="J1982" s="123">
        <f>IF(Basis!$E$1=1,ROUND(H1982/((TaH-TrH)*1.163)/3600,3),ROUND(H1982/(500*(TaH-TrH)),2))</f>
        <v>0.55000000000000004</v>
      </c>
      <c r="K1982" s="84"/>
      <c r="L1982" s="177">
        <f>CHOOSE(Basis!$E$1,((AJ1982*(J1982*3600/Basis!$E$5)^AK1982*(((MID(C1982,9,3)*10)-144)/1000)*AL1982+AM1982*(J1982*3600/Basis!$E$5)^2)*0.0098)/Basis!$E$10,((AJ1982*(J1982/Basis!$E$5)^AK1982*(((MID(C1982,9,3)*10)-144)/1000)*AL1982+AM1982*(J1982/Basis!$E$5)^2)*0.0098)/Basis!$E$10)</f>
        <v>8.2908541139777261E-2</v>
      </c>
      <c r="M1982" s="85"/>
      <c r="N1982" s="110">
        <v>1.47</v>
      </c>
      <c r="O1982" s="74"/>
      <c r="P1982" s="73">
        <v>2608</v>
      </c>
      <c r="Q1982" s="74"/>
      <c r="R1982" s="75"/>
      <c r="S1982" s="75"/>
      <c r="T1982" s="75"/>
      <c r="U1982" s="75"/>
      <c r="V1982" s="75"/>
      <c r="W1982" s="74"/>
      <c r="X1982" s="76"/>
      <c r="Y1982" s="76"/>
      <c r="Z1982" s="76"/>
      <c r="AA1982" s="76"/>
      <c r="AB1982" s="76"/>
      <c r="AC1982" s="74"/>
      <c r="AD1982" s="77"/>
      <c r="AE1982" s="77"/>
      <c r="AF1982" s="77"/>
      <c r="AG1982" s="77"/>
      <c r="AH1982" s="77"/>
      <c r="AI1982" s="68"/>
      <c r="AJ1982" s="213">
        <v>2.0829999999999999E-4</v>
      </c>
      <c r="AK1982" s="213">
        <v>1.724</v>
      </c>
      <c r="AL1982" s="213">
        <v>4</v>
      </c>
      <c r="AM1982" s="213">
        <v>1.392796E-3</v>
      </c>
      <c r="AN1982" s="74"/>
      <c r="AO1982" s="73"/>
      <c r="AP1982" s="73"/>
      <c r="AQ1982" s="73"/>
      <c r="AR1982" s="73"/>
      <c r="AS1982" s="73"/>
      <c r="AT1982" s="74"/>
      <c r="AU1982" s="47"/>
      <c r="AV1982" s="48"/>
    </row>
    <row r="1983" spans="1:48" ht="12.75" customHeight="1" x14ac:dyDescent="0.25">
      <c r="A1983" s="72" t="s">
        <v>20</v>
      </c>
      <c r="B1983" s="43" t="s">
        <v>1833</v>
      </c>
      <c r="C1983" s="44" t="s">
        <v>2140</v>
      </c>
      <c r="D1983" s="45">
        <f>MROUND(MID($C1983,6,3)/Basis!$E$3,0.5)</f>
        <v>25.5</v>
      </c>
      <c r="E1983" s="45">
        <f>MROUND(MID($C1983,9,3)/Basis!$E$3,0.5)</f>
        <v>47</v>
      </c>
      <c r="F1983" s="124" t="s">
        <v>2945</v>
      </c>
      <c r="G1983" s="45">
        <f>ROUND((ROUNDDOWN($F1983/5,0)*5+1.8)/Basis!$E$3,1)</f>
        <v>8.6</v>
      </c>
      <c r="H1983" s="120">
        <f>ROUND($P1983*Basis!$E$2*((TaH-TrH)/LN(1/µ)/Basis!$E$7)^$N1983*$AA$4*Glycol,0)</f>
        <v>7030</v>
      </c>
      <c r="I1983" s="83">
        <f>ROUND(H1983/(MID($C1983,9,3)/Basis!$E$3/Basis!$E$9)*Basis!$E$11,0)</f>
        <v>1786</v>
      </c>
      <c r="J1983" s="123">
        <f>IF(Basis!$E$1=1,ROUND(H1983/((TaH-TrH)*1.163)/3600,3),ROUND(H1983/(500*(TaH-TrH)),2))</f>
        <v>0.7</v>
      </c>
      <c r="K1983" s="84"/>
      <c r="L1983" s="177">
        <f>CHOOSE(Basis!$E$1,((AJ1983*(J1983*3600/Basis!$E$5)^AK1983*(((MID(C1983,9,3)*10)-144)/1000)*AL1983+AM1983*(J1983*3600/Basis!$E$5)^2)*0.0098)/Basis!$E$10,((AJ1983*(J1983/Basis!$E$5)^AK1983*(((MID(C1983,9,3)*10)-144)/1000)*AL1983+AM1983*(J1983/Basis!$E$5)^2)*0.0098)/Basis!$E$10)</f>
        <v>3.6566072468536569E-2</v>
      </c>
      <c r="M1983" s="85"/>
      <c r="N1983" s="110">
        <v>1.355</v>
      </c>
      <c r="O1983" s="74"/>
      <c r="P1983" s="73">
        <v>3222</v>
      </c>
      <c r="Q1983" s="74"/>
      <c r="R1983" s="75"/>
      <c r="S1983" s="75"/>
      <c r="T1983" s="75"/>
      <c r="U1983" s="75"/>
      <c r="V1983" s="75"/>
      <c r="W1983" s="74"/>
      <c r="X1983" s="76"/>
      <c r="Y1983" s="76"/>
      <c r="Z1983" s="76"/>
      <c r="AA1983" s="76"/>
      <c r="AB1983" s="76"/>
      <c r="AC1983" s="74"/>
      <c r="AD1983" s="77"/>
      <c r="AE1983" s="77"/>
      <c r="AF1983" s="77"/>
      <c r="AG1983" s="77"/>
      <c r="AH1983" s="77"/>
      <c r="AI1983" s="68"/>
      <c r="AJ1983" s="214">
        <v>1.2760000000000001E-4</v>
      </c>
      <c r="AK1983" s="214">
        <v>1.7219</v>
      </c>
      <c r="AL1983" s="214">
        <v>2</v>
      </c>
      <c r="AM1983" s="214">
        <v>3.76611E-4</v>
      </c>
      <c r="AN1983" s="74"/>
      <c r="AO1983" s="73"/>
      <c r="AP1983" s="73"/>
      <c r="AQ1983" s="73"/>
      <c r="AR1983" s="73"/>
      <c r="AS1983" s="73"/>
      <c r="AT1983" s="74"/>
      <c r="AU1983" s="47"/>
      <c r="AV1983" s="48"/>
    </row>
    <row r="1984" spans="1:48" ht="12.75" customHeight="1" x14ac:dyDescent="0.25">
      <c r="A1984" s="72" t="s">
        <v>20</v>
      </c>
      <c r="B1984" s="43" t="s">
        <v>1833</v>
      </c>
      <c r="C1984" s="44" t="s">
        <v>2141</v>
      </c>
      <c r="D1984" s="45">
        <f>MROUND(MID($C1984,6,3)/Basis!$E$3,0.5)</f>
        <v>25.5</v>
      </c>
      <c r="E1984" s="45">
        <f>MROUND(MID($C1984,9,3)/Basis!$E$3,0.5)</f>
        <v>47</v>
      </c>
      <c r="F1984" s="124" t="s">
        <v>2948</v>
      </c>
      <c r="G1984" s="45">
        <f>ROUND((ROUNDDOWN($F1984/5,0)*5+1.8)/Basis!$E$3,1)</f>
        <v>8.6</v>
      </c>
      <c r="H1984" s="120">
        <f>ROUND($P1984*Basis!$E$2*((TaH-TrH)/LN(1/µ)/Basis!$E$7)^$N1984*$AA$4*Glycol,0)</f>
        <v>7570</v>
      </c>
      <c r="I1984" s="83">
        <f>ROUND(H1984/(MID($C1984,9,3)/Basis!$E$3/Basis!$E$9)*Basis!$E$11,0)</f>
        <v>1923</v>
      </c>
      <c r="J1984" s="123">
        <f>IF(Basis!$E$1=1,ROUND(H1984/((TaH-TrH)*1.163)/3600,3),ROUND(H1984/(500*(TaH-TrH)),2))</f>
        <v>0.76</v>
      </c>
      <c r="K1984" s="84"/>
      <c r="L1984" s="177">
        <f>CHOOSE(Basis!$E$1,((AJ1984*(J1984*3600/Basis!$E$5)^AK1984*(((MID(C1984,9,3)*10)-144)/1000)*AL1984+AM1984*(J1984*3600/Basis!$E$5)^2)*0.0098)/Basis!$E$10,((AJ1984*(J1984/Basis!$E$5)^AK1984*(((MID(C1984,9,3)*10)-144)/1000)*AL1984+AM1984*(J1984/Basis!$E$5)^2)*0.0098)/Basis!$E$10)</f>
        <v>6.2630067444899018E-2</v>
      </c>
      <c r="M1984" s="85"/>
      <c r="N1984" s="110">
        <v>1.4970000000000001</v>
      </c>
      <c r="O1984" s="74"/>
      <c r="P1984" s="73">
        <v>3636</v>
      </c>
      <c r="Q1984" s="74"/>
      <c r="R1984" s="75"/>
      <c r="S1984" s="75"/>
      <c r="T1984" s="75"/>
      <c r="U1984" s="75"/>
      <c r="V1984" s="75"/>
      <c r="W1984" s="74"/>
      <c r="X1984" s="76"/>
      <c r="Y1984" s="76"/>
      <c r="Z1984" s="76"/>
      <c r="AA1984" s="76"/>
      <c r="AB1984" s="76"/>
      <c r="AC1984" s="74"/>
      <c r="AD1984" s="77"/>
      <c r="AE1984" s="77"/>
      <c r="AF1984" s="77"/>
      <c r="AG1984" s="77"/>
      <c r="AH1984" s="77"/>
      <c r="AI1984" s="68"/>
      <c r="AJ1984" s="213">
        <v>1.2760000000000001E-4</v>
      </c>
      <c r="AK1984" s="213">
        <v>1.7219</v>
      </c>
      <c r="AL1984" s="213">
        <v>4</v>
      </c>
      <c r="AM1984" s="213">
        <v>5.1420100000000005E-4</v>
      </c>
      <c r="AN1984" s="74"/>
      <c r="AO1984" s="73"/>
      <c r="AP1984" s="73"/>
      <c r="AQ1984" s="73"/>
      <c r="AR1984" s="73"/>
      <c r="AS1984" s="73"/>
      <c r="AT1984" s="74"/>
      <c r="AU1984" s="47"/>
      <c r="AV1984" s="48"/>
    </row>
    <row r="1985" spans="1:48" ht="12.75" customHeight="1" x14ac:dyDescent="0.25">
      <c r="A1985" s="72" t="s">
        <v>20</v>
      </c>
      <c r="B1985" s="43" t="s">
        <v>1833</v>
      </c>
      <c r="C1985" s="44" t="s">
        <v>2142</v>
      </c>
      <c r="D1985" s="45">
        <f>MROUND(MID($C1985,6,3)/Basis!$E$3,0.5)</f>
        <v>25.5</v>
      </c>
      <c r="E1985" s="45">
        <f>MROUND(MID($C1985,9,3)/Basis!$E$3,0.5)</f>
        <v>55</v>
      </c>
      <c r="F1985" s="124" t="s">
        <v>2949</v>
      </c>
      <c r="G1985" s="45">
        <f>ROUND((ROUNDDOWN($F1985/5,0)*5+3.5)/Basis!$E$3,1)</f>
        <v>3.3</v>
      </c>
      <c r="H1985" s="120">
        <f>ROUND($P1985*Basis!$E$2*((TaH-TrH)/LN(1/µ)/Basis!$E$7)^$N1985*$AA$4*Glycol,0)</f>
        <v>3261</v>
      </c>
      <c r="I1985" s="83">
        <f>ROUND(H1985/(MID($C1985,9,3)/Basis!$E$3/Basis!$E$9)*Basis!$E$11,0)</f>
        <v>710</v>
      </c>
      <c r="J1985" s="123">
        <f>IF(Basis!$E$1=1,ROUND(H1985/((TaH-TrH)*1.163)/3600,3),ROUND(H1985/(500*(TaH-TrH)),2))</f>
        <v>0.33</v>
      </c>
      <c r="K1985" s="84"/>
      <c r="L1985" s="177">
        <f>CHOOSE(Basis!$E$1,((AJ1985*(J1985*3600/Basis!$E$5)^AK1985*(((MID(C1985,9,3)*10)-144)/1000)*AL1985+AM1985*(J1985*3600/Basis!$E$5)^2)*0.0098)/Basis!$E$10,((AJ1985*(J1985/Basis!$E$5)^AK1985*(((MID(C1985,9,3)*10)-144)/1000)*AL1985+AM1985*(J1985/Basis!$E$5)^2)*0.0098)/Basis!$E$10)</f>
        <v>5.3492313495179578E-2</v>
      </c>
      <c r="M1985" s="85"/>
      <c r="N1985" s="110">
        <v>1.35</v>
      </c>
      <c r="O1985" s="74"/>
      <c r="P1985" s="73">
        <v>1492</v>
      </c>
      <c r="Q1985" s="74"/>
      <c r="R1985" s="75"/>
      <c r="S1985" s="75"/>
      <c r="T1985" s="75"/>
      <c r="U1985" s="75"/>
      <c r="V1985" s="75"/>
      <c r="W1985" s="74"/>
      <c r="X1985" s="76"/>
      <c r="Y1985" s="76"/>
      <c r="Z1985" s="76"/>
      <c r="AA1985" s="76"/>
      <c r="AB1985" s="76"/>
      <c r="AC1985" s="74"/>
      <c r="AD1985" s="77"/>
      <c r="AE1985" s="77"/>
      <c r="AF1985" s="77"/>
      <c r="AG1985" s="77"/>
      <c r="AH1985" s="77"/>
      <c r="AI1985" s="68"/>
      <c r="AJ1985" s="213">
        <v>1.6125983042710999E-4</v>
      </c>
      <c r="AK1985" s="213">
        <v>2.1458504622376</v>
      </c>
      <c r="AL1985" s="213">
        <v>4</v>
      </c>
      <c r="AM1985" s="213">
        <v>1.3916423712342001E-3</v>
      </c>
      <c r="AN1985" s="74"/>
      <c r="AO1985" s="73"/>
      <c r="AP1985" s="73"/>
      <c r="AQ1985" s="73"/>
      <c r="AR1985" s="73"/>
      <c r="AS1985" s="73"/>
      <c r="AT1985" s="74"/>
      <c r="AU1985" s="47"/>
      <c r="AV1985" s="48"/>
    </row>
    <row r="1986" spans="1:48" ht="12.75" customHeight="1" x14ac:dyDescent="0.25">
      <c r="A1986" s="72" t="s">
        <v>20</v>
      </c>
      <c r="B1986" s="43" t="s">
        <v>1833</v>
      </c>
      <c r="C1986" s="44" t="s">
        <v>2143</v>
      </c>
      <c r="D1986" s="45">
        <f>MROUND(MID($C1986,6,3)/Basis!$E$3,0.5)</f>
        <v>25.5</v>
      </c>
      <c r="E1986" s="45">
        <f>MROUND(MID($C1986,9,3)/Basis!$E$3,0.5)</f>
        <v>55</v>
      </c>
      <c r="F1986" s="124" t="s">
        <v>2943</v>
      </c>
      <c r="G1986" s="45">
        <f>ROUND((ROUNDDOWN($F1986/5,0)*5+1.8)/Basis!$E$3,1)</f>
        <v>4.5999999999999996</v>
      </c>
      <c r="H1986" s="120">
        <f>ROUND($P1986*Basis!$E$2*((TaH-TrH)/LN(1/µ)/Basis!$E$7)^$N1986*$AA$4*Glycol,0)</f>
        <v>3679</v>
      </c>
      <c r="I1986" s="83">
        <f>ROUND(H1986/(MID($C1986,9,3)/Basis!$E$3/Basis!$E$9)*Basis!$E$11,0)</f>
        <v>801</v>
      </c>
      <c r="J1986" s="123">
        <f>IF(Basis!$E$1=1,ROUND(H1986/((TaH-TrH)*1.163)/3600,3),ROUND(H1986/(500*(TaH-TrH)),2))</f>
        <v>0.37</v>
      </c>
      <c r="K1986" s="84"/>
      <c r="L1986" s="177">
        <f>CHOOSE(Basis!$E$1,((AJ1986*(J1986*3600/Basis!$E$5)^AK1986*(((MID(C1986,9,3)*10)-144)/1000)*AL1986+AM1986*(J1986*3600/Basis!$E$5)^2)*0.0098)/Basis!$E$10,((AJ1986*(J1986/Basis!$E$5)^AK1986*(((MID(C1986,9,3)*10)-144)/1000)*AL1986+AM1986*(J1986/Basis!$E$5)^2)*0.0098)/Basis!$E$10)</f>
        <v>1.5584573765886244E-2</v>
      </c>
      <c r="M1986" s="85"/>
      <c r="N1986" s="109">
        <v>1.371</v>
      </c>
      <c r="O1986" s="68"/>
      <c r="P1986" s="67">
        <v>1695</v>
      </c>
      <c r="Q1986" s="68"/>
      <c r="R1986" s="69"/>
      <c r="S1986" s="69"/>
      <c r="T1986" s="69"/>
      <c r="U1986" s="69"/>
      <c r="V1986" s="69"/>
      <c r="W1986" s="68"/>
      <c r="X1986" s="70"/>
      <c r="Y1986" s="70"/>
      <c r="Z1986" s="70"/>
      <c r="AA1986" s="70"/>
      <c r="AB1986" s="70"/>
      <c r="AC1986" s="68"/>
      <c r="AD1986" s="71"/>
      <c r="AE1986" s="71"/>
      <c r="AF1986" s="71"/>
      <c r="AG1986" s="71"/>
      <c r="AH1986" s="71"/>
      <c r="AI1986" s="68"/>
      <c r="AJ1986" s="214">
        <v>3.9689999999999994E-4</v>
      </c>
      <c r="AK1986" s="214">
        <v>1.7345999999999999</v>
      </c>
      <c r="AL1986" s="214">
        <v>2</v>
      </c>
      <c r="AM1986" s="214">
        <v>3.6734700000000002E-4</v>
      </c>
      <c r="AN1986" s="68"/>
      <c r="AO1986" s="67"/>
      <c r="AP1986" s="67"/>
      <c r="AQ1986" s="67"/>
      <c r="AR1986" s="67"/>
      <c r="AS1986" s="67"/>
      <c r="AT1986" s="68"/>
      <c r="AU1986" s="49"/>
      <c r="AV1986" s="50"/>
    </row>
    <row r="1987" spans="1:48" ht="12.75" customHeight="1" x14ac:dyDescent="0.25">
      <c r="A1987" s="72" t="s">
        <v>20</v>
      </c>
      <c r="B1987" s="43" t="s">
        <v>1833</v>
      </c>
      <c r="C1987" s="44" t="s">
        <v>2144</v>
      </c>
      <c r="D1987" s="45">
        <f>MROUND(MID($C1987,6,3)/Basis!$E$3,0.5)</f>
        <v>25.5</v>
      </c>
      <c r="E1987" s="45">
        <f>MROUND(MID($C1987,9,3)/Basis!$E$3,0.5)</f>
        <v>55</v>
      </c>
      <c r="F1987" s="124" t="s">
        <v>2946</v>
      </c>
      <c r="G1987" s="45">
        <f>ROUND((ROUNDDOWN($F1987/5,0)*5+1.8)/Basis!$E$3,1)</f>
        <v>4.5999999999999996</v>
      </c>
      <c r="H1987" s="120">
        <f>ROUND($P1987*Basis!$E$2*((TaH-TrH)/LN(1/µ)/Basis!$E$7)^$N1987*$AA$4*Glycol,0)</f>
        <v>4587</v>
      </c>
      <c r="I1987" s="83">
        <f>ROUND(H1987/(MID($C1987,9,3)/Basis!$E$3/Basis!$E$9)*Basis!$E$11,0)</f>
        <v>999</v>
      </c>
      <c r="J1987" s="123">
        <f>IF(Basis!$E$1=1,ROUND(H1987/((TaH-TrH)*1.163)/3600,3),ROUND(H1987/(500*(TaH-TrH)),2))</f>
        <v>0.46</v>
      </c>
      <c r="K1987" s="84"/>
      <c r="L1987" s="177">
        <f>CHOOSE(Basis!$E$1,((AJ1987*(J1987*3600/Basis!$E$5)^AK1987*(((MID(C1987,9,3)*10)-144)/1000)*AL1987+AM1987*(J1987*3600/Basis!$E$5)^2)*0.0098)/Basis!$E$10,((AJ1987*(J1987/Basis!$E$5)^AK1987*(((MID(C1987,9,3)*10)-144)/1000)*AL1987+AM1987*(J1987/Basis!$E$5)^2)*0.0098)/Basis!$E$10)</f>
        <v>4.1219037729245671E-2</v>
      </c>
      <c r="M1987" s="85"/>
      <c r="N1987" s="109">
        <v>1.4370000000000001</v>
      </c>
      <c r="O1987" s="68"/>
      <c r="P1987" s="67">
        <v>2160</v>
      </c>
      <c r="Q1987" s="68"/>
      <c r="R1987" s="69"/>
      <c r="S1987" s="69"/>
      <c r="T1987" s="69"/>
      <c r="U1987" s="69"/>
      <c r="V1987" s="69"/>
      <c r="W1987" s="68"/>
      <c r="X1987" s="70"/>
      <c r="Y1987" s="70"/>
      <c r="Z1987" s="70"/>
      <c r="AA1987" s="70"/>
      <c r="AB1987" s="70"/>
      <c r="AC1987" s="68"/>
      <c r="AD1987" s="71"/>
      <c r="AE1987" s="71"/>
      <c r="AF1987" s="71"/>
      <c r="AG1987" s="71"/>
      <c r="AH1987" s="71"/>
      <c r="AI1987" s="68"/>
      <c r="AJ1987" s="214">
        <v>3.9689999999999994E-4</v>
      </c>
      <c r="AK1987" s="214">
        <v>1.7345999999999999</v>
      </c>
      <c r="AL1987" s="214">
        <v>4</v>
      </c>
      <c r="AM1987" s="214">
        <v>5.7428799999999995E-4</v>
      </c>
      <c r="AN1987" s="68"/>
      <c r="AO1987" s="67"/>
      <c r="AP1987" s="67"/>
      <c r="AQ1987" s="67"/>
      <c r="AR1987" s="67"/>
      <c r="AS1987" s="67"/>
      <c r="AT1987" s="68"/>
      <c r="AU1987" s="49"/>
      <c r="AV1987" s="50"/>
    </row>
    <row r="1988" spans="1:48" ht="12.75" customHeight="1" x14ac:dyDescent="0.25">
      <c r="A1988" s="72" t="s">
        <v>20</v>
      </c>
      <c r="B1988" s="43" t="s">
        <v>1833</v>
      </c>
      <c r="C1988" s="44" t="s">
        <v>2145</v>
      </c>
      <c r="D1988" s="45">
        <f>MROUND(MID($C1988,6,3)/Basis!$E$3,0.5)</f>
        <v>25.5</v>
      </c>
      <c r="E1988" s="45">
        <f>MROUND(MID($C1988,9,3)/Basis!$E$3,0.5)</f>
        <v>55</v>
      </c>
      <c r="F1988" s="124" t="s">
        <v>2944</v>
      </c>
      <c r="G1988" s="45">
        <f>ROUND((ROUNDDOWN($F1988/5,0)*5+1.8)/Basis!$E$3,1)</f>
        <v>6.6</v>
      </c>
      <c r="H1988" s="120">
        <f>ROUND($P1988*Basis!$E$2*((TaH-TrH)/LN(1/µ)/Basis!$E$7)^$N1988*$AA$4*Glycol,0)</f>
        <v>5871</v>
      </c>
      <c r="I1988" s="83">
        <f>ROUND(H1988/(MID($C1988,9,3)/Basis!$E$3/Basis!$E$9)*Basis!$E$11,0)</f>
        <v>1278</v>
      </c>
      <c r="J1988" s="123">
        <f>IF(Basis!$E$1=1,ROUND(H1988/((TaH-TrH)*1.163)/3600,3),ROUND(H1988/(500*(TaH-TrH)),2))</f>
        <v>0.59</v>
      </c>
      <c r="K1988" s="84"/>
      <c r="L1988" s="177">
        <f>CHOOSE(Basis!$E$1,((AJ1988*(J1988*3600/Basis!$E$5)^AK1988*(((MID(C1988,9,3)*10)-144)/1000)*AL1988+AM1988*(J1988*3600/Basis!$E$5)^2)*0.0098)/Basis!$E$10,((AJ1988*(J1988/Basis!$E$5)^AK1988*(((MID(C1988,9,3)*10)-144)/1000)*AL1988+AM1988*(J1988/Basis!$E$5)^2)*0.0098)/Basis!$E$10)</f>
        <v>3.5065906705835585E-2</v>
      </c>
      <c r="M1988" s="85"/>
      <c r="N1988" s="109">
        <v>1.355</v>
      </c>
      <c r="O1988" s="68"/>
      <c r="P1988" s="67">
        <v>2691</v>
      </c>
      <c r="Q1988" s="68"/>
      <c r="R1988" s="69"/>
      <c r="S1988" s="69"/>
      <c r="T1988" s="69"/>
      <c r="U1988" s="69"/>
      <c r="V1988" s="69"/>
      <c r="W1988" s="68"/>
      <c r="X1988" s="70"/>
      <c r="Y1988" s="70"/>
      <c r="Z1988" s="70"/>
      <c r="AA1988" s="70"/>
      <c r="AB1988" s="70"/>
      <c r="AC1988" s="68"/>
      <c r="AD1988" s="71"/>
      <c r="AE1988" s="71"/>
      <c r="AF1988" s="71"/>
      <c r="AG1988" s="71"/>
      <c r="AH1988" s="71"/>
      <c r="AI1988" s="68"/>
      <c r="AJ1988" s="214">
        <v>2.0829999999999999E-4</v>
      </c>
      <c r="AK1988" s="214">
        <v>1.724</v>
      </c>
      <c r="AL1988" s="214">
        <v>2</v>
      </c>
      <c r="AM1988" s="214">
        <v>4.6182900000000003E-4</v>
      </c>
      <c r="AN1988" s="68"/>
      <c r="AO1988" s="67"/>
      <c r="AP1988" s="67"/>
      <c r="AQ1988" s="67"/>
      <c r="AR1988" s="67"/>
      <c r="AS1988" s="67"/>
      <c r="AT1988" s="68"/>
      <c r="AU1988" s="49"/>
      <c r="AV1988" s="50"/>
    </row>
    <row r="1989" spans="1:48" ht="12.75" customHeight="1" x14ac:dyDescent="0.25">
      <c r="A1989" s="72" t="s">
        <v>20</v>
      </c>
      <c r="B1989" s="43" t="s">
        <v>1833</v>
      </c>
      <c r="C1989" s="44" t="s">
        <v>2146</v>
      </c>
      <c r="D1989" s="45">
        <f>MROUND(MID($C1989,6,3)/Basis!$E$3,0.5)</f>
        <v>25.5</v>
      </c>
      <c r="E1989" s="45">
        <f>MROUND(MID($C1989,9,3)/Basis!$E$3,0.5)</f>
        <v>55</v>
      </c>
      <c r="F1989" s="124" t="s">
        <v>2947</v>
      </c>
      <c r="G1989" s="45">
        <f>ROUND((ROUNDDOWN($F1989/5,0)*5+1.8)/Basis!$E$3,1)</f>
        <v>6.6</v>
      </c>
      <c r="H1989" s="120">
        <f>ROUND($P1989*Basis!$E$2*((TaH-TrH)/LN(1/µ)/Basis!$E$7)^$N1989*$AA$4*Glycol,0)</f>
        <v>6390</v>
      </c>
      <c r="I1989" s="83">
        <f>ROUND(H1989/(MID($C1989,9,3)/Basis!$E$3/Basis!$E$9)*Basis!$E$11,0)</f>
        <v>1391</v>
      </c>
      <c r="J1989" s="123">
        <f>IF(Basis!$E$1=1,ROUND(H1989/((TaH-TrH)*1.163)/3600,3),ROUND(H1989/(500*(TaH-TrH)),2))</f>
        <v>0.64</v>
      </c>
      <c r="K1989" s="84"/>
      <c r="L1989" s="177">
        <f>CHOOSE(Basis!$E$1,((AJ1989*(J1989*3600/Basis!$E$5)^AK1989*(((MID(C1989,9,3)*10)-144)/1000)*AL1989+AM1989*(J1989*3600/Basis!$E$5)^2)*0.0098)/Basis!$E$10,((AJ1989*(J1989/Basis!$E$5)^AK1989*(((MID(C1989,9,3)*10)-144)/1000)*AL1989+AM1989*(J1989/Basis!$E$5)^2)*0.0098)/Basis!$E$10)</f>
        <v>0.11451832301208548</v>
      </c>
      <c r="M1989" s="85"/>
      <c r="N1989" s="109">
        <v>1.47</v>
      </c>
      <c r="O1989" s="68"/>
      <c r="P1989" s="67">
        <v>3042</v>
      </c>
      <c r="Q1989" s="68"/>
      <c r="R1989" s="69"/>
      <c r="S1989" s="69"/>
      <c r="T1989" s="69"/>
      <c r="U1989" s="69"/>
      <c r="V1989" s="69"/>
      <c r="W1989" s="68"/>
      <c r="X1989" s="70"/>
      <c r="Y1989" s="70"/>
      <c r="Z1989" s="70"/>
      <c r="AA1989" s="70"/>
      <c r="AB1989" s="70"/>
      <c r="AC1989" s="68"/>
      <c r="AD1989" s="71"/>
      <c r="AE1989" s="71"/>
      <c r="AF1989" s="71"/>
      <c r="AG1989" s="71"/>
      <c r="AH1989" s="71"/>
      <c r="AI1989" s="68"/>
      <c r="AJ1989" s="214">
        <v>2.0829999999999999E-4</v>
      </c>
      <c r="AK1989" s="214">
        <v>1.724</v>
      </c>
      <c r="AL1989" s="214">
        <v>4</v>
      </c>
      <c r="AM1989" s="214">
        <v>1.392796E-3</v>
      </c>
      <c r="AN1989" s="68"/>
      <c r="AO1989" s="67"/>
      <c r="AP1989" s="67"/>
      <c r="AQ1989" s="67"/>
      <c r="AR1989" s="67"/>
      <c r="AS1989" s="67"/>
      <c r="AT1989" s="68"/>
      <c r="AU1989" s="49"/>
      <c r="AV1989" s="50"/>
    </row>
    <row r="1990" spans="1:48" ht="12.75" customHeight="1" x14ac:dyDescent="0.25">
      <c r="A1990" s="72" t="s">
        <v>20</v>
      </c>
      <c r="B1990" s="43" t="s">
        <v>1833</v>
      </c>
      <c r="C1990" s="44" t="s">
        <v>2147</v>
      </c>
      <c r="D1990" s="45">
        <f>MROUND(MID($C1990,6,3)/Basis!$E$3,0.5)</f>
        <v>25.5</v>
      </c>
      <c r="E1990" s="45">
        <f>MROUND(MID($C1990,9,3)/Basis!$E$3,0.5)</f>
        <v>55</v>
      </c>
      <c r="F1990" s="124" t="s">
        <v>2945</v>
      </c>
      <c r="G1990" s="45">
        <f>ROUND((ROUNDDOWN($F1990/5,0)*5+1.8)/Basis!$E$3,1)</f>
        <v>8.6</v>
      </c>
      <c r="H1990" s="120">
        <f>ROUND($P1990*Basis!$E$2*((TaH-TrH)/LN(1/µ)/Basis!$E$7)^$N1990*$AA$4*Glycol,0)</f>
        <v>8201</v>
      </c>
      <c r="I1990" s="83">
        <f>ROUND(H1990/(MID($C1990,9,3)/Basis!$E$3/Basis!$E$9)*Basis!$E$11,0)</f>
        <v>1785</v>
      </c>
      <c r="J1990" s="123">
        <f>IF(Basis!$E$1=1,ROUND(H1990/((TaH-TrH)*1.163)/3600,3),ROUND(H1990/(500*(TaH-TrH)),2))</f>
        <v>0.82</v>
      </c>
      <c r="K1990" s="84"/>
      <c r="L1990" s="177">
        <f>CHOOSE(Basis!$E$1,((AJ1990*(J1990*3600/Basis!$E$5)^AK1990*(((MID(C1990,9,3)*10)-144)/1000)*AL1990+AM1990*(J1990*3600/Basis!$E$5)^2)*0.0098)/Basis!$E$10,((AJ1990*(J1990/Basis!$E$5)^AK1990*(((MID(C1990,9,3)*10)-144)/1000)*AL1990+AM1990*(J1990/Basis!$E$5)^2)*0.0098)/Basis!$E$10)</f>
        <v>5.1209180827019078E-2</v>
      </c>
      <c r="M1990" s="85"/>
      <c r="N1990" s="109">
        <v>1.355</v>
      </c>
      <c r="O1990" s="68"/>
      <c r="P1990" s="67">
        <v>3759</v>
      </c>
      <c r="Q1990" s="68"/>
      <c r="R1990" s="69"/>
      <c r="S1990" s="69"/>
      <c r="T1990" s="69"/>
      <c r="U1990" s="69"/>
      <c r="V1990" s="69"/>
      <c r="W1990" s="68"/>
      <c r="X1990" s="70"/>
      <c r="Y1990" s="70"/>
      <c r="Z1990" s="70"/>
      <c r="AA1990" s="70"/>
      <c r="AB1990" s="70"/>
      <c r="AC1990" s="68"/>
      <c r="AD1990" s="71"/>
      <c r="AE1990" s="71"/>
      <c r="AF1990" s="71"/>
      <c r="AG1990" s="71"/>
      <c r="AH1990" s="71"/>
      <c r="AI1990" s="68"/>
      <c r="AJ1990" s="214">
        <v>1.2760000000000001E-4</v>
      </c>
      <c r="AK1990" s="214">
        <v>1.7219</v>
      </c>
      <c r="AL1990" s="214">
        <v>2</v>
      </c>
      <c r="AM1990" s="214">
        <v>3.76611E-4</v>
      </c>
      <c r="AN1990" s="68"/>
      <c r="AO1990" s="67"/>
      <c r="AP1990" s="67"/>
      <c r="AQ1990" s="67"/>
      <c r="AR1990" s="67"/>
      <c r="AS1990" s="67"/>
      <c r="AT1990" s="68"/>
      <c r="AU1990" s="49"/>
      <c r="AV1990" s="50"/>
    </row>
    <row r="1991" spans="1:48" ht="12.75" customHeight="1" x14ac:dyDescent="0.25">
      <c r="A1991" s="72" t="s">
        <v>20</v>
      </c>
      <c r="B1991" s="43" t="s">
        <v>1833</v>
      </c>
      <c r="C1991" s="44" t="s">
        <v>2148</v>
      </c>
      <c r="D1991" s="45">
        <f>MROUND(MID($C1991,6,3)/Basis!$E$3,0.5)</f>
        <v>25.5</v>
      </c>
      <c r="E1991" s="45">
        <f>MROUND(MID($C1991,9,3)/Basis!$E$3,0.5)</f>
        <v>55</v>
      </c>
      <c r="F1991" s="124" t="s">
        <v>2948</v>
      </c>
      <c r="G1991" s="45">
        <f>ROUND((ROUNDDOWN($F1991/5,0)*5+1.8)/Basis!$E$3,1)</f>
        <v>8.6</v>
      </c>
      <c r="H1991" s="120">
        <f>ROUND($P1991*Basis!$E$2*((TaH-TrH)/LN(1/µ)/Basis!$E$7)^$N1991*$AA$4*Glycol,0)</f>
        <v>8831</v>
      </c>
      <c r="I1991" s="83">
        <f>ROUND(H1991/(MID($C1991,9,3)/Basis!$E$3/Basis!$E$9)*Basis!$E$11,0)</f>
        <v>1923</v>
      </c>
      <c r="J1991" s="123">
        <f>IF(Basis!$E$1=1,ROUND(H1991/((TaH-TrH)*1.163)/3600,3),ROUND(H1991/(500*(TaH-TrH)),2))</f>
        <v>0.88</v>
      </c>
      <c r="K1991" s="84"/>
      <c r="L1991" s="177">
        <f>CHOOSE(Basis!$E$1,((AJ1991*(J1991*3600/Basis!$E$5)^AK1991*(((MID(C1991,9,3)*10)-144)/1000)*AL1991+AM1991*(J1991*3600/Basis!$E$5)^2)*0.0098)/Basis!$E$10,((AJ1991*(J1991/Basis!$E$5)^AK1991*(((MID(C1991,9,3)*10)-144)/1000)*AL1991+AM1991*(J1991/Basis!$E$5)^2)*0.0098)/Basis!$E$10)</f>
        <v>8.6353705766604685E-2</v>
      </c>
      <c r="M1991" s="85"/>
      <c r="N1991" s="109">
        <v>1.4970000000000001</v>
      </c>
      <c r="O1991" s="68"/>
      <c r="P1991" s="67">
        <v>4242</v>
      </c>
      <c r="Q1991" s="68"/>
      <c r="R1991" s="69"/>
      <c r="S1991" s="69"/>
      <c r="T1991" s="69"/>
      <c r="U1991" s="69"/>
      <c r="V1991" s="69"/>
      <c r="W1991" s="68"/>
      <c r="X1991" s="70"/>
      <c r="Y1991" s="70"/>
      <c r="Z1991" s="70"/>
      <c r="AA1991" s="70"/>
      <c r="AB1991" s="70"/>
      <c r="AC1991" s="68"/>
      <c r="AD1991" s="71"/>
      <c r="AE1991" s="71"/>
      <c r="AF1991" s="71"/>
      <c r="AG1991" s="71"/>
      <c r="AH1991" s="71"/>
      <c r="AI1991" s="68"/>
      <c r="AJ1991" s="214">
        <v>1.2760000000000001E-4</v>
      </c>
      <c r="AK1991" s="214">
        <v>1.7219</v>
      </c>
      <c r="AL1991" s="214">
        <v>4</v>
      </c>
      <c r="AM1991" s="214">
        <v>5.1420100000000005E-4</v>
      </c>
      <c r="AN1991" s="68"/>
      <c r="AO1991" s="67"/>
      <c r="AP1991" s="67"/>
      <c r="AQ1991" s="67"/>
      <c r="AR1991" s="67"/>
      <c r="AS1991" s="67"/>
      <c r="AT1991" s="68"/>
      <c r="AU1991" s="49"/>
      <c r="AV1991" s="50"/>
    </row>
    <row r="1992" spans="1:48" ht="12.75" customHeight="1" x14ac:dyDescent="0.25">
      <c r="A1992" s="72" t="s">
        <v>20</v>
      </c>
      <c r="B1992" s="43" t="s">
        <v>1833</v>
      </c>
      <c r="C1992" s="44" t="s">
        <v>2149</v>
      </c>
      <c r="D1992" s="45">
        <f>MROUND(MID($C1992,6,3)/Basis!$E$3,0.5)</f>
        <v>25.5</v>
      </c>
      <c r="E1992" s="45">
        <f>MROUND(MID($C1992,9,3)/Basis!$E$3,0.5)</f>
        <v>63</v>
      </c>
      <c r="F1992" s="124" t="s">
        <v>2949</v>
      </c>
      <c r="G1992" s="45">
        <f>ROUND((ROUNDDOWN($F1992/5,0)*5+3.5)/Basis!$E$3,1)</f>
        <v>3.3</v>
      </c>
      <c r="H1992" s="120">
        <f>ROUND($P1992*Basis!$E$2*((TaH-TrH)/LN(1/µ)/Basis!$E$7)^$N1992*$AA$4*Glycol,0)</f>
        <v>3728</v>
      </c>
      <c r="I1992" s="83">
        <f>ROUND(H1992/(MID($C1992,9,3)/Basis!$E$3/Basis!$E$9)*Basis!$E$11,0)</f>
        <v>710</v>
      </c>
      <c r="J1992" s="123">
        <f>IF(Basis!$E$1=1,ROUND(H1992/((TaH-TrH)*1.163)/3600,3),ROUND(H1992/(500*(TaH-TrH)),2))</f>
        <v>0.37</v>
      </c>
      <c r="K1992" s="84"/>
      <c r="L1992" s="177">
        <f>CHOOSE(Basis!$E$1,((AJ1992*(J1992*3600/Basis!$E$5)^AK1992*(((MID(C1992,9,3)*10)-144)/1000)*AL1992+AM1992*(J1992*3600/Basis!$E$5)^2)*0.0098)/Basis!$E$10,((AJ1992*(J1992/Basis!$E$5)^AK1992*(((MID(C1992,9,3)*10)-144)/1000)*AL1992+AM1992*(J1992/Basis!$E$5)^2)*0.0098)/Basis!$E$10)</f>
        <v>7.3522019331657959E-2</v>
      </c>
      <c r="M1992" s="85"/>
      <c r="N1992" s="109">
        <v>1.35</v>
      </c>
      <c r="O1992" s="68"/>
      <c r="P1992" s="67">
        <v>1706</v>
      </c>
      <c r="Q1992" s="68"/>
      <c r="R1992" s="69"/>
      <c r="S1992" s="69"/>
      <c r="T1992" s="69"/>
      <c r="U1992" s="69"/>
      <c r="V1992" s="69"/>
      <c r="W1992" s="68"/>
      <c r="X1992" s="70"/>
      <c r="Y1992" s="70"/>
      <c r="Z1992" s="70"/>
      <c r="AA1992" s="70"/>
      <c r="AB1992" s="70"/>
      <c r="AC1992" s="68"/>
      <c r="AD1992" s="71"/>
      <c r="AE1992" s="71"/>
      <c r="AF1992" s="71"/>
      <c r="AG1992" s="71"/>
      <c r="AH1992" s="71"/>
      <c r="AI1992" s="68"/>
      <c r="AJ1992" s="214">
        <v>1.6125983042710999E-4</v>
      </c>
      <c r="AK1992" s="214">
        <v>2.1458504622376</v>
      </c>
      <c r="AL1992" s="214">
        <v>4</v>
      </c>
      <c r="AM1992" s="214">
        <v>1.3916423712342001E-3</v>
      </c>
      <c r="AN1992" s="68"/>
      <c r="AO1992" s="67"/>
      <c r="AP1992" s="67"/>
      <c r="AQ1992" s="67"/>
      <c r="AR1992" s="67"/>
      <c r="AS1992" s="67"/>
      <c r="AT1992" s="68"/>
      <c r="AU1992" s="49"/>
      <c r="AV1992" s="50"/>
    </row>
    <row r="1993" spans="1:48" ht="12.75" customHeight="1" x14ac:dyDescent="0.25">
      <c r="A1993" s="72" t="s">
        <v>20</v>
      </c>
      <c r="B1993" s="43" t="s">
        <v>1833</v>
      </c>
      <c r="C1993" s="44" t="s">
        <v>2150</v>
      </c>
      <c r="D1993" s="45">
        <f>MROUND(MID($C1993,6,3)/Basis!$E$3,0.5)</f>
        <v>25.5</v>
      </c>
      <c r="E1993" s="45">
        <f>MROUND(MID($C1993,9,3)/Basis!$E$3,0.5)</f>
        <v>63</v>
      </c>
      <c r="F1993" s="124" t="s">
        <v>2943</v>
      </c>
      <c r="G1993" s="45">
        <f>ROUND((ROUNDDOWN($F1993/5,0)*5+1.8)/Basis!$E$3,1)</f>
        <v>4.5999999999999996</v>
      </c>
      <c r="H1993" s="120">
        <f>ROUND($P1993*Basis!$E$2*((TaH-TrH)/LN(1/µ)/Basis!$E$7)^$N1993*$AA$4*Glycol,0)</f>
        <v>4206</v>
      </c>
      <c r="I1993" s="83">
        <f>ROUND(H1993/(MID($C1993,9,3)/Basis!$E$3/Basis!$E$9)*Basis!$E$11,0)</f>
        <v>801</v>
      </c>
      <c r="J1993" s="123">
        <f>IF(Basis!$E$1=1,ROUND(H1993/((TaH-TrH)*1.163)/3600,3),ROUND(H1993/(500*(TaH-TrH)),2))</f>
        <v>0.42</v>
      </c>
      <c r="K1993" s="84"/>
      <c r="L1993" s="177">
        <f>CHOOSE(Basis!$E$1,((AJ1993*(J1993*3600/Basis!$E$5)^AK1993*(((MID(C1993,9,3)*10)-144)/1000)*AL1993+AM1993*(J1993*3600/Basis!$E$5)^2)*0.0098)/Basis!$E$10,((AJ1993*(J1993/Basis!$E$5)^AK1993*(((MID(C1993,9,3)*10)-144)/1000)*AL1993+AM1993*(J1993/Basis!$E$5)^2)*0.0098)/Basis!$E$10)</f>
        <v>2.118751012282135E-2</v>
      </c>
      <c r="M1993" s="85"/>
      <c r="N1993" s="110">
        <v>1.371</v>
      </c>
      <c r="O1993" s="74"/>
      <c r="P1993" s="73">
        <v>1938</v>
      </c>
      <c r="Q1993" s="74"/>
      <c r="R1993" s="75"/>
      <c r="S1993" s="75"/>
      <c r="T1993" s="75"/>
      <c r="U1993" s="75"/>
      <c r="V1993" s="75"/>
      <c r="W1993" s="74"/>
      <c r="X1993" s="76"/>
      <c r="Y1993" s="76"/>
      <c r="Z1993" s="76"/>
      <c r="AA1993" s="76"/>
      <c r="AB1993" s="76"/>
      <c r="AC1993" s="74"/>
      <c r="AD1993" s="77"/>
      <c r="AE1993" s="77"/>
      <c r="AF1993" s="77"/>
      <c r="AG1993" s="77"/>
      <c r="AH1993" s="77"/>
      <c r="AI1993" s="68"/>
      <c r="AJ1993" s="213">
        <v>3.9689999999999994E-4</v>
      </c>
      <c r="AK1993" s="213">
        <v>1.7345999999999999</v>
      </c>
      <c r="AL1993" s="213">
        <v>2</v>
      </c>
      <c r="AM1993" s="213">
        <v>3.6734700000000002E-4</v>
      </c>
      <c r="AN1993" s="74"/>
      <c r="AO1993" s="73"/>
      <c r="AP1993" s="73"/>
      <c r="AQ1993" s="73"/>
      <c r="AR1993" s="73"/>
      <c r="AS1993" s="73"/>
      <c r="AT1993" s="74"/>
      <c r="AU1993" s="47"/>
      <c r="AV1993" s="48"/>
    </row>
    <row r="1994" spans="1:48" ht="12.75" customHeight="1" x14ac:dyDescent="0.25">
      <c r="A1994" s="72" t="s">
        <v>20</v>
      </c>
      <c r="B1994" s="43" t="s">
        <v>1833</v>
      </c>
      <c r="C1994" s="44" t="s">
        <v>2151</v>
      </c>
      <c r="D1994" s="45">
        <f>MROUND(MID($C1994,6,3)/Basis!$E$3,0.5)</f>
        <v>25.5</v>
      </c>
      <c r="E1994" s="45">
        <f>MROUND(MID($C1994,9,3)/Basis!$E$3,0.5)</f>
        <v>63</v>
      </c>
      <c r="F1994" s="124" t="s">
        <v>2946</v>
      </c>
      <c r="G1994" s="45">
        <f>ROUND((ROUNDDOWN($F1994/5,0)*5+1.8)/Basis!$E$3,1)</f>
        <v>4.5999999999999996</v>
      </c>
      <c r="H1994" s="120">
        <f>ROUND($P1994*Basis!$E$2*((TaH-TrH)/LN(1/µ)/Basis!$E$7)^$N1994*$AA$4*Glycol,0)</f>
        <v>5243</v>
      </c>
      <c r="I1994" s="83">
        <f>ROUND(H1994/(MID($C1994,9,3)/Basis!$E$3/Basis!$E$9)*Basis!$E$11,0)</f>
        <v>999</v>
      </c>
      <c r="J1994" s="123">
        <f>IF(Basis!$E$1=1,ROUND(H1994/((TaH-TrH)*1.163)/3600,3),ROUND(H1994/(500*(TaH-TrH)),2))</f>
        <v>0.52</v>
      </c>
      <c r="K1994" s="84"/>
      <c r="L1994" s="177">
        <f>CHOOSE(Basis!$E$1,((AJ1994*(J1994*3600/Basis!$E$5)^AK1994*(((MID(C1994,9,3)*10)-144)/1000)*AL1994+AM1994*(J1994*3600/Basis!$E$5)^2)*0.0098)/Basis!$E$10,((AJ1994*(J1994/Basis!$E$5)^AK1994*(((MID(C1994,9,3)*10)-144)/1000)*AL1994+AM1994*(J1994/Basis!$E$5)^2)*0.0098)/Basis!$E$10)</f>
        <v>5.5907002393956309E-2</v>
      </c>
      <c r="M1994" s="85"/>
      <c r="N1994" s="110">
        <v>1.4370000000000001</v>
      </c>
      <c r="O1994" s="74"/>
      <c r="P1994" s="73">
        <v>2469</v>
      </c>
      <c r="Q1994" s="74"/>
      <c r="R1994" s="75"/>
      <c r="S1994" s="75"/>
      <c r="T1994" s="75"/>
      <c r="U1994" s="75"/>
      <c r="V1994" s="75"/>
      <c r="W1994" s="74"/>
      <c r="X1994" s="76"/>
      <c r="Y1994" s="76"/>
      <c r="Z1994" s="76"/>
      <c r="AA1994" s="76"/>
      <c r="AB1994" s="76"/>
      <c r="AC1994" s="74"/>
      <c r="AD1994" s="77"/>
      <c r="AE1994" s="77"/>
      <c r="AF1994" s="77"/>
      <c r="AG1994" s="77"/>
      <c r="AH1994" s="77"/>
      <c r="AI1994" s="68"/>
      <c r="AJ1994" s="213">
        <v>3.9689999999999994E-4</v>
      </c>
      <c r="AK1994" s="213">
        <v>1.7345999999999999</v>
      </c>
      <c r="AL1994" s="213">
        <v>4</v>
      </c>
      <c r="AM1994" s="213">
        <v>5.7428799999999995E-4</v>
      </c>
      <c r="AN1994" s="74"/>
      <c r="AO1994" s="73"/>
      <c r="AP1994" s="73"/>
      <c r="AQ1994" s="73"/>
      <c r="AR1994" s="73"/>
      <c r="AS1994" s="73"/>
      <c r="AT1994" s="74"/>
      <c r="AU1994" s="47"/>
      <c r="AV1994" s="48"/>
    </row>
    <row r="1995" spans="1:48" ht="12.75" customHeight="1" x14ac:dyDescent="0.25">
      <c r="A1995" s="72" t="s">
        <v>20</v>
      </c>
      <c r="B1995" s="43" t="s">
        <v>1833</v>
      </c>
      <c r="C1995" s="44" t="s">
        <v>2152</v>
      </c>
      <c r="D1995" s="45">
        <f>MROUND(MID($C1995,6,3)/Basis!$E$3,0.5)</f>
        <v>25.5</v>
      </c>
      <c r="E1995" s="45">
        <f>MROUND(MID($C1995,9,3)/Basis!$E$3,0.5)</f>
        <v>63</v>
      </c>
      <c r="F1995" s="124" t="s">
        <v>2944</v>
      </c>
      <c r="G1995" s="45">
        <f>ROUND((ROUNDDOWN($F1995/5,0)*5+1.8)/Basis!$E$3,1)</f>
        <v>6.6</v>
      </c>
      <c r="H1995" s="120">
        <f>ROUND($P1995*Basis!$E$2*((TaH-TrH)/LN(1/µ)/Basis!$E$7)^$N1995*$AA$4*Glycol,0)</f>
        <v>6709</v>
      </c>
      <c r="I1995" s="83">
        <f>ROUND(H1995/(MID($C1995,9,3)/Basis!$E$3/Basis!$E$9)*Basis!$E$11,0)</f>
        <v>1278</v>
      </c>
      <c r="J1995" s="123">
        <f>IF(Basis!$E$1=1,ROUND(H1995/((TaH-TrH)*1.163)/3600,3),ROUND(H1995/(500*(TaH-TrH)),2))</f>
        <v>0.67</v>
      </c>
      <c r="K1995" s="84"/>
      <c r="L1995" s="177">
        <f>CHOOSE(Basis!$E$1,((AJ1995*(J1995*3600/Basis!$E$5)^AK1995*(((MID(C1995,9,3)*10)-144)/1000)*AL1995+AM1995*(J1995*3600/Basis!$E$5)^2)*0.0098)/Basis!$E$10,((AJ1995*(J1995/Basis!$E$5)^AK1995*(((MID(C1995,9,3)*10)-144)/1000)*AL1995+AM1995*(J1995/Basis!$E$5)^2)*0.0098)/Basis!$E$10)</f>
        <v>4.6442664832217623E-2</v>
      </c>
      <c r="M1995" s="85"/>
      <c r="N1995" s="110">
        <v>1.355</v>
      </c>
      <c r="O1995" s="74"/>
      <c r="P1995" s="73">
        <v>3075</v>
      </c>
      <c r="Q1995" s="74"/>
      <c r="R1995" s="75"/>
      <c r="S1995" s="75"/>
      <c r="T1995" s="75"/>
      <c r="U1995" s="75"/>
      <c r="V1995" s="75"/>
      <c r="W1995" s="74"/>
      <c r="X1995" s="76"/>
      <c r="Y1995" s="76"/>
      <c r="Z1995" s="76"/>
      <c r="AA1995" s="76"/>
      <c r="AB1995" s="76"/>
      <c r="AC1995" s="74"/>
      <c r="AD1995" s="77"/>
      <c r="AE1995" s="77"/>
      <c r="AF1995" s="77"/>
      <c r="AG1995" s="77"/>
      <c r="AH1995" s="77"/>
      <c r="AI1995" s="68"/>
      <c r="AJ1995" s="213">
        <v>2.0829999999999999E-4</v>
      </c>
      <c r="AK1995" s="213">
        <v>1.724</v>
      </c>
      <c r="AL1995" s="213">
        <v>2</v>
      </c>
      <c r="AM1995" s="213">
        <v>4.6182900000000003E-4</v>
      </c>
      <c r="AN1995" s="74"/>
      <c r="AO1995" s="73"/>
      <c r="AP1995" s="73"/>
      <c r="AQ1995" s="73"/>
      <c r="AR1995" s="73"/>
      <c r="AS1995" s="73"/>
      <c r="AT1995" s="74"/>
      <c r="AU1995" s="47"/>
      <c r="AV1995" s="48"/>
    </row>
    <row r="1996" spans="1:48" ht="12.75" customHeight="1" x14ac:dyDescent="0.25">
      <c r="A1996" s="72" t="s">
        <v>20</v>
      </c>
      <c r="B1996" s="43" t="s">
        <v>1833</v>
      </c>
      <c r="C1996" s="44" t="s">
        <v>2153</v>
      </c>
      <c r="D1996" s="45">
        <f>MROUND(MID($C1996,6,3)/Basis!$E$3,0.5)</f>
        <v>25.5</v>
      </c>
      <c r="E1996" s="45">
        <f>MROUND(MID($C1996,9,3)/Basis!$E$3,0.5)</f>
        <v>63</v>
      </c>
      <c r="F1996" s="124" t="s">
        <v>2947</v>
      </c>
      <c r="G1996" s="45">
        <f>ROUND((ROUNDDOWN($F1996/5,0)*5+1.8)/Basis!$E$3,1)</f>
        <v>6.6</v>
      </c>
      <c r="H1996" s="120">
        <f>ROUND($P1996*Basis!$E$2*((TaH-TrH)/LN(1/µ)/Basis!$E$7)^$N1996*$AA$4*Glycol,0)</f>
        <v>7303</v>
      </c>
      <c r="I1996" s="83">
        <f>ROUND(H1996/(MID($C1996,9,3)/Basis!$E$3/Basis!$E$9)*Basis!$E$11,0)</f>
        <v>1391</v>
      </c>
      <c r="J1996" s="123">
        <f>IF(Basis!$E$1=1,ROUND(H1996/((TaH-TrH)*1.163)/3600,3),ROUND(H1996/(500*(TaH-TrH)),2))</f>
        <v>0.73</v>
      </c>
      <c r="K1996" s="84"/>
      <c r="L1996" s="177">
        <f>CHOOSE(Basis!$E$1,((AJ1996*(J1996*3600/Basis!$E$5)^AK1996*(((MID(C1996,9,3)*10)-144)/1000)*AL1996+AM1996*(J1996*3600/Basis!$E$5)^2)*0.0098)/Basis!$E$10,((AJ1996*(J1996/Basis!$E$5)^AK1996*(((MID(C1996,9,3)*10)-144)/1000)*AL1996+AM1996*(J1996/Basis!$E$5)^2)*0.0098)/Basis!$E$10)</f>
        <v>0.15179719738359909</v>
      </c>
      <c r="M1996" s="85"/>
      <c r="N1996" s="110">
        <v>1.47</v>
      </c>
      <c r="O1996" s="74"/>
      <c r="P1996" s="73">
        <v>3477</v>
      </c>
      <c r="Q1996" s="74"/>
      <c r="R1996" s="75"/>
      <c r="S1996" s="75"/>
      <c r="T1996" s="75"/>
      <c r="U1996" s="75"/>
      <c r="V1996" s="75"/>
      <c r="W1996" s="74"/>
      <c r="X1996" s="76"/>
      <c r="Y1996" s="76"/>
      <c r="Z1996" s="76"/>
      <c r="AA1996" s="76"/>
      <c r="AB1996" s="76"/>
      <c r="AC1996" s="74"/>
      <c r="AD1996" s="77"/>
      <c r="AE1996" s="77"/>
      <c r="AF1996" s="77"/>
      <c r="AG1996" s="77"/>
      <c r="AH1996" s="77"/>
      <c r="AI1996" s="68"/>
      <c r="AJ1996" s="213">
        <v>2.0829999999999999E-4</v>
      </c>
      <c r="AK1996" s="213">
        <v>1.724</v>
      </c>
      <c r="AL1996" s="213">
        <v>4</v>
      </c>
      <c r="AM1996" s="213">
        <v>1.392796E-3</v>
      </c>
      <c r="AN1996" s="74"/>
      <c r="AO1996" s="73"/>
      <c r="AP1996" s="73"/>
      <c r="AQ1996" s="73"/>
      <c r="AR1996" s="73"/>
      <c r="AS1996" s="73"/>
      <c r="AT1996" s="74"/>
      <c r="AU1996" s="47"/>
      <c r="AV1996" s="48"/>
    </row>
    <row r="1997" spans="1:48" ht="12.75" customHeight="1" x14ac:dyDescent="0.25">
      <c r="A1997" s="72" t="s">
        <v>20</v>
      </c>
      <c r="B1997" s="43" t="s">
        <v>1833</v>
      </c>
      <c r="C1997" s="44" t="s">
        <v>2154</v>
      </c>
      <c r="D1997" s="45">
        <f>MROUND(MID($C1997,6,3)/Basis!$E$3,0.5)</f>
        <v>25.5</v>
      </c>
      <c r="E1997" s="45">
        <f>MROUND(MID($C1997,9,3)/Basis!$E$3,0.5)</f>
        <v>63</v>
      </c>
      <c r="F1997" s="124" t="s">
        <v>2945</v>
      </c>
      <c r="G1997" s="45">
        <f>ROUND((ROUNDDOWN($F1997/5,0)*5+1.8)/Basis!$E$3,1)</f>
        <v>8.6</v>
      </c>
      <c r="H1997" s="120">
        <f>ROUND($P1997*Basis!$E$2*((TaH-TrH)/LN(1/µ)/Basis!$E$7)^$N1997*$AA$4*Glycol,0)</f>
        <v>9373</v>
      </c>
      <c r="I1997" s="83">
        <f>ROUND(H1997/(MID($C1997,9,3)/Basis!$E$3/Basis!$E$9)*Basis!$E$11,0)</f>
        <v>1786</v>
      </c>
      <c r="J1997" s="123">
        <f>IF(Basis!$E$1=1,ROUND(H1997/((TaH-TrH)*1.163)/3600,3),ROUND(H1997/(500*(TaH-TrH)),2))</f>
        <v>0.94</v>
      </c>
      <c r="K1997" s="84"/>
      <c r="L1997" s="177">
        <f>CHOOSE(Basis!$E$1,((AJ1997*(J1997*3600/Basis!$E$5)^AK1997*(((MID(C1997,9,3)*10)-144)/1000)*AL1997+AM1997*(J1997*3600/Basis!$E$5)^2)*0.0098)/Basis!$E$10,((AJ1997*(J1997/Basis!$E$5)^AK1997*(((MID(C1997,9,3)*10)-144)/1000)*AL1997+AM1997*(J1997/Basis!$E$5)^2)*0.0098)/Basis!$E$10)</f>
        <v>6.8589414314115263E-2</v>
      </c>
      <c r="M1997" s="85"/>
      <c r="N1997" s="110">
        <v>1.355</v>
      </c>
      <c r="O1997" s="74"/>
      <c r="P1997" s="73">
        <v>4296</v>
      </c>
      <c r="Q1997" s="74"/>
      <c r="R1997" s="75"/>
      <c r="S1997" s="75"/>
      <c r="T1997" s="75"/>
      <c r="U1997" s="75"/>
      <c r="V1997" s="75"/>
      <c r="W1997" s="74"/>
      <c r="X1997" s="76"/>
      <c r="Y1997" s="76"/>
      <c r="Z1997" s="76"/>
      <c r="AA1997" s="76"/>
      <c r="AB1997" s="76"/>
      <c r="AC1997" s="74"/>
      <c r="AD1997" s="77"/>
      <c r="AE1997" s="77"/>
      <c r="AF1997" s="77"/>
      <c r="AG1997" s="77"/>
      <c r="AH1997" s="77"/>
      <c r="AI1997" s="68"/>
      <c r="AJ1997" s="214">
        <v>1.2760000000000001E-4</v>
      </c>
      <c r="AK1997" s="214">
        <v>1.7219</v>
      </c>
      <c r="AL1997" s="214">
        <v>2</v>
      </c>
      <c r="AM1997" s="214">
        <v>3.76611E-4</v>
      </c>
      <c r="AN1997" s="74"/>
      <c r="AO1997" s="73"/>
      <c r="AP1997" s="73"/>
      <c r="AQ1997" s="73"/>
      <c r="AR1997" s="73"/>
      <c r="AS1997" s="73"/>
      <c r="AT1997" s="74"/>
      <c r="AU1997" s="47"/>
      <c r="AV1997" s="48"/>
    </row>
    <row r="1998" spans="1:48" ht="12.75" customHeight="1" x14ac:dyDescent="0.25">
      <c r="A1998" s="72" t="s">
        <v>20</v>
      </c>
      <c r="B1998" s="43" t="s">
        <v>1833</v>
      </c>
      <c r="C1998" s="44" t="s">
        <v>2155</v>
      </c>
      <c r="D1998" s="45">
        <f>MROUND(MID($C1998,6,3)/Basis!$E$3,0.5)</f>
        <v>25.5</v>
      </c>
      <c r="E1998" s="45">
        <f>MROUND(MID($C1998,9,3)/Basis!$E$3,0.5)</f>
        <v>63</v>
      </c>
      <c r="F1998" s="124" t="s">
        <v>2948</v>
      </c>
      <c r="G1998" s="45">
        <f>ROUND((ROUNDDOWN($F1998/5,0)*5+1.8)/Basis!$E$3,1)</f>
        <v>8.6</v>
      </c>
      <c r="H1998" s="120">
        <f>ROUND($P1998*Basis!$E$2*((TaH-TrH)/LN(1/µ)/Basis!$E$7)^$N1998*$AA$4*Glycol,0)</f>
        <v>10093</v>
      </c>
      <c r="I1998" s="83">
        <f>ROUND(H1998/(MID($C1998,9,3)/Basis!$E$3/Basis!$E$9)*Basis!$E$11,0)</f>
        <v>1923</v>
      </c>
      <c r="J1998" s="123">
        <f>IF(Basis!$E$1=1,ROUND(H1998/((TaH-TrH)*1.163)/3600,3),ROUND(H1998/(500*(TaH-TrH)),2))</f>
        <v>1.01</v>
      </c>
      <c r="K1998" s="84"/>
      <c r="L1998" s="177">
        <f>CHOOSE(Basis!$E$1,((AJ1998*(J1998*3600/Basis!$E$5)^AK1998*(((MID(C1998,9,3)*10)-144)/1000)*AL1998+AM1998*(J1998*3600/Basis!$E$5)^2)*0.0098)/Basis!$E$10,((AJ1998*(J1998/Basis!$E$5)^AK1998*(((MID(C1998,9,3)*10)-144)/1000)*AL1998+AM1998*(J1998/Basis!$E$5)^2)*0.0098)/Basis!$E$10)</f>
        <v>0.11667542669996099</v>
      </c>
      <c r="M1998" s="85"/>
      <c r="N1998" s="110">
        <v>1.4970000000000001</v>
      </c>
      <c r="O1998" s="74"/>
      <c r="P1998" s="73">
        <v>4848</v>
      </c>
      <c r="Q1998" s="74"/>
      <c r="R1998" s="75"/>
      <c r="S1998" s="75"/>
      <c r="T1998" s="75"/>
      <c r="U1998" s="75"/>
      <c r="V1998" s="75"/>
      <c r="W1998" s="74"/>
      <c r="X1998" s="76"/>
      <c r="Y1998" s="76"/>
      <c r="Z1998" s="76"/>
      <c r="AA1998" s="76"/>
      <c r="AB1998" s="76"/>
      <c r="AC1998" s="74"/>
      <c r="AD1998" s="77"/>
      <c r="AE1998" s="77"/>
      <c r="AF1998" s="77"/>
      <c r="AG1998" s="77"/>
      <c r="AH1998" s="77"/>
      <c r="AI1998" s="68"/>
      <c r="AJ1998" s="213">
        <v>1.2760000000000001E-4</v>
      </c>
      <c r="AK1998" s="213">
        <v>1.7219</v>
      </c>
      <c r="AL1998" s="213">
        <v>4</v>
      </c>
      <c r="AM1998" s="213">
        <v>5.1420100000000005E-4</v>
      </c>
      <c r="AN1998" s="74"/>
      <c r="AO1998" s="73"/>
      <c r="AP1998" s="73"/>
      <c r="AQ1998" s="73"/>
      <c r="AR1998" s="73"/>
      <c r="AS1998" s="73"/>
      <c r="AT1998" s="74"/>
      <c r="AU1998" s="47"/>
      <c r="AV1998" s="48"/>
    </row>
    <row r="1999" spans="1:48" ht="12.75" customHeight="1" x14ac:dyDescent="0.25">
      <c r="A1999" s="72" t="s">
        <v>20</v>
      </c>
      <c r="B1999" s="43" t="s">
        <v>1833</v>
      </c>
      <c r="C1999" s="44" t="s">
        <v>2156</v>
      </c>
      <c r="D1999" s="45">
        <f>MROUND(MID($C1999,6,3)/Basis!$E$3,0.5)</f>
        <v>25.5</v>
      </c>
      <c r="E1999" s="45">
        <f>MROUND(MID($C1999,9,3)/Basis!$E$3,0.5)</f>
        <v>71</v>
      </c>
      <c r="F1999" s="124" t="s">
        <v>2949</v>
      </c>
      <c r="G1999" s="45">
        <f>ROUND((ROUNDDOWN($F1999/5,0)*5+3.5)/Basis!$E$3,1)</f>
        <v>3.3</v>
      </c>
      <c r="H1999" s="120">
        <f>ROUND($P1999*Basis!$E$2*((TaH-TrH)/LN(1/µ)/Basis!$E$7)^$N1999*$AA$4*Glycol,0)</f>
        <v>4194</v>
      </c>
      <c r="I1999" s="83">
        <f>ROUND(H1999/(MID($C1999,9,3)/Basis!$E$3/Basis!$E$9)*Basis!$E$11,0)</f>
        <v>710</v>
      </c>
      <c r="J1999" s="123">
        <f>IF(Basis!$E$1=1,ROUND(H1999/((TaH-TrH)*1.163)/3600,3),ROUND(H1999/(500*(TaH-TrH)),2))</f>
        <v>0.42</v>
      </c>
      <c r="K1999" s="84"/>
      <c r="L1999" s="177">
        <f>CHOOSE(Basis!$E$1,((AJ1999*(J1999*3600/Basis!$E$5)^AK1999*(((MID(C1999,9,3)*10)-144)/1000)*AL1999+AM1999*(J1999*3600/Basis!$E$5)^2)*0.0098)/Basis!$E$10,((AJ1999*(J1999/Basis!$E$5)^AK1999*(((MID(C1999,9,3)*10)-144)/1000)*AL1999+AM1999*(J1999/Basis!$E$5)^2)*0.0098)/Basis!$E$10)</f>
        <v>0.10319266365164291</v>
      </c>
      <c r="M1999" s="85"/>
      <c r="N1999" s="110">
        <v>1.35</v>
      </c>
      <c r="O1999" s="74"/>
      <c r="P1999" s="73">
        <v>1919</v>
      </c>
      <c r="Q1999" s="74"/>
      <c r="R1999" s="75"/>
      <c r="S1999" s="75"/>
      <c r="T1999" s="75"/>
      <c r="U1999" s="75"/>
      <c r="V1999" s="75"/>
      <c r="W1999" s="74"/>
      <c r="X1999" s="76"/>
      <c r="Y1999" s="76"/>
      <c r="Z1999" s="76"/>
      <c r="AA1999" s="76"/>
      <c r="AB1999" s="76"/>
      <c r="AC1999" s="74"/>
      <c r="AD1999" s="77"/>
      <c r="AE1999" s="77"/>
      <c r="AF1999" s="77"/>
      <c r="AG1999" s="77"/>
      <c r="AH1999" s="77"/>
      <c r="AI1999" s="68"/>
      <c r="AJ1999" s="213">
        <v>1.6125983042710999E-4</v>
      </c>
      <c r="AK1999" s="213">
        <v>2.1458504622376</v>
      </c>
      <c r="AL1999" s="213">
        <v>4</v>
      </c>
      <c r="AM1999" s="213">
        <v>1.3916423712342001E-3</v>
      </c>
      <c r="AN1999" s="74"/>
      <c r="AO1999" s="73"/>
      <c r="AP1999" s="73"/>
      <c r="AQ1999" s="73"/>
      <c r="AR1999" s="73"/>
      <c r="AS1999" s="73"/>
      <c r="AT1999" s="74"/>
      <c r="AU1999" s="47"/>
      <c r="AV1999" s="48"/>
    </row>
    <row r="2000" spans="1:48" ht="12.75" customHeight="1" x14ac:dyDescent="0.25">
      <c r="A2000" s="72" t="s">
        <v>20</v>
      </c>
      <c r="B2000" s="43" t="s">
        <v>1833</v>
      </c>
      <c r="C2000" s="44" t="s">
        <v>2157</v>
      </c>
      <c r="D2000" s="45">
        <f>MROUND(MID($C2000,6,3)/Basis!$E$3,0.5)</f>
        <v>25.5</v>
      </c>
      <c r="E2000" s="45">
        <f>MROUND(MID($C2000,9,3)/Basis!$E$3,0.5)</f>
        <v>71</v>
      </c>
      <c r="F2000" s="124" t="s">
        <v>2943</v>
      </c>
      <c r="G2000" s="45">
        <f>ROUND((ROUNDDOWN($F2000/5,0)*5+1.8)/Basis!$E$3,1)</f>
        <v>4.5999999999999996</v>
      </c>
      <c r="H2000" s="120">
        <f>ROUND($P2000*Basis!$E$2*((TaH-TrH)/LN(1/µ)/Basis!$E$7)^$N2000*$AA$4*Glycol,0)</f>
        <v>4731</v>
      </c>
      <c r="I2000" s="83">
        <f>ROUND(H2000/(MID($C2000,9,3)/Basis!$E$3/Basis!$E$9)*Basis!$E$11,0)</f>
        <v>801</v>
      </c>
      <c r="J2000" s="123">
        <f>IF(Basis!$E$1=1,ROUND(H2000/((TaH-TrH)*1.163)/3600,3),ROUND(H2000/(500*(TaH-TrH)),2))</f>
        <v>0.47</v>
      </c>
      <c r="K2000" s="84"/>
      <c r="L2000" s="177">
        <f>CHOOSE(Basis!$E$1,((AJ2000*(J2000*3600/Basis!$E$5)^AK2000*(((MID(C2000,9,3)*10)-144)/1000)*AL2000+AM2000*(J2000*3600/Basis!$E$5)^2)*0.0098)/Basis!$E$10,((AJ2000*(J2000/Basis!$E$5)^AK2000*(((MID(C2000,9,3)*10)-144)/1000)*AL2000+AM2000*(J2000/Basis!$E$5)^2)*0.0098)/Basis!$E$10)</f>
        <v>2.7867223225593714E-2</v>
      </c>
      <c r="M2000" s="85"/>
      <c r="N2000" s="109">
        <v>1.371</v>
      </c>
      <c r="O2000" s="68"/>
      <c r="P2000" s="67">
        <v>2180</v>
      </c>
      <c r="Q2000" s="68"/>
      <c r="R2000" s="69"/>
      <c r="S2000" s="69"/>
      <c r="T2000" s="69"/>
      <c r="U2000" s="69"/>
      <c r="V2000" s="69"/>
      <c r="W2000" s="68"/>
      <c r="X2000" s="70"/>
      <c r="Y2000" s="70"/>
      <c r="Z2000" s="70"/>
      <c r="AA2000" s="70"/>
      <c r="AB2000" s="70"/>
      <c r="AC2000" s="68"/>
      <c r="AD2000" s="71"/>
      <c r="AE2000" s="71"/>
      <c r="AF2000" s="71"/>
      <c r="AG2000" s="71"/>
      <c r="AH2000" s="71"/>
      <c r="AI2000" s="68"/>
      <c r="AJ2000" s="214">
        <v>3.9689999999999994E-4</v>
      </c>
      <c r="AK2000" s="214">
        <v>1.7345999999999999</v>
      </c>
      <c r="AL2000" s="214">
        <v>2</v>
      </c>
      <c r="AM2000" s="214">
        <v>3.6734700000000002E-4</v>
      </c>
      <c r="AN2000" s="68"/>
      <c r="AO2000" s="67"/>
      <c r="AP2000" s="67"/>
      <c r="AQ2000" s="67"/>
      <c r="AR2000" s="67"/>
      <c r="AS2000" s="67"/>
      <c r="AT2000" s="68"/>
      <c r="AU2000" s="49"/>
      <c r="AV2000" s="50"/>
    </row>
    <row r="2001" spans="1:48" ht="12.75" customHeight="1" x14ac:dyDescent="0.25">
      <c r="A2001" s="72" t="s">
        <v>20</v>
      </c>
      <c r="B2001" s="43" t="s">
        <v>1833</v>
      </c>
      <c r="C2001" s="44" t="s">
        <v>2158</v>
      </c>
      <c r="D2001" s="45">
        <f>MROUND(MID($C2001,6,3)/Basis!$E$3,0.5)</f>
        <v>25.5</v>
      </c>
      <c r="E2001" s="45">
        <f>MROUND(MID($C2001,9,3)/Basis!$E$3,0.5)</f>
        <v>71</v>
      </c>
      <c r="F2001" s="124" t="s">
        <v>2946</v>
      </c>
      <c r="G2001" s="45">
        <f>ROUND((ROUNDDOWN($F2001/5,0)*5+1.8)/Basis!$E$3,1)</f>
        <v>4.5999999999999996</v>
      </c>
      <c r="H2001" s="120">
        <f>ROUND($P2001*Basis!$E$2*((TaH-TrH)/LN(1/µ)/Basis!$E$7)^$N2001*$AA$4*Glycol,0)</f>
        <v>5897</v>
      </c>
      <c r="I2001" s="83">
        <f>ROUND(H2001/(MID($C2001,9,3)/Basis!$E$3/Basis!$E$9)*Basis!$E$11,0)</f>
        <v>999</v>
      </c>
      <c r="J2001" s="123">
        <f>IF(Basis!$E$1=1,ROUND(H2001/((TaH-TrH)*1.163)/3600,3),ROUND(H2001/(500*(TaH-TrH)),2))</f>
        <v>0.59</v>
      </c>
      <c r="K2001" s="84"/>
      <c r="L2001" s="177">
        <f>CHOOSE(Basis!$E$1,((AJ2001*(J2001*3600/Basis!$E$5)^AK2001*(((MID(C2001,9,3)*10)-144)/1000)*AL2001+AM2001*(J2001*3600/Basis!$E$5)^2)*0.0098)/Basis!$E$10,((AJ2001*(J2001/Basis!$E$5)^AK2001*(((MID(C2001,9,3)*10)-144)/1000)*AL2001+AM2001*(J2001/Basis!$E$5)^2)*0.0098)/Basis!$E$10)</f>
        <v>7.579241900928349E-2</v>
      </c>
      <c r="M2001" s="85"/>
      <c r="N2001" s="109">
        <v>1.4370000000000001</v>
      </c>
      <c r="O2001" s="68"/>
      <c r="P2001" s="67">
        <v>2777</v>
      </c>
      <c r="Q2001" s="68"/>
      <c r="R2001" s="69"/>
      <c r="S2001" s="69"/>
      <c r="T2001" s="69"/>
      <c r="U2001" s="69"/>
      <c r="V2001" s="69"/>
      <c r="W2001" s="68"/>
      <c r="X2001" s="70"/>
      <c r="Y2001" s="70"/>
      <c r="Z2001" s="70"/>
      <c r="AA2001" s="70"/>
      <c r="AB2001" s="70"/>
      <c r="AC2001" s="68"/>
      <c r="AD2001" s="71"/>
      <c r="AE2001" s="71"/>
      <c r="AF2001" s="71"/>
      <c r="AG2001" s="71"/>
      <c r="AH2001" s="71"/>
      <c r="AI2001" s="68"/>
      <c r="AJ2001" s="214">
        <v>3.9689999999999994E-4</v>
      </c>
      <c r="AK2001" s="214">
        <v>1.7345999999999999</v>
      </c>
      <c r="AL2001" s="214">
        <v>4</v>
      </c>
      <c r="AM2001" s="214">
        <v>5.7428799999999995E-4</v>
      </c>
      <c r="AN2001" s="68"/>
      <c r="AO2001" s="67"/>
      <c r="AP2001" s="67"/>
      <c r="AQ2001" s="67"/>
      <c r="AR2001" s="67"/>
      <c r="AS2001" s="67"/>
      <c r="AT2001" s="68"/>
      <c r="AU2001" s="49"/>
      <c r="AV2001" s="50"/>
    </row>
    <row r="2002" spans="1:48" ht="12.75" customHeight="1" x14ac:dyDescent="0.25">
      <c r="A2002" s="72" t="s">
        <v>20</v>
      </c>
      <c r="B2002" s="43" t="s">
        <v>1833</v>
      </c>
      <c r="C2002" s="44" t="s">
        <v>2159</v>
      </c>
      <c r="D2002" s="45">
        <f>MROUND(MID($C2002,6,3)/Basis!$E$3,0.5)</f>
        <v>25.5</v>
      </c>
      <c r="E2002" s="45">
        <f>MROUND(MID($C2002,9,3)/Basis!$E$3,0.5)</f>
        <v>71</v>
      </c>
      <c r="F2002" s="124" t="s">
        <v>2944</v>
      </c>
      <c r="G2002" s="45">
        <f>ROUND((ROUNDDOWN($F2002/5,0)*5+1.8)/Basis!$E$3,1)</f>
        <v>6.6</v>
      </c>
      <c r="H2002" s="120">
        <f>ROUND($P2002*Basis!$E$2*((TaH-TrH)/LN(1/µ)/Basis!$E$7)^$N2002*$AA$4*Glycol,0)</f>
        <v>7549</v>
      </c>
      <c r="I2002" s="83">
        <f>ROUND(H2002/(MID($C2002,9,3)/Basis!$E$3/Basis!$E$9)*Basis!$E$11,0)</f>
        <v>1278</v>
      </c>
      <c r="J2002" s="123">
        <f>IF(Basis!$E$1=1,ROUND(H2002/((TaH-TrH)*1.163)/3600,3),ROUND(H2002/(500*(TaH-TrH)),2))</f>
        <v>0.75</v>
      </c>
      <c r="K2002" s="84"/>
      <c r="L2002" s="177">
        <f>CHOOSE(Basis!$E$1,((AJ2002*(J2002*3600/Basis!$E$5)^AK2002*(((MID(C2002,9,3)*10)-144)/1000)*AL2002+AM2002*(J2002*3600/Basis!$E$5)^2)*0.0098)/Basis!$E$10,((AJ2002*(J2002/Basis!$E$5)^AK2002*(((MID(C2002,9,3)*10)-144)/1000)*AL2002+AM2002*(J2002/Basis!$E$5)^2)*0.0098)/Basis!$E$10)</f>
        <v>5.9669405463075198E-2</v>
      </c>
      <c r="M2002" s="85"/>
      <c r="N2002" s="109">
        <v>1.355</v>
      </c>
      <c r="O2002" s="68"/>
      <c r="P2002" s="67">
        <v>3460</v>
      </c>
      <c r="Q2002" s="68"/>
      <c r="R2002" s="69"/>
      <c r="S2002" s="69"/>
      <c r="T2002" s="69"/>
      <c r="U2002" s="69"/>
      <c r="V2002" s="69"/>
      <c r="W2002" s="68"/>
      <c r="X2002" s="70"/>
      <c r="Y2002" s="70"/>
      <c r="Z2002" s="70"/>
      <c r="AA2002" s="70"/>
      <c r="AB2002" s="70"/>
      <c r="AC2002" s="68"/>
      <c r="AD2002" s="71"/>
      <c r="AE2002" s="71"/>
      <c r="AF2002" s="71"/>
      <c r="AG2002" s="71"/>
      <c r="AH2002" s="71"/>
      <c r="AI2002" s="68"/>
      <c r="AJ2002" s="214">
        <v>2.0829999999999999E-4</v>
      </c>
      <c r="AK2002" s="214">
        <v>1.724</v>
      </c>
      <c r="AL2002" s="214">
        <v>2</v>
      </c>
      <c r="AM2002" s="214">
        <v>4.6182900000000003E-4</v>
      </c>
      <c r="AN2002" s="68"/>
      <c r="AO2002" s="67"/>
      <c r="AP2002" s="67"/>
      <c r="AQ2002" s="67"/>
      <c r="AR2002" s="67"/>
      <c r="AS2002" s="67"/>
      <c r="AT2002" s="68"/>
      <c r="AU2002" s="49"/>
      <c r="AV2002" s="50"/>
    </row>
    <row r="2003" spans="1:48" ht="12.75" customHeight="1" x14ac:dyDescent="0.25">
      <c r="A2003" s="72" t="s">
        <v>20</v>
      </c>
      <c r="B2003" s="43" t="s">
        <v>1833</v>
      </c>
      <c r="C2003" s="44" t="s">
        <v>2160</v>
      </c>
      <c r="D2003" s="45">
        <f>MROUND(MID($C2003,6,3)/Basis!$E$3,0.5)</f>
        <v>25.5</v>
      </c>
      <c r="E2003" s="45">
        <f>MROUND(MID($C2003,9,3)/Basis!$E$3,0.5)</f>
        <v>71</v>
      </c>
      <c r="F2003" s="124" t="s">
        <v>2947</v>
      </c>
      <c r="G2003" s="45">
        <f>ROUND((ROUNDDOWN($F2003/5,0)*5+1.8)/Basis!$E$3,1)</f>
        <v>6.6</v>
      </c>
      <c r="H2003" s="120">
        <f>ROUND($P2003*Basis!$E$2*((TaH-TrH)/LN(1/µ)/Basis!$E$7)^$N2003*$AA$4*Glycol,0)</f>
        <v>8215</v>
      </c>
      <c r="I2003" s="83">
        <f>ROUND(H2003/(MID($C2003,9,3)/Basis!$E$3/Basis!$E$9)*Basis!$E$11,0)</f>
        <v>1391</v>
      </c>
      <c r="J2003" s="123">
        <f>IF(Basis!$E$1=1,ROUND(H2003/((TaH-TrH)*1.163)/3600,3),ROUND(H2003/(500*(TaH-TrH)),2))</f>
        <v>0.82</v>
      </c>
      <c r="K2003" s="84"/>
      <c r="L2003" s="177">
        <f>CHOOSE(Basis!$E$1,((AJ2003*(J2003*3600/Basis!$E$5)^AK2003*(((MID(C2003,9,3)*10)-144)/1000)*AL2003+AM2003*(J2003*3600/Basis!$E$5)^2)*0.0098)/Basis!$E$10,((AJ2003*(J2003/Basis!$E$5)^AK2003*(((MID(C2003,9,3)*10)-144)/1000)*AL2003+AM2003*(J2003/Basis!$E$5)^2)*0.0098)/Basis!$E$10)</f>
        <v>0.19493967635185136</v>
      </c>
      <c r="M2003" s="85"/>
      <c r="N2003" s="109">
        <v>1.47</v>
      </c>
      <c r="O2003" s="68"/>
      <c r="P2003" s="67">
        <v>3911</v>
      </c>
      <c r="Q2003" s="68"/>
      <c r="R2003" s="69"/>
      <c r="S2003" s="69"/>
      <c r="T2003" s="69"/>
      <c r="U2003" s="69"/>
      <c r="V2003" s="69"/>
      <c r="W2003" s="68"/>
      <c r="X2003" s="70"/>
      <c r="Y2003" s="70"/>
      <c r="Z2003" s="70"/>
      <c r="AA2003" s="70"/>
      <c r="AB2003" s="70"/>
      <c r="AC2003" s="68"/>
      <c r="AD2003" s="71"/>
      <c r="AE2003" s="71"/>
      <c r="AF2003" s="71"/>
      <c r="AG2003" s="71"/>
      <c r="AH2003" s="71"/>
      <c r="AI2003" s="68"/>
      <c r="AJ2003" s="214">
        <v>2.0829999999999999E-4</v>
      </c>
      <c r="AK2003" s="214">
        <v>1.724</v>
      </c>
      <c r="AL2003" s="214">
        <v>4</v>
      </c>
      <c r="AM2003" s="214">
        <v>1.392796E-3</v>
      </c>
      <c r="AN2003" s="68"/>
      <c r="AO2003" s="67"/>
      <c r="AP2003" s="67"/>
      <c r="AQ2003" s="67"/>
      <c r="AR2003" s="67"/>
      <c r="AS2003" s="67"/>
      <c r="AT2003" s="68"/>
      <c r="AU2003" s="49"/>
      <c r="AV2003" s="50"/>
    </row>
    <row r="2004" spans="1:48" ht="12.75" customHeight="1" x14ac:dyDescent="0.25">
      <c r="A2004" s="72" t="s">
        <v>20</v>
      </c>
      <c r="B2004" s="43" t="s">
        <v>1833</v>
      </c>
      <c r="C2004" s="44" t="s">
        <v>2161</v>
      </c>
      <c r="D2004" s="45">
        <f>MROUND(MID($C2004,6,3)/Basis!$E$3,0.5)</f>
        <v>25.5</v>
      </c>
      <c r="E2004" s="45">
        <f>MROUND(MID($C2004,9,3)/Basis!$E$3,0.5)</f>
        <v>71</v>
      </c>
      <c r="F2004" s="124" t="s">
        <v>2945</v>
      </c>
      <c r="G2004" s="45">
        <f>ROUND((ROUNDDOWN($F2004/5,0)*5+1.8)/Basis!$E$3,1)</f>
        <v>8.6</v>
      </c>
      <c r="H2004" s="120">
        <f>ROUND($P2004*Basis!$E$2*((TaH-TrH)/LN(1/µ)/Basis!$E$7)^$N2004*$AA$4*Glycol,0)</f>
        <v>10544</v>
      </c>
      <c r="I2004" s="83">
        <f>ROUND(H2004/(MID($C2004,9,3)/Basis!$E$3/Basis!$E$9)*Basis!$E$11,0)</f>
        <v>1785</v>
      </c>
      <c r="J2004" s="123">
        <f>IF(Basis!$E$1=1,ROUND(H2004/((TaH-TrH)*1.163)/3600,3),ROUND(H2004/(500*(TaH-TrH)),2))</f>
        <v>1.05</v>
      </c>
      <c r="K2004" s="84"/>
      <c r="L2004" s="177">
        <f>CHOOSE(Basis!$E$1,((AJ2004*(J2004*3600/Basis!$E$5)^AK2004*(((MID(C2004,9,3)*10)-144)/1000)*AL2004+AM2004*(J2004*3600/Basis!$E$5)^2)*0.0098)/Basis!$E$10,((AJ2004*(J2004/Basis!$E$5)^AK2004*(((MID(C2004,9,3)*10)-144)/1000)*AL2004+AM2004*(J2004/Basis!$E$5)^2)*0.0098)/Basis!$E$10)</f>
        <v>8.7181226105647616E-2</v>
      </c>
      <c r="M2004" s="85"/>
      <c r="N2004" s="109">
        <v>1.355</v>
      </c>
      <c r="O2004" s="68"/>
      <c r="P2004" s="67">
        <v>4833</v>
      </c>
      <c r="Q2004" s="68"/>
      <c r="R2004" s="69"/>
      <c r="S2004" s="69"/>
      <c r="T2004" s="69"/>
      <c r="U2004" s="69"/>
      <c r="V2004" s="69"/>
      <c r="W2004" s="68"/>
      <c r="X2004" s="70"/>
      <c r="Y2004" s="70"/>
      <c r="Z2004" s="70"/>
      <c r="AA2004" s="70"/>
      <c r="AB2004" s="70"/>
      <c r="AC2004" s="68"/>
      <c r="AD2004" s="71"/>
      <c r="AE2004" s="71"/>
      <c r="AF2004" s="71"/>
      <c r="AG2004" s="71"/>
      <c r="AH2004" s="71"/>
      <c r="AI2004" s="68"/>
      <c r="AJ2004" s="214">
        <v>1.2760000000000001E-4</v>
      </c>
      <c r="AK2004" s="214">
        <v>1.7219</v>
      </c>
      <c r="AL2004" s="214">
        <v>2</v>
      </c>
      <c r="AM2004" s="214">
        <v>3.76611E-4</v>
      </c>
      <c r="AN2004" s="68"/>
      <c r="AO2004" s="67"/>
      <c r="AP2004" s="67"/>
      <c r="AQ2004" s="67"/>
      <c r="AR2004" s="67"/>
      <c r="AS2004" s="67"/>
      <c r="AT2004" s="68"/>
      <c r="AU2004" s="49"/>
      <c r="AV2004" s="50"/>
    </row>
    <row r="2005" spans="1:48" ht="12.75" customHeight="1" x14ac:dyDescent="0.25">
      <c r="A2005" s="72" t="s">
        <v>20</v>
      </c>
      <c r="B2005" s="43" t="s">
        <v>1833</v>
      </c>
      <c r="C2005" s="44" t="s">
        <v>2162</v>
      </c>
      <c r="D2005" s="45">
        <f>MROUND(MID($C2005,6,3)/Basis!$E$3,0.5)</f>
        <v>25.5</v>
      </c>
      <c r="E2005" s="45">
        <f>MROUND(MID($C2005,9,3)/Basis!$E$3,0.5)</f>
        <v>71</v>
      </c>
      <c r="F2005" s="124" t="s">
        <v>2948</v>
      </c>
      <c r="G2005" s="45">
        <f>ROUND((ROUNDDOWN($F2005/5,0)*5+1.8)/Basis!$E$3,1)</f>
        <v>8.6</v>
      </c>
      <c r="H2005" s="120">
        <f>ROUND($P2005*Basis!$E$2*((TaH-TrH)/LN(1/µ)/Basis!$E$7)^$N2005*$AA$4*Glycol,0)</f>
        <v>11354</v>
      </c>
      <c r="I2005" s="83">
        <f>ROUND(H2005/(MID($C2005,9,3)/Basis!$E$3/Basis!$E$9)*Basis!$E$11,0)</f>
        <v>1923</v>
      </c>
      <c r="J2005" s="123">
        <f>IF(Basis!$E$1=1,ROUND(H2005/((TaH-TrH)*1.163)/3600,3),ROUND(H2005/(500*(TaH-TrH)),2))</f>
        <v>1.1399999999999999</v>
      </c>
      <c r="K2005" s="84"/>
      <c r="L2005" s="177">
        <f>CHOOSE(Basis!$E$1,((AJ2005*(J2005*3600/Basis!$E$5)^AK2005*(((MID(C2005,9,3)*10)-144)/1000)*AL2005+AM2005*(J2005*3600/Basis!$E$5)^2)*0.0098)/Basis!$E$10,((AJ2005*(J2005/Basis!$E$5)^AK2005*(((MID(C2005,9,3)*10)-144)/1000)*AL2005+AM2005*(J2005/Basis!$E$5)^2)*0.0098)/Basis!$E$10)</f>
        <v>0.1522258781071571</v>
      </c>
      <c r="M2005" s="85"/>
      <c r="N2005" s="109">
        <v>1.4970000000000001</v>
      </c>
      <c r="O2005" s="68"/>
      <c r="P2005" s="67">
        <v>5454</v>
      </c>
      <c r="Q2005" s="68"/>
      <c r="R2005" s="69"/>
      <c r="S2005" s="69"/>
      <c r="T2005" s="69"/>
      <c r="U2005" s="69"/>
      <c r="V2005" s="69"/>
      <c r="W2005" s="68"/>
      <c r="X2005" s="70"/>
      <c r="Y2005" s="70"/>
      <c r="Z2005" s="70"/>
      <c r="AA2005" s="70"/>
      <c r="AB2005" s="70"/>
      <c r="AC2005" s="68"/>
      <c r="AD2005" s="71"/>
      <c r="AE2005" s="71"/>
      <c r="AF2005" s="71"/>
      <c r="AG2005" s="71"/>
      <c r="AH2005" s="71"/>
      <c r="AI2005" s="68"/>
      <c r="AJ2005" s="214">
        <v>1.2760000000000001E-4</v>
      </c>
      <c r="AK2005" s="214">
        <v>1.7219</v>
      </c>
      <c r="AL2005" s="214">
        <v>4</v>
      </c>
      <c r="AM2005" s="214">
        <v>5.1420100000000005E-4</v>
      </c>
      <c r="AN2005" s="68"/>
      <c r="AO2005" s="67"/>
      <c r="AP2005" s="67"/>
      <c r="AQ2005" s="67"/>
      <c r="AR2005" s="67"/>
      <c r="AS2005" s="67"/>
      <c r="AT2005" s="68"/>
      <c r="AU2005" s="49"/>
      <c r="AV2005" s="50"/>
    </row>
    <row r="2006" spans="1:48" ht="12.75" customHeight="1" x14ac:dyDescent="0.25">
      <c r="A2006" s="72" t="s">
        <v>20</v>
      </c>
      <c r="B2006" s="43" t="s">
        <v>1833</v>
      </c>
      <c r="C2006" s="44" t="s">
        <v>2163</v>
      </c>
      <c r="D2006" s="45">
        <f>MROUND(MID($C2006,6,3)/Basis!$E$3,0.5)</f>
        <v>25.5</v>
      </c>
      <c r="E2006" s="45">
        <f>MROUND(MID($C2006,9,3)/Basis!$E$3,0.5)</f>
        <v>78.5</v>
      </c>
      <c r="F2006" s="124" t="s">
        <v>2949</v>
      </c>
      <c r="G2006" s="45">
        <f>ROUND((ROUNDDOWN($F2006/5,0)*5+3.5)/Basis!$E$3,1)</f>
        <v>3.3</v>
      </c>
      <c r="H2006" s="120">
        <f>ROUND($P2006*Basis!$E$2*((TaH-TrH)/LN(1/µ)/Basis!$E$7)^$N2006*$AA$4*Glycol,0)</f>
        <v>4659</v>
      </c>
      <c r="I2006" s="83">
        <f>ROUND(H2006/(MID($C2006,9,3)/Basis!$E$3/Basis!$E$9)*Basis!$E$11,0)</f>
        <v>710</v>
      </c>
      <c r="J2006" s="123">
        <f>IF(Basis!$E$1=1,ROUND(H2006/((TaH-TrH)*1.163)/3600,3),ROUND(H2006/(500*(TaH-TrH)),2))</f>
        <v>0.47</v>
      </c>
      <c r="K2006" s="84"/>
      <c r="L2006" s="177">
        <f>CHOOSE(Basis!$E$1,((AJ2006*(J2006*3600/Basis!$E$5)^AK2006*(((MID(C2006,9,3)*10)-144)/1000)*AL2006+AM2006*(J2006*3600/Basis!$E$5)^2)*0.0098)/Basis!$E$10,((AJ2006*(J2006/Basis!$E$5)^AK2006*(((MID(C2006,9,3)*10)-144)/1000)*AL2006+AM2006*(J2006/Basis!$E$5)^2)*0.0098)/Basis!$E$10)</f>
        <v>0.1400037689828762</v>
      </c>
      <c r="M2006" s="85"/>
      <c r="N2006" s="109">
        <v>1.35</v>
      </c>
      <c r="O2006" s="68"/>
      <c r="P2006" s="67">
        <v>2132</v>
      </c>
      <c r="Q2006" s="68"/>
      <c r="R2006" s="69"/>
      <c r="S2006" s="69"/>
      <c r="T2006" s="69"/>
      <c r="U2006" s="69"/>
      <c r="V2006" s="69"/>
      <c r="W2006" s="68"/>
      <c r="X2006" s="70"/>
      <c r="Y2006" s="70"/>
      <c r="Z2006" s="70"/>
      <c r="AA2006" s="70"/>
      <c r="AB2006" s="70"/>
      <c r="AC2006" s="68"/>
      <c r="AD2006" s="71"/>
      <c r="AE2006" s="71"/>
      <c r="AF2006" s="71"/>
      <c r="AG2006" s="71"/>
      <c r="AH2006" s="71"/>
      <c r="AI2006" s="68"/>
      <c r="AJ2006" s="214">
        <v>1.6125983042710999E-4</v>
      </c>
      <c r="AK2006" s="214">
        <v>2.1458504622376</v>
      </c>
      <c r="AL2006" s="214">
        <v>4</v>
      </c>
      <c r="AM2006" s="214">
        <v>1.3916423712342001E-3</v>
      </c>
      <c r="AN2006" s="68"/>
      <c r="AO2006" s="67"/>
      <c r="AP2006" s="67"/>
      <c r="AQ2006" s="67"/>
      <c r="AR2006" s="67"/>
      <c r="AS2006" s="67"/>
      <c r="AT2006" s="68"/>
      <c r="AU2006" s="49"/>
      <c r="AV2006" s="50"/>
    </row>
    <row r="2007" spans="1:48" ht="12.75" customHeight="1" x14ac:dyDescent="0.25">
      <c r="A2007" s="72" t="s">
        <v>20</v>
      </c>
      <c r="B2007" s="43" t="s">
        <v>1833</v>
      </c>
      <c r="C2007" s="44" t="s">
        <v>2164</v>
      </c>
      <c r="D2007" s="45">
        <f>MROUND(MID($C2007,6,3)/Basis!$E$3,0.5)</f>
        <v>25.5</v>
      </c>
      <c r="E2007" s="45">
        <f>MROUND(MID($C2007,9,3)/Basis!$E$3,0.5)</f>
        <v>78.5</v>
      </c>
      <c r="F2007" s="124" t="s">
        <v>2943</v>
      </c>
      <c r="G2007" s="45">
        <f>ROUND((ROUNDDOWN($F2007/5,0)*5+1.8)/Basis!$E$3,1)</f>
        <v>4.5999999999999996</v>
      </c>
      <c r="H2007" s="120">
        <f>ROUND($P2007*Basis!$E$2*((TaH-TrH)/LN(1/µ)/Basis!$E$7)^$N2007*$AA$4*Glycol,0)</f>
        <v>5256</v>
      </c>
      <c r="I2007" s="83">
        <f>ROUND(H2007/(MID($C2007,9,3)/Basis!$E$3/Basis!$E$9)*Basis!$E$11,0)</f>
        <v>801</v>
      </c>
      <c r="J2007" s="123">
        <f>IF(Basis!$E$1=1,ROUND(H2007/((TaH-TrH)*1.163)/3600,3),ROUND(H2007/(500*(TaH-TrH)),2))</f>
        <v>0.53</v>
      </c>
      <c r="K2007" s="84"/>
      <c r="L2007" s="177">
        <f>CHOOSE(Basis!$E$1,((AJ2007*(J2007*3600/Basis!$E$5)^AK2007*(((MID(C2007,9,3)*10)-144)/1000)*AL2007+AM2007*(J2007*3600/Basis!$E$5)^2)*0.0098)/Basis!$E$10,((AJ2007*(J2007/Basis!$E$5)^AK2007*(((MID(C2007,9,3)*10)-144)/1000)*AL2007+AM2007*(J2007/Basis!$E$5)^2)*0.0098)/Basis!$E$10)</f>
        <v>3.6979914945077824E-2</v>
      </c>
      <c r="M2007" s="85"/>
      <c r="N2007" s="110">
        <v>1.371</v>
      </c>
      <c r="O2007" s="74"/>
      <c r="P2007" s="73">
        <v>2422</v>
      </c>
      <c r="Q2007" s="74"/>
      <c r="R2007" s="75"/>
      <c r="S2007" s="75"/>
      <c r="T2007" s="75"/>
      <c r="U2007" s="75"/>
      <c r="V2007" s="75"/>
      <c r="W2007" s="74"/>
      <c r="X2007" s="76"/>
      <c r="Y2007" s="76"/>
      <c r="Z2007" s="76"/>
      <c r="AA2007" s="76"/>
      <c r="AB2007" s="76"/>
      <c r="AC2007" s="74"/>
      <c r="AD2007" s="77"/>
      <c r="AE2007" s="77"/>
      <c r="AF2007" s="77"/>
      <c r="AG2007" s="77"/>
      <c r="AH2007" s="77"/>
      <c r="AI2007" s="68"/>
      <c r="AJ2007" s="213">
        <v>3.9689999999999994E-4</v>
      </c>
      <c r="AK2007" s="213">
        <v>1.7345999999999999</v>
      </c>
      <c r="AL2007" s="213">
        <v>2</v>
      </c>
      <c r="AM2007" s="213">
        <v>3.6734700000000002E-4</v>
      </c>
      <c r="AN2007" s="74"/>
      <c r="AO2007" s="73"/>
      <c r="AP2007" s="73"/>
      <c r="AQ2007" s="73"/>
      <c r="AR2007" s="73"/>
      <c r="AS2007" s="73"/>
      <c r="AT2007" s="74"/>
      <c r="AU2007" s="47"/>
      <c r="AV2007" s="48"/>
    </row>
    <row r="2008" spans="1:48" ht="12.75" customHeight="1" x14ac:dyDescent="0.25">
      <c r="A2008" s="72" t="s">
        <v>20</v>
      </c>
      <c r="B2008" s="43" t="s">
        <v>1833</v>
      </c>
      <c r="C2008" s="44" t="s">
        <v>2165</v>
      </c>
      <c r="D2008" s="45">
        <f>MROUND(MID($C2008,6,3)/Basis!$E$3,0.5)</f>
        <v>25.5</v>
      </c>
      <c r="E2008" s="45">
        <f>MROUND(MID($C2008,9,3)/Basis!$E$3,0.5)</f>
        <v>78.5</v>
      </c>
      <c r="F2008" s="124" t="s">
        <v>2946</v>
      </c>
      <c r="G2008" s="45">
        <f>ROUND((ROUNDDOWN($F2008/5,0)*5+1.8)/Basis!$E$3,1)</f>
        <v>4.5999999999999996</v>
      </c>
      <c r="H2008" s="120">
        <f>ROUND($P2008*Basis!$E$2*((TaH-TrH)/LN(1/µ)/Basis!$E$7)^$N2008*$AA$4*Glycol,0)</f>
        <v>6553</v>
      </c>
      <c r="I2008" s="83">
        <f>ROUND(H2008/(MID($C2008,9,3)/Basis!$E$3/Basis!$E$9)*Basis!$E$11,0)</f>
        <v>999</v>
      </c>
      <c r="J2008" s="123">
        <f>IF(Basis!$E$1=1,ROUND(H2008/((TaH-TrH)*1.163)/3600,3),ROUND(H2008/(500*(TaH-TrH)),2))</f>
        <v>0.66</v>
      </c>
      <c r="K2008" s="84"/>
      <c r="L2008" s="177">
        <f>CHOOSE(Basis!$E$1,((AJ2008*(J2008*3600/Basis!$E$5)^AK2008*(((MID(C2008,9,3)*10)-144)/1000)*AL2008+AM2008*(J2008*3600/Basis!$E$5)^2)*0.0098)/Basis!$E$10,((AJ2008*(J2008/Basis!$E$5)^AK2008*(((MID(C2008,9,3)*10)-144)/1000)*AL2008+AM2008*(J2008/Basis!$E$5)^2)*0.0098)/Basis!$E$10)</f>
        <v>9.9472603399971521E-2</v>
      </c>
      <c r="M2008" s="85"/>
      <c r="N2008" s="110">
        <v>1.4370000000000001</v>
      </c>
      <c r="O2008" s="74"/>
      <c r="P2008" s="73">
        <v>3086</v>
      </c>
      <c r="Q2008" s="74"/>
      <c r="R2008" s="75"/>
      <c r="S2008" s="75"/>
      <c r="T2008" s="75"/>
      <c r="U2008" s="75"/>
      <c r="V2008" s="75"/>
      <c r="W2008" s="74"/>
      <c r="X2008" s="76"/>
      <c r="Y2008" s="76"/>
      <c r="Z2008" s="76"/>
      <c r="AA2008" s="76"/>
      <c r="AB2008" s="76"/>
      <c r="AC2008" s="74"/>
      <c r="AD2008" s="77"/>
      <c r="AE2008" s="77"/>
      <c r="AF2008" s="77"/>
      <c r="AG2008" s="77"/>
      <c r="AH2008" s="77"/>
      <c r="AI2008" s="68"/>
      <c r="AJ2008" s="213">
        <v>3.9689999999999994E-4</v>
      </c>
      <c r="AK2008" s="213">
        <v>1.7345999999999999</v>
      </c>
      <c r="AL2008" s="213">
        <v>4</v>
      </c>
      <c r="AM2008" s="213">
        <v>5.7428799999999995E-4</v>
      </c>
      <c r="AN2008" s="74"/>
      <c r="AO2008" s="73"/>
      <c r="AP2008" s="73"/>
      <c r="AQ2008" s="73"/>
      <c r="AR2008" s="73"/>
      <c r="AS2008" s="73"/>
      <c r="AT2008" s="74"/>
      <c r="AU2008" s="47"/>
      <c r="AV2008" s="48"/>
    </row>
    <row r="2009" spans="1:48" ht="12.75" customHeight="1" x14ac:dyDescent="0.25">
      <c r="A2009" s="72" t="s">
        <v>20</v>
      </c>
      <c r="B2009" s="43" t="s">
        <v>1833</v>
      </c>
      <c r="C2009" s="44" t="s">
        <v>2166</v>
      </c>
      <c r="D2009" s="45">
        <f>MROUND(MID($C2009,6,3)/Basis!$E$3,0.5)</f>
        <v>25.5</v>
      </c>
      <c r="E2009" s="45">
        <f>MROUND(MID($C2009,9,3)/Basis!$E$3,0.5)</f>
        <v>78.5</v>
      </c>
      <c r="F2009" s="124" t="s">
        <v>2944</v>
      </c>
      <c r="G2009" s="45">
        <f>ROUND((ROUNDDOWN($F2009/5,0)*5+1.8)/Basis!$E$3,1)</f>
        <v>6.6</v>
      </c>
      <c r="H2009" s="120">
        <f>ROUND($P2009*Basis!$E$2*((TaH-TrH)/LN(1/µ)/Basis!$E$7)^$N2009*$AA$4*Glycol,0)</f>
        <v>8387</v>
      </c>
      <c r="I2009" s="83">
        <f>ROUND(H2009/(MID($C2009,9,3)/Basis!$E$3/Basis!$E$9)*Basis!$E$11,0)</f>
        <v>1278</v>
      </c>
      <c r="J2009" s="123">
        <f>IF(Basis!$E$1=1,ROUND(H2009/((TaH-TrH)*1.163)/3600,3),ROUND(H2009/(500*(TaH-TrH)),2))</f>
        <v>0.84</v>
      </c>
      <c r="K2009" s="84"/>
      <c r="L2009" s="177">
        <f>CHOOSE(Basis!$E$1,((AJ2009*(J2009*3600/Basis!$E$5)^AK2009*(((MID(C2009,9,3)*10)-144)/1000)*AL2009+AM2009*(J2009*3600/Basis!$E$5)^2)*0.0098)/Basis!$E$10,((AJ2009*(J2009/Basis!$E$5)^AK2009*(((MID(C2009,9,3)*10)-144)/1000)*AL2009+AM2009*(J2009/Basis!$E$5)^2)*0.0098)/Basis!$E$10)</f>
        <v>7.6564598906654652E-2</v>
      </c>
      <c r="M2009" s="85"/>
      <c r="N2009" s="110">
        <v>1.355</v>
      </c>
      <c r="O2009" s="74"/>
      <c r="P2009" s="73">
        <v>3844</v>
      </c>
      <c r="Q2009" s="74"/>
      <c r="R2009" s="75"/>
      <c r="S2009" s="75"/>
      <c r="T2009" s="75"/>
      <c r="U2009" s="75"/>
      <c r="V2009" s="75"/>
      <c r="W2009" s="74"/>
      <c r="X2009" s="76"/>
      <c r="Y2009" s="76"/>
      <c r="Z2009" s="76"/>
      <c r="AA2009" s="76"/>
      <c r="AB2009" s="76"/>
      <c r="AC2009" s="74"/>
      <c r="AD2009" s="77"/>
      <c r="AE2009" s="77"/>
      <c r="AF2009" s="77"/>
      <c r="AG2009" s="77"/>
      <c r="AH2009" s="77"/>
      <c r="AI2009" s="68"/>
      <c r="AJ2009" s="213">
        <v>2.0829999999999999E-4</v>
      </c>
      <c r="AK2009" s="213">
        <v>1.724</v>
      </c>
      <c r="AL2009" s="213">
        <v>2</v>
      </c>
      <c r="AM2009" s="213">
        <v>4.6182900000000003E-4</v>
      </c>
      <c r="AN2009" s="74"/>
      <c r="AO2009" s="73"/>
      <c r="AP2009" s="73"/>
      <c r="AQ2009" s="73"/>
      <c r="AR2009" s="73"/>
      <c r="AS2009" s="73"/>
      <c r="AT2009" s="74"/>
      <c r="AU2009" s="47"/>
      <c r="AV2009" s="48"/>
    </row>
    <row r="2010" spans="1:48" ht="12.75" customHeight="1" x14ac:dyDescent="0.25">
      <c r="A2010" s="72" t="s">
        <v>20</v>
      </c>
      <c r="B2010" s="43" t="s">
        <v>1833</v>
      </c>
      <c r="C2010" s="44" t="s">
        <v>2167</v>
      </c>
      <c r="D2010" s="45">
        <f>MROUND(MID($C2010,6,3)/Basis!$E$3,0.5)</f>
        <v>25.5</v>
      </c>
      <c r="E2010" s="45">
        <f>MROUND(MID($C2010,9,3)/Basis!$E$3,0.5)</f>
        <v>78.5</v>
      </c>
      <c r="F2010" s="124" t="s">
        <v>2947</v>
      </c>
      <c r="G2010" s="45">
        <f>ROUND((ROUNDDOWN($F2010/5,0)*5+1.8)/Basis!$E$3,1)</f>
        <v>6.6</v>
      </c>
      <c r="H2010" s="120">
        <f>ROUND($P2010*Basis!$E$2*((TaH-TrH)/LN(1/µ)/Basis!$E$7)^$N2010*$AA$4*Glycol,0)</f>
        <v>9129</v>
      </c>
      <c r="I2010" s="83">
        <f>ROUND(H2010/(MID($C2010,9,3)/Basis!$E$3/Basis!$E$9)*Basis!$E$11,0)</f>
        <v>1391</v>
      </c>
      <c r="J2010" s="123">
        <f>IF(Basis!$E$1=1,ROUND(H2010/((TaH-TrH)*1.163)/3600,3),ROUND(H2010/(500*(TaH-TrH)),2))</f>
        <v>0.91</v>
      </c>
      <c r="K2010" s="84"/>
      <c r="L2010" s="177">
        <f>CHOOSE(Basis!$E$1,((AJ2010*(J2010*3600/Basis!$E$5)^AK2010*(((MID(C2010,9,3)*10)-144)/1000)*AL2010+AM2010*(J2010*3600/Basis!$E$5)^2)*0.0098)/Basis!$E$10,((AJ2010*(J2010/Basis!$E$5)^AK2010*(((MID(C2010,9,3)*10)-144)/1000)*AL2010+AM2010*(J2010/Basis!$E$5)^2)*0.0098)/Basis!$E$10)</f>
        <v>0.24413348244418773</v>
      </c>
      <c r="M2010" s="85"/>
      <c r="N2010" s="110">
        <v>1.47</v>
      </c>
      <c r="O2010" s="74"/>
      <c r="P2010" s="73">
        <v>4346</v>
      </c>
      <c r="Q2010" s="74"/>
      <c r="R2010" s="75"/>
      <c r="S2010" s="75"/>
      <c r="T2010" s="75"/>
      <c r="U2010" s="75"/>
      <c r="V2010" s="75"/>
      <c r="W2010" s="74"/>
      <c r="X2010" s="76"/>
      <c r="Y2010" s="76"/>
      <c r="Z2010" s="76"/>
      <c r="AA2010" s="76"/>
      <c r="AB2010" s="76"/>
      <c r="AC2010" s="74"/>
      <c r="AD2010" s="77"/>
      <c r="AE2010" s="77"/>
      <c r="AF2010" s="77"/>
      <c r="AG2010" s="77"/>
      <c r="AH2010" s="77"/>
      <c r="AI2010" s="68"/>
      <c r="AJ2010" s="213">
        <v>2.0829999999999999E-4</v>
      </c>
      <c r="AK2010" s="213">
        <v>1.724</v>
      </c>
      <c r="AL2010" s="213">
        <v>4</v>
      </c>
      <c r="AM2010" s="213">
        <v>1.392796E-3</v>
      </c>
      <c r="AN2010" s="74"/>
      <c r="AO2010" s="73"/>
      <c r="AP2010" s="73"/>
      <c r="AQ2010" s="73"/>
      <c r="AR2010" s="73"/>
      <c r="AS2010" s="73"/>
      <c r="AT2010" s="74"/>
      <c r="AU2010" s="47"/>
      <c r="AV2010" s="48"/>
    </row>
    <row r="2011" spans="1:48" ht="12.75" customHeight="1" x14ac:dyDescent="0.25">
      <c r="A2011" s="72" t="s">
        <v>20</v>
      </c>
      <c r="B2011" s="43" t="s">
        <v>1833</v>
      </c>
      <c r="C2011" s="44" t="s">
        <v>2168</v>
      </c>
      <c r="D2011" s="45">
        <f>MROUND(MID($C2011,6,3)/Basis!$E$3,0.5)</f>
        <v>25.5</v>
      </c>
      <c r="E2011" s="45">
        <f>MROUND(MID($C2011,9,3)/Basis!$E$3,0.5)</f>
        <v>78.5</v>
      </c>
      <c r="F2011" s="124" t="s">
        <v>2945</v>
      </c>
      <c r="G2011" s="45">
        <f>ROUND((ROUNDDOWN($F2011/5,0)*5+1.8)/Basis!$E$3,1)</f>
        <v>8.6</v>
      </c>
      <c r="H2011" s="120">
        <f>ROUND($P2011*Basis!$E$2*((TaH-TrH)/LN(1/µ)/Basis!$E$7)^$N2011*$AA$4*Glycol,0)</f>
        <v>11716</v>
      </c>
      <c r="I2011" s="83">
        <f>ROUND(H2011/(MID($C2011,9,3)/Basis!$E$3/Basis!$E$9)*Basis!$E$11,0)</f>
        <v>1786</v>
      </c>
      <c r="J2011" s="123">
        <f>IF(Basis!$E$1=1,ROUND(H2011/((TaH-TrH)*1.163)/3600,3),ROUND(H2011/(500*(TaH-TrH)),2))</f>
        <v>1.17</v>
      </c>
      <c r="K2011" s="84"/>
      <c r="L2011" s="177">
        <f>CHOOSE(Basis!$E$1,((AJ2011*(J2011*3600/Basis!$E$5)^AK2011*(((MID(C2011,9,3)*10)-144)/1000)*AL2011+AM2011*(J2011*3600/Basis!$E$5)^2)*0.0098)/Basis!$E$10,((AJ2011*(J2011/Basis!$E$5)^AK2011*(((MID(C2011,9,3)*10)-144)/1000)*AL2011+AM2011*(J2011/Basis!$E$5)^2)*0.0098)/Basis!$E$10)</f>
        <v>0.11011096297988003</v>
      </c>
      <c r="M2011" s="85"/>
      <c r="N2011" s="110">
        <v>1.355</v>
      </c>
      <c r="O2011" s="74"/>
      <c r="P2011" s="73">
        <v>5370</v>
      </c>
      <c r="Q2011" s="74"/>
      <c r="R2011" s="75"/>
      <c r="S2011" s="75"/>
      <c r="T2011" s="75"/>
      <c r="U2011" s="75"/>
      <c r="V2011" s="75"/>
      <c r="W2011" s="74"/>
      <c r="X2011" s="76"/>
      <c r="Y2011" s="76"/>
      <c r="Z2011" s="76"/>
      <c r="AA2011" s="76"/>
      <c r="AB2011" s="76"/>
      <c r="AC2011" s="74"/>
      <c r="AD2011" s="77"/>
      <c r="AE2011" s="77"/>
      <c r="AF2011" s="77"/>
      <c r="AG2011" s="77"/>
      <c r="AH2011" s="77"/>
      <c r="AI2011" s="68"/>
      <c r="AJ2011" s="214">
        <v>1.2760000000000001E-4</v>
      </c>
      <c r="AK2011" s="214">
        <v>1.7219</v>
      </c>
      <c r="AL2011" s="214">
        <v>2</v>
      </c>
      <c r="AM2011" s="214">
        <v>3.76611E-4</v>
      </c>
      <c r="AN2011" s="74"/>
      <c r="AO2011" s="73"/>
      <c r="AP2011" s="73"/>
      <c r="AQ2011" s="73"/>
      <c r="AR2011" s="73"/>
      <c r="AS2011" s="73"/>
      <c r="AT2011" s="74"/>
      <c r="AU2011" s="47"/>
      <c r="AV2011" s="48"/>
    </row>
    <row r="2012" spans="1:48" ht="12.75" customHeight="1" x14ac:dyDescent="0.25">
      <c r="A2012" s="72" t="s">
        <v>20</v>
      </c>
      <c r="B2012" s="43" t="s">
        <v>1833</v>
      </c>
      <c r="C2012" s="44" t="s">
        <v>2169</v>
      </c>
      <c r="D2012" s="45">
        <f>MROUND(MID($C2012,6,3)/Basis!$E$3,0.5)</f>
        <v>25.5</v>
      </c>
      <c r="E2012" s="45">
        <f>MROUND(MID($C2012,9,3)/Basis!$E$3,0.5)</f>
        <v>78.5</v>
      </c>
      <c r="F2012" s="124" t="s">
        <v>2948</v>
      </c>
      <c r="G2012" s="45">
        <f>ROUND((ROUNDDOWN($F2012/5,0)*5+1.8)/Basis!$E$3,1)</f>
        <v>8.6</v>
      </c>
      <c r="H2012" s="120">
        <f>ROUND($P2012*Basis!$E$2*((TaH-TrH)/LN(1/µ)/Basis!$E$7)^$N2012*$AA$4*Glycol,0)</f>
        <v>12616</v>
      </c>
      <c r="I2012" s="83">
        <f>ROUND(H2012/(MID($C2012,9,3)/Basis!$E$3/Basis!$E$9)*Basis!$E$11,0)</f>
        <v>1923</v>
      </c>
      <c r="J2012" s="123">
        <f>IF(Basis!$E$1=1,ROUND(H2012/((TaH-TrH)*1.163)/3600,3),ROUND(H2012/(500*(TaH-TrH)),2))</f>
        <v>1.26</v>
      </c>
      <c r="K2012" s="84"/>
      <c r="L2012" s="177">
        <f>CHOOSE(Basis!$E$1,((AJ2012*(J2012*3600/Basis!$E$5)^AK2012*(((MID(C2012,9,3)*10)-144)/1000)*AL2012+AM2012*(J2012*3600/Basis!$E$5)^2)*0.0098)/Basis!$E$10,((AJ2012*(J2012/Basis!$E$5)^AK2012*(((MID(C2012,9,3)*10)-144)/1000)*AL2012+AM2012*(J2012/Basis!$E$5)^2)*0.0098)/Basis!$E$10)</f>
        <v>0.1903045884768137</v>
      </c>
      <c r="M2012" s="85"/>
      <c r="N2012" s="110">
        <v>1.4970000000000001</v>
      </c>
      <c r="O2012" s="74"/>
      <c r="P2012" s="73">
        <v>6060</v>
      </c>
      <c r="Q2012" s="74"/>
      <c r="R2012" s="75"/>
      <c r="S2012" s="75"/>
      <c r="T2012" s="75"/>
      <c r="U2012" s="75"/>
      <c r="V2012" s="75"/>
      <c r="W2012" s="74"/>
      <c r="X2012" s="76"/>
      <c r="Y2012" s="76"/>
      <c r="Z2012" s="76"/>
      <c r="AA2012" s="76"/>
      <c r="AB2012" s="76"/>
      <c r="AC2012" s="74"/>
      <c r="AD2012" s="77"/>
      <c r="AE2012" s="77"/>
      <c r="AF2012" s="77"/>
      <c r="AG2012" s="77"/>
      <c r="AH2012" s="77"/>
      <c r="AI2012" s="68"/>
      <c r="AJ2012" s="213">
        <v>1.2760000000000001E-4</v>
      </c>
      <c r="AK2012" s="213">
        <v>1.7219</v>
      </c>
      <c r="AL2012" s="213">
        <v>4</v>
      </c>
      <c r="AM2012" s="213">
        <v>5.1420100000000005E-4</v>
      </c>
      <c r="AN2012" s="74"/>
      <c r="AO2012" s="73"/>
      <c r="AP2012" s="73"/>
      <c r="AQ2012" s="73"/>
      <c r="AR2012" s="73"/>
      <c r="AS2012" s="73"/>
      <c r="AT2012" s="74"/>
      <c r="AU2012" s="47"/>
      <c r="AV2012" s="48"/>
    </row>
    <row r="2013" spans="1:48" ht="12.75" customHeight="1" x14ac:dyDescent="0.25">
      <c r="A2013" s="72" t="s">
        <v>20</v>
      </c>
      <c r="B2013" s="43" t="s">
        <v>1833</v>
      </c>
      <c r="C2013" s="44" t="s">
        <v>2170</v>
      </c>
      <c r="D2013" s="45">
        <f>MROUND(MID($C2013,6,3)/Basis!$E$3,0.5)</f>
        <v>25.5</v>
      </c>
      <c r="E2013" s="45">
        <f>MROUND(MID($C2013,9,3)/Basis!$E$3,0.5)</f>
        <v>94.5</v>
      </c>
      <c r="F2013" s="124" t="s">
        <v>2949</v>
      </c>
      <c r="G2013" s="45">
        <f>ROUND((ROUNDDOWN($F2013/5,0)*5+3.5)/Basis!$E$3,1)</f>
        <v>3.3</v>
      </c>
      <c r="H2013" s="120">
        <f>ROUND($P2013*Basis!$E$2*((TaH-TrH)/LN(1/µ)/Basis!$E$7)^$N2013*$AA$4*Glycol,0)</f>
        <v>5590</v>
      </c>
      <c r="I2013" s="83">
        <f>ROUND(H2013/(MID($C2013,9,3)/Basis!$E$3/Basis!$E$9)*Basis!$E$11,0)</f>
        <v>710</v>
      </c>
      <c r="J2013" s="123">
        <f>IF(Basis!$E$1=1,ROUND(H2013/((TaH-TrH)*1.163)/3600,3),ROUND(H2013/(500*(TaH-TrH)),2))</f>
        <v>0.56000000000000005</v>
      </c>
      <c r="K2013" s="84"/>
      <c r="L2013" s="177">
        <f>CHOOSE(Basis!$E$1,((AJ2013*(J2013*3600/Basis!$E$5)^AK2013*(((MID(C2013,9,3)*10)-144)/1000)*AL2013+AM2013*(J2013*3600/Basis!$E$5)^2)*0.0098)/Basis!$E$10,((AJ2013*(J2013/Basis!$E$5)^AK2013*(((MID(C2013,9,3)*10)-144)/1000)*AL2013+AM2013*(J2013/Basis!$E$5)^2)*0.0098)/Basis!$E$10)</f>
        <v>0.22966404468334845</v>
      </c>
      <c r="M2013" s="85"/>
      <c r="N2013" s="110">
        <v>1.35</v>
      </c>
      <c r="O2013" s="74"/>
      <c r="P2013" s="73">
        <v>2558</v>
      </c>
      <c r="Q2013" s="74"/>
      <c r="R2013" s="75"/>
      <c r="S2013" s="75"/>
      <c r="T2013" s="75"/>
      <c r="U2013" s="75"/>
      <c r="V2013" s="75"/>
      <c r="W2013" s="74"/>
      <c r="X2013" s="76"/>
      <c r="Y2013" s="76"/>
      <c r="Z2013" s="76"/>
      <c r="AA2013" s="76"/>
      <c r="AB2013" s="76"/>
      <c r="AC2013" s="74"/>
      <c r="AD2013" s="77"/>
      <c r="AE2013" s="77"/>
      <c r="AF2013" s="77"/>
      <c r="AG2013" s="77"/>
      <c r="AH2013" s="77"/>
      <c r="AI2013" s="68"/>
      <c r="AJ2013" s="213">
        <v>1.6125983042710999E-4</v>
      </c>
      <c r="AK2013" s="213">
        <v>2.1458504622376</v>
      </c>
      <c r="AL2013" s="213">
        <v>4</v>
      </c>
      <c r="AM2013" s="213">
        <v>1.3916423712342001E-3</v>
      </c>
      <c r="AN2013" s="74"/>
      <c r="AO2013" s="73"/>
      <c r="AP2013" s="73"/>
      <c r="AQ2013" s="73"/>
      <c r="AR2013" s="73"/>
      <c r="AS2013" s="73"/>
      <c r="AT2013" s="74"/>
      <c r="AU2013" s="47"/>
      <c r="AV2013" s="48"/>
    </row>
    <row r="2014" spans="1:48" ht="12.75" customHeight="1" x14ac:dyDescent="0.25">
      <c r="A2014" s="72" t="s">
        <v>20</v>
      </c>
      <c r="B2014" s="43" t="s">
        <v>1833</v>
      </c>
      <c r="C2014" s="44" t="s">
        <v>2171</v>
      </c>
      <c r="D2014" s="45">
        <f>MROUND(MID($C2014,6,3)/Basis!$E$3,0.5)</f>
        <v>25.5</v>
      </c>
      <c r="E2014" s="45">
        <f>MROUND(MID($C2014,9,3)/Basis!$E$3,0.5)</f>
        <v>94.5</v>
      </c>
      <c r="F2014" s="124" t="s">
        <v>2943</v>
      </c>
      <c r="G2014" s="45">
        <f>ROUND((ROUNDDOWN($F2014/5,0)*5+1.8)/Basis!$E$3,1)</f>
        <v>4.5999999999999996</v>
      </c>
      <c r="H2014" s="120">
        <f>ROUND($P2014*Basis!$E$2*((TaH-TrH)/LN(1/µ)/Basis!$E$7)^$N2014*$AA$4*Glycol,0)</f>
        <v>6307</v>
      </c>
      <c r="I2014" s="83">
        <f>ROUND(H2014/(MID($C2014,9,3)/Basis!$E$3/Basis!$E$9)*Basis!$E$11,0)</f>
        <v>801</v>
      </c>
      <c r="J2014" s="123">
        <f>IF(Basis!$E$1=1,ROUND(H2014/((TaH-TrH)*1.163)/3600,3),ROUND(H2014/(500*(TaH-TrH)),2))</f>
        <v>0.63</v>
      </c>
      <c r="K2014" s="84"/>
      <c r="L2014" s="177">
        <f>CHOOSE(Basis!$E$1,((AJ2014*(J2014*3600/Basis!$E$5)^AK2014*(((MID(C2014,9,3)*10)-144)/1000)*AL2014+AM2014*(J2014*3600/Basis!$E$5)^2)*0.0098)/Basis!$E$10,((AJ2014*(J2014/Basis!$E$5)^AK2014*(((MID(C2014,9,3)*10)-144)/1000)*AL2014+AM2014*(J2014/Basis!$E$5)^2)*0.0098)/Basis!$E$10)</f>
        <v>5.6704673999981269E-2</v>
      </c>
      <c r="M2014" s="85"/>
      <c r="N2014" s="109">
        <v>1.371</v>
      </c>
      <c r="O2014" s="68"/>
      <c r="P2014" s="67">
        <v>2906</v>
      </c>
      <c r="Q2014" s="68"/>
      <c r="R2014" s="69"/>
      <c r="S2014" s="69"/>
      <c r="T2014" s="69"/>
      <c r="U2014" s="69"/>
      <c r="V2014" s="69"/>
      <c r="W2014" s="68"/>
      <c r="X2014" s="70"/>
      <c r="Y2014" s="70"/>
      <c r="Z2014" s="70"/>
      <c r="AA2014" s="70"/>
      <c r="AB2014" s="70"/>
      <c r="AC2014" s="68"/>
      <c r="AD2014" s="71"/>
      <c r="AE2014" s="71"/>
      <c r="AF2014" s="71"/>
      <c r="AG2014" s="71"/>
      <c r="AH2014" s="71"/>
      <c r="AI2014" s="68"/>
      <c r="AJ2014" s="214">
        <v>3.9689999999999994E-4</v>
      </c>
      <c r="AK2014" s="214">
        <v>1.7345999999999999</v>
      </c>
      <c r="AL2014" s="214">
        <v>2</v>
      </c>
      <c r="AM2014" s="214">
        <v>3.6734700000000002E-4</v>
      </c>
      <c r="AN2014" s="68"/>
      <c r="AO2014" s="67"/>
      <c r="AP2014" s="67"/>
      <c r="AQ2014" s="67"/>
      <c r="AR2014" s="67"/>
      <c r="AS2014" s="67"/>
      <c r="AT2014" s="68"/>
      <c r="AU2014" s="49"/>
      <c r="AV2014" s="50"/>
    </row>
    <row r="2015" spans="1:48" ht="12.75" customHeight="1" x14ac:dyDescent="0.25">
      <c r="A2015" s="72" t="s">
        <v>20</v>
      </c>
      <c r="B2015" s="43" t="s">
        <v>1833</v>
      </c>
      <c r="C2015" s="44" t="s">
        <v>2172</v>
      </c>
      <c r="D2015" s="45">
        <f>MROUND(MID($C2015,6,3)/Basis!$E$3,0.5)</f>
        <v>25.5</v>
      </c>
      <c r="E2015" s="45">
        <f>MROUND(MID($C2015,9,3)/Basis!$E$3,0.5)</f>
        <v>94.5</v>
      </c>
      <c r="F2015" s="124" t="s">
        <v>2946</v>
      </c>
      <c r="G2015" s="45">
        <f>ROUND((ROUNDDOWN($F2015/5,0)*5+1.8)/Basis!$E$3,1)</f>
        <v>4.5999999999999996</v>
      </c>
      <c r="H2015" s="120">
        <f>ROUND($P2015*Basis!$E$2*((TaH-TrH)/LN(1/µ)/Basis!$E$7)^$N2015*$AA$4*Glycol,0)</f>
        <v>7863</v>
      </c>
      <c r="I2015" s="83">
        <f>ROUND(H2015/(MID($C2015,9,3)/Basis!$E$3/Basis!$E$9)*Basis!$E$11,0)</f>
        <v>999</v>
      </c>
      <c r="J2015" s="123">
        <f>IF(Basis!$E$1=1,ROUND(H2015/((TaH-TrH)*1.163)/3600,3),ROUND(H2015/(500*(TaH-TrH)),2))</f>
        <v>0.79</v>
      </c>
      <c r="K2015" s="84"/>
      <c r="L2015" s="177">
        <f>CHOOSE(Basis!$E$1,((AJ2015*(J2015*3600/Basis!$E$5)^AK2015*(((MID(C2015,9,3)*10)-144)/1000)*AL2015+AM2015*(J2015*3600/Basis!$E$5)^2)*0.0098)/Basis!$E$10,((AJ2015*(J2015/Basis!$E$5)^AK2015*(((MID(C2015,9,3)*10)-144)/1000)*AL2015+AM2015*(J2015/Basis!$E$5)^2)*0.0098)/Basis!$E$10)</f>
        <v>0.15555629297395551</v>
      </c>
      <c r="M2015" s="85"/>
      <c r="N2015" s="109">
        <v>1.4370000000000001</v>
      </c>
      <c r="O2015" s="68"/>
      <c r="P2015" s="67">
        <v>3703</v>
      </c>
      <c r="Q2015" s="68"/>
      <c r="R2015" s="69"/>
      <c r="S2015" s="69"/>
      <c r="T2015" s="69"/>
      <c r="U2015" s="69"/>
      <c r="V2015" s="69"/>
      <c r="W2015" s="68"/>
      <c r="X2015" s="70"/>
      <c r="Y2015" s="70"/>
      <c r="Z2015" s="70"/>
      <c r="AA2015" s="70"/>
      <c r="AB2015" s="70"/>
      <c r="AC2015" s="68"/>
      <c r="AD2015" s="71"/>
      <c r="AE2015" s="71"/>
      <c r="AF2015" s="71"/>
      <c r="AG2015" s="71"/>
      <c r="AH2015" s="71"/>
      <c r="AI2015" s="68"/>
      <c r="AJ2015" s="214">
        <v>3.9689999999999994E-4</v>
      </c>
      <c r="AK2015" s="214">
        <v>1.7345999999999999</v>
      </c>
      <c r="AL2015" s="214">
        <v>4</v>
      </c>
      <c r="AM2015" s="214">
        <v>5.7428799999999995E-4</v>
      </c>
      <c r="AN2015" s="68"/>
      <c r="AO2015" s="67"/>
      <c r="AP2015" s="67"/>
      <c r="AQ2015" s="67"/>
      <c r="AR2015" s="67"/>
      <c r="AS2015" s="67"/>
      <c r="AT2015" s="68"/>
      <c r="AU2015" s="49"/>
      <c r="AV2015" s="50"/>
    </row>
    <row r="2016" spans="1:48" ht="12.75" customHeight="1" x14ac:dyDescent="0.25">
      <c r="A2016" s="72" t="s">
        <v>20</v>
      </c>
      <c r="B2016" s="43" t="s">
        <v>1833</v>
      </c>
      <c r="C2016" s="44" t="s">
        <v>2173</v>
      </c>
      <c r="D2016" s="45">
        <f>MROUND(MID($C2016,6,3)/Basis!$E$3,0.5)</f>
        <v>25.5</v>
      </c>
      <c r="E2016" s="45">
        <f>MROUND(MID($C2016,9,3)/Basis!$E$3,0.5)</f>
        <v>94.5</v>
      </c>
      <c r="F2016" s="124" t="s">
        <v>2944</v>
      </c>
      <c r="G2016" s="45">
        <f>ROUND((ROUNDDOWN($F2016/5,0)*5+1.8)/Basis!$E$3,1)</f>
        <v>6.6</v>
      </c>
      <c r="H2016" s="120">
        <f>ROUND($P2016*Basis!$E$2*((TaH-TrH)/LN(1/µ)/Basis!$E$7)^$N2016*$AA$4*Glycol,0)</f>
        <v>10064</v>
      </c>
      <c r="I2016" s="83">
        <f>ROUND(H2016/(MID($C2016,9,3)/Basis!$E$3/Basis!$E$9)*Basis!$E$11,0)</f>
        <v>1278</v>
      </c>
      <c r="J2016" s="123">
        <f>IF(Basis!$E$1=1,ROUND(H2016/((TaH-TrH)*1.163)/3600,3),ROUND(H2016/(500*(TaH-TrH)),2))</f>
        <v>1.01</v>
      </c>
      <c r="K2016" s="84"/>
      <c r="L2016" s="177">
        <f>CHOOSE(Basis!$E$1,((AJ2016*(J2016*3600/Basis!$E$5)^AK2016*(((MID(C2016,9,3)*10)-144)/1000)*AL2016+AM2016*(J2016*3600/Basis!$E$5)^2)*0.0098)/Basis!$E$10,((AJ2016*(J2016/Basis!$E$5)^AK2016*(((MID(C2016,9,3)*10)-144)/1000)*AL2016+AM2016*(J2016/Basis!$E$5)^2)*0.0098)/Basis!$E$10)</f>
        <v>0.11553865978868166</v>
      </c>
      <c r="M2016" s="85"/>
      <c r="N2016" s="109">
        <v>1.355</v>
      </c>
      <c r="O2016" s="68"/>
      <c r="P2016" s="67">
        <v>4613</v>
      </c>
      <c r="Q2016" s="68"/>
      <c r="R2016" s="69"/>
      <c r="S2016" s="69"/>
      <c r="T2016" s="69"/>
      <c r="U2016" s="69"/>
      <c r="V2016" s="69"/>
      <c r="W2016" s="68"/>
      <c r="X2016" s="70"/>
      <c r="Y2016" s="70"/>
      <c r="Z2016" s="70"/>
      <c r="AA2016" s="70"/>
      <c r="AB2016" s="70"/>
      <c r="AC2016" s="68"/>
      <c r="AD2016" s="71"/>
      <c r="AE2016" s="71"/>
      <c r="AF2016" s="71"/>
      <c r="AG2016" s="71"/>
      <c r="AH2016" s="71"/>
      <c r="AI2016" s="68"/>
      <c r="AJ2016" s="214">
        <v>2.0829999999999999E-4</v>
      </c>
      <c r="AK2016" s="214">
        <v>1.724</v>
      </c>
      <c r="AL2016" s="214">
        <v>2</v>
      </c>
      <c r="AM2016" s="214">
        <v>4.6182900000000003E-4</v>
      </c>
      <c r="AN2016" s="68"/>
      <c r="AO2016" s="67"/>
      <c r="AP2016" s="67"/>
      <c r="AQ2016" s="67"/>
      <c r="AR2016" s="67"/>
      <c r="AS2016" s="67"/>
      <c r="AT2016" s="68"/>
      <c r="AU2016" s="49"/>
      <c r="AV2016" s="50"/>
    </row>
    <row r="2017" spans="1:48" ht="12.75" customHeight="1" x14ac:dyDescent="0.25">
      <c r="A2017" s="72" t="s">
        <v>20</v>
      </c>
      <c r="B2017" s="43" t="s">
        <v>1833</v>
      </c>
      <c r="C2017" s="44" t="s">
        <v>2174</v>
      </c>
      <c r="D2017" s="45">
        <f>MROUND(MID($C2017,6,3)/Basis!$E$3,0.5)</f>
        <v>25.5</v>
      </c>
      <c r="E2017" s="45">
        <f>MROUND(MID($C2017,9,3)/Basis!$E$3,0.5)</f>
        <v>94.5</v>
      </c>
      <c r="F2017" s="124" t="s">
        <v>2947</v>
      </c>
      <c r="G2017" s="45">
        <f>ROUND((ROUNDDOWN($F2017/5,0)*5+1.8)/Basis!$E$3,1)</f>
        <v>6.6</v>
      </c>
      <c r="H2017" s="120">
        <f>ROUND($P2017*Basis!$E$2*((TaH-TrH)/LN(1/µ)/Basis!$E$7)^$N2017*$AA$4*Glycol,0)</f>
        <v>10954</v>
      </c>
      <c r="I2017" s="83">
        <f>ROUND(H2017/(MID($C2017,9,3)/Basis!$E$3/Basis!$E$9)*Basis!$E$11,0)</f>
        <v>1391</v>
      </c>
      <c r="J2017" s="123">
        <f>IF(Basis!$E$1=1,ROUND(H2017/((TaH-TrH)*1.163)/3600,3),ROUND(H2017/(500*(TaH-TrH)),2))</f>
        <v>1.1000000000000001</v>
      </c>
      <c r="K2017" s="84"/>
      <c r="L2017" s="177">
        <f>CHOOSE(Basis!$E$1,((AJ2017*(J2017*3600/Basis!$E$5)^AK2017*(((MID(C2017,9,3)*10)-144)/1000)*AL2017+AM2017*(J2017*3600/Basis!$E$5)^2)*0.0098)/Basis!$E$10,((AJ2017*(J2017/Basis!$E$5)^AK2017*(((MID(C2017,9,3)*10)-144)/1000)*AL2017+AM2017*(J2017/Basis!$E$5)^2)*0.0098)/Basis!$E$10)</f>
        <v>0.36784825010539729</v>
      </c>
      <c r="M2017" s="85"/>
      <c r="N2017" s="109">
        <v>1.47</v>
      </c>
      <c r="O2017" s="68"/>
      <c r="P2017" s="67">
        <v>5215</v>
      </c>
      <c r="Q2017" s="68"/>
      <c r="R2017" s="69"/>
      <c r="S2017" s="69"/>
      <c r="T2017" s="69"/>
      <c r="U2017" s="69"/>
      <c r="V2017" s="69"/>
      <c r="W2017" s="68"/>
      <c r="X2017" s="70"/>
      <c r="Y2017" s="70"/>
      <c r="Z2017" s="70"/>
      <c r="AA2017" s="70"/>
      <c r="AB2017" s="70"/>
      <c r="AC2017" s="68"/>
      <c r="AD2017" s="71"/>
      <c r="AE2017" s="71"/>
      <c r="AF2017" s="71"/>
      <c r="AG2017" s="71"/>
      <c r="AH2017" s="71"/>
      <c r="AI2017" s="68"/>
      <c r="AJ2017" s="214">
        <v>2.0829999999999999E-4</v>
      </c>
      <c r="AK2017" s="214">
        <v>1.724</v>
      </c>
      <c r="AL2017" s="214">
        <v>4</v>
      </c>
      <c r="AM2017" s="214">
        <v>1.392796E-3</v>
      </c>
      <c r="AN2017" s="68"/>
      <c r="AO2017" s="67"/>
      <c r="AP2017" s="67"/>
      <c r="AQ2017" s="67"/>
      <c r="AR2017" s="67"/>
      <c r="AS2017" s="67"/>
      <c r="AT2017" s="68"/>
      <c r="AU2017" s="49"/>
      <c r="AV2017" s="50"/>
    </row>
    <row r="2018" spans="1:48" ht="12.75" customHeight="1" x14ac:dyDescent="0.25">
      <c r="A2018" s="72" t="s">
        <v>20</v>
      </c>
      <c r="B2018" s="43" t="s">
        <v>1833</v>
      </c>
      <c r="C2018" s="44" t="s">
        <v>2175</v>
      </c>
      <c r="D2018" s="45">
        <f>MROUND(MID($C2018,6,3)/Basis!$E$3,0.5)</f>
        <v>25.5</v>
      </c>
      <c r="E2018" s="45">
        <f>MROUND(MID($C2018,9,3)/Basis!$E$3,0.5)</f>
        <v>94.5</v>
      </c>
      <c r="F2018" s="124" t="s">
        <v>2945</v>
      </c>
      <c r="G2018" s="45">
        <f>ROUND((ROUNDDOWN($F2018/5,0)*5+1.8)/Basis!$E$3,1)</f>
        <v>8.6</v>
      </c>
      <c r="H2018" s="120">
        <f>ROUND($P2018*Basis!$E$2*((TaH-TrH)/LN(1/µ)/Basis!$E$7)^$N2018*$AA$4*Glycol,0)</f>
        <v>14059</v>
      </c>
      <c r="I2018" s="83">
        <f>ROUND(H2018/(MID($C2018,9,3)/Basis!$E$3/Basis!$E$9)*Basis!$E$11,0)</f>
        <v>1785</v>
      </c>
      <c r="J2018" s="123">
        <f>IF(Basis!$E$1=1,ROUND(H2018/((TaH-TrH)*1.163)/3600,3),ROUND(H2018/(500*(TaH-TrH)),2))</f>
        <v>1.41</v>
      </c>
      <c r="K2018" s="84"/>
      <c r="L2018" s="177">
        <f>CHOOSE(Basis!$E$1,((AJ2018*(J2018*3600/Basis!$E$5)^AK2018*(((MID(C2018,9,3)*10)-144)/1000)*AL2018+AM2018*(J2018*3600/Basis!$E$5)^2)*0.0098)/Basis!$E$10,((AJ2018*(J2018/Basis!$E$5)^AK2018*(((MID(C2018,9,3)*10)-144)/1000)*AL2018+AM2018*(J2018/Basis!$E$5)^2)*0.0098)/Basis!$E$10)</f>
        <v>0.16509836439497536</v>
      </c>
      <c r="M2018" s="85"/>
      <c r="N2018" s="109">
        <v>1.355</v>
      </c>
      <c r="O2018" s="68"/>
      <c r="P2018" s="67">
        <v>6444</v>
      </c>
      <c r="Q2018" s="68"/>
      <c r="R2018" s="69"/>
      <c r="S2018" s="69"/>
      <c r="T2018" s="69"/>
      <c r="U2018" s="69"/>
      <c r="V2018" s="69"/>
      <c r="W2018" s="68"/>
      <c r="X2018" s="70"/>
      <c r="Y2018" s="70"/>
      <c r="Z2018" s="70"/>
      <c r="AA2018" s="70"/>
      <c r="AB2018" s="70"/>
      <c r="AC2018" s="68"/>
      <c r="AD2018" s="71"/>
      <c r="AE2018" s="71"/>
      <c r="AF2018" s="71"/>
      <c r="AG2018" s="71"/>
      <c r="AH2018" s="71"/>
      <c r="AI2018" s="68"/>
      <c r="AJ2018" s="214">
        <v>1.2760000000000001E-4</v>
      </c>
      <c r="AK2018" s="214">
        <v>1.7219</v>
      </c>
      <c r="AL2018" s="214">
        <v>2</v>
      </c>
      <c r="AM2018" s="214">
        <v>3.76611E-4</v>
      </c>
      <c r="AN2018" s="68"/>
      <c r="AO2018" s="67"/>
      <c r="AP2018" s="67"/>
      <c r="AQ2018" s="67"/>
      <c r="AR2018" s="67"/>
      <c r="AS2018" s="67"/>
      <c r="AT2018" s="68"/>
      <c r="AU2018" s="49"/>
      <c r="AV2018" s="50"/>
    </row>
    <row r="2019" spans="1:48" ht="12.75" customHeight="1" x14ac:dyDescent="0.25">
      <c r="A2019" s="72" t="s">
        <v>20</v>
      </c>
      <c r="B2019" s="43" t="s">
        <v>1833</v>
      </c>
      <c r="C2019" s="44" t="s">
        <v>2176</v>
      </c>
      <c r="D2019" s="45">
        <f>MROUND(MID($C2019,6,3)/Basis!$E$3,0.5)</f>
        <v>25.5</v>
      </c>
      <c r="E2019" s="45">
        <f>MROUND(MID($C2019,9,3)/Basis!$E$3,0.5)</f>
        <v>94.5</v>
      </c>
      <c r="F2019" s="124" t="s">
        <v>2948</v>
      </c>
      <c r="G2019" s="45">
        <f>ROUND((ROUNDDOWN($F2019/5,0)*5+1.8)/Basis!$E$3,1)</f>
        <v>8.6</v>
      </c>
      <c r="H2019" s="120">
        <f>ROUND($P2019*Basis!$E$2*((TaH-TrH)/LN(1/µ)/Basis!$E$7)^$N2019*$AA$4*Glycol,0)</f>
        <v>15139</v>
      </c>
      <c r="I2019" s="83">
        <f>ROUND(H2019/(MID($C2019,9,3)/Basis!$E$3/Basis!$E$9)*Basis!$E$11,0)</f>
        <v>1923</v>
      </c>
      <c r="J2019" s="123">
        <f>IF(Basis!$E$1=1,ROUND(H2019/((TaH-TrH)*1.163)/3600,3),ROUND(H2019/(500*(TaH-TrH)),2))</f>
        <v>1.51</v>
      </c>
      <c r="K2019" s="84"/>
      <c r="L2019" s="177">
        <f>CHOOSE(Basis!$E$1,((AJ2019*(J2019*3600/Basis!$E$5)^AK2019*(((MID(C2019,9,3)*10)-144)/1000)*AL2019+AM2019*(J2019*3600/Basis!$E$5)^2)*0.0098)/Basis!$E$10,((AJ2019*(J2019/Basis!$E$5)^AK2019*(((MID(C2019,9,3)*10)-144)/1000)*AL2019+AM2019*(J2019/Basis!$E$5)^2)*0.0098)/Basis!$E$10)</f>
        <v>0.2850900375466105</v>
      </c>
      <c r="M2019" s="85"/>
      <c r="N2019" s="109">
        <v>1.4970000000000001</v>
      </c>
      <c r="O2019" s="68"/>
      <c r="P2019" s="67">
        <v>7272</v>
      </c>
      <c r="Q2019" s="68"/>
      <c r="R2019" s="69"/>
      <c r="S2019" s="69"/>
      <c r="T2019" s="69"/>
      <c r="U2019" s="69"/>
      <c r="V2019" s="69"/>
      <c r="W2019" s="68"/>
      <c r="X2019" s="70"/>
      <c r="Y2019" s="70"/>
      <c r="Z2019" s="70"/>
      <c r="AA2019" s="70"/>
      <c r="AB2019" s="70"/>
      <c r="AC2019" s="68"/>
      <c r="AD2019" s="71"/>
      <c r="AE2019" s="71"/>
      <c r="AF2019" s="71"/>
      <c r="AG2019" s="71"/>
      <c r="AH2019" s="71"/>
      <c r="AI2019" s="68"/>
      <c r="AJ2019" s="214">
        <v>1.2760000000000001E-4</v>
      </c>
      <c r="AK2019" s="214">
        <v>1.7219</v>
      </c>
      <c r="AL2019" s="214">
        <v>4</v>
      </c>
      <c r="AM2019" s="214">
        <v>5.1420100000000005E-4</v>
      </c>
      <c r="AN2019" s="68"/>
      <c r="AO2019" s="67"/>
      <c r="AP2019" s="67"/>
      <c r="AQ2019" s="67"/>
      <c r="AR2019" s="67"/>
      <c r="AS2019" s="67"/>
      <c r="AT2019" s="68"/>
      <c r="AU2019" s="49"/>
      <c r="AV2019" s="50"/>
    </row>
    <row r="2020" spans="1:48" ht="12.75" customHeight="1" x14ac:dyDescent="0.25">
      <c r="A2020" s="72" t="s">
        <v>20</v>
      </c>
      <c r="B2020" s="43" t="s">
        <v>1833</v>
      </c>
      <c r="C2020" s="44" t="s">
        <v>2177</v>
      </c>
      <c r="D2020" s="45">
        <f>MROUND(MID($C2020,6,3)/Basis!$E$3,0.5)</f>
        <v>25.5</v>
      </c>
      <c r="E2020" s="45">
        <f>MROUND(MID($C2020,9,3)/Basis!$E$3,0.5)</f>
        <v>110</v>
      </c>
      <c r="F2020" s="124" t="s">
        <v>2949</v>
      </c>
      <c r="G2020" s="45">
        <f>ROUND((ROUNDDOWN($F2020/5,0)*5+3.5)/Basis!$E$3,1)</f>
        <v>3.3</v>
      </c>
      <c r="H2020" s="120">
        <f>ROUND($P2020*Basis!$E$2*((TaH-TrH)/LN(1/µ)/Basis!$E$7)^$N2020*$AA$4*Glycol,0)</f>
        <v>6523</v>
      </c>
      <c r="I2020" s="83">
        <f>ROUND(H2020/(MID($C2020,9,3)/Basis!$E$3/Basis!$E$9)*Basis!$E$11,0)</f>
        <v>710</v>
      </c>
      <c r="J2020" s="123">
        <f>IF(Basis!$E$1=1,ROUND(H2020/((TaH-TrH)*1.163)/3600,3),ROUND(H2020/(500*(TaH-TrH)),2))</f>
        <v>0.65</v>
      </c>
      <c r="K2020" s="84"/>
      <c r="L2020" s="177">
        <f>CHOOSE(Basis!$E$1,((AJ2020*(J2020*3600/Basis!$E$5)^AK2020*(((MID(C2020,9,3)*10)-144)/1000)*AL2020+AM2020*(J2020*3600/Basis!$E$5)^2)*0.0098)/Basis!$E$10,((AJ2020*(J2020/Basis!$E$5)^AK2020*(((MID(C2020,9,3)*10)-144)/1000)*AL2020+AM2020*(J2020/Basis!$E$5)^2)*0.0098)/Basis!$E$10)</f>
        <v>0.35213317670377869</v>
      </c>
      <c r="M2020" s="85"/>
      <c r="N2020" s="109">
        <v>1.35</v>
      </c>
      <c r="O2020" s="68"/>
      <c r="P2020" s="67">
        <v>2985</v>
      </c>
      <c r="Q2020" s="68"/>
      <c r="R2020" s="69"/>
      <c r="S2020" s="69"/>
      <c r="T2020" s="69"/>
      <c r="U2020" s="69"/>
      <c r="V2020" s="69"/>
      <c r="W2020" s="68"/>
      <c r="X2020" s="70"/>
      <c r="Y2020" s="70"/>
      <c r="Z2020" s="70"/>
      <c r="AA2020" s="70"/>
      <c r="AB2020" s="70"/>
      <c r="AC2020" s="68"/>
      <c r="AD2020" s="71"/>
      <c r="AE2020" s="71"/>
      <c r="AF2020" s="71"/>
      <c r="AG2020" s="71"/>
      <c r="AH2020" s="71"/>
      <c r="AI2020" s="68"/>
      <c r="AJ2020" s="214">
        <v>1.6125983042710999E-4</v>
      </c>
      <c r="AK2020" s="214">
        <v>2.1458504622376</v>
      </c>
      <c r="AL2020" s="214">
        <v>4</v>
      </c>
      <c r="AM2020" s="214">
        <v>1.3916423712342001E-3</v>
      </c>
      <c r="AN2020" s="68"/>
      <c r="AO2020" s="67"/>
      <c r="AP2020" s="67"/>
      <c r="AQ2020" s="67"/>
      <c r="AR2020" s="67"/>
      <c r="AS2020" s="67"/>
      <c r="AT2020" s="68"/>
      <c r="AU2020" s="49"/>
      <c r="AV2020" s="50"/>
    </row>
    <row r="2021" spans="1:48" ht="12.75" customHeight="1" x14ac:dyDescent="0.25">
      <c r="A2021" s="72" t="s">
        <v>20</v>
      </c>
      <c r="B2021" s="43" t="s">
        <v>1833</v>
      </c>
      <c r="C2021" s="44" t="s">
        <v>2178</v>
      </c>
      <c r="D2021" s="45">
        <f>MROUND(MID($C2021,6,3)/Basis!$E$3,0.5)</f>
        <v>25.5</v>
      </c>
      <c r="E2021" s="45">
        <f>MROUND(MID($C2021,9,3)/Basis!$E$3,0.5)</f>
        <v>110</v>
      </c>
      <c r="F2021" s="124" t="s">
        <v>2943</v>
      </c>
      <c r="G2021" s="45">
        <f>ROUND((ROUNDDOWN($F2021/5,0)*5+1.8)/Basis!$E$3,1)</f>
        <v>4.5999999999999996</v>
      </c>
      <c r="H2021" s="120">
        <f>ROUND($P2021*Basis!$E$2*((TaH-TrH)/LN(1/µ)/Basis!$E$7)^$N2021*$AA$4*Glycol,0)</f>
        <v>7359</v>
      </c>
      <c r="I2021" s="83">
        <f>ROUND(H2021/(MID($C2021,9,3)/Basis!$E$3/Basis!$E$9)*Basis!$E$11,0)</f>
        <v>801</v>
      </c>
      <c r="J2021" s="123">
        <f>IF(Basis!$E$1=1,ROUND(H2021/((TaH-TrH)*1.163)/3600,3),ROUND(H2021/(500*(TaH-TrH)),2))</f>
        <v>0.74</v>
      </c>
      <c r="K2021" s="84"/>
      <c r="L2021" s="177">
        <f>CHOOSE(Basis!$E$1,((AJ2021*(J2021*3600/Basis!$E$5)^AK2021*(((MID(C2021,9,3)*10)-144)/1000)*AL2021+AM2021*(J2021*3600/Basis!$E$5)^2)*0.0098)/Basis!$E$10,((AJ2021*(J2021/Basis!$E$5)^AK2021*(((MID(C2021,9,3)*10)-144)/1000)*AL2021+AM2021*(J2021/Basis!$E$5)^2)*0.0098)/Basis!$E$10)</f>
        <v>8.3909662083055267E-2</v>
      </c>
      <c r="M2021" s="85"/>
      <c r="N2021" s="110">
        <v>1.371</v>
      </c>
      <c r="O2021" s="74"/>
      <c r="P2021" s="73">
        <v>3391</v>
      </c>
      <c r="Q2021" s="74"/>
      <c r="R2021" s="75"/>
      <c r="S2021" s="75"/>
      <c r="T2021" s="75"/>
      <c r="U2021" s="75"/>
      <c r="V2021" s="75"/>
      <c r="W2021" s="74"/>
      <c r="X2021" s="76"/>
      <c r="Y2021" s="76"/>
      <c r="Z2021" s="76"/>
      <c r="AA2021" s="76"/>
      <c r="AB2021" s="76"/>
      <c r="AC2021" s="74"/>
      <c r="AD2021" s="77"/>
      <c r="AE2021" s="77"/>
      <c r="AF2021" s="77"/>
      <c r="AG2021" s="77"/>
      <c r="AH2021" s="77"/>
      <c r="AI2021" s="68"/>
      <c r="AJ2021" s="213">
        <v>3.9689999999999994E-4</v>
      </c>
      <c r="AK2021" s="213">
        <v>1.7345999999999999</v>
      </c>
      <c r="AL2021" s="213">
        <v>2</v>
      </c>
      <c r="AM2021" s="213">
        <v>3.6734700000000002E-4</v>
      </c>
      <c r="AN2021" s="74"/>
      <c r="AO2021" s="73"/>
      <c r="AP2021" s="73"/>
      <c r="AQ2021" s="73"/>
      <c r="AR2021" s="73"/>
      <c r="AS2021" s="73"/>
      <c r="AT2021" s="74"/>
      <c r="AU2021" s="47"/>
      <c r="AV2021" s="48"/>
    </row>
    <row r="2022" spans="1:48" ht="12.75" customHeight="1" x14ac:dyDescent="0.25">
      <c r="A2022" s="72" t="s">
        <v>20</v>
      </c>
      <c r="B2022" s="43" t="s">
        <v>1833</v>
      </c>
      <c r="C2022" s="44" t="s">
        <v>2179</v>
      </c>
      <c r="D2022" s="45">
        <f>MROUND(MID($C2022,6,3)/Basis!$E$3,0.5)</f>
        <v>25.5</v>
      </c>
      <c r="E2022" s="45">
        <f>MROUND(MID($C2022,9,3)/Basis!$E$3,0.5)</f>
        <v>110</v>
      </c>
      <c r="F2022" s="124" t="s">
        <v>2946</v>
      </c>
      <c r="G2022" s="45">
        <f>ROUND((ROUNDDOWN($F2022/5,0)*5+1.8)/Basis!$E$3,1)</f>
        <v>4.5999999999999996</v>
      </c>
      <c r="H2022" s="120">
        <f>ROUND($P2022*Basis!$E$2*((TaH-TrH)/LN(1/µ)/Basis!$E$7)^$N2022*$AA$4*Glycol,0)</f>
        <v>9174</v>
      </c>
      <c r="I2022" s="83">
        <f>ROUND(H2022/(MID($C2022,9,3)/Basis!$E$3/Basis!$E$9)*Basis!$E$11,0)</f>
        <v>999</v>
      </c>
      <c r="J2022" s="123">
        <f>IF(Basis!$E$1=1,ROUND(H2022/((TaH-TrH)*1.163)/3600,3),ROUND(H2022/(500*(TaH-TrH)),2))</f>
        <v>0.92</v>
      </c>
      <c r="K2022" s="84"/>
      <c r="L2022" s="177">
        <f>CHOOSE(Basis!$E$1,((AJ2022*(J2022*3600/Basis!$E$5)^AK2022*(((MID(C2022,9,3)*10)-144)/1000)*AL2022+AM2022*(J2022*3600/Basis!$E$5)^2)*0.0098)/Basis!$E$10,((AJ2022*(J2022/Basis!$E$5)^AK2022*(((MID(C2022,9,3)*10)-144)/1000)*AL2022+AM2022*(J2022/Basis!$E$5)^2)*0.0098)/Basis!$E$10)</f>
        <v>0.22781585373743321</v>
      </c>
      <c r="M2022" s="85"/>
      <c r="N2022" s="110">
        <v>1.4370000000000001</v>
      </c>
      <c r="O2022" s="74"/>
      <c r="P2022" s="73">
        <v>4320</v>
      </c>
      <c r="Q2022" s="74"/>
      <c r="R2022" s="75"/>
      <c r="S2022" s="75"/>
      <c r="T2022" s="75"/>
      <c r="U2022" s="75"/>
      <c r="V2022" s="75"/>
      <c r="W2022" s="74"/>
      <c r="X2022" s="76"/>
      <c r="Y2022" s="76"/>
      <c r="Z2022" s="76"/>
      <c r="AA2022" s="76"/>
      <c r="AB2022" s="76"/>
      <c r="AC2022" s="74"/>
      <c r="AD2022" s="77"/>
      <c r="AE2022" s="77"/>
      <c r="AF2022" s="77"/>
      <c r="AG2022" s="77"/>
      <c r="AH2022" s="77"/>
      <c r="AI2022" s="68"/>
      <c r="AJ2022" s="213">
        <v>3.9689999999999994E-4</v>
      </c>
      <c r="AK2022" s="213">
        <v>1.7345999999999999</v>
      </c>
      <c r="AL2022" s="213">
        <v>4</v>
      </c>
      <c r="AM2022" s="213">
        <v>5.7428799999999995E-4</v>
      </c>
      <c r="AN2022" s="74"/>
      <c r="AO2022" s="73"/>
      <c r="AP2022" s="73"/>
      <c r="AQ2022" s="73"/>
      <c r="AR2022" s="73"/>
      <c r="AS2022" s="73"/>
      <c r="AT2022" s="74"/>
      <c r="AU2022" s="47"/>
      <c r="AV2022" s="48"/>
    </row>
    <row r="2023" spans="1:48" ht="12.75" customHeight="1" x14ac:dyDescent="0.25">
      <c r="A2023" s="72" t="s">
        <v>20</v>
      </c>
      <c r="B2023" s="43" t="s">
        <v>1833</v>
      </c>
      <c r="C2023" s="44" t="s">
        <v>2180</v>
      </c>
      <c r="D2023" s="45">
        <f>MROUND(MID($C2023,6,3)/Basis!$E$3,0.5)</f>
        <v>25.5</v>
      </c>
      <c r="E2023" s="45">
        <f>MROUND(MID($C2023,9,3)/Basis!$E$3,0.5)</f>
        <v>110</v>
      </c>
      <c r="F2023" s="124" t="s">
        <v>2944</v>
      </c>
      <c r="G2023" s="45">
        <f>ROUND((ROUNDDOWN($F2023/5,0)*5+1.8)/Basis!$E$3,1)</f>
        <v>6.6</v>
      </c>
      <c r="H2023" s="120">
        <f>ROUND($P2023*Basis!$E$2*((TaH-TrH)/LN(1/µ)/Basis!$E$7)^$N2023*$AA$4*Glycol,0)</f>
        <v>11742</v>
      </c>
      <c r="I2023" s="83">
        <f>ROUND(H2023/(MID($C2023,9,3)/Basis!$E$3/Basis!$E$9)*Basis!$E$11,0)</f>
        <v>1278</v>
      </c>
      <c r="J2023" s="123">
        <f>IF(Basis!$E$1=1,ROUND(H2023/((TaH-TrH)*1.163)/3600,3),ROUND(H2023/(500*(TaH-TrH)),2))</f>
        <v>1.17</v>
      </c>
      <c r="K2023" s="84"/>
      <c r="L2023" s="177">
        <f>CHOOSE(Basis!$E$1,((AJ2023*(J2023*3600/Basis!$E$5)^AK2023*(((MID(C2023,9,3)*10)-144)/1000)*AL2023+AM2023*(J2023*3600/Basis!$E$5)^2)*0.0098)/Basis!$E$10,((AJ2023*(J2023/Basis!$E$5)^AK2023*(((MID(C2023,9,3)*10)-144)/1000)*AL2023+AM2023*(J2023/Basis!$E$5)^2)*0.0098)/Basis!$E$10)</f>
        <v>0.16136116701610548</v>
      </c>
      <c r="M2023" s="85"/>
      <c r="N2023" s="110">
        <v>1.355</v>
      </c>
      <c r="O2023" s="74"/>
      <c r="P2023" s="73">
        <v>5382</v>
      </c>
      <c r="Q2023" s="74"/>
      <c r="R2023" s="75"/>
      <c r="S2023" s="75"/>
      <c r="T2023" s="75"/>
      <c r="U2023" s="75"/>
      <c r="V2023" s="75"/>
      <c r="W2023" s="74"/>
      <c r="X2023" s="76"/>
      <c r="Y2023" s="76"/>
      <c r="Z2023" s="76"/>
      <c r="AA2023" s="76"/>
      <c r="AB2023" s="76"/>
      <c r="AC2023" s="74"/>
      <c r="AD2023" s="77"/>
      <c r="AE2023" s="77"/>
      <c r="AF2023" s="77"/>
      <c r="AG2023" s="77"/>
      <c r="AH2023" s="77"/>
      <c r="AI2023" s="68"/>
      <c r="AJ2023" s="213">
        <v>2.0829999999999999E-4</v>
      </c>
      <c r="AK2023" s="213">
        <v>1.724</v>
      </c>
      <c r="AL2023" s="213">
        <v>2</v>
      </c>
      <c r="AM2023" s="213">
        <v>4.6182900000000003E-4</v>
      </c>
      <c r="AN2023" s="74"/>
      <c r="AO2023" s="73"/>
      <c r="AP2023" s="73"/>
      <c r="AQ2023" s="73"/>
      <c r="AR2023" s="73"/>
      <c r="AS2023" s="73"/>
      <c r="AT2023" s="74"/>
      <c r="AU2023" s="47"/>
      <c r="AV2023" s="48"/>
    </row>
    <row r="2024" spans="1:48" ht="12.75" customHeight="1" x14ac:dyDescent="0.25">
      <c r="A2024" s="72" t="s">
        <v>20</v>
      </c>
      <c r="B2024" s="43" t="s">
        <v>1833</v>
      </c>
      <c r="C2024" s="44" t="s">
        <v>2181</v>
      </c>
      <c r="D2024" s="45">
        <f>MROUND(MID($C2024,6,3)/Basis!$E$3,0.5)</f>
        <v>25.5</v>
      </c>
      <c r="E2024" s="45">
        <f>MROUND(MID($C2024,9,3)/Basis!$E$3,0.5)</f>
        <v>110</v>
      </c>
      <c r="F2024" s="124" t="s">
        <v>2947</v>
      </c>
      <c r="G2024" s="45">
        <f>ROUND((ROUNDDOWN($F2024/5,0)*5+1.8)/Basis!$E$3,1)</f>
        <v>6.6</v>
      </c>
      <c r="H2024" s="120">
        <f>ROUND($P2024*Basis!$E$2*((TaH-TrH)/LN(1/µ)/Basis!$E$7)^$N2024*$AA$4*Glycol,0)</f>
        <v>12779</v>
      </c>
      <c r="I2024" s="83">
        <f>ROUND(H2024/(MID($C2024,9,3)/Basis!$E$3/Basis!$E$9)*Basis!$E$11,0)</f>
        <v>1391</v>
      </c>
      <c r="J2024" s="123">
        <f>IF(Basis!$E$1=1,ROUND(H2024/((TaH-TrH)*1.163)/3600,3),ROUND(H2024/(500*(TaH-TrH)),2))</f>
        <v>1.28</v>
      </c>
      <c r="K2024" s="84"/>
      <c r="L2024" s="177">
        <f>CHOOSE(Basis!$E$1,((AJ2024*(J2024*3600/Basis!$E$5)^AK2024*(((MID(C2024,9,3)*10)-144)/1000)*AL2024+AM2024*(J2024*3600/Basis!$E$5)^2)*0.0098)/Basis!$E$10,((AJ2024*(J2024/Basis!$E$5)^AK2024*(((MID(C2024,9,3)*10)-144)/1000)*AL2024+AM2024*(J2024/Basis!$E$5)^2)*0.0098)/Basis!$E$10)</f>
        <v>0.51269456227802379</v>
      </c>
      <c r="M2024" s="85"/>
      <c r="N2024" s="110">
        <v>1.47</v>
      </c>
      <c r="O2024" s="74"/>
      <c r="P2024" s="73">
        <v>6084</v>
      </c>
      <c r="Q2024" s="74"/>
      <c r="R2024" s="75"/>
      <c r="S2024" s="75"/>
      <c r="T2024" s="75"/>
      <c r="U2024" s="75"/>
      <c r="V2024" s="75"/>
      <c r="W2024" s="74"/>
      <c r="X2024" s="76"/>
      <c r="Y2024" s="76"/>
      <c r="Z2024" s="76"/>
      <c r="AA2024" s="76"/>
      <c r="AB2024" s="76"/>
      <c r="AC2024" s="74"/>
      <c r="AD2024" s="77"/>
      <c r="AE2024" s="77"/>
      <c r="AF2024" s="77"/>
      <c r="AG2024" s="77"/>
      <c r="AH2024" s="77"/>
      <c r="AI2024" s="68"/>
      <c r="AJ2024" s="213">
        <v>2.0829999999999999E-4</v>
      </c>
      <c r="AK2024" s="213">
        <v>1.724</v>
      </c>
      <c r="AL2024" s="213">
        <v>4</v>
      </c>
      <c r="AM2024" s="213">
        <v>1.392796E-3</v>
      </c>
      <c r="AN2024" s="74"/>
      <c r="AO2024" s="73"/>
      <c r="AP2024" s="73"/>
      <c r="AQ2024" s="73"/>
      <c r="AR2024" s="73"/>
      <c r="AS2024" s="73"/>
      <c r="AT2024" s="74"/>
      <c r="AU2024" s="47"/>
      <c r="AV2024" s="48"/>
    </row>
    <row r="2025" spans="1:48" ht="12.75" customHeight="1" x14ac:dyDescent="0.25">
      <c r="A2025" s="72" t="s">
        <v>20</v>
      </c>
      <c r="B2025" s="43" t="s">
        <v>1833</v>
      </c>
      <c r="C2025" s="44" t="s">
        <v>2182</v>
      </c>
      <c r="D2025" s="45">
        <f>MROUND(MID($C2025,6,3)/Basis!$E$3,0.5)</f>
        <v>25.5</v>
      </c>
      <c r="E2025" s="45">
        <f>MROUND(MID($C2025,9,3)/Basis!$E$3,0.5)</f>
        <v>110</v>
      </c>
      <c r="F2025" s="124" t="s">
        <v>2945</v>
      </c>
      <c r="G2025" s="45">
        <f>ROUND((ROUNDDOWN($F2025/5,0)*5+1.8)/Basis!$E$3,1)</f>
        <v>8.6</v>
      </c>
      <c r="H2025" s="120">
        <f>ROUND($P2025*Basis!$E$2*((TaH-TrH)/LN(1/µ)/Basis!$E$7)^$N2025*$AA$4*Glycol,0)</f>
        <v>16402</v>
      </c>
      <c r="I2025" s="83">
        <f>ROUND(H2025/(MID($C2025,9,3)/Basis!$E$3/Basis!$E$9)*Basis!$E$11,0)</f>
        <v>1785</v>
      </c>
      <c r="J2025" s="123">
        <f>IF(Basis!$E$1=1,ROUND(H2025/((TaH-TrH)*1.163)/3600,3),ROUND(H2025/(500*(TaH-TrH)),2))</f>
        <v>1.64</v>
      </c>
      <c r="K2025" s="84"/>
      <c r="L2025" s="177">
        <f>CHOOSE(Basis!$E$1,((AJ2025*(J2025*3600/Basis!$E$5)^AK2025*(((MID(C2025,9,3)*10)-144)/1000)*AL2025+AM2025*(J2025*3600/Basis!$E$5)^2)*0.0098)/Basis!$E$10,((AJ2025*(J2025/Basis!$E$5)^AK2025*(((MID(C2025,9,3)*10)-144)/1000)*AL2025+AM2025*(J2025/Basis!$E$5)^2)*0.0098)/Basis!$E$10)</f>
        <v>0.23011842859381368</v>
      </c>
      <c r="M2025" s="85"/>
      <c r="N2025" s="110">
        <v>1.355</v>
      </c>
      <c r="O2025" s="74"/>
      <c r="P2025" s="73">
        <v>7518</v>
      </c>
      <c r="Q2025" s="74"/>
      <c r="R2025" s="75"/>
      <c r="S2025" s="75"/>
      <c r="T2025" s="75"/>
      <c r="U2025" s="75"/>
      <c r="V2025" s="75"/>
      <c r="W2025" s="74"/>
      <c r="X2025" s="76"/>
      <c r="Y2025" s="76"/>
      <c r="Z2025" s="76"/>
      <c r="AA2025" s="76"/>
      <c r="AB2025" s="76"/>
      <c r="AC2025" s="74"/>
      <c r="AD2025" s="77"/>
      <c r="AE2025" s="77"/>
      <c r="AF2025" s="77"/>
      <c r="AG2025" s="77"/>
      <c r="AH2025" s="77"/>
      <c r="AI2025" s="68"/>
      <c r="AJ2025" s="214">
        <v>1.2760000000000001E-4</v>
      </c>
      <c r="AK2025" s="214">
        <v>1.7219</v>
      </c>
      <c r="AL2025" s="214">
        <v>2</v>
      </c>
      <c r="AM2025" s="214">
        <v>3.76611E-4</v>
      </c>
      <c r="AN2025" s="74"/>
      <c r="AO2025" s="73"/>
      <c r="AP2025" s="73"/>
      <c r="AQ2025" s="73"/>
      <c r="AR2025" s="73"/>
      <c r="AS2025" s="73"/>
      <c r="AT2025" s="74"/>
      <c r="AU2025" s="47"/>
      <c r="AV2025" s="48"/>
    </row>
    <row r="2026" spans="1:48" ht="12.75" customHeight="1" x14ac:dyDescent="0.25">
      <c r="A2026" s="72" t="s">
        <v>20</v>
      </c>
      <c r="B2026" s="43" t="s">
        <v>1833</v>
      </c>
      <c r="C2026" s="44" t="s">
        <v>2183</v>
      </c>
      <c r="D2026" s="45">
        <f>MROUND(MID($C2026,6,3)/Basis!$E$3,0.5)</f>
        <v>25.5</v>
      </c>
      <c r="E2026" s="45">
        <f>MROUND(MID($C2026,9,3)/Basis!$E$3,0.5)</f>
        <v>110</v>
      </c>
      <c r="F2026" s="124" t="s">
        <v>2948</v>
      </c>
      <c r="G2026" s="45">
        <f>ROUND((ROUNDDOWN($F2026/5,0)*5+1.8)/Basis!$E$3,1)</f>
        <v>8.6</v>
      </c>
      <c r="H2026" s="120">
        <f>ROUND($P2026*Basis!$E$2*((TaH-TrH)/LN(1/µ)/Basis!$E$7)^$N2026*$AA$4*Glycol,0)</f>
        <v>17662</v>
      </c>
      <c r="I2026" s="83">
        <f>ROUND(H2026/(MID($C2026,9,3)/Basis!$E$3/Basis!$E$9)*Basis!$E$11,0)</f>
        <v>1923</v>
      </c>
      <c r="J2026" s="123">
        <f>IF(Basis!$E$1=1,ROUND(H2026/((TaH-TrH)*1.163)/3600,3),ROUND(H2026/(500*(TaH-TrH)),2))</f>
        <v>1.77</v>
      </c>
      <c r="K2026" s="84"/>
      <c r="L2026" s="177">
        <f>CHOOSE(Basis!$E$1,((AJ2026*(J2026*3600/Basis!$E$5)^AK2026*(((MID(C2026,9,3)*10)-144)/1000)*AL2026+AM2026*(J2026*3600/Basis!$E$5)^2)*0.0098)/Basis!$E$10,((AJ2026*(J2026/Basis!$E$5)^AK2026*(((MID(C2026,9,3)*10)-144)/1000)*AL2026+AM2026*(J2026/Basis!$E$5)^2)*0.0098)/Basis!$E$10)</f>
        <v>0.40688988075228183</v>
      </c>
      <c r="M2026" s="85"/>
      <c r="N2026" s="110">
        <v>1.4970000000000001</v>
      </c>
      <c r="O2026" s="74"/>
      <c r="P2026" s="73">
        <v>8484</v>
      </c>
      <c r="Q2026" s="74"/>
      <c r="R2026" s="75"/>
      <c r="S2026" s="75"/>
      <c r="T2026" s="75"/>
      <c r="U2026" s="75"/>
      <c r="V2026" s="75"/>
      <c r="W2026" s="74"/>
      <c r="X2026" s="76"/>
      <c r="Y2026" s="76"/>
      <c r="Z2026" s="76"/>
      <c r="AA2026" s="76"/>
      <c r="AB2026" s="76"/>
      <c r="AC2026" s="74"/>
      <c r="AD2026" s="77"/>
      <c r="AE2026" s="77"/>
      <c r="AF2026" s="77"/>
      <c r="AG2026" s="77"/>
      <c r="AH2026" s="77"/>
      <c r="AI2026" s="68"/>
      <c r="AJ2026" s="213">
        <v>1.2760000000000001E-4</v>
      </c>
      <c r="AK2026" s="213">
        <v>1.7219</v>
      </c>
      <c r="AL2026" s="213">
        <v>4</v>
      </c>
      <c r="AM2026" s="213">
        <v>5.1420100000000005E-4</v>
      </c>
      <c r="AN2026" s="74"/>
      <c r="AO2026" s="73"/>
      <c r="AP2026" s="73"/>
      <c r="AQ2026" s="73"/>
      <c r="AR2026" s="73"/>
      <c r="AS2026" s="73"/>
      <c r="AT2026" s="74"/>
      <c r="AU2026" s="47"/>
      <c r="AV2026" s="48"/>
    </row>
    <row r="2027" spans="1:48" ht="12.75" customHeight="1" x14ac:dyDescent="0.25">
      <c r="A2027" s="72" t="s">
        <v>20</v>
      </c>
      <c r="B2027" s="43" t="s">
        <v>1833</v>
      </c>
      <c r="C2027" s="44" t="s">
        <v>2184</v>
      </c>
      <c r="D2027" s="45">
        <f>MROUND(MID($C2027,6,3)/Basis!$E$3,0.5)</f>
        <v>37.5</v>
      </c>
      <c r="E2027" s="45">
        <f>MROUND(MID($C2027,9,3)/Basis!$E$3,0.5)</f>
        <v>23.5</v>
      </c>
      <c r="F2027" s="124" t="s">
        <v>2949</v>
      </c>
      <c r="G2027" s="45">
        <f>ROUND((ROUNDDOWN($F2027/5,0)*5+3.5)/Basis!$E$3,1)</f>
        <v>3.3</v>
      </c>
      <c r="H2027" s="120">
        <f>ROUND($P2027*Basis!$E$2*((TaH-TrH)/LN(1/µ)/Basis!$E$7)^$N2027*$AA$4*Glycol,0)</f>
        <v>1631</v>
      </c>
      <c r="I2027" s="83">
        <f>ROUND(H2027/(MID($C2027,9,3)/Basis!$E$3/Basis!$E$9)*Basis!$E$11,0)</f>
        <v>829</v>
      </c>
      <c r="J2027" s="123">
        <f>IF(Basis!$E$1=1,ROUND(H2027/((TaH-TrH)*1.163)/3600,3),ROUND(H2027/(500*(TaH-TrH)),2))</f>
        <v>0.16</v>
      </c>
      <c r="K2027" s="84"/>
      <c r="L2027" s="177">
        <f>CHOOSE(Basis!$E$1,((AJ2027*(J2027*3600/Basis!$E$5)^AK2027*(((MID(C2027,9,3)*10)-144)/1000)*AL2027+AM2027*(J2027*3600/Basis!$E$5)^2)*0.0098)/Basis!$E$10,((AJ2027*(J2027/Basis!$E$5)^AK2027*(((MID(C2027,9,3)*10)-144)/1000)*AL2027+AM2027*(J2027/Basis!$E$5)^2)*0.0098)/Basis!$E$10)</f>
        <v>8.1539602560538552E-3</v>
      </c>
      <c r="M2027" s="85"/>
      <c r="N2027" s="110">
        <v>1.3069999999999999</v>
      </c>
      <c r="O2027" s="74"/>
      <c r="P2027" s="73">
        <v>736</v>
      </c>
      <c r="Q2027" s="74"/>
      <c r="R2027" s="75"/>
      <c r="S2027" s="75"/>
      <c r="T2027" s="75"/>
      <c r="U2027" s="75"/>
      <c r="V2027" s="75"/>
      <c r="W2027" s="74"/>
      <c r="X2027" s="76"/>
      <c r="Y2027" s="76"/>
      <c r="Z2027" s="76"/>
      <c r="AA2027" s="76"/>
      <c r="AB2027" s="76"/>
      <c r="AC2027" s="74"/>
      <c r="AD2027" s="77"/>
      <c r="AE2027" s="77"/>
      <c r="AF2027" s="77"/>
      <c r="AG2027" s="77"/>
      <c r="AH2027" s="77"/>
      <c r="AI2027" s="68"/>
      <c r="AJ2027" s="213">
        <v>1.6125983042710999E-4</v>
      </c>
      <c r="AK2027" s="213">
        <v>2.1458504622376</v>
      </c>
      <c r="AL2027" s="213">
        <v>4</v>
      </c>
      <c r="AM2027" s="213">
        <v>1.3916423712342001E-3</v>
      </c>
      <c r="AN2027" s="74"/>
      <c r="AO2027" s="73"/>
      <c r="AP2027" s="73"/>
      <c r="AQ2027" s="73"/>
      <c r="AR2027" s="73"/>
      <c r="AS2027" s="73"/>
      <c r="AT2027" s="74"/>
      <c r="AU2027" s="47"/>
      <c r="AV2027" s="48"/>
    </row>
    <row r="2028" spans="1:48" ht="12.75" customHeight="1" x14ac:dyDescent="0.25">
      <c r="A2028" s="72" t="s">
        <v>20</v>
      </c>
      <c r="B2028" s="43" t="s">
        <v>1833</v>
      </c>
      <c r="C2028" s="44" t="s">
        <v>2185</v>
      </c>
      <c r="D2028" s="45">
        <f>MROUND(MID($C2028,6,3)/Basis!$E$3,0.5)</f>
        <v>37.5</v>
      </c>
      <c r="E2028" s="45">
        <f>MROUND(MID($C2028,9,3)/Basis!$E$3,0.5)</f>
        <v>23.5</v>
      </c>
      <c r="F2028" s="124" t="s">
        <v>2943</v>
      </c>
      <c r="G2028" s="45">
        <f>ROUND((ROUNDDOWN($F2028/5,0)*5+1.8)/Basis!$E$3,1)</f>
        <v>4.5999999999999996</v>
      </c>
      <c r="H2028" s="120">
        <f>ROUND($P2028*Basis!$E$2*((TaH-TrH)/LN(1/µ)/Basis!$E$7)^$N2028*$AA$4*Glycol,0)</f>
        <v>1831</v>
      </c>
      <c r="I2028" s="83">
        <f>ROUND(H2028/(MID($C2028,9,3)/Basis!$E$3/Basis!$E$9)*Basis!$E$11,0)</f>
        <v>930</v>
      </c>
      <c r="J2028" s="123">
        <f>IF(Basis!$E$1=1,ROUND(H2028/((TaH-TrH)*1.163)/3600,3),ROUND(H2028/(500*(TaH-TrH)),2))</f>
        <v>0.18</v>
      </c>
      <c r="K2028" s="84"/>
      <c r="L2028" s="177">
        <f>CHOOSE(Basis!$E$1,((AJ2028*(J2028*3600/Basis!$E$5)^AK2028*(((MID(C2028,9,3)*10)-144)/1000)*AL2028+AM2028*(J2028*3600/Basis!$E$5)^2)*0.0098)/Basis!$E$10,((AJ2028*(J2028/Basis!$E$5)^AK2028*(((MID(C2028,9,3)*10)-144)/1000)*AL2028+AM2028*(J2028/Basis!$E$5)^2)*0.0098)/Basis!$E$10)</f>
        <v>2.7463752348444274E-3</v>
      </c>
      <c r="M2028" s="85"/>
      <c r="N2028" s="109">
        <v>1.343</v>
      </c>
      <c r="O2028" s="68"/>
      <c r="P2028" s="67">
        <v>836</v>
      </c>
      <c r="Q2028" s="68"/>
      <c r="R2028" s="69"/>
      <c r="S2028" s="69"/>
      <c r="T2028" s="69"/>
      <c r="U2028" s="69"/>
      <c r="V2028" s="69"/>
      <c r="W2028" s="68"/>
      <c r="X2028" s="70"/>
      <c r="Y2028" s="70"/>
      <c r="Z2028" s="70"/>
      <c r="AA2028" s="70"/>
      <c r="AB2028" s="70"/>
      <c r="AC2028" s="68"/>
      <c r="AD2028" s="71"/>
      <c r="AE2028" s="71"/>
      <c r="AF2028" s="71"/>
      <c r="AG2028" s="71"/>
      <c r="AH2028" s="71"/>
      <c r="AI2028" s="68"/>
      <c r="AJ2028" s="214">
        <v>3.9689999999999994E-4</v>
      </c>
      <c r="AK2028" s="214">
        <v>1.7345999999999999</v>
      </c>
      <c r="AL2028" s="214">
        <v>2</v>
      </c>
      <c r="AM2028" s="214">
        <v>3.6734700000000002E-4</v>
      </c>
      <c r="AN2028" s="68"/>
      <c r="AO2028" s="67"/>
      <c r="AP2028" s="67"/>
      <c r="AQ2028" s="67"/>
      <c r="AR2028" s="67"/>
      <c r="AS2028" s="67"/>
      <c r="AT2028" s="68"/>
      <c r="AU2028" s="49"/>
      <c r="AV2028" s="50"/>
    </row>
    <row r="2029" spans="1:48" ht="12.75" customHeight="1" x14ac:dyDescent="0.25">
      <c r="A2029" s="72" t="s">
        <v>20</v>
      </c>
      <c r="B2029" s="43" t="s">
        <v>1833</v>
      </c>
      <c r="C2029" s="44" t="s">
        <v>2186</v>
      </c>
      <c r="D2029" s="45">
        <f>MROUND(MID($C2029,6,3)/Basis!$E$3,0.5)</f>
        <v>37.5</v>
      </c>
      <c r="E2029" s="45">
        <f>MROUND(MID($C2029,9,3)/Basis!$E$3,0.5)</f>
        <v>23.5</v>
      </c>
      <c r="F2029" s="124" t="s">
        <v>2946</v>
      </c>
      <c r="G2029" s="45">
        <f>ROUND((ROUNDDOWN($F2029/5,0)*5+1.8)/Basis!$E$3,1)</f>
        <v>4.5999999999999996</v>
      </c>
      <c r="H2029" s="120">
        <f>ROUND($P2029*Basis!$E$2*((TaH-TrH)/LN(1/µ)/Basis!$E$7)^$N2029*$AA$4*Glycol,0)</f>
        <v>2291</v>
      </c>
      <c r="I2029" s="83">
        <f>ROUND(H2029/(MID($C2029,9,3)/Basis!$E$3/Basis!$E$9)*Basis!$E$11,0)</f>
        <v>1164</v>
      </c>
      <c r="J2029" s="123">
        <f>IF(Basis!$E$1=1,ROUND(H2029/((TaH-TrH)*1.163)/3600,3),ROUND(H2029/(500*(TaH-TrH)),2))</f>
        <v>0.23</v>
      </c>
      <c r="K2029" s="84"/>
      <c r="L2029" s="177">
        <f>CHOOSE(Basis!$E$1,((AJ2029*(J2029*3600/Basis!$E$5)^AK2029*(((MID(C2029,9,3)*10)-144)/1000)*AL2029+AM2029*(J2029*3600/Basis!$E$5)^2)*0.0098)/Basis!$E$10,((AJ2029*(J2029/Basis!$E$5)^AK2029*(((MID(C2029,9,3)*10)-144)/1000)*AL2029+AM2029*(J2029/Basis!$E$5)^2)*0.0098)/Basis!$E$10)</f>
        <v>7.384893960415982E-3</v>
      </c>
      <c r="M2029" s="85"/>
      <c r="N2029" s="109">
        <v>1.4339999999999999</v>
      </c>
      <c r="O2029" s="68"/>
      <c r="P2029" s="67">
        <v>1078</v>
      </c>
      <c r="Q2029" s="68"/>
      <c r="R2029" s="69"/>
      <c r="S2029" s="69"/>
      <c r="T2029" s="69"/>
      <c r="U2029" s="69"/>
      <c r="V2029" s="69"/>
      <c r="W2029" s="68"/>
      <c r="X2029" s="70"/>
      <c r="Y2029" s="70"/>
      <c r="Z2029" s="70"/>
      <c r="AA2029" s="70"/>
      <c r="AB2029" s="70"/>
      <c r="AC2029" s="68"/>
      <c r="AD2029" s="71"/>
      <c r="AE2029" s="71"/>
      <c r="AF2029" s="71"/>
      <c r="AG2029" s="71"/>
      <c r="AH2029" s="71"/>
      <c r="AI2029" s="68"/>
      <c r="AJ2029" s="214">
        <v>3.9689999999999994E-4</v>
      </c>
      <c r="AK2029" s="214">
        <v>1.7345999999999999</v>
      </c>
      <c r="AL2029" s="214">
        <v>4</v>
      </c>
      <c r="AM2029" s="214">
        <v>5.7428799999999995E-4</v>
      </c>
      <c r="AN2029" s="68"/>
      <c r="AO2029" s="67"/>
      <c r="AP2029" s="67"/>
      <c r="AQ2029" s="67"/>
      <c r="AR2029" s="67"/>
      <c r="AS2029" s="67"/>
      <c r="AT2029" s="68"/>
      <c r="AU2029" s="49"/>
      <c r="AV2029" s="50"/>
    </row>
    <row r="2030" spans="1:48" ht="12.75" customHeight="1" x14ac:dyDescent="0.25">
      <c r="A2030" s="72" t="s">
        <v>20</v>
      </c>
      <c r="B2030" s="43" t="s">
        <v>1833</v>
      </c>
      <c r="C2030" s="44" t="s">
        <v>2187</v>
      </c>
      <c r="D2030" s="45">
        <f>MROUND(MID($C2030,6,3)/Basis!$E$3,0.5)</f>
        <v>37.5</v>
      </c>
      <c r="E2030" s="45">
        <f>MROUND(MID($C2030,9,3)/Basis!$E$3,0.5)</f>
        <v>23.5</v>
      </c>
      <c r="F2030" s="124" t="s">
        <v>2944</v>
      </c>
      <c r="G2030" s="45">
        <f>ROUND((ROUNDDOWN($F2030/5,0)*5+1.8)/Basis!$E$3,1)</f>
        <v>6.6</v>
      </c>
      <c r="H2030" s="120">
        <f>ROUND($P2030*Basis!$E$2*((TaH-TrH)/LN(1/µ)/Basis!$E$7)^$N2030*$AA$4*Glycol,0)</f>
        <v>2843</v>
      </c>
      <c r="I2030" s="83">
        <f>ROUND(H2030/(MID($C2030,9,3)/Basis!$E$3/Basis!$E$9)*Basis!$E$11,0)</f>
        <v>1444</v>
      </c>
      <c r="J2030" s="123">
        <f>IF(Basis!$E$1=1,ROUND(H2030/((TaH-TrH)*1.163)/3600,3),ROUND(H2030/(500*(TaH-TrH)),2))</f>
        <v>0.28000000000000003</v>
      </c>
      <c r="K2030" s="84"/>
      <c r="L2030" s="177">
        <f>CHOOSE(Basis!$E$1,((AJ2030*(J2030*3600/Basis!$E$5)^AK2030*(((MID(C2030,9,3)*10)-144)/1000)*AL2030+AM2030*(J2030*3600/Basis!$E$5)^2)*0.0098)/Basis!$E$10,((AJ2030*(J2030/Basis!$E$5)^AK2030*(((MID(C2030,9,3)*10)-144)/1000)*AL2030+AM2030*(J2030/Basis!$E$5)^2)*0.0098)/Basis!$E$10)</f>
        <v>6.9056435337784029E-3</v>
      </c>
      <c r="M2030" s="85"/>
      <c r="N2030" s="109">
        <v>1.32</v>
      </c>
      <c r="O2030" s="68"/>
      <c r="P2030" s="67">
        <v>1288</v>
      </c>
      <c r="Q2030" s="68"/>
      <c r="R2030" s="69"/>
      <c r="S2030" s="69"/>
      <c r="T2030" s="69"/>
      <c r="U2030" s="69"/>
      <c r="V2030" s="69"/>
      <c r="W2030" s="68"/>
      <c r="X2030" s="70"/>
      <c r="Y2030" s="70"/>
      <c r="Z2030" s="70"/>
      <c r="AA2030" s="70"/>
      <c r="AB2030" s="70"/>
      <c r="AC2030" s="68"/>
      <c r="AD2030" s="71"/>
      <c r="AE2030" s="71"/>
      <c r="AF2030" s="71"/>
      <c r="AG2030" s="71"/>
      <c r="AH2030" s="71"/>
      <c r="AI2030" s="68"/>
      <c r="AJ2030" s="214">
        <v>2.0829999999999999E-4</v>
      </c>
      <c r="AK2030" s="214">
        <v>1.724</v>
      </c>
      <c r="AL2030" s="214">
        <v>2</v>
      </c>
      <c r="AM2030" s="214">
        <v>4.6182900000000003E-4</v>
      </c>
      <c r="AN2030" s="68"/>
      <c r="AO2030" s="67"/>
      <c r="AP2030" s="67"/>
      <c r="AQ2030" s="67"/>
      <c r="AR2030" s="67"/>
      <c r="AS2030" s="67"/>
      <c r="AT2030" s="68"/>
      <c r="AU2030" s="49"/>
      <c r="AV2030" s="50"/>
    </row>
    <row r="2031" spans="1:48" ht="12.75" customHeight="1" x14ac:dyDescent="0.25">
      <c r="A2031" s="72" t="s">
        <v>20</v>
      </c>
      <c r="B2031" s="43" t="s">
        <v>1833</v>
      </c>
      <c r="C2031" s="44" t="s">
        <v>2188</v>
      </c>
      <c r="D2031" s="45">
        <f>MROUND(MID($C2031,6,3)/Basis!$E$3,0.5)</f>
        <v>37.5</v>
      </c>
      <c r="E2031" s="45">
        <f>MROUND(MID($C2031,9,3)/Basis!$E$3,0.5)</f>
        <v>23.5</v>
      </c>
      <c r="F2031" s="124" t="s">
        <v>2947</v>
      </c>
      <c r="G2031" s="45">
        <f>ROUND((ROUNDDOWN($F2031/5,0)*5+1.8)/Basis!$E$3,1)</f>
        <v>6.6</v>
      </c>
      <c r="H2031" s="120">
        <f>ROUND($P2031*Basis!$E$2*((TaH-TrH)/LN(1/µ)/Basis!$E$7)^$N2031*$AA$4*Glycol,0)</f>
        <v>3360</v>
      </c>
      <c r="I2031" s="83">
        <f>ROUND(H2031/(MID($C2031,9,3)/Basis!$E$3/Basis!$E$9)*Basis!$E$11,0)</f>
        <v>1707</v>
      </c>
      <c r="J2031" s="123">
        <f>IF(Basis!$E$1=1,ROUND(H2031/((TaH-TrH)*1.163)/3600,3),ROUND(H2031/(500*(TaH-TrH)),2))</f>
        <v>0.34</v>
      </c>
      <c r="K2031" s="84"/>
      <c r="L2031" s="177">
        <f>CHOOSE(Basis!$E$1,((AJ2031*(J2031*3600/Basis!$E$5)^AK2031*(((MID(C2031,9,3)*10)-144)/1000)*AL2031+AM2031*(J2031*3600/Basis!$E$5)^2)*0.0098)/Basis!$E$10,((AJ2031*(J2031/Basis!$E$5)^AK2031*(((MID(C2031,9,3)*10)-144)/1000)*AL2031+AM2031*(J2031/Basis!$E$5)^2)*0.0098)/Basis!$E$10)</f>
        <v>2.9389105546412379E-2</v>
      </c>
      <c r="M2031" s="85"/>
      <c r="N2031" s="109">
        <v>1.482</v>
      </c>
      <c r="O2031" s="68"/>
      <c r="P2031" s="67">
        <v>1606</v>
      </c>
      <c r="Q2031" s="68"/>
      <c r="R2031" s="69"/>
      <c r="S2031" s="69"/>
      <c r="T2031" s="69"/>
      <c r="U2031" s="69"/>
      <c r="V2031" s="69"/>
      <c r="W2031" s="68"/>
      <c r="X2031" s="70"/>
      <c r="Y2031" s="70"/>
      <c r="Z2031" s="70"/>
      <c r="AA2031" s="70"/>
      <c r="AB2031" s="70"/>
      <c r="AC2031" s="68"/>
      <c r="AD2031" s="71"/>
      <c r="AE2031" s="71"/>
      <c r="AF2031" s="71"/>
      <c r="AG2031" s="71"/>
      <c r="AH2031" s="71"/>
      <c r="AI2031" s="68"/>
      <c r="AJ2031" s="214">
        <v>2.0829999999999999E-4</v>
      </c>
      <c r="AK2031" s="214">
        <v>1.724</v>
      </c>
      <c r="AL2031" s="214">
        <v>4</v>
      </c>
      <c r="AM2031" s="214">
        <v>1.392796E-3</v>
      </c>
      <c r="AN2031" s="68"/>
      <c r="AO2031" s="67"/>
      <c r="AP2031" s="67"/>
      <c r="AQ2031" s="67"/>
      <c r="AR2031" s="67"/>
      <c r="AS2031" s="67"/>
      <c r="AT2031" s="68"/>
      <c r="AU2031" s="49"/>
      <c r="AV2031" s="50"/>
    </row>
    <row r="2032" spans="1:48" ht="12.75" customHeight="1" x14ac:dyDescent="0.25">
      <c r="A2032" s="72" t="s">
        <v>20</v>
      </c>
      <c r="B2032" s="43" t="s">
        <v>1833</v>
      </c>
      <c r="C2032" s="44" t="s">
        <v>2189</v>
      </c>
      <c r="D2032" s="45">
        <f>MROUND(MID($C2032,6,3)/Basis!$E$3,0.5)</f>
        <v>37.5</v>
      </c>
      <c r="E2032" s="45">
        <f>MROUND(MID($C2032,9,3)/Basis!$E$3,0.5)</f>
        <v>23.5</v>
      </c>
      <c r="F2032" s="124" t="s">
        <v>2945</v>
      </c>
      <c r="G2032" s="45">
        <f>ROUND((ROUNDDOWN($F2032/5,0)*5+1.8)/Basis!$E$3,1)</f>
        <v>8.6</v>
      </c>
      <c r="H2032" s="120">
        <f>ROUND($P2032*Basis!$E$2*((TaH-TrH)/LN(1/µ)/Basis!$E$7)^$N2032*$AA$4*Glycol,0)</f>
        <v>3962</v>
      </c>
      <c r="I2032" s="83">
        <f>ROUND(H2032/(MID($C2032,9,3)/Basis!$E$3/Basis!$E$9)*Basis!$E$11,0)</f>
        <v>2013</v>
      </c>
      <c r="J2032" s="123">
        <f>IF(Basis!$E$1=1,ROUND(H2032/((TaH-TrH)*1.163)/3600,3),ROUND(H2032/(500*(TaH-TrH)),2))</f>
        <v>0.4</v>
      </c>
      <c r="K2032" s="84"/>
      <c r="L2032" s="177">
        <f>CHOOSE(Basis!$E$1,((AJ2032*(J2032*3600/Basis!$E$5)^AK2032*(((MID(C2032,9,3)*10)-144)/1000)*AL2032+AM2032*(J2032*3600/Basis!$E$5)^2)*0.0098)/Basis!$E$10,((AJ2032*(J2032/Basis!$E$5)^AK2032*(((MID(C2032,9,3)*10)-144)/1000)*AL2032+AM2032*(J2032/Basis!$E$5)^2)*0.0098)/Basis!$E$10)</f>
        <v>1.1059862794799657E-2</v>
      </c>
      <c r="M2032" s="85"/>
      <c r="N2032" s="109">
        <v>1.32</v>
      </c>
      <c r="O2032" s="68"/>
      <c r="P2032" s="67">
        <v>1795</v>
      </c>
      <c r="Q2032" s="68"/>
      <c r="R2032" s="69"/>
      <c r="S2032" s="69"/>
      <c r="T2032" s="69"/>
      <c r="U2032" s="69"/>
      <c r="V2032" s="69"/>
      <c r="W2032" s="68"/>
      <c r="X2032" s="70"/>
      <c r="Y2032" s="70"/>
      <c r="Z2032" s="70"/>
      <c r="AA2032" s="70"/>
      <c r="AB2032" s="70"/>
      <c r="AC2032" s="68"/>
      <c r="AD2032" s="71"/>
      <c r="AE2032" s="71"/>
      <c r="AF2032" s="71"/>
      <c r="AG2032" s="71"/>
      <c r="AH2032" s="71"/>
      <c r="AI2032" s="68"/>
      <c r="AJ2032" s="214">
        <v>1.2760000000000001E-4</v>
      </c>
      <c r="AK2032" s="214">
        <v>1.7219</v>
      </c>
      <c r="AL2032" s="214">
        <v>2</v>
      </c>
      <c r="AM2032" s="214">
        <v>3.76611E-4</v>
      </c>
      <c r="AN2032" s="68"/>
      <c r="AO2032" s="67"/>
      <c r="AP2032" s="67"/>
      <c r="AQ2032" s="67"/>
      <c r="AR2032" s="67"/>
      <c r="AS2032" s="67"/>
      <c r="AT2032" s="68"/>
      <c r="AU2032" s="49"/>
      <c r="AV2032" s="50"/>
    </row>
    <row r="2033" spans="1:48" ht="12.75" customHeight="1" x14ac:dyDescent="0.25">
      <c r="A2033" s="72" t="s">
        <v>20</v>
      </c>
      <c r="B2033" s="43" t="s">
        <v>1833</v>
      </c>
      <c r="C2033" s="44" t="s">
        <v>2190</v>
      </c>
      <c r="D2033" s="45">
        <f>MROUND(MID($C2033,6,3)/Basis!$E$3,0.5)</f>
        <v>37.5</v>
      </c>
      <c r="E2033" s="45">
        <f>MROUND(MID($C2033,9,3)/Basis!$E$3,0.5)</f>
        <v>23.5</v>
      </c>
      <c r="F2033" s="124" t="s">
        <v>2948</v>
      </c>
      <c r="G2033" s="45">
        <f>ROUND((ROUNDDOWN($F2033/5,0)*5+1.8)/Basis!$E$3,1)</f>
        <v>8.6</v>
      </c>
      <c r="H2033" s="120">
        <f>ROUND($P2033*Basis!$E$2*((TaH-TrH)/LN(1/µ)/Basis!$E$7)^$N2033*$AA$4*Glycol,0)</f>
        <v>4856</v>
      </c>
      <c r="I2033" s="83">
        <f>ROUND(H2033/(MID($C2033,9,3)/Basis!$E$3/Basis!$E$9)*Basis!$E$11,0)</f>
        <v>2467</v>
      </c>
      <c r="J2033" s="123">
        <f>IF(Basis!$E$1=1,ROUND(H2033/((TaH-TrH)*1.163)/3600,3),ROUND(H2033/(500*(TaH-TrH)),2))</f>
        <v>0.49</v>
      </c>
      <c r="K2033" s="84"/>
      <c r="L2033" s="177">
        <f>CHOOSE(Basis!$E$1,((AJ2033*(J2033*3600/Basis!$E$5)^AK2033*(((MID(C2033,9,3)*10)-144)/1000)*AL2033+AM2033*(J2033*3600/Basis!$E$5)^2)*0.0098)/Basis!$E$10,((AJ2033*(J2033/Basis!$E$5)^AK2033*(((MID(C2033,9,3)*10)-144)/1000)*AL2033+AM2033*(J2033/Basis!$E$5)^2)*0.0098)/Basis!$E$10)</f>
        <v>2.3366022711381419E-2</v>
      </c>
      <c r="M2033" s="85"/>
      <c r="N2033" s="109">
        <v>1.522</v>
      </c>
      <c r="O2033" s="68"/>
      <c r="P2033" s="67">
        <v>2352</v>
      </c>
      <c r="Q2033" s="68"/>
      <c r="R2033" s="69"/>
      <c r="S2033" s="69"/>
      <c r="T2033" s="69"/>
      <c r="U2033" s="69"/>
      <c r="V2033" s="69"/>
      <c r="W2033" s="68"/>
      <c r="X2033" s="70"/>
      <c r="Y2033" s="70"/>
      <c r="Z2033" s="70"/>
      <c r="AA2033" s="70"/>
      <c r="AB2033" s="70"/>
      <c r="AC2033" s="68"/>
      <c r="AD2033" s="71"/>
      <c r="AE2033" s="71"/>
      <c r="AF2033" s="71"/>
      <c r="AG2033" s="71"/>
      <c r="AH2033" s="71"/>
      <c r="AI2033" s="68"/>
      <c r="AJ2033" s="214">
        <v>1.2760000000000001E-4</v>
      </c>
      <c r="AK2033" s="214">
        <v>1.7219</v>
      </c>
      <c r="AL2033" s="214">
        <v>4</v>
      </c>
      <c r="AM2033" s="214">
        <v>5.1420100000000005E-4</v>
      </c>
      <c r="AN2033" s="68"/>
      <c r="AO2033" s="67"/>
      <c r="AP2033" s="67"/>
      <c r="AQ2033" s="67"/>
      <c r="AR2033" s="67"/>
      <c r="AS2033" s="67"/>
      <c r="AT2033" s="68"/>
      <c r="AU2033" s="49"/>
      <c r="AV2033" s="50"/>
    </row>
    <row r="2034" spans="1:48" ht="12.75" customHeight="1" x14ac:dyDescent="0.25">
      <c r="A2034" s="72" t="s">
        <v>20</v>
      </c>
      <c r="B2034" s="43" t="s">
        <v>1833</v>
      </c>
      <c r="C2034" s="44" t="s">
        <v>2191</v>
      </c>
      <c r="D2034" s="45">
        <f>MROUND(MID($C2034,6,3)/Basis!$E$3,0.5)</f>
        <v>37.5</v>
      </c>
      <c r="E2034" s="45">
        <f>MROUND(MID($C2034,9,3)/Basis!$E$3,0.5)</f>
        <v>27.5</v>
      </c>
      <c r="F2034" s="124" t="s">
        <v>2949</v>
      </c>
      <c r="G2034" s="45">
        <f>ROUND((ROUNDDOWN($F2034/5,0)*5+3.5)/Basis!$E$3,1)</f>
        <v>3.3</v>
      </c>
      <c r="H2034" s="120">
        <f>ROUND($P2034*Basis!$E$2*((TaH-TrH)/LN(1/µ)/Basis!$E$7)^$N2034*$AA$4*Glycol,0)</f>
        <v>1902</v>
      </c>
      <c r="I2034" s="83">
        <f>ROUND(H2034/(MID($C2034,9,3)/Basis!$E$3/Basis!$E$9)*Basis!$E$11,0)</f>
        <v>828</v>
      </c>
      <c r="J2034" s="123">
        <f>IF(Basis!$E$1=1,ROUND(H2034/((TaH-TrH)*1.163)/3600,3),ROUND(H2034/(500*(TaH-TrH)),2))</f>
        <v>0.19</v>
      </c>
      <c r="K2034" s="84"/>
      <c r="L2034" s="177">
        <f>CHOOSE(Basis!$E$1,((AJ2034*(J2034*3600/Basis!$E$5)^AK2034*(((MID(C2034,9,3)*10)-144)/1000)*AL2034+AM2034*(J2034*3600/Basis!$E$5)^2)*0.0098)/Basis!$E$10,((AJ2034*(J2034/Basis!$E$5)^AK2034*(((MID(C2034,9,3)*10)-144)/1000)*AL2034+AM2034*(J2034/Basis!$E$5)^2)*0.0098)/Basis!$E$10)</f>
        <v>1.2255266420374679E-2</v>
      </c>
      <c r="M2034" s="85"/>
      <c r="N2034" s="109">
        <v>1.3069999999999999</v>
      </c>
      <c r="O2034" s="68"/>
      <c r="P2034" s="67">
        <v>858</v>
      </c>
      <c r="Q2034" s="68"/>
      <c r="R2034" s="69"/>
      <c r="S2034" s="69"/>
      <c r="T2034" s="69"/>
      <c r="U2034" s="69"/>
      <c r="V2034" s="69"/>
      <c r="W2034" s="68"/>
      <c r="X2034" s="70"/>
      <c r="Y2034" s="70"/>
      <c r="Z2034" s="70"/>
      <c r="AA2034" s="70"/>
      <c r="AB2034" s="70"/>
      <c r="AC2034" s="68"/>
      <c r="AD2034" s="71"/>
      <c r="AE2034" s="71"/>
      <c r="AF2034" s="71"/>
      <c r="AG2034" s="71"/>
      <c r="AH2034" s="71"/>
      <c r="AI2034" s="68"/>
      <c r="AJ2034" s="214">
        <v>1.6125983042710999E-4</v>
      </c>
      <c r="AK2034" s="214">
        <v>2.1458504622376</v>
      </c>
      <c r="AL2034" s="214">
        <v>4</v>
      </c>
      <c r="AM2034" s="214">
        <v>1.3916423712342001E-3</v>
      </c>
      <c r="AN2034" s="68"/>
      <c r="AO2034" s="67"/>
      <c r="AP2034" s="67"/>
      <c r="AQ2034" s="67"/>
      <c r="AR2034" s="67"/>
      <c r="AS2034" s="67"/>
      <c r="AT2034" s="68"/>
      <c r="AU2034" s="49"/>
      <c r="AV2034" s="50"/>
    </row>
    <row r="2035" spans="1:48" ht="12.75" customHeight="1" x14ac:dyDescent="0.25">
      <c r="A2035" s="72" t="s">
        <v>20</v>
      </c>
      <c r="B2035" s="43" t="s">
        <v>1833</v>
      </c>
      <c r="C2035" s="44" t="s">
        <v>2192</v>
      </c>
      <c r="D2035" s="45">
        <f>MROUND(MID($C2035,6,3)/Basis!$E$3,0.5)</f>
        <v>37.5</v>
      </c>
      <c r="E2035" s="45">
        <f>MROUND(MID($C2035,9,3)/Basis!$E$3,0.5)</f>
        <v>27.5</v>
      </c>
      <c r="F2035" s="124" t="s">
        <v>2943</v>
      </c>
      <c r="G2035" s="45">
        <f>ROUND((ROUNDDOWN($F2035/5,0)*5+1.8)/Basis!$E$3,1)</f>
        <v>4.5999999999999996</v>
      </c>
      <c r="H2035" s="120">
        <f>ROUND($P2035*Basis!$E$2*((TaH-TrH)/LN(1/µ)/Basis!$E$7)^$N2035*$AA$4*Glycol,0)</f>
        <v>2136</v>
      </c>
      <c r="I2035" s="83">
        <f>ROUND(H2035/(MID($C2035,9,3)/Basis!$E$3/Basis!$E$9)*Basis!$E$11,0)</f>
        <v>930</v>
      </c>
      <c r="J2035" s="123">
        <f>IF(Basis!$E$1=1,ROUND(H2035/((TaH-TrH)*1.163)/3600,3),ROUND(H2035/(500*(TaH-TrH)),2))</f>
        <v>0.21</v>
      </c>
      <c r="K2035" s="84"/>
      <c r="L2035" s="177">
        <f>CHOOSE(Basis!$E$1,((AJ2035*(J2035*3600/Basis!$E$5)^AK2035*(((MID(C2035,9,3)*10)-144)/1000)*AL2035+AM2035*(J2035*3600/Basis!$E$5)^2)*0.0098)/Basis!$E$10,((AJ2035*(J2035/Basis!$E$5)^AK2035*(((MID(C2035,9,3)*10)-144)/1000)*AL2035+AM2035*(J2035/Basis!$E$5)^2)*0.0098)/Basis!$E$10)</f>
        <v>3.9095090178842707E-3</v>
      </c>
      <c r="M2035" s="85"/>
      <c r="N2035" s="110">
        <v>1.343</v>
      </c>
      <c r="O2035" s="74"/>
      <c r="P2035" s="73">
        <v>975</v>
      </c>
      <c r="Q2035" s="74"/>
      <c r="R2035" s="75"/>
      <c r="S2035" s="75"/>
      <c r="T2035" s="75"/>
      <c r="U2035" s="75"/>
      <c r="V2035" s="75"/>
      <c r="W2035" s="74"/>
      <c r="X2035" s="76"/>
      <c r="Y2035" s="76"/>
      <c r="Z2035" s="76"/>
      <c r="AA2035" s="76"/>
      <c r="AB2035" s="76"/>
      <c r="AC2035" s="74"/>
      <c r="AD2035" s="77"/>
      <c r="AE2035" s="77"/>
      <c r="AF2035" s="77"/>
      <c r="AG2035" s="77"/>
      <c r="AH2035" s="77"/>
      <c r="AI2035" s="68"/>
      <c r="AJ2035" s="213">
        <v>3.9689999999999994E-4</v>
      </c>
      <c r="AK2035" s="213">
        <v>1.7345999999999999</v>
      </c>
      <c r="AL2035" s="213">
        <v>2</v>
      </c>
      <c r="AM2035" s="213">
        <v>3.6734700000000002E-4</v>
      </c>
      <c r="AN2035" s="74"/>
      <c r="AO2035" s="73"/>
      <c r="AP2035" s="73"/>
      <c r="AQ2035" s="73"/>
      <c r="AR2035" s="73"/>
      <c r="AS2035" s="73"/>
      <c r="AT2035" s="74"/>
      <c r="AU2035" s="47"/>
      <c r="AV2035" s="48"/>
    </row>
    <row r="2036" spans="1:48" ht="12.75" customHeight="1" x14ac:dyDescent="0.25">
      <c r="A2036" s="72" t="s">
        <v>20</v>
      </c>
      <c r="B2036" s="43" t="s">
        <v>1833</v>
      </c>
      <c r="C2036" s="44" t="s">
        <v>2193</v>
      </c>
      <c r="D2036" s="45">
        <f>MROUND(MID($C2036,6,3)/Basis!$E$3,0.5)</f>
        <v>37.5</v>
      </c>
      <c r="E2036" s="45">
        <f>MROUND(MID($C2036,9,3)/Basis!$E$3,0.5)</f>
        <v>27.5</v>
      </c>
      <c r="F2036" s="124" t="s">
        <v>2946</v>
      </c>
      <c r="G2036" s="45">
        <f>ROUND((ROUNDDOWN($F2036/5,0)*5+1.8)/Basis!$E$3,1)</f>
        <v>4.5999999999999996</v>
      </c>
      <c r="H2036" s="120">
        <f>ROUND($P2036*Basis!$E$2*((TaH-TrH)/LN(1/µ)/Basis!$E$7)^$N2036*$AA$4*Glycol,0)</f>
        <v>2672</v>
      </c>
      <c r="I2036" s="83">
        <f>ROUND(H2036/(MID($C2036,9,3)/Basis!$E$3/Basis!$E$9)*Basis!$E$11,0)</f>
        <v>1163</v>
      </c>
      <c r="J2036" s="123">
        <f>IF(Basis!$E$1=1,ROUND(H2036/((TaH-TrH)*1.163)/3600,3),ROUND(H2036/(500*(TaH-TrH)),2))</f>
        <v>0.27</v>
      </c>
      <c r="K2036" s="84"/>
      <c r="L2036" s="177">
        <f>CHOOSE(Basis!$E$1,((AJ2036*(J2036*3600/Basis!$E$5)^AK2036*(((MID(C2036,9,3)*10)-144)/1000)*AL2036+AM2036*(J2036*3600/Basis!$E$5)^2)*0.0098)/Basis!$E$10,((AJ2036*(J2036/Basis!$E$5)^AK2036*(((MID(C2036,9,3)*10)-144)/1000)*AL2036+AM2036*(J2036/Basis!$E$5)^2)*0.0098)/Basis!$E$10)</f>
        <v>1.0701865237398229E-2</v>
      </c>
      <c r="M2036" s="85"/>
      <c r="N2036" s="110">
        <v>1.4339999999999999</v>
      </c>
      <c r="O2036" s="74"/>
      <c r="P2036" s="73">
        <v>1257</v>
      </c>
      <c r="Q2036" s="74"/>
      <c r="R2036" s="75"/>
      <c r="S2036" s="75"/>
      <c r="T2036" s="75"/>
      <c r="U2036" s="75"/>
      <c r="V2036" s="75"/>
      <c r="W2036" s="74"/>
      <c r="X2036" s="76"/>
      <c r="Y2036" s="76"/>
      <c r="Z2036" s="76"/>
      <c r="AA2036" s="76"/>
      <c r="AB2036" s="76"/>
      <c r="AC2036" s="74"/>
      <c r="AD2036" s="77"/>
      <c r="AE2036" s="77"/>
      <c r="AF2036" s="77"/>
      <c r="AG2036" s="77"/>
      <c r="AH2036" s="77"/>
      <c r="AI2036" s="68"/>
      <c r="AJ2036" s="213">
        <v>3.9689999999999994E-4</v>
      </c>
      <c r="AK2036" s="213">
        <v>1.7345999999999999</v>
      </c>
      <c r="AL2036" s="213">
        <v>4</v>
      </c>
      <c r="AM2036" s="213">
        <v>5.7428799999999995E-4</v>
      </c>
      <c r="AN2036" s="74"/>
      <c r="AO2036" s="73"/>
      <c r="AP2036" s="73"/>
      <c r="AQ2036" s="73"/>
      <c r="AR2036" s="73"/>
      <c r="AS2036" s="73"/>
      <c r="AT2036" s="74"/>
      <c r="AU2036" s="47"/>
      <c r="AV2036" s="48"/>
    </row>
    <row r="2037" spans="1:48" ht="12.75" customHeight="1" x14ac:dyDescent="0.25">
      <c r="A2037" s="72" t="s">
        <v>20</v>
      </c>
      <c r="B2037" s="43" t="s">
        <v>1833</v>
      </c>
      <c r="C2037" s="44" t="s">
        <v>2194</v>
      </c>
      <c r="D2037" s="45">
        <f>MROUND(MID($C2037,6,3)/Basis!$E$3,0.5)</f>
        <v>37.5</v>
      </c>
      <c r="E2037" s="45">
        <f>MROUND(MID($C2037,9,3)/Basis!$E$3,0.5)</f>
        <v>27.5</v>
      </c>
      <c r="F2037" s="124" t="s">
        <v>2944</v>
      </c>
      <c r="G2037" s="45">
        <f>ROUND((ROUNDDOWN($F2037/5,0)*5+1.8)/Basis!$E$3,1)</f>
        <v>6.6</v>
      </c>
      <c r="H2037" s="120">
        <f>ROUND($P2037*Basis!$E$2*((TaH-TrH)/LN(1/µ)/Basis!$E$7)^$N2037*$AA$4*Glycol,0)</f>
        <v>3315</v>
      </c>
      <c r="I2037" s="83">
        <f>ROUND(H2037/(MID($C2037,9,3)/Basis!$E$3/Basis!$E$9)*Basis!$E$11,0)</f>
        <v>1443</v>
      </c>
      <c r="J2037" s="123">
        <f>IF(Basis!$E$1=1,ROUND(H2037/((TaH-TrH)*1.163)/3600,3),ROUND(H2037/(500*(TaH-TrH)),2))</f>
        <v>0.33</v>
      </c>
      <c r="K2037" s="84"/>
      <c r="L2037" s="177">
        <f>CHOOSE(Basis!$E$1,((AJ2037*(J2037*3600/Basis!$E$5)^AK2037*(((MID(C2037,9,3)*10)-144)/1000)*AL2037+AM2037*(J2037*3600/Basis!$E$5)^2)*0.0098)/Basis!$E$10,((AJ2037*(J2037/Basis!$E$5)^AK2037*(((MID(C2037,9,3)*10)-144)/1000)*AL2037+AM2037*(J2037/Basis!$E$5)^2)*0.0098)/Basis!$E$10)</f>
        <v>9.7754350889440005E-3</v>
      </c>
      <c r="M2037" s="85"/>
      <c r="N2037" s="110">
        <v>1.32</v>
      </c>
      <c r="O2037" s="74"/>
      <c r="P2037" s="73">
        <v>1502</v>
      </c>
      <c r="Q2037" s="74"/>
      <c r="R2037" s="75"/>
      <c r="S2037" s="75"/>
      <c r="T2037" s="75"/>
      <c r="U2037" s="75"/>
      <c r="V2037" s="75"/>
      <c r="W2037" s="74"/>
      <c r="X2037" s="76"/>
      <c r="Y2037" s="76"/>
      <c r="Z2037" s="76"/>
      <c r="AA2037" s="76"/>
      <c r="AB2037" s="76"/>
      <c r="AC2037" s="74"/>
      <c r="AD2037" s="77"/>
      <c r="AE2037" s="77"/>
      <c r="AF2037" s="77"/>
      <c r="AG2037" s="77"/>
      <c r="AH2037" s="77"/>
      <c r="AI2037" s="68"/>
      <c r="AJ2037" s="213">
        <v>2.0829999999999999E-4</v>
      </c>
      <c r="AK2037" s="213">
        <v>1.724</v>
      </c>
      <c r="AL2037" s="213">
        <v>2</v>
      </c>
      <c r="AM2037" s="213">
        <v>4.6182900000000003E-4</v>
      </c>
      <c r="AN2037" s="74"/>
      <c r="AO2037" s="73"/>
      <c r="AP2037" s="73"/>
      <c r="AQ2037" s="73"/>
      <c r="AR2037" s="73"/>
      <c r="AS2037" s="73"/>
      <c r="AT2037" s="74"/>
      <c r="AU2037" s="47"/>
      <c r="AV2037" s="48"/>
    </row>
    <row r="2038" spans="1:48" ht="12.75" customHeight="1" x14ac:dyDescent="0.25">
      <c r="A2038" s="72" t="s">
        <v>20</v>
      </c>
      <c r="B2038" s="43" t="s">
        <v>1833</v>
      </c>
      <c r="C2038" s="44" t="s">
        <v>2195</v>
      </c>
      <c r="D2038" s="45">
        <f>MROUND(MID($C2038,6,3)/Basis!$E$3,0.5)</f>
        <v>37.5</v>
      </c>
      <c r="E2038" s="45">
        <f>MROUND(MID($C2038,9,3)/Basis!$E$3,0.5)</f>
        <v>27.5</v>
      </c>
      <c r="F2038" s="124" t="s">
        <v>2947</v>
      </c>
      <c r="G2038" s="45">
        <f>ROUND((ROUNDDOWN($F2038/5,0)*5+1.8)/Basis!$E$3,1)</f>
        <v>6.6</v>
      </c>
      <c r="H2038" s="120">
        <f>ROUND($P2038*Basis!$E$2*((TaH-TrH)/LN(1/µ)/Basis!$E$7)^$N2038*$AA$4*Glycol,0)</f>
        <v>3921</v>
      </c>
      <c r="I2038" s="83">
        <f>ROUND(H2038/(MID($C2038,9,3)/Basis!$E$3/Basis!$E$9)*Basis!$E$11,0)</f>
        <v>1707</v>
      </c>
      <c r="J2038" s="123">
        <f>IF(Basis!$E$1=1,ROUND(H2038/((TaH-TrH)*1.163)/3600,3),ROUND(H2038/(500*(TaH-TrH)),2))</f>
        <v>0.39</v>
      </c>
      <c r="K2038" s="84"/>
      <c r="L2038" s="177">
        <f>CHOOSE(Basis!$E$1,((AJ2038*(J2038*3600/Basis!$E$5)^AK2038*(((MID(C2038,9,3)*10)-144)/1000)*AL2038+AM2038*(J2038*3600/Basis!$E$5)^2)*0.0098)/Basis!$E$10,((AJ2038*(J2038/Basis!$E$5)^AK2038*(((MID(C2038,9,3)*10)-144)/1000)*AL2038+AM2038*(J2038/Basis!$E$5)^2)*0.0098)/Basis!$E$10)</f>
        <v>3.9179502893829724E-2</v>
      </c>
      <c r="M2038" s="85"/>
      <c r="N2038" s="110">
        <v>1.482</v>
      </c>
      <c r="O2038" s="74"/>
      <c r="P2038" s="73">
        <v>1874</v>
      </c>
      <c r="Q2038" s="74"/>
      <c r="R2038" s="75"/>
      <c r="S2038" s="75"/>
      <c r="T2038" s="75"/>
      <c r="U2038" s="75"/>
      <c r="V2038" s="75"/>
      <c r="W2038" s="74"/>
      <c r="X2038" s="76"/>
      <c r="Y2038" s="76"/>
      <c r="Z2038" s="76"/>
      <c r="AA2038" s="76"/>
      <c r="AB2038" s="76"/>
      <c r="AC2038" s="74"/>
      <c r="AD2038" s="77"/>
      <c r="AE2038" s="77"/>
      <c r="AF2038" s="77"/>
      <c r="AG2038" s="77"/>
      <c r="AH2038" s="77"/>
      <c r="AI2038" s="68"/>
      <c r="AJ2038" s="213">
        <v>2.0829999999999999E-4</v>
      </c>
      <c r="AK2038" s="213">
        <v>1.724</v>
      </c>
      <c r="AL2038" s="213">
        <v>4</v>
      </c>
      <c r="AM2038" s="213">
        <v>1.392796E-3</v>
      </c>
      <c r="AN2038" s="74"/>
      <c r="AO2038" s="73"/>
      <c r="AP2038" s="73"/>
      <c r="AQ2038" s="73"/>
      <c r="AR2038" s="73"/>
      <c r="AS2038" s="73"/>
      <c r="AT2038" s="74"/>
      <c r="AU2038" s="47"/>
      <c r="AV2038" s="48"/>
    </row>
    <row r="2039" spans="1:48" ht="12.75" customHeight="1" x14ac:dyDescent="0.25">
      <c r="A2039" s="72" t="s">
        <v>20</v>
      </c>
      <c r="B2039" s="43" t="s">
        <v>1833</v>
      </c>
      <c r="C2039" s="44" t="s">
        <v>2196</v>
      </c>
      <c r="D2039" s="45">
        <f>MROUND(MID($C2039,6,3)/Basis!$E$3,0.5)</f>
        <v>37.5</v>
      </c>
      <c r="E2039" s="45">
        <f>MROUND(MID($C2039,9,3)/Basis!$E$3,0.5)</f>
        <v>27.5</v>
      </c>
      <c r="F2039" s="124" t="s">
        <v>2945</v>
      </c>
      <c r="G2039" s="45">
        <f>ROUND((ROUNDDOWN($F2039/5,0)*5+1.8)/Basis!$E$3,1)</f>
        <v>8.6</v>
      </c>
      <c r="H2039" s="120">
        <f>ROUND($P2039*Basis!$E$2*((TaH-TrH)/LN(1/µ)/Basis!$E$7)^$N2039*$AA$4*Glycol,0)</f>
        <v>4622</v>
      </c>
      <c r="I2039" s="83">
        <f>ROUND(H2039/(MID($C2039,9,3)/Basis!$E$3/Basis!$E$9)*Basis!$E$11,0)</f>
        <v>2013</v>
      </c>
      <c r="J2039" s="123">
        <f>IF(Basis!$E$1=1,ROUND(H2039/((TaH-TrH)*1.163)/3600,3),ROUND(H2039/(500*(TaH-TrH)),2))</f>
        <v>0.46</v>
      </c>
      <c r="K2039" s="84"/>
      <c r="L2039" s="177">
        <f>CHOOSE(Basis!$E$1,((AJ2039*(J2039*3600/Basis!$E$5)^AK2039*(((MID(C2039,9,3)*10)-144)/1000)*AL2039+AM2039*(J2039*3600/Basis!$E$5)^2)*0.0098)/Basis!$E$10,((AJ2039*(J2039/Basis!$E$5)^AK2039*(((MID(C2039,9,3)*10)-144)/1000)*AL2039+AM2039*(J2039/Basis!$E$5)^2)*0.0098)/Basis!$E$10)</f>
        <v>1.4831490587558801E-2</v>
      </c>
      <c r="M2039" s="85"/>
      <c r="N2039" s="110">
        <v>1.32</v>
      </c>
      <c r="O2039" s="74"/>
      <c r="P2039" s="73">
        <v>2094</v>
      </c>
      <c r="Q2039" s="74"/>
      <c r="R2039" s="75"/>
      <c r="S2039" s="75"/>
      <c r="T2039" s="75"/>
      <c r="U2039" s="75"/>
      <c r="V2039" s="75"/>
      <c r="W2039" s="74"/>
      <c r="X2039" s="76"/>
      <c r="Y2039" s="76"/>
      <c r="Z2039" s="76"/>
      <c r="AA2039" s="76"/>
      <c r="AB2039" s="76"/>
      <c r="AC2039" s="74"/>
      <c r="AD2039" s="77"/>
      <c r="AE2039" s="77"/>
      <c r="AF2039" s="77"/>
      <c r="AG2039" s="77"/>
      <c r="AH2039" s="77"/>
      <c r="AI2039" s="68"/>
      <c r="AJ2039" s="214">
        <v>1.2760000000000001E-4</v>
      </c>
      <c r="AK2039" s="214">
        <v>1.7219</v>
      </c>
      <c r="AL2039" s="214">
        <v>2</v>
      </c>
      <c r="AM2039" s="214">
        <v>3.76611E-4</v>
      </c>
      <c r="AN2039" s="74"/>
      <c r="AO2039" s="73"/>
      <c r="AP2039" s="73"/>
      <c r="AQ2039" s="73"/>
      <c r="AR2039" s="73"/>
      <c r="AS2039" s="73"/>
      <c r="AT2039" s="74"/>
      <c r="AU2039" s="47"/>
      <c r="AV2039" s="48"/>
    </row>
    <row r="2040" spans="1:48" ht="12.75" customHeight="1" x14ac:dyDescent="0.25">
      <c r="A2040" s="72" t="s">
        <v>20</v>
      </c>
      <c r="B2040" s="43" t="s">
        <v>1833</v>
      </c>
      <c r="C2040" s="44" t="s">
        <v>2197</v>
      </c>
      <c r="D2040" s="45">
        <f>MROUND(MID($C2040,6,3)/Basis!$E$3,0.5)</f>
        <v>37.5</v>
      </c>
      <c r="E2040" s="45">
        <f>MROUND(MID($C2040,9,3)/Basis!$E$3,0.5)</f>
        <v>27.5</v>
      </c>
      <c r="F2040" s="124" t="s">
        <v>2948</v>
      </c>
      <c r="G2040" s="45">
        <f>ROUND((ROUNDDOWN($F2040/5,0)*5+1.8)/Basis!$E$3,1)</f>
        <v>8.6</v>
      </c>
      <c r="H2040" s="120">
        <f>ROUND($P2040*Basis!$E$2*((TaH-TrH)/LN(1/µ)/Basis!$E$7)^$N2040*$AA$4*Glycol,0)</f>
        <v>5666</v>
      </c>
      <c r="I2040" s="83">
        <f>ROUND(H2040/(MID($C2040,9,3)/Basis!$E$3/Basis!$E$9)*Basis!$E$11,0)</f>
        <v>2467</v>
      </c>
      <c r="J2040" s="123">
        <f>IF(Basis!$E$1=1,ROUND(H2040/((TaH-TrH)*1.163)/3600,3),ROUND(H2040/(500*(TaH-TrH)),2))</f>
        <v>0.56999999999999995</v>
      </c>
      <c r="K2040" s="84"/>
      <c r="L2040" s="177">
        <f>CHOOSE(Basis!$E$1,((AJ2040*(J2040*3600/Basis!$E$5)^AK2040*(((MID(C2040,9,3)*10)-144)/1000)*AL2040+AM2040*(J2040*3600/Basis!$E$5)^2)*0.0098)/Basis!$E$10,((AJ2040*(J2040/Basis!$E$5)^AK2040*(((MID(C2040,9,3)*10)-144)/1000)*AL2040+AM2040*(J2040/Basis!$E$5)^2)*0.0098)/Basis!$E$10)</f>
        <v>3.220020175586101E-2</v>
      </c>
      <c r="M2040" s="85"/>
      <c r="N2040" s="110">
        <v>1.522</v>
      </c>
      <c r="O2040" s="74"/>
      <c r="P2040" s="73">
        <v>2744</v>
      </c>
      <c r="Q2040" s="74"/>
      <c r="R2040" s="75"/>
      <c r="S2040" s="75"/>
      <c r="T2040" s="75"/>
      <c r="U2040" s="75"/>
      <c r="V2040" s="75"/>
      <c r="W2040" s="74"/>
      <c r="X2040" s="76"/>
      <c r="Y2040" s="76"/>
      <c r="Z2040" s="76"/>
      <c r="AA2040" s="76"/>
      <c r="AB2040" s="76"/>
      <c r="AC2040" s="74"/>
      <c r="AD2040" s="77"/>
      <c r="AE2040" s="77"/>
      <c r="AF2040" s="77"/>
      <c r="AG2040" s="77"/>
      <c r="AH2040" s="77"/>
      <c r="AI2040" s="68"/>
      <c r="AJ2040" s="213">
        <v>1.2760000000000001E-4</v>
      </c>
      <c r="AK2040" s="213">
        <v>1.7219</v>
      </c>
      <c r="AL2040" s="213">
        <v>4</v>
      </c>
      <c r="AM2040" s="213">
        <v>5.1420100000000005E-4</v>
      </c>
      <c r="AN2040" s="74"/>
      <c r="AO2040" s="73"/>
      <c r="AP2040" s="73"/>
      <c r="AQ2040" s="73"/>
      <c r="AR2040" s="73"/>
      <c r="AS2040" s="73"/>
      <c r="AT2040" s="74"/>
      <c r="AU2040" s="47"/>
      <c r="AV2040" s="48"/>
    </row>
    <row r="2041" spans="1:48" ht="12.75" customHeight="1" x14ac:dyDescent="0.25">
      <c r="A2041" s="72" t="s">
        <v>20</v>
      </c>
      <c r="B2041" s="43" t="s">
        <v>1833</v>
      </c>
      <c r="C2041" s="44" t="s">
        <v>2198</v>
      </c>
      <c r="D2041" s="45">
        <f>MROUND(MID($C2041,6,3)/Basis!$E$3,0.5)</f>
        <v>37.5</v>
      </c>
      <c r="E2041" s="45">
        <f>MROUND(MID($C2041,9,3)/Basis!$E$3,0.5)</f>
        <v>31.5</v>
      </c>
      <c r="F2041" s="124" t="s">
        <v>2949</v>
      </c>
      <c r="G2041" s="45">
        <f>ROUND((ROUNDDOWN($F2041/5,0)*5+3.5)/Basis!$E$3,1)</f>
        <v>3.3</v>
      </c>
      <c r="H2041" s="120">
        <f>ROUND($P2041*Basis!$E$2*((TaH-TrH)/LN(1/µ)/Basis!$E$7)^$N2041*$AA$4*Glycol,0)</f>
        <v>2174</v>
      </c>
      <c r="I2041" s="83">
        <f>ROUND(H2041/(MID($C2041,9,3)/Basis!$E$3/Basis!$E$9)*Basis!$E$11,0)</f>
        <v>828</v>
      </c>
      <c r="J2041" s="123">
        <f>IF(Basis!$E$1=1,ROUND(H2041/((TaH-TrH)*1.163)/3600,3),ROUND(H2041/(500*(TaH-TrH)),2))</f>
        <v>0.22</v>
      </c>
      <c r="K2041" s="84"/>
      <c r="L2041" s="177">
        <f>CHOOSE(Basis!$E$1,((AJ2041*(J2041*3600/Basis!$E$5)^AK2041*(((MID(C2041,9,3)*10)-144)/1000)*AL2041+AM2041*(J2041*3600/Basis!$E$5)^2)*0.0098)/Basis!$E$10,((AJ2041*(J2041/Basis!$E$5)^AK2041*(((MID(C2041,9,3)*10)-144)/1000)*AL2041+AM2041*(J2041/Basis!$E$5)^2)*0.0098)/Basis!$E$10)</f>
        <v>1.7472042868415773E-2</v>
      </c>
      <c r="M2041" s="85"/>
      <c r="N2041" s="110">
        <v>1.3069999999999999</v>
      </c>
      <c r="O2041" s="74"/>
      <c r="P2041" s="73">
        <v>981</v>
      </c>
      <c r="Q2041" s="74"/>
      <c r="R2041" s="75"/>
      <c r="S2041" s="75"/>
      <c r="T2041" s="75"/>
      <c r="U2041" s="75"/>
      <c r="V2041" s="75"/>
      <c r="W2041" s="74"/>
      <c r="X2041" s="76"/>
      <c r="Y2041" s="76"/>
      <c r="Z2041" s="76"/>
      <c r="AA2041" s="76"/>
      <c r="AB2041" s="76"/>
      <c r="AC2041" s="74"/>
      <c r="AD2041" s="77"/>
      <c r="AE2041" s="77"/>
      <c r="AF2041" s="77"/>
      <c r="AG2041" s="77"/>
      <c r="AH2041" s="77"/>
      <c r="AI2041" s="68"/>
      <c r="AJ2041" s="213">
        <v>1.6125983042710999E-4</v>
      </c>
      <c r="AK2041" s="213">
        <v>2.1458504622376</v>
      </c>
      <c r="AL2041" s="213">
        <v>4</v>
      </c>
      <c r="AM2041" s="213">
        <v>1.3916423712342001E-3</v>
      </c>
      <c r="AN2041" s="74"/>
      <c r="AO2041" s="73"/>
      <c r="AP2041" s="73"/>
      <c r="AQ2041" s="73"/>
      <c r="AR2041" s="73"/>
      <c r="AS2041" s="73"/>
      <c r="AT2041" s="74"/>
      <c r="AU2041" s="47"/>
      <c r="AV2041" s="48"/>
    </row>
    <row r="2042" spans="1:48" ht="12.75" customHeight="1" x14ac:dyDescent="0.25">
      <c r="A2042" s="72" t="s">
        <v>20</v>
      </c>
      <c r="B2042" s="43" t="s">
        <v>1833</v>
      </c>
      <c r="C2042" s="44" t="s">
        <v>2199</v>
      </c>
      <c r="D2042" s="45">
        <f>MROUND(MID($C2042,6,3)/Basis!$E$3,0.5)</f>
        <v>37.5</v>
      </c>
      <c r="E2042" s="45">
        <f>MROUND(MID($C2042,9,3)/Basis!$E$3,0.5)</f>
        <v>31.5</v>
      </c>
      <c r="F2042" s="124" t="s">
        <v>2943</v>
      </c>
      <c r="G2042" s="45">
        <f>ROUND((ROUNDDOWN($F2042/5,0)*5+1.8)/Basis!$E$3,1)</f>
        <v>4.5999999999999996</v>
      </c>
      <c r="H2042" s="120">
        <f>ROUND($P2042*Basis!$E$2*((TaH-TrH)/LN(1/µ)/Basis!$E$7)^$N2042*$AA$4*Glycol,0)</f>
        <v>2440</v>
      </c>
      <c r="I2042" s="83">
        <f>ROUND(H2042/(MID($C2042,9,3)/Basis!$E$3/Basis!$E$9)*Basis!$E$11,0)</f>
        <v>930</v>
      </c>
      <c r="J2042" s="123">
        <f>IF(Basis!$E$1=1,ROUND(H2042/((TaH-TrH)*1.163)/3600,3),ROUND(H2042/(500*(TaH-TrH)),2))</f>
        <v>0.24</v>
      </c>
      <c r="K2042" s="84"/>
      <c r="L2042" s="177">
        <f>CHOOSE(Basis!$E$1,((AJ2042*(J2042*3600/Basis!$E$5)^AK2042*(((MID(C2042,9,3)*10)-144)/1000)*AL2042+AM2042*(J2042*3600/Basis!$E$5)^2)*0.0098)/Basis!$E$10,((AJ2042*(J2042/Basis!$E$5)^AK2042*(((MID(C2042,9,3)*10)-144)/1000)*AL2042+AM2042*(J2042/Basis!$E$5)^2)*0.0098)/Basis!$E$10)</f>
        <v>5.3196471560655973E-3</v>
      </c>
      <c r="M2042" s="85"/>
      <c r="N2042" s="109">
        <v>1.343</v>
      </c>
      <c r="O2042" s="68"/>
      <c r="P2042" s="67">
        <v>1114</v>
      </c>
      <c r="Q2042" s="68"/>
      <c r="R2042" s="69"/>
      <c r="S2042" s="69"/>
      <c r="T2042" s="69"/>
      <c r="U2042" s="69"/>
      <c r="V2042" s="69"/>
      <c r="W2042" s="68"/>
      <c r="X2042" s="70"/>
      <c r="Y2042" s="70"/>
      <c r="Z2042" s="70"/>
      <c r="AA2042" s="70"/>
      <c r="AB2042" s="70"/>
      <c r="AC2042" s="68"/>
      <c r="AD2042" s="71"/>
      <c r="AE2042" s="71"/>
      <c r="AF2042" s="71"/>
      <c r="AG2042" s="71"/>
      <c r="AH2042" s="71"/>
      <c r="AI2042" s="68"/>
      <c r="AJ2042" s="214">
        <v>3.9689999999999994E-4</v>
      </c>
      <c r="AK2042" s="214">
        <v>1.7345999999999999</v>
      </c>
      <c r="AL2042" s="214">
        <v>2</v>
      </c>
      <c r="AM2042" s="214">
        <v>3.6734700000000002E-4</v>
      </c>
      <c r="AN2042" s="68"/>
      <c r="AO2042" s="67"/>
      <c r="AP2042" s="67"/>
      <c r="AQ2042" s="67"/>
      <c r="AR2042" s="67"/>
      <c r="AS2042" s="67"/>
      <c r="AT2042" s="68"/>
      <c r="AU2042" s="49"/>
      <c r="AV2042" s="50"/>
    </row>
    <row r="2043" spans="1:48" ht="12.75" customHeight="1" x14ac:dyDescent="0.25">
      <c r="A2043" s="72" t="s">
        <v>20</v>
      </c>
      <c r="B2043" s="43" t="s">
        <v>1833</v>
      </c>
      <c r="C2043" s="44" t="s">
        <v>2200</v>
      </c>
      <c r="D2043" s="45">
        <f>MROUND(MID($C2043,6,3)/Basis!$E$3,0.5)</f>
        <v>37.5</v>
      </c>
      <c r="E2043" s="45">
        <f>MROUND(MID($C2043,9,3)/Basis!$E$3,0.5)</f>
        <v>31.5</v>
      </c>
      <c r="F2043" s="124" t="s">
        <v>2946</v>
      </c>
      <c r="G2043" s="45">
        <f>ROUND((ROUNDDOWN($F2043/5,0)*5+1.8)/Basis!$E$3,1)</f>
        <v>4.5999999999999996</v>
      </c>
      <c r="H2043" s="120">
        <f>ROUND($P2043*Basis!$E$2*((TaH-TrH)/LN(1/µ)/Basis!$E$7)^$N2043*$AA$4*Glycol,0)</f>
        <v>3054</v>
      </c>
      <c r="I2043" s="83">
        <f>ROUND(H2043/(MID($C2043,9,3)/Basis!$E$3/Basis!$E$9)*Basis!$E$11,0)</f>
        <v>1164</v>
      </c>
      <c r="J2043" s="123">
        <f>IF(Basis!$E$1=1,ROUND(H2043/((TaH-TrH)*1.163)/3600,3),ROUND(H2043/(500*(TaH-TrH)),2))</f>
        <v>0.31</v>
      </c>
      <c r="K2043" s="84"/>
      <c r="L2043" s="177">
        <f>CHOOSE(Basis!$E$1,((AJ2043*(J2043*3600/Basis!$E$5)^AK2043*(((MID(C2043,9,3)*10)-144)/1000)*AL2043+AM2043*(J2043*3600/Basis!$E$5)^2)*0.0098)/Basis!$E$10,((AJ2043*(J2043/Basis!$E$5)^AK2043*(((MID(C2043,9,3)*10)-144)/1000)*AL2043+AM2043*(J2043/Basis!$E$5)^2)*0.0098)/Basis!$E$10)</f>
        <v>1.4766948238764491E-2</v>
      </c>
      <c r="M2043" s="85"/>
      <c r="N2043" s="109">
        <v>1.4339999999999999</v>
      </c>
      <c r="O2043" s="68"/>
      <c r="P2043" s="67">
        <v>1437</v>
      </c>
      <c r="Q2043" s="68"/>
      <c r="R2043" s="69"/>
      <c r="S2043" s="69"/>
      <c r="T2043" s="69"/>
      <c r="U2043" s="69"/>
      <c r="V2043" s="69"/>
      <c r="W2043" s="68"/>
      <c r="X2043" s="70"/>
      <c r="Y2043" s="70"/>
      <c r="Z2043" s="70"/>
      <c r="AA2043" s="70"/>
      <c r="AB2043" s="70"/>
      <c r="AC2043" s="68"/>
      <c r="AD2043" s="71"/>
      <c r="AE2043" s="71"/>
      <c r="AF2043" s="71"/>
      <c r="AG2043" s="71"/>
      <c r="AH2043" s="71"/>
      <c r="AI2043" s="68"/>
      <c r="AJ2043" s="214">
        <v>3.9689999999999994E-4</v>
      </c>
      <c r="AK2043" s="214">
        <v>1.7345999999999999</v>
      </c>
      <c r="AL2043" s="214">
        <v>4</v>
      </c>
      <c r="AM2043" s="214">
        <v>5.7428799999999995E-4</v>
      </c>
      <c r="AN2043" s="68"/>
      <c r="AO2043" s="67"/>
      <c r="AP2043" s="67"/>
      <c r="AQ2043" s="67"/>
      <c r="AR2043" s="67"/>
      <c r="AS2043" s="67"/>
      <c r="AT2043" s="68"/>
      <c r="AU2043" s="49"/>
      <c r="AV2043" s="50"/>
    </row>
    <row r="2044" spans="1:48" ht="12.75" customHeight="1" x14ac:dyDescent="0.25">
      <c r="A2044" s="72" t="s">
        <v>20</v>
      </c>
      <c r="B2044" s="43" t="s">
        <v>1833</v>
      </c>
      <c r="C2044" s="44" t="s">
        <v>2201</v>
      </c>
      <c r="D2044" s="45">
        <f>MROUND(MID($C2044,6,3)/Basis!$E$3,0.5)</f>
        <v>37.5</v>
      </c>
      <c r="E2044" s="45">
        <f>MROUND(MID($C2044,9,3)/Basis!$E$3,0.5)</f>
        <v>31.5</v>
      </c>
      <c r="F2044" s="124" t="s">
        <v>2944</v>
      </c>
      <c r="G2044" s="45">
        <f>ROUND((ROUNDDOWN($F2044/5,0)*5+1.8)/Basis!$E$3,1)</f>
        <v>6.6</v>
      </c>
      <c r="H2044" s="120">
        <f>ROUND($P2044*Basis!$E$2*((TaH-TrH)/LN(1/µ)/Basis!$E$7)^$N2044*$AA$4*Glycol,0)</f>
        <v>3790</v>
      </c>
      <c r="I2044" s="83">
        <f>ROUND(H2044/(MID($C2044,9,3)/Basis!$E$3/Basis!$E$9)*Basis!$E$11,0)</f>
        <v>1444</v>
      </c>
      <c r="J2044" s="123">
        <f>IF(Basis!$E$1=1,ROUND(H2044/((TaH-TrH)*1.163)/3600,3),ROUND(H2044/(500*(TaH-TrH)),2))</f>
        <v>0.38</v>
      </c>
      <c r="K2044" s="84"/>
      <c r="L2044" s="177">
        <f>CHOOSE(Basis!$E$1,((AJ2044*(J2044*3600/Basis!$E$5)^AK2044*(((MID(C2044,9,3)*10)-144)/1000)*AL2044+AM2044*(J2044*3600/Basis!$E$5)^2)*0.0098)/Basis!$E$10,((AJ2044*(J2044/Basis!$E$5)^AK2044*(((MID(C2044,9,3)*10)-144)/1000)*AL2044+AM2044*(J2044/Basis!$E$5)^2)*0.0098)/Basis!$E$10)</f>
        <v>1.3193120394283473E-2</v>
      </c>
      <c r="M2044" s="85"/>
      <c r="N2044" s="109">
        <v>1.32</v>
      </c>
      <c r="O2044" s="68"/>
      <c r="P2044" s="67">
        <v>1717</v>
      </c>
      <c r="Q2044" s="68"/>
      <c r="R2044" s="69"/>
      <c r="S2044" s="69"/>
      <c r="T2044" s="69"/>
      <c r="U2044" s="69"/>
      <c r="V2044" s="69"/>
      <c r="W2044" s="68"/>
      <c r="X2044" s="70"/>
      <c r="Y2044" s="70"/>
      <c r="Z2044" s="70"/>
      <c r="AA2044" s="70"/>
      <c r="AB2044" s="70"/>
      <c r="AC2044" s="68"/>
      <c r="AD2044" s="71"/>
      <c r="AE2044" s="71"/>
      <c r="AF2044" s="71"/>
      <c r="AG2044" s="71"/>
      <c r="AH2044" s="71"/>
      <c r="AI2044" s="68"/>
      <c r="AJ2044" s="214">
        <v>2.0829999999999999E-4</v>
      </c>
      <c r="AK2044" s="214">
        <v>1.724</v>
      </c>
      <c r="AL2044" s="214">
        <v>2</v>
      </c>
      <c r="AM2044" s="214">
        <v>4.6182900000000003E-4</v>
      </c>
      <c r="AN2044" s="68"/>
      <c r="AO2044" s="67"/>
      <c r="AP2044" s="67"/>
      <c r="AQ2044" s="67"/>
      <c r="AR2044" s="67"/>
      <c r="AS2044" s="67"/>
      <c r="AT2044" s="68"/>
      <c r="AU2044" s="49"/>
      <c r="AV2044" s="50"/>
    </row>
    <row r="2045" spans="1:48" ht="12.75" customHeight="1" x14ac:dyDescent="0.25">
      <c r="A2045" s="72" t="s">
        <v>20</v>
      </c>
      <c r="B2045" s="43" t="s">
        <v>1833</v>
      </c>
      <c r="C2045" s="44" t="s">
        <v>2202</v>
      </c>
      <c r="D2045" s="45">
        <f>MROUND(MID($C2045,6,3)/Basis!$E$3,0.5)</f>
        <v>37.5</v>
      </c>
      <c r="E2045" s="45">
        <f>MROUND(MID($C2045,9,3)/Basis!$E$3,0.5)</f>
        <v>31.5</v>
      </c>
      <c r="F2045" s="124" t="s">
        <v>2947</v>
      </c>
      <c r="G2045" s="45">
        <f>ROUND((ROUNDDOWN($F2045/5,0)*5+1.8)/Basis!$E$3,1)</f>
        <v>6.6</v>
      </c>
      <c r="H2045" s="120">
        <f>ROUND($P2045*Basis!$E$2*((TaH-TrH)/LN(1/µ)/Basis!$E$7)^$N2045*$AA$4*Glycol,0)</f>
        <v>4481</v>
      </c>
      <c r="I2045" s="83">
        <f>ROUND(H2045/(MID($C2045,9,3)/Basis!$E$3/Basis!$E$9)*Basis!$E$11,0)</f>
        <v>1707</v>
      </c>
      <c r="J2045" s="123">
        <f>IF(Basis!$E$1=1,ROUND(H2045/((TaH-TrH)*1.163)/3600,3),ROUND(H2045/(500*(TaH-TrH)),2))</f>
        <v>0.45</v>
      </c>
      <c r="K2045" s="84"/>
      <c r="L2045" s="177">
        <f>CHOOSE(Basis!$E$1,((AJ2045*(J2045*3600/Basis!$E$5)^AK2045*(((MID(C2045,9,3)*10)-144)/1000)*AL2045+AM2045*(J2045*3600/Basis!$E$5)^2)*0.0098)/Basis!$E$10,((AJ2045*(J2045/Basis!$E$5)^AK2045*(((MID(C2045,9,3)*10)-144)/1000)*AL2045+AM2045*(J2045/Basis!$E$5)^2)*0.0098)/Basis!$E$10)</f>
        <v>5.2777898725002735E-2</v>
      </c>
      <c r="M2045" s="85"/>
      <c r="N2045" s="109">
        <v>1.482</v>
      </c>
      <c r="O2045" s="68"/>
      <c r="P2045" s="67">
        <v>2142</v>
      </c>
      <c r="Q2045" s="68"/>
      <c r="R2045" s="69"/>
      <c r="S2045" s="69"/>
      <c r="T2045" s="69"/>
      <c r="U2045" s="69"/>
      <c r="V2045" s="69"/>
      <c r="W2045" s="68"/>
      <c r="X2045" s="70"/>
      <c r="Y2045" s="70"/>
      <c r="Z2045" s="70"/>
      <c r="AA2045" s="70"/>
      <c r="AB2045" s="70"/>
      <c r="AC2045" s="68"/>
      <c r="AD2045" s="71"/>
      <c r="AE2045" s="71"/>
      <c r="AF2045" s="71"/>
      <c r="AG2045" s="71"/>
      <c r="AH2045" s="71"/>
      <c r="AI2045" s="68"/>
      <c r="AJ2045" s="214">
        <v>2.0829999999999999E-4</v>
      </c>
      <c r="AK2045" s="214">
        <v>1.724</v>
      </c>
      <c r="AL2045" s="214">
        <v>4</v>
      </c>
      <c r="AM2045" s="214">
        <v>1.392796E-3</v>
      </c>
      <c r="AN2045" s="68"/>
      <c r="AO2045" s="67"/>
      <c r="AP2045" s="67"/>
      <c r="AQ2045" s="67"/>
      <c r="AR2045" s="67"/>
      <c r="AS2045" s="67"/>
      <c r="AT2045" s="68"/>
      <c r="AU2045" s="49"/>
      <c r="AV2045" s="50"/>
    </row>
    <row r="2046" spans="1:48" ht="12.75" customHeight="1" x14ac:dyDescent="0.25">
      <c r="A2046" s="72" t="s">
        <v>20</v>
      </c>
      <c r="B2046" s="43" t="s">
        <v>1833</v>
      </c>
      <c r="C2046" s="44" t="s">
        <v>2203</v>
      </c>
      <c r="D2046" s="45">
        <f>MROUND(MID($C2046,6,3)/Basis!$E$3,0.5)</f>
        <v>37.5</v>
      </c>
      <c r="E2046" s="45">
        <f>MROUND(MID($C2046,9,3)/Basis!$E$3,0.5)</f>
        <v>31.5</v>
      </c>
      <c r="F2046" s="124" t="s">
        <v>2945</v>
      </c>
      <c r="G2046" s="45">
        <f>ROUND((ROUNDDOWN($F2046/5,0)*5+1.8)/Basis!$E$3,1)</f>
        <v>8.6</v>
      </c>
      <c r="H2046" s="120">
        <f>ROUND($P2046*Basis!$E$2*((TaH-TrH)/LN(1/µ)/Basis!$E$7)^$N2046*$AA$4*Glycol,0)</f>
        <v>5284</v>
      </c>
      <c r="I2046" s="83">
        <f>ROUND(H2046/(MID($C2046,9,3)/Basis!$E$3/Basis!$E$9)*Basis!$E$11,0)</f>
        <v>2013</v>
      </c>
      <c r="J2046" s="123">
        <f>IF(Basis!$E$1=1,ROUND(H2046/((TaH-TrH)*1.163)/3600,3),ROUND(H2046/(500*(TaH-TrH)),2))</f>
        <v>0.53</v>
      </c>
      <c r="K2046" s="84"/>
      <c r="L2046" s="177">
        <f>CHOOSE(Basis!$E$1,((AJ2046*(J2046*3600/Basis!$E$5)^AK2046*(((MID(C2046,9,3)*10)-144)/1000)*AL2046+AM2046*(J2046*3600/Basis!$E$5)^2)*0.0098)/Basis!$E$10,((AJ2046*(J2046/Basis!$E$5)^AK2046*(((MID(C2046,9,3)*10)-144)/1000)*AL2046+AM2046*(J2046/Basis!$E$5)^2)*0.0098)/Basis!$E$10)</f>
        <v>1.9936658939486051E-2</v>
      </c>
      <c r="M2046" s="85"/>
      <c r="N2046" s="109">
        <v>1.32</v>
      </c>
      <c r="O2046" s="68"/>
      <c r="P2046" s="67">
        <v>2394</v>
      </c>
      <c r="Q2046" s="68"/>
      <c r="R2046" s="69"/>
      <c r="S2046" s="69"/>
      <c r="T2046" s="69"/>
      <c r="U2046" s="69"/>
      <c r="V2046" s="69"/>
      <c r="W2046" s="68"/>
      <c r="X2046" s="70"/>
      <c r="Y2046" s="70"/>
      <c r="Z2046" s="70"/>
      <c r="AA2046" s="70"/>
      <c r="AB2046" s="70"/>
      <c r="AC2046" s="68"/>
      <c r="AD2046" s="71"/>
      <c r="AE2046" s="71"/>
      <c r="AF2046" s="71"/>
      <c r="AG2046" s="71"/>
      <c r="AH2046" s="71"/>
      <c r="AI2046" s="68"/>
      <c r="AJ2046" s="214">
        <v>1.2760000000000001E-4</v>
      </c>
      <c r="AK2046" s="214">
        <v>1.7219</v>
      </c>
      <c r="AL2046" s="214">
        <v>2</v>
      </c>
      <c r="AM2046" s="214">
        <v>3.76611E-4</v>
      </c>
      <c r="AN2046" s="68"/>
      <c r="AO2046" s="67"/>
      <c r="AP2046" s="67"/>
      <c r="AQ2046" s="67"/>
      <c r="AR2046" s="67"/>
      <c r="AS2046" s="67"/>
      <c r="AT2046" s="68"/>
      <c r="AU2046" s="49"/>
      <c r="AV2046" s="50"/>
    </row>
    <row r="2047" spans="1:48" ht="12.75" customHeight="1" x14ac:dyDescent="0.25">
      <c r="A2047" s="72" t="s">
        <v>20</v>
      </c>
      <c r="B2047" s="43" t="s">
        <v>1833</v>
      </c>
      <c r="C2047" s="44" t="s">
        <v>2204</v>
      </c>
      <c r="D2047" s="45">
        <f>MROUND(MID($C2047,6,3)/Basis!$E$3,0.5)</f>
        <v>37.5</v>
      </c>
      <c r="E2047" s="45">
        <f>MROUND(MID($C2047,9,3)/Basis!$E$3,0.5)</f>
        <v>31.5</v>
      </c>
      <c r="F2047" s="124" t="s">
        <v>2948</v>
      </c>
      <c r="G2047" s="45">
        <f>ROUND((ROUNDDOWN($F2047/5,0)*5+1.8)/Basis!$E$3,1)</f>
        <v>8.6</v>
      </c>
      <c r="H2047" s="120">
        <f>ROUND($P2047*Basis!$E$2*((TaH-TrH)/LN(1/µ)/Basis!$E$7)^$N2047*$AA$4*Glycol,0)</f>
        <v>6475</v>
      </c>
      <c r="I2047" s="83">
        <f>ROUND(H2047/(MID($C2047,9,3)/Basis!$E$3/Basis!$E$9)*Basis!$E$11,0)</f>
        <v>2467</v>
      </c>
      <c r="J2047" s="123">
        <f>IF(Basis!$E$1=1,ROUND(H2047/((TaH-TrH)*1.163)/3600,3),ROUND(H2047/(500*(TaH-TrH)),2))</f>
        <v>0.65</v>
      </c>
      <c r="K2047" s="84"/>
      <c r="L2047" s="177">
        <f>CHOOSE(Basis!$E$1,((AJ2047*(J2047*3600/Basis!$E$5)^AK2047*(((MID(C2047,9,3)*10)-144)/1000)*AL2047+AM2047*(J2047*3600/Basis!$E$5)^2)*0.0098)/Basis!$E$10,((AJ2047*(J2047/Basis!$E$5)^AK2047*(((MID(C2047,9,3)*10)-144)/1000)*AL2047+AM2047*(J2047/Basis!$E$5)^2)*0.0098)/Basis!$E$10)</f>
        <v>4.2592423968431964E-2</v>
      </c>
      <c r="M2047" s="85"/>
      <c r="N2047" s="109">
        <v>1.522</v>
      </c>
      <c r="O2047" s="68"/>
      <c r="P2047" s="67">
        <v>3136</v>
      </c>
      <c r="Q2047" s="68"/>
      <c r="R2047" s="69"/>
      <c r="S2047" s="69"/>
      <c r="T2047" s="69"/>
      <c r="U2047" s="69"/>
      <c r="V2047" s="69"/>
      <c r="W2047" s="68"/>
      <c r="X2047" s="70"/>
      <c r="Y2047" s="70"/>
      <c r="Z2047" s="70"/>
      <c r="AA2047" s="70"/>
      <c r="AB2047" s="70"/>
      <c r="AC2047" s="68"/>
      <c r="AD2047" s="71"/>
      <c r="AE2047" s="71"/>
      <c r="AF2047" s="71"/>
      <c r="AG2047" s="71"/>
      <c r="AH2047" s="71"/>
      <c r="AI2047" s="68"/>
      <c r="AJ2047" s="214">
        <v>1.2760000000000001E-4</v>
      </c>
      <c r="AK2047" s="214">
        <v>1.7219</v>
      </c>
      <c r="AL2047" s="214">
        <v>4</v>
      </c>
      <c r="AM2047" s="214">
        <v>5.1420100000000005E-4</v>
      </c>
      <c r="AN2047" s="68"/>
      <c r="AO2047" s="67"/>
      <c r="AP2047" s="67"/>
      <c r="AQ2047" s="67"/>
      <c r="AR2047" s="67"/>
      <c r="AS2047" s="67"/>
      <c r="AT2047" s="68"/>
      <c r="AU2047" s="49"/>
      <c r="AV2047" s="50"/>
    </row>
    <row r="2048" spans="1:48" ht="12.75" customHeight="1" x14ac:dyDescent="0.25">
      <c r="A2048" s="72" t="s">
        <v>20</v>
      </c>
      <c r="B2048" s="43" t="s">
        <v>1833</v>
      </c>
      <c r="C2048" s="44" t="s">
        <v>2205</v>
      </c>
      <c r="D2048" s="45">
        <f>MROUND(MID($C2048,6,3)/Basis!$E$3,0.5)</f>
        <v>37.5</v>
      </c>
      <c r="E2048" s="45">
        <f>MROUND(MID($C2048,9,3)/Basis!$E$3,0.5)</f>
        <v>35.5</v>
      </c>
      <c r="F2048" s="124" t="s">
        <v>2949</v>
      </c>
      <c r="G2048" s="45">
        <f>ROUND((ROUNDDOWN($F2048/5,0)*5+3.5)/Basis!$E$3,1)</f>
        <v>3.3</v>
      </c>
      <c r="H2048" s="120">
        <f>ROUND($P2048*Basis!$E$2*((TaH-TrH)/LN(1/µ)/Basis!$E$7)^$N2048*$AA$4*Glycol,0)</f>
        <v>2445</v>
      </c>
      <c r="I2048" s="83">
        <f>ROUND(H2048/(MID($C2048,9,3)/Basis!$E$3/Basis!$E$9)*Basis!$E$11,0)</f>
        <v>828</v>
      </c>
      <c r="J2048" s="123">
        <f>IF(Basis!$E$1=1,ROUND(H2048/((TaH-TrH)*1.163)/3600,3),ROUND(H2048/(500*(TaH-TrH)),2))</f>
        <v>0.24</v>
      </c>
      <c r="K2048" s="84"/>
      <c r="L2048" s="177">
        <f>CHOOSE(Basis!$E$1,((AJ2048*(J2048*3600/Basis!$E$5)^AK2048*(((MID(C2048,9,3)*10)-144)/1000)*AL2048+AM2048*(J2048*3600/Basis!$E$5)^2)*0.0098)/Basis!$E$10,((AJ2048*(J2048/Basis!$E$5)^AK2048*(((MID(C2048,9,3)*10)-144)/1000)*AL2048+AM2048*(J2048/Basis!$E$5)^2)*0.0098)/Basis!$E$10)</f>
        <v>2.2008880861447172E-2</v>
      </c>
      <c r="M2048" s="85"/>
      <c r="N2048" s="109">
        <v>1.3069999999999999</v>
      </c>
      <c r="O2048" s="68"/>
      <c r="P2048" s="67">
        <v>1103</v>
      </c>
      <c r="Q2048" s="68"/>
      <c r="R2048" s="69"/>
      <c r="S2048" s="69"/>
      <c r="T2048" s="69"/>
      <c r="U2048" s="69"/>
      <c r="V2048" s="69"/>
      <c r="W2048" s="68"/>
      <c r="X2048" s="70"/>
      <c r="Y2048" s="70"/>
      <c r="Z2048" s="70"/>
      <c r="AA2048" s="70"/>
      <c r="AB2048" s="70"/>
      <c r="AC2048" s="68"/>
      <c r="AD2048" s="71"/>
      <c r="AE2048" s="71"/>
      <c r="AF2048" s="71"/>
      <c r="AG2048" s="71"/>
      <c r="AH2048" s="71"/>
      <c r="AI2048" s="68"/>
      <c r="AJ2048" s="214">
        <v>1.6125983042710999E-4</v>
      </c>
      <c r="AK2048" s="214">
        <v>2.1458504622376</v>
      </c>
      <c r="AL2048" s="214">
        <v>4</v>
      </c>
      <c r="AM2048" s="214">
        <v>1.3916423712342001E-3</v>
      </c>
      <c r="AN2048" s="68"/>
      <c r="AO2048" s="67"/>
      <c r="AP2048" s="67"/>
      <c r="AQ2048" s="67"/>
      <c r="AR2048" s="67"/>
      <c r="AS2048" s="67"/>
      <c r="AT2048" s="68"/>
      <c r="AU2048" s="49"/>
      <c r="AV2048" s="50"/>
    </row>
    <row r="2049" spans="1:48" ht="12.75" customHeight="1" x14ac:dyDescent="0.25">
      <c r="A2049" s="72" t="s">
        <v>20</v>
      </c>
      <c r="B2049" s="43" t="s">
        <v>1833</v>
      </c>
      <c r="C2049" s="44" t="s">
        <v>2206</v>
      </c>
      <c r="D2049" s="45">
        <f>MROUND(MID($C2049,6,3)/Basis!$E$3,0.5)</f>
        <v>37.5</v>
      </c>
      <c r="E2049" s="45">
        <f>MROUND(MID($C2049,9,3)/Basis!$E$3,0.5)</f>
        <v>35.5</v>
      </c>
      <c r="F2049" s="124" t="s">
        <v>2943</v>
      </c>
      <c r="G2049" s="45">
        <f>ROUND((ROUNDDOWN($F2049/5,0)*5+1.8)/Basis!$E$3,1)</f>
        <v>4.5999999999999996</v>
      </c>
      <c r="H2049" s="120">
        <f>ROUND($P2049*Basis!$E$2*((TaH-TrH)/LN(1/µ)/Basis!$E$7)^$N2049*$AA$4*Glycol,0)</f>
        <v>2747</v>
      </c>
      <c r="I2049" s="83">
        <f>ROUND(H2049/(MID($C2049,9,3)/Basis!$E$3/Basis!$E$9)*Basis!$E$11,0)</f>
        <v>930</v>
      </c>
      <c r="J2049" s="123">
        <f>IF(Basis!$E$1=1,ROUND(H2049/((TaH-TrH)*1.163)/3600,3),ROUND(H2049/(500*(TaH-TrH)),2))</f>
        <v>0.27</v>
      </c>
      <c r="K2049" s="84"/>
      <c r="L2049" s="177">
        <f>CHOOSE(Basis!$E$1,((AJ2049*(J2049*3600/Basis!$E$5)^AK2049*(((MID(C2049,9,3)*10)-144)/1000)*AL2049+AM2049*(J2049*3600/Basis!$E$5)^2)*0.0098)/Basis!$E$10,((AJ2049*(J2049/Basis!$E$5)^AK2049*(((MID(C2049,9,3)*10)-144)/1000)*AL2049+AM2049*(J2049/Basis!$E$5)^2)*0.0098)/Basis!$E$10)</f>
        <v>6.991859437002537E-3</v>
      </c>
      <c r="M2049" s="85"/>
      <c r="N2049" s="110">
        <v>1.343</v>
      </c>
      <c r="O2049" s="74"/>
      <c r="P2049" s="73">
        <v>1254</v>
      </c>
      <c r="Q2049" s="74"/>
      <c r="R2049" s="75"/>
      <c r="S2049" s="75"/>
      <c r="T2049" s="75"/>
      <c r="U2049" s="75"/>
      <c r="V2049" s="75"/>
      <c r="W2049" s="74"/>
      <c r="X2049" s="76"/>
      <c r="Y2049" s="76"/>
      <c r="Z2049" s="76"/>
      <c r="AA2049" s="76"/>
      <c r="AB2049" s="76"/>
      <c r="AC2049" s="74"/>
      <c r="AD2049" s="77"/>
      <c r="AE2049" s="77"/>
      <c r="AF2049" s="77"/>
      <c r="AG2049" s="77"/>
      <c r="AH2049" s="77"/>
      <c r="AI2049" s="68"/>
      <c r="AJ2049" s="213">
        <v>3.9689999999999994E-4</v>
      </c>
      <c r="AK2049" s="213">
        <v>1.7345999999999999</v>
      </c>
      <c r="AL2049" s="213">
        <v>2</v>
      </c>
      <c r="AM2049" s="213">
        <v>3.6734700000000002E-4</v>
      </c>
      <c r="AN2049" s="74"/>
      <c r="AO2049" s="73"/>
      <c r="AP2049" s="73"/>
      <c r="AQ2049" s="73"/>
      <c r="AR2049" s="73"/>
      <c r="AS2049" s="73"/>
      <c r="AT2049" s="74"/>
      <c r="AU2049" s="47"/>
      <c r="AV2049" s="48"/>
    </row>
    <row r="2050" spans="1:48" ht="12.75" customHeight="1" x14ac:dyDescent="0.25">
      <c r="A2050" s="72" t="s">
        <v>20</v>
      </c>
      <c r="B2050" s="43" t="s">
        <v>1833</v>
      </c>
      <c r="C2050" s="44" t="s">
        <v>2207</v>
      </c>
      <c r="D2050" s="45">
        <f>MROUND(MID($C2050,6,3)/Basis!$E$3,0.5)</f>
        <v>37.5</v>
      </c>
      <c r="E2050" s="45">
        <f>MROUND(MID($C2050,9,3)/Basis!$E$3,0.5)</f>
        <v>35.5</v>
      </c>
      <c r="F2050" s="124" t="s">
        <v>2946</v>
      </c>
      <c r="G2050" s="45">
        <f>ROUND((ROUNDDOWN($F2050/5,0)*5+1.8)/Basis!$E$3,1)</f>
        <v>4.5999999999999996</v>
      </c>
      <c r="H2050" s="120">
        <f>ROUND($P2050*Basis!$E$2*((TaH-TrH)/LN(1/µ)/Basis!$E$7)^$N2050*$AA$4*Glycol,0)</f>
        <v>3435</v>
      </c>
      <c r="I2050" s="83">
        <f>ROUND(H2050/(MID($C2050,9,3)/Basis!$E$3/Basis!$E$9)*Basis!$E$11,0)</f>
        <v>1163</v>
      </c>
      <c r="J2050" s="123">
        <f>IF(Basis!$E$1=1,ROUND(H2050/((TaH-TrH)*1.163)/3600,3),ROUND(H2050/(500*(TaH-TrH)),2))</f>
        <v>0.34</v>
      </c>
      <c r="K2050" s="84"/>
      <c r="L2050" s="177">
        <f>CHOOSE(Basis!$E$1,((AJ2050*(J2050*3600/Basis!$E$5)^AK2050*(((MID(C2050,9,3)*10)-144)/1000)*AL2050+AM2050*(J2050*3600/Basis!$E$5)^2)*0.0098)/Basis!$E$10,((AJ2050*(J2050/Basis!$E$5)^AK2050*(((MID(C2050,9,3)*10)-144)/1000)*AL2050+AM2050*(J2050/Basis!$E$5)^2)*0.0098)/Basis!$E$10)</f>
        <v>1.858099255299973E-2</v>
      </c>
      <c r="M2050" s="85"/>
      <c r="N2050" s="110">
        <v>1.4339999999999999</v>
      </c>
      <c r="O2050" s="74"/>
      <c r="P2050" s="73">
        <v>1616</v>
      </c>
      <c r="Q2050" s="74"/>
      <c r="R2050" s="75"/>
      <c r="S2050" s="75"/>
      <c r="T2050" s="75"/>
      <c r="U2050" s="75"/>
      <c r="V2050" s="75"/>
      <c r="W2050" s="74"/>
      <c r="X2050" s="76"/>
      <c r="Y2050" s="76"/>
      <c r="Z2050" s="76"/>
      <c r="AA2050" s="76"/>
      <c r="AB2050" s="76"/>
      <c r="AC2050" s="74"/>
      <c r="AD2050" s="77"/>
      <c r="AE2050" s="77"/>
      <c r="AF2050" s="77"/>
      <c r="AG2050" s="77"/>
      <c r="AH2050" s="77"/>
      <c r="AI2050" s="68"/>
      <c r="AJ2050" s="213">
        <v>3.9689999999999994E-4</v>
      </c>
      <c r="AK2050" s="213">
        <v>1.7345999999999999</v>
      </c>
      <c r="AL2050" s="213">
        <v>4</v>
      </c>
      <c r="AM2050" s="213">
        <v>5.7428799999999995E-4</v>
      </c>
      <c r="AN2050" s="74"/>
      <c r="AO2050" s="73"/>
      <c r="AP2050" s="73"/>
      <c r="AQ2050" s="73"/>
      <c r="AR2050" s="73"/>
      <c r="AS2050" s="73"/>
      <c r="AT2050" s="74"/>
      <c r="AU2050" s="47"/>
      <c r="AV2050" s="48"/>
    </row>
    <row r="2051" spans="1:48" ht="12.75" customHeight="1" x14ac:dyDescent="0.25">
      <c r="A2051" s="72" t="s">
        <v>20</v>
      </c>
      <c r="B2051" s="43" t="s">
        <v>1833</v>
      </c>
      <c r="C2051" s="44" t="s">
        <v>2208</v>
      </c>
      <c r="D2051" s="45">
        <f>MROUND(MID($C2051,6,3)/Basis!$E$3,0.5)</f>
        <v>37.5</v>
      </c>
      <c r="E2051" s="45">
        <f>MROUND(MID($C2051,9,3)/Basis!$E$3,0.5)</f>
        <v>35.5</v>
      </c>
      <c r="F2051" s="124" t="s">
        <v>2944</v>
      </c>
      <c r="G2051" s="45">
        <f>ROUND((ROUNDDOWN($F2051/5,0)*5+1.8)/Basis!$E$3,1)</f>
        <v>6.6</v>
      </c>
      <c r="H2051" s="120">
        <f>ROUND($P2051*Basis!$E$2*((TaH-TrH)/LN(1/µ)/Basis!$E$7)^$N2051*$AA$4*Glycol,0)</f>
        <v>4262</v>
      </c>
      <c r="I2051" s="83">
        <f>ROUND(H2051/(MID($C2051,9,3)/Basis!$E$3/Basis!$E$9)*Basis!$E$11,0)</f>
        <v>1443</v>
      </c>
      <c r="J2051" s="123">
        <f>IF(Basis!$E$1=1,ROUND(H2051/((TaH-TrH)*1.163)/3600,3),ROUND(H2051/(500*(TaH-TrH)),2))</f>
        <v>0.43</v>
      </c>
      <c r="K2051" s="84"/>
      <c r="L2051" s="177">
        <f>CHOOSE(Basis!$E$1,((AJ2051*(J2051*3600/Basis!$E$5)^AK2051*(((MID(C2051,9,3)*10)-144)/1000)*AL2051+AM2051*(J2051*3600/Basis!$E$5)^2)*0.0098)/Basis!$E$10,((AJ2051*(J2051/Basis!$E$5)^AK2051*(((MID(C2051,9,3)*10)-144)/1000)*AL2051+AM2051*(J2051/Basis!$E$5)^2)*0.0098)/Basis!$E$10)</f>
        <v>1.7176763409960407E-2</v>
      </c>
      <c r="M2051" s="85"/>
      <c r="N2051" s="110">
        <v>1.32</v>
      </c>
      <c r="O2051" s="74"/>
      <c r="P2051" s="73">
        <v>1931</v>
      </c>
      <c r="Q2051" s="74"/>
      <c r="R2051" s="75"/>
      <c r="S2051" s="75"/>
      <c r="T2051" s="75"/>
      <c r="U2051" s="75"/>
      <c r="V2051" s="75"/>
      <c r="W2051" s="74"/>
      <c r="X2051" s="76"/>
      <c r="Y2051" s="76"/>
      <c r="Z2051" s="76"/>
      <c r="AA2051" s="76"/>
      <c r="AB2051" s="76"/>
      <c r="AC2051" s="74"/>
      <c r="AD2051" s="77"/>
      <c r="AE2051" s="77"/>
      <c r="AF2051" s="77"/>
      <c r="AG2051" s="77"/>
      <c r="AH2051" s="77"/>
      <c r="AI2051" s="68"/>
      <c r="AJ2051" s="213">
        <v>2.0829999999999999E-4</v>
      </c>
      <c r="AK2051" s="213">
        <v>1.724</v>
      </c>
      <c r="AL2051" s="213">
        <v>2</v>
      </c>
      <c r="AM2051" s="213">
        <v>4.6182900000000003E-4</v>
      </c>
      <c r="AN2051" s="74"/>
      <c r="AO2051" s="73"/>
      <c r="AP2051" s="73"/>
      <c r="AQ2051" s="73"/>
      <c r="AR2051" s="73"/>
      <c r="AS2051" s="73"/>
      <c r="AT2051" s="74"/>
      <c r="AU2051" s="47"/>
      <c r="AV2051" s="48"/>
    </row>
    <row r="2052" spans="1:48" ht="12.75" customHeight="1" x14ac:dyDescent="0.25">
      <c r="A2052" s="72" t="s">
        <v>20</v>
      </c>
      <c r="B2052" s="43" t="s">
        <v>1833</v>
      </c>
      <c r="C2052" s="44" t="s">
        <v>2209</v>
      </c>
      <c r="D2052" s="45">
        <f>MROUND(MID($C2052,6,3)/Basis!$E$3,0.5)</f>
        <v>37.5</v>
      </c>
      <c r="E2052" s="45">
        <f>MROUND(MID($C2052,9,3)/Basis!$E$3,0.5)</f>
        <v>35.5</v>
      </c>
      <c r="F2052" s="124" t="s">
        <v>2947</v>
      </c>
      <c r="G2052" s="45">
        <f>ROUND((ROUNDDOWN($F2052/5,0)*5+1.8)/Basis!$E$3,1)</f>
        <v>6.6</v>
      </c>
      <c r="H2052" s="120">
        <f>ROUND($P2052*Basis!$E$2*((TaH-TrH)/LN(1/µ)/Basis!$E$7)^$N2052*$AA$4*Glycol,0)</f>
        <v>5040</v>
      </c>
      <c r="I2052" s="83">
        <f>ROUND(H2052/(MID($C2052,9,3)/Basis!$E$3/Basis!$E$9)*Basis!$E$11,0)</f>
        <v>1707</v>
      </c>
      <c r="J2052" s="123">
        <f>IF(Basis!$E$1=1,ROUND(H2052/((TaH-TrH)*1.163)/3600,3),ROUND(H2052/(500*(TaH-TrH)),2))</f>
        <v>0.5</v>
      </c>
      <c r="K2052" s="84"/>
      <c r="L2052" s="177">
        <f>CHOOSE(Basis!$E$1,((AJ2052*(J2052*3600/Basis!$E$5)^AK2052*(((MID(C2052,9,3)*10)-144)/1000)*AL2052+AM2052*(J2052*3600/Basis!$E$5)^2)*0.0098)/Basis!$E$10,((AJ2052*(J2052/Basis!$E$5)^AK2052*(((MID(C2052,9,3)*10)-144)/1000)*AL2052+AM2052*(J2052/Basis!$E$5)^2)*0.0098)/Basis!$E$10)</f>
        <v>6.5925361865222798E-2</v>
      </c>
      <c r="M2052" s="85"/>
      <c r="N2052" s="110">
        <v>1.482</v>
      </c>
      <c r="O2052" s="74"/>
      <c r="P2052" s="73">
        <v>2409</v>
      </c>
      <c r="Q2052" s="74"/>
      <c r="R2052" s="75"/>
      <c r="S2052" s="75"/>
      <c r="T2052" s="75"/>
      <c r="U2052" s="75"/>
      <c r="V2052" s="75"/>
      <c r="W2052" s="74"/>
      <c r="X2052" s="76"/>
      <c r="Y2052" s="76"/>
      <c r="Z2052" s="76"/>
      <c r="AA2052" s="76"/>
      <c r="AB2052" s="76"/>
      <c r="AC2052" s="74"/>
      <c r="AD2052" s="77"/>
      <c r="AE2052" s="77"/>
      <c r="AF2052" s="77"/>
      <c r="AG2052" s="77"/>
      <c r="AH2052" s="77"/>
      <c r="AI2052" s="68"/>
      <c r="AJ2052" s="213">
        <v>2.0829999999999999E-4</v>
      </c>
      <c r="AK2052" s="213">
        <v>1.724</v>
      </c>
      <c r="AL2052" s="213">
        <v>4</v>
      </c>
      <c r="AM2052" s="213">
        <v>1.392796E-3</v>
      </c>
      <c r="AN2052" s="74"/>
      <c r="AO2052" s="73"/>
      <c r="AP2052" s="73"/>
      <c r="AQ2052" s="73"/>
      <c r="AR2052" s="73"/>
      <c r="AS2052" s="73"/>
      <c r="AT2052" s="74"/>
      <c r="AU2052" s="47"/>
      <c r="AV2052" s="48"/>
    </row>
    <row r="2053" spans="1:48" ht="12.75" customHeight="1" x14ac:dyDescent="0.25">
      <c r="A2053" s="72" t="s">
        <v>20</v>
      </c>
      <c r="B2053" s="43" t="s">
        <v>1833</v>
      </c>
      <c r="C2053" s="44" t="s">
        <v>2210</v>
      </c>
      <c r="D2053" s="45">
        <f>MROUND(MID($C2053,6,3)/Basis!$E$3,0.5)</f>
        <v>37.5</v>
      </c>
      <c r="E2053" s="45">
        <f>MROUND(MID($C2053,9,3)/Basis!$E$3,0.5)</f>
        <v>35.5</v>
      </c>
      <c r="F2053" s="124" t="s">
        <v>2945</v>
      </c>
      <c r="G2053" s="45">
        <f>ROUND((ROUNDDOWN($F2053/5,0)*5+1.8)/Basis!$E$3,1)</f>
        <v>8.6</v>
      </c>
      <c r="H2053" s="120">
        <f>ROUND($P2053*Basis!$E$2*((TaH-TrH)/LN(1/µ)/Basis!$E$7)^$N2053*$AA$4*Glycol,0)</f>
        <v>5944</v>
      </c>
      <c r="I2053" s="83">
        <f>ROUND(H2053/(MID($C2053,9,3)/Basis!$E$3/Basis!$E$9)*Basis!$E$11,0)</f>
        <v>2013</v>
      </c>
      <c r="J2053" s="123">
        <f>IF(Basis!$E$1=1,ROUND(H2053/((TaH-TrH)*1.163)/3600,3),ROUND(H2053/(500*(TaH-TrH)),2))</f>
        <v>0.59</v>
      </c>
      <c r="K2053" s="84"/>
      <c r="L2053" s="177">
        <f>CHOOSE(Basis!$E$1,((AJ2053*(J2053*3600/Basis!$E$5)^AK2053*(((MID(C2053,9,3)*10)-144)/1000)*AL2053+AM2053*(J2053*3600/Basis!$E$5)^2)*0.0098)/Basis!$E$10,((AJ2053*(J2053/Basis!$E$5)^AK2053*(((MID(C2053,9,3)*10)-144)/1000)*AL2053+AM2053*(J2053/Basis!$E$5)^2)*0.0098)/Basis!$E$10)</f>
        <v>2.5013683375779184E-2</v>
      </c>
      <c r="M2053" s="85"/>
      <c r="N2053" s="110">
        <v>1.32</v>
      </c>
      <c r="O2053" s="74"/>
      <c r="P2053" s="73">
        <v>2693</v>
      </c>
      <c r="Q2053" s="74"/>
      <c r="R2053" s="75"/>
      <c r="S2053" s="75"/>
      <c r="T2053" s="75"/>
      <c r="U2053" s="75"/>
      <c r="V2053" s="75"/>
      <c r="W2053" s="74"/>
      <c r="X2053" s="76"/>
      <c r="Y2053" s="76"/>
      <c r="Z2053" s="76"/>
      <c r="AA2053" s="76"/>
      <c r="AB2053" s="76"/>
      <c r="AC2053" s="74"/>
      <c r="AD2053" s="77"/>
      <c r="AE2053" s="77"/>
      <c r="AF2053" s="77"/>
      <c r="AG2053" s="77"/>
      <c r="AH2053" s="77"/>
      <c r="AI2053" s="68"/>
      <c r="AJ2053" s="214">
        <v>1.2760000000000001E-4</v>
      </c>
      <c r="AK2053" s="214">
        <v>1.7219</v>
      </c>
      <c r="AL2053" s="214">
        <v>2</v>
      </c>
      <c r="AM2053" s="214">
        <v>3.76611E-4</v>
      </c>
      <c r="AN2053" s="74"/>
      <c r="AO2053" s="73"/>
      <c r="AP2053" s="73"/>
      <c r="AQ2053" s="73"/>
      <c r="AR2053" s="73"/>
      <c r="AS2053" s="73"/>
      <c r="AT2053" s="74"/>
      <c r="AU2053" s="47"/>
      <c r="AV2053" s="48"/>
    </row>
    <row r="2054" spans="1:48" ht="12.75" customHeight="1" x14ac:dyDescent="0.25">
      <c r="A2054" s="72" t="s">
        <v>20</v>
      </c>
      <c r="B2054" s="43" t="s">
        <v>1833</v>
      </c>
      <c r="C2054" s="44" t="s">
        <v>2211</v>
      </c>
      <c r="D2054" s="45">
        <f>MROUND(MID($C2054,6,3)/Basis!$E$3,0.5)</f>
        <v>37.5</v>
      </c>
      <c r="E2054" s="45">
        <f>MROUND(MID($C2054,9,3)/Basis!$E$3,0.5)</f>
        <v>35.5</v>
      </c>
      <c r="F2054" s="124" t="s">
        <v>2948</v>
      </c>
      <c r="G2054" s="45">
        <f>ROUND((ROUNDDOWN($F2054/5,0)*5+1.8)/Basis!$E$3,1)</f>
        <v>8.6</v>
      </c>
      <c r="H2054" s="120">
        <f>ROUND($P2054*Basis!$E$2*((TaH-TrH)/LN(1/µ)/Basis!$E$7)^$N2054*$AA$4*Glycol,0)</f>
        <v>7284</v>
      </c>
      <c r="I2054" s="83">
        <f>ROUND(H2054/(MID($C2054,9,3)/Basis!$E$3/Basis!$E$9)*Basis!$E$11,0)</f>
        <v>2467</v>
      </c>
      <c r="J2054" s="123">
        <f>IF(Basis!$E$1=1,ROUND(H2054/((TaH-TrH)*1.163)/3600,3),ROUND(H2054/(500*(TaH-TrH)),2))</f>
        <v>0.73</v>
      </c>
      <c r="K2054" s="84"/>
      <c r="L2054" s="177">
        <f>CHOOSE(Basis!$E$1,((AJ2054*(J2054*3600/Basis!$E$5)^AK2054*(((MID(C2054,9,3)*10)-144)/1000)*AL2054+AM2054*(J2054*3600/Basis!$E$5)^2)*0.0098)/Basis!$E$10,((AJ2054*(J2054/Basis!$E$5)^AK2054*(((MID(C2054,9,3)*10)-144)/1000)*AL2054+AM2054*(J2054/Basis!$E$5)^2)*0.0098)/Basis!$E$10)</f>
        <v>5.459102959549169E-2</v>
      </c>
      <c r="M2054" s="85"/>
      <c r="N2054" s="110">
        <v>1.522</v>
      </c>
      <c r="O2054" s="74"/>
      <c r="P2054" s="73">
        <v>3528</v>
      </c>
      <c r="Q2054" s="74"/>
      <c r="R2054" s="75"/>
      <c r="S2054" s="75"/>
      <c r="T2054" s="75"/>
      <c r="U2054" s="75"/>
      <c r="V2054" s="75"/>
      <c r="W2054" s="74"/>
      <c r="X2054" s="76"/>
      <c r="Y2054" s="76"/>
      <c r="Z2054" s="76"/>
      <c r="AA2054" s="76"/>
      <c r="AB2054" s="76"/>
      <c r="AC2054" s="74"/>
      <c r="AD2054" s="77"/>
      <c r="AE2054" s="77"/>
      <c r="AF2054" s="77"/>
      <c r="AG2054" s="77"/>
      <c r="AH2054" s="77"/>
      <c r="AI2054" s="68"/>
      <c r="AJ2054" s="213">
        <v>1.2760000000000001E-4</v>
      </c>
      <c r="AK2054" s="213">
        <v>1.7219</v>
      </c>
      <c r="AL2054" s="213">
        <v>4</v>
      </c>
      <c r="AM2054" s="213">
        <v>5.1420100000000005E-4</v>
      </c>
      <c r="AN2054" s="74"/>
      <c r="AO2054" s="73"/>
      <c r="AP2054" s="73"/>
      <c r="AQ2054" s="73"/>
      <c r="AR2054" s="73"/>
      <c r="AS2054" s="73"/>
      <c r="AT2054" s="74"/>
      <c r="AU2054" s="47"/>
      <c r="AV2054" s="48"/>
    </row>
    <row r="2055" spans="1:48" ht="12.75" customHeight="1" x14ac:dyDescent="0.25">
      <c r="A2055" s="72" t="s">
        <v>20</v>
      </c>
      <c r="B2055" s="43" t="s">
        <v>1833</v>
      </c>
      <c r="C2055" s="44" t="s">
        <v>2212</v>
      </c>
      <c r="D2055" s="45">
        <f>MROUND(MID($C2055,6,3)/Basis!$E$3,0.5)</f>
        <v>37.5</v>
      </c>
      <c r="E2055" s="45">
        <f>MROUND(MID($C2055,9,3)/Basis!$E$3,0.5)</f>
        <v>39.5</v>
      </c>
      <c r="F2055" s="124" t="s">
        <v>2949</v>
      </c>
      <c r="G2055" s="45">
        <f>ROUND((ROUNDDOWN($F2055/5,0)*5+3.5)/Basis!$E$3,1)</f>
        <v>3.3</v>
      </c>
      <c r="H2055" s="120">
        <f>ROUND($P2055*Basis!$E$2*((TaH-TrH)/LN(1/µ)/Basis!$E$7)^$N2055*$AA$4*Glycol,0)</f>
        <v>2718</v>
      </c>
      <c r="I2055" s="83">
        <f>ROUND(H2055/(MID($C2055,9,3)/Basis!$E$3/Basis!$E$9)*Basis!$E$11,0)</f>
        <v>828</v>
      </c>
      <c r="J2055" s="123">
        <f>IF(Basis!$E$1=1,ROUND(H2055/((TaH-TrH)*1.163)/3600,3),ROUND(H2055/(500*(TaH-TrH)),2))</f>
        <v>0.27</v>
      </c>
      <c r="K2055" s="84"/>
      <c r="L2055" s="177">
        <f>CHOOSE(Basis!$E$1,((AJ2055*(J2055*3600/Basis!$E$5)^AK2055*(((MID(C2055,9,3)*10)-144)/1000)*AL2055+AM2055*(J2055*3600/Basis!$E$5)^2)*0.0098)/Basis!$E$10,((AJ2055*(J2055/Basis!$E$5)^AK2055*(((MID(C2055,9,3)*10)-144)/1000)*AL2055+AM2055*(J2055/Basis!$E$5)^2)*0.0098)/Basis!$E$10)</f>
        <v>2.9486833332241613E-2</v>
      </c>
      <c r="M2055" s="85"/>
      <c r="N2055" s="110">
        <v>1.3069999999999999</v>
      </c>
      <c r="O2055" s="74"/>
      <c r="P2055" s="73">
        <v>1226</v>
      </c>
      <c r="Q2055" s="74"/>
      <c r="R2055" s="75"/>
      <c r="S2055" s="75"/>
      <c r="T2055" s="75"/>
      <c r="U2055" s="75"/>
      <c r="V2055" s="75"/>
      <c r="W2055" s="74"/>
      <c r="X2055" s="76"/>
      <c r="Y2055" s="76"/>
      <c r="Z2055" s="76"/>
      <c r="AA2055" s="76"/>
      <c r="AB2055" s="76"/>
      <c r="AC2055" s="74"/>
      <c r="AD2055" s="77"/>
      <c r="AE2055" s="77"/>
      <c r="AF2055" s="77"/>
      <c r="AG2055" s="77"/>
      <c r="AH2055" s="77"/>
      <c r="AI2055" s="68"/>
      <c r="AJ2055" s="213">
        <v>1.6125983042710999E-4</v>
      </c>
      <c r="AK2055" s="213">
        <v>2.1458504622376</v>
      </c>
      <c r="AL2055" s="213">
        <v>4</v>
      </c>
      <c r="AM2055" s="213">
        <v>1.3916423712342001E-3</v>
      </c>
      <c r="AN2055" s="74"/>
      <c r="AO2055" s="73"/>
      <c r="AP2055" s="73"/>
      <c r="AQ2055" s="73"/>
      <c r="AR2055" s="73"/>
      <c r="AS2055" s="73"/>
      <c r="AT2055" s="74"/>
      <c r="AU2055" s="47"/>
      <c r="AV2055" s="48"/>
    </row>
    <row r="2056" spans="1:48" ht="12.75" customHeight="1" x14ac:dyDescent="0.25">
      <c r="A2056" s="72" t="s">
        <v>20</v>
      </c>
      <c r="B2056" s="43" t="s">
        <v>1833</v>
      </c>
      <c r="C2056" s="44" t="s">
        <v>2213</v>
      </c>
      <c r="D2056" s="45">
        <f>MROUND(MID($C2056,6,3)/Basis!$E$3,0.5)</f>
        <v>37.5</v>
      </c>
      <c r="E2056" s="45">
        <f>MROUND(MID($C2056,9,3)/Basis!$E$3,0.5)</f>
        <v>39.5</v>
      </c>
      <c r="F2056" s="124" t="s">
        <v>2943</v>
      </c>
      <c r="G2056" s="45">
        <f>ROUND((ROUNDDOWN($F2056/5,0)*5+1.8)/Basis!$E$3,1)</f>
        <v>4.5999999999999996</v>
      </c>
      <c r="H2056" s="120">
        <f>ROUND($P2056*Basis!$E$2*((TaH-TrH)/LN(1/µ)/Basis!$E$7)^$N2056*$AA$4*Glycol,0)</f>
        <v>3051</v>
      </c>
      <c r="I2056" s="83">
        <f>ROUND(H2056/(MID($C2056,9,3)/Basis!$E$3/Basis!$E$9)*Basis!$E$11,0)</f>
        <v>930</v>
      </c>
      <c r="J2056" s="123">
        <f>IF(Basis!$E$1=1,ROUND(H2056/((TaH-TrH)*1.163)/3600,3),ROUND(H2056/(500*(TaH-TrH)),2))</f>
        <v>0.31</v>
      </c>
      <c r="K2056" s="84"/>
      <c r="L2056" s="177">
        <f>CHOOSE(Basis!$E$1,((AJ2056*(J2056*3600/Basis!$E$5)^AK2056*(((MID(C2056,9,3)*10)-144)/1000)*AL2056+AM2056*(J2056*3600/Basis!$E$5)^2)*0.0098)/Basis!$E$10,((AJ2056*(J2056/Basis!$E$5)^AK2056*(((MID(C2056,9,3)*10)-144)/1000)*AL2056+AM2056*(J2056/Basis!$E$5)^2)*0.0098)/Basis!$E$10)</f>
        <v>9.5155432108683154E-3</v>
      </c>
      <c r="M2056" s="85"/>
      <c r="N2056" s="109">
        <v>1.343</v>
      </c>
      <c r="O2056" s="68"/>
      <c r="P2056" s="67">
        <v>1393</v>
      </c>
      <c r="Q2056" s="68"/>
      <c r="R2056" s="69"/>
      <c r="S2056" s="69"/>
      <c r="T2056" s="69"/>
      <c r="U2056" s="69"/>
      <c r="V2056" s="69"/>
      <c r="W2056" s="68"/>
      <c r="X2056" s="70"/>
      <c r="Y2056" s="70"/>
      <c r="Z2056" s="70"/>
      <c r="AA2056" s="70"/>
      <c r="AB2056" s="70"/>
      <c r="AC2056" s="68"/>
      <c r="AD2056" s="71"/>
      <c r="AE2056" s="71"/>
      <c r="AF2056" s="71"/>
      <c r="AG2056" s="71"/>
      <c r="AH2056" s="71"/>
      <c r="AI2056" s="68"/>
      <c r="AJ2056" s="214">
        <v>3.9689999999999994E-4</v>
      </c>
      <c r="AK2056" s="214">
        <v>1.7345999999999999</v>
      </c>
      <c r="AL2056" s="214">
        <v>2</v>
      </c>
      <c r="AM2056" s="214">
        <v>3.6734700000000002E-4</v>
      </c>
      <c r="AN2056" s="68"/>
      <c r="AO2056" s="67"/>
      <c r="AP2056" s="67"/>
      <c r="AQ2056" s="67"/>
      <c r="AR2056" s="67"/>
      <c r="AS2056" s="67"/>
      <c r="AT2056" s="68"/>
      <c r="AU2056" s="49"/>
      <c r="AV2056" s="50"/>
    </row>
    <row r="2057" spans="1:48" ht="12.75" customHeight="1" x14ac:dyDescent="0.25">
      <c r="A2057" s="72" t="s">
        <v>20</v>
      </c>
      <c r="B2057" s="43" t="s">
        <v>1833</v>
      </c>
      <c r="C2057" s="44" t="s">
        <v>2214</v>
      </c>
      <c r="D2057" s="45">
        <f>MROUND(MID($C2057,6,3)/Basis!$E$3,0.5)</f>
        <v>37.5</v>
      </c>
      <c r="E2057" s="45">
        <f>MROUND(MID($C2057,9,3)/Basis!$E$3,0.5)</f>
        <v>39.5</v>
      </c>
      <c r="F2057" s="124" t="s">
        <v>2946</v>
      </c>
      <c r="G2057" s="45">
        <f>ROUND((ROUNDDOWN($F2057/5,0)*5+1.8)/Basis!$E$3,1)</f>
        <v>4.5999999999999996</v>
      </c>
      <c r="H2057" s="120">
        <f>ROUND($P2057*Basis!$E$2*((TaH-TrH)/LN(1/µ)/Basis!$E$7)^$N2057*$AA$4*Glycol,0)</f>
        <v>3818</v>
      </c>
      <c r="I2057" s="83">
        <f>ROUND(H2057/(MID($C2057,9,3)/Basis!$E$3/Basis!$E$9)*Basis!$E$11,0)</f>
        <v>1164</v>
      </c>
      <c r="J2057" s="123">
        <f>IF(Basis!$E$1=1,ROUND(H2057/((TaH-TrH)*1.163)/3600,3),ROUND(H2057/(500*(TaH-TrH)),2))</f>
        <v>0.38</v>
      </c>
      <c r="K2057" s="84"/>
      <c r="L2057" s="177">
        <f>CHOOSE(Basis!$E$1,((AJ2057*(J2057*3600/Basis!$E$5)^AK2057*(((MID(C2057,9,3)*10)-144)/1000)*AL2057+AM2057*(J2057*3600/Basis!$E$5)^2)*0.0098)/Basis!$E$10,((AJ2057*(J2057/Basis!$E$5)^AK2057*(((MID(C2057,9,3)*10)-144)/1000)*AL2057+AM2057*(J2057/Basis!$E$5)^2)*0.0098)/Basis!$E$10)</f>
        <v>2.4126360712041457E-2</v>
      </c>
      <c r="M2057" s="85"/>
      <c r="N2057" s="109">
        <v>1.4339999999999999</v>
      </c>
      <c r="O2057" s="68"/>
      <c r="P2057" s="67">
        <v>1796</v>
      </c>
      <c r="Q2057" s="68"/>
      <c r="R2057" s="69"/>
      <c r="S2057" s="69"/>
      <c r="T2057" s="69"/>
      <c r="U2057" s="69"/>
      <c r="V2057" s="69"/>
      <c r="W2057" s="68"/>
      <c r="X2057" s="70"/>
      <c r="Y2057" s="70"/>
      <c r="Z2057" s="70"/>
      <c r="AA2057" s="70"/>
      <c r="AB2057" s="70"/>
      <c r="AC2057" s="68"/>
      <c r="AD2057" s="71"/>
      <c r="AE2057" s="71"/>
      <c r="AF2057" s="71"/>
      <c r="AG2057" s="71"/>
      <c r="AH2057" s="71"/>
      <c r="AI2057" s="68"/>
      <c r="AJ2057" s="214">
        <v>3.9689999999999994E-4</v>
      </c>
      <c r="AK2057" s="214">
        <v>1.7345999999999999</v>
      </c>
      <c r="AL2057" s="214">
        <v>4</v>
      </c>
      <c r="AM2057" s="214">
        <v>5.7428799999999995E-4</v>
      </c>
      <c r="AN2057" s="68"/>
      <c r="AO2057" s="67"/>
      <c r="AP2057" s="67"/>
      <c r="AQ2057" s="67"/>
      <c r="AR2057" s="67"/>
      <c r="AS2057" s="67"/>
      <c r="AT2057" s="68"/>
      <c r="AU2057" s="49"/>
      <c r="AV2057" s="50"/>
    </row>
    <row r="2058" spans="1:48" ht="12.75" customHeight="1" x14ac:dyDescent="0.25">
      <c r="A2058" s="72" t="s">
        <v>20</v>
      </c>
      <c r="B2058" s="43" t="s">
        <v>1833</v>
      </c>
      <c r="C2058" s="44" t="s">
        <v>2215</v>
      </c>
      <c r="D2058" s="45">
        <f>MROUND(MID($C2058,6,3)/Basis!$E$3,0.5)</f>
        <v>37.5</v>
      </c>
      <c r="E2058" s="45">
        <f>MROUND(MID($C2058,9,3)/Basis!$E$3,0.5)</f>
        <v>39.5</v>
      </c>
      <c r="F2058" s="124" t="s">
        <v>2944</v>
      </c>
      <c r="G2058" s="45">
        <f>ROUND((ROUNDDOWN($F2058/5,0)*5+1.8)/Basis!$E$3,1)</f>
        <v>6.6</v>
      </c>
      <c r="H2058" s="120">
        <f>ROUND($P2058*Basis!$E$2*((TaH-TrH)/LN(1/µ)/Basis!$E$7)^$N2058*$AA$4*Glycol,0)</f>
        <v>4736</v>
      </c>
      <c r="I2058" s="83">
        <f>ROUND(H2058/(MID($C2058,9,3)/Basis!$E$3/Basis!$E$9)*Basis!$E$11,0)</f>
        <v>1444</v>
      </c>
      <c r="J2058" s="123">
        <f>IF(Basis!$E$1=1,ROUND(H2058/((TaH-TrH)*1.163)/3600,3),ROUND(H2058/(500*(TaH-TrH)),2))</f>
        <v>0.47</v>
      </c>
      <c r="K2058" s="84"/>
      <c r="L2058" s="177">
        <f>CHOOSE(Basis!$E$1,((AJ2058*(J2058*3600/Basis!$E$5)^AK2058*(((MID(C2058,9,3)*10)-144)/1000)*AL2058+AM2058*(J2058*3600/Basis!$E$5)^2)*0.0098)/Basis!$E$10,((AJ2058*(J2058/Basis!$E$5)^AK2058*(((MID(C2058,9,3)*10)-144)/1000)*AL2058+AM2058*(J2058/Basis!$E$5)^2)*0.0098)/Basis!$E$10)</f>
        <v>2.0868406871441179E-2</v>
      </c>
      <c r="M2058" s="85"/>
      <c r="N2058" s="109">
        <v>1.32</v>
      </c>
      <c r="O2058" s="68"/>
      <c r="P2058" s="67">
        <v>2146</v>
      </c>
      <c r="Q2058" s="68"/>
      <c r="R2058" s="69"/>
      <c r="S2058" s="69"/>
      <c r="T2058" s="69"/>
      <c r="U2058" s="69"/>
      <c r="V2058" s="69"/>
      <c r="W2058" s="68"/>
      <c r="X2058" s="70"/>
      <c r="Y2058" s="70"/>
      <c r="Z2058" s="70"/>
      <c r="AA2058" s="70"/>
      <c r="AB2058" s="70"/>
      <c r="AC2058" s="68"/>
      <c r="AD2058" s="71"/>
      <c r="AE2058" s="71"/>
      <c r="AF2058" s="71"/>
      <c r="AG2058" s="71"/>
      <c r="AH2058" s="71"/>
      <c r="AI2058" s="68"/>
      <c r="AJ2058" s="214">
        <v>2.0829999999999999E-4</v>
      </c>
      <c r="AK2058" s="214">
        <v>1.724</v>
      </c>
      <c r="AL2058" s="214">
        <v>2</v>
      </c>
      <c r="AM2058" s="214">
        <v>4.6182900000000003E-4</v>
      </c>
      <c r="AN2058" s="68"/>
      <c r="AO2058" s="67"/>
      <c r="AP2058" s="67"/>
      <c r="AQ2058" s="67"/>
      <c r="AR2058" s="67"/>
      <c r="AS2058" s="67"/>
      <c r="AT2058" s="68"/>
      <c r="AU2058" s="49"/>
      <c r="AV2058" s="50"/>
    </row>
    <row r="2059" spans="1:48" ht="12.75" customHeight="1" x14ac:dyDescent="0.25">
      <c r="A2059" s="72" t="s">
        <v>20</v>
      </c>
      <c r="B2059" s="43" t="s">
        <v>1833</v>
      </c>
      <c r="C2059" s="44" t="s">
        <v>2216</v>
      </c>
      <c r="D2059" s="45">
        <f>MROUND(MID($C2059,6,3)/Basis!$E$3,0.5)</f>
        <v>37.5</v>
      </c>
      <c r="E2059" s="45">
        <f>MROUND(MID($C2059,9,3)/Basis!$E$3,0.5)</f>
        <v>39.5</v>
      </c>
      <c r="F2059" s="124" t="s">
        <v>2947</v>
      </c>
      <c r="G2059" s="45">
        <f>ROUND((ROUNDDOWN($F2059/5,0)*5+1.8)/Basis!$E$3,1)</f>
        <v>6.6</v>
      </c>
      <c r="H2059" s="120">
        <f>ROUND($P2059*Basis!$E$2*((TaH-TrH)/LN(1/µ)/Basis!$E$7)^$N2059*$AA$4*Glycol,0)</f>
        <v>5601</v>
      </c>
      <c r="I2059" s="83">
        <f>ROUND(H2059/(MID($C2059,9,3)/Basis!$E$3/Basis!$E$9)*Basis!$E$11,0)</f>
        <v>1707</v>
      </c>
      <c r="J2059" s="123">
        <f>IF(Basis!$E$1=1,ROUND(H2059/((TaH-TrH)*1.163)/3600,3),ROUND(H2059/(500*(TaH-TrH)),2))</f>
        <v>0.56000000000000005</v>
      </c>
      <c r="K2059" s="84"/>
      <c r="L2059" s="177">
        <f>CHOOSE(Basis!$E$1,((AJ2059*(J2059*3600/Basis!$E$5)^AK2059*(((MID(C2059,9,3)*10)-144)/1000)*AL2059+AM2059*(J2059*3600/Basis!$E$5)^2)*0.0098)/Basis!$E$10,((AJ2059*(J2059/Basis!$E$5)^AK2059*(((MID(C2059,9,3)*10)-144)/1000)*AL2059+AM2059*(J2059/Basis!$E$5)^2)*0.0098)/Basis!$E$10)</f>
        <v>8.3575867137899759E-2</v>
      </c>
      <c r="M2059" s="85"/>
      <c r="N2059" s="109">
        <v>1.482</v>
      </c>
      <c r="O2059" s="68"/>
      <c r="P2059" s="67">
        <v>2677</v>
      </c>
      <c r="Q2059" s="68"/>
      <c r="R2059" s="69"/>
      <c r="S2059" s="69"/>
      <c r="T2059" s="69"/>
      <c r="U2059" s="69"/>
      <c r="V2059" s="69"/>
      <c r="W2059" s="68"/>
      <c r="X2059" s="70"/>
      <c r="Y2059" s="70"/>
      <c r="Z2059" s="70"/>
      <c r="AA2059" s="70"/>
      <c r="AB2059" s="70"/>
      <c r="AC2059" s="68"/>
      <c r="AD2059" s="71"/>
      <c r="AE2059" s="71"/>
      <c r="AF2059" s="71"/>
      <c r="AG2059" s="71"/>
      <c r="AH2059" s="71"/>
      <c r="AI2059" s="68"/>
      <c r="AJ2059" s="214">
        <v>2.0829999999999999E-4</v>
      </c>
      <c r="AK2059" s="214">
        <v>1.724</v>
      </c>
      <c r="AL2059" s="214">
        <v>4</v>
      </c>
      <c r="AM2059" s="214">
        <v>1.392796E-3</v>
      </c>
      <c r="AN2059" s="68"/>
      <c r="AO2059" s="67"/>
      <c r="AP2059" s="67"/>
      <c r="AQ2059" s="67"/>
      <c r="AR2059" s="67"/>
      <c r="AS2059" s="67"/>
      <c r="AT2059" s="68"/>
      <c r="AU2059" s="49"/>
      <c r="AV2059" s="50"/>
    </row>
    <row r="2060" spans="1:48" ht="12.75" customHeight="1" x14ac:dyDescent="0.25">
      <c r="A2060" s="72" t="s">
        <v>20</v>
      </c>
      <c r="B2060" s="43" t="s">
        <v>1833</v>
      </c>
      <c r="C2060" s="44" t="s">
        <v>2217</v>
      </c>
      <c r="D2060" s="45">
        <f>MROUND(MID($C2060,6,3)/Basis!$E$3,0.5)</f>
        <v>37.5</v>
      </c>
      <c r="E2060" s="45">
        <f>MROUND(MID($C2060,9,3)/Basis!$E$3,0.5)</f>
        <v>39.5</v>
      </c>
      <c r="F2060" s="124" t="s">
        <v>2945</v>
      </c>
      <c r="G2060" s="45">
        <f>ROUND((ROUNDDOWN($F2060/5,0)*5+1.8)/Basis!$E$3,1)</f>
        <v>8.6</v>
      </c>
      <c r="H2060" s="120">
        <f>ROUND($P2060*Basis!$E$2*((TaH-TrH)/LN(1/µ)/Basis!$E$7)^$N2060*$AA$4*Glycol,0)</f>
        <v>6604</v>
      </c>
      <c r="I2060" s="83">
        <f>ROUND(H2060/(MID($C2060,9,3)/Basis!$E$3/Basis!$E$9)*Basis!$E$11,0)</f>
        <v>2013</v>
      </c>
      <c r="J2060" s="123">
        <f>IF(Basis!$E$1=1,ROUND(H2060/((TaH-TrH)*1.163)/3600,3),ROUND(H2060/(500*(TaH-TrH)),2))</f>
        <v>0.66</v>
      </c>
      <c r="K2060" s="84"/>
      <c r="L2060" s="177">
        <f>CHOOSE(Basis!$E$1,((AJ2060*(J2060*3600/Basis!$E$5)^AK2060*(((MID(C2060,9,3)*10)-144)/1000)*AL2060+AM2060*(J2060*3600/Basis!$E$5)^2)*0.0098)/Basis!$E$10,((AJ2060*(J2060/Basis!$E$5)^AK2060*(((MID(C2060,9,3)*10)-144)/1000)*AL2060+AM2060*(J2060/Basis!$E$5)^2)*0.0098)/Basis!$E$10)</f>
        <v>3.1655279187170871E-2</v>
      </c>
      <c r="M2060" s="85"/>
      <c r="N2060" s="109">
        <v>1.32</v>
      </c>
      <c r="O2060" s="68"/>
      <c r="P2060" s="67">
        <v>2992</v>
      </c>
      <c r="Q2060" s="68"/>
      <c r="R2060" s="69"/>
      <c r="S2060" s="69"/>
      <c r="T2060" s="69"/>
      <c r="U2060" s="69"/>
      <c r="V2060" s="69"/>
      <c r="W2060" s="68"/>
      <c r="X2060" s="70"/>
      <c r="Y2060" s="70"/>
      <c r="Z2060" s="70"/>
      <c r="AA2060" s="70"/>
      <c r="AB2060" s="70"/>
      <c r="AC2060" s="68"/>
      <c r="AD2060" s="71"/>
      <c r="AE2060" s="71"/>
      <c r="AF2060" s="71"/>
      <c r="AG2060" s="71"/>
      <c r="AH2060" s="71"/>
      <c r="AI2060" s="68"/>
      <c r="AJ2060" s="214">
        <v>1.2760000000000001E-4</v>
      </c>
      <c r="AK2060" s="214">
        <v>1.7219</v>
      </c>
      <c r="AL2060" s="214">
        <v>2</v>
      </c>
      <c r="AM2060" s="214">
        <v>3.76611E-4</v>
      </c>
      <c r="AN2060" s="68"/>
      <c r="AO2060" s="67"/>
      <c r="AP2060" s="67"/>
      <c r="AQ2060" s="67"/>
      <c r="AR2060" s="67"/>
      <c r="AS2060" s="67"/>
      <c r="AT2060" s="68"/>
      <c r="AU2060" s="49"/>
      <c r="AV2060" s="50"/>
    </row>
    <row r="2061" spans="1:48" ht="12.75" customHeight="1" x14ac:dyDescent="0.25">
      <c r="A2061" s="72" t="s">
        <v>20</v>
      </c>
      <c r="B2061" s="43" t="s">
        <v>1833</v>
      </c>
      <c r="C2061" s="44" t="s">
        <v>2218</v>
      </c>
      <c r="D2061" s="45">
        <f>MROUND(MID($C2061,6,3)/Basis!$E$3,0.5)</f>
        <v>37.5</v>
      </c>
      <c r="E2061" s="45">
        <f>MROUND(MID($C2061,9,3)/Basis!$E$3,0.5)</f>
        <v>39.5</v>
      </c>
      <c r="F2061" s="124" t="s">
        <v>2948</v>
      </c>
      <c r="G2061" s="45">
        <f>ROUND((ROUNDDOWN($F2061/5,0)*5+1.8)/Basis!$E$3,1)</f>
        <v>8.6</v>
      </c>
      <c r="H2061" s="120">
        <f>ROUND($P2061*Basis!$E$2*((TaH-TrH)/LN(1/µ)/Basis!$E$7)^$N2061*$AA$4*Glycol,0)</f>
        <v>8094</v>
      </c>
      <c r="I2061" s="83">
        <f>ROUND(H2061/(MID($C2061,9,3)/Basis!$E$3/Basis!$E$9)*Basis!$E$11,0)</f>
        <v>2467</v>
      </c>
      <c r="J2061" s="123">
        <f>IF(Basis!$E$1=1,ROUND(H2061/((TaH-TrH)*1.163)/3600,3),ROUND(H2061/(500*(TaH-TrH)),2))</f>
        <v>0.81</v>
      </c>
      <c r="K2061" s="84"/>
      <c r="L2061" s="177">
        <f>CHOOSE(Basis!$E$1,((AJ2061*(J2061*3600/Basis!$E$5)^AK2061*(((MID(C2061,9,3)*10)-144)/1000)*AL2061+AM2061*(J2061*3600/Basis!$E$5)^2)*0.0098)/Basis!$E$10,((AJ2061*(J2061/Basis!$E$5)^AK2061*(((MID(C2061,9,3)*10)-144)/1000)*AL2061+AM2061*(J2061/Basis!$E$5)^2)*0.0098)/Basis!$E$10)</f>
        <v>6.8242609522533415E-2</v>
      </c>
      <c r="M2061" s="85"/>
      <c r="N2061" s="109">
        <v>1.522</v>
      </c>
      <c r="O2061" s="68"/>
      <c r="P2061" s="67">
        <v>3920</v>
      </c>
      <c r="Q2061" s="68"/>
      <c r="R2061" s="69"/>
      <c r="S2061" s="69"/>
      <c r="T2061" s="69"/>
      <c r="U2061" s="69"/>
      <c r="V2061" s="69"/>
      <c r="W2061" s="68"/>
      <c r="X2061" s="70"/>
      <c r="Y2061" s="70"/>
      <c r="Z2061" s="70"/>
      <c r="AA2061" s="70"/>
      <c r="AB2061" s="70"/>
      <c r="AC2061" s="68"/>
      <c r="AD2061" s="71"/>
      <c r="AE2061" s="71"/>
      <c r="AF2061" s="71"/>
      <c r="AG2061" s="71"/>
      <c r="AH2061" s="71"/>
      <c r="AI2061" s="68"/>
      <c r="AJ2061" s="214">
        <v>1.2760000000000001E-4</v>
      </c>
      <c r="AK2061" s="214">
        <v>1.7219</v>
      </c>
      <c r="AL2061" s="214">
        <v>4</v>
      </c>
      <c r="AM2061" s="214">
        <v>5.1420100000000005E-4</v>
      </c>
      <c r="AN2061" s="68"/>
      <c r="AO2061" s="67"/>
      <c r="AP2061" s="67"/>
      <c r="AQ2061" s="67"/>
      <c r="AR2061" s="67"/>
      <c r="AS2061" s="67"/>
      <c r="AT2061" s="68"/>
      <c r="AU2061" s="49"/>
      <c r="AV2061" s="50"/>
    </row>
    <row r="2062" spans="1:48" ht="12.75" customHeight="1" x14ac:dyDescent="0.25">
      <c r="A2062" s="72" t="s">
        <v>20</v>
      </c>
      <c r="B2062" s="43" t="s">
        <v>1833</v>
      </c>
      <c r="C2062" s="44" t="s">
        <v>2219</v>
      </c>
      <c r="D2062" s="45">
        <f>MROUND(MID($C2062,6,3)/Basis!$E$3,0.5)</f>
        <v>37.5</v>
      </c>
      <c r="E2062" s="45">
        <f>MROUND(MID($C2062,9,3)/Basis!$E$3,0.5)</f>
        <v>43.5</v>
      </c>
      <c r="F2062" s="124" t="s">
        <v>2949</v>
      </c>
      <c r="G2062" s="45">
        <f>ROUND((ROUNDDOWN($F2062/5,0)*5+3.5)/Basis!$E$3,1)</f>
        <v>3.3</v>
      </c>
      <c r="H2062" s="120">
        <f>ROUND($P2062*Basis!$E$2*((TaH-TrH)/LN(1/µ)/Basis!$E$7)^$N2062*$AA$4*Glycol,0)</f>
        <v>2990</v>
      </c>
      <c r="I2062" s="83">
        <f>ROUND(H2062/(MID($C2062,9,3)/Basis!$E$3/Basis!$E$9)*Basis!$E$11,0)</f>
        <v>829</v>
      </c>
      <c r="J2062" s="123">
        <f>IF(Basis!$E$1=1,ROUND(H2062/((TaH-TrH)*1.163)/3600,3),ROUND(H2062/(500*(TaH-TrH)),2))</f>
        <v>0.3</v>
      </c>
      <c r="K2062" s="84"/>
      <c r="L2062" s="177">
        <f>CHOOSE(Basis!$E$1,((AJ2062*(J2062*3600/Basis!$E$5)^AK2062*(((MID(C2062,9,3)*10)-144)/1000)*AL2062+AM2062*(J2062*3600/Basis!$E$5)^2)*0.0098)/Basis!$E$10,((AJ2062*(J2062/Basis!$E$5)^AK2062*(((MID(C2062,9,3)*10)-144)/1000)*AL2062+AM2062*(J2062/Basis!$E$5)^2)*0.0098)/Basis!$E$10)</f>
        <v>3.8452530657738716E-2</v>
      </c>
      <c r="M2062" s="85"/>
      <c r="N2062" s="109">
        <v>1.3069999999999999</v>
      </c>
      <c r="O2062" s="68"/>
      <c r="P2062" s="67">
        <v>1349</v>
      </c>
      <c r="Q2062" s="68"/>
      <c r="R2062" s="69"/>
      <c r="S2062" s="69"/>
      <c r="T2062" s="69"/>
      <c r="U2062" s="69"/>
      <c r="V2062" s="69"/>
      <c r="W2062" s="68"/>
      <c r="X2062" s="70"/>
      <c r="Y2062" s="70"/>
      <c r="Z2062" s="70"/>
      <c r="AA2062" s="70"/>
      <c r="AB2062" s="70"/>
      <c r="AC2062" s="68"/>
      <c r="AD2062" s="71"/>
      <c r="AE2062" s="71"/>
      <c r="AF2062" s="71"/>
      <c r="AG2062" s="71"/>
      <c r="AH2062" s="71"/>
      <c r="AI2062" s="68"/>
      <c r="AJ2062" s="214">
        <v>1.6125983042710999E-4</v>
      </c>
      <c r="AK2062" s="214">
        <v>2.1458504622376</v>
      </c>
      <c r="AL2062" s="214">
        <v>4</v>
      </c>
      <c r="AM2062" s="214">
        <v>1.3916423712342001E-3</v>
      </c>
      <c r="AN2062" s="68"/>
      <c r="AO2062" s="67"/>
      <c r="AP2062" s="67"/>
      <c r="AQ2062" s="67"/>
      <c r="AR2062" s="67"/>
      <c r="AS2062" s="67"/>
      <c r="AT2062" s="68"/>
      <c r="AU2062" s="49"/>
      <c r="AV2062" s="50"/>
    </row>
    <row r="2063" spans="1:48" ht="12.75" customHeight="1" x14ac:dyDescent="0.25">
      <c r="A2063" s="72" t="s">
        <v>20</v>
      </c>
      <c r="B2063" s="43" t="s">
        <v>1833</v>
      </c>
      <c r="C2063" s="44" t="s">
        <v>2220</v>
      </c>
      <c r="D2063" s="45">
        <f>MROUND(MID($C2063,6,3)/Basis!$E$3,0.5)</f>
        <v>37.5</v>
      </c>
      <c r="E2063" s="45">
        <f>MROUND(MID($C2063,9,3)/Basis!$E$3,0.5)</f>
        <v>43.5</v>
      </c>
      <c r="F2063" s="124" t="s">
        <v>2943</v>
      </c>
      <c r="G2063" s="45">
        <f>ROUND((ROUNDDOWN($F2063/5,0)*5+1.8)/Basis!$E$3,1)</f>
        <v>4.5999999999999996</v>
      </c>
      <c r="H2063" s="120">
        <f>ROUND($P2063*Basis!$E$2*((TaH-TrH)/LN(1/µ)/Basis!$E$7)^$N2063*$AA$4*Glycol,0)</f>
        <v>3356</v>
      </c>
      <c r="I2063" s="83">
        <f>ROUND(H2063/(MID($C2063,9,3)/Basis!$E$3/Basis!$E$9)*Basis!$E$11,0)</f>
        <v>930</v>
      </c>
      <c r="J2063" s="123">
        <f>IF(Basis!$E$1=1,ROUND(H2063/((TaH-TrH)*1.163)/3600,3),ROUND(H2063/(500*(TaH-TrH)),2))</f>
        <v>0.34</v>
      </c>
      <c r="K2063" s="84"/>
      <c r="L2063" s="177">
        <f>CHOOSE(Basis!$E$1,((AJ2063*(J2063*3600/Basis!$E$5)^AK2063*(((MID(C2063,9,3)*10)-144)/1000)*AL2063+AM2063*(J2063*3600/Basis!$E$5)^2)*0.0098)/Basis!$E$10,((AJ2063*(J2063/Basis!$E$5)^AK2063*(((MID(C2063,9,3)*10)-144)/1000)*AL2063+AM2063*(J2063/Basis!$E$5)^2)*0.0098)/Basis!$E$10)</f>
        <v>1.183095222326027E-2</v>
      </c>
      <c r="M2063" s="85"/>
      <c r="N2063" s="110">
        <v>1.343</v>
      </c>
      <c r="O2063" s="74"/>
      <c r="P2063" s="73">
        <v>1532</v>
      </c>
      <c r="Q2063" s="74"/>
      <c r="R2063" s="75"/>
      <c r="S2063" s="75"/>
      <c r="T2063" s="75"/>
      <c r="U2063" s="75"/>
      <c r="V2063" s="75"/>
      <c r="W2063" s="74"/>
      <c r="X2063" s="76"/>
      <c r="Y2063" s="76"/>
      <c r="Z2063" s="76"/>
      <c r="AA2063" s="76"/>
      <c r="AB2063" s="76"/>
      <c r="AC2063" s="74"/>
      <c r="AD2063" s="77"/>
      <c r="AE2063" s="77"/>
      <c r="AF2063" s="77"/>
      <c r="AG2063" s="77"/>
      <c r="AH2063" s="77"/>
      <c r="AI2063" s="68"/>
      <c r="AJ2063" s="213">
        <v>3.9689999999999994E-4</v>
      </c>
      <c r="AK2063" s="213">
        <v>1.7345999999999999</v>
      </c>
      <c r="AL2063" s="213">
        <v>2</v>
      </c>
      <c r="AM2063" s="213">
        <v>3.6734700000000002E-4</v>
      </c>
      <c r="AN2063" s="74"/>
      <c r="AO2063" s="73"/>
      <c r="AP2063" s="73"/>
      <c r="AQ2063" s="73"/>
      <c r="AR2063" s="73"/>
      <c r="AS2063" s="73"/>
      <c r="AT2063" s="74"/>
      <c r="AU2063" s="47"/>
      <c r="AV2063" s="48"/>
    </row>
    <row r="2064" spans="1:48" ht="12.75" customHeight="1" x14ac:dyDescent="0.25">
      <c r="A2064" s="72" t="s">
        <v>20</v>
      </c>
      <c r="B2064" s="43" t="s">
        <v>1833</v>
      </c>
      <c r="C2064" s="44" t="s">
        <v>2221</v>
      </c>
      <c r="D2064" s="45">
        <f>MROUND(MID($C2064,6,3)/Basis!$E$3,0.5)</f>
        <v>37.5</v>
      </c>
      <c r="E2064" s="45">
        <f>MROUND(MID($C2064,9,3)/Basis!$E$3,0.5)</f>
        <v>43.5</v>
      </c>
      <c r="F2064" s="124" t="s">
        <v>2946</v>
      </c>
      <c r="G2064" s="45">
        <f>ROUND((ROUNDDOWN($F2064/5,0)*5+1.8)/Basis!$E$3,1)</f>
        <v>4.5999999999999996</v>
      </c>
      <c r="H2064" s="120">
        <f>ROUND($P2064*Basis!$E$2*((TaH-TrH)/LN(1/µ)/Basis!$E$7)^$N2064*$AA$4*Glycol,0)</f>
        <v>4200</v>
      </c>
      <c r="I2064" s="83">
        <f>ROUND(H2064/(MID($C2064,9,3)/Basis!$E$3/Basis!$E$9)*Basis!$E$11,0)</f>
        <v>1164</v>
      </c>
      <c r="J2064" s="123">
        <f>IF(Basis!$E$1=1,ROUND(H2064/((TaH-TrH)*1.163)/3600,3),ROUND(H2064/(500*(TaH-TrH)),2))</f>
        <v>0.42</v>
      </c>
      <c r="K2064" s="84"/>
      <c r="L2064" s="177">
        <f>CHOOSE(Basis!$E$1,((AJ2064*(J2064*3600/Basis!$E$5)^AK2064*(((MID(C2064,9,3)*10)-144)/1000)*AL2064+AM2064*(J2064*3600/Basis!$E$5)^2)*0.0098)/Basis!$E$10,((AJ2064*(J2064/Basis!$E$5)^AK2064*(((MID(C2064,9,3)*10)-144)/1000)*AL2064+AM2064*(J2064/Basis!$E$5)^2)*0.0098)/Basis!$E$10)</f>
        <v>3.0557280660699852E-2</v>
      </c>
      <c r="M2064" s="85"/>
      <c r="N2064" s="110">
        <v>1.4339999999999999</v>
      </c>
      <c r="O2064" s="74"/>
      <c r="P2064" s="73">
        <v>1976</v>
      </c>
      <c r="Q2064" s="74"/>
      <c r="R2064" s="75"/>
      <c r="S2064" s="75"/>
      <c r="T2064" s="75"/>
      <c r="U2064" s="75"/>
      <c r="V2064" s="75"/>
      <c r="W2064" s="74"/>
      <c r="X2064" s="76"/>
      <c r="Y2064" s="76"/>
      <c r="Z2064" s="76"/>
      <c r="AA2064" s="76"/>
      <c r="AB2064" s="76"/>
      <c r="AC2064" s="74"/>
      <c r="AD2064" s="77"/>
      <c r="AE2064" s="77"/>
      <c r="AF2064" s="77"/>
      <c r="AG2064" s="77"/>
      <c r="AH2064" s="77"/>
      <c r="AI2064" s="68"/>
      <c r="AJ2064" s="213">
        <v>3.9689999999999994E-4</v>
      </c>
      <c r="AK2064" s="213">
        <v>1.7345999999999999</v>
      </c>
      <c r="AL2064" s="213">
        <v>4</v>
      </c>
      <c r="AM2064" s="213">
        <v>5.7428799999999995E-4</v>
      </c>
      <c r="AN2064" s="74"/>
      <c r="AO2064" s="73"/>
      <c r="AP2064" s="73"/>
      <c r="AQ2064" s="73"/>
      <c r="AR2064" s="73"/>
      <c r="AS2064" s="73"/>
      <c r="AT2064" s="74"/>
      <c r="AU2064" s="47"/>
      <c r="AV2064" s="48"/>
    </row>
    <row r="2065" spans="1:48" ht="12.75" customHeight="1" x14ac:dyDescent="0.25">
      <c r="A2065" s="72" t="s">
        <v>20</v>
      </c>
      <c r="B2065" s="43" t="s">
        <v>1833</v>
      </c>
      <c r="C2065" s="44" t="s">
        <v>2222</v>
      </c>
      <c r="D2065" s="45">
        <f>MROUND(MID($C2065,6,3)/Basis!$E$3,0.5)</f>
        <v>37.5</v>
      </c>
      <c r="E2065" s="45">
        <f>MROUND(MID($C2065,9,3)/Basis!$E$3,0.5)</f>
        <v>43.5</v>
      </c>
      <c r="F2065" s="124" t="s">
        <v>2944</v>
      </c>
      <c r="G2065" s="45">
        <f>ROUND((ROUNDDOWN($F2065/5,0)*5+1.8)/Basis!$E$3,1)</f>
        <v>6.6</v>
      </c>
      <c r="H2065" s="120">
        <f>ROUND($P2065*Basis!$E$2*((TaH-TrH)/LN(1/µ)/Basis!$E$7)^$N2065*$AA$4*Glycol,0)</f>
        <v>5211</v>
      </c>
      <c r="I2065" s="83">
        <f>ROUND(H2065/(MID($C2065,9,3)/Basis!$E$3/Basis!$E$9)*Basis!$E$11,0)</f>
        <v>1444</v>
      </c>
      <c r="J2065" s="123">
        <f>IF(Basis!$E$1=1,ROUND(H2065/((TaH-TrH)*1.163)/3600,3),ROUND(H2065/(500*(TaH-TrH)),2))</f>
        <v>0.52</v>
      </c>
      <c r="K2065" s="84"/>
      <c r="L2065" s="177">
        <f>CHOOSE(Basis!$E$1,((AJ2065*(J2065*3600/Basis!$E$5)^AK2065*(((MID(C2065,9,3)*10)-144)/1000)*AL2065+AM2065*(J2065*3600/Basis!$E$5)^2)*0.0098)/Basis!$E$10,((AJ2065*(J2065/Basis!$E$5)^AK2065*(((MID(C2065,9,3)*10)-144)/1000)*AL2065+AM2065*(J2065/Basis!$E$5)^2)*0.0098)/Basis!$E$10)</f>
        <v>2.5930476088766738E-2</v>
      </c>
      <c r="M2065" s="85"/>
      <c r="N2065" s="110">
        <v>1.32</v>
      </c>
      <c r="O2065" s="74"/>
      <c r="P2065" s="73">
        <v>2361</v>
      </c>
      <c r="Q2065" s="74"/>
      <c r="R2065" s="75"/>
      <c r="S2065" s="75"/>
      <c r="T2065" s="75"/>
      <c r="U2065" s="75"/>
      <c r="V2065" s="75"/>
      <c r="W2065" s="74"/>
      <c r="X2065" s="76"/>
      <c r="Y2065" s="76"/>
      <c r="Z2065" s="76"/>
      <c r="AA2065" s="76"/>
      <c r="AB2065" s="76"/>
      <c r="AC2065" s="74"/>
      <c r="AD2065" s="77"/>
      <c r="AE2065" s="77"/>
      <c r="AF2065" s="77"/>
      <c r="AG2065" s="77"/>
      <c r="AH2065" s="77"/>
      <c r="AI2065" s="68"/>
      <c r="AJ2065" s="213">
        <v>2.0829999999999999E-4</v>
      </c>
      <c r="AK2065" s="213">
        <v>1.724</v>
      </c>
      <c r="AL2065" s="213">
        <v>2</v>
      </c>
      <c r="AM2065" s="213">
        <v>4.6182900000000003E-4</v>
      </c>
      <c r="AN2065" s="74"/>
      <c r="AO2065" s="73"/>
      <c r="AP2065" s="73"/>
      <c r="AQ2065" s="73"/>
      <c r="AR2065" s="73"/>
      <c r="AS2065" s="73"/>
      <c r="AT2065" s="74"/>
      <c r="AU2065" s="47"/>
      <c r="AV2065" s="48"/>
    </row>
    <row r="2066" spans="1:48" ht="12.75" customHeight="1" x14ac:dyDescent="0.25">
      <c r="A2066" s="72" t="s">
        <v>20</v>
      </c>
      <c r="B2066" s="43" t="s">
        <v>1833</v>
      </c>
      <c r="C2066" s="44" t="s">
        <v>2223</v>
      </c>
      <c r="D2066" s="45">
        <f>MROUND(MID($C2066,6,3)/Basis!$E$3,0.5)</f>
        <v>37.5</v>
      </c>
      <c r="E2066" s="45">
        <f>MROUND(MID($C2066,9,3)/Basis!$E$3,0.5)</f>
        <v>43.5</v>
      </c>
      <c r="F2066" s="124" t="s">
        <v>2947</v>
      </c>
      <c r="G2066" s="45">
        <f>ROUND((ROUNDDOWN($F2066/5,0)*5+1.8)/Basis!$E$3,1)</f>
        <v>6.6</v>
      </c>
      <c r="H2066" s="120">
        <f>ROUND($P2066*Basis!$E$2*((TaH-TrH)/LN(1/µ)/Basis!$E$7)^$N2066*$AA$4*Glycol,0)</f>
        <v>6162</v>
      </c>
      <c r="I2066" s="83">
        <f>ROUND(H2066/(MID($C2066,9,3)/Basis!$E$3/Basis!$E$9)*Basis!$E$11,0)</f>
        <v>1707</v>
      </c>
      <c r="J2066" s="123">
        <f>IF(Basis!$E$1=1,ROUND(H2066/((TaH-TrH)*1.163)/3600,3),ROUND(H2066/(500*(TaH-TrH)),2))</f>
        <v>0.62</v>
      </c>
      <c r="K2066" s="84"/>
      <c r="L2066" s="177">
        <f>CHOOSE(Basis!$E$1,((AJ2066*(J2066*3600/Basis!$E$5)^AK2066*(((MID(C2066,9,3)*10)-144)/1000)*AL2066+AM2066*(J2066*3600/Basis!$E$5)^2)*0.0098)/Basis!$E$10,((AJ2066*(J2066/Basis!$E$5)^AK2066*(((MID(C2066,9,3)*10)-144)/1000)*AL2066+AM2066*(J2066/Basis!$E$5)^2)*0.0098)/Basis!$E$10)</f>
        <v>0.10348704578126919</v>
      </c>
      <c r="M2066" s="85"/>
      <c r="N2066" s="110">
        <v>1.482</v>
      </c>
      <c r="O2066" s="74"/>
      <c r="P2066" s="73">
        <v>2945</v>
      </c>
      <c r="Q2066" s="74"/>
      <c r="R2066" s="75"/>
      <c r="S2066" s="75"/>
      <c r="T2066" s="75"/>
      <c r="U2066" s="75"/>
      <c r="V2066" s="75"/>
      <c r="W2066" s="74"/>
      <c r="X2066" s="76"/>
      <c r="Y2066" s="76"/>
      <c r="Z2066" s="76"/>
      <c r="AA2066" s="76"/>
      <c r="AB2066" s="76"/>
      <c r="AC2066" s="74"/>
      <c r="AD2066" s="77"/>
      <c r="AE2066" s="77"/>
      <c r="AF2066" s="77"/>
      <c r="AG2066" s="77"/>
      <c r="AH2066" s="77"/>
      <c r="AI2066" s="68"/>
      <c r="AJ2066" s="213">
        <v>2.0829999999999999E-4</v>
      </c>
      <c r="AK2066" s="213">
        <v>1.724</v>
      </c>
      <c r="AL2066" s="213">
        <v>4</v>
      </c>
      <c r="AM2066" s="213">
        <v>1.392796E-3</v>
      </c>
      <c r="AN2066" s="74"/>
      <c r="AO2066" s="73"/>
      <c r="AP2066" s="73"/>
      <c r="AQ2066" s="73"/>
      <c r="AR2066" s="73"/>
      <c r="AS2066" s="73"/>
      <c r="AT2066" s="74"/>
      <c r="AU2066" s="47"/>
      <c r="AV2066" s="48"/>
    </row>
    <row r="2067" spans="1:48" ht="12.75" customHeight="1" x14ac:dyDescent="0.25">
      <c r="A2067" s="72" t="s">
        <v>20</v>
      </c>
      <c r="B2067" s="43" t="s">
        <v>1833</v>
      </c>
      <c r="C2067" s="44" t="s">
        <v>2224</v>
      </c>
      <c r="D2067" s="45">
        <f>MROUND(MID($C2067,6,3)/Basis!$E$3,0.5)</f>
        <v>37.5</v>
      </c>
      <c r="E2067" s="45">
        <f>MROUND(MID($C2067,9,3)/Basis!$E$3,0.5)</f>
        <v>43.5</v>
      </c>
      <c r="F2067" s="124" t="s">
        <v>2945</v>
      </c>
      <c r="G2067" s="45">
        <f>ROUND((ROUNDDOWN($F2067/5,0)*5+1.8)/Basis!$E$3,1)</f>
        <v>8.6</v>
      </c>
      <c r="H2067" s="120">
        <f>ROUND($P2067*Basis!$E$2*((TaH-TrH)/LN(1/µ)/Basis!$E$7)^$N2067*$AA$4*Glycol,0)</f>
        <v>7264</v>
      </c>
      <c r="I2067" s="83">
        <f>ROUND(H2067/(MID($C2067,9,3)/Basis!$E$3/Basis!$E$9)*Basis!$E$11,0)</f>
        <v>2013</v>
      </c>
      <c r="J2067" s="123">
        <f>IF(Basis!$E$1=1,ROUND(H2067/((TaH-TrH)*1.163)/3600,3),ROUND(H2067/(500*(TaH-TrH)),2))</f>
        <v>0.73</v>
      </c>
      <c r="K2067" s="84"/>
      <c r="L2067" s="177">
        <f>CHOOSE(Basis!$E$1,((AJ2067*(J2067*3600/Basis!$E$5)^AK2067*(((MID(C2067,9,3)*10)-144)/1000)*AL2067+AM2067*(J2067*3600/Basis!$E$5)^2)*0.0098)/Basis!$E$10,((AJ2067*(J2067/Basis!$E$5)^AK2067*(((MID(C2067,9,3)*10)-144)/1000)*AL2067+AM2067*(J2067/Basis!$E$5)^2)*0.0098)/Basis!$E$10)</f>
        <v>3.9145095334890918E-2</v>
      </c>
      <c r="M2067" s="85"/>
      <c r="N2067" s="110">
        <v>1.32</v>
      </c>
      <c r="O2067" s="74"/>
      <c r="P2067" s="73">
        <v>3291</v>
      </c>
      <c r="Q2067" s="74"/>
      <c r="R2067" s="75"/>
      <c r="S2067" s="75"/>
      <c r="T2067" s="75"/>
      <c r="U2067" s="75"/>
      <c r="V2067" s="75"/>
      <c r="W2067" s="74"/>
      <c r="X2067" s="76"/>
      <c r="Y2067" s="76"/>
      <c r="Z2067" s="76"/>
      <c r="AA2067" s="76"/>
      <c r="AB2067" s="76"/>
      <c r="AC2067" s="74"/>
      <c r="AD2067" s="77"/>
      <c r="AE2067" s="77"/>
      <c r="AF2067" s="77"/>
      <c r="AG2067" s="77"/>
      <c r="AH2067" s="77"/>
      <c r="AI2067" s="68"/>
      <c r="AJ2067" s="214">
        <v>1.2760000000000001E-4</v>
      </c>
      <c r="AK2067" s="214">
        <v>1.7219</v>
      </c>
      <c r="AL2067" s="214">
        <v>2</v>
      </c>
      <c r="AM2067" s="214">
        <v>3.76611E-4</v>
      </c>
      <c r="AN2067" s="74"/>
      <c r="AO2067" s="73"/>
      <c r="AP2067" s="73"/>
      <c r="AQ2067" s="73"/>
      <c r="AR2067" s="73"/>
      <c r="AS2067" s="73"/>
      <c r="AT2067" s="74"/>
      <c r="AU2067" s="47"/>
      <c r="AV2067" s="48"/>
    </row>
    <row r="2068" spans="1:48" ht="12.75" customHeight="1" x14ac:dyDescent="0.25">
      <c r="A2068" s="72" t="s">
        <v>20</v>
      </c>
      <c r="B2068" s="43" t="s">
        <v>1833</v>
      </c>
      <c r="C2068" s="44" t="s">
        <v>2225</v>
      </c>
      <c r="D2068" s="45">
        <f>MROUND(MID($C2068,6,3)/Basis!$E$3,0.5)</f>
        <v>37.5</v>
      </c>
      <c r="E2068" s="45">
        <f>MROUND(MID($C2068,9,3)/Basis!$E$3,0.5)</f>
        <v>43.5</v>
      </c>
      <c r="F2068" s="124" t="s">
        <v>2948</v>
      </c>
      <c r="G2068" s="45">
        <f>ROUND((ROUNDDOWN($F2068/5,0)*5+1.8)/Basis!$E$3,1)</f>
        <v>8.6</v>
      </c>
      <c r="H2068" s="120">
        <f>ROUND($P2068*Basis!$E$2*((TaH-TrH)/LN(1/µ)/Basis!$E$7)^$N2068*$AA$4*Glycol,0)</f>
        <v>8903</v>
      </c>
      <c r="I2068" s="83">
        <f>ROUND(H2068/(MID($C2068,9,3)/Basis!$E$3/Basis!$E$9)*Basis!$E$11,0)</f>
        <v>2467</v>
      </c>
      <c r="J2068" s="123">
        <f>IF(Basis!$E$1=1,ROUND(H2068/((TaH-TrH)*1.163)/3600,3),ROUND(H2068/(500*(TaH-TrH)),2))</f>
        <v>0.89</v>
      </c>
      <c r="K2068" s="84"/>
      <c r="L2068" s="177">
        <f>CHOOSE(Basis!$E$1,((AJ2068*(J2068*3600/Basis!$E$5)^AK2068*(((MID(C2068,9,3)*10)-144)/1000)*AL2068+AM2068*(J2068*3600/Basis!$E$5)^2)*0.0098)/Basis!$E$10,((AJ2068*(J2068/Basis!$E$5)^AK2068*(((MID(C2068,9,3)*10)-144)/1000)*AL2068+AM2068*(J2068/Basis!$E$5)^2)*0.0098)/Basis!$E$10)</f>
        <v>8.3592262921642041E-2</v>
      </c>
      <c r="M2068" s="85"/>
      <c r="N2068" s="110">
        <v>1.522</v>
      </c>
      <c r="O2068" s="74"/>
      <c r="P2068" s="73">
        <v>4312</v>
      </c>
      <c r="Q2068" s="74"/>
      <c r="R2068" s="75"/>
      <c r="S2068" s="75"/>
      <c r="T2068" s="75"/>
      <c r="U2068" s="75"/>
      <c r="V2068" s="75"/>
      <c r="W2068" s="74"/>
      <c r="X2068" s="76"/>
      <c r="Y2068" s="76"/>
      <c r="Z2068" s="76"/>
      <c r="AA2068" s="76"/>
      <c r="AB2068" s="76"/>
      <c r="AC2068" s="74"/>
      <c r="AD2068" s="77"/>
      <c r="AE2068" s="77"/>
      <c r="AF2068" s="77"/>
      <c r="AG2068" s="77"/>
      <c r="AH2068" s="77"/>
      <c r="AI2068" s="68"/>
      <c r="AJ2068" s="213">
        <v>1.2760000000000001E-4</v>
      </c>
      <c r="AK2068" s="213">
        <v>1.7219</v>
      </c>
      <c r="AL2068" s="213">
        <v>4</v>
      </c>
      <c r="AM2068" s="213">
        <v>5.1420100000000005E-4</v>
      </c>
      <c r="AN2068" s="74"/>
      <c r="AO2068" s="73"/>
      <c r="AP2068" s="73"/>
      <c r="AQ2068" s="73"/>
      <c r="AR2068" s="73"/>
      <c r="AS2068" s="73"/>
      <c r="AT2068" s="74"/>
      <c r="AU2068" s="47"/>
      <c r="AV2068" s="48"/>
    </row>
    <row r="2069" spans="1:48" ht="12.75" customHeight="1" x14ac:dyDescent="0.25">
      <c r="A2069" s="72" t="s">
        <v>20</v>
      </c>
      <c r="B2069" s="43" t="s">
        <v>1833</v>
      </c>
      <c r="C2069" s="44" t="s">
        <v>2226</v>
      </c>
      <c r="D2069" s="45">
        <f>MROUND(MID($C2069,6,3)/Basis!$E$3,0.5)</f>
        <v>37.5</v>
      </c>
      <c r="E2069" s="45">
        <f>MROUND(MID($C2069,9,3)/Basis!$E$3,0.5)</f>
        <v>47</v>
      </c>
      <c r="F2069" s="124" t="s">
        <v>2949</v>
      </c>
      <c r="G2069" s="45">
        <f>ROUND((ROUNDDOWN($F2069/5,0)*5+3.5)/Basis!$E$3,1)</f>
        <v>3.3</v>
      </c>
      <c r="H2069" s="120">
        <f>ROUND($P2069*Basis!$E$2*((TaH-TrH)/LN(1/µ)/Basis!$E$7)^$N2069*$AA$4*Glycol,0)</f>
        <v>3261</v>
      </c>
      <c r="I2069" s="83">
        <f>ROUND(H2069/(MID($C2069,9,3)/Basis!$E$3/Basis!$E$9)*Basis!$E$11,0)</f>
        <v>828</v>
      </c>
      <c r="J2069" s="123">
        <f>IF(Basis!$E$1=1,ROUND(H2069/((TaH-TrH)*1.163)/3600,3),ROUND(H2069/(500*(TaH-TrH)),2))</f>
        <v>0.33</v>
      </c>
      <c r="K2069" s="84"/>
      <c r="L2069" s="177">
        <f>CHOOSE(Basis!$E$1,((AJ2069*(J2069*3600/Basis!$E$5)^AK2069*(((MID(C2069,9,3)*10)-144)/1000)*AL2069+AM2069*(J2069*3600/Basis!$E$5)^2)*0.0098)/Basis!$E$10,((AJ2069*(J2069/Basis!$E$5)^AK2069*(((MID(C2069,9,3)*10)-144)/1000)*AL2069+AM2069*(J2069/Basis!$E$5)^2)*0.0098)/Basis!$E$10)</f>
        <v>4.9044798694043983E-2</v>
      </c>
      <c r="M2069" s="85"/>
      <c r="N2069" s="110">
        <v>1.3069999999999999</v>
      </c>
      <c r="O2069" s="74"/>
      <c r="P2069" s="73">
        <v>1471</v>
      </c>
      <c r="Q2069" s="74"/>
      <c r="R2069" s="75"/>
      <c r="S2069" s="75"/>
      <c r="T2069" s="75"/>
      <c r="U2069" s="75"/>
      <c r="V2069" s="75"/>
      <c r="W2069" s="74"/>
      <c r="X2069" s="76"/>
      <c r="Y2069" s="76"/>
      <c r="Z2069" s="76"/>
      <c r="AA2069" s="76"/>
      <c r="AB2069" s="76"/>
      <c r="AC2069" s="74"/>
      <c r="AD2069" s="77"/>
      <c r="AE2069" s="77"/>
      <c r="AF2069" s="77"/>
      <c r="AG2069" s="77"/>
      <c r="AH2069" s="77"/>
      <c r="AI2069" s="68"/>
      <c r="AJ2069" s="213">
        <v>1.6125983042710999E-4</v>
      </c>
      <c r="AK2069" s="213">
        <v>2.1458504622376</v>
      </c>
      <c r="AL2069" s="213">
        <v>4</v>
      </c>
      <c r="AM2069" s="213">
        <v>1.3916423712342001E-3</v>
      </c>
      <c r="AN2069" s="74"/>
      <c r="AO2069" s="73"/>
      <c r="AP2069" s="73"/>
      <c r="AQ2069" s="73"/>
      <c r="AR2069" s="73"/>
      <c r="AS2069" s="73"/>
      <c r="AT2069" s="74"/>
      <c r="AU2069" s="47"/>
      <c r="AV2069" s="48"/>
    </row>
    <row r="2070" spans="1:48" ht="12.75" customHeight="1" x14ac:dyDescent="0.25">
      <c r="A2070" s="72" t="s">
        <v>20</v>
      </c>
      <c r="B2070" s="43" t="s">
        <v>1833</v>
      </c>
      <c r="C2070" s="44" t="s">
        <v>2227</v>
      </c>
      <c r="D2070" s="45">
        <f>MROUND(MID($C2070,6,3)/Basis!$E$3,0.5)</f>
        <v>37.5</v>
      </c>
      <c r="E2070" s="45">
        <f>MROUND(MID($C2070,9,3)/Basis!$E$3,0.5)</f>
        <v>47</v>
      </c>
      <c r="F2070" s="124" t="s">
        <v>2943</v>
      </c>
      <c r="G2070" s="45">
        <f>ROUND((ROUNDDOWN($F2070/5,0)*5+1.8)/Basis!$E$3,1)</f>
        <v>4.5999999999999996</v>
      </c>
      <c r="H2070" s="120">
        <f>ROUND($P2070*Basis!$E$2*((TaH-TrH)/LN(1/µ)/Basis!$E$7)^$N2070*$AA$4*Glycol,0)</f>
        <v>3662</v>
      </c>
      <c r="I2070" s="83">
        <f>ROUND(H2070/(MID($C2070,9,3)/Basis!$E$3/Basis!$E$9)*Basis!$E$11,0)</f>
        <v>930</v>
      </c>
      <c r="J2070" s="123">
        <f>IF(Basis!$E$1=1,ROUND(H2070/((TaH-TrH)*1.163)/3600,3),ROUND(H2070/(500*(TaH-TrH)),2))</f>
        <v>0.37</v>
      </c>
      <c r="K2070" s="84"/>
      <c r="L2070" s="177">
        <f>CHOOSE(Basis!$E$1,((AJ2070*(J2070*3600/Basis!$E$5)^AK2070*(((MID(C2070,9,3)*10)-144)/1000)*AL2070+AM2070*(J2070*3600/Basis!$E$5)^2)*0.0098)/Basis!$E$10,((AJ2070*(J2070/Basis!$E$5)^AK2070*(((MID(C2070,9,3)*10)-144)/1000)*AL2070+AM2070*(J2070/Basis!$E$5)^2)*0.0098)/Basis!$E$10)</f>
        <v>1.4453651747729198E-2</v>
      </c>
      <c r="M2070" s="85"/>
      <c r="N2070" s="109">
        <v>1.343</v>
      </c>
      <c r="O2070" s="68"/>
      <c r="P2070" s="67">
        <v>1672</v>
      </c>
      <c r="Q2070" s="68"/>
      <c r="R2070" s="69"/>
      <c r="S2070" s="69"/>
      <c r="T2070" s="69"/>
      <c r="U2070" s="69"/>
      <c r="V2070" s="69"/>
      <c r="W2070" s="68"/>
      <c r="X2070" s="70"/>
      <c r="Y2070" s="70"/>
      <c r="Z2070" s="70"/>
      <c r="AA2070" s="70"/>
      <c r="AB2070" s="70"/>
      <c r="AC2070" s="68"/>
      <c r="AD2070" s="71"/>
      <c r="AE2070" s="71"/>
      <c r="AF2070" s="71"/>
      <c r="AG2070" s="71"/>
      <c r="AH2070" s="71"/>
      <c r="AI2070" s="68"/>
      <c r="AJ2070" s="214">
        <v>3.9689999999999994E-4</v>
      </c>
      <c r="AK2070" s="214">
        <v>1.7345999999999999</v>
      </c>
      <c r="AL2070" s="214">
        <v>2</v>
      </c>
      <c r="AM2070" s="214">
        <v>3.6734700000000002E-4</v>
      </c>
      <c r="AN2070" s="68"/>
      <c r="AO2070" s="67"/>
      <c r="AP2070" s="67"/>
      <c r="AQ2070" s="67"/>
      <c r="AR2070" s="67"/>
      <c r="AS2070" s="67"/>
      <c r="AT2070" s="68"/>
      <c r="AU2070" s="49"/>
      <c r="AV2070" s="50"/>
    </row>
    <row r="2071" spans="1:48" ht="12.75" customHeight="1" x14ac:dyDescent="0.25">
      <c r="A2071" s="72" t="s">
        <v>20</v>
      </c>
      <c r="B2071" s="43" t="s">
        <v>1833</v>
      </c>
      <c r="C2071" s="44" t="s">
        <v>2228</v>
      </c>
      <c r="D2071" s="45">
        <f>MROUND(MID($C2071,6,3)/Basis!$E$3,0.5)</f>
        <v>37.5</v>
      </c>
      <c r="E2071" s="45">
        <f>MROUND(MID($C2071,9,3)/Basis!$E$3,0.5)</f>
        <v>47</v>
      </c>
      <c r="F2071" s="124" t="s">
        <v>2946</v>
      </c>
      <c r="G2071" s="45">
        <f>ROUND((ROUNDDOWN($F2071/5,0)*5+1.8)/Basis!$E$3,1)</f>
        <v>4.5999999999999996</v>
      </c>
      <c r="H2071" s="120">
        <f>ROUND($P2071*Basis!$E$2*((TaH-TrH)/LN(1/µ)/Basis!$E$7)^$N2071*$AA$4*Glycol,0)</f>
        <v>4581</v>
      </c>
      <c r="I2071" s="83">
        <f>ROUND(H2071/(MID($C2071,9,3)/Basis!$E$3/Basis!$E$9)*Basis!$E$11,0)</f>
        <v>1164</v>
      </c>
      <c r="J2071" s="123">
        <f>IF(Basis!$E$1=1,ROUND(H2071/((TaH-TrH)*1.163)/3600,3),ROUND(H2071/(500*(TaH-TrH)),2))</f>
        <v>0.46</v>
      </c>
      <c r="K2071" s="84"/>
      <c r="L2071" s="177">
        <f>CHOOSE(Basis!$E$1,((AJ2071*(J2071*3600/Basis!$E$5)^AK2071*(((MID(C2071,9,3)*10)-144)/1000)*AL2071+AM2071*(J2071*3600/Basis!$E$5)^2)*0.0098)/Basis!$E$10,((AJ2071*(J2071/Basis!$E$5)^AK2071*(((MID(C2071,9,3)*10)-144)/1000)*AL2071+AM2071*(J2071/Basis!$E$5)^2)*0.0098)/Basis!$E$10)</f>
        <v>3.7919298047864806E-2</v>
      </c>
      <c r="M2071" s="85"/>
      <c r="N2071" s="109">
        <v>1.4339999999999999</v>
      </c>
      <c r="O2071" s="68"/>
      <c r="P2071" s="67">
        <v>2155</v>
      </c>
      <c r="Q2071" s="68"/>
      <c r="R2071" s="69"/>
      <c r="S2071" s="69"/>
      <c r="T2071" s="69"/>
      <c r="U2071" s="69"/>
      <c r="V2071" s="69"/>
      <c r="W2071" s="68"/>
      <c r="X2071" s="70"/>
      <c r="Y2071" s="70"/>
      <c r="Z2071" s="70"/>
      <c r="AA2071" s="70"/>
      <c r="AB2071" s="70"/>
      <c r="AC2071" s="68"/>
      <c r="AD2071" s="71"/>
      <c r="AE2071" s="71"/>
      <c r="AF2071" s="71"/>
      <c r="AG2071" s="71"/>
      <c r="AH2071" s="71"/>
      <c r="AI2071" s="68"/>
      <c r="AJ2071" s="214">
        <v>3.9689999999999994E-4</v>
      </c>
      <c r="AK2071" s="214">
        <v>1.7345999999999999</v>
      </c>
      <c r="AL2071" s="214">
        <v>4</v>
      </c>
      <c r="AM2071" s="214">
        <v>5.7428799999999995E-4</v>
      </c>
      <c r="AN2071" s="68"/>
      <c r="AO2071" s="67"/>
      <c r="AP2071" s="67"/>
      <c r="AQ2071" s="67"/>
      <c r="AR2071" s="67"/>
      <c r="AS2071" s="67"/>
      <c r="AT2071" s="68"/>
      <c r="AU2071" s="49"/>
      <c r="AV2071" s="50"/>
    </row>
    <row r="2072" spans="1:48" ht="12.75" customHeight="1" x14ac:dyDescent="0.25">
      <c r="A2072" s="72" t="s">
        <v>20</v>
      </c>
      <c r="B2072" s="43" t="s">
        <v>1833</v>
      </c>
      <c r="C2072" s="44" t="s">
        <v>2229</v>
      </c>
      <c r="D2072" s="45">
        <f>MROUND(MID($C2072,6,3)/Basis!$E$3,0.5)</f>
        <v>37.5</v>
      </c>
      <c r="E2072" s="45">
        <f>MROUND(MID($C2072,9,3)/Basis!$E$3,0.5)</f>
        <v>47</v>
      </c>
      <c r="F2072" s="124" t="s">
        <v>2944</v>
      </c>
      <c r="G2072" s="45">
        <f>ROUND((ROUNDDOWN($F2072/5,0)*5+1.8)/Basis!$E$3,1)</f>
        <v>6.6</v>
      </c>
      <c r="H2072" s="120">
        <f>ROUND($P2072*Basis!$E$2*((TaH-TrH)/LN(1/µ)/Basis!$E$7)^$N2072*$AA$4*Glycol,0)</f>
        <v>5683</v>
      </c>
      <c r="I2072" s="83">
        <f>ROUND(H2072/(MID($C2072,9,3)/Basis!$E$3/Basis!$E$9)*Basis!$E$11,0)</f>
        <v>1443</v>
      </c>
      <c r="J2072" s="123">
        <f>IF(Basis!$E$1=1,ROUND(H2072/((TaH-TrH)*1.163)/3600,3),ROUND(H2072/(500*(TaH-TrH)),2))</f>
        <v>0.56999999999999995</v>
      </c>
      <c r="K2072" s="84"/>
      <c r="L2072" s="177">
        <f>CHOOSE(Basis!$E$1,((AJ2072*(J2072*3600/Basis!$E$5)^AK2072*(((MID(C2072,9,3)*10)-144)/1000)*AL2072+AM2072*(J2072*3600/Basis!$E$5)^2)*0.0098)/Basis!$E$10,((AJ2072*(J2072/Basis!$E$5)^AK2072*(((MID(C2072,9,3)*10)-144)/1000)*AL2072+AM2072*(J2072/Basis!$E$5)^2)*0.0098)/Basis!$E$10)</f>
        <v>3.160695351974073E-2</v>
      </c>
      <c r="M2072" s="85"/>
      <c r="N2072" s="109">
        <v>1.32</v>
      </c>
      <c r="O2072" s="68"/>
      <c r="P2072" s="67">
        <v>2575</v>
      </c>
      <c r="Q2072" s="68"/>
      <c r="R2072" s="69"/>
      <c r="S2072" s="69"/>
      <c r="T2072" s="69"/>
      <c r="U2072" s="69"/>
      <c r="V2072" s="69"/>
      <c r="W2072" s="68"/>
      <c r="X2072" s="70"/>
      <c r="Y2072" s="70"/>
      <c r="Z2072" s="70"/>
      <c r="AA2072" s="70"/>
      <c r="AB2072" s="70"/>
      <c r="AC2072" s="68"/>
      <c r="AD2072" s="71"/>
      <c r="AE2072" s="71"/>
      <c r="AF2072" s="71"/>
      <c r="AG2072" s="71"/>
      <c r="AH2072" s="71"/>
      <c r="AI2072" s="68"/>
      <c r="AJ2072" s="214">
        <v>2.0829999999999999E-4</v>
      </c>
      <c r="AK2072" s="214">
        <v>1.724</v>
      </c>
      <c r="AL2072" s="214">
        <v>2</v>
      </c>
      <c r="AM2072" s="214">
        <v>4.6182900000000003E-4</v>
      </c>
      <c r="AN2072" s="68"/>
      <c r="AO2072" s="67"/>
      <c r="AP2072" s="67"/>
      <c r="AQ2072" s="67"/>
      <c r="AR2072" s="67"/>
      <c r="AS2072" s="67"/>
      <c r="AT2072" s="68"/>
      <c r="AU2072" s="49"/>
      <c r="AV2072" s="50"/>
    </row>
    <row r="2073" spans="1:48" ht="12.75" customHeight="1" x14ac:dyDescent="0.25">
      <c r="A2073" s="72" t="s">
        <v>20</v>
      </c>
      <c r="B2073" s="43" t="s">
        <v>1833</v>
      </c>
      <c r="C2073" s="44" t="s">
        <v>2230</v>
      </c>
      <c r="D2073" s="45">
        <f>MROUND(MID($C2073,6,3)/Basis!$E$3,0.5)</f>
        <v>37.5</v>
      </c>
      <c r="E2073" s="45">
        <f>MROUND(MID($C2073,9,3)/Basis!$E$3,0.5)</f>
        <v>47</v>
      </c>
      <c r="F2073" s="124" t="s">
        <v>2947</v>
      </c>
      <c r="G2073" s="45">
        <f>ROUND((ROUNDDOWN($F2073/5,0)*5+1.8)/Basis!$E$3,1)</f>
        <v>6.6</v>
      </c>
      <c r="H2073" s="120">
        <f>ROUND($P2073*Basis!$E$2*((TaH-TrH)/LN(1/µ)/Basis!$E$7)^$N2073*$AA$4*Glycol,0)</f>
        <v>6720</v>
      </c>
      <c r="I2073" s="83">
        <f>ROUND(H2073/(MID($C2073,9,3)/Basis!$E$3/Basis!$E$9)*Basis!$E$11,0)</f>
        <v>1707</v>
      </c>
      <c r="J2073" s="123">
        <f>IF(Basis!$E$1=1,ROUND(H2073/((TaH-TrH)*1.163)/3600,3),ROUND(H2073/(500*(TaH-TrH)),2))</f>
        <v>0.67</v>
      </c>
      <c r="K2073" s="84"/>
      <c r="L2073" s="177">
        <f>CHOOSE(Basis!$E$1,((AJ2073*(J2073*3600/Basis!$E$5)^AK2073*(((MID(C2073,9,3)*10)-144)/1000)*AL2073+AM2073*(J2073*3600/Basis!$E$5)^2)*0.0098)/Basis!$E$10,((AJ2073*(J2073/Basis!$E$5)^AK2073*(((MID(C2073,9,3)*10)-144)/1000)*AL2073+AM2073*(J2073/Basis!$E$5)^2)*0.0098)/Basis!$E$10)</f>
        <v>0.12210172362397262</v>
      </c>
      <c r="M2073" s="85"/>
      <c r="N2073" s="109">
        <v>1.482</v>
      </c>
      <c r="O2073" s="68"/>
      <c r="P2073" s="67">
        <v>3212</v>
      </c>
      <c r="Q2073" s="68"/>
      <c r="R2073" s="69"/>
      <c r="S2073" s="69"/>
      <c r="T2073" s="69"/>
      <c r="U2073" s="69"/>
      <c r="V2073" s="69"/>
      <c r="W2073" s="68"/>
      <c r="X2073" s="70"/>
      <c r="Y2073" s="70"/>
      <c r="Z2073" s="70"/>
      <c r="AA2073" s="70"/>
      <c r="AB2073" s="70"/>
      <c r="AC2073" s="68"/>
      <c r="AD2073" s="71"/>
      <c r="AE2073" s="71"/>
      <c r="AF2073" s="71"/>
      <c r="AG2073" s="71"/>
      <c r="AH2073" s="71"/>
      <c r="AI2073" s="68"/>
      <c r="AJ2073" s="214">
        <v>2.0829999999999999E-4</v>
      </c>
      <c r="AK2073" s="214">
        <v>1.724</v>
      </c>
      <c r="AL2073" s="214">
        <v>4</v>
      </c>
      <c r="AM2073" s="214">
        <v>1.392796E-3</v>
      </c>
      <c r="AN2073" s="68"/>
      <c r="AO2073" s="67"/>
      <c r="AP2073" s="67"/>
      <c r="AQ2073" s="67"/>
      <c r="AR2073" s="67"/>
      <c r="AS2073" s="67"/>
      <c r="AT2073" s="68"/>
      <c r="AU2073" s="49"/>
      <c r="AV2073" s="50"/>
    </row>
    <row r="2074" spans="1:48" ht="12.75" customHeight="1" x14ac:dyDescent="0.25">
      <c r="A2074" s="72" t="s">
        <v>20</v>
      </c>
      <c r="B2074" s="43" t="s">
        <v>1833</v>
      </c>
      <c r="C2074" s="44" t="s">
        <v>2231</v>
      </c>
      <c r="D2074" s="45">
        <f>MROUND(MID($C2074,6,3)/Basis!$E$3,0.5)</f>
        <v>37.5</v>
      </c>
      <c r="E2074" s="45">
        <f>MROUND(MID($C2074,9,3)/Basis!$E$3,0.5)</f>
        <v>47</v>
      </c>
      <c r="F2074" s="124" t="s">
        <v>2945</v>
      </c>
      <c r="G2074" s="45">
        <f>ROUND((ROUNDDOWN($F2074/5,0)*5+1.8)/Basis!$E$3,1)</f>
        <v>8.6</v>
      </c>
      <c r="H2074" s="120">
        <f>ROUND($P2074*Basis!$E$2*((TaH-TrH)/LN(1/µ)/Basis!$E$7)^$N2074*$AA$4*Glycol,0)</f>
        <v>7923</v>
      </c>
      <c r="I2074" s="83">
        <f>ROUND(H2074/(MID($C2074,9,3)/Basis!$E$3/Basis!$E$9)*Basis!$E$11,0)</f>
        <v>2012</v>
      </c>
      <c r="J2074" s="123">
        <f>IF(Basis!$E$1=1,ROUND(H2074/((TaH-TrH)*1.163)/3600,3),ROUND(H2074/(500*(TaH-TrH)),2))</f>
        <v>0.79</v>
      </c>
      <c r="K2074" s="84"/>
      <c r="L2074" s="177">
        <f>CHOOSE(Basis!$E$1,((AJ2074*(J2074*3600/Basis!$E$5)^AK2074*(((MID(C2074,9,3)*10)-144)/1000)*AL2074+AM2074*(J2074*3600/Basis!$E$5)^2)*0.0098)/Basis!$E$10,((AJ2074*(J2074/Basis!$E$5)^AK2074*(((MID(C2074,9,3)*10)-144)/1000)*AL2074+AM2074*(J2074/Basis!$E$5)^2)*0.0098)/Basis!$E$10)</f>
        <v>4.6344057806701942E-2</v>
      </c>
      <c r="M2074" s="85"/>
      <c r="N2074" s="109">
        <v>1.32</v>
      </c>
      <c r="O2074" s="68"/>
      <c r="P2074" s="67">
        <v>3590</v>
      </c>
      <c r="Q2074" s="68"/>
      <c r="R2074" s="69"/>
      <c r="S2074" s="69"/>
      <c r="T2074" s="69"/>
      <c r="U2074" s="69"/>
      <c r="V2074" s="69"/>
      <c r="W2074" s="68"/>
      <c r="X2074" s="70"/>
      <c r="Y2074" s="70"/>
      <c r="Z2074" s="70"/>
      <c r="AA2074" s="70"/>
      <c r="AB2074" s="70"/>
      <c r="AC2074" s="68"/>
      <c r="AD2074" s="71"/>
      <c r="AE2074" s="71"/>
      <c r="AF2074" s="71"/>
      <c r="AG2074" s="71"/>
      <c r="AH2074" s="71"/>
      <c r="AI2074" s="68"/>
      <c r="AJ2074" s="214">
        <v>1.2760000000000001E-4</v>
      </c>
      <c r="AK2074" s="214">
        <v>1.7219</v>
      </c>
      <c r="AL2074" s="214">
        <v>2</v>
      </c>
      <c r="AM2074" s="214">
        <v>3.76611E-4</v>
      </c>
      <c r="AN2074" s="68"/>
      <c r="AO2074" s="67"/>
      <c r="AP2074" s="67"/>
      <c r="AQ2074" s="67"/>
      <c r="AR2074" s="67"/>
      <c r="AS2074" s="67"/>
      <c r="AT2074" s="68"/>
      <c r="AU2074" s="49"/>
      <c r="AV2074" s="50"/>
    </row>
    <row r="2075" spans="1:48" ht="12.75" customHeight="1" x14ac:dyDescent="0.25">
      <c r="A2075" s="72" t="s">
        <v>20</v>
      </c>
      <c r="B2075" s="43" t="s">
        <v>1833</v>
      </c>
      <c r="C2075" s="44" t="s">
        <v>2232</v>
      </c>
      <c r="D2075" s="45">
        <f>MROUND(MID($C2075,6,3)/Basis!$E$3,0.5)</f>
        <v>37.5</v>
      </c>
      <c r="E2075" s="45">
        <f>MROUND(MID($C2075,9,3)/Basis!$E$3,0.5)</f>
        <v>47</v>
      </c>
      <c r="F2075" s="124" t="s">
        <v>2948</v>
      </c>
      <c r="G2075" s="45">
        <f>ROUND((ROUNDDOWN($F2075/5,0)*5+1.8)/Basis!$E$3,1)</f>
        <v>8.6</v>
      </c>
      <c r="H2075" s="120">
        <f>ROUND($P2075*Basis!$E$2*((TaH-TrH)/LN(1/µ)/Basis!$E$7)^$N2075*$AA$4*Glycol,0)</f>
        <v>9713</v>
      </c>
      <c r="I2075" s="83">
        <f>ROUND(H2075/(MID($C2075,9,3)/Basis!$E$3/Basis!$E$9)*Basis!$E$11,0)</f>
        <v>2467</v>
      </c>
      <c r="J2075" s="123">
        <f>IF(Basis!$E$1=1,ROUND(H2075/((TaH-TrH)*1.163)/3600,3),ROUND(H2075/(500*(TaH-TrH)),2))</f>
        <v>0.97</v>
      </c>
      <c r="K2075" s="84"/>
      <c r="L2075" s="177">
        <f>CHOOSE(Basis!$E$1,((AJ2075*(J2075*3600/Basis!$E$5)^AK2075*(((MID(C2075,9,3)*10)-144)/1000)*AL2075+AM2075*(J2075*3600/Basis!$E$5)^2)*0.0098)/Basis!$E$10,((AJ2075*(J2075/Basis!$E$5)^AK2075*(((MID(C2075,9,3)*10)-144)/1000)*AL2075+AM2075*(J2075/Basis!$E$5)^2)*0.0098)/Basis!$E$10)</f>
        <v>0.10068379419898249</v>
      </c>
      <c r="M2075" s="85"/>
      <c r="N2075" s="109">
        <v>1.522</v>
      </c>
      <c r="O2075" s="68"/>
      <c r="P2075" s="67">
        <v>4704</v>
      </c>
      <c r="Q2075" s="68"/>
      <c r="R2075" s="69"/>
      <c r="S2075" s="69"/>
      <c r="T2075" s="69"/>
      <c r="U2075" s="69"/>
      <c r="V2075" s="69"/>
      <c r="W2075" s="68"/>
      <c r="X2075" s="70"/>
      <c r="Y2075" s="70"/>
      <c r="Z2075" s="70"/>
      <c r="AA2075" s="70"/>
      <c r="AB2075" s="70"/>
      <c r="AC2075" s="68"/>
      <c r="AD2075" s="71"/>
      <c r="AE2075" s="71"/>
      <c r="AF2075" s="71"/>
      <c r="AG2075" s="71"/>
      <c r="AH2075" s="71"/>
      <c r="AI2075" s="68"/>
      <c r="AJ2075" s="214">
        <v>1.2760000000000001E-4</v>
      </c>
      <c r="AK2075" s="214">
        <v>1.7219</v>
      </c>
      <c r="AL2075" s="214">
        <v>4</v>
      </c>
      <c r="AM2075" s="214">
        <v>5.1420100000000005E-4</v>
      </c>
      <c r="AN2075" s="68"/>
      <c r="AO2075" s="67"/>
      <c r="AP2075" s="67"/>
      <c r="AQ2075" s="67"/>
      <c r="AR2075" s="67"/>
      <c r="AS2075" s="67"/>
      <c r="AT2075" s="68"/>
      <c r="AU2075" s="49"/>
      <c r="AV2075" s="50"/>
    </row>
    <row r="2076" spans="1:48" ht="12.75" customHeight="1" x14ac:dyDescent="0.25">
      <c r="A2076" s="72" t="s">
        <v>20</v>
      </c>
      <c r="B2076" s="43" t="s">
        <v>1833</v>
      </c>
      <c r="C2076" s="44" t="s">
        <v>2233</v>
      </c>
      <c r="D2076" s="45">
        <f>MROUND(MID($C2076,6,3)/Basis!$E$3,0.5)</f>
        <v>37.5</v>
      </c>
      <c r="E2076" s="45">
        <f>MROUND(MID($C2076,9,3)/Basis!$E$3,0.5)</f>
        <v>55</v>
      </c>
      <c r="F2076" s="124" t="s">
        <v>2949</v>
      </c>
      <c r="G2076" s="45">
        <f>ROUND((ROUNDDOWN($F2076/5,0)*5+3.5)/Basis!$E$3,1)</f>
        <v>3.3</v>
      </c>
      <c r="H2076" s="120">
        <f>ROUND($P2076*Basis!$E$2*((TaH-TrH)/LN(1/µ)/Basis!$E$7)^$N2076*$AA$4*Glycol,0)</f>
        <v>3804</v>
      </c>
      <c r="I2076" s="83">
        <f>ROUND(H2076/(MID($C2076,9,3)/Basis!$E$3/Basis!$E$9)*Basis!$E$11,0)</f>
        <v>828</v>
      </c>
      <c r="J2076" s="123">
        <f>IF(Basis!$E$1=1,ROUND(H2076/((TaH-TrH)*1.163)/3600,3),ROUND(H2076/(500*(TaH-TrH)),2))</f>
        <v>0.38</v>
      </c>
      <c r="K2076" s="84"/>
      <c r="L2076" s="177">
        <f>CHOOSE(Basis!$E$1,((AJ2076*(J2076*3600/Basis!$E$5)^AK2076*(((MID(C2076,9,3)*10)-144)/1000)*AL2076+AM2076*(J2076*3600/Basis!$E$5)^2)*0.0098)/Basis!$E$10,((AJ2076*(J2076/Basis!$E$5)^AK2076*(((MID(C2076,9,3)*10)-144)/1000)*AL2076+AM2076*(J2076/Basis!$E$5)^2)*0.0098)/Basis!$E$10)</f>
        <v>7.1700067430552614E-2</v>
      </c>
      <c r="M2076" s="85"/>
      <c r="N2076" s="109">
        <v>1.3069999999999999</v>
      </c>
      <c r="O2076" s="68"/>
      <c r="P2076" s="67">
        <v>1716</v>
      </c>
      <c r="Q2076" s="68"/>
      <c r="R2076" s="69"/>
      <c r="S2076" s="69"/>
      <c r="T2076" s="69"/>
      <c r="U2076" s="69"/>
      <c r="V2076" s="69"/>
      <c r="W2076" s="68"/>
      <c r="X2076" s="70"/>
      <c r="Y2076" s="70"/>
      <c r="Z2076" s="70"/>
      <c r="AA2076" s="70"/>
      <c r="AB2076" s="70"/>
      <c r="AC2076" s="68"/>
      <c r="AD2076" s="71"/>
      <c r="AE2076" s="71"/>
      <c r="AF2076" s="71"/>
      <c r="AG2076" s="71"/>
      <c r="AH2076" s="71"/>
      <c r="AI2076" s="68"/>
      <c r="AJ2076" s="214">
        <v>1.6125983042710999E-4</v>
      </c>
      <c r="AK2076" s="214">
        <v>2.1458504622376</v>
      </c>
      <c r="AL2076" s="214">
        <v>4</v>
      </c>
      <c r="AM2076" s="214">
        <v>1.3916423712342001E-3</v>
      </c>
      <c r="AN2076" s="68"/>
      <c r="AO2076" s="67"/>
      <c r="AP2076" s="67"/>
      <c r="AQ2076" s="67"/>
      <c r="AR2076" s="67"/>
      <c r="AS2076" s="67"/>
      <c r="AT2076" s="68"/>
      <c r="AU2076" s="49"/>
      <c r="AV2076" s="50"/>
    </row>
    <row r="2077" spans="1:48" ht="12.75" customHeight="1" x14ac:dyDescent="0.25">
      <c r="A2077" s="72" t="s">
        <v>20</v>
      </c>
      <c r="B2077" s="43" t="s">
        <v>1833</v>
      </c>
      <c r="C2077" s="44" t="s">
        <v>2234</v>
      </c>
      <c r="D2077" s="45">
        <f>MROUND(MID($C2077,6,3)/Basis!$E$3,0.5)</f>
        <v>37.5</v>
      </c>
      <c r="E2077" s="45">
        <f>MROUND(MID($C2077,9,3)/Basis!$E$3,0.5)</f>
        <v>55</v>
      </c>
      <c r="F2077" s="124" t="s">
        <v>2943</v>
      </c>
      <c r="G2077" s="45">
        <f>ROUND((ROUNDDOWN($F2077/5,0)*5+1.8)/Basis!$E$3,1)</f>
        <v>4.5999999999999996</v>
      </c>
      <c r="H2077" s="120">
        <f>ROUND($P2077*Basis!$E$2*((TaH-TrH)/LN(1/µ)/Basis!$E$7)^$N2077*$AA$4*Glycol,0)</f>
        <v>4271</v>
      </c>
      <c r="I2077" s="83">
        <f>ROUND(H2077/(MID($C2077,9,3)/Basis!$E$3/Basis!$E$9)*Basis!$E$11,0)</f>
        <v>930</v>
      </c>
      <c r="J2077" s="123">
        <f>IF(Basis!$E$1=1,ROUND(H2077/((TaH-TrH)*1.163)/3600,3),ROUND(H2077/(500*(TaH-TrH)),2))</f>
        <v>0.43</v>
      </c>
      <c r="K2077" s="84"/>
      <c r="L2077" s="177">
        <f>CHOOSE(Basis!$E$1,((AJ2077*(J2077*3600/Basis!$E$5)^AK2077*(((MID(C2077,9,3)*10)-144)/1000)*AL2077+AM2077*(J2077*3600/Basis!$E$5)^2)*0.0098)/Basis!$E$10,((AJ2077*(J2077/Basis!$E$5)^AK2077*(((MID(C2077,9,3)*10)-144)/1000)*AL2077+AM2077*(J2077/Basis!$E$5)^2)*0.0098)/Basis!$E$10)</f>
        <v>2.067378971679858E-2</v>
      </c>
      <c r="M2077" s="85"/>
      <c r="N2077" s="110">
        <v>1.343</v>
      </c>
      <c r="O2077" s="74"/>
      <c r="P2077" s="73">
        <v>1950</v>
      </c>
      <c r="Q2077" s="74"/>
      <c r="R2077" s="75"/>
      <c r="S2077" s="75"/>
      <c r="T2077" s="75"/>
      <c r="U2077" s="75"/>
      <c r="V2077" s="75"/>
      <c r="W2077" s="74"/>
      <c r="X2077" s="76"/>
      <c r="Y2077" s="76"/>
      <c r="Z2077" s="76"/>
      <c r="AA2077" s="76"/>
      <c r="AB2077" s="76"/>
      <c r="AC2077" s="74"/>
      <c r="AD2077" s="77"/>
      <c r="AE2077" s="77"/>
      <c r="AF2077" s="77"/>
      <c r="AG2077" s="77"/>
      <c r="AH2077" s="77"/>
      <c r="AI2077" s="68"/>
      <c r="AJ2077" s="213">
        <v>3.9689999999999994E-4</v>
      </c>
      <c r="AK2077" s="213">
        <v>1.7345999999999999</v>
      </c>
      <c r="AL2077" s="213">
        <v>2</v>
      </c>
      <c r="AM2077" s="213">
        <v>3.6734700000000002E-4</v>
      </c>
      <c r="AN2077" s="74"/>
      <c r="AO2077" s="73"/>
      <c r="AP2077" s="73"/>
      <c r="AQ2077" s="73"/>
      <c r="AR2077" s="73"/>
      <c r="AS2077" s="73"/>
      <c r="AT2077" s="74"/>
      <c r="AU2077" s="47"/>
      <c r="AV2077" s="48"/>
    </row>
    <row r="2078" spans="1:48" ht="12.75" customHeight="1" x14ac:dyDescent="0.25">
      <c r="A2078" s="72" t="s">
        <v>20</v>
      </c>
      <c r="B2078" s="43" t="s">
        <v>1833</v>
      </c>
      <c r="C2078" s="44" t="s">
        <v>2235</v>
      </c>
      <c r="D2078" s="45">
        <f>MROUND(MID($C2078,6,3)/Basis!$E$3,0.5)</f>
        <v>37.5</v>
      </c>
      <c r="E2078" s="45">
        <f>MROUND(MID($C2078,9,3)/Basis!$E$3,0.5)</f>
        <v>55</v>
      </c>
      <c r="F2078" s="124" t="s">
        <v>2946</v>
      </c>
      <c r="G2078" s="45">
        <f>ROUND((ROUNDDOWN($F2078/5,0)*5+1.8)/Basis!$E$3,1)</f>
        <v>4.5999999999999996</v>
      </c>
      <c r="H2078" s="120">
        <f>ROUND($P2078*Basis!$E$2*((TaH-TrH)/LN(1/µ)/Basis!$E$7)^$N2078*$AA$4*Glycol,0)</f>
        <v>5344</v>
      </c>
      <c r="I2078" s="83">
        <f>ROUND(H2078/(MID($C2078,9,3)/Basis!$E$3/Basis!$E$9)*Basis!$E$11,0)</f>
        <v>1163</v>
      </c>
      <c r="J2078" s="123">
        <f>IF(Basis!$E$1=1,ROUND(H2078/((TaH-TrH)*1.163)/3600,3),ROUND(H2078/(500*(TaH-TrH)),2))</f>
        <v>0.53</v>
      </c>
      <c r="K2078" s="84"/>
      <c r="L2078" s="177">
        <f>CHOOSE(Basis!$E$1,((AJ2078*(J2078*3600/Basis!$E$5)^AK2078*(((MID(C2078,9,3)*10)-144)/1000)*AL2078+AM2078*(J2078*3600/Basis!$E$5)^2)*0.0098)/Basis!$E$10,((AJ2078*(J2078/Basis!$E$5)^AK2078*(((MID(C2078,9,3)*10)-144)/1000)*AL2078+AM2078*(J2078/Basis!$E$5)^2)*0.0098)/Basis!$E$10)</f>
        <v>5.370348942074904E-2</v>
      </c>
      <c r="M2078" s="85"/>
      <c r="N2078" s="110">
        <v>1.4339999999999999</v>
      </c>
      <c r="O2078" s="74"/>
      <c r="P2078" s="73">
        <v>2514</v>
      </c>
      <c r="Q2078" s="74"/>
      <c r="R2078" s="75"/>
      <c r="S2078" s="75"/>
      <c r="T2078" s="75"/>
      <c r="U2078" s="75"/>
      <c r="V2078" s="75"/>
      <c r="W2078" s="74"/>
      <c r="X2078" s="76"/>
      <c r="Y2078" s="76"/>
      <c r="Z2078" s="76"/>
      <c r="AA2078" s="76"/>
      <c r="AB2078" s="76"/>
      <c r="AC2078" s="74"/>
      <c r="AD2078" s="77"/>
      <c r="AE2078" s="77"/>
      <c r="AF2078" s="77"/>
      <c r="AG2078" s="77"/>
      <c r="AH2078" s="77"/>
      <c r="AI2078" s="68"/>
      <c r="AJ2078" s="213">
        <v>3.9689999999999994E-4</v>
      </c>
      <c r="AK2078" s="213">
        <v>1.7345999999999999</v>
      </c>
      <c r="AL2078" s="213">
        <v>4</v>
      </c>
      <c r="AM2078" s="213">
        <v>5.7428799999999995E-4</v>
      </c>
      <c r="AN2078" s="74"/>
      <c r="AO2078" s="73"/>
      <c r="AP2078" s="73"/>
      <c r="AQ2078" s="73"/>
      <c r="AR2078" s="73"/>
      <c r="AS2078" s="73"/>
      <c r="AT2078" s="74"/>
      <c r="AU2078" s="47"/>
      <c r="AV2078" s="48"/>
    </row>
    <row r="2079" spans="1:48" ht="12.75" customHeight="1" x14ac:dyDescent="0.25">
      <c r="A2079" s="72" t="s">
        <v>20</v>
      </c>
      <c r="B2079" s="43" t="s">
        <v>1833</v>
      </c>
      <c r="C2079" s="44" t="s">
        <v>2236</v>
      </c>
      <c r="D2079" s="45">
        <f>MROUND(MID($C2079,6,3)/Basis!$E$3,0.5)</f>
        <v>37.5</v>
      </c>
      <c r="E2079" s="45">
        <f>MROUND(MID($C2079,9,3)/Basis!$E$3,0.5)</f>
        <v>55</v>
      </c>
      <c r="F2079" s="124" t="s">
        <v>2944</v>
      </c>
      <c r="G2079" s="45">
        <f>ROUND((ROUNDDOWN($F2079/5,0)*5+1.8)/Basis!$E$3,1)</f>
        <v>6.6</v>
      </c>
      <c r="H2079" s="120">
        <f>ROUND($P2079*Basis!$E$2*((TaH-TrH)/LN(1/µ)/Basis!$E$7)^$N2079*$AA$4*Glycol,0)</f>
        <v>6630</v>
      </c>
      <c r="I2079" s="83">
        <f>ROUND(H2079/(MID($C2079,9,3)/Basis!$E$3/Basis!$E$9)*Basis!$E$11,0)</f>
        <v>1443</v>
      </c>
      <c r="J2079" s="123">
        <f>IF(Basis!$E$1=1,ROUND(H2079/((TaH-TrH)*1.163)/3600,3),ROUND(H2079/(500*(TaH-TrH)),2))</f>
        <v>0.66</v>
      </c>
      <c r="K2079" s="84"/>
      <c r="L2079" s="177">
        <f>CHOOSE(Basis!$E$1,((AJ2079*(J2079*3600/Basis!$E$5)^AK2079*(((MID(C2079,9,3)*10)-144)/1000)*AL2079+AM2079*(J2079*3600/Basis!$E$5)^2)*0.0098)/Basis!$E$10,((AJ2079*(J2079/Basis!$E$5)^AK2079*(((MID(C2079,9,3)*10)-144)/1000)*AL2079+AM2079*(J2079/Basis!$E$5)^2)*0.0098)/Basis!$E$10)</f>
        <v>4.3577099199267062E-2</v>
      </c>
      <c r="M2079" s="85"/>
      <c r="N2079" s="110">
        <v>1.32</v>
      </c>
      <c r="O2079" s="74"/>
      <c r="P2079" s="73">
        <v>3004</v>
      </c>
      <c r="Q2079" s="74"/>
      <c r="R2079" s="75"/>
      <c r="S2079" s="75"/>
      <c r="T2079" s="75"/>
      <c r="U2079" s="75"/>
      <c r="V2079" s="75"/>
      <c r="W2079" s="74"/>
      <c r="X2079" s="76"/>
      <c r="Y2079" s="76"/>
      <c r="Z2079" s="76"/>
      <c r="AA2079" s="76"/>
      <c r="AB2079" s="76"/>
      <c r="AC2079" s="74"/>
      <c r="AD2079" s="77"/>
      <c r="AE2079" s="77"/>
      <c r="AF2079" s="77"/>
      <c r="AG2079" s="77"/>
      <c r="AH2079" s="77"/>
      <c r="AI2079" s="68"/>
      <c r="AJ2079" s="213">
        <v>2.0829999999999999E-4</v>
      </c>
      <c r="AK2079" s="213">
        <v>1.724</v>
      </c>
      <c r="AL2079" s="213">
        <v>2</v>
      </c>
      <c r="AM2079" s="213">
        <v>4.6182900000000003E-4</v>
      </c>
      <c r="AN2079" s="74"/>
      <c r="AO2079" s="73"/>
      <c r="AP2079" s="73"/>
      <c r="AQ2079" s="73"/>
      <c r="AR2079" s="73"/>
      <c r="AS2079" s="73"/>
      <c r="AT2079" s="74"/>
      <c r="AU2079" s="47"/>
      <c r="AV2079" s="48"/>
    </row>
    <row r="2080" spans="1:48" ht="12.75" customHeight="1" x14ac:dyDescent="0.25">
      <c r="A2080" s="72" t="s">
        <v>20</v>
      </c>
      <c r="B2080" s="43" t="s">
        <v>1833</v>
      </c>
      <c r="C2080" s="44" t="s">
        <v>2237</v>
      </c>
      <c r="D2080" s="45">
        <f>MROUND(MID($C2080,6,3)/Basis!$E$3,0.5)</f>
        <v>37.5</v>
      </c>
      <c r="E2080" s="45">
        <f>MROUND(MID($C2080,9,3)/Basis!$E$3,0.5)</f>
        <v>55</v>
      </c>
      <c r="F2080" s="124" t="s">
        <v>2947</v>
      </c>
      <c r="G2080" s="45">
        <f>ROUND((ROUNDDOWN($F2080/5,0)*5+1.8)/Basis!$E$3,1)</f>
        <v>6.6</v>
      </c>
      <c r="H2080" s="120">
        <f>ROUND($P2080*Basis!$E$2*((TaH-TrH)/LN(1/µ)/Basis!$E$7)^$N2080*$AA$4*Glycol,0)</f>
        <v>7842</v>
      </c>
      <c r="I2080" s="83">
        <f>ROUND(H2080/(MID($C2080,9,3)/Basis!$E$3/Basis!$E$9)*Basis!$E$11,0)</f>
        <v>1707</v>
      </c>
      <c r="J2080" s="123">
        <f>IF(Basis!$E$1=1,ROUND(H2080/((TaH-TrH)*1.163)/3600,3),ROUND(H2080/(500*(TaH-TrH)),2))</f>
        <v>0.78</v>
      </c>
      <c r="K2080" s="84"/>
      <c r="L2080" s="177">
        <f>CHOOSE(Basis!$E$1,((AJ2080*(J2080*3600/Basis!$E$5)^AK2080*(((MID(C2080,9,3)*10)-144)/1000)*AL2080+AM2080*(J2080*3600/Basis!$E$5)^2)*0.0098)/Basis!$E$10,((AJ2080*(J2080/Basis!$E$5)^AK2080*(((MID(C2080,9,3)*10)-144)/1000)*AL2080+AM2080*(J2080/Basis!$E$5)^2)*0.0098)/Basis!$E$10)</f>
        <v>0.16865611149410262</v>
      </c>
      <c r="M2080" s="85"/>
      <c r="N2080" s="110">
        <v>1.482</v>
      </c>
      <c r="O2080" s="74"/>
      <c r="P2080" s="73">
        <v>3748</v>
      </c>
      <c r="Q2080" s="74"/>
      <c r="R2080" s="75"/>
      <c r="S2080" s="75"/>
      <c r="T2080" s="75"/>
      <c r="U2080" s="75"/>
      <c r="V2080" s="75"/>
      <c r="W2080" s="74"/>
      <c r="X2080" s="76"/>
      <c r="Y2080" s="76"/>
      <c r="Z2080" s="76"/>
      <c r="AA2080" s="76"/>
      <c r="AB2080" s="76"/>
      <c r="AC2080" s="74"/>
      <c r="AD2080" s="77"/>
      <c r="AE2080" s="77"/>
      <c r="AF2080" s="77"/>
      <c r="AG2080" s="77"/>
      <c r="AH2080" s="77"/>
      <c r="AI2080" s="68"/>
      <c r="AJ2080" s="213">
        <v>2.0829999999999999E-4</v>
      </c>
      <c r="AK2080" s="213">
        <v>1.724</v>
      </c>
      <c r="AL2080" s="213">
        <v>4</v>
      </c>
      <c r="AM2080" s="213">
        <v>1.392796E-3</v>
      </c>
      <c r="AN2080" s="74"/>
      <c r="AO2080" s="73"/>
      <c r="AP2080" s="73"/>
      <c r="AQ2080" s="73"/>
      <c r="AR2080" s="73"/>
      <c r="AS2080" s="73"/>
      <c r="AT2080" s="74"/>
      <c r="AU2080" s="47"/>
      <c r="AV2080" s="48"/>
    </row>
    <row r="2081" spans="1:48" ht="12.75" customHeight="1" x14ac:dyDescent="0.25">
      <c r="A2081" s="72" t="s">
        <v>20</v>
      </c>
      <c r="B2081" s="43" t="s">
        <v>1833</v>
      </c>
      <c r="C2081" s="44" t="s">
        <v>2238</v>
      </c>
      <c r="D2081" s="45">
        <f>MROUND(MID($C2081,6,3)/Basis!$E$3,0.5)</f>
        <v>37.5</v>
      </c>
      <c r="E2081" s="45">
        <f>MROUND(MID($C2081,9,3)/Basis!$E$3,0.5)</f>
        <v>55</v>
      </c>
      <c r="F2081" s="124" t="s">
        <v>2945</v>
      </c>
      <c r="G2081" s="45">
        <f>ROUND((ROUNDDOWN($F2081/5,0)*5+1.8)/Basis!$E$3,1)</f>
        <v>8.6</v>
      </c>
      <c r="H2081" s="120">
        <f>ROUND($P2081*Basis!$E$2*((TaH-TrH)/LN(1/µ)/Basis!$E$7)^$N2081*$AA$4*Glycol,0)</f>
        <v>9246</v>
      </c>
      <c r="I2081" s="83">
        <f>ROUND(H2081/(MID($C2081,9,3)/Basis!$E$3/Basis!$E$9)*Basis!$E$11,0)</f>
        <v>2013</v>
      </c>
      <c r="J2081" s="123">
        <f>IF(Basis!$E$1=1,ROUND(H2081/((TaH-TrH)*1.163)/3600,3),ROUND(H2081/(500*(TaH-TrH)),2))</f>
        <v>0.92</v>
      </c>
      <c r="K2081" s="84"/>
      <c r="L2081" s="177">
        <f>CHOOSE(Basis!$E$1,((AJ2081*(J2081*3600/Basis!$E$5)^AK2081*(((MID(C2081,9,3)*10)-144)/1000)*AL2081+AM2081*(J2081*3600/Basis!$E$5)^2)*0.0098)/Basis!$E$10,((AJ2081*(J2081/Basis!$E$5)^AK2081*(((MID(C2081,9,3)*10)-144)/1000)*AL2081+AM2081*(J2081/Basis!$E$5)^2)*0.0098)/Basis!$E$10)</f>
        <v>6.4123984339381448E-2</v>
      </c>
      <c r="M2081" s="85"/>
      <c r="N2081" s="110">
        <v>1.32</v>
      </c>
      <c r="O2081" s="74"/>
      <c r="P2081" s="73">
        <v>4189</v>
      </c>
      <c r="Q2081" s="74"/>
      <c r="R2081" s="75"/>
      <c r="S2081" s="75"/>
      <c r="T2081" s="75"/>
      <c r="U2081" s="75"/>
      <c r="V2081" s="75"/>
      <c r="W2081" s="74"/>
      <c r="X2081" s="76"/>
      <c r="Y2081" s="76"/>
      <c r="Z2081" s="76"/>
      <c r="AA2081" s="76"/>
      <c r="AB2081" s="76"/>
      <c r="AC2081" s="74"/>
      <c r="AD2081" s="77"/>
      <c r="AE2081" s="77"/>
      <c r="AF2081" s="77"/>
      <c r="AG2081" s="77"/>
      <c r="AH2081" s="77"/>
      <c r="AI2081" s="68"/>
      <c r="AJ2081" s="214">
        <v>1.2760000000000001E-4</v>
      </c>
      <c r="AK2081" s="214">
        <v>1.7219</v>
      </c>
      <c r="AL2081" s="214">
        <v>2</v>
      </c>
      <c r="AM2081" s="214">
        <v>3.76611E-4</v>
      </c>
      <c r="AN2081" s="74"/>
      <c r="AO2081" s="73"/>
      <c r="AP2081" s="73"/>
      <c r="AQ2081" s="73"/>
      <c r="AR2081" s="73"/>
      <c r="AS2081" s="73"/>
      <c r="AT2081" s="74"/>
      <c r="AU2081" s="47"/>
      <c r="AV2081" s="48"/>
    </row>
    <row r="2082" spans="1:48" ht="12.75" customHeight="1" x14ac:dyDescent="0.25">
      <c r="A2082" s="72" t="s">
        <v>20</v>
      </c>
      <c r="B2082" s="43" t="s">
        <v>1833</v>
      </c>
      <c r="C2082" s="44" t="s">
        <v>2239</v>
      </c>
      <c r="D2082" s="45">
        <f>MROUND(MID($C2082,6,3)/Basis!$E$3,0.5)</f>
        <v>37.5</v>
      </c>
      <c r="E2082" s="45">
        <f>MROUND(MID($C2082,9,3)/Basis!$E$3,0.5)</f>
        <v>55</v>
      </c>
      <c r="F2082" s="124" t="s">
        <v>2948</v>
      </c>
      <c r="G2082" s="45">
        <f>ROUND((ROUNDDOWN($F2082/5,0)*5+1.8)/Basis!$E$3,1)</f>
        <v>8.6</v>
      </c>
      <c r="H2082" s="120">
        <f>ROUND($P2082*Basis!$E$2*((TaH-TrH)/LN(1/µ)/Basis!$E$7)^$N2082*$AA$4*Glycol,0)</f>
        <v>11331</v>
      </c>
      <c r="I2082" s="83">
        <f>ROUND(H2082/(MID($C2082,9,3)/Basis!$E$3/Basis!$E$9)*Basis!$E$11,0)</f>
        <v>2467</v>
      </c>
      <c r="J2082" s="123">
        <f>IF(Basis!$E$1=1,ROUND(H2082/((TaH-TrH)*1.163)/3600,3),ROUND(H2082/(500*(TaH-TrH)),2))</f>
        <v>1.1299999999999999</v>
      </c>
      <c r="K2082" s="84"/>
      <c r="L2082" s="177">
        <f>CHOOSE(Basis!$E$1,((AJ2082*(J2082*3600/Basis!$E$5)^AK2082*(((MID(C2082,9,3)*10)-144)/1000)*AL2082+AM2082*(J2082*3600/Basis!$E$5)^2)*0.0098)/Basis!$E$10,((AJ2082*(J2082/Basis!$E$5)^AK2082*(((MID(C2082,9,3)*10)-144)/1000)*AL2082+AM2082*(J2082/Basis!$E$5)^2)*0.0098)/Basis!$E$10)</f>
        <v>0.14026213343698135</v>
      </c>
      <c r="M2082" s="85"/>
      <c r="N2082" s="110">
        <v>1.522</v>
      </c>
      <c r="O2082" s="74"/>
      <c r="P2082" s="73">
        <v>5488</v>
      </c>
      <c r="Q2082" s="74"/>
      <c r="R2082" s="75"/>
      <c r="S2082" s="75"/>
      <c r="T2082" s="75"/>
      <c r="U2082" s="75"/>
      <c r="V2082" s="75"/>
      <c r="W2082" s="74"/>
      <c r="X2082" s="76"/>
      <c r="Y2082" s="76"/>
      <c r="Z2082" s="76"/>
      <c r="AA2082" s="76"/>
      <c r="AB2082" s="76"/>
      <c r="AC2082" s="74"/>
      <c r="AD2082" s="77"/>
      <c r="AE2082" s="77"/>
      <c r="AF2082" s="77"/>
      <c r="AG2082" s="77"/>
      <c r="AH2082" s="77"/>
      <c r="AI2082" s="68"/>
      <c r="AJ2082" s="213">
        <v>1.2760000000000001E-4</v>
      </c>
      <c r="AK2082" s="213">
        <v>1.7219</v>
      </c>
      <c r="AL2082" s="213">
        <v>4</v>
      </c>
      <c r="AM2082" s="213">
        <v>5.1420100000000005E-4</v>
      </c>
      <c r="AN2082" s="74"/>
      <c r="AO2082" s="73"/>
      <c r="AP2082" s="73"/>
      <c r="AQ2082" s="73"/>
      <c r="AR2082" s="73"/>
      <c r="AS2082" s="73"/>
      <c r="AT2082" s="74"/>
      <c r="AU2082" s="47"/>
      <c r="AV2082" s="48"/>
    </row>
    <row r="2083" spans="1:48" ht="12.75" customHeight="1" x14ac:dyDescent="0.25">
      <c r="A2083" s="72" t="s">
        <v>20</v>
      </c>
      <c r="B2083" s="43" t="s">
        <v>2240</v>
      </c>
      <c r="C2083" s="44" t="s">
        <v>2241</v>
      </c>
      <c r="D2083" s="45">
        <f>MROUND(MID($C2083,6,3)/Basis!$E$3,0.5)</f>
        <v>8</v>
      </c>
      <c r="E2083" s="45">
        <f>MROUND(MID($C2083,9,3)/Basis!$E$3,0.5)</f>
        <v>15.5</v>
      </c>
      <c r="F2083" s="124" t="s">
        <v>2943</v>
      </c>
      <c r="G2083" s="45">
        <f>ROUND((ROUNDDOWN($F2083/5,0)*5+1.8)/Basis!$E$3,1)</f>
        <v>4.5999999999999996</v>
      </c>
      <c r="H2083" s="120">
        <f>ROUND($P2083*Basis!$E$2*((TaH-TrH)/LN(1/µ)/Basis!$E$7)^$N2083*$AA$4*Glycol,0)</f>
        <v>561</v>
      </c>
      <c r="I2083" s="83">
        <f>ROUND(H2083/(MID($C2083,9,3)/Basis!$E$3/Basis!$E$9)*Basis!$E$11,0)</f>
        <v>427</v>
      </c>
      <c r="J2083" s="123">
        <f>IF(Basis!$E$1=1,ROUND(H2083/((TaH-TrH)*1.163)/3600,3),ROUND(H2083/(500*(TaH-TrH)),2))</f>
        <v>0.06</v>
      </c>
      <c r="K2083" s="84"/>
      <c r="L2083" s="177">
        <f>CHOOSE(Basis!$E$1,((AJ2083*(J2083*3600/Basis!$E$5)^AK2083*(((MID(C2083,9,3)*10)-144)/1000)*AL2083+AM2083*(J2083*3600/Basis!$E$5)^2)*0.0098)/Basis!$E$10,((AJ2083*(J2083/Basis!$E$5)^AK2083*(((MID(C2083,9,3)*10)-144)/1000)*AL2083+AM2083*(J2083/Basis!$E$5)^2)*0.0098)/Basis!$E$10)</f>
        <v>2.8474846036427072E-4</v>
      </c>
      <c r="M2083" s="85"/>
      <c r="N2083" s="110">
        <v>1.413</v>
      </c>
      <c r="O2083" s="74"/>
      <c r="P2083" s="73">
        <v>262</v>
      </c>
      <c r="Q2083" s="74"/>
      <c r="R2083" s="75"/>
      <c r="S2083" s="75"/>
      <c r="T2083" s="75"/>
      <c r="U2083" s="75"/>
      <c r="V2083" s="75"/>
      <c r="W2083" s="74"/>
      <c r="X2083" s="76"/>
      <c r="Y2083" s="76"/>
      <c r="Z2083" s="76"/>
      <c r="AA2083" s="76"/>
      <c r="AB2083" s="76"/>
      <c r="AC2083" s="74"/>
      <c r="AD2083" s="77"/>
      <c r="AE2083" s="77"/>
      <c r="AF2083" s="77"/>
      <c r="AG2083" s="77"/>
      <c r="AH2083" s="77"/>
      <c r="AI2083" s="68"/>
      <c r="AJ2083" s="213">
        <v>3.9689999999999994E-4</v>
      </c>
      <c r="AK2083" s="213">
        <v>1.7345999999999999</v>
      </c>
      <c r="AL2083" s="213">
        <v>2</v>
      </c>
      <c r="AM2083" s="213">
        <v>3.6734700000000002E-4</v>
      </c>
      <c r="AN2083" s="74"/>
      <c r="AO2083" s="73"/>
      <c r="AP2083" s="73"/>
      <c r="AQ2083" s="73"/>
      <c r="AR2083" s="73"/>
      <c r="AS2083" s="73"/>
      <c r="AT2083" s="74"/>
      <c r="AU2083" s="47"/>
      <c r="AV2083" s="48"/>
    </row>
    <row r="2084" spans="1:48" ht="12.75" customHeight="1" x14ac:dyDescent="0.25">
      <c r="A2084" s="72" t="s">
        <v>20</v>
      </c>
      <c r="B2084" s="43" t="s">
        <v>2240</v>
      </c>
      <c r="C2084" s="44" t="s">
        <v>2242</v>
      </c>
      <c r="D2084" s="45">
        <f>MROUND(MID($C2084,6,3)/Basis!$E$3,0.5)</f>
        <v>8</v>
      </c>
      <c r="E2084" s="45">
        <f>MROUND(MID($C2084,9,3)/Basis!$E$3,0.5)</f>
        <v>15.5</v>
      </c>
      <c r="F2084" s="124" t="s">
        <v>2944</v>
      </c>
      <c r="G2084" s="45">
        <f>ROUND((ROUNDDOWN($F2084/5,0)*5+1.8)/Basis!$E$3,1)</f>
        <v>6.6</v>
      </c>
      <c r="H2084" s="120">
        <f>ROUND($P2084*Basis!$E$2*((TaH-TrH)/LN(1/µ)/Basis!$E$7)^$N2084*$AA$4*Glycol,0)</f>
        <v>935</v>
      </c>
      <c r="I2084" s="83">
        <f>ROUND(H2084/(MID($C2084,9,3)/Basis!$E$3/Basis!$E$9)*Basis!$E$11,0)</f>
        <v>712</v>
      </c>
      <c r="J2084" s="123">
        <f>IF(Basis!$E$1=1,ROUND(H2084/((TaH-TrH)*1.163)/3600,3),ROUND(H2084/(500*(TaH-TrH)),2))</f>
        <v>0.09</v>
      </c>
      <c r="K2084" s="84"/>
      <c r="L2084" s="177">
        <f>CHOOSE(Basis!$E$1,((AJ2084*(J2084*3600/Basis!$E$5)^AK2084*(((MID(C2084,9,3)*10)-144)/1000)*AL2084+AM2084*(J2084*3600/Basis!$E$5)^2)*0.0098)/Basis!$E$10,((AJ2084*(J2084/Basis!$E$5)^AK2084*(((MID(C2084,9,3)*10)-144)/1000)*AL2084+AM2084*(J2084/Basis!$E$5)^2)*0.0098)/Basis!$E$10)</f>
        <v>6.9431914471958277E-4</v>
      </c>
      <c r="M2084" s="85"/>
      <c r="N2084" s="109">
        <v>1.4079999999999999</v>
      </c>
      <c r="O2084" s="68"/>
      <c r="P2084" s="67">
        <v>436</v>
      </c>
      <c r="Q2084" s="68"/>
      <c r="R2084" s="69"/>
      <c r="S2084" s="69"/>
      <c r="T2084" s="69"/>
      <c r="U2084" s="69"/>
      <c r="V2084" s="69"/>
      <c r="W2084" s="68"/>
      <c r="X2084" s="70"/>
      <c r="Y2084" s="70"/>
      <c r="Z2084" s="70"/>
      <c r="AA2084" s="70"/>
      <c r="AB2084" s="70"/>
      <c r="AC2084" s="68"/>
      <c r="AD2084" s="71"/>
      <c r="AE2084" s="71"/>
      <c r="AF2084" s="71"/>
      <c r="AG2084" s="71"/>
      <c r="AH2084" s="71"/>
      <c r="AI2084" s="68"/>
      <c r="AJ2084" s="214">
        <v>2.0829999999999999E-4</v>
      </c>
      <c r="AK2084" s="214">
        <v>1.724</v>
      </c>
      <c r="AL2084" s="214">
        <v>2</v>
      </c>
      <c r="AM2084" s="214">
        <v>4.6182900000000003E-4</v>
      </c>
      <c r="AN2084" s="68"/>
      <c r="AO2084" s="67"/>
      <c r="AP2084" s="67"/>
      <c r="AQ2084" s="67"/>
      <c r="AR2084" s="67"/>
      <c r="AS2084" s="67"/>
      <c r="AT2084" s="68"/>
      <c r="AU2084" s="49"/>
      <c r="AV2084" s="50"/>
    </row>
    <row r="2085" spans="1:48" ht="12.75" customHeight="1" x14ac:dyDescent="0.25">
      <c r="A2085" s="72" t="s">
        <v>20</v>
      </c>
      <c r="B2085" s="43" t="s">
        <v>2240</v>
      </c>
      <c r="C2085" s="44" t="s">
        <v>2243</v>
      </c>
      <c r="D2085" s="45">
        <f>MROUND(MID($C2085,6,3)/Basis!$E$3,0.5)</f>
        <v>8</v>
      </c>
      <c r="E2085" s="45">
        <f>MROUND(MID($C2085,9,3)/Basis!$E$3,0.5)</f>
        <v>15.5</v>
      </c>
      <c r="F2085" s="124" t="s">
        <v>2945</v>
      </c>
      <c r="G2085" s="45">
        <f>ROUND((ROUNDDOWN($F2085/5,0)*5+1.8)/Basis!$E$3,1)</f>
        <v>8.6</v>
      </c>
      <c r="H2085" s="120">
        <f>ROUND($P2085*Basis!$E$2*((TaH-TrH)/LN(1/µ)/Basis!$E$7)^$N2085*$AA$4*Glycol,0)</f>
        <v>1314</v>
      </c>
      <c r="I2085" s="83">
        <f>ROUND(H2085/(MID($C2085,9,3)/Basis!$E$3/Basis!$E$9)*Basis!$E$11,0)</f>
        <v>1001</v>
      </c>
      <c r="J2085" s="123">
        <f>IF(Basis!$E$1=1,ROUND(H2085/((TaH-TrH)*1.163)/3600,3),ROUND(H2085/(500*(TaH-TrH)),2))</f>
        <v>0.13</v>
      </c>
      <c r="K2085" s="84"/>
      <c r="L2085" s="177">
        <f>CHOOSE(Basis!$E$1,((AJ2085*(J2085*3600/Basis!$E$5)^AK2085*(((MID(C2085,9,3)*10)-144)/1000)*AL2085+AM2085*(J2085*3600/Basis!$E$5)^2)*0.0098)/Basis!$E$10,((AJ2085*(J2085/Basis!$E$5)^AK2085*(((MID(C2085,9,3)*10)-144)/1000)*AL2085+AM2085*(J2085/Basis!$E$5)^2)*0.0098)/Basis!$E$10)</f>
        <v>1.1461799885465977E-3</v>
      </c>
      <c r="M2085" s="85"/>
      <c r="N2085" s="110">
        <v>1.4079999999999999</v>
      </c>
      <c r="O2085" s="74"/>
      <c r="P2085" s="73">
        <v>613</v>
      </c>
      <c r="Q2085" s="74"/>
      <c r="R2085" s="75"/>
      <c r="S2085" s="75"/>
      <c r="T2085" s="75"/>
      <c r="U2085" s="75"/>
      <c r="V2085" s="75"/>
      <c r="W2085" s="74"/>
      <c r="X2085" s="76"/>
      <c r="Y2085" s="76"/>
      <c r="Z2085" s="76"/>
      <c r="AA2085" s="76"/>
      <c r="AB2085" s="76"/>
      <c r="AC2085" s="74"/>
      <c r="AD2085" s="77"/>
      <c r="AE2085" s="77"/>
      <c r="AF2085" s="77"/>
      <c r="AG2085" s="77"/>
      <c r="AH2085" s="77"/>
      <c r="AI2085" s="68"/>
      <c r="AJ2085" s="214">
        <v>1.2760000000000001E-4</v>
      </c>
      <c r="AK2085" s="214">
        <v>1.7219</v>
      </c>
      <c r="AL2085" s="214">
        <v>2</v>
      </c>
      <c r="AM2085" s="214">
        <v>3.76611E-4</v>
      </c>
      <c r="AN2085" s="74"/>
      <c r="AO2085" s="73"/>
      <c r="AP2085" s="73"/>
      <c r="AQ2085" s="73"/>
      <c r="AR2085" s="73"/>
      <c r="AS2085" s="73"/>
      <c r="AT2085" s="74"/>
      <c r="AU2085" s="47"/>
      <c r="AV2085" s="48"/>
    </row>
    <row r="2086" spans="1:48" ht="12.75" customHeight="1" x14ac:dyDescent="0.25">
      <c r="A2086" s="72" t="s">
        <v>20</v>
      </c>
      <c r="B2086" s="43" t="s">
        <v>2240</v>
      </c>
      <c r="C2086" s="44" t="s">
        <v>2244</v>
      </c>
      <c r="D2086" s="45">
        <f>MROUND(MID($C2086,6,3)/Basis!$E$3,0.5)</f>
        <v>8</v>
      </c>
      <c r="E2086" s="45">
        <f>MROUND(MID($C2086,9,3)/Basis!$E$3,0.5)</f>
        <v>19.5</v>
      </c>
      <c r="F2086" s="124" t="s">
        <v>2943</v>
      </c>
      <c r="G2086" s="45">
        <f>ROUND((ROUNDDOWN($F2086/5,0)*5+1.8)/Basis!$E$3,1)</f>
        <v>4.5999999999999996</v>
      </c>
      <c r="H2086" s="120">
        <f>ROUND($P2086*Basis!$E$2*((TaH-TrH)/LN(1/µ)/Basis!$E$7)^$N2086*$AA$4*Glycol,0)</f>
        <v>702</v>
      </c>
      <c r="I2086" s="83">
        <f>ROUND(H2086/(MID($C2086,9,3)/Basis!$E$3/Basis!$E$9)*Basis!$E$11,0)</f>
        <v>428</v>
      </c>
      <c r="J2086" s="123">
        <f>IF(Basis!$E$1=1,ROUND(H2086/((TaH-TrH)*1.163)/3600,3),ROUND(H2086/(500*(TaH-TrH)),2))</f>
        <v>7.0000000000000007E-2</v>
      </c>
      <c r="K2086" s="84"/>
      <c r="L2086" s="177">
        <f>CHOOSE(Basis!$E$1,((AJ2086*(J2086*3600/Basis!$E$5)^AK2086*(((MID(C2086,9,3)*10)-144)/1000)*AL2086+AM2086*(J2086*3600/Basis!$E$5)^2)*0.0098)/Basis!$E$10,((AJ2086*(J2086/Basis!$E$5)^AK2086*(((MID(C2086,9,3)*10)-144)/1000)*AL2086+AM2086*(J2086/Basis!$E$5)^2)*0.0098)/Basis!$E$10)</f>
        <v>4.1569358515581553E-4</v>
      </c>
      <c r="M2086" s="85"/>
      <c r="N2086" s="109">
        <v>1.413</v>
      </c>
      <c r="O2086" s="68"/>
      <c r="P2086" s="67">
        <v>328</v>
      </c>
      <c r="Q2086" s="68"/>
      <c r="R2086" s="69"/>
      <c r="S2086" s="69"/>
      <c r="T2086" s="69"/>
      <c r="U2086" s="69"/>
      <c r="V2086" s="69"/>
      <c r="W2086" s="68"/>
      <c r="X2086" s="70"/>
      <c r="Y2086" s="70"/>
      <c r="Z2086" s="70"/>
      <c r="AA2086" s="70"/>
      <c r="AB2086" s="70"/>
      <c r="AC2086" s="68"/>
      <c r="AD2086" s="71"/>
      <c r="AE2086" s="71"/>
      <c r="AF2086" s="71"/>
      <c r="AG2086" s="71"/>
      <c r="AH2086" s="71"/>
      <c r="AI2086" s="68"/>
      <c r="AJ2086" s="214">
        <v>3.9689999999999994E-4</v>
      </c>
      <c r="AK2086" s="214">
        <v>1.7345999999999999</v>
      </c>
      <c r="AL2086" s="214">
        <v>2</v>
      </c>
      <c r="AM2086" s="214">
        <v>3.6734700000000002E-4</v>
      </c>
      <c r="AN2086" s="68"/>
      <c r="AO2086" s="67"/>
      <c r="AP2086" s="67"/>
      <c r="AQ2086" s="67"/>
      <c r="AR2086" s="67"/>
      <c r="AS2086" s="67"/>
      <c r="AT2086" s="68"/>
      <c r="AU2086" s="49"/>
      <c r="AV2086" s="50"/>
    </row>
    <row r="2087" spans="1:48" ht="12.75" customHeight="1" x14ac:dyDescent="0.25">
      <c r="A2087" s="72" t="s">
        <v>20</v>
      </c>
      <c r="B2087" s="43" t="s">
        <v>2240</v>
      </c>
      <c r="C2087" s="44" t="s">
        <v>2245</v>
      </c>
      <c r="D2087" s="45">
        <f>MROUND(MID($C2087,6,3)/Basis!$E$3,0.5)</f>
        <v>8</v>
      </c>
      <c r="E2087" s="45">
        <f>MROUND(MID($C2087,9,3)/Basis!$E$3,0.5)</f>
        <v>19.5</v>
      </c>
      <c r="F2087" s="124" t="s">
        <v>2944</v>
      </c>
      <c r="G2087" s="45">
        <f>ROUND((ROUNDDOWN($F2087/5,0)*5+1.8)/Basis!$E$3,1)</f>
        <v>6.6</v>
      </c>
      <c r="H2087" s="120">
        <f>ROUND($P2087*Basis!$E$2*((TaH-TrH)/LN(1/µ)/Basis!$E$7)^$N2087*$AA$4*Glycol,0)</f>
        <v>1168</v>
      </c>
      <c r="I2087" s="83">
        <f>ROUND(H2087/(MID($C2087,9,3)/Basis!$E$3/Basis!$E$9)*Basis!$E$11,0)</f>
        <v>712</v>
      </c>
      <c r="J2087" s="123">
        <f>IF(Basis!$E$1=1,ROUND(H2087/((TaH-TrH)*1.163)/3600,3),ROUND(H2087/(500*(TaH-TrH)),2))</f>
        <v>0.12</v>
      </c>
      <c r="K2087" s="84"/>
      <c r="L2087" s="177">
        <f>CHOOSE(Basis!$E$1,((AJ2087*(J2087*3600/Basis!$E$5)^AK2087*(((MID(C2087,9,3)*10)-144)/1000)*AL2087+AM2087*(J2087*3600/Basis!$E$5)^2)*0.0098)/Basis!$E$10,((AJ2087*(J2087/Basis!$E$5)^AK2087*(((MID(C2087,9,3)*10)-144)/1000)*AL2087+AM2087*(J2087/Basis!$E$5)^2)*0.0098)/Basis!$E$10)</f>
        <v>1.2663866798291782E-3</v>
      </c>
      <c r="M2087" s="85"/>
      <c r="N2087" s="110">
        <v>1.4079999999999999</v>
      </c>
      <c r="O2087" s="74"/>
      <c r="P2087" s="73">
        <v>545</v>
      </c>
      <c r="Q2087" s="74"/>
      <c r="R2087" s="75"/>
      <c r="S2087" s="75"/>
      <c r="T2087" s="75"/>
      <c r="U2087" s="75"/>
      <c r="V2087" s="75"/>
      <c r="W2087" s="74"/>
      <c r="X2087" s="76"/>
      <c r="Y2087" s="76"/>
      <c r="Z2087" s="76"/>
      <c r="AA2087" s="76"/>
      <c r="AB2087" s="76"/>
      <c r="AC2087" s="74"/>
      <c r="AD2087" s="77"/>
      <c r="AE2087" s="77"/>
      <c r="AF2087" s="77"/>
      <c r="AG2087" s="77"/>
      <c r="AH2087" s="77"/>
      <c r="AI2087" s="68"/>
      <c r="AJ2087" s="213">
        <v>2.0829999999999999E-4</v>
      </c>
      <c r="AK2087" s="213">
        <v>1.724</v>
      </c>
      <c r="AL2087" s="213">
        <v>2</v>
      </c>
      <c r="AM2087" s="213">
        <v>4.6182900000000003E-4</v>
      </c>
      <c r="AN2087" s="74"/>
      <c r="AO2087" s="73"/>
      <c r="AP2087" s="73"/>
      <c r="AQ2087" s="73"/>
      <c r="AR2087" s="73"/>
      <c r="AS2087" s="73"/>
      <c r="AT2087" s="74"/>
      <c r="AU2087" s="47"/>
      <c r="AV2087" s="48"/>
    </row>
    <row r="2088" spans="1:48" ht="12.75" customHeight="1" x14ac:dyDescent="0.25">
      <c r="A2088" s="72" t="s">
        <v>20</v>
      </c>
      <c r="B2088" s="43" t="s">
        <v>2240</v>
      </c>
      <c r="C2088" s="44" t="s">
        <v>2246</v>
      </c>
      <c r="D2088" s="45">
        <f>MROUND(MID($C2088,6,3)/Basis!$E$3,0.5)</f>
        <v>8</v>
      </c>
      <c r="E2088" s="45">
        <f>MROUND(MID($C2088,9,3)/Basis!$E$3,0.5)</f>
        <v>19.5</v>
      </c>
      <c r="F2088" s="124" t="s">
        <v>2945</v>
      </c>
      <c r="G2088" s="45">
        <f>ROUND((ROUNDDOWN($F2088/5,0)*5+1.8)/Basis!$E$3,1)</f>
        <v>8.6</v>
      </c>
      <c r="H2088" s="120">
        <f>ROUND($P2088*Basis!$E$2*((TaH-TrH)/LN(1/µ)/Basis!$E$7)^$N2088*$AA$4*Glycol,0)</f>
        <v>1642</v>
      </c>
      <c r="I2088" s="83">
        <f>ROUND(H2088/(MID($C2088,9,3)/Basis!$E$3/Basis!$E$9)*Basis!$E$11,0)</f>
        <v>1001</v>
      </c>
      <c r="J2088" s="123">
        <f>IF(Basis!$E$1=1,ROUND(H2088/((TaH-TrH)*1.163)/3600,3),ROUND(H2088/(500*(TaH-TrH)),2))</f>
        <v>0.16</v>
      </c>
      <c r="K2088" s="84"/>
      <c r="L2088" s="177">
        <f>CHOOSE(Basis!$E$1,((AJ2088*(J2088*3600/Basis!$E$5)^AK2088*(((MID(C2088,9,3)*10)-144)/1000)*AL2088+AM2088*(J2088*3600/Basis!$E$5)^2)*0.0098)/Basis!$E$10,((AJ2088*(J2088/Basis!$E$5)^AK2088*(((MID(C2088,9,3)*10)-144)/1000)*AL2088+AM2088*(J2088/Basis!$E$5)^2)*0.0098)/Basis!$E$10)</f>
        <v>1.7706226073942659E-3</v>
      </c>
      <c r="M2088" s="85"/>
      <c r="N2088" s="109">
        <v>1.4079999999999999</v>
      </c>
      <c r="O2088" s="68"/>
      <c r="P2088" s="67">
        <v>766</v>
      </c>
      <c r="Q2088" s="68"/>
      <c r="R2088" s="69"/>
      <c r="S2088" s="69"/>
      <c r="T2088" s="69"/>
      <c r="U2088" s="69"/>
      <c r="V2088" s="69"/>
      <c r="W2088" s="68"/>
      <c r="X2088" s="70"/>
      <c r="Y2088" s="70"/>
      <c r="Z2088" s="70"/>
      <c r="AA2088" s="70"/>
      <c r="AB2088" s="70"/>
      <c r="AC2088" s="68"/>
      <c r="AD2088" s="71"/>
      <c r="AE2088" s="71"/>
      <c r="AF2088" s="71"/>
      <c r="AG2088" s="71"/>
      <c r="AH2088" s="71"/>
      <c r="AI2088" s="68"/>
      <c r="AJ2088" s="214">
        <v>1.2760000000000001E-4</v>
      </c>
      <c r="AK2088" s="214">
        <v>1.7219</v>
      </c>
      <c r="AL2088" s="214">
        <v>2</v>
      </c>
      <c r="AM2088" s="214">
        <v>3.76611E-4</v>
      </c>
      <c r="AN2088" s="68"/>
      <c r="AO2088" s="67"/>
      <c r="AP2088" s="67"/>
      <c r="AQ2088" s="67"/>
      <c r="AR2088" s="67"/>
      <c r="AS2088" s="67"/>
      <c r="AT2088" s="68"/>
      <c r="AU2088" s="49"/>
      <c r="AV2088" s="50"/>
    </row>
    <row r="2089" spans="1:48" ht="12.75" customHeight="1" x14ac:dyDescent="0.25">
      <c r="A2089" s="72" t="s">
        <v>20</v>
      </c>
      <c r="B2089" s="43" t="s">
        <v>2240</v>
      </c>
      <c r="C2089" s="44" t="s">
        <v>2247</v>
      </c>
      <c r="D2089" s="45">
        <f>MROUND(MID($C2089,6,3)/Basis!$E$3,0.5)</f>
        <v>8</v>
      </c>
      <c r="E2089" s="45">
        <f>MROUND(MID($C2089,9,3)/Basis!$E$3,0.5)</f>
        <v>23.5</v>
      </c>
      <c r="F2089" s="124" t="s">
        <v>2943</v>
      </c>
      <c r="G2089" s="45">
        <f>ROUND((ROUNDDOWN($F2089/5,0)*5+1.8)/Basis!$E$3,1)</f>
        <v>4.5999999999999996</v>
      </c>
      <c r="H2089" s="120">
        <f>ROUND($P2089*Basis!$E$2*((TaH-TrH)/LN(1/µ)/Basis!$E$7)^$N2089*$AA$4*Glycol,0)</f>
        <v>841</v>
      </c>
      <c r="I2089" s="83">
        <f>ROUND(H2089/(MID($C2089,9,3)/Basis!$E$3/Basis!$E$9)*Basis!$E$11,0)</f>
        <v>427</v>
      </c>
      <c r="J2089" s="123">
        <f>IF(Basis!$E$1=1,ROUND(H2089/((TaH-TrH)*1.163)/3600,3),ROUND(H2089/(500*(TaH-TrH)),2))</f>
        <v>0.08</v>
      </c>
      <c r="K2089" s="84"/>
      <c r="L2089" s="177">
        <f>CHOOSE(Basis!$E$1,((AJ2089*(J2089*3600/Basis!$E$5)^AK2089*(((MID(C2089,9,3)*10)-144)/1000)*AL2089+AM2089*(J2089*3600/Basis!$E$5)^2)*0.0098)/Basis!$E$10,((AJ2089*(J2089/Basis!$E$5)^AK2089*(((MID(C2089,9,3)*10)-144)/1000)*AL2089+AM2089*(J2089/Basis!$E$5)^2)*0.0098)/Basis!$E$10)</f>
        <v>5.7754099344955914E-4</v>
      </c>
      <c r="M2089" s="85"/>
      <c r="N2089" s="110">
        <v>1.413</v>
      </c>
      <c r="O2089" s="74"/>
      <c r="P2089" s="73">
        <v>393</v>
      </c>
      <c r="Q2089" s="74"/>
      <c r="R2089" s="75"/>
      <c r="S2089" s="75"/>
      <c r="T2089" s="75"/>
      <c r="U2089" s="75"/>
      <c r="V2089" s="75"/>
      <c r="W2089" s="74"/>
      <c r="X2089" s="76"/>
      <c r="Y2089" s="76"/>
      <c r="Z2089" s="76"/>
      <c r="AA2089" s="76"/>
      <c r="AB2089" s="76"/>
      <c r="AC2089" s="74"/>
      <c r="AD2089" s="77"/>
      <c r="AE2089" s="77"/>
      <c r="AF2089" s="77"/>
      <c r="AG2089" s="77"/>
      <c r="AH2089" s="77"/>
      <c r="AI2089" s="68"/>
      <c r="AJ2089" s="213">
        <v>3.9689999999999994E-4</v>
      </c>
      <c r="AK2089" s="213">
        <v>1.7345999999999999</v>
      </c>
      <c r="AL2089" s="213">
        <v>2</v>
      </c>
      <c r="AM2089" s="213">
        <v>3.6734700000000002E-4</v>
      </c>
      <c r="AN2089" s="74"/>
      <c r="AO2089" s="73"/>
      <c r="AP2089" s="73"/>
      <c r="AQ2089" s="73"/>
      <c r="AR2089" s="73"/>
      <c r="AS2089" s="73"/>
      <c r="AT2089" s="74"/>
      <c r="AU2089" s="47"/>
      <c r="AV2089" s="48"/>
    </row>
    <row r="2090" spans="1:48" ht="12.75" customHeight="1" x14ac:dyDescent="0.25">
      <c r="A2090" s="72" t="s">
        <v>20</v>
      </c>
      <c r="B2090" s="43" t="s">
        <v>2240</v>
      </c>
      <c r="C2090" s="44" t="s">
        <v>2248</v>
      </c>
      <c r="D2090" s="45">
        <f>MROUND(MID($C2090,6,3)/Basis!$E$3,0.5)</f>
        <v>8</v>
      </c>
      <c r="E2090" s="45">
        <f>MROUND(MID($C2090,9,3)/Basis!$E$3,0.5)</f>
        <v>23.5</v>
      </c>
      <c r="F2090" s="124" t="s">
        <v>2944</v>
      </c>
      <c r="G2090" s="45">
        <f>ROUND((ROUNDDOWN($F2090/5,0)*5+1.8)/Basis!$E$3,1)</f>
        <v>6.6</v>
      </c>
      <c r="H2090" s="120">
        <f>ROUND($P2090*Basis!$E$2*((TaH-TrH)/LN(1/µ)/Basis!$E$7)^$N2090*$AA$4*Glycol,0)</f>
        <v>1402</v>
      </c>
      <c r="I2090" s="83">
        <f>ROUND(H2090/(MID($C2090,9,3)/Basis!$E$3/Basis!$E$9)*Basis!$E$11,0)</f>
        <v>712</v>
      </c>
      <c r="J2090" s="123">
        <f>IF(Basis!$E$1=1,ROUND(H2090/((TaH-TrH)*1.163)/3600,3),ROUND(H2090/(500*(TaH-TrH)),2))</f>
        <v>0.14000000000000001</v>
      </c>
      <c r="K2090" s="84"/>
      <c r="L2090" s="177">
        <f>CHOOSE(Basis!$E$1,((AJ2090*(J2090*3600/Basis!$E$5)^AK2090*(((MID(C2090,9,3)*10)-144)/1000)*AL2090+AM2090*(J2090*3600/Basis!$E$5)^2)*0.0098)/Basis!$E$10,((AJ2090*(J2090/Basis!$E$5)^AK2090*(((MID(C2090,9,3)*10)-144)/1000)*AL2090+AM2090*(J2090/Basis!$E$5)^2)*0.0098)/Basis!$E$10)</f>
        <v>1.768500592062961E-3</v>
      </c>
      <c r="M2090" s="85"/>
      <c r="N2090" s="109">
        <v>1.4079999999999999</v>
      </c>
      <c r="O2090" s="68"/>
      <c r="P2090" s="67">
        <v>654</v>
      </c>
      <c r="Q2090" s="68"/>
      <c r="R2090" s="69"/>
      <c r="S2090" s="69"/>
      <c r="T2090" s="69"/>
      <c r="U2090" s="69"/>
      <c r="V2090" s="69"/>
      <c r="W2090" s="68"/>
      <c r="X2090" s="70"/>
      <c r="Y2090" s="70"/>
      <c r="Z2090" s="70"/>
      <c r="AA2090" s="70"/>
      <c r="AB2090" s="70"/>
      <c r="AC2090" s="68"/>
      <c r="AD2090" s="71"/>
      <c r="AE2090" s="71"/>
      <c r="AF2090" s="71"/>
      <c r="AG2090" s="71"/>
      <c r="AH2090" s="71"/>
      <c r="AI2090" s="68"/>
      <c r="AJ2090" s="214">
        <v>2.0829999999999999E-4</v>
      </c>
      <c r="AK2090" s="214">
        <v>1.724</v>
      </c>
      <c r="AL2090" s="214">
        <v>2</v>
      </c>
      <c r="AM2090" s="214">
        <v>4.6182900000000003E-4</v>
      </c>
      <c r="AN2090" s="68"/>
      <c r="AO2090" s="67"/>
      <c r="AP2090" s="67"/>
      <c r="AQ2090" s="67"/>
      <c r="AR2090" s="67"/>
      <c r="AS2090" s="67"/>
      <c r="AT2090" s="68"/>
      <c r="AU2090" s="49"/>
      <c r="AV2090" s="50"/>
    </row>
    <row r="2091" spans="1:48" ht="12.75" customHeight="1" x14ac:dyDescent="0.25">
      <c r="A2091" s="72" t="s">
        <v>20</v>
      </c>
      <c r="B2091" s="43" t="s">
        <v>2240</v>
      </c>
      <c r="C2091" s="44" t="s">
        <v>2249</v>
      </c>
      <c r="D2091" s="45">
        <f>MROUND(MID($C2091,6,3)/Basis!$E$3,0.5)</f>
        <v>8</v>
      </c>
      <c r="E2091" s="45">
        <f>MROUND(MID($C2091,9,3)/Basis!$E$3,0.5)</f>
        <v>23.5</v>
      </c>
      <c r="F2091" s="124" t="s">
        <v>2945</v>
      </c>
      <c r="G2091" s="45">
        <f>ROUND((ROUNDDOWN($F2091/5,0)*5+1.8)/Basis!$E$3,1)</f>
        <v>8.6</v>
      </c>
      <c r="H2091" s="120">
        <f>ROUND($P2091*Basis!$E$2*((TaH-TrH)/LN(1/µ)/Basis!$E$7)^$N2091*$AA$4*Glycol,0)</f>
        <v>1970</v>
      </c>
      <c r="I2091" s="83">
        <f>ROUND(H2091/(MID($C2091,9,3)/Basis!$E$3/Basis!$E$9)*Basis!$E$11,0)</f>
        <v>1001</v>
      </c>
      <c r="J2091" s="123">
        <f>IF(Basis!$E$1=1,ROUND(H2091/((TaH-TrH)*1.163)/3600,3),ROUND(H2091/(500*(TaH-TrH)),2))</f>
        <v>0.2</v>
      </c>
      <c r="K2091" s="84"/>
      <c r="L2091" s="177">
        <f>CHOOSE(Basis!$E$1,((AJ2091*(J2091*3600/Basis!$E$5)^AK2091*(((MID(C2091,9,3)*10)-144)/1000)*AL2091+AM2091*(J2091*3600/Basis!$E$5)^2)*0.0098)/Basis!$E$10,((AJ2091*(J2091/Basis!$E$5)^AK2091*(((MID(C2091,9,3)*10)-144)/1000)*AL2091+AM2091*(J2091/Basis!$E$5)^2)*0.0098)/Basis!$E$10)</f>
        <v>2.8125971646002544E-3</v>
      </c>
      <c r="M2091" s="85"/>
      <c r="N2091" s="110">
        <v>1.4079999999999999</v>
      </c>
      <c r="O2091" s="74"/>
      <c r="P2091" s="73">
        <v>919</v>
      </c>
      <c r="Q2091" s="74"/>
      <c r="R2091" s="75"/>
      <c r="S2091" s="75"/>
      <c r="T2091" s="75"/>
      <c r="U2091" s="75"/>
      <c r="V2091" s="75"/>
      <c r="W2091" s="74"/>
      <c r="X2091" s="76"/>
      <c r="Y2091" s="76"/>
      <c r="Z2091" s="76"/>
      <c r="AA2091" s="76"/>
      <c r="AB2091" s="76"/>
      <c r="AC2091" s="74"/>
      <c r="AD2091" s="77"/>
      <c r="AE2091" s="77"/>
      <c r="AF2091" s="77"/>
      <c r="AG2091" s="77"/>
      <c r="AH2091" s="77"/>
      <c r="AI2091" s="68"/>
      <c r="AJ2091" s="214">
        <v>1.2760000000000001E-4</v>
      </c>
      <c r="AK2091" s="214">
        <v>1.7219</v>
      </c>
      <c r="AL2091" s="214">
        <v>2</v>
      </c>
      <c r="AM2091" s="214">
        <v>3.76611E-4</v>
      </c>
      <c r="AN2091" s="74"/>
      <c r="AO2091" s="73"/>
      <c r="AP2091" s="73"/>
      <c r="AQ2091" s="73"/>
      <c r="AR2091" s="73"/>
      <c r="AS2091" s="73"/>
      <c r="AT2091" s="74"/>
      <c r="AU2091" s="47"/>
      <c r="AV2091" s="48"/>
    </row>
    <row r="2092" spans="1:48" ht="12.75" customHeight="1" x14ac:dyDescent="0.25">
      <c r="A2092" s="72" t="s">
        <v>20</v>
      </c>
      <c r="B2092" s="43" t="s">
        <v>2240</v>
      </c>
      <c r="C2092" s="44" t="s">
        <v>2250</v>
      </c>
      <c r="D2092" s="45">
        <f>MROUND(MID($C2092,6,3)/Basis!$E$3,0.5)</f>
        <v>8</v>
      </c>
      <c r="E2092" s="45">
        <f>MROUND(MID($C2092,9,3)/Basis!$E$3,0.5)</f>
        <v>27.5</v>
      </c>
      <c r="F2092" s="124" t="s">
        <v>2943</v>
      </c>
      <c r="G2092" s="45">
        <f>ROUND((ROUNDDOWN($F2092/5,0)*5+1.8)/Basis!$E$3,1)</f>
        <v>4.5999999999999996</v>
      </c>
      <c r="H2092" s="120">
        <f>ROUND($P2092*Basis!$E$2*((TaH-TrH)/LN(1/µ)/Basis!$E$7)^$N2092*$AA$4*Glycol,0)</f>
        <v>982</v>
      </c>
      <c r="I2092" s="83">
        <f>ROUND(H2092/(MID($C2092,9,3)/Basis!$E$3/Basis!$E$9)*Basis!$E$11,0)</f>
        <v>428</v>
      </c>
      <c r="J2092" s="123">
        <f>IF(Basis!$E$1=1,ROUND(H2092/((TaH-TrH)*1.163)/3600,3),ROUND(H2092/(500*(TaH-TrH)),2))</f>
        <v>0.1</v>
      </c>
      <c r="K2092" s="84"/>
      <c r="L2092" s="177">
        <f>CHOOSE(Basis!$E$1,((AJ2092*(J2092*3600/Basis!$E$5)^AK2092*(((MID(C2092,9,3)*10)-144)/1000)*AL2092+AM2092*(J2092*3600/Basis!$E$5)^2)*0.0098)/Basis!$E$10,((AJ2092*(J2092/Basis!$E$5)^AK2092*(((MID(C2092,9,3)*10)-144)/1000)*AL2092+AM2092*(J2092/Basis!$E$5)^2)*0.0098)/Basis!$E$10)</f>
        <v>9.4459789792957979E-4</v>
      </c>
      <c r="M2092" s="85"/>
      <c r="N2092" s="109">
        <v>1.413</v>
      </c>
      <c r="O2092" s="68"/>
      <c r="P2092" s="67">
        <v>459</v>
      </c>
      <c r="Q2092" s="68"/>
      <c r="R2092" s="69"/>
      <c r="S2092" s="69"/>
      <c r="T2092" s="69"/>
      <c r="U2092" s="69"/>
      <c r="V2092" s="69"/>
      <c r="W2092" s="68"/>
      <c r="X2092" s="70"/>
      <c r="Y2092" s="70"/>
      <c r="Z2092" s="70"/>
      <c r="AA2092" s="70"/>
      <c r="AB2092" s="70"/>
      <c r="AC2092" s="68"/>
      <c r="AD2092" s="71"/>
      <c r="AE2092" s="71"/>
      <c r="AF2092" s="71"/>
      <c r="AG2092" s="71"/>
      <c r="AH2092" s="71"/>
      <c r="AI2092" s="68"/>
      <c r="AJ2092" s="214">
        <v>3.9689999999999994E-4</v>
      </c>
      <c r="AK2092" s="214">
        <v>1.7345999999999999</v>
      </c>
      <c r="AL2092" s="214">
        <v>2</v>
      </c>
      <c r="AM2092" s="214">
        <v>3.6734700000000002E-4</v>
      </c>
      <c r="AN2092" s="68"/>
      <c r="AO2092" s="67"/>
      <c r="AP2092" s="67"/>
      <c r="AQ2092" s="67"/>
      <c r="AR2092" s="67"/>
      <c r="AS2092" s="67"/>
      <c r="AT2092" s="68"/>
      <c r="AU2092" s="49"/>
      <c r="AV2092" s="50"/>
    </row>
    <row r="2093" spans="1:48" ht="12.75" customHeight="1" x14ac:dyDescent="0.25">
      <c r="A2093" s="72" t="s">
        <v>20</v>
      </c>
      <c r="B2093" s="43" t="s">
        <v>2240</v>
      </c>
      <c r="C2093" s="44" t="s">
        <v>2251</v>
      </c>
      <c r="D2093" s="45">
        <f>MROUND(MID($C2093,6,3)/Basis!$E$3,0.5)</f>
        <v>8</v>
      </c>
      <c r="E2093" s="45">
        <f>MROUND(MID($C2093,9,3)/Basis!$E$3,0.5)</f>
        <v>27.5</v>
      </c>
      <c r="F2093" s="124" t="s">
        <v>2944</v>
      </c>
      <c r="G2093" s="45">
        <f>ROUND((ROUNDDOWN($F2093/5,0)*5+1.8)/Basis!$E$3,1)</f>
        <v>6.6</v>
      </c>
      <c r="H2093" s="120">
        <f>ROUND($P2093*Basis!$E$2*((TaH-TrH)/LN(1/µ)/Basis!$E$7)^$N2093*$AA$4*Glycol,0)</f>
        <v>1636</v>
      </c>
      <c r="I2093" s="83">
        <f>ROUND(H2093/(MID($C2093,9,3)/Basis!$E$3/Basis!$E$9)*Basis!$E$11,0)</f>
        <v>712</v>
      </c>
      <c r="J2093" s="123">
        <f>IF(Basis!$E$1=1,ROUND(H2093/((TaH-TrH)*1.163)/3600,3),ROUND(H2093/(500*(TaH-TrH)),2))</f>
        <v>0.16</v>
      </c>
      <c r="K2093" s="84"/>
      <c r="L2093" s="177">
        <f>CHOOSE(Basis!$E$1,((AJ2093*(J2093*3600/Basis!$E$5)^AK2093*(((MID(C2093,9,3)*10)-144)/1000)*AL2093+AM2093*(J2093*3600/Basis!$E$5)^2)*0.0098)/Basis!$E$10,((AJ2093*(J2093/Basis!$E$5)^AK2093*(((MID(C2093,9,3)*10)-144)/1000)*AL2093+AM2093*(J2093/Basis!$E$5)^2)*0.0098)/Basis!$E$10)</f>
        <v>2.3651863779811087E-3</v>
      </c>
      <c r="M2093" s="85"/>
      <c r="N2093" s="110">
        <v>1.4079999999999999</v>
      </c>
      <c r="O2093" s="74"/>
      <c r="P2093" s="73">
        <v>763</v>
      </c>
      <c r="Q2093" s="74"/>
      <c r="R2093" s="75"/>
      <c r="S2093" s="75"/>
      <c r="T2093" s="75"/>
      <c r="U2093" s="75"/>
      <c r="V2093" s="75"/>
      <c r="W2093" s="74"/>
      <c r="X2093" s="76"/>
      <c r="Y2093" s="76"/>
      <c r="Z2093" s="76"/>
      <c r="AA2093" s="76"/>
      <c r="AB2093" s="76"/>
      <c r="AC2093" s="74"/>
      <c r="AD2093" s="77"/>
      <c r="AE2093" s="77"/>
      <c r="AF2093" s="77"/>
      <c r="AG2093" s="77"/>
      <c r="AH2093" s="77"/>
      <c r="AI2093" s="68"/>
      <c r="AJ2093" s="213">
        <v>2.0829999999999999E-4</v>
      </c>
      <c r="AK2093" s="213">
        <v>1.724</v>
      </c>
      <c r="AL2093" s="213">
        <v>2</v>
      </c>
      <c r="AM2093" s="213">
        <v>4.6182900000000003E-4</v>
      </c>
      <c r="AN2093" s="74"/>
      <c r="AO2093" s="73"/>
      <c r="AP2093" s="73"/>
      <c r="AQ2093" s="73"/>
      <c r="AR2093" s="73"/>
      <c r="AS2093" s="73"/>
      <c r="AT2093" s="74"/>
      <c r="AU2093" s="47"/>
      <c r="AV2093" s="48"/>
    </row>
    <row r="2094" spans="1:48" ht="12.75" customHeight="1" x14ac:dyDescent="0.25">
      <c r="A2094" s="72" t="s">
        <v>20</v>
      </c>
      <c r="B2094" s="43" t="s">
        <v>2240</v>
      </c>
      <c r="C2094" s="44" t="s">
        <v>2252</v>
      </c>
      <c r="D2094" s="45">
        <f>MROUND(MID($C2094,6,3)/Basis!$E$3,0.5)</f>
        <v>8</v>
      </c>
      <c r="E2094" s="45">
        <f>MROUND(MID($C2094,9,3)/Basis!$E$3,0.5)</f>
        <v>27.5</v>
      </c>
      <c r="F2094" s="124" t="s">
        <v>2945</v>
      </c>
      <c r="G2094" s="45">
        <f>ROUND((ROUNDDOWN($F2094/5,0)*5+1.8)/Basis!$E$3,1)</f>
        <v>8.6</v>
      </c>
      <c r="H2094" s="120">
        <f>ROUND($P2094*Basis!$E$2*((TaH-TrH)/LN(1/µ)/Basis!$E$7)^$N2094*$AA$4*Glycol,0)</f>
        <v>2298</v>
      </c>
      <c r="I2094" s="83">
        <f>ROUND(H2094/(MID($C2094,9,3)/Basis!$E$3/Basis!$E$9)*Basis!$E$11,0)</f>
        <v>1001</v>
      </c>
      <c r="J2094" s="123">
        <f>IF(Basis!$E$1=1,ROUND(H2094/((TaH-TrH)*1.163)/3600,3),ROUND(H2094/(500*(TaH-TrH)),2))</f>
        <v>0.23</v>
      </c>
      <c r="K2094" s="84"/>
      <c r="L2094" s="177">
        <f>CHOOSE(Basis!$E$1,((AJ2094*(J2094*3600/Basis!$E$5)^AK2094*(((MID(C2094,9,3)*10)-144)/1000)*AL2094+AM2094*(J2094*3600/Basis!$E$5)^2)*0.0098)/Basis!$E$10,((AJ2094*(J2094/Basis!$E$5)^AK2094*(((MID(C2094,9,3)*10)-144)/1000)*AL2094+AM2094*(J2094/Basis!$E$5)^2)*0.0098)/Basis!$E$10)</f>
        <v>3.7817513916162627E-3</v>
      </c>
      <c r="M2094" s="85"/>
      <c r="N2094" s="109">
        <v>1.4079999999999999</v>
      </c>
      <c r="O2094" s="68"/>
      <c r="P2094" s="67">
        <v>1072</v>
      </c>
      <c r="Q2094" s="68"/>
      <c r="R2094" s="69"/>
      <c r="S2094" s="69"/>
      <c r="T2094" s="69"/>
      <c r="U2094" s="69"/>
      <c r="V2094" s="69"/>
      <c r="W2094" s="68"/>
      <c r="X2094" s="70"/>
      <c r="Y2094" s="70"/>
      <c r="Z2094" s="70"/>
      <c r="AA2094" s="70"/>
      <c r="AB2094" s="70"/>
      <c r="AC2094" s="68"/>
      <c r="AD2094" s="71"/>
      <c r="AE2094" s="71"/>
      <c r="AF2094" s="71"/>
      <c r="AG2094" s="71"/>
      <c r="AH2094" s="71"/>
      <c r="AI2094" s="68"/>
      <c r="AJ2094" s="214">
        <v>1.2760000000000001E-4</v>
      </c>
      <c r="AK2094" s="214">
        <v>1.7219</v>
      </c>
      <c r="AL2094" s="214">
        <v>2</v>
      </c>
      <c r="AM2094" s="214">
        <v>3.76611E-4</v>
      </c>
      <c r="AN2094" s="68"/>
      <c r="AO2094" s="67"/>
      <c r="AP2094" s="67"/>
      <c r="AQ2094" s="67"/>
      <c r="AR2094" s="67"/>
      <c r="AS2094" s="67"/>
      <c r="AT2094" s="68"/>
      <c r="AU2094" s="49"/>
      <c r="AV2094" s="50"/>
    </row>
    <row r="2095" spans="1:48" ht="12.75" customHeight="1" x14ac:dyDescent="0.25">
      <c r="A2095" s="72" t="s">
        <v>20</v>
      </c>
      <c r="B2095" s="43" t="s">
        <v>2240</v>
      </c>
      <c r="C2095" s="44" t="s">
        <v>2253</v>
      </c>
      <c r="D2095" s="45">
        <f>MROUND(MID($C2095,6,3)/Basis!$E$3,0.5)</f>
        <v>8</v>
      </c>
      <c r="E2095" s="45">
        <f>MROUND(MID($C2095,9,3)/Basis!$E$3,0.5)</f>
        <v>31.5</v>
      </c>
      <c r="F2095" s="124" t="s">
        <v>2943</v>
      </c>
      <c r="G2095" s="45">
        <f>ROUND((ROUNDDOWN($F2095/5,0)*5+1.8)/Basis!$E$3,1)</f>
        <v>4.5999999999999996</v>
      </c>
      <c r="H2095" s="120">
        <f>ROUND($P2095*Basis!$E$2*((TaH-TrH)/LN(1/µ)/Basis!$E$7)^$N2095*$AA$4*Glycol,0)</f>
        <v>1122</v>
      </c>
      <c r="I2095" s="83">
        <f>ROUND(H2095/(MID($C2095,9,3)/Basis!$E$3/Basis!$E$9)*Basis!$E$11,0)</f>
        <v>427</v>
      </c>
      <c r="J2095" s="123">
        <f>IF(Basis!$E$1=1,ROUND(H2095/((TaH-TrH)*1.163)/3600,3),ROUND(H2095/(500*(TaH-TrH)),2))</f>
        <v>0.11</v>
      </c>
      <c r="K2095" s="84"/>
      <c r="L2095" s="177">
        <f>CHOOSE(Basis!$E$1,((AJ2095*(J2095*3600/Basis!$E$5)^AK2095*(((MID(C2095,9,3)*10)-144)/1000)*AL2095+AM2095*(J2095*3600/Basis!$E$5)^2)*0.0098)/Basis!$E$10,((AJ2095*(J2095/Basis!$E$5)^AK2095*(((MID(C2095,9,3)*10)-144)/1000)*AL2095+AM2095*(J2095/Basis!$E$5)^2)*0.0098)/Basis!$E$10)</f>
        <v>1.2021014124881713E-3</v>
      </c>
      <c r="M2095" s="85"/>
      <c r="N2095" s="110">
        <v>1.413</v>
      </c>
      <c r="O2095" s="74"/>
      <c r="P2095" s="73">
        <v>524</v>
      </c>
      <c r="Q2095" s="74"/>
      <c r="R2095" s="75"/>
      <c r="S2095" s="75"/>
      <c r="T2095" s="75"/>
      <c r="U2095" s="75"/>
      <c r="V2095" s="75"/>
      <c r="W2095" s="74"/>
      <c r="X2095" s="76"/>
      <c r="Y2095" s="76"/>
      <c r="Z2095" s="76"/>
      <c r="AA2095" s="76"/>
      <c r="AB2095" s="76"/>
      <c r="AC2095" s="74"/>
      <c r="AD2095" s="77"/>
      <c r="AE2095" s="77"/>
      <c r="AF2095" s="77"/>
      <c r="AG2095" s="77"/>
      <c r="AH2095" s="77"/>
      <c r="AI2095" s="68"/>
      <c r="AJ2095" s="213">
        <v>3.9689999999999994E-4</v>
      </c>
      <c r="AK2095" s="213">
        <v>1.7345999999999999</v>
      </c>
      <c r="AL2095" s="213">
        <v>2</v>
      </c>
      <c r="AM2095" s="213">
        <v>3.6734700000000002E-4</v>
      </c>
      <c r="AN2095" s="74"/>
      <c r="AO2095" s="73"/>
      <c r="AP2095" s="73"/>
      <c r="AQ2095" s="73"/>
      <c r="AR2095" s="73"/>
      <c r="AS2095" s="73"/>
      <c r="AT2095" s="74"/>
      <c r="AU2095" s="47"/>
      <c r="AV2095" s="48"/>
    </row>
    <row r="2096" spans="1:48" ht="12.75" customHeight="1" x14ac:dyDescent="0.25">
      <c r="A2096" s="72" t="s">
        <v>20</v>
      </c>
      <c r="B2096" s="43" t="s">
        <v>2240</v>
      </c>
      <c r="C2096" s="44" t="s">
        <v>2254</v>
      </c>
      <c r="D2096" s="45">
        <f>MROUND(MID($C2096,6,3)/Basis!$E$3,0.5)</f>
        <v>8</v>
      </c>
      <c r="E2096" s="45">
        <f>MROUND(MID($C2096,9,3)/Basis!$E$3,0.5)</f>
        <v>31.5</v>
      </c>
      <c r="F2096" s="124" t="s">
        <v>2944</v>
      </c>
      <c r="G2096" s="45">
        <f>ROUND((ROUNDDOWN($F2096/5,0)*5+1.8)/Basis!$E$3,1)</f>
        <v>6.6</v>
      </c>
      <c r="H2096" s="120">
        <f>ROUND($P2096*Basis!$E$2*((TaH-TrH)/LN(1/µ)/Basis!$E$7)^$N2096*$AA$4*Glycol,0)</f>
        <v>1869</v>
      </c>
      <c r="I2096" s="83">
        <f>ROUND(H2096/(MID($C2096,9,3)/Basis!$E$3/Basis!$E$9)*Basis!$E$11,0)</f>
        <v>712</v>
      </c>
      <c r="J2096" s="123">
        <f>IF(Basis!$E$1=1,ROUND(H2096/((TaH-TrH)*1.163)/3600,3),ROUND(H2096/(500*(TaH-TrH)),2))</f>
        <v>0.19</v>
      </c>
      <c r="K2096" s="84"/>
      <c r="L2096" s="177">
        <f>CHOOSE(Basis!$E$1,((AJ2096*(J2096*3600/Basis!$E$5)^AK2096*(((MID(C2096,9,3)*10)-144)/1000)*AL2096+AM2096*(J2096*3600/Basis!$E$5)^2)*0.0098)/Basis!$E$10,((AJ2096*(J2096/Basis!$E$5)^AK2096*(((MID(C2096,9,3)*10)-144)/1000)*AL2096+AM2096*(J2096/Basis!$E$5)^2)*0.0098)/Basis!$E$10)</f>
        <v>3.4007889554262824E-3</v>
      </c>
      <c r="M2096" s="85"/>
      <c r="N2096" s="109">
        <v>1.4079999999999999</v>
      </c>
      <c r="O2096" s="68"/>
      <c r="P2096" s="67">
        <v>872</v>
      </c>
      <c r="Q2096" s="68"/>
      <c r="R2096" s="69"/>
      <c r="S2096" s="69"/>
      <c r="T2096" s="69"/>
      <c r="U2096" s="69"/>
      <c r="V2096" s="69"/>
      <c r="W2096" s="68"/>
      <c r="X2096" s="70"/>
      <c r="Y2096" s="70"/>
      <c r="Z2096" s="70"/>
      <c r="AA2096" s="70"/>
      <c r="AB2096" s="70"/>
      <c r="AC2096" s="68"/>
      <c r="AD2096" s="71"/>
      <c r="AE2096" s="71"/>
      <c r="AF2096" s="71"/>
      <c r="AG2096" s="71"/>
      <c r="AH2096" s="71"/>
      <c r="AI2096" s="68"/>
      <c r="AJ2096" s="214">
        <v>2.0829999999999999E-4</v>
      </c>
      <c r="AK2096" s="214">
        <v>1.724</v>
      </c>
      <c r="AL2096" s="214">
        <v>2</v>
      </c>
      <c r="AM2096" s="214">
        <v>4.6182900000000003E-4</v>
      </c>
      <c r="AN2096" s="68"/>
      <c r="AO2096" s="67"/>
      <c r="AP2096" s="67"/>
      <c r="AQ2096" s="67"/>
      <c r="AR2096" s="67"/>
      <c r="AS2096" s="67"/>
      <c r="AT2096" s="68"/>
      <c r="AU2096" s="49"/>
      <c r="AV2096" s="50"/>
    </row>
    <row r="2097" spans="1:48" ht="12.75" customHeight="1" x14ac:dyDescent="0.25">
      <c r="A2097" s="72" t="s">
        <v>20</v>
      </c>
      <c r="B2097" s="43" t="s">
        <v>2240</v>
      </c>
      <c r="C2097" s="44" t="s">
        <v>2255</v>
      </c>
      <c r="D2097" s="45">
        <f>MROUND(MID($C2097,6,3)/Basis!$E$3,0.5)</f>
        <v>8</v>
      </c>
      <c r="E2097" s="45">
        <f>MROUND(MID($C2097,9,3)/Basis!$E$3,0.5)</f>
        <v>31.5</v>
      </c>
      <c r="F2097" s="124" t="s">
        <v>2945</v>
      </c>
      <c r="G2097" s="45">
        <f>ROUND((ROUNDDOWN($F2097/5,0)*5+1.8)/Basis!$E$3,1)</f>
        <v>8.6</v>
      </c>
      <c r="H2097" s="120">
        <f>ROUND($P2097*Basis!$E$2*((TaH-TrH)/LN(1/µ)/Basis!$E$7)^$N2097*$AA$4*Glycol,0)</f>
        <v>2628</v>
      </c>
      <c r="I2097" s="83">
        <f>ROUND(H2097/(MID($C2097,9,3)/Basis!$E$3/Basis!$E$9)*Basis!$E$11,0)</f>
        <v>1001</v>
      </c>
      <c r="J2097" s="123">
        <f>IF(Basis!$E$1=1,ROUND(H2097/((TaH-TrH)*1.163)/3600,3),ROUND(H2097/(500*(TaH-TrH)),2))</f>
        <v>0.26</v>
      </c>
      <c r="K2097" s="84"/>
      <c r="L2097" s="177">
        <f>CHOOSE(Basis!$E$1,((AJ2097*(J2097*3600/Basis!$E$5)^AK2097*(((MID(C2097,9,3)*10)-144)/1000)*AL2097+AM2097*(J2097*3600/Basis!$E$5)^2)*0.0098)/Basis!$E$10,((AJ2097*(J2097/Basis!$E$5)^AK2097*(((MID(C2097,9,3)*10)-144)/1000)*AL2097+AM2097*(J2097/Basis!$E$5)^2)*0.0098)/Basis!$E$10)</f>
        <v>4.9081872036162606E-3</v>
      </c>
      <c r="M2097" s="85"/>
      <c r="N2097" s="110">
        <v>1.4079999999999999</v>
      </c>
      <c r="O2097" s="74"/>
      <c r="P2097" s="73">
        <v>1226</v>
      </c>
      <c r="Q2097" s="74"/>
      <c r="R2097" s="75"/>
      <c r="S2097" s="75"/>
      <c r="T2097" s="75"/>
      <c r="U2097" s="75"/>
      <c r="V2097" s="75"/>
      <c r="W2097" s="74"/>
      <c r="X2097" s="76"/>
      <c r="Y2097" s="76"/>
      <c r="Z2097" s="76"/>
      <c r="AA2097" s="76"/>
      <c r="AB2097" s="76"/>
      <c r="AC2097" s="74"/>
      <c r="AD2097" s="77"/>
      <c r="AE2097" s="77"/>
      <c r="AF2097" s="77"/>
      <c r="AG2097" s="77"/>
      <c r="AH2097" s="77"/>
      <c r="AI2097" s="68"/>
      <c r="AJ2097" s="214">
        <v>1.2760000000000001E-4</v>
      </c>
      <c r="AK2097" s="214">
        <v>1.7219</v>
      </c>
      <c r="AL2097" s="214">
        <v>2</v>
      </c>
      <c r="AM2097" s="214">
        <v>3.76611E-4</v>
      </c>
      <c r="AN2097" s="74"/>
      <c r="AO2097" s="73"/>
      <c r="AP2097" s="73"/>
      <c r="AQ2097" s="73"/>
      <c r="AR2097" s="73"/>
      <c r="AS2097" s="73"/>
      <c r="AT2097" s="74"/>
      <c r="AU2097" s="47"/>
      <c r="AV2097" s="48"/>
    </row>
    <row r="2098" spans="1:48" ht="12.75" customHeight="1" x14ac:dyDescent="0.25">
      <c r="A2098" s="72" t="s">
        <v>20</v>
      </c>
      <c r="B2098" s="43" t="s">
        <v>2240</v>
      </c>
      <c r="C2098" s="44" t="s">
        <v>2256</v>
      </c>
      <c r="D2098" s="45">
        <f>MROUND(MID($C2098,6,3)/Basis!$E$3,0.5)</f>
        <v>8</v>
      </c>
      <c r="E2098" s="45">
        <f>MROUND(MID($C2098,9,3)/Basis!$E$3,0.5)</f>
        <v>35.5</v>
      </c>
      <c r="F2098" s="124" t="s">
        <v>2943</v>
      </c>
      <c r="G2098" s="45">
        <f>ROUND((ROUNDDOWN($F2098/5,0)*5+1.8)/Basis!$E$3,1)</f>
        <v>4.5999999999999996</v>
      </c>
      <c r="H2098" s="120">
        <f>ROUND($P2098*Basis!$E$2*((TaH-TrH)/LN(1/µ)/Basis!$E$7)^$N2098*$AA$4*Glycol,0)</f>
        <v>1263</v>
      </c>
      <c r="I2098" s="83">
        <f>ROUND(H2098/(MID($C2098,9,3)/Basis!$E$3/Basis!$E$9)*Basis!$E$11,0)</f>
        <v>428</v>
      </c>
      <c r="J2098" s="123">
        <f>IF(Basis!$E$1=1,ROUND(H2098/((TaH-TrH)*1.163)/3600,3),ROUND(H2098/(500*(TaH-TrH)),2))</f>
        <v>0.13</v>
      </c>
      <c r="K2098" s="84"/>
      <c r="L2098" s="177">
        <f>CHOOSE(Basis!$E$1,((AJ2098*(J2098*3600/Basis!$E$5)^AK2098*(((MID(C2098,9,3)*10)-144)/1000)*AL2098+AM2098*(J2098*3600/Basis!$E$5)^2)*0.0098)/Basis!$E$10,((AJ2098*(J2098/Basis!$E$5)^AK2098*(((MID(C2098,9,3)*10)-144)/1000)*AL2098+AM2098*(J2098/Basis!$E$5)^2)*0.0098)/Basis!$E$10)</f>
        <v>1.7437063506862351E-3</v>
      </c>
      <c r="M2098" s="85"/>
      <c r="N2098" s="109">
        <v>1.413</v>
      </c>
      <c r="O2098" s="68"/>
      <c r="P2098" s="67">
        <v>590</v>
      </c>
      <c r="Q2098" s="68"/>
      <c r="R2098" s="69"/>
      <c r="S2098" s="69"/>
      <c r="T2098" s="69"/>
      <c r="U2098" s="69"/>
      <c r="V2098" s="69"/>
      <c r="W2098" s="68"/>
      <c r="X2098" s="70"/>
      <c r="Y2098" s="70"/>
      <c r="Z2098" s="70"/>
      <c r="AA2098" s="70"/>
      <c r="AB2098" s="70"/>
      <c r="AC2098" s="68"/>
      <c r="AD2098" s="71"/>
      <c r="AE2098" s="71"/>
      <c r="AF2098" s="71"/>
      <c r="AG2098" s="71"/>
      <c r="AH2098" s="71"/>
      <c r="AI2098" s="68"/>
      <c r="AJ2098" s="214">
        <v>3.9689999999999994E-4</v>
      </c>
      <c r="AK2098" s="214">
        <v>1.7345999999999999</v>
      </c>
      <c r="AL2098" s="214">
        <v>2</v>
      </c>
      <c r="AM2098" s="214">
        <v>3.6734700000000002E-4</v>
      </c>
      <c r="AN2098" s="68"/>
      <c r="AO2098" s="67"/>
      <c r="AP2098" s="67"/>
      <c r="AQ2098" s="67"/>
      <c r="AR2098" s="67"/>
      <c r="AS2098" s="67"/>
      <c r="AT2098" s="68"/>
      <c r="AU2098" s="49"/>
      <c r="AV2098" s="50"/>
    </row>
    <row r="2099" spans="1:48" ht="12.75" customHeight="1" x14ac:dyDescent="0.25">
      <c r="A2099" s="72" t="s">
        <v>20</v>
      </c>
      <c r="B2099" s="43" t="s">
        <v>2240</v>
      </c>
      <c r="C2099" s="44" t="s">
        <v>2257</v>
      </c>
      <c r="D2099" s="45">
        <f>MROUND(MID($C2099,6,3)/Basis!$E$3,0.5)</f>
        <v>8</v>
      </c>
      <c r="E2099" s="45">
        <f>MROUND(MID($C2099,9,3)/Basis!$E$3,0.5)</f>
        <v>35.5</v>
      </c>
      <c r="F2099" s="124" t="s">
        <v>2944</v>
      </c>
      <c r="G2099" s="45">
        <f>ROUND((ROUNDDOWN($F2099/5,0)*5+1.8)/Basis!$E$3,1)</f>
        <v>6.6</v>
      </c>
      <c r="H2099" s="120">
        <f>ROUND($P2099*Basis!$E$2*((TaH-TrH)/LN(1/µ)/Basis!$E$7)^$N2099*$AA$4*Glycol,0)</f>
        <v>2103</v>
      </c>
      <c r="I2099" s="83">
        <f>ROUND(H2099/(MID($C2099,9,3)/Basis!$E$3/Basis!$E$9)*Basis!$E$11,0)</f>
        <v>712</v>
      </c>
      <c r="J2099" s="123">
        <f>IF(Basis!$E$1=1,ROUND(H2099/((TaH-TrH)*1.163)/3600,3),ROUND(H2099/(500*(TaH-TrH)),2))</f>
        <v>0.21</v>
      </c>
      <c r="K2099" s="84"/>
      <c r="L2099" s="177">
        <f>CHOOSE(Basis!$E$1,((AJ2099*(J2099*3600/Basis!$E$5)^AK2099*(((MID(C2099,9,3)*10)-144)/1000)*AL2099+AM2099*(J2099*3600/Basis!$E$5)^2)*0.0098)/Basis!$E$10,((AJ2099*(J2099/Basis!$E$5)^AK2099*(((MID(C2099,9,3)*10)-144)/1000)*AL2099+AM2099*(J2099/Basis!$E$5)^2)*0.0098)/Basis!$E$10)</f>
        <v>4.241476669335705E-3</v>
      </c>
      <c r="M2099" s="85"/>
      <c r="N2099" s="110">
        <v>1.4079999999999999</v>
      </c>
      <c r="O2099" s="74"/>
      <c r="P2099" s="73">
        <v>981</v>
      </c>
      <c r="Q2099" s="74"/>
      <c r="R2099" s="75"/>
      <c r="S2099" s="75"/>
      <c r="T2099" s="75"/>
      <c r="U2099" s="75"/>
      <c r="V2099" s="75"/>
      <c r="W2099" s="74"/>
      <c r="X2099" s="76"/>
      <c r="Y2099" s="76"/>
      <c r="Z2099" s="76"/>
      <c r="AA2099" s="76"/>
      <c r="AB2099" s="76"/>
      <c r="AC2099" s="74"/>
      <c r="AD2099" s="77"/>
      <c r="AE2099" s="77"/>
      <c r="AF2099" s="77"/>
      <c r="AG2099" s="77"/>
      <c r="AH2099" s="77"/>
      <c r="AI2099" s="68"/>
      <c r="AJ2099" s="213">
        <v>2.0829999999999999E-4</v>
      </c>
      <c r="AK2099" s="213">
        <v>1.724</v>
      </c>
      <c r="AL2099" s="213">
        <v>2</v>
      </c>
      <c r="AM2099" s="213">
        <v>4.6182900000000003E-4</v>
      </c>
      <c r="AN2099" s="74"/>
      <c r="AO2099" s="73"/>
      <c r="AP2099" s="73"/>
      <c r="AQ2099" s="73"/>
      <c r="AR2099" s="73"/>
      <c r="AS2099" s="73"/>
      <c r="AT2099" s="74"/>
      <c r="AU2099" s="47"/>
      <c r="AV2099" s="48"/>
    </row>
    <row r="2100" spans="1:48" ht="12.75" customHeight="1" x14ac:dyDescent="0.25">
      <c r="A2100" s="72" t="s">
        <v>20</v>
      </c>
      <c r="B2100" s="43" t="s">
        <v>2240</v>
      </c>
      <c r="C2100" s="44" t="s">
        <v>2258</v>
      </c>
      <c r="D2100" s="45">
        <f>MROUND(MID($C2100,6,3)/Basis!$E$3,0.5)</f>
        <v>8</v>
      </c>
      <c r="E2100" s="45">
        <f>MROUND(MID($C2100,9,3)/Basis!$E$3,0.5)</f>
        <v>35.5</v>
      </c>
      <c r="F2100" s="124" t="s">
        <v>2945</v>
      </c>
      <c r="G2100" s="45">
        <f>ROUND((ROUNDDOWN($F2100/5,0)*5+1.8)/Basis!$E$3,1)</f>
        <v>8.6</v>
      </c>
      <c r="H2100" s="120">
        <f>ROUND($P2100*Basis!$E$2*((TaH-TrH)/LN(1/µ)/Basis!$E$7)^$N2100*$AA$4*Glycol,0)</f>
        <v>2956</v>
      </c>
      <c r="I2100" s="83">
        <f>ROUND(H2100/(MID($C2100,9,3)/Basis!$E$3/Basis!$E$9)*Basis!$E$11,0)</f>
        <v>1001</v>
      </c>
      <c r="J2100" s="123">
        <f>IF(Basis!$E$1=1,ROUND(H2100/((TaH-TrH)*1.163)/3600,3),ROUND(H2100/(500*(TaH-TrH)),2))</f>
        <v>0.3</v>
      </c>
      <c r="K2100" s="84"/>
      <c r="L2100" s="177">
        <f>CHOOSE(Basis!$E$1,((AJ2100*(J2100*3600/Basis!$E$5)^AK2100*(((MID(C2100,9,3)*10)-144)/1000)*AL2100+AM2100*(J2100*3600/Basis!$E$5)^2)*0.0098)/Basis!$E$10,((AJ2100*(J2100/Basis!$E$5)^AK2100*(((MID(C2100,9,3)*10)-144)/1000)*AL2100+AM2100*(J2100/Basis!$E$5)^2)*0.0098)/Basis!$E$10)</f>
        <v>6.6224309436810295E-3</v>
      </c>
      <c r="M2100" s="85"/>
      <c r="N2100" s="109">
        <v>1.4079999999999999</v>
      </c>
      <c r="O2100" s="68"/>
      <c r="P2100" s="67">
        <v>1379</v>
      </c>
      <c r="Q2100" s="68"/>
      <c r="R2100" s="69"/>
      <c r="S2100" s="69"/>
      <c r="T2100" s="69"/>
      <c r="U2100" s="69"/>
      <c r="V2100" s="69"/>
      <c r="W2100" s="68"/>
      <c r="X2100" s="70"/>
      <c r="Y2100" s="70"/>
      <c r="Z2100" s="70"/>
      <c r="AA2100" s="70"/>
      <c r="AB2100" s="70"/>
      <c r="AC2100" s="68"/>
      <c r="AD2100" s="71"/>
      <c r="AE2100" s="71"/>
      <c r="AF2100" s="71"/>
      <c r="AG2100" s="71"/>
      <c r="AH2100" s="71"/>
      <c r="AI2100" s="68"/>
      <c r="AJ2100" s="214">
        <v>1.2760000000000001E-4</v>
      </c>
      <c r="AK2100" s="214">
        <v>1.7219</v>
      </c>
      <c r="AL2100" s="214">
        <v>2</v>
      </c>
      <c r="AM2100" s="214">
        <v>3.76611E-4</v>
      </c>
      <c r="AN2100" s="68"/>
      <c r="AO2100" s="67"/>
      <c r="AP2100" s="67"/>
      <c r="AQ2100" s="67"/>
      <c r="AR2100" s="67"/>
      <c r="AS2100" s="67"/>
      <c r="AT2100" s="68"/>
      <c r="AU2100" s="49"/>
      <c r="AV2100" s="50"/>
    </row>
    <row r="2101" spans="1:48" ht="12.75" customHeight="1" x14ac:dyDescent="0.25">
      <c r="A2101" s="72" t="s">
        <v>20</v>
      </c>
      <c r="B2101" s="43" t="s">
        <v>2240</v>
      </c>
      <c r="C2101" s="44" t="s">
        <v>2259</v>
      </c>
      <c r="D2101" s="45">
        <f>MROUND(MID($C2101,6,3)/Basis!$E$3,0.5)</f>
        <v>8</v>
      </c>
      <c r="E2101" s="45">
        <f>MROUND(MID($C2101,9,3)/Basis!$E$3,0.5)</f>
        <v>39.5</v>
      </c>
      <c r="F2101" s="124" t="s">
        <v>2943</v>
      </c>
      <c r="G2101" s="45">
        <f>ROUND((ROUNDDOWN($F2101/5,0)*5+1.8)/Basis!$E$3,1)</f>
        <v>4.5999999999999996</v>
      </c>
      <c r="H2101" s="120">
        <f>ROUND($P2101*Basis!$E$2*((TaH-TrH)/LN(1/µ)/Basis!$E$7)^$N2101*$AA$4*Glycol,0)</f>
        <v>1402</v>
      </c>
      <c r="I2101" s="83">
        <f>ROUND(H2101/(MID($C2101,9,3)/Basis!$E$3/Basis!$E$9)*Basis!$E$11,0)</f>
        <v>427</v>
      </c>
      <c r="J2101" s="123">
        <f>IF(Basis!$E$1=1,ROUND(H2101/((TaH-TrH)*1.163)/3600,3),ROUND(H2101/(500*(TaH-TrH)),2))</f>
        <v>0.14000000000000001</v>
      </c>
      <c r="K2101" s="84"/>
      <c r="L2101" s="177">
        <f>CHOOSE(Basis!$E$1,((AJ2101*(J2101*3600/Basis!$E$5)^AK2101*(((MID(C2101,9,3)*10)-144)/1000)*AL2101+AM2101*(J2101*3600/Basis!$E$5)^2)*0.0098)/Basis!$E$10,((AJ2101*(J2101/Basis!$E$5)^AK2101*(((MID(C2101,9,3)*10)-144)/1000)*AL2101+AM2101*(J2101/Basis!$E$5)^2)*0.0098)/Basis!$E$10)</f>
        <v>2.111331507410046E-3</v>
      </c>
      <c r="M2101" s="85"/>
      <c r="N2101" s="110">
        <v>1.413</v>
      </c>
      <c r="O2101" s="74"/>
      <c r="P2101" s="73">
        <v>655</v>
      </c>
      <c r="Q2101" s="74"/>
      <c r="R2101" s="75"/>
      <c r="S2101" s="75"/>
      <c r="T2101" s="75"/>
      <c r="U2101" s="75"/>
      <c r="V2101" s="75"/>
      <c r="W2101" s="74"/>
      <c r="X2101" s="76"/>
      <c r="Y2101" s="76"/>
      <c r="Z2101" s="76"/>
      <c r="AA2101" s="76"/>
      <c r="AB2101" s="76"/>
      <c r="AC2101" s="74"/>
      <c r="AD2101" s="77"/>
      <c r="AE2101" s="77"/>
      <c r="AF2101" s="77"/>
      <c r="AG2101" s="77"/>
      <c r="AH2101" s="77"/>
      <c r="AI2101" s="68"/>
      <c r="AJ2101" s="213">
        <v>3.9689999999999994E-4</v>
      </c>
      <c r="AK2101" s="213">
        <v>1.7345999999999999</v>
      </c>
      <c r="AL2101" s="213">
        <v>2</v>
      </c>
      <c r="AM2101" s="213">
        <v>3.6734700000000002E-4</v>
      </c>
      <c r="AN2101" s="74"/>
      <c r="AO2101" s="73"/>
      <c r="AP2101" s="73"/>
      <c r="AQ2101" s="73"/>
      <c r="AR2101" s="73"/>
      <c r="AS2101" s="73"/>
      <c r="AT2101" s="74"/>
      <c r="AU2101" s="47"/>
      <c r="AV2101" s="48"/>
    </row>
    <row r="2102" spans="1:48" ht="12.75" customHeight="1" x14ac:dyDescent="0.25">
      <c r="A2102" s="72" t="s">
        <v>20</v>
      </c>
      <c r="B2102" s="43" t="s">
        <v>2240</v>
      </c>
      <c r="C2102" s="44" t="s">
        <v>2260</v>
      </c>
      <c r="D2102" s="45">
        <f>MROUND(MID($C2102,6,3)/Basis!$E$3,0.5)</f>
        <v>8</v>
      </c>
      <c r="E2102" s="45">
        <f>MROUND(MID($C2102,9,3)/Basis!$E$3,0.5)</f>
        <v>39.5</v>
      </c>
      <c r="F2102" s="124" t="s">
        <v>2944</v>
      </c>
      <c r="G2102" s="45">
        <f>ROUND((ROUNDDOWN($F2102/5,0)*5+1.8)/Basis!$E$3,1)</f>
        <v>6.6</v>
      </c>
      <c r="H2102" s="120">
        <f>ROUND($P2102*Basis!$E$2*((TaH-TrH)/LN(1/µ)/Basis!$E$7)^$N2102*$AA$4*Glycol,0)</f>
        <v>2337</v>
      </c>
      <c r="I2102" s="83">
        <f>ROUND(H2102/(MID($C2102,9,3)/Basis!$E$3/Basis!$E$9)*Basis!$E$11,0)</f>
        <v>712</v>
      </c>
      <c r="J2102" s="123">
        <f>IF(Basis!$E$1=1,ROUND(H2102/((TaH-TrH)*1.163)/3600,3),ROUND(H2102/(500*(TaH-TrH)),2))</f>
        <v>0.23</v>
      </c>
      <c r="K2102" s="84"/>
      <c r="L2102" s="177">
        <f>CHOOSE(Basis!$E$1,((AJ2102*(J2102*3600/Basis!$E$5)^AK2102*(((MID(C2102,9,3)*10)-144)/1000)*AL2102+AM2102*(J2102*3600/Basis!$E$5)^2)*0.0098)/Basis!$E$10,((AJ2102*(J2102/Basis!$E$5)^AK2102*(((MID(C2102,9,3)*10)-144)/1000)*AL2102+AM2102*(J2102/Basis!$E$5)^2)*0.0098)/Basis!$E$10)</f>
        <v>5.1886211863249277E-3</v>
      </c>
      <c r="M2102" s="85"/>
      <c r="N2102" s="109">
        <v>1.4079999999999999</v>
      </c>
      <c r="O2102" s="68"/>
      <c r="P2102" s="67">
        <v>1090</v>
      </c>
      <c r="Q2102" s="68"/>
      <c r="R2102" s="69"/>
      <c r="S2102" s="69"/>
      <c r="T2102" s="69"/>
      <c r="U2102" s="69"/>
      <c r="V2102" s="69"/>
      <c r="W2102" s="68"/>
      <c r="X2102" s="70"/>
      <c r="Y2102" s="70"/>
      <c r="Z2102" s="70"/>
      <c r="AA2102" s="70"/>
      <c r="AB2102" s="70"/>
      <c r="AC2102" s="68"/>
      <c r="AD2102" s="71"/>
      <c r="AE2102" s="71"/>
      <c r="AF2102" s="71"/>
      <c r="AG2102" s="71"/>
      <c r="AH2102" s="71"/>
      <c r="AI2102" s="68"/>
      <c r="AJ2102" s="214">
        <v>2.0829999999999999E-4</v>
      </c>
      <c r="AK2102" s="214">
        <v>1.724</v>
      </c>
      <c r="AL2102" s="214">
        <v>2</v>
      </c>
      <c r="AM2102" s="214">
        <v>4.6182900000000003E-4</v>
      </c>
      <c r="AN2102" s="68"/>
      <c r="AO2102" s="67"/>
      <c r="AP2102" s="67"/>
      <c r="AQ2102" s="67"/>
      <c r="AR2102" s="67"/>
      <c r="AS2102" s="67"/>
      <c r="AT2102" s="68"/>
      <c r="AU2102" s="49"/>
      <c r="AV2102" s="50"/>
    </row>
    <row r="2103" spans="1:48" ht="12.75" customHeight="1" x14ac:dyDescent="0.25">
      <c r="A2103" s="72" t="s">
        <v>20</v>
      </c>
      <c r="B2103" s="43" t="s">
        <v>2240</v>
      </c>
      <c r="C2103" s="44" t="s">
        <v>2261</v>
      </c>
      <c r="D2103" s="45">
        <f>MROUND(MID($C2103,6,3)/Basis!$E$3,0.5)</f>
        <v>8</v>
      </c>
      <c r="E2103" s="45">
        <f>MROUND(MID($C2103,9,3)/Basis!$E$3,0.5)</f>
        <v>39.5</v>
      </c>
      <c r="F2103" s="124" t="s">
        <v>2945</v>
      </c>
      <c r="G2103" s="45">
        <f>ROUND((ROUNDDOWN($F2103/5,0)*5+1.8)/Basis!$E$3,1)</f>
        <v>8.6</v>
      </c>
      <c r="H2103" s="120">
        <f>ROUND($P2103*Basis!$E$2*((TaH-TrH)/LN(1/µ)/Basis!$E$7)^$N2103*$AA$4*Glycol,0)</f>
        <v>3284</v>
      </c>
      <c r="I2103" s="83">
        <f>ROUND(H2103/(MID($C2103,9,3)/Basis!$E$3/Basis!$E$9)*Basis!$E$11,0)</f>
        <v>1001</v>
      </c>
      <c r="J2103" s="123">
        <f>IF(Basis!$E$1=1,ROUND(H2103/((TaH-TrH)*1.163)/3600,3),ROUND(H2103/(500*(TaH-TrH)),2))</f>
        <v>0.33</v>
      </c>
      <c r="K2103" s="84"/>
      <c r="L2103" s="177">
        <f>CHOOSE(Basis!$E$1,((AJ2103*(J2103*3600/Basis!$E$5)^AK2103*(((MID(C2103,9,3)*10)-144)/1000)*AL2103+AM2103*(J2103*3600/Basis!$E$5)^2)*0.0098)/Basis!$E$10,((AJ2103*(J2103/Basis!$E$5)^AK2103*(((MID(C2103,9,3)*10)-144)/1000)*AL2103+AM2103*(J2103/Basis!$E$5)^2)*0.0098)/Basis!$E$10)</f>
        <v>8.1256015177344088E-3</v>
      </c>
      <c r="M2103" s="85"/>
      <c r="N2103" s="110">
        <v>1.4079999999999999</v>
      </c>
      <c r="O2103" s="74"/>
      <c r="P2103" s="73">
        <v>1532</v>
      </c>
      <c r="Q2103" s="74"/>
      <c r="R2103" s="75"/>
      <c r="S2103" s="75"/>
      <c r="T2103" s="75"/>
      <c r="U2103" s="75"/>
      <c r="V2103" s="75"/>
      <c r="W2103" s="74"/>
      <c r="X2103" s="76"/>
      <c r="Y2103" s="76"/>
      <c r="Z2103" s="76"/>
      <c r="AA2103" s="76"/>
      <c r="AB2103" s="76"/>
      <c r="AC2103" s="74"/>
      <c r="AD2103" s="77"/>
      <c r="AE2103" s="77"/>
      <c r="AF2103" s="77"/>
      <c r="AG2103" s="77"/>
      <c r="AH2103" s="77"/>
      <c r="AI2103" s="68"/>
      <c r="AJ2103" s="214">
        <v>1.2760000000000001E-4</v>
      </c>
      <c r="AK2103" s="214">
        <v>1.7219</v>
      </c>
      <c r="AL2103" s="214">
        <v>2</v>
      </c>
      <c r="AM2103" s="214">
        <v>3.76611E-4</v>
      </c>
      <c r="AN2103" s="74"/>
      <c r="AO2103" s="73"/>
      <c r="AP2103" s="73"/>
      <c r="AQ2103" s="73"/>
      <c r="AR2103" s="73"/>
      <c r="AS2103" s="73"/>
      <c r="AT2103" s="74"/>
      <c r="AU2103" s="47"/>
      <c r="AV2103" s="48"/>
    </row>
    <row r="2104" spans="1:48" ht="12.75" customHeight="1" x14ac:dyDescent="0.25">
      <c r="A2104" s="72" t="s">
        <v>20</v>
      </c>
      <c r="B2104" s="43" t="s">
        <v>2240</v>
      </c>
      <c r="C2104" s="44" t="s">
        <v>2262</v>
      </c>
      <c r="D2104" s="45">
        <f>MROUND(MID($C2104,6,3)/Basis!$E$3,0.5)</f>
        <v>8</v>
      </c>
      <c r="E2104" s="45">
        <f>MROUND(MID($C2104,9,3)/Basis!$E$3,0.5)</f>
        <v>43.5</v>
      </c>
      <c r="F2104" s="124" t="s">
        <v>2943</v>
      </c>
      <c r="G2104" s="45">
        <f>ROUND((ROUNDDOWN($F2104/5,0)*5+1.8)/Basis!$E$3,1)</f>
        <v>4.5999999999999996</v>
      </c>
      <c r="H2104" s="120">
        <f>ROUND($P2104*Basis!$E$2*((TaH-TrH)/LN(1/µ)/Basis!$E$7)^$N2104*$AA$4*Glycol,0)</f>
        <v>1543</v>
      </c>
      <c r="I2104" s="83">
        <f>ROUND(H2104/(MID($C2104,9,3)/Basis!$E$3/Basis!$E$9)*Basis!$E$11,0)</f>
        <v>428</v>
      </c>
      <c r="J2104" s="123">
        <f>IF(Basis!$E$1=1,ROUND(H2104/((TaH-TrH)*1.163)/3600,3),ROUND(H2104/(500*(TaH-TrH)),2))</f>
        <v>0.15</v>
      </c>
      <c r="K2104" s="84"/>
      <c r="L2104" s="177">
        <f>CHOOSE(Basis!$E$1,((AJ2104*(J2104*3600/Basis!$E$5)^AK2104*(((MID(C2104,9,3)*10)-144)/1000)*AL2104+AM2104*(J2104*3600/Basis!$E$5)^2)*0.0098)/Basis!$E$10,((AJ2104*(J2104/Basis!$E$5)^AK2104*(((MID(C2104,9,3)*10)-144)/1000)*AL2104+AM2104*(J2104/Basis!$E$5)^2)*0.0098)/Basis!$E$10)</f>
        <v>2.5231404577737973E-3</v>
      </c>
      <c r="M2104" s="85"/>
      <c r="N2104" s="109">
        <v>1.413</v>
      </c>
      <c r="O2104" s="68"/>
      <c r="P2104" s="67">
        <v>721</v>
      </c>
      <c r="Q2104" s="68"/>
      <c r="R2104" s="69"/>
      <c r="S2104" s="69"/>
      <c r="T2104" s="69"/>
      <c r="U2104" s="69"/>
      <c r="V2104" s="69"/>
      <c r="W2104" s="68"/>
      <c r="X2104" s="70"/>
      <c r="Y2104" s="70"/>
      <c r="Z2104" s="70"/>
      <c r="AA2104" s="70"/>
      <c r="AB2104" s="70"/>
      <c r="AC2104" s="68"/>
      <c r="AD2104" s="71"/>
      <c r="AE2104" s="71"/>
      <c r="AF2104" s="71"/>
      <c r="AG2104" s="71"/>
      <c r="AH2104" s="71"/>
      <c r="AI2104" s="68"/>
      <c r="AJ2104" s="214">
        <v>3.9689999999999994E-4</v>
      </c>
      <c r="AK2104" s="214">
        <v>1.7345999999999999</v>
      </c>
      <c r="AL2104" s="214">
        <v>2</v>
      </c>
      <c r="AM2104" s="214">
        <v>3.6734700000000002E-4</v>
      </c>
      <c r="AN2104" s="68"/>
      <c r="AO2104" s="67"/>
      <c r="AP2104" s="67"/>
      <c r="AQ2104" s="67"/>
      <c r="AR2104" s="67"/>
      <c r="AS2104" s="67"/>
      <c r="AT2104" s="68"/>
      <c r="AU2104" s="49"/>
      <c r="AV2104" s="50"/>
    </row>
    <row r="2105" spans="1:48" ht="12.75" customHeight="1" x14ac:dyDescent="0.25">
      <c r="A2105" s="72" t="s">
        <v>20</v>
      </c>
      <c r="B2105" s="43" t="s">
        <v>2240</v>
      </c>
      <c r="C2105" s="44" t="s">
        <v>2263</v>
      </c>
      <c r="D2105" s="45">
        <f>MROUND(MID($C2105,6,3)/Basis!$E$3,0.5)</f>
        <v>8</v>
      </c>
      <c r="E2105" s="45">
        <f>MROUND(MID($C2105,9,3)/Basis!$E$3,0.5)</f>
        <v>43.5</v>
      </c>
      <c r="F2105" s="124" t="s">
        <v>2944</v>
      </c>
      <c r="G2105" s="45">
        <f>ROUND((ROUNDDOWN($F2105/5,0)*5+1.8)/Basis!$E$3,1)</f>
        <v>6.6</v>
      </c>
      <c r="H2105" s="120">
        <f>ROUND($P2105*Basis!$E$2*((TaH-TrH)/LN(1/µ)/Basis!$E$7)^$N2105*$AA$4*Glycol,0)</f>
        <v>2571</v>
      </c>
      <c r="I2105" s="83">
        <f>ROUND(H2105/(MID($C2105,9,3)/Basis!$E$3/Basis!$E$9)*Basis!$E$11,0)</f>
        <v>712</v>
      </c>
      <c r="J2105" s="123">
        <f>IF(Basis!$E$1=1,ROUND(H2105/((TaH-TrH)*1.163)/3600,3),ROUND(H2105/(500*(TaH-TrH)),2))</f>
        <v>0.26</v>
      </c>
      <c r="K2105" s="84"/>
      <c r="L2105" s="177">
        <f>CHOOSE(Basis!$E$1,((AJ2105*(J2105*3600/Basis!$E$5)^AK2105*(((MID(C2105,9,3)*10)-144)/1000)*AL2105+AM2105*(J2105*3600/Basis!$E$5)^2)*0.0098)/Basis!$E$10,((AJ2105*(J2105/Basis!$E$5)^AK2105*(((MID(C2105,9,3)*10)-144)/1000)*AL2105+AM2105*(J2105/Basis!$E$5)^2)*0.0098)/Basis!$E$10)</f>
        <v>6.7391609105620425E-3</v>
      </c>
      <c r="M2105" s="85"/>
      <c r="N2105" s="110">
        <v>1.4079999999999999</v>
      </c>
      <c r="O2105" s="74"/>
      <c r="P2105" s="73">
        <v>1199</v>
      </c>
      <c r="Q2105" s="74"/>
      <c r="R2105" s="75"/>
      <c r="S2105" s="75"/>
      <c r="T2105" s="75"/>
      <c r="U2105" s="75"/>
      <c r="V2105" s="75"/>
      <c r="W2105" s="74"/>
      <c r="X2105" s="76"/>
      <c r="Y2105" s="76"/>
      <c r="Z2105" s="76"/>
      <c r="AA2105" s="76"/>
      <c r="AB2105" s="76"/>
      <c r="AC2105" s="74"/>
      <c r="AD2105" s="77"/>
      <c r="AE2105" s="77"/>
      <c r="AF2105" s="77"/>
      <c r="AG2105" s="77"/>
      <c r="AH2105" s="77"/>
      <c r="AI2105" s="68"/>
      <c r="AJ2105" s="213">
        <v>2.0829999999999999E-4</v>
      </c>
      <c r="AK2105" s="213">
        <v>1.724</v>
      </c>
      <c r="AL2105" s="213">
        <v>2</v>
      </c>
      <c r="AM2105" s="213">
        <v>4.6182900000000003E-4</v>
      </c>
      <c r="AN2105" s="74"/>
      <c r="AO2105" s="73"/>
      <c r="AP2105" s="73"/>
      <c r="AQ2105" s="73"/>
      <c r="AR2105" s="73"/>
      <c r="AS2105" s="73"/>
      <c r="AT2105" s="74"/>
      <c r="AU2105" s="47"/>
      <c r="AV2105" s="48"/>
    </row>
    <row r="2106" spans="1:48" ht="12.75" customHeight="1" x14ac:dyDescent="0.25">
      <c r="A2106" s="72" t="s">
        <v>20</v>
      </c>
      <c r="B2106" s="43" t="s">
        <v>2240</v>
      </c>
      <c r="C2106" s="44" t="s">
        <v>2264</v>
      </c>
      <c r="D2106" s="45">
        <f>MROUND(MID($C2106,6,3)/Basis!$E$3,0.5)</f>
        <v>8</v>
      </c>
      <c r="E2106" s="45">
        <f>MROUND(MID($C2106,9,3)/Basis!$E$3,0.5)</f>
        <v>43.5</v>
      </c>
      <c r="F2106" s="124" t="s">
        <v>2945</v>
      </c>
      <c r="G2106" s="45">
        <f>ROUND((ROUNDDOWN($F2106/5,0)*5+1.8)/Basis!$E$3,1)</f>
        <v>8.6</v>
      </c>
      <c r="H2106" s="120">
        <f>ROUND($P2106*Basis!$E$2*((TaH-TrH)/LN(1/µ)/Basis!$E$7)^$N2106*$AA$4*Glycol,0)</f>
        <v>3613</v>
      </c>
      <c r="I2106" s="83">
        <f>ROUND(H2106/(MID($C2106,9,3)/Basis!$E$3/Basis!$E$9)*Basis!$E$11,0)</f>
        <v>1001</v>
      </c>
      <c r="J2106" s="123">
        <f>IF(Basis!$E$1=1,ROUND(H2106/((TaH-TrH)*1.163)/3600,3),ROUND(H2106/(500*(TaH-TrH)),2))</f>
        <v>0.36</v>
      </c>
      <c r="K2106" s="84"/>
      <c r="L2106" s="177">
        <f>CHOOSE(Basis!$E$1,((AJ2106*(J2106*3600/Basis!$E$5)^AK2106*(((MID(C2106,9,3)*10)-144)/1000)*AL2106+AM2106*(J2106*3600/Basis!$E$5)^2)*0.0098)/Basis!$E$10,((AJ2106*(J2106/Basis!$E$5)^AK2106*(((MID(C2106,9,3)*10)-144)/1000)*AL2106+AM2106*(J2106/Basis!$E$5)^2)*0.0098)/Basis!$E$10)</f>
        <v>9.7996929744221389E-3</v>
      </c>
      <c r="M2106" s="85"/>
      <c r="N2106" s="109">
        <v>1.4079999999999999</v>
      </c>
      <c r="O2106" s="68"/>
      <c r="P2106" s="67">
        <v>1685</v>
      </c>
      <c r="Q2106" s="68"/>
      <c r="R2106" s="69"/>
      <c r="S2106" s="69"/>
      <c r="T2106" s="69"/>
      <c r="U2106" s="69"/>
      <c r="V2106" s="69"/>
      <c r="W2106" s="68"/>
      <c r="X2106" s="70"/>
      <c r="Y2106" s="70"/>
      <c r="Z2106" s="70"/>
      <c r="AA2106" s="70"/>
      <c r="AB2106" s="70"/>
      <c r="AC2106" s="68"/>
      <c r="AD2106" s="71"/>
      <c r="AE2106" s="71"/>
      <c r="AF2106" s="71"/>
      <c r="AG2106" s="71"/>
      <c r="AH2106" s="71"/>
      <c r="AI2106" s="68"/>
      <c r="AJ2106" s="214">
        <v>1.2760000000000001E-4</v>
      </c>
      <c r="AK2106" s="214">
        <v>1.7219</v>
      </c>
      <c r="AL2106" s="214">
        <v>2</v>
      </c>
      <c r="AM2106" s="214">
        <v>3.76611E-4</v>
      </c>
      <c r="AN2106" s="68"/>
      <c r="AO2106" s="67"/>
      <c r="AP2106" s="67"/>
      <c r="AQ2106" s="67"/>
      <c r="AR2106" s="67"/>
      <c r="AS2106" s="67"/>
      <c r="AT2106" s="68"/>
      <c r="AU2106" s="49"/>
      <c r="AV2106" s="50"/>
    </row>
    <row r="2107" spans="1:48" ht="12.75" customHeight="1" x14ac:dyDescent="0.25">
      <c r="A2107" s="72" t="s">
        <v>20</v>
      </c>
      <c r="B2107" s="43" t="s">
        <v>2240</v>
      </c>
      <c r="C2107" s="44" t="s">
        <v>2265</v>
      </c>
      <c r="D2107" s="45">
        <f>MROUND(MID($C2107,6,3)/Basis!$E$3,0.5)</f>
        <v>8</v>
      </c>
      <c r="E2107" s="45">
        <f>MROUND(MID($C2107,9,3)/Basis!$E$3,0.5)</f>
        <v>47</v>
      </c>
      <c r="F2107" s="124" t="s">
        <v>2943</v>
      </c>
      <c r="G2107" s="45">
        <f>ROUND((ROUNDDOWN($F2107/5,0)*5+1.8)/Basis!$E$3,1)</f>
        <v>4.5999999999999996</v>
      </c>
      <c r="H2107" s="120">
        <f>ROUND($P2107*Basis!$E$2*((TaH-TrH)/LN(1/µ)/Basis!$E$7)^$N2107*$AA$4*Glycol,0)</f>
        <v>1682</v>
      </c>
      <c r="I2107" s="83">
        <f>ROUND(H2107/(MID($C2107,9,3)/Basis!$E$3/Basis!$E$9)*Basis!$E$11,0)</f>
        <v>427</v>
      </c>
      <c r="J2107" s="123">
        <f>IF(Basis!$E$1=1,ROUND(H2107/((TaH-TrH)*1.163)/3600,3),ROUND(H2107/(500*(TaH-TrH)),2))</f>
        <v>0.17</v>
      </c>
      <c r="K2107" s="84"/>
      <c r="L2107" s="177">
        <f>CHOOSE(Basis!$E$1,((AJ2107*(J2107*3600/Basis!$E$5)^AK2107*(((MID(C2107,9,3)*10)-144)/1000)*AL2107+AM2107*(J2107*3600/Basis!$E$5)^2)*0.0098)/Basis!$E$10,((AJ2107*(J2107/Basis!$E$5)^AK2107*(((MID(C2107,9,3)*10)-144)/1000)*AL2107+AM2107*(J2107/Basis!$E$5)^2)*0.0098)/Basis!$E$10)</f>
        <v>3.3401886340364232E-3</v>
      </c>
      <c r="M2107" s="85"/>
      <c r="N2107" s="110">
        <v>1.413</v>
      </c>
      <c r="O2107" s="74"/>
      <c r="P2107" s="73">
        <v>786</v>
      </c>
      <c r="Q2107" s="74"/>
      <c r="R2107" s="75"/>
      <c r="S2107" s="75"/>
      <c r="T2107" s="75"/>
      <c r="U2107" s="75"/>
      <c r="V2107" s="75"/>
      <c r="W2107" s="74"/>
      <c r="X2107" s="76"/>
      <c r="Y2107" s="76"/>
      <c r="Z2107" s="76"/>
      <c r="AA2107" s="76"/>
      <c r="AB2107" s="76"/>
      <c r="AC2107" s="74"/>
      <c r="AD2107" s="77"/>
      <c r="AE2107" s="77"/>
      <c r="AF2107" s="77"/>
      <c r="AG2107" s="77"/>
      <c r="AH2107" s="77"/>
      <c r="AI2107" s="68"/>
      <c r="AJ2107" s="213">
        <v>3.9689999999999994E-4</v>
      </c>
      <c r="AK2107" s="213">
        <v>1.7345999999999999</v>
      </c>
      <c r="AL2107" s="213">
        <v>2</v>
      </c>
      <c r="AM2107" s="213">
        <v>3.6734700000000002E-4</v>
      </c>
      <c r="AN2107" s="74"/>
      <c r="AO2107" s="73"/>
      <c r="AP2107" s="73"/>
      <c r="AQ2107" s="73"/>
      <c r="AR2107" s="73"/>
      <c r="AS2107" s="73"/>
      <c r="AT2107" s="74"/>
      <c r="AU2107" s="47"/>
      <c r="AV2107" s="48"/>
    </row>
    <row r="2108" spans="1:48" ht="12.75" customHeight="1" x14ac:dyDescent="0.25">
      <c r="A2108" s="72" t="s">
        <v>20</v>
      </c>
      <c r="B2108" s="43" t="s">
        <v>2240</v>
      </c>
      <c r="C2108" s="44" t="s">
        <v>2266</v>
      </c>
      <c r="D2108" s="45">
        <f>MROUND(MID($C2108,6,3)/Basis!$E$3,0.5)</f>
        <v>8</v>
      </c>
      <c r="E2108" s="45">
        <f>MROUND(MID($C2108,9,3)/Basis!$E$3,0.5)</f>
        <v>47</v>
      </c>
      <c r="F2108" s="124" t="s">
        <v>2944</v>
      </c>
      <c r="G2108" s="45">
        <f>ROUND((ROUNDDOWN($F2108/5,0)*5+1.8)/Basis!$E$3,1)</f>
        <v>6.6</v>
      </c>
      <c r="H2108" s="120">
        <f>ROUND($P2108*Basis!$E$2*((TaH-TrH)/LN(1/µ)/Basis!$E$7)^$N2108*$AA$4*Glycol,0)</f>
        <v>2804</v>
      </c>
      <c r="I2108" s="83">
        <f>ROUND(H2108/(MID($C2108,9,3)/Basis!$E$3/Basis!$E$9)*Basis!$E$11,0)</f>
        <v>712</v>
      </c>
      <c r="J2108" s="123">
        <f>IF(Basis!$E$1=1,ROUND(H2108/((TaH-TrH)*1.163)/3600,3),ROUND(H2108/(500*(TaH-TrH)),2))</f>
        <v>0.28000000000000003</v>
      </c>
      <c r="K2108" s="84"/>
      <c r="L2108" s="177">
        <f>CHOOSE(Basis!$E$1,((AJ2108*(J2108*3600/Basis!$E$5)^AK2108*(((MID(C2108,9,3)*10)-144)/1000)*AL2108+AM2108*(J2108*3600/Basis!$E$5)^2)*0.0098)/Basis!$E$10,((AJ2108*(J2108/Basis!$E$5)^AK2108*(((MID(C2108,9,3)*10)-144)/1000)*AL2108+AM2108*(J2108/Basis!$E$5)^2)*0.0098)/Basis!$E$10)</f>
        <v>7.9563552060216876E-3</v>
      </c>
      <c r="M2108" s="85"/>
      <c r="N2108" s="109">
        <v>1.4079999999999999</v>
      </c>
      <c r="O2108" s="68"/>
      <c r="P2108" s="67">
        <v>1308</v>
      </c>
      <c r="Q2108" s="68"/>
      <c r="R2108" s="69"/>
      <c r="S2108" s="69"/>
      <c r="T2108" s="69"/>
      <c r="U2108" s="69"/>
      <c r="V2108" s="69"/>
      <c r="W2108" s="68"/>
      <c r="X2108" s="70"/>
      <c r="Y2108" s="70"/>
      <c r="Z2108" s="70"/>
      <c r="AA2108" s="70"/>
      <c r="AB2108" s="70"/>
      <c r="AC2108" s="68"/>
      <c r="AD2108" s="71"/>
      <c r="AE2108" s="71"/>
      <c r="AF2108" s="71"/>
      <c r="AG2108" s="71"/>
      <c r="AH2108" s="71"/>
      <c r="AI2108" s="68"/>
      <c r="AJ2108" s="214">
        <v>2.0829999999999999E-4</v>
      </c>
      <c r="AK2108" s="214">
        <v>1.724</v>
      </c>
      <c r="AL2108" s="214">
        <v>2</v>
      </c>
      <c r="AM2108" s="214">
        <v>4.6182900000000003E-4</v>
      </c>
      <c r="AN2108" s="68"/>
      <c r="AO2108" s="67"/>
      <c r="AP2108" s="67"/>
      <c r="AQ2108" s="67"/>
      <c r="AR2108" s="67"/>
      <c r="AS2108" s="67"/>
      <c r="AT2108" s="68"/>
      <c r="AU2108" s="49"/>
      <c r="AV2108" s="50"/>
    </row>
    <row r="2109" spans="1:48" ht="12.75" customHeight="1" x14ac:dyDescent="0.25">
      <c r="A2109" s="72" t="s">
        <v>20</v>
      </c>
      <c r="B2109" s="43" t="s">
        <v>2240</v>
      </c>
      <c r="C2109" s="44" t="s">
        <v>2267</v>
      </c>
      <c r="D2109" s="45">
        <f>MROUND(MID($C2109,6,3)/Basis!$E$3,0.5)</f>
        <v>8</v>
      </c>
      <c r="E2109" s="45">
        <f>MROUND(MID($C2109,9,3)/Basis!$E$3,0.5)</f>
        <v>47</v>
      </c>
      <c r="F2109" s="124" t="s">
        <v>2945</v>
      </c>
      <c r="G2109" s="45">
        <f>ROUND((ROUNDDOWN($F2109/5,0)*5+1.8)/Basis!$E$3,1)</f>
        <v>8.6</v>
      </c>
      <c r="H2109" s="120">
        <f>ROUND($P2109*Basis!$E$2*((TaH-TrH)/LN(1/µ)/Basis!$E$7)^$N2109*$AA$4*Glycol,0)</f>
        <v>3941</v>
      </c>
      <c r="I2109" s="83">
        <f>ROUND(H2109/(MID($C2109,9,3)/Basis!$E$3/Basis!$E$9)*Basis!$E$11,0)</f>
        <v>1001</v>
      </c>
      <c r="J2109" s="123">
        <f>IF(Basis!$E$1=1,ROUND(H2109/((TaH-TrH)*1.163)/3600,3),ROUND(H2109/(500*(TaH-TrH)),2))</f>
        <v>0.39</v>
      </c>
      <c r="K2109" s="84"/>
      <c r="L2109" s="177">
        <f>CHOOSE(Basis!$E$1,((AJ2109*(J2109*3600/Basis!$E$5)^AK2109*(((MID(C2109,9,3)*10)-144)/1000)*AL2109+AM2109*(J2109*3600/Basis!$E$5)^2)*0.0098)/Basis!$E$10,((AJ2109*(J2109/Basis!$E$5)^AK2109*(((MID(C2109,9,3)*10)-144)/1000)*AL2109+AM2109*(J2109/Basis!$E$5)^2)*0.0098)/Basis!$E$10)</f>
        <v>1.1648688770302887E-2</v>
      </c>
      <c r="M2109" s="85"/>
      <c r="N2109" s="110">
        <v>1.4079999999999999</v>
      </c>
      <c r="O2109" s="74"/>
      <c r="P2109" s="73">
        <v>1838</v>
      </c>
      <c r="Q2109" s="74"/>
      <c r="R2109" s="75"/>
      <c r="S2109" s="75"/>
      <c r="T2109" s="75"/>
      <c r="U2109" s="75"/>
      <c r="V2109" s="75"/>
      <c r="W2109" s="74"/>
      <c r="X2109" s="76"/>
      <c r="Y2109" s="76"/>
      <c r="Z2109" s="76"/>
      <c r="AA2109" s="76"/>
      <c r="AB2109" s="76"/>
      <c r="AC2109" s="74"/>
      <c r="AD2109" s="77"/>
      <c r="AE2109" s="77"/>
      <c r="AF2109" s="77"/>
      <c r="AG2109" s="77"/>
      <c r="AH2109" s="77"/>
      <c r="AI2109" s="68"/>
      <c r="AJ2109" s="214">
        <v>1.2760000000000001E-4</v>
      </c>
      <c r="AK2109" s="214">
        <v>1.7219</v>
      </c>
      <c r="AL2109" s="214">
        <v>2</v>
      </c>
      <c r="AM2109" s="214">
        <v>3.76611E-4</v>
      </c>
      <c r="AN2109" s="74"/>
      <c r="AO2109" s="73"/>
      <c r="AP2109" s="73"/>
      <c r="AQ2109" s="73"/>
      <c r="AR2109" s="73"/>
      <c r="AS2109" s="73"/>
      <c r="AT2109" s="74"/>
      <c r="AU2109" s="47"/>
      <c r="AV2109" s="48"/>
    </row>
    <row r="2110" spans="1:48" ht="12.75" customHeight="1" x14ac:dyDescent="0.25">
      <c r="A2110" s="72" t="s">
        <v>20</v>
      </c>
      <c r="B2110" s="43" t="s">
        <v>2240</v>
      </c>
      <c r="C2110" s="44" t="s">
        <v>2268</v>
      </c>
      <c r="D2110" s="45">
        <f>MROUND(MID($C2110,6,3)/Basis!$E$3,0.5)</f>
        <v>8</v>
      </c>
      <c r="E2110" s="45">
        <f>MROUND(MID($C2110,9,3)/Basis!$E$3,0.5)</f>
        <v>55</v>
      </c>
      <c r="F2110" s="124" t="s">
        <v>2943</v>
      </c>
      <c r="G2110" s="45">
        <f>ROUND((ROUNDDOWN($F2110/5,0)*5+1.8)/Basis!$E$3,1)</f>
        <v>4.5999999999999996</v>
      </c>
      <c r="H2110" s="120">
        <f>ROUND($P2110*Basis!$E$2*((TaH-TrH)/LN(1/µ)/Basis!$E$7)^$N2110*$AA$4*Glycol,0)</f>
        <v>1963</v>
      </c>
      <c r="I2110" s="83">
        <f>ROUND(H2110/(MID($C2110,9,3)/Basis!$E$3/Basis!$E$9)*Basis!$E$11,0)</f>
        <v>427</v>
      </c>
      <c r="J2110" s="123">
        <f>IF(Basis!$E$1=1,ROUND(H2110/((TaH-TrH)*1.163)/3600,3),ROUND(H2110/(500*(TaH-TrH)),2))</f>
        <v>0.2</v>
      </c>
      <c r="K2110" s="84"/>
      <c r="L2110" s="177">
        <f>CHOOSE(Basis!$E$1,((AJ2110*(J2110*3600/Basis!$E$5)^AK2110*(((MID(C2110,9,3)*10)-144)/1000)*AL2110+AM2110*(J2110*3600/Basis!$E$5)^2)*0.0098)/Basis!$E$10,((AJ2110*(J2110/Basis!$E$5)^AK2110*(((MID(C2110,9,3)*10)-144)/1000)*AL2110+AM2110*(J2110/Basis!$E$5)^2)*0.0098)/Basis!$E$10)</f>
        <v>4.921601650189459E-3</v>
      </c>
      <c r="M2110" s="85"/>
      <c r="N2110" s="109">
        <v>1.413</v>
      </c>
      <c r="O2110" s="68"/>
      <c r="P2110" s="67">
        <v>917</v>
      </c>
      <c r="Q2110" s="68"/>
      <c r="R2110" s="69"/>
      <c r="S2110" s="69"/>
      <c r="T2110" s="69"/>
      <c r="U2110" s="69"/>
      <c r="V2110" s="69"/>
      <c r="W2110" s="68"/>
      <c r="X2110" s="70"/>
      <c r="Y2110" s="70"/>
      <c r="Z2110" s="70"/>
      <c r="AA2110" s="70"/>
      <c r="AB2110" s="70"/>
      <c r="AC2110" s="68"/>
      <c r="AD2110" s="71"/>
      <c r="AE2110" s="71"/>
      <c r="AF2110" s="71"/>
      <c r="AG2110" s="71"/>
      <c r="AH2110" s="71"/>
      <c r="AI2110" s="68"/>
      <c r="AJ2110" s="214">
        <v>3.9689999999999994E-4</v>
      </c>
      <c r="AK2110" s="214">
        <v>1.7345999999999999</v>
      </c>
      <c r="AL2110" s="214">
        <v>2</v>
      </c>
      <c r="AM2110" s="214">
        <v>3.6734700000000002E-4</v>
      </c>
      <c r="AN2110" s="68"/>
      <c r="AO2110" s="67"/>
      <c r="AP2110" s="67"/>
      <c r="AQ2110" s="67"/>
      <c r="AR2110" s="67"/>
      <c r="AS2110" s="67"/>
      <c r="AT2110" s="68"/>
      <c r="AU2110" s="49"/>
      <c r="AV2110" s="50"/>
    </row>
    <row r="2111" spans="1:48" ht="12.75" customHeight="1" x14ac:dyDescent="0.25">
      <c r="A2111" s="72" t="s">
        <v>20</v>
      </c>
      <c r="B2111" s="43" t="s">
        <v>2240</v>
      </c>
      <c r="C2111" s="44" t="s">
        <v>2269</v>
      </c>
      <c r="D2111" s="45">
        <f>MROUND(MID($C2111,6,3)/Basis!$E$3,0.5)</f>
        <v>8</v>
      </c>
      <c r="E2111" s="45">
        <f>MROUND(MID($C2111,9,3)/Basis!$E$3,0.5)</f>
        <v>55</v>
      </c>
      <c r="F2111" s="124" t="s">
        <v>2944</v>
      </c>
      <c r="G2111" s="45">
        <f>ROUND((ROUNDDOWN($F2111/5,0)*5+1.8)/Basis!$E$3,1)</f>
        <v>6.6</v>
      </c>
      <c r="H2111" s="120">
        <f>ROUND($P2111*Basis!$E$2*((TaH-TrH)/LN(1/µ)/Basis!$E$7)^$N2111*$AA$4*Glycol,0)</f>
        <v>3272</v>
      </c>
      <c r="I2111" s="83">
        <f>ROUND(H2111/(MID($C2111,9,3)/Basis!$E$3/Basis!$E$9)*Basis!$E$11,0)</f>
        <v>712</v>
      </c>
      <c r="J2111" s="123">
        <f>IF(Basis!$E$1=1,ROUND(H2111/((TaH-TrH)*1.163)/3600,3),ROUND(H2111/(500*(TaH-TrH)),2))</f>
        <v>0.33</v>
      </c>
      <c r="K2111" s="84"/>
      <c r="L2111" s="177">
        <f>CHOOSE(Basis!$E$1,((AJ2111*(J2111*3600/Basis!$E$5)^AK2111*(((MID(C2111,9,3)*10)-144)/1000)*AL2111+AM2111*(J2111*3600/Basis!$E$5)^2)*0.0098)/Basis!$E$10,((AJ2111*(J2111/Basis!$E$5)^AK2111*(((MID(C2111,9,3)*10)-144)/1000)*AL2111+AM2111*(J2111/Basis!$E$5)^2)*0.0098)/Basis!$E$10)</f>
        <v>1.1402661305964245E-2</v>
      </c>
      <c r="M2111" s="85"/>
      <c r="N2111" s="110">
        <v>1.4079999999999999</v>
      </c>
      <c r="O2111" s="74"/>
      <c r="P2111" s="73">
        <v>1526</v>
      </c>
      <c r="Q2111" s="74"/>
      <c r="R2111" s="75"/>
      <c r="S2111" s="75"/>
      <c r="T2111" s="75"/>
      <c r="U2111" s="75"/>
      <c r="V2111" s="75"/>
      <c r="W2111" s="74"/>
      <c r="X2111" s="76"/>
      <c r="Y2111" s="76"/>
      <c r="Z2111" s="76"/>
      <c r="AA2111" s="76"/>
      <c r="AB2111" s="76"/>
      <c r="AC2111" s="74"/>
      <c r="AD2111" s="77"/>
      <c r="AE2111" s="77"/>
      <c r="AF2111" s="77"/>
      <c r="AG2111" s="77"/>
      <c r="AH2111" s="77"/>
      <c r="AI2111" s="68"/>
      <c r="AJ2111" s="213">
        <v>2.0829999999999999E-4</v>
      </c>
      <c r="AK2111" s="213">
        <v>1.724</v>
      </c>
      <c r="AL2111" s="213">
        <v>2</v>
      </c>
      <c r="AM2111" s="213">
        <v>4.6182900000000003E-4</v>
      </c>
      <c r="AN2111" s="74"/>
      <c r="AO2111" s="73"/>
      <c r="AP2111" s="73"/>
      <c r="AQ2111" s="73"/>
      <c r="AR2111" s="73"/>
      <c r="AS2111" s="73"/>
      <c r="AT2111" s="74"/>
      <c r="AU2111" s="47"/>
      <c r="AV2111" s="48"/>
    </row>
    <row r="2112" spans="1:48" ht="12.75" customHeight="1" x14ac:dyDescent="0.25">
      <c r="A2112" s="72" t="s">
        <v>20</v>
      </c>
      <c r="B2112" s="43" t="s">
        <v>2240</v>
      </c>
      <c r="C2112" s="44" t="s">
        <v>2270</v>
      </c>
      <c r="D2112" s="45">
        <f>MROUND(MID($C2112,6,3)/Basis!$E$3,0.5)</f>
        <v>8</v>
      </c>
      <c r="E2112" s="45">
        <f>MROUND(MID($C2112,9,3)/Basis!$E$3,0.5)</f>
        <v>55</v>
      </c>
      <c r="F2112" s="124" t="s">
        <v>2945</v>
      </c>
      <c r="G2112" s="45">
        <f>ROUND((ROUNDDOWN($F2112/5,0)*5+1.8)/Basis!$E$3,1)</f>
        <v>8.6</v>
      </c>
      <c r="H2112" s="120">
        <f>ROUND($P2112*Basis!$E$2*((TaH-TrH)/LN(1/µ)/Basis!$E$7)^$N2112*$AA$4*Glycol,0)</f>
        <v>4599</v>
      </c>
      <c r="I2112" s="83">
        <f>ROUND(H2112/(MID($C2112,9,3)/Basis!$E$3/Basis!$E$9)*Basis!$E$11,0)</f>
        <v>1001</v>
      </c>
      <c r="J2112" s="123">
        <f>IF(Basis!$E$1=1,ROUND(H2112/((TaH-TrH)*1.163)/3600,3),ROUND(H2112/(500*(TaH-TrH)),2))</f>
        <v>0.46</v>
      </c>
      <c r="K2112" s="84"/>
      <c r="L2112" s="177">
        <f>CHOOSE(Basis!$E$1,((AJ2112*(J2112*3600/Basis!$E$5)^AK2112*(((MID(C2112,9,3)*10)-144)/1000)*AL2112+AM2112*(J2112*3600/Basis!$E$5)^2)*0.0098)/Basis!$E$10,((AJ2112*(J2112/Basis!$E$5)^AK2112*(((MID(C2112,9,3)*10)-144)/1000)*AL2112+AM2112*(J2112/Basis!$E$5)^2)*0.0098)/Basis!$E$10)</f>
        <v>1.6581522174374558E-2</v>
      </c>
      <c r="M2112" s="85"/>
      <c r="N2112" s="109">
        <v>1.4079999999999999</v>
      </c>
      <c r="O2112" s="68"/>
      <c r="P2112" s="67">
        <v>2145</v>
      </c>
      <c r="Q2112" s="68"/>
      <c r="R2112" s="69"/>
      <c r="S2112" s="69"/>
      <c r="T2112" s="69"/>
      <c r="U2112" s="69"/>
      <c r="V2112" s="69"/>
      <c r="W2112" s="68"/>
      <c r="X2112" s="70"/>
      <c r="Y2112" s="70"/>
      <c r="Z2112" s="70"/>
      <c r="AA2112" s="70"/>
      <c r="AB2112" s="70"/>
      <c r="AC2112" s="68"/>
      <c r="AD2112" s="71"/>
      <c r="AE2112" s="71"/>
      <c r="AF2112" s="71"/>
      <c r="AG2112" s="71"/>
      <c r="AH2112" s="71"/>
      <c r="AI2112" s="68"/>
      <c r="AJ2112" s="214">
        <v>1.2760000000000001E-4</v>
      </c>
      <c r="AK2112" s="214">
        <v>1.7219</v>
      </c>
      <c r="AL2112" s="214">
        <v>2</v>
      </c>
      <c r="AM2112" s="214">
        <v>3.76611E-4</v>
      </c>
      <c r="AN2112" s="68"/>
      <c r="AO2112" s="67"/>
      <c r="AP2112" s="67"/>
      <c r="AQ2112" s="67"/>
      <c r="AR2112" s="67"/>
      <c r="AS2112" s="67"/>
      <c r="AT2112" s="68"/>
      <c r="AU2112" s="49"/>
      <c r="AV2112" s="50"/>
    </row>
    <row r="2113" spans="1:48" ht="12.75" customHeight="1" x14ac:dyDescent="0.25">
      <c r="A2113" s="72" t="s">
        <v>20</v>
      </c>
      <c r="B2113" s="43" t="s">
        <v>2240</v>
      </c>
      <c r="C2113" s="44" t="s">
        <v>2271</v>
      </c>
      <c r="D2113" s="45">
        <f>MROUND(MID($C2113,6,3)/Basis!$E$3,0.5)</f>
        <v>8</v>
      </c>
      <c r="E2113" s="45">
        <f>MROUND(MID($C2113,9,3)/Basis!$E$3,0.5)</f>
        <v>63</v>
      </c>
      <c r="F2113" s="124" t="s">
        <v>2943</v>
      </c>
      <c r="G2113" s="45">
        <f>ROUND((ROUNDDOWN($F2113/5,0)*5+1.8)/Basis!$E$3,1)</f>
        <v>4.5999999999999996</v>
      </c>
      <c r="H2113" s="120">
        <f>ROUND($P2113*Basis!$E$2*((TaH-TrH)/LN(1/µ)/Basis!$E$7)^$N2113*$AA$4*Glycol,0)</f>
        <v>2243</v>
      </c>
      <c r="I2113" s="83">
        <f>ROUND(H2113/(MID($C2113,9,3)/Basis!$E$3/Basis!$E$9)*Basis!$E$11,0)</f>
        <v>427</v>
      </c>
      <c r="J2113" s="123">
        <f>IF(Basis!$E$1=1,ROUND(H2113/((TaH-TrH)*1.163)/3600,3),ROUND(H2113/(500*(TaH-TrH)),2))</f>
        <v>0.22</v>
      </c>
      <c r="K2113" s="84"/>
      <c r="L2113" s="177">
        <f>CHOOSE(Basis!$E$1,((AJ2113*(J2113*3600/Basis!$E$5)^AK2113*(((MID(C2113,9,3)*10)-144)/1000)*AL2113+AM2113*(J2113*3600/Basis!$E$5)^2)*0.0098)/Basis!$E$10,((AJ2113*(J2113/Basis!$E$5)^AK2113*(((MID(C2113,9,3)*10)-144)/1000)*AL2113+AM2113*(J2113/Basis!$E$5)^2)*0.0098)/Basis!$E$10)</f>
        <v>6.3402792021210316E-3</v>
      </c>
      <c r="M2113" s="85"/>
      <c r="N2113" s="110">
        <v>1.413</v>
      </c>
      <c r="O2113" s="74"/>
      <c r="P2113" s="73">
        <v>1048</v>
      </c>
      <c r="Q2113" s="74"/>
      <c r="R2113" s="75"/>
      <c r="S2113" s="75"/>
      <c r="T2113" s="75"/>
      <c r="U2113" s="75"/>
      <c r="V2113" s="75"/>
      <c r="W2113" s="74"/>
      <c r="X2113" s="76"/>
      <c r="Y2113" s="76"/>
      <c r="Z2113" s="76"/>
      <c r="AA2113" s="76"/>
      <c r="AB2113" s="76"/>
      <c r="AC2113" s="74"/>
      <c r="AD2113" s="77"/>
      <c r="AE2113" s="77"/>
      <c r="AF2113" s="77"/>
      <c r="AG2113" s="77"/>
      <c r="AH2113" s="77"/>
      <c r="AI2113" s="68"/>
      <c r="AJ2113" s="213">
        <v>3.9689999999999994E-4</v>
      </c>
      <c r="AK2113" s="213">
        <v>1.7345999999999999</v>
      </c>
      <c r="AL2113" s="213">
        <v>2</v>
      </c>
      <c r="AM2113" s="213">
        <v>3.6734700000000002E-4</v>
      </c>
      <c r="AN2113" s="74"/>
      <c r="AO2113" s="73"/>
      <c r="AP2113" s="73"/>
      <c r="AQ2113" s="73"/>
      <c r="AR2113" s="73"/>
      <c r="AS2113" s="73"/>
      <c r="AT2113" s="74"/>
      <c r="AU2113" s="47"/>
      <c r="AV2113" s="48"/>
    </row>
    <row r="2114" spans="1:48" ht="12.75" customHeight="1" x14ac:dyDescent="0.25">
      <c r="A2114" s="72" t="s">
        <v>20</v>
      </c>
      <c r="B2114" s="43" t="s">
        <v>2240</v>
      </c>
      <c r="C2114" s="44" t="s">
        <v>2272</v>
      </c>
      <c r="D2114" s="45">
        <f>MROUND(MID($C2114,6,3)/Basis!$E$3,0.5)</f>
        <v>8</v>
      </c>
      <c r="E2114" s="45">
        <f>MROUND(MID($C2114,9,3)/Basis!$E$3,0.5)</f>
        <v>63</v>
      </c>
      <c r="F2114" s="124" t="s">
        <v>2944</v>
      </c>
      <c r="G2114" s="45">
        <f>ROUND((ROUNDDOWN($F2114/5,0)*5+1.8)/Basis!$E$3,1)</f>
        <v>6.6</v>
      </c>
      <c r="H2114" s="120">
        <f>ROUND($P2114*Basis!$E$2*((TaH-TrH)/LN(1/µ)/Basis!$E$7)^$N2114*$AA$4*Glycol,0)</f>
        <v>3739</v>
      </c>
      <c r="I2114" s="83">
        <f>ROUND(H2114/(MID($C2114,9,3)/Basis!$E$3/Basis!$E$9)*Basis!$E$11,0)</f>
        <v>712</v>
      </c>
      <c r="J2114" s="123">
        <f>IF(Basis!$E$1=1,ROUND(H2114/((TaH-TrH)*1.163)/3600,3),ROUND(H2114/(500*(TaH-TrH)),2))</f>
        <v>0.37</v>
      </c>
      <c r="K2114" s="84"/>
      <c r="L2114" s="177">
        <f>CHOOSE(Basis!$E$1,((AJ2114*(J2114*3600/Basis!$E$5)^AK2114*(((MID(C2114,9,3)*10)-144)/1000)*AL2114+AM2114*(J2114*3600/Basis!$E$5)^2)*0.0098)/Basis!$E$10,((AJ2114*(J2114/Basis!$E$5)^AK2114*(((MID(C2114,9,3)*10)-144)/1000)*AL2114+AM2114*(J2114/Basis!$E$5)^2)*0.0098)/Basis!$E$10)</f>
        <v>1.4786677814499674E-2</v>
      </c>
      <c r="M2114" s="85"/>
      <c r="N2114" s="109">
        <v>1.4079999999999999</v>
      </c>
      <c r="O2114" s="68"/>
      <c r="P2114" s="67">
        <v>1744</v>
      </c>
      <c r="Q2114" s="68"/>
      <c r="R2114" s="69"/>
      <c r="S2114" s="69"/>
      <c r="T2114" s="69"/>
      <c r="U2114" s="69"/>
      <c r="V2114" s="69"/>
      <c r="W2114" s="68"/>
      <c r="X2114" s="70"/>
      <c r="Y2114" s="70"/>
      <c r="Z2114" s="70"/>
      <c r="AA2114" s="70"/>
      <c r="AB2114" s="70"/>
      <c r="AC2114" s="68"/>
      <c r="AD2114" s="71"/>
      <c r="AE2114" s="71"/>
      <c r="AF2114" s="71"/>
      <c r="AG2114" s="71"/>
      <c r="AH2114" s="71"/>
      <c r="AI2114" s="68"/>
      <c r="AJ2114" s="214">
        <v>2.0829999999999999E-4</v>
      </c>
      <c r="AK2114" s="214">
        <v>1.724</v>
      </c>
      <c r="AL2114" s="214">
        <v>2</v>
      </c>
      <c r="AM2114" s="214">
        <v>4.6182900000000003E-4</v>
      </c>
      <c r="AN2114" s="68"/>
      <c r="AO2114" s="67"/>
      <c r="AP2114" s="67"/>
      <c r="AQ2114" s="67"/>
      <c r="AR2114" s="67"/>
      <c r="AS2114" s="67"/>
      <c r="AT2114" s="68"/>
      <c r="AU2114" s="49"/>
      <c r="AV2114" s="50"/>
    </row>
    <row r="2115" spans="1:48" ht="12.75" customHeight="1" x14ac:dyDescent="0.25">
      <c r="A2115" s="72" t="s">
        <v>20</v>
      </c>
      <c r="B2115" s="43" t="s">
        <v>2240</v>
      </c>
      <c r="C2115" s="44" t="s">
        <v>2273</v>
      </c>
      <c r="D2115" s="45">
        <f>MROUND(MID($C2115,6,3)/Basis!$E$3,0.5)</f>
        <v>8</v>
      </c>
      <c r="E2115" s="45">
        <f>MROUND(MID($C2115,9,3)/Basis!$E$3,0.5)</f>
        <v>63</v>
      </c>
      <c r="F2115" s="124" t="s">
        <v>2945</v>
      </c>
      <c r="G2115" s="45">
        <f>ROUND((ROUNDDOWN($F2115/5,0)*5+1.8)/Basis!$E$3,1)</f>
        <v>8.6</v>
      </c>
      <c r="H2115" s="120">
        <f>ROUND($P2115*Basis!$E$2*((TaH-TrH)/LN(1/µ)/Basis!$E$7)^$N2115*$AA$4*Glycol,0)</f>
        <v>5255</v>
      </c>
      <c r="I2115" s="83">
        <f>ROUND(H2115/(MID($C2115,9,3)/Basis!$E$3/Basis!$E$9)*Basis!$E$11,0)</f>
        <v>1001</v>
      </c>
      <c r="J2115" s="123">
        <f>IF(Basis!$E$1=1,ROUND(H2115/((TaH-TrH)*1.163)/3600,3),ROUND(H2115/(500*(TaH-TrH)),2))</f>
        <v>0.53</v>
      </c>
      <c r="K2115" s="84"/>
      <c r="L2115" s="177">
        <f>CHOOSE(Basis!$E$1,((AJ2115*(J2115*3600/Basis!$E$5)^AK2115*(((MID(C2115,9,3)*10)-144)/1000)*AL2115+AM2115*(J2115*3600/Basis!$E$5)^2)*0.0098)/Basis!$E$10,((AJ2115*(J2115/Basis!$E$5)^AK2115*(((MID(C2115,9,3)*10)-144)/1000)*AL2115+AM2115*(J2115/Basis!$E$5)^2)*0.0098)/Basis!$E$10)</f>
        <v>2.2489158899361258E-2</v>
      </c>
      <c r="M2115" s="85"/>
      <c r="N2115" s="110">
        <v>1.4079999999999999</v>
      </c>
      <c r="O2115" s="74"/>
      <c r="P2115" s="73">
        <v>2451</v>
      </c>
      <c r="Q2115" s="74"/>
      <c r="R2115" s="75"/>
      <c r="S2115" s="75"/>
      <c r="T2115" s="75"/>
      <c r="U2115" s="75"/>
      <c r="V2115" s="75"/>
      <c r="W2115" s="74"/>
      <c r="X2115" s="76"/>
      <c r="Y2115" s="76"/>
      <c r="Z2115" s="76"/>
      <c r="AA2115" s="76"/>
      <c r="AB2115" s="76"/>
      <c r="AC2115" s="74"/>
      <c r="AD2115" s="77"/>
      <c r="AE2115" s="77"/>
      <c r="AF2115" s="77"/>
      <c r="AG2115" s="77"/>
      <c r="AH2115" s="77"/>
      <c r="AI2115" s="68"/>
      <c r="AJ2115" s="214">
        <v>1.2760000000000001E-4</v>
      </c>
      <c r="AK2115" s="214">
        <v>1.7219</v>
      </c>
      <c r="AL2115" s="214">
        <v>2</v>
      </c>
      <c r="AM2115" s="214">
        <v>3.76611E-4</v>
      </c>
      <c r="AN2115" s="74"/>
      <c r="AO2115" s="73"/>
      <c r="AP2115" s="73"/>
      <c r="AQ2115" s="73"/>
      <c r="AR2115" s="73"/>
      <c r="AS2115" s="73"/>
      <c r="AT2115" s="74"/>
      <c r="AU2115" s="47"/>
      <c r="AV2115" s="48"/>
    </row>
    <row r="2116" spans="1:48" ht="12.75" customHeight="1" x14ac:dyDescent="0.25">
      <c r="A2116" s="72" t="s">
        <v>20</v>
      </c>
      <c r="B2116" s="43" t="s">
        <v>2240</v>
      </c>
      <c r="C2116" s="44" t="s">
        <v>2274</v>
      </c>
      <c r="D2116" s="45">
        <f>MROUND(MID($C2116,6,3)/Basis!$E$3,0.5)</f>
        <v>8</v>
      </c>
      <c r="E2116" s="45">
        <f>MROUND(MID($C2116,9,3)/Basis!$E$3,0.5)</f>
        <v>71</v>
      </c>
      <c r="F2116" s="124" t="s">
        <v>2943</v>
      </c>
      <c r="G2116" s="45">
        <f>ROUND((ROUNDDOWN($F2116/5,0)*5+1.8)/Basis!$E$3,1)</f>
        <v>4.5999999999999996</v>
      </c>
      <c r="H2116" s="120">
        <f>ROUND($P2116*Basis!$E$2*((TaH-TrH)/LN(1/µ)/Basis!$E$7)^$N2116*$AA$4*Glycol,0)</f>
        <v>2524</v>
      </c>
      <c r="I2116" s="83">
        <f>ROUND(H2116/(MID($C2116,9,3)/Basis!$E$3/Basis!$E$9)*Basis!$E$11,0)</f>
        <v>427</v>
      </c>
      <c r="J2116" s="123">
        <f>IF(Basis!$E$1=1,ROUND(H2116/((TaH-TrH)*1.163)/3600,3),ROUND(H2116/(500*(TaH-TrH)),2))</f>
        <v>0.25</v>
      </c>
      <c r="K2116" s="84"/>
      <c r="L2116" s="177">
        <f>CHOOSE(Basis!$E$1,((AJ2116*(J2116*3600/Basis!$E$5)^AK2116*(((MID(C2116,9,3)*10)-144)/1000)*AL2116+AM2116*(J2116*3600/Basis!$E$5)^2)*0.0098)/Basis!$E$10,((AJ2116*(J2116/Basis!$E$5)^AK2116*(((MID(C2116,9,3)*10)-144)/1000)*AL2116+AM2116*(J2116/Basis!$E$5)^2)*0.0098)/Basis!$E$10)</f>
        <v>8.6163343041734883E-3</v>
      </c>
      <c r="M2116" s="85"/>
      <c r="N2116" s="109">
        <v>1.413</v>
      </c>
      <c r="O2116" s="68"/>
      <c r="P2116" s="67">
        <v>1179</v>
      </c>
      <c r="Q2116" s="68"/>
      <c r="R2116" s="69"/>
      <c r="S2116" s="69"/>
      <c r="T2116" s="69"/>
      <c r="U2116" s="69"/>
      <c r="V2116" s="69"/>
      <c r="W2116" s="68"/>
      <c r="X2116" s="70"/>
      <c r="Y2116" s="70"/>
      <c r="Z2116" s="70"/>
      <c r="AA2116" s="70"/>
      <c r="AB2116" s="70"/>
      <c r="AC2116" s="68"/>
      <c r="AD2116" s="71"/>
      <c r="AE2116" s="71"/>
      <c r="AF2116" s="71"/>
      <c r="AG2116" s="71"/>
      <c r="AH2116" s="71"/>
      <c r="AI2116" s="68"/>
      <c r="AJ2116" s="214">
        <v>3.9689999999999994E-4</v>
      </c>
      <c r="AK2116" s="214">
        <v>1.7345999999999999</v>
      </c>
      <c r="AL2116" s="214">
        <v>2</v>
      </c>
      <c r="AM2116" s="214">
        <v>3.6734700000000002E-4</v>
      </c>
      <c r="AN2116" s="68"/>
      <c r="AO2116" s="67"/>
      <c r="AP2116" s="67"/>
      <c r="AQ2116" s="67"/>
      <c r="AR2116" s="67"/>
      <c r="AS2116" s="67"/>
      <c r="AT2116" s="68"/>
      <c r="AU2116" s="49"/>
      <c r="AV2116" s="50"/>
    </row>
    <row r="2117" spans="1:48" ht="12.75" customHeight="1" x14ac:dyDescent="0.25">
      <c r="A2117" s="72" t="s">
        <v>20</v>
      </c>
      <c r="B2117" s="43" t="s">
        <v>2240</v>
      </c>
      <c r="C2117" s="44" t="s">
        <v>2275</v>
      </c>
      <c r="D2117" s="45">
        <f>MROUND(MID($C2117,6,3)/Basis!$E$3,0.5)</f>
        <v>8</v>
      </c>
      <c r="E2117" s="45">
        <f>MROUND(MID($C2117,9,3)/Basis!$E$3,0.5)</f>
        <v>71</v>
      </c>
      <c r="F2117" s="124" t="s">
        <v>2944</v>
      </c>
      <c r="G2117" s="45">
        <f>ROUND((ROUNDDOWN($F2117/5,0)*5+1.8)/Basis!$E$3,1)</f>
        <v>6.6</v>
      </c>
      <c r="H2117" s="120">
        <f>ROUND($P2117*Basis!$E$2*((TaH-TrH)/LN(1/µ)/Basis!$E$7)^$N2117*$AA$4*Glycol,0)</f>
        <v>4206</v>
      </c>
      <c r="I2117" s="83">
        <f>ROUND(H2117/(MID($C2117,9,3)/Basis!$E$3/Basis!$E$9)*Basis!$E$11,0)</f>
        <v>712</v>
      </c>
      <c r="J2117" s="123">
        <f>IF(Basis!$E$1=1,ROUND(H2117/((TaH-TrH)*1.163)/3600,3),ROUND(H2117/(500*(TaH-TrH)),2))</f>
        <v>0.42</v>
      </c>
      <c r="K2117" s="84"/>
      <c r="L2117" s="177">
        <f>CHOOSE(Basis!$E$1,((AJ2117*(J2117*3600/Basis!$E$5)^AK2117*(((MID(C2117,9,3)*10)-144)/1000)*AL2117+AM2117*(J2117*3600/Basis!$E$5)^2)*0.0098)/Basis!$E$10,((AJ2117*(J2117/Basis!$E$5)^AK2117*(((MID(C2117,9,3)*10)-144)/1000)*AL2117+AM2117*(J2117/Basis!$E$5)^2)*0.0098)/Basis!$E$10)</f>
        <v>1.9575082342513456E-2</v>
      </c>
      <c r="M2117" s="85"/>
      <c r="N2117" s="110">
        <v>1.4079999999999999</v>
      </c>
      <c r="O2117" s="74"/>
      <c r="P2117" s="73">
        <v>1962</v>
      </c>
      <c r="Q2117" s="74"/>
      <c r="R2117" s="75"/>
      <c r="S2117" s="75"/>
      <c r="T2117" s="75"/>
      <c r="U2117" s="75"/>
      <c r="V2117" s="75"/>
      <c r="W2117" s="74"/>
      <c r="X2117" s="76"/>
      <c r="Y2117" s="76"/>
      <c r="Z2117" s="76"/>
      <c r="AA2117" s="76"/>
      <c r="AB2117" s="76"/>
      <c r="AC2117" s="74"/>
      <c r="AD2117" s="77"/>
      <c r="AE2117" s="77"/>
      <c r="AF2117" s="77"/>
      <c r="AG2117" s="77"/>
      <c r="AH2117" s="77"/>
      <c r="AI2117" s="68"/>
      <c r="AJ2117" s="213">
        <v>2.0829999999999999E-4</v>
      </c>
      <c r="AK2117" s="213">
        <v>1.724</v>
      </c>
      <c r="AL2117" s="213">
        <v>2</v>
      </c>
      <c r="AM2117" s="213">
        <v>4.6182900000000003E-4</v>
      </c>
      <c r="AN2117" s="74"/>
      <c r="AO2117" s="73"/>
      <c r="AP2117" s="73"/>
      <c r="AQ2117" s="73"/>
      <c r="AR2117" s="73"/>
      <c r="AS2117" s="73"/>
      <c r="AT2117" s="74"/>
      <c r="AU2117" s="47"/>
      <c r="AV2117" s="48"/>
    </row>
    <row r="2118" spans="1:48" ht="12.75" customHeight="1" x14ac:dyDescent="0.25">
      <c r="A2118" s="72" t="s">
        <v>20</v>
      </c>
      <c r="B2118" s="43" t="s">
        <v>2240</v>
      </c>
      <c r="C2118" s="44" t="s">
        <v>2276</v>
      </c>
      <c r="D2118" s="45">
        <f>MROUND(MID($C2118,6,3)/Basis!$E$3,0.5)</f>
        <v>8</v>
      </c>
      <c r="E2118" s="45">
        <f>MROUND(MID($C2118,9,3)/Basis!$E$3,0.5)</f>
        <v>71</v>
      </c>
      <c r="F2118" s="124" t="s">
        <v>2945</v>
      </c>
      <c r="G2118" s="45">
        <f>ROUND((ROUNDDOWN($F2118/5,0)*5+1.8)/Basis!$E$3,1)</f>
        <v>8.6</v>
      </c>
      <c r="H2118" s="120">
        <f>ROUND($P2118*Basis!$E$2*((TaH-TrH)/LN(1/µ)/Basis!$E$7)^$N2118*$AA$4*Glycol,0)</f>
        <v>5913</v>
      </c>
      <c r="I2118" s="83">
        <f>ROUND(H2118/(MID($C2118,9,3)/Basis!$E$3/Basis!$E$9)*Basis!$E$11,0)</f>
        <v>1001</v>
      </c>
      <c r="J2118" s="123">
        <f>IF(Basis!$E$1=1,ROUND(H2118/((TaH-TrH)*1.163)/3600,3),ROUND(H2118/(500*(TaH-TrH)),2))</f>
        <v>0.59</v>
      </c>
      <c r="K2118" s="84"/>
      <c r="L2118" s="177">
        <f>CHOOSE(Basis!$E$1,((AJ2118*(J2118*3600/Basis!$E$5)^AK2118*(((MID(C2118,9,3)*10)-144)/1000)*AL2118+AM2118*(J2118*3600/Basis!$E$5)^2)*0.0098)/Basis!$E$10,((AJ2118*(J2118/Basis!$E$5)^AK2118*(((MID(C2118,9,3)*10)-144)/1000)*AL2118+AM2118*(J2118/Basis!$E$5)^2)*0.0098)/Basis!$E$10)</f>
        <v>2.8467646728980531E-2</v>
      </c>
      <c r="M2118" s="85"/>
      <c r="N2118" s="109">
        <v>1.4079999999999999</v>
      </c>
      <c r="O2118" s="68"/>
      <c r="P2118" s="67">
        <v>2758</v>
      </c>
      <c r="Q2118" s="68"/>
      <c r="R2118" s="69"/>
      <c r="S2118" s="69"/>
      <c r="T2118" s="69"/>
      <c r="U2118" s="69"/>
      <c r="V2118" s="69"/>
      <c r="W2118" s="68"/>
      <c r="X2118" s="70"/>
      <c r="Y2118" s="70"/>
      <c r="Z2118" s="70"/>
      <c r="AA2118" s="70"/>
      <c r="AB2118" s="70"/>
      <c r="AC2118" s="68"/>
      <c r="AD2118" s="71"/>
      <c r="AE2118" s="71"/>
      <c r="AF2118" s="71"/>
      <c r="AG2118" s="71"/>
      <c r="AH2118" s="71"/>
      <c r="AI2118" s="68"/>
      <c r="AJ2118" s="214">
        <v>1.2760000000000001E-4</v>
      </c>
      <c r="AK2118" s="214">
        <v>1.7219</v>
      </c>
      <c r="AL2118" s="214">
        <v>2</v>
      </c>
      <c r="AM2118" s="214">
        <v>3.76611E-4</v>
      </c>
      <c r="AN2118" s="68"/>
      <c r="AO2118" s="67"/>
      <c r="AP2118" s="67"/>
      <c r="AQ2118" s="67"/>
      <c r="AR2118" s="67"/>
      <c r="AS2118" s="67"/>
      <c r="AT2118" s="68"/>
      <c r="AU2118" s="49"/>
      <c r="AV2118" s="50"/>
    </row>
    <row r="2119" spans="1:48" ht="12.75" customHeight="1" x14ac:dyDescent="0.25">
      <c r="A2119" s="72" t="s">
        <v>20</v>
      </c>
      <c r="B2119" s="43" t="s">
        <v>2240</v>
      </c>
      <c r="C2119" s="44" t="s">
        <v>2277</v>
      </c>
      <c r="D2119" s="45">
        <f>MROUND(MID($C2119,6,3)/Basis!$E$3,0.5)</f>
        <v>8</v>
      </c>
      <c r="E2119" s="45">
        <f>MROUND(MID($C2119,9,3)/Basis!$E$3,0.5)</f>
        <v>78.5</v>
      </c>
      <c r="F2119" s="124" t="s">
        <v>2943</v>
      </c>
      <c r="G2119" s="45">
        <f>ROUND((ROUNDDOWN($F2119/5,0)*5+1.8)/Basis!$E$3,1)</f>
        <v>4.5999999999999996</v>
      </c>
      <c r="H2119" s="120">
        <f>ROUND($P2119*Basis!$E$2*((TaH-TrH)/LN(1/µ)/Basis!$E$7)^$N2119*$AA$4*Glycol,0)</f>
        <v>2804</v>
      </c>
      <c r="I2119" s="83">
        <f>ROUND(H2119/(MID($C2119,9,3)/Basis!$E$3/Basis!$E$9)*Basis!$E$11,0)</f>
        <v>427</v>
      </c>
      <c r="J2119" s="123">
        <f>IF(Basis!$E$1=1,ROUND(H2119/((TaH-TrH)*1.163)/3600,3),ROUND(H2119/(500*(TaH-TrH)),2))</f>
        <v>0.28000000000000003</v>
      </c>
      <c r="K2119" s="84"/>
      <c r="L2119" s="177">
        <f>CHOOSE(Basis!$E$1,((AJ2119*(J2119*3600/Basis!$E$5)^AK2119*(((MID(C2119,9,3)*10)-144)/1000)*AL2119+AM2119*(J2119*3600/Basis!$E$5)^2)*0.0098)/Basis!$E$10,((AJ2119*(J2119/Basis!$E$5)^AK2119*(((MID(C2119,9,3)*10)-144)/1000)*AL2119+AM2119*(J2119/Basis!$E$5)^2)*0.0098)/Basis!$E$10)</f>
        <v>1.1329396121928459E-2</v>
      </c>
      <c r="M2119" s="85"/>
      <c r="N2119" s="110">
        <v>1.413</v>
      </c>
      <c r="O2119" s="74"/>
      <c r="P2119" s="73">
        <v>1310</v>
      </c>
      <c r="Q2119" s="74"/>
      <c r="R2119" s="75"/>
      <c r="S2119" s="75"/>
      <c r="T2119" s="75"/>
      <c r="U2119" s="75"/>
      <c r="V2119" s="75"/>
      <c r="W2119" s="74"/>
      <c r="X2119" s="76"/>
      <c r="Y2119" s="76"/>
      <c r="Z2119" s="76"/>
      <c r="AA2119" s="76"/>
      <c r="AB2119" s="76"/>
      <c r="AC2119" s="74"/>
      <c r="AD2119" s="77"/>
      <c r="AE2119" s="77"/>
      <c r="AF2119" s="77"/>
      <c r="AG2119" s="77"/>
      <c r="AH2119" s="77"/>
      <c r="AI2119" s="68"/>
      <c r="AJ2119" s="213">
        <v>3.9689999999999994E-4</v>
      </c>
      <c r="AK2119" s="213">
        <v>1.7345999999999999</v>
      </c>
      <c r="AL2119" s="213">
        <v>2</v>
      </c>
      <c r="AM2119" s="213">
        <v>3.6734700000000002E-4</v>
      </c>
      <c r="AN2119" s="74"/>
      <c r="AO2119" s="73"/>
      <c r="AP2119" s="73"/>
      <c r="AQ2119" s="73"/>
      <c r="AR2119" s="73"/>
      <c r="AS2119" s="73"/>
      <c r="AT2119" s="74"/>
      <c r="AU2119" s="47"/>
      <c r="AV2119" s="48"/>
    </row>
    <row r="2120" spans="1:48" ht="12.75" customHeight="1" x14ac:dyDescent="0.25">
      <c r="A2120" s="72" t="s">
        <v>20</v>
      </c>
      <c r="B2120" s="43" t="s">
        <v>2240</v>
      </c>
      <c r="C2120" s="44" t="s">
        <v>2278</v>
      </c>
      <c r="D2120" s="45">
        <f>MROUND(MID($C2120,6,3)/Basis!$E$3,0.5)</f>
        <v>8</v>
      </c>
      <c r="E2120" s="45">
        <f>MROUND(MID($C2120,9,3)/Basis!$E$3,0.5)</f>
        <v>78.5</v>
      </c>
      <c r="F2120" s="124" t="s">
        <v>2944</v>
      </c>
      <c r="G2120" s="45">
        <f>ROUND((ROUNDDOWN($F2120/5,0)*5+1.8)/Basis!$E$3,1)</f>
        <v>6.6</v>
      </c>
      <c r="H2120" s="120">
        <f>ROUND($P2120*Basis!$E$2*((TaH-TrH)/LN(1/µ)/Basis!$E$7)^$N2120*$AA$4*Glycol,0)</f>
        <v>4674</v>
      </c>
      <c r="I2120" s="83">
        <f>ROUND(H2120/(MID($C2120,9,3)/Basis!$E$3/Basis!$E$9)*Basis!$E$11,0)</f>
        <v>712</v>
      </c>
      <c r="J2120" s="123">
        <f>IF(Basis!$E$1=1,ROUND(H2120/((TaH-TrH)*1.163)/3600,3),ROUND(H2120/(500*(TaH-TrH)),2))</f>
        <v>0.47</v>
      </c>
      <c r="K2120" s="84"/>
      <c r="L2120" s="177">
        <f>CHOOSE(Basis!$E$1,((AJ2120*(J2120*3600/Basis!$E$5)^AK2120*(((MID(C2120,9,3)*10)-144)/1000)*AL2120+AM2120*(J2120*3600/Basis!$E$5)^2)*0.0098)/Basis!$E$10,((AJ2120*(J2120/Basis!$E$5)^AK2120*(((MID(C2120,9,3)*10)-144)/1000)*AL2120+AM2120*(J2120/Basis!$E$5)^2)*0.0098)/Basis!$E$10)</f>
        <v>2.5145301667064975E-2</v>
      </c>
      <c r="M2120" s="85"/>
      <c r="N2120" s="109">
        <v>1.4079999999999999</v>
      </c>
      <c r="O2120" s="68"/>
      <c r="P2120" s="67">
        <v>2180</v>
      </c>
      <c r="Q2120" s="68"/>
      <c r="R2120" s="69"/>
      <c r="S2120" s="69"/>
      <c r="T2120" s="69"/>
      <c r="U2120" s="69"/>
      <c r="V2120" s="69"/>
      <c r="W2120" s="68"/>
      <c r="X2120" s="70"/>
      <c r="Y2120" s="70"/>
      <c r="Z2120" s="70"/>
      <c r="AA2120" s="70"/>
      <c r="AB2120" s="70"/>
      <c r="AC2120" s="68"/>
      <c r="AD2120" s="71"/>
      <c r="AE2120" s="71"/>
      <c r="AF2120" s="71"/>
      <c r="AG2120" s="71"/>
      <c r="AH2120" s="71"/>
      <c r="AI2120" s="68"/>
      <c r="AJ2120" s="214">
        <v>2.0829999999999999E-4</v>
      </c>
      <c r="AK2120" s="214">
        <v>1.724</v>
      </c>
      <c r="AL2120" s="214">
        <v>2</v>
      </c>
      <c r="AM2120" s="214">
        <v>4.6182900000000003E-4</v>
      </c>
      <c r="AN2120" s="68"/>
      <c r="AO2120" s="67"/>
      <c r="AP2120" s="67"/>
      <c r="AQ2120" s="67"/>
      <c r="AR2120" s="67"/>
      <c r="AS2120" s="67"/>
      <c r="AT2120" s="68"/>
      <c r="AU2120" s="49"/>
      <c r="AV2120" s="50"/>
    </row>
    <row r="2121" spans="1:48" ht="12.75" customHeight="1" x14ac:dyDescent="0.25">
      <c r="A2121" s="72" t="s">
        <v>20</v>
      </c>
      <c r="B2121" s="43" t="s">
        <v>2240</v>
      </c>
      <c r="C2121" s="44" t="s">
        <v>2279</v>
      </c>
      <c r="D2121" s="45">
        <f>MROUND(MID($C2121,6,3)/Basis!$E$3,0.5)</f>
        <v>8</v>
      </c>
      <c r="E2121" s="45">
        <f>MROUND(MID($C2121,9,3)/Basis!$E$3,0.5)</f>
        <v>78.5</v>
      </c>
      <c r="F2121" s="124" t="s">
        <v>2945</v>
      </c>
      <c r="G2121" s="45">
        <f>ROUND((ROUNDDOWN($F2121/5,0)*5+1.8)/Basis!$E$3,1)</f>
        <v>8.6</v>
      </c>
      <c r="H2121" s="120">
        <f>ROUND($P2121*Basis!$E$2*((TaH-TrH)/LN(1/µ)/Basis!$E$7)^$N2121*$AA$4*Glycol,0)</f>
        <v>6569</v>
      </c>
      <c r="I2121" s="83">
        <f>ROUND(H2121/(MID($C2121,9,3)/Basis!$E$3/Basis!$E$9)*Basis!$E$11,0)</f>
        <v>1001</v>
      </c>
      <c r="J2121" s="123">
        <f>IF(Basis!$E$1=1,ROUND(H2121/((TaH-TrH)*1.163)/3600,3),ROUND(H2121/(500*(TaH-TrH)),2))</f>
        <v>0.66</v>
      </c>
      <c r="K2121" s="84"/>
      <c r="L2121" s="177">
        <f>CHOOSE(Basis!$E$1,((AJ2121*(J2121*3600/Basis!$E$5)^AK2121*(((MID(C2121,9,3)*10)-144)/1000)*AL2121+AM2121*(J2121*3600/Basis!$E$5)^2)*0.0098)/Basis!$E$10,((AJ2121*(J2121/Basis!$E$5)^AK2121*(((MID(C2121,9,3)*10)-144)/1000)*AL2121+AM2121*(J2121/Basis!$E$5)^2)*0.0098)/Basis!$E$10)</f>
        <v>3.6310259404728894E-2</v>
      </c>
      <c r="M2121" s="85"/>
      <c r="N2121" s="110">
        <v>1.4079999999999999</v>
      </c>
      <c r="O2121" s="74"/>
      <c r="P2121" s="73">
        <v>3064</v>
      </c>
      <c r="Q2121" s="74"/>
      <c r="R2121" s="75"/>
      <c r="S2121" s="75"/>
      <c r="T2121" s="75"/>
      <c r="U2121" s="75"/>
      <c r="V2121" s="75"/>
      <c r="W2121" s="74"/>
      <c r="X2121" s="76"/>
      <c r="Y2121" s="76"/>
      <c r="Z2121" s="76"/>
      <c r="AA2121" s="76"/>
      <c r="AB2121" s="76"/>
      <c r="AC2121" s="74"/>
      <c r="AD2121" s="77"/>
      <c r="AE2121" s="77"/>
      <c r="AF2121" s="77"/>
      <c r="AG2121" s="77"/>
      <c r="AH2121" s="77"/>
      <c r="AI2121" s="68"/>
      <c r="AJ2121" s="214">
        <v>1.2760000000000001E-4</v>
      </c>
      <c r="AK2121" s="214">
        <v>1.7219</v>
      </c>
      <c r="AL2121" s="214">
        <v>2</v>
      </c>
      <c r="AM2121" s="214">
        <v>3.76611E-4</v>
      </c>
      <c r="AN2121" s="74"/>
      <c r="AO2121" s="73"/>
      <c r="AP2121" s="73"/>
      <c r="AQ2121" s="73"/>
      <c r="AR2121" s="73"/>
      <c r="AS2121" s="73"/>
      <c r="AT2121" s="74"/>
      <c r="AU2121" s="47"/>
      <c r="AV2121" s="48"/>
    </row>
    <row r="2122" spans="1:48" ht="12.75" customHeight="1" x14ac:dyDescent="0.25">
      <c r="A2122" s="72" t="s">
        <v>20</v>
      </c>
      <c r="B2122" s="43" t="s">
        <v>2240</v>
      </c>
      <c r="C2122" s="44" t="s">
        <v>2280</v>
      </c>
      <c r="D2122" s="45">
        <f>MROUND(MID($C2122,6,3)/Basis!$E$3,0.5)</f>
        <v>8</v>
      </c>
      <c r="E2122" s="45">
        <f>MROUND(MID($C2122,9,3)/Basis!$E$3,0.5)</f>
        <v>86.5</v>
      </c>
      <c r="F2122" s="124" t="s">
        <v>2943</v>
      </c>
      <c r="G2122" s="45">
        <f>ROUND((ROUNDDOWN($F2122/5,0)*5+1.8)/Basis!$E$3,1)</f>
        <v>4.5999999999999996</v>
      </c>
      <c r="H2122" s="120">
        <f>ROUND($P2122*Basis!$E$2*((TaH-TrH)/LN(1/µ)/Basis!$E$7)^$N2122*$AA$4*Glycol,0)</f>
        <v>3084</v>
      </c>
      <c r="I2122" s="83">
        <f>ROUND(H2122/(MID($C2122,9,3)/Basis!$E$3/Basis!$E$9)*Basis!$E$11,0)</f>
        <v>427</v>
      </c>
      <c r="J2122" s="123">
        <f>IF(Basis!$E$1=1,ROUND(H2122/((TaH-TrH)*1.163)/3600,3),ROUND(H2122/(500*(TaH-TrH)),2))</f>
        <v>0.31</v>
      </c>
      <c r="K2122" s="84"/>
      <c r="L2122" s="177">
        <f>CHOOSE(Basis!$E$1,((AJ2122*(J2122*3600/Basis!$E$5)^AK2122*(((MID(C2122,9,3)*10)-144)/1000)*AL2122+AM2122*(J2122*3600/Basis!$E$5)^2)*0.0098)/Basis!$E$10,((AJ2122*(J2122/Basis!$E$5)^AK2122*(((MID(C2122,9,3)*10)-144)/1000)*AL2122+AM2122*(J2122/Basis!$E$5)^2)*0.0098)/Basis!$E$10)</f>
        <v>1.4507803186429911E-2</v>
      </c>
      <c r="M2122" s="85"/>
      <c r="N2122" s="109">
        <v>1.413</v>
      </c>
      <c r="O2122" s="68"/>
      <c r="P2122" s="67">
        <v>1441</v>
      </c>
      <c r="Q2122" s="68"/>
      <c r="R2122" s="69"/>
      <c r="S2122" s="69"/>
      <c r="T2122" s="69"/>
      <c r="U2122" s="69"/>
      <c r="V2122" s="69"/>
      <c r="W2122" s="68"/>
      <c r="X2122" s="70"/>
      <c r="Y2122" s="70"/>
      <c r="Z2122" s="70"/>
      <c r="AA2122" s="70"/>
      <c r="AB2122" s="70"/>
      <c r="AC2122" s="68"/>
      <c r="AD2122" s="71"/>
      <c r="AE2122" s="71"/>
      <c r="AF2122" s="71"/>
      <c r="AG2122" s="71"/>
      <c r="AH2122" s="71"/>
      <c r="AI2122" s="68"/>
      <c r="AJ2122" s="214">
        <v>3.9689999999999994E-4</v>
      </c>
      <c r="AK2122" s="214">
        <v>1.7345999999999999</v>
      </c>
      <c r="AL2122" s="214">
        <v>2</v>
      </c>
      <c r="AM2122" s="214">
        <v>3.6734700000000002E-4</v>
      </c>
      <c r="AN2122" s="68"/>
      <c r="AO2122" s="67"/>
      <c r="AP2122" s="67"/>
      <c r="AQ2122" s="67"/>
      <c r="AR2122" s="67"/>
      <c r="AS2122" s="67"/>
      <c r="AT2122" s="68"/>
      <c r="AU2122" s="49"/>
      <c r="AV2122" s="50"/>
    </row>
    <row r="2123" spans="1:48" ht="12.75" customHeight="1" x14ac:dyDescent="0.25">
      <c r="A2123" s="72" t="s">
        <v>20</v>
      </c>
      <c r="B2123" s="43" t="s">
        <v>2240</v>
      </c>
      <c r="C2123" s="44" t="s">
        <v>2281</v>
      </c>
      <c r="D2123" s="45">
        <f>MROUND(MID($C2123,6,3)/Basis!$E$3,0.5)</f>
        <v>8</v>
      </c>
      <c r="E2123" s="45">
        <f>MROUND(MID($C2123,9,3)/Basis!$E$3,0.5)</f>
        <v>86.5</v>
      </c>
      <c r="F2123" s="124" t="s">
        <v>2944</v>
      </c>
      <c r="G2123" s="45">
        <f>ROUND((ROUNDDOWN($F2123/5,0)*5+1.8)/Basis!$E$3,1)</f>
        <v>6.6</v>
      </c>
      <c r="H2123" s="120">
        <f>ROUND($P2123*Basis!$E$2*((TaH-TrH)/LN(1/µ)/Basis!$E$7)^$N2123*$AA$4*Glycol,0)</f>
        <v>5141</v>
      </c>
      <c r="I2123" s="83">
        <f>ROUND(H2123/(MID($C2123,9,3)/Basis!$E$3/Basis!$E$9)*Basis!$E$11,0)</f>
        <v>712</v>
      </c>
      <c r="J2123" s="123">
        <f>IF(Basis!$E$1=1,ROUND(H2123/((TaH-TrH)*1.163)/3600,3),ROUND(H2123/(500*(TaH-TrH)),2))</f>
        <v>0.51</v>
      </c>
      <c r="K2123" s="84"/>
      <c r="L2123" s="177">
        <f>CHOOSE(Basis!$E$1,((AJ2123*(J2123*3600/Basis!$E$5)^AK2123*(((MID(C2123,9,3)*10)-144)/1000)*AL2123+AM2123*(J2123*3600/Basis!$E$5)^2)*0.0098)/Basis!$E$10,((AJ2123*(J2123/Basis!$E$5)^AK2123*(((MID(C2123,9,3)*10)-144)/1000)*AL2123+AM2123*(J2123/Basis!$E$5)^2)*0.0098)/Basis!$E$10)</f>
        <v>3.0383859745280586E-2</v>
      </c>
      <c r="M2123" s="85"/>
      <c r="N2123" s="110">
        <v>1.4079999999999999</v>
      </c>
      <c r="O2123" s="74"/>
      <c r="P2123" s="73">
        <v>2398</v>
      </c>
      <c r="Q2123" s="74"/>
      <c r="R2123" s="75"/>
      <c r="S2123" s="75"/>
      <c r="T2123" s="75"/>
      <c r="U2123" s="75"/>
      <c r="V2123" s="75"/>
      <c r="W2123" s="74"/>
      <c r="X2123" s="76"/>
      <c r="Y2123" s="76"/>
      <c r="Z2123" s="76"/>
      <c r="AA2123" s="76"/>
      <c r="AB2123" s="76"/>
      <c r="AC2123" s="74"/>
      <c r="AD2123" s="77"/>
      <c r="AE2123" s="77"/>
      <c r="AF2123" s="77"/>
      <c r="AG2123" s="77"/>
      <c r="AH2123" s="77"/>
      <c r="AI2123" s="68"/>
      <c r="AJ2123" s="213">
        <v>2.0829999999999999E-4</v>
      </c>
      <c r="AK2123" s="213">
        <v>1.724</v>
      </c>
      <c r="AL2123" s="213">
        <v>2</v>
      </c>
      <c r="AM2123" s="213">
        <v>4.6182900000000003E-4</v>
      </c>
      <c r="AN2123" s="74"/>
      <c r="AO2123" s="73"/>
      <c r="AP2123" s="73"/>
      <c r="AQ2123" s="73"/>
      <c r="AR2123" s="73"/>
      <c r="AS2123" s="73"/>
      <c r="AT2123" s="74"/>
      <c r="AU2123" s="47"/>
      <c r="AV2123" s="48"/>
    </row>
    <row r="2124" spans="1:48" ht="12.75" customHeight="1" x14ac:dyDescent="0.25">
      <c r="A2124" s="72" t="s">
        <v>20</v>
      </c>
      <c r="B2124" s="43" t="s">
        <v>2240</v>
      </c>
      <c r="C2124" s="44" t="s">
        <v>2282</v>
      </c>
      <c r="D2124" s="45">
        <f>MROUND(MID($C2124,6,3)/Basis!$E$3,0.5)</f>
        <v>8</v>
      </c>
      <c r="E2124" s="45">
        <f>MROUND(MID($C2124,9,3)/Basis!$E$3,0.5)</f>
        <v>86.5</v>
      </c>
      <c r="F2124" s="124" t="s">
        <v>2945</v>
      </c>
      <c r="G2124" s="45">
        <f>ROUND((ROUNDDOWN($F2124/5,0)*5+1.8)/Basis!$E$3,1)</f>
        <v>8.6</v>
      </c>
      <c r="H2124" s="120">
        <f>ROUND($P2124*Basis!$E$2*((TaH-TrH)/LN(1/µ)/Basis!$E$7)^$N2124*$AA$4*Glycol,0)</f>
        <v>7225</v>
      </c>
      <c r="I2124" s="83">
        <f>ROUND(H2124/(MID($C2124,9,3)/Basis!$E$3/Basis!$E$9)*Basis!$E$11,0)</f>
        <v>1001</v>
      </c>
      <c r="J2124" s="123">
        <f>IF(Basis!$E$1=1,ROUND(H2124/((TaH-TrH)*1.163)/3600,3),ROUND(H2124/(500*(TaH-TrH)),2))</f>
        <v>0.72</v>
      </c>
      <c r="K2124" s="84"/>
      <c r="L2124" s="177">
        <f>CHOOSE(Basis!$E$1,((AJ2124*(J2124*3600/Basis!$E$5)^AK2124*(((MID(C2124,9,3)*10)-144)/1000)*AL2124+AM2124*(J2124*3600/Basis!$E$5)^2)*0.0098)/Basis!$E$10,((AJ2124*(J2124/Basis!$E$5)^AK2124*(((MID(C2124,9,3)*10)-144)/1000)*AL2124+AM2124*(J2124/Basis!$E$5)^2)*0.0098)/Basis!$E$10)</f>
        <v>4.404786954282449E-2</v>
      </c>
      <c r="M2124" s="85"/>
      <c r="N2124" s="109">
        <v>1.4079999999999999</v>
      </c>
      <c r="O2124" s="68"/>
      <c r="P2124" s="67">
        <v>3370</v>
      </c>
      <c r="Q2124" s="68"/>
      <c r="R2124" s="69"/>
      <c r="S2124" s="69"/>
      <c r="T2124" s="69"/>
      <c r="U2124" s="69"/>
      <c r="V2124" s="69"/>
      <c r="W2124" s="68"/>
      <c r="X2124" s="70"/>
      <c r="Y2124" s="70"/>
      <c r="Z2124" s="70"/>
      <c r="AA2124" s="70"/>
      <c r="AB2124" s="70"/>
      <c r="AC2124" s="68"/>
      <c r="AD2124" s="71"/>
      <c r="AE2124" s="71"/>
      <c r="AF2124" s="71"/>
      <c r="AG2124" s="71"/>
      <c r="AH2124" s="71"/>
      <c r="AI2124" s="68"/>
      <c r="AJ2124" s="214">
        <v>1.2760000000000001E-4</v>
      </c>
      <c r="AK2124" s="214">
        <v>1.7219</v>
      </c>
      <c r="AL2124" s="214">
        <v>2</v>
      </c>
      <c r="AM2124" s="214">
        <v>3.76611E-4</v>
      </c>
      <c r="AN2124" s="68"/>
      <c r="AO2124" s="67"/>
      <c r="AP2124" s="67"/>
      <c r="AQ2124" s="67"/>
      <c r="AR2124" s="67"/>
      <c r="AS2124" s="67"/>
      <c r="AT2124" s="68"/>
      <c r="AU2124" s="49"/>
      <c r="AV2124" s="50"/>
    </row>
    <row r="2125" spans="1:48" ht="12.75" customHeight="1" x14ac:dyDescent="0.25">
      <c r="A2125" s="72" t="s">
        <v>20</v>
      </c>
      <c r="B2125" s="43" t="s">
        <v>2240</v>
      </c>
      <c r="C2125" s="44" t="s">
        <v>2283</v>
      </c>
      <c r="D2125" s="45">
        <f>MROUND(MID($C2125,6,3)/Basis!$E$3,0.5)</f>
        <v>8</v>
      </c>
      <c r="E2125" s="45">
        <f>MROUND(MID($C2125,9,3)/Basis!$E$3,0.5)</f>
        <v>94.5</v>
      </c>
      <c r="F2125" s="124" t="s">
        <v>2943</v>
      </c>
      <c r="G2125" s="45">
        <f>ROUND((ROUNDDOWN($F2125/5,0)*5+1.8)/Basis!$E$3,1)</f>
        <v>4.5999999999999996</v>
      </c>
      <c r="H2125" s="120">
        <f>ROUND($P2125*Basis!$E$2*((TaH-TrH)/LN(1/µ)/Basis!$E$7)^$N2125*$AA$4*Glycol,0)</f>
        <v>3365</v>
      </c>
      <c r="I2125" s="83">
        <f>ROUND(H2125/(MID($C2125,9,3)/Basis!$E$3/Basis!$E$9)*Basis!$E$11,0)</f>
        <v>427</v>
      </c>
      <c r="J2125" s="123">
        <f>IF(Basis!$E$1=1,ROUND(H2125/((TaH-TrH)*1.163)/3600,3),ROUND(H2125/(500*(TaH-TrH)),2))</f>
        <v>0.34</v>
      </c>
      <c r="K2125" s="84"/>
      <c r="L2125" s="177">
        <f>CHOOSE(Basis!$E$1,((AJ2125*(J2125*3600/Basis!$E$5)^AK2125*(((MID(C2125,9,3)*10)-144)/1000)*AL2125+AM2125*(J2125*3600/Basis!$E$5)^2)*0.0098)/Basis!$E$10,((AJ2125*(J2125/Basis!$E$5)^AK2125*(((MID(C2125,9,3)*10)-144)/1000)*AL2125+AM2125*(J2125/Basis!$E$5)^2)*0.0098)/Basis!$E$10)</f>
        <v>1.8179094256636105E-2</v>
      </c>
      <c r="M2125" s="85"/>
      <c r="N2125" s="110">
        <v>1.413</v>
      </c>
      <c r="O2125" s="74"/>
      <c r="P2125" s="73">
        <v>1572</v>
      </c>
      <c r="Q2125" s="74"/>
      <c r="R2125" s="75"/>
      <c r="S2125" s="75"/>
      <c r="T2125" s="75"/>
      <c r="U2125" s="75"/>
      <c r="V2125" s="75"/>
      <c r="W2125" s="74"/>
      <c r="X2125" s="76"/>
      <c r="Y2125" s="76"/>
      <c r="Z2125" s="76"/>
      <c r="AA2125" s="76"/>
      <c r="AB2125" s="76"/>
      <c r="AC2125" s="74"/>
      <c r="AD2125" s="77"/>
      <c r="AE2125" s="77"/>
      <c r="AF2125" s="77"/>
      <c r="AG2125" s="77"/>
      <c r="AH2125" s="77"/>
      <c r="AI2125" s="68"/>
      <c r="AJ2125" s="213">
        <v>3.9689999999999994E-4</v>
      </c>
      <c r="AK2125" s="213">
        <v>1.7345999999999999</v>
      </c>
      <c r="AL2125" s="213">
        <v>2</v>
      </c>
      <c r="AM2125" s="213">
        <v>3.6734700000000002E-4</v>
      </c>
      <c r="AN2125" s="74"/>
      <c r="AO2125" s="73"/>
      <c r="AP2125" s="73"/>
      <c r="AQ2125" s="73"/>
      <c r="AR2125" s="73"/>
      <c r="AS2125" s="73"/>
      <c r="AT2125" s="74"/>
      <c r="AU2125" s="47"/>
      <c r="AV2125" s="48"/>
    </row>
    <row r="2126" spans="1:48" ht="12.75" customHeight="1" x14ac:dyDescent="0.25">
      <c r="A2126" s="72" t="s">
        <v>20</v>
      </c>
      <c r="B2126" s="43" t="s">
        <v>2240</v>
      </c>
      <c r="C2126" s="44" t="s">
        <v>2284</v>
      </c>
      <c r="D2126" s="45">
        <f>MROUND(MID($C2126,6,3)/Basis!$E$3,0.5)</f>
        <v>8</v>
      </c>
      <c r="E2126" s="45">
        <f>MROUND(MID($C2126,9,3)/Basis!$E$3,0.5)</f>
        <v>94.5</v>
      </c>
      <c r="F2126" s="124" t="s">
        <v>2944</v>
      </c>
      <c r="G2126" s="45">
        <f>ROUND((ROUNDDOWN($F2126/5,0)*5+1.8)/Basis!$E$3,1)</f>
        <v>6.6</v>
      </c>
      <c r="H2126" s="120">
        <f>ROUND($P2126*Basis!$E$2*((TaH-TrH)/LN(1/µ)/Basis!$E$7)^$N2126*$AA$4*Glycol,0)</f>
        <v>5608</v>
      </c>
      <c r="I2126" s="83">
        <f>ROUND(H2126/(MID($C2126,9,3)/Basis!$E$3/Basis!$E$9)*Basis!$E$11,0)</f>
        <v>712</v>
      </c>
      <c r="J2126" s="123">
        <f>IF(Basis!$E$1=1,ROUND(H2126/((TaH-TrH)*1.163)/3600,3),ROUND(H2126/(500*(TaH-TrH)),2))</f>
        <v>0.56000000000000005</v>
      </c>
      <c r="K2126" s="84"/>
      <c r="L2126" s="177">
        <f>CHOOSE(Basis!$E$1,((AJ2126*(J2126*3600/Basis!$E$5)^AK2126*(((MID(C2126,9,3)*10)-144)/1000)*AL2126+AM2126*(J2126*3600/Basis!$E$5)^2)*0.0098)/Basis!$E$10,((AJ2126*(J2126/Basis!$E$5)^AK2126*(((MID(C2126,9,3)*10)-144)/1000)*AL2126+AM2126*(J2126/Basis!$E$5)^2)*0.0098)/Basis!$E$10)</f>
        <v>3.747951055948457E-2</v>
      </c>
      <c r="M2126" s="85"/>
      <c r="N2126" s="109">
        <v>1.4079999999999999</v>
      </c>
      <c r="O2126" s="68"/>
      <c r="P2126" s="67">
        <v>2616</v>
      </c>
      <c r="Q2126" s="68"/>
      <c r="R2126" s="69"/>
      <c r="S2126" s="69"/>
      <c r="T2126" s="69"/>
      <c r="U2126" s="69"/>
      <c r="V2126" s="69"/>
      <c r="W2126" s="68"/>
      <c r="X2126" s="70"/>
      <c r="Y2126" s="70"/>
      <c r="Z2126" s="70"/>
      <c r="AA2126" s="70"/>
      <c r="AB2126" s="70"/>
      <c r="AC2126" s="68"/>
      <c r="AD2126" s="71"/>
      <c r="AE2126" s="71"/>
      <c r="AF2126" s="71"/>
      <c r="AG2126" s="71"/>
      <c r="AH2126" s="71"/>
      <c r="AI2126" s="68"/>
      <c r="AJ2126" s="214">
        <v>2.0829999999999999E-4</v>
      </c>
      <c r="AK2126" s="214">
        <v>1.724</v>
      </c>
      <c r="AL2126" s="214">
        <v>2</v>
      </c>
      <c r="AM2126" s="214">
        <v>4.6182900000000003E-4</v>
      </c>
      <c r="AN2126" s="68"/>
      <c r="AO2126" s="67"/>
      <c r="AP2126" s="67"/>
      <c r="AQ2126" s="67"/>
      <c r="AR2126" s="67"/>
      <c r="AS2126" s="67"/>
      <c r="AT2126" s="68"/>
      <c r="AU2126" s="49"/>
      <c r="AV2126" s="50"/>
    </row>
    <row r="2127" spans="1:48" ht="12.75" customHeight="1" x14ac:dyDescent="0.25">
      <c r="A2127" s="72" t="s">
        <v>20</v>
      </c>
      <c r="B2127" s="43" t="s">
        <v>2240</v>
      </c>
      <c r="C2127" s="44" t="s">
        <v>2285</v>
      </c>
      <c r="D2127" s="45">
        <f>MROUND(MID($C2127,6,3)/Basis!$E$3,0.5)</f>
        <v>8</v>
      </c>
      <c r="E2127" s="45">
        <f>MROUND(MID($C2127,9,3)/Basis!$E$3,0.5)</f>
        <v>94.5</v>
      </c>
      <c r="F2127" s="124" t="s">
        <v>2945</v>
      </c>
      <c r="G2127" s="45">
        <f>ROUND((ROUNDDOWN($F2127/5,0)*5+1.8)/Basis!$E$3,1)</f>
        <v>8.6</v>
      </c>
      <c r="H2127" s="120">
        <f>ROUND($P2127*Basis!$E$2*((TaH-TrH)/LN(1/µ)/Basis!$E$7)^$N2127*$AA$4*Glycol,0)</f>
        <v>7883</v>
      </c>
      <c r="I2127" s="83">
        <f>ROUND(H2127/(MID($C2127,9,3)/Basis!$E$3/Basis!$E$9)*Basis!$E$11,0)</f>
        <v>1001</v>
      </c>
      <c r="J2127" s="123">
        <f>IF(Basis!$E$1=1,ROUND(H2127/((TaH-TrH)*1.163)/3600,3),ROUND(H2127/(500*(TaH-TrH)),2))</f>
        <v>0.79</v>
      </c>
      <c r="K2127" s="84"/>
      <c r="L2127" s="177">
        <f>CHOOSE(Basis!$E$1,((AJ2127*(J2127*3600/Basis!$E$5)^AK2127*(((MID(C2127,9,3)*10)-144)/1000)*AL2127+AM2127*(J2127*3600/Basis!$E$5)^2)*0.0098)/Basis!$E$10,((AJ2127*(J2127/Basis!$E$5)^AK2127*(((MID(C2127,9,3)*10)-144)/1000)*AL2127+AM2127*(J2127/Basis!$E$5)^2)*0.0098)/Basis!$E$10)</f>
        <v>5.3956963880664628E-2</v>
      </c>
      <c r="M2127" s="85"/>
      <c r="N2127" s="110">
        <v>1.4079999999999999</v>
      </c>
      <c r="O2127" s="74"/>
      <c r="P2127" s="73">
        <v>3677</v>
      </c>
      <c r="Q2127" s="74"/>
      <c r="R2127" s="75"/>
      <c r="S2127" s="75"/>
      <c r="T2127" s="75"/>
      <c r="U2127" s="75"/>
      <c r="V2127" s="75"/>
      <c r="W2127" s="74"/>
      <c r="X2127" s="76"/>
      <c r="Y2127" s="76"/>
      <c r="Z2127" s="76"/>
      <c r="AA2127" s="76"/>
      <c r="AB2127" s="76"/>
      <c r="AC2127" s="74"/>
      <c r="AD2127" s="77"/>
      <c r="AE2127" s="77"/>
      <c r="AF2127" s="77"/>
      <c r="AG2127" s="77"/>
      <c r="AH2127" s="77"/>
      <c r="AI2127" s="68"/>
      <c r="AJ2127" s="214">
        <v>1.2760000000000001E-4</v>
      </c>
      <c r="AK2127" s="214">
        <v>1.7219</v>
      </c>
      <c r="AL2127" s="214">
        <v>2</v>
      </c>
      <c r="AM2127" s="214">
        <v>3.76611E-4</v>
      </c>
      <c r="AN2127" s="74"/>
      <c r="AO2127" s="73"/>
      <c r="AP2127" s="73"/>
      <c r="AQ2127" s="73"/>
      <c r="AR2127" s="73"/>
      <c r="AS2127" s="73"/>
      <c r="AT2127" s="74"/>
      <c r="AU2127" s="47"/>
      <c r="AV2127" s="48"/>
    </row>
    <row r="2128" spans="1:48" ht="12.75" customHeight="1" x14ac:dyDescent="0.25">
      <c r="A2128" s="72" t="s">
        <v>20</v>
      </c>
      <c r="B2128" s="43" t="s">
        <v>2240</v>
      </c>
      <c r="C2128" s="44" t="s">
        <v>2286</v>
      </c>
      <c r="D2128" s="45">
        <f>MROUND(MID($C2128,6,3)/Basis!$E$3,0.5)</f>
        <v>8</v>
      </c>
      <c r="E2128" s="45">
        <f>MROUND(MID($C2128,9,3)/Basis!$E$3,0.5)</f>
        <v>102.5</v>
      </c>
      <c r="F2128" s="124" t="s">
        <v>2943</v>
      </c>
      <c r="G2128" s="45">
        <f>ROUND((ROUNDDOWN($F2128/5,0)*5+1.8)/Basis!$E$3,1)</f>
        <v>4.5999999999999996</v>
      </c>
      <c r="H2128" s="120">
        <f>ROUND($P2128*Basis!$E$2*((TaH-TrH)/LN(1/µ)/Basis!$E$7)^$N2128*$AA$4*Glycol,0)</f>
        <v>3645</v>
      </c>
      <c r="I2128" s="83">
        <f>ROUND(H2128/(MID($C2128,9,3)/Basis!$E$3/Basis!$E$9)*Basis!$E$11,0)</f>
        <v>427</v>
      </c>
      <c r="J2128" s="123">
        <f>IF(Basis!$E$1=1,ROUND(H2128/((TaH-TrH)*1.163)/3600,3),ROUND(H2128/(500*(TaH-TrH)),2))</f>
        <v>0.36</v>
      </c>
      <c r="K2128" s="84"/>
      <c r="L2128" s="177">
        <f>CHOOSE(Basis!$E$1,((AJ2128*(J2128*3600/Basis!$E$5)^AK2128*(((MID(C2128,9,3)*10)-144)/1000)*AL2128+AM2128*(J2128*3600/Basis!$E$5)^2)*0.0098)/Basis!$E$10,((AJ2128*(J2128/Basis!$E$5)^AK2128*(((MID(C2128,9,3)*10)-144)/1000)*AL2128+AM2128*(J2128/Basis!$E$5)^2)*0.0098)/Basis!$E$10)</f>
        <v>2.1273202054444634E-2</v>
      </c>
      <c r="M2128" s="85"/>
      <c r="N2128" s="109">
        <v>1.413</v>
      </c>
      <c r="O2128" s="68"/>
      <c r="P2128" s="67">
        <v>1703</v>
      </c>
      <c r="Q2128" s="68"/>
      <c r="R2128" s="69"/>
      <c r="S2128" s="69"/>
      <c r="T2128" s="69"/>
      <c r="U2128" s="69"/>
      <c r="V2128" s="69"/>
      <c r="W2128" s="68"/>
      <c r="X2128" s="70"/>
      <c r="Y2128" s="70"/>
      <c r="Z2128" s="70"/>
      <c r="AA2128" s="70"/>
      <c r="AB2128" s="70"/>
      <c r="AC2128" s="68"/>
      <c r="AD2128" s="71"/>
      <c r="AE2128" s="71"/>
      <c r="AF2128" s="71"/>
      <c r="AG2128" s="71"/>
      <c r="AH2128" s="71"/>
      <c r="AI2128" s="68"/>
      <c r="AJ2128" s="214">
        <v>3.9689999999999994E-4</v>
      </c>
      <c r="AK2128" s="214">
        <v>1.7345999999999999</v>
      </c>
      <c r="AL2128" s="214">
        <v>2</v>
      </c>
      <c r="AM2128" s="214">
        <v>3.6734700000000002E-4</v>
      </c>
      <c r="AN2128" s="68"/>
      <c r="AO2128" s="67"/>
      <c r="AP2128" s="67"/>
      <c r="AQ2128" s="67"/>
      <c r="AR2128" s="67"/>
      <c r="AS2128" s="67"/>
      <c r="AT2128" s="68"/>
      <c r="AU2128" s="49"/>
      <c r="AV2128" s="50"/>
    </row>
    <row r="2129" spans="1:48" ht="12.75" customHeight="1" x14ac:dyDescent="0.25">
      <c r="A2129" s="72" t="s">
        <v>20</v>
      </c>
      <c r="B2129" s="43" t="s">
        <v>2240</v>
      </c>
      <c r="C2129" s="44" t="s">
        <v>2287</v>
      </c>
      <c r="D2129" s="45">
        <f>MROUND(MID($C2129,6,3)/Basis!$E$3,0.5)</f>
        <v>8</v>
      </c>
      <c r="E2129" s="45">
        <f>MROUND(MID($C2129,9,3)/Basis!$E$3,0.5)</f>
        <v>102.5</v>
      </c>
      <c r="F2129" s="124" t="s">
        <v>2944</v>
      </c>
      <c r="G2129" s="45">
        <f>ROUND((ROUNDDOWN($F2129/5,0)*5+1.8)/Basis!$E$3,1)</f>
        <v>6.6</v>
      </c>
      <c r="H2129" s="120">
        <f>ROUND($P2129*Basis!$E$2*((TaH-TrH)/LN(1/µ)/Basis!$E$7)^$N2129*$AA$4*Glycol,0)</f>
        <v>6076</v>
      </c>
      <c r="I2129" s="83">
        <f>ROUND(H2129/(MID($C2129,9,3)/Basis!$E$3/Basis!$E$9)*Basis!$E$11,0)</f>
        <v>712</v>
      </c>
      <c r="J2129" s="123">
        <f>IF(Basis!$E$1=1,ROUND(H2129/((TaH-TrH)*1.163)/3600,3),ROUND(H2129/(500*(TaH-TrH)),2))</f>
        <v>0.61</v>
      </c>
      <c r="K2129" s="84"/>
      <c r="L2129" s="177">
        <f>CHOOSE(Basis!$E$1,((AJ2129*(J2129*3600/Basis!$E$5)^AK2129*(((MID(C2129,9,3)*10)-144)/1000)*AL2129+AM2129*(J2129*3600/Basis!$E$5)^2)*0.0098)/Basis!$E$10,((AJ2129*(J2129/Basis!$E$5)^AK2129*(((MID(C2129,9,3)*10)-144)/1000)*AL2129+AM2129*(J2129/Basis!$E$5)^2)*0.0098)/Basis!$E$10)</f>
        <v>4.5450638697504757E-2</v>
      </c>
      <c r="M2129" s="85"/>
      <c r="N2129" s="110">
        <v>1.4079999999999999</v>
      </c>
      <c r="O2129" s="74"/>
      <c r="P2129" s="73">
        <v>2834</v>
      </c>
      <c r="Q2129" s="74"/>
      <c r="R2129" s="75"/>
      <c r="S2129" s="75"/>
      <c r="T2129" s="75"/>
      <c r="U2129" s="75"/>
      <c r="V2129" s="75"/>
      <c r="W2129" s="74"/>
      <c r="X2129" s="76"/>
      <c r="Y2129" s="76"/>
      <c r="Z2129" s="76"/>
      <c r="AA2129" s="76"/>
      <c r="AB2129" s="76"/>
      <c r="AC2129" s="74"/>
      <c r="AD2129" s="77"/>
      <c r="AE2129" s="77"/>
      <c r="AF2129" s="77"/>
      <c r="AG2129" s="77"/>
      <c r="AH2129" s="77"/>
      <c r="AI2129" s="68"/>
      <c r="AJ2129" s="213">
        <v>2.0829999999999999E-4</v>
      </c>
      <c r="AK2129" s="213">
        <v>1.724</v>
      </c>
      <c r="AL2129" s="213">
        <v>2</v>
      </c>
      <c r="AM2129" s="213">
        <v>4.6182900000000003E-4</v>
      </c>
      <c r="AN2129" s="74"/>
      <c r="AO2129" s="73"/>
      <c r="AP2129" s="73"/>
      <c r="AQ2129" s="73"/>
      <c r="AR2129" s="73"/>
      <c r="AS2129" s="73"/>
      <c r="AT2129" s="74"/>
      <c r="AU2129" s="47"/>
      <c r="AV2129" s="48"/>
    </row>
    <row r="2130" spans="1:48" ht="12.75" customHeight="1" x14ac:dyDescent="0.25">
      <c r="A2130" s="72" t="s">
        <v>20</v>
      </c>
      <c r="B2130" s="43" t="s">
        <v>2240</v>
      </c>
      <c r="C2130" s="44" t="s">
        <v>2288</v>
      </c>
      <c r="D2130" s="45">
        <f>MROUND(MID($C2130,6,3)/Basis!$E$3,0.5)</f>
        <v>8</v>
      </c>
      <c r="E2130" s="45">
        <f>MROUND(MID($C2130,9,3)/Basis!$E$3,0.5)</f>
        <v>102.5</v>
      </c>
      <c r="F2130" s="124" t="s">
        <v>2945</v>
      </c>
      <c r="G2130" s="45">
        <f>ROUND((ROUNDDOWN($F2130/5,0)*5+1.8)/Basis!$E$3,1)</f>
        <v>8.6</v>
      </c>
      <c r="H2130" s="120">
        <f>ROUND($P2130*Basis!$E$2*((TaH-TrH)/LN(1/µ)/Basis!$E$7)^$N2130*$AA$4*Glycol,0)</f>
        <v>8539</v>
      </c>
      <c r="I2130" s="83">
        <f>ROUND(H2130/(MID($C2130,9,3)/Basis!$E$3/Basis!$E$9)*Basis!$E$11,0)</f>
        <v>1001</v>
      </c>
      <c r="J2130" s="123">
        <f>IF(Basis!$E$1=1,ROUND(H2130/((TaH-TrH)*1.163)/3600,3),ROUND(H2130/(500*(TaH-TrH)),2))</f>
        <v>0.85</v>
      </c>
      <c r="K2130" s="84"/>
      <c r="L2130" s="177">
        <f>CHOOSE(Basis!$E$1,((AJ2130*(J2130*3600/Basis!$E$5)^AK2130*(((MID(C2130,9,3)*10)-144)/1000)*AL2130+AM2130*(J2130*3600/Basis!$E$5)^2)*0.0098)/Basis!$E$10,((AJ2130*(J2130/Basis!$E$5)^AK2130*(((MID(C2130,9,3)*10)-144)/1000)*AL2130+AM2130*(J2130/Basis!$E$5)^2)*0.0098)/Basis!$E$10)</f>
        <v>6.3569570487582105E-2</v>
      </c>
      <c r="M2130" s="85"/>
      <c r="N2130" s="109">
        <v>1.4079999999999999</v>
      </c>
      <c r="O2130" s="68"/>
      <c r="P2130" s="67">
        <v>3983</v>
      </c>
      <c r="Q2130" s="68"/>
      <c r="R2130" s="69"/>
      <c r="S2130" s="69"/>
      <c r="T2130" s="69"/>
      <c r="U2130" s="69"/>
      <c r="V2130" s="69"/>
      <c r="W2130" s="68"/>
      <c r="X2130" s="70"/>
      <c r="Y2130" s="70"/>
      <c r="Z2130" s="70"/>
      <c r="AA2130" s="70"/>
      <c r="AB2130" s="70"/>
      <c r="AC2130" s="68"/>
      <c r="AD2130" s="71"/>
      <c r="AE2130" s="71"/>
      <c r="AF2130" s="71"/>
      <c r="AG2130" s="71"/>
      <c r="AH2130" s="71"/>
      <c r="AI2130" s="68"/>
      <c r="AJ2130" s="214">
        <v>1.2760000000000001E-4</v>
      </c>
      <c r="AK2130" s="214">
        <v>1.7219</v>
      </c>
      <c r="AL2130" s="214">
        <v>2</v>
      </c>
      <c r="AM2130" s="214">
        <v>3.76611E-4</v>
      </c>
      <c r="AN2130" s="68"/>
      <c r="AO2130" s="67"/>
      <c r="AP2130" s="67"/>
      <c r="AQ2130" s="67"/>
      <c r="AR2130" s="67"/>
      <c r="AS2130" s="67"/>
      <c r="AT2130" s="68"/>
      <c r="AU2130" s="49"/>
      <c r="AV2130" s="50"/>
    </row>
    <row r="2131" spans="1:48" ht="12.75" customHeight="1" x14ac:dyDescent="0.25">
      <c r="A2131" s="72" t="s">
        <v>20</v>
      </c>
      <c r="B2131" s="43" t="s">
        <v>2240</v>
      </c>
      <c r="C2131" s="44" t="s">
        <v>2289</v>
      </c>
      <c r="D2131" s="45">
        <f>MROUND(MID($C2131,6,3)/Basis!$E$3,0.5)</f>
        <v>8</v>
      </c>
      <c r="E2131" s="45">
        <f>MROUND(MID($C2131,9,3)/Basis!$E$3,0.5)</f>
        <v>110</v>
      </c>
      <c r="F2131" s="124" t="s">
        <v>2943</v>
      </c>
      <c r="G2131" s="45">
        <f>ROUND((ROUNDDOWN($F2131/5,0)*5+1.8)/Basis!$E$3,1)</f>
        <v>4.5999999999999996</v>
      </c>
      <c r="H2131" s="120">
        <f>ROUND($P2131*Basis!$E$2*((TaH-TrH)/LN(1/µ)/Basis!$E$7)^$N2131*$AA$4*Glycol,0)</f>
        <v>3925</v>
      </c>
      <c r="I2131" s="83">
        <f>ROUND(H2131/(MID($C2131,9,3)/Basis!$E$3/Basis!$E$9)*Basis!$E$11,0)</f>
        <v>427</v>
      </c>
      <c r="J2131" s="123">
        <f>IF(Basis!$E$1=1,ROUND(H2131/((TaH-TrH)*1.163)/3600,3),ROUND(H2131/(500*(TaH-TrH)),2))</f>
        <v>0.39</v>
      </c>
      <c r="K2131" s="84"/>
      <c r="L2131" s="177">
        <f>CHOOSE(Basis!$E$1,((AJ2131*(J2131*3600/Basis!$E$5)^AK2131*(((MID(C2131,9,3)*10)-144)/1000)*AL2131+AM2131*(J2131*3600/Basis!$E$5)^2)*0.0098)/Basis!$E$10,((AJ2131*(J2131/Basis!$E$5)^AK2131*(((MID(C2131,9,3)*10)-144)/1000)*AL2131+AM2131*(J2131/Basis!$E$5)^2)*0.0098)/Basis!$E$10)</f>
        <v>2.5878833700040665E-2</v>
      </c>
      <c r="M2131" s="85"/>
      <c r="N2131" s="110">
        <v>1.413</v>
      </c>
      <c r="O2131" s="74"/>
      <c r="P2131" s="73">
        <v>1834</v>
      </c>
      <c r="Q2131" s="74"/>
      <c r="R2131" s="75"/>
      <c r="S2131" s="75"/>
      <c r="T2131" s="75"/>
      <c r="U2131" s="75"/>
      <c r="V2131" s="75"/>
      <c r="W2131" s="74"/>
      <c r="X2131" s="76"/>
      <c r="Y2131" s="76"/>
      <c r="Z2131" s="76"/>
      <c r="AA2131" s="76"/>
      <c r="AB2131" s="76"/>
      <c r="AC2131" s="74"/>
      <c r="AD2131" s="77"/>
      <c r="AE2131" s="77"/>
      <c r="AF2131" s="77"/>
      <c r="AG2131" s="77"/>
      <c r="AH2131" s="77"/>
      <c r="AI2131" s="68"/>
      <c r="AJ2131" s="213">
        <v>3.9689999999999994E-4</v>
      </c>
      <c r="AK2131" s="213">
        <v>1.7345999999999999</v>
      </c>
      <c r="AL2131" s="213">
        <v>2</v>
      </c>
      <c r="AM2131" s="213">
        <v>3.6734700000000002E-4</v>
      </c>
      <c r="AN2131" s="74"/>
      <c r="AO2131" s="73"/>
      <c r="AP2131" s="73"/>
      <c r="AQ2131" s="73"/>
      <c r="AR2131" s="73"/>
      <c r="AS2131" s="73"/>
      <c r="AT2131" s="74"/>
      <c r="AU2131" s="47"/>
      <c r="AV2131" s="48"/>
    </row>
    <row r="2132" spans="1:48" ht="12.75" customHeight="1" x14ac:dyDescent="0.25">
      <c r="A2132" s="72" t="s">
        <v>20</v>
      </c>
      <c r="B2132" s="43" t="s">
        <v>2240</v>
      </c>
      <c r="C2132" s="44" t="s">
        <v>2290</v>
      </c>
      <c r="D2132" s="45">
        <f>MROUND(MID($C2132,6,3)/Basis!$E$3,0.5)</f>
        <v>8</v>
      </c>
      <c r="E2132" s="45">
        <f>MROUND(MID($C2132,9,3)/Basis!$E$3,0.5)</f>
        <v>110</v>
      </c>
      <c r="F2132" s="124" t="s">
        <v>2944</v>
      </c>
      <c r="G2132" s="45">
        <f>ROUND((ROUNDDOWN($F2132/5,0)*5+1.8)/Basis!$E$3,1)</f>
        <v>6.6</v>
      </c>
      <c r="H2132" s="120">
        <f>ROUND($P2132*Basis!$E$2*((TaH-TrH)/LN(1/µ)/Basis!$E$7)^$N2132*$AA$4*Glycol,0)</f>
        <v>6543</v>
      </c>
      <c r="I2132" s="83">
        <f>ROUND(H2132/(MID($C2132,9,3)/Basis!$E$3/Basis!$E$9)*Basis!$E$11,0)</f>
        <v>712</v>
      </c>
      <c r="J2132" s="123">
        <f>IF(Basis!$E$1=1,ROUND(H2132/((TaH-TrH)*1.163)/3600,3),ROUND(H2132/(500*(TaH-TrH)),2))</f>
        <v>0.65</v>
      </c>
      <c r="K2132" s="84"/>
      <c r="L2132" s="177">
        <f>CHOOSE(Basis!$E$1,((AJ2132*(J2132*3600/Basis!$E$5)^AK2132*(((MID(C2132,9,3)*10)-144)/1000)*AL2132+AM2132*(J2132*3600/Basis!$E$5)^2)*0.0098)/Basis!$E$10,((AJ2132*(J2132/Basis!$E$5)^AK2132*(((MID(C2132,9,3)*10)-144)/1000)*AL2132+AM2132*(J2132/Basis!$E$5)^2)*0.0098)/Basis!$E$10)</f>
        <v>5.2777917928650678E-2</v>
      </c>
      <c r="M2132" s="85"/>
      <c r="N2132" s="109">
        <v>1.4079999999999999</v>
      </c>
      <c r="O2132" s="68"/>
      <c r="P2132" s="67">
        <v>3052</v>
      </c>
      <c r="Q2132" s="68"/>
      <c r="R2132" s="69"/>
      <c r="S2132" s="69"/>
      <c r="T2132" s="69"/>
      <c r="U2132" s="69"/>
      <c r="V2132" s="69"/>
      <c r="W2132" s="68"/>
      <c r="X2132" s="70"/>
      <c r="Y2132" s="70"/>
      <c r="Z2132" s="70"/>
      <c r="AA2132" s="70"/>
      <c r="AB2132" s="70"/>
      <c r="AC2132" s="68"/>
      <c r="AD2132" s="71"/>
      <c r="AE2132" s="71"/>
      <c r="AF2132" s="71"/>
      <c r="AG2132" s="71"/>
      <c r="AH2132" s="71"/>
      <c r="AI2132" s="68"/>
      <c r="AJ2132" s="214">
        <v>2.0829999999999999E-4</v>
      </c>
      <c r="AK2132" s="214">
        <v>1.724</v>
      </c>
      <c r="AL2132" s="214">
        <v>2</v>
      </c>
      <c r="AM2132" s="214">
        <v>4.6182900000000003E-4</v>
      </c>
      <c r="AN2132" s="68"/>
      <c r="AO2132" s="67"/>
      <c r="AP2132" s="67"/>
      <c r="AQ2132" s="67"/>
      <c r="AR2132" s="67"/>
      <c r="AS2132" s="67"/>
      <c r="AT2132" s="68"/>
      <c r="AU2132" s="49"/>
      <c r="AV2132" s="50"/>
    </row>
    <row r="2133" spans="1:48" ht="12.75" customHeight="1" x14ac:dyDescent="0.25">
      <c r="A2133" s="72" t="s">
        <v>20</v>
      </c>
      <c r="B2133" s="43" t="s">
        <v>2240</v>
      </c>
      <c r="C2133" s="44" t="s">
        <v>2291</v>
      </c>
      <c r="D2133" s="45">
        <f>MROUND(MID($C2133,6,3)/Basis!$E$3,0.5)</f>
        <v>8</v>
      </c>
      <c r="E2133" s="45">
        <f>MROUND(MID($C2133,9,3)/Basis!$E$3,0.5)</f>
        <v>110</v>
      </c>
      <c r="F2133" s="124" t="s">
        <v>2945</v>
      </c>
      <c r="G2133" s="45">
        <f>ROUND((ROUNDDOWN($F2133/5,0)*5+1.8)/Basis!$E$3,1)</f>
        <v>8.6</v>
      </c>
      <c r="H2133" s="120">
        <f>ROUND($P2133*Basis!$E$2*((TaH-TrH)/LN(1/µ)/Basis!$E$7)^$N2133*$AA$4*Glycol,0)</f>
        <v>9197</v>
      </c>
      <c r="I2133" s="83">
        <f>ROUND(H2133/(MID($C2133,9,3)/Basis!$E$3/Basis!$E$9)*Basis!$E$11,0)</f>
        <v>1001</v>
      </c>
      <c r="J2133" s="123">
        <f>IF(Basis!$E$1=1,ROUND(H2133/((TaH-TrH)*1.163)/3600,3),ROUND(H2133/(500*(TaH-TrH)),2))</f>
        <v>0.92</v>
      </c>
      <c r="K2133" s="84"/>
      <c r="L2133" s="177">
        <f>CHOOSE(Basis!$E$1,((AJ2133*(J2133*3600/Basis!$E$5)^AK2133*(((MID(C2133,9,3)*10)-144)/1000)*AL2133+AM2133*(J2133*3600/Basis!$E$5)^2)*0.0098)/Basis!$E$10,((AJ2133*(J2133/Basis!$E$5)^AK2133*(((MID(C2133,9,3)*10)-144)/1000)*AL2133+AM2133*(J2133/Basis!$E$5)^2)*0.0098)/Basis!$E$10)</f>
        <v>7.5669662112439751E-2</v>
      </c>
      <c r="M2133" s="85"/>
      <c r="N2133" s="110">
        <v>1.4079999999999999</v>
      </c>
      <c r="O2133" s="74"/>
      <c r="P2133" s="73">
        <v>4290</v>
      </c>
      <c r="Q2133" s="74"/>
      <c r="R2133" s="75"/>
      <c r="S2133" s="75"/>
      <c r="T2133" s="75"/>
      <c r="U2133" s="75"/>
      <c r="V2133" s="75"/>
      <c r="W2133" s="74"/>
      <c r="X2133" s="76"/>
      <c r="Y2133" s="76"/>
      <c r="Z2133" s="76"/>
      <c r="AA2133" s="76"/>
      <c r="AB2133" s="76"/>
      <c r="AC2133" s="74"/>
      <c r="AD2133" s="77"/>
      <c r="AE2133" s="77"/>
      <c r="AF2133" s="77"/>
      <c r="AG2133" s="77"/>
      <c r="AH2133" s="77"/>
      <c r="AI2133" s="68"/>
      <c r="AJ2133" s="214">
        <v>1.2760000000000001E-4</v>
      </c>
      <c r="AK2133" s="214">
        <v>1.7219</v>
      </c>
      <c r="AL2133" s="214">
        <v>2</v>
      </c>
      <c r="AM2133" s="214">
        <v>3.76611E-4</v>
      </c>
      <c r="AN2133" s="74"/>
      <c r="AO2133" s="73"/>
      <c r="AP2133" s="73"/>
      <c r="AQ2133" s="73"/>
      <c r="AR2133" s="73"/>
      <c r="AS2133" s="73"/>
      <c r="AT2133" s="74"/>
      <c r="AU2133" s="47"/>
      <c r="AV2133" s="48"/>
    </row>
    <row r="2134" spans="1:48" ht="12.75" customHeight="1" x14ac:dyDescent="0.25">
      <c r="A2134" s="72" t="s">
        <v>20</v>
      </c>
      <c r="B2134" s="43" t="s">
        <v>2240</v>
      </c>
      <c r="C2134" s="44" t="s">
        <v>2292</v>
      </c>
      <c r="D2134" s="45">
        <f>MROUND(MID($C2134,6,3)/Basis!$E$3,0.5)</f>
        <v>8</v>
      </c>
      <c r="E2134" s="45">
        <f>MROUND(MID($C2134,9,3)/Basis!$E$3,0.5)</f>
        <v>118</v>
      </c>
      <c r="F2134" s="124" t="s">
        <v>2943</v>
      </c>
      <c r="G2134" s="45">
        <f>ROUND((ROUNDDOWN($F2134/5,0)*5+1.8)/Basis!$E$3,1)</f>
        <v>4.5999999999999996</v>
      </c>
      <c r="H2134" s="120">
        <f>ROUND($P2134*Basis!$E$2*((TaH-TrH)/LN(1/µ)/Basis!$E$7)^$N2134*$AA$4*Glycol,0)</f>
        <v>4206</v>
      </c>
      <c r="I2134" s="83">
        <f>ROUND(H2134/(MID($C2134,9,3)/Basis!$E$3/Basis!$E$9)*Basis!$E$11,0)</f>
        <v>427</v>
      </c>
      <c r="J2134" s="123">
        <f>IF(Basis!$E$1=1,ROUND(H2134/((TaH-TrH)*1.163)/3600,3),ROUND(H2134/(500*(TaH-TrH)),2))</f>
        <v>0.42</v>
      </c>
      <c r="K2134" s="84"/>
      <c r="L2134" s="177">
        <f>CHOOSE(Basis!$E$1,((AJ2134*(J2134*3600/Basis!$E$5)^AK2134*(((MID(C2134,9,3)*10)-144)/1000)*AL2134+AM2134*(J2134*3600/Basis!$E$5)^2)*0.0098)/Basis!$E$10,((AJ2134*(J2134/Basis!$E$5)^AK2134*(((MID(C2134,9,3)*10)-144)/1000)*AL2134+AM2134*(J2134/Basis!$E$5)^2)*0.0098)/Basis!$E$10)</f>
        <v>3.1050673070580379E-2</v>
      </c>
      <c r="M2134" s="85"/>
      <c r="N2134" s="109">
        <v>1.413</v>
      </c>
      <c r="O2134" s="68"/>
      <c r="P2134" s="67">
        <v>1965</v>
      </c>
      <c r="Q2134" s="68"/>
      <c r="R2134" s="69"/>
      <c r="S2134" s="69"/>
      <c r="T2134" s="69"/>
      <c r="U2134" s="69"/>
      <c r="V2134" s="69"/>
      <c r="W2134" s="68"/>
      <c r="X2134" s="70"/>
      <c r="Y2134" s="70"/>
      <c r="Z2134" s="70"/>
      <c r="AA2134" s="70"/>
      <c r="AB2134" s="70"/>
      <c r="AC2134" s="68"/>
      <c r="AD2134" s="71"/>
      <c r="AE2134" s="71"/>
      <c r="AF2134" s="71"/>
      <c r="AG2134" s="71"/>
      <c r="AH2134" s="71"/>
      <c r="AI2134" s="68"/>
      <c r="AJ2134" s="214">
        <v>3.9689999999999994E-4</v>
      </c>
      <c r="AK2134" s="214">
        <v>1.7345999999999999</v>
      </c>
      <c r="AL2134" s="214">
        <v>2</v>
      </c>
      <c r="AM2134" s="214">
        <v>3.6734700000000002E-4</v>
      </c>
      <c r="AN2134" s="68"/>
      <c r="AO2134" s="67"/>
      <c r="AP2134" s="67"/>
      <c r="AQ2134" s="67"/>
      <c r="AR2134" s="67"/>
      <c r="AS2134" s="67"/>
      <c r="AT2134" s="68"/>
      <c r="AU2134" s="49"/>
      <c r="AV2134" s="50"/>
    </row>
    <row r="2135" spans="1:48" ht="12.75" customHeight="1" x14ac:dyDescent="0.25">
      <c r="A2135" s="72" t="s">
        <v>20</v>
      </c>
      <c r="B2135" s="43" t="s">
        <v>2240</v>
      </c>
      <c r="C2135" s="44" t="s">
        <v>2293</v>
      </c>
      <c r="D2135" s="45">
        <f>MROUND(MID($C2135,6,3)/Basis!$E$3,0.5)</f>
        <v>8</v>
      </c>
      <c r="E2135" s="45">
        <f>MROUND(MID($C2135,9,3)/Basis!$E$3,0.5)</f>
        <v>118</v>
      </c>
      <c r="F2135" s="124" t="s">
        <v>2944</v>
      </c>
      <c r="G2135" s="45">
        <f>ROUND((ROUNDDOWN($F2135/5,0)*5+1.8)/Basis!$E$3,1)</f>
        <v>6.6</v>
      </c>
      <c r="H2135" s="120">
        <f>ROUND($P2135*Basis!$E$2*((TaH-TrH)/LN(1/µ)/Basis!$E$7)^$N2135*$AA$4*Glycol,0)</f>
        <v>7011</v>
      </c>
      <c r="I2135" s="83">
        <f>ROUND(H2135/(MID($C2135,9,3)/Basis!$E$3/Basis!$E$9)*Basis!$E$11,0)</f>
        <v>712</v>
      </c>
      <c r="J2135" s="123">
        <f>IF(Basis!$E$1=1,ROUND(H2135/((TaH-TrH)*1.163)/3600,3),ROUND(H2135/(500*(TaH-TrH)),2))</f>
        <v>0.7</v>
      </c>
      <c r="K2135" s="84"/>
      <c r="L2135" s="177">
        <f>CHOOSE(Basis!$E$1,((AJ2135*(J2135*3600/Basis!$E$5)^AK2135*(((MID(C2135,9,3)*10)-144)/1000)*AL2135+AM2135*(J2135*3600/Basis!$E$5)^2)*0.0098)/Basis!$E$10,((AJ2135*(J2135/Basis!$E$5)^AK2135*(((MID(C2135,9,3)*10)-144)/1000)*AL2135+AM2135*(J2135/Basis!$E$5)^2)*0.0098)/Basis!$E$10)</f>
        <v>6.2443265150922869E-2</v>
      </c>
      <c r="M2135" s="85"/>
      <c r="N2135" s="110">
        <v>1.4079999999999999</v>
      </c>
      <c r="O2135" s="74"/>
      <c r="P2135" s="73">
        <v>3270</v>
      </c>
      <c r="Q2135" s="74"/>
      <c r="R2135" s="75"/>
      <c r="S2135" s="75"/>
      <c r="T2135" s="75"/>
      <c r="U2135" s="75"/>
      <c r="V2135" s="75"/>
      <c r="W2135" s="74"/>
      <c r="X2135" s="76"/>
      <c r="Y2135" s="76"/>
      <c r="Z2135" s="76"/>
      <c r="AA2135" s="76"/>
      <c r="AB2135" s="76"/>
      <c r="AC2135" s="74"/>
      <c r="AD2135" s="77"/>
      <c r="AE2135" s="77"/>
      <c r="AF2135" s="77"/>
      <c r="AG2135" s="77"/>
      <c r="AH2135" s="77"/>
      <c r="AI2135" s="68"/>
      <c r="AJ2135" s="213">
        <v>2.0829999999999999E-4</v>
      </c>
      <c r="AK2135" s="213">
        <v>1.724</v>
      </c>
      <c r="AL2135" s="213">
        <v>2</v>
      </c>
      <c r="AM2135" s="213">
        <v>4.6182900000000003E-4</v>
      </c>
      <c r="AN2135" s="74"/>
      <c r="AO2135" s="73"/>
      <c r="AP2135" s="73"/>
      <c r="AQ2135" s="73"/>
      <c r="AR2135" s="73"/>
      <c r="AS2135" s="73"/>
      <c r="AT2135" s="74"/>
      <c r="AU2135" s="47"/>
      <c r="AV2135" s="48"/>
    </row>
    <row r="2136" spans="1:48" ht="12.75" customHeight="1" x14ac:dyDescent="0.25">
      <c r="A2136" s="72" t="s">
        <v>20</v>
      </c>
      <c r="B2136" s="43" t="s">
        <v>2240</v>
      </c>
      <c r="C2136" s="44" t="s">
        <v>2294</v>
      </c>
      <c r="D2136" s="45">
        <f>MROUND(MID($C2136,6,3)/Basis!$E$3,0.5)</f>
        <v>8</v>
      </c>
      <c r="E2136" s="45">
        <f>MROUND(MID($C2136,9,3)/Basis!$E$3,0.5)</f>
        <v>118</v>
      </c>
      <c r="F2136" s="124" t="s">
        <v>2945</v>
      </c>
      <c r="G2136" s="45">
        <f>ROUND((ROUNDDOWN($F2136/5,0)*5+1.8)/Basis!$E$3,1)</f>
        <v>8.6</v>
      </c>
      <c r="H2136" s="120">
        <f>ROUND($P2136*Basis!$E$2*((TaH-TrH)/LN(1/µ)/Basis!$E$7)^$N2136*$AA$4*Glycol,0)</f>
        <v>9853</v>
      </c>
      <c r="I2136" s="83">
        <f>ROUND(H2136/(MID($C2136,9,3)/Basis!$E$3/Basis!$E$9)*Basis!$E$11,0)</f>
        <v>1001</v>
      </c>
      <c r="J2136" s="123">
        <f>IF(Basis!$E$1=1,ROUND(H2136/((TaH-TrH)*1.163)/3600,3),ROUND(H2136/(500*(TaH-TrH)),2))</f>
        <v>0.99</v>
      </c>
      <c r="K2136" s="84"/>
      <c r="L2136" s="177">
        <f>CHOOSE(Basis!$E$1,((AJ2136*(J2136*3600/Basis!$E$5)^AK2136*(((MID(C2136,9,3)*10)-144)/1000)*AL2136+AM2136*(J2136*3600/Basis!$E$5)^2)*0.0098)/Basis!$E$10,((AJ2136*(J2136/Basis!$E$5)^AK2136*(((MID(C2136,9,3)*10)-144)/1000)*AL2136+AM2136*(J2136/Basis!$E$5)^2)*0.0098)/Basis!$E$10)</f>
        <v>8.8982032108335038E-2</v>
      </c>
      <c r="M2136" s="85"/>
      <c r="N2136" s="109">
        <v>1.4079999999999999</v>
      </c>
      <c r="O2136" s="68"/>
      <c r="P2136" s="67">
        <v>4596</v>
      </c>
      <c r="Q2136" s="68"/>
      <c r="R2136" s="69"/>
      <c r="S2136" s="69"/>
      <c r="T2136" s="69"/>
      <c r="U2136" s="69"/>
      <c r="V2136" s="69"/>
      <c r="W2136" s="68"/>
      <c r="X2136" s="70"/>
      <c r="Y2136" s="70"/>
      <c r="Z2136" s="70"/>
      <c r="AA2136" s="70"/>
      <c r="AB2136" s="70"/>
      <c r="AC2136" s="68"/>
      <c r="AD2136" s="71"/>
      <c r="AE2136" s="71"/>
      <c r="AF2136" s="71"/>
      <c r="AG2136" s="71"/>
      <c r="AH2136" s="71"/>
      <c r="AI2136" s="68"/>
      <c r="AJ2136" s="214">
        <v>1.2760000000000001E-4</v>
      </c>
      <c r="AK2136" s="214">
        <v>1.7219</v>
      </c>
      <c r="AL2136" s="214">
        <v>2</v>
      </c>
      <c r="AM2136" s="214">
        <v>3.76611E-4</v>
      </c>
      <c r="AN2136" s="68"/>
      <c r="AO2136" s="67"/>
      <c r="AP2136" s="67"/>
      <c r="AQ2136" s="67"/>
      <c r="AR2136" s="67"/>
      <c r="AS2136" s="67"/>
      <c r="AT2136" s="68"/>
      <c r="AU2136" s="49"/>
      <c r="AV2136" s="50"/>
    </row>
    <row r="2137" spans="1:48" ht="12.75" customHeight="1" x14ac:dyDescent="0.25">
      <c r="A2137" s="72" t="s">
        <v>20</v>
      </c>
      <c r="B2137" s="43" t="s">
        <v>2240</v>
      </c>
      <c r="C2137" s="44" t="s">
        <v>2295</v>
      </c>
      <c r="D2137" s="45">
        <f>MROUND(MID($C2137,6,3)/Basis!$E$3,0.5)</f>
        <v>12</v>
      </c>
      <c r="E2137" s="45">
        <f>MROUND(MID($C2137,9,3)/Basis!$E$3,0.5)</f>
        <v>15.5</v>
      </c>
      <c r="F2137" s="124" t="s">
        <v>2943</v>
      </c>
      <c r="G2137" s="45">
        <f>ROUND((ROUNDDOWN($F2137/5,0)*5+1.8)/Basis!$E$3,1)</f>
        <v>4.5999999999999996</v>
      </c>
      <c r="H2137" s="120">
        <f>ROUND($P2137*Basis!$E$2*((TaH-TrH)/LN(1/µ)/Basis!$E$7)^$N2137*$AA$4*Glycol,0)</f>
        <v>709</v>
      </c>
      <c r="I2137" s="83">
        <f>ROUND(H2137/(MID($C2137,9,3)/Basis!$E$3/Basis!$E$9)*Basis!$E$11,0)</f>
        <v>540</v>
      </c>
      <c r="J2137" s="123">
        <f>IF(Basis!$E$1=1,ROUND(H2137/((TaH-TrH)*1.163)/3600,3),ROUND(H2137/(500*(TaH-TrH)),2))</f>
        <v>7.0000000000000007E-2</v>
      </c>
      <c r="K2137" s="84"/>
      <c r="L2137" s="177">
        <f>CHOOSE(Basis!$E$1,((AJ2137*(J2137*3600/Basis!$E$5)^AK2137*(((MID(C2137,9,3)*10)-144)/1000)*AL2137+AM2137*(J2137*3600/Basis!$E$5)^2)*0.0098)/Basis!$E$10,((AJ2137*(J2137/Basis!$E$5)^AK2137*(((MID(C2137,9,3)*10)-144)/1000)*AL2137+AM2137*(J2137/Basis!$E$5)^2)*0.0098)/Basis!$E$10)</f>
        <v>3.8420834476523039E-4</v>
      </c>
      <c r="M2137" s="85"/>
      <c r="N2137" s="110">
        <v>1.403</v>
      </c>
      <c r="O2137" s="74"/>
      <c r="P2137" s="73">
        <v>330</v>
      </c>
      <c r="Q2137" s="74"/>
      <c r="R2137" s="75"/>
      <c r="S2137" s="75"/>
      <c r="T2137" s="75"/>
      <c r="U2137" s="75"/>
      <c r="V2137" s="75"/>
      <c r="W2137" s="74"/>
      <c r="X2137" s="76"/>
      <c r="Y2137" s="76"/>
      <c r="Z2137" s="76"/>
      <c r="AA2137" s="76"/>
      <c r="AB2137" s="76"/>
      <c r="AC2137" s="74"/>
      <c r="AD2137" s="77"/>
      <c r="AE2137" s="77"/>
      <c r="AF2137" s="77"/>
      <c r="AG2137" s="77"/>
      <c r="AH2137" s="77"/>
      <c r="AI2137" s="68"/>
      <c r="AJ2137" s="213">
        <v>3.9689999999999994E-4</v>
      </c>
      <c r="AK2137" s="213">
        <v>1.7345999999999999</v>
      </c>
      <c r="AL2137" s="213">
        <v>2</v>
      </c>
      <c r="AM2137" s="213">
        <v>3.6734700000000002E-4</v>
      </c>
      <c r="AN2137" s="74"/>
      <c r="AO2137" s="73"/>
      <c r="AP2137" s="73"/>
      <c r="AQ2137" s="73"/>
      <c r="AR2137" s="73"/>
      <c r="AS2137" s="73"/>
      <c r="AT2137" s="74"/>
      <c r="AU2137" s="47"/>
      <c r="AV2137" s="48"/>
    </row>
    <row r="2138" spans="1:48" ht="12.75" customHeight="1" x14ac:dyDescent="0.25">
      <c r="A2138" s="72" t="s">
        <v>20</v>
      </c>
      <c r="B2138" s="43" t="s">
        <v>2240</v>
      </c>
      <c r="C2138" s="44" t="s">
        <v>2296</v>
      </c>
      <c r="D2138" s="45">
        <f>MROUND(MID($C2138,6,3)/Basis!$E$3,0.5)</f>
        <v>12</v>
      </c>
      <c r="E2138" s="45">
        <f>MROUND(MID($C2138,9,3)/Basis!$E$3,0.5)</f>
        <v>15.5</v>
      </c>
      <c r="F2138" s="124" t="s">
        <v>2946</v>
      </c>
      <c r="G2138" s="45">
        <f>ROUND((ROUNDDOWN($F2138/5,0)*5+1.8)/Basis!$E$3,1)</f>
        <v>4.5999999999999996</v>
      </c>
      <c r="H2138" s="120">
        <f>ROUND($P2138*Basis!$E$2*((TaH-TrH)/LN(1/µ)/Basis!$E$7)^$N2138*$AA$4*Glycol,0)</f>
        <v>950</v>
      </c>
      <c r="I2138" s="83">
        <f>ROUND(H2138/(MID($C2138,9,3)/Basis!$E$3/Basis!$E$9)*Basis!$E$11,0)</f>
        <v>724</v>
      </c>
      <c r="J2138" s="123">
        <f>IF(Basis!$E$1=1,ROUND(H2138/((TaH-TrH)*1.163)/3600,3),ROUND(H2138/(500*(TaH-TrH)),2))</f>
        <v>0.1</v>
      </c>
      <c r="K2138" s="84"/>
      <c r="L2138" s="177">
        <f>CHOOSE(Basis!$E$1,((AJ2138*(J2138*3600/Basis!$E$5)^AK2138*(((MID(C2138,9,3)*10)-144)/1000)*AL2138+AM2138*(J2138*3600/Basis!$E$5)^2)*0.0098)/Basis!$E$10,((AJ2138*(J2138/Basis!$E$5)^AK2138*(((MID(C2138,9,3)*10)-144)/1000)*AL2138+AM2138*(J2138/Basis!$E$5)^2)*0.0098)/Basis!$E$10)</f>
        <v>1.2679264589730427E-3</v>
      </c>
      <c r="M2138" s="85"/>
      <c r="N2138" s="109">
        <v>1.44</v>
      </c>
      <c r="O2138" s="68"/>
      <c r="P2138" s="67">
        <v>448</v>
      </c>
      <c r="Q2138" s="68"/>
      <c r="R2138" s="69"/>
      <c r="S2138" s="69"/>
      <c r="T2138" s="69"/>
      <c r="U2138" s="69"/>
      <c r="V2138" s="69"/>
      <c r="W2138" s="68"/>
      <c r="X2138" s="70"/>
      <c r="Y2138" s="70"/>
      <c r="Z2138" s="70"/>
      <c r="AA2138" s="70"/>
      <c r="AB2138" s="70"/>
      <c r="AC2138" s="68"/>
      <c r="AD2138" s="71"/>
      <c r="AE2138" s="71"/>
      <c r="AF2138" s="71"/>
      <c r="AG2138" s="71"/>
      <c r="AH2138" s="71"/>
      <c r="AI2138" s="68"/>
      <c r="AJ2138" s="214">
        <v>3.9689999999999994E-4</v>
      </c>
      <c r="AK2138" s="214">
        <v>1.7345999999999999</v>
      </c>
      <c r="AL2138" s="214">
        <v>4</v>
      </c>
      <c r="AM2138" s="214">
        <v>5.7428799999999995E-4</v>
      </c>
      <c r="AN2138" s="68"/>
      <c r="AO2138" s="67"/>
      <c r="AP2138" s="67"/>
      <c r="AQ2138" s="67"/>
      <c r="AR2138" s="67"/>
      <c r="AS2138" s="67"/>
      <c r="AT2138" s="68"/>
      <c r="AU2138" s="49"/>
      <c r="AV2138" s="50"/>
    </row>
    <row r="2139" spans="1:48" ht="12.75" customHeight="1" x14ac:dyDescent="0.25">
      <c r="A2139" s="72" t="s">
        <v>20</v>
      </c>
      <c r="B2139" s="43" t="s">
        <v>2240</v>
      </c>
      <c r="C2139" s="44" t="s">
        <v>2297</v>
      </c>
      <c r="D2139" s="45">
        <f>MROUND(MID($C2139,6,3)/Basis!$E$3,0.5)</f>
        <v>12</v>
      </c>
      <c r="E2139" s="45">
        <f>MROUND(MID($C2139,9,3)/Basis!$E$3,0.5)</f>
        <v>15.5</v>
      </c>
      <c r="F2139" s="124" t="s">
        <v>2944</v>
      </c>
      <c r="G2139" s="45">
        <f>ROUND((ROUNDDOWN($F2139/5,0)*5+1.8)/Basis!$E$3,1)</f>
        <v>6.6</v>
      </c>
      <c r="H2139" s="120">
        <f>ROUND($P2139*Basis!$E$2*((TaH-TrH)/LN(1/µ)/Basis!$E$7)^$N2139*$AA$4*Glycol,0)</f>
        <v>1171</v>
      </c>
      <c r="I2139" s="83">
        <f>ROUND(H2139/(MID($C2139,9,3)/Basis!$E$3/Basis!$E$9)*Basis!$E$11,0)</f>
        <v>892</v>
      </c>
      <c r="J2139" s="123">
        <f>IF(Basis!$E$1=1,ROUND(H2139/((TaH-TrH)*1.163)/3600,3),ROUND(H2139/(500*(TaH-TrH)),2))</f>
        <v>0.12</v>
      </c>
      <c r="K2139" s="84"/>
      <c r="L2139" s="177">
        <f>CHOOSE(Basis!$E$1,((AJ2139*(J2139*3600/Basis!$E$5)^AK2139*(((MID(C2139,9,3)*10)-144)/1000)*AL2139+AM2139*(J2139*3600/Basis!$E$5)^2)*0.0098)/Basis!$E$10,((AJ2139*(J2139/Basis!$E$5)^AK2139*(((MID(C2139,9,3)*10)-144)/1000)*AL2139+AM2139*(J2139/Basis!$E$5)^2)*0.0098)/Basis!$E$10)</f>
        <v>1.2257479309999634E-3</v>
      </c>
      <c r="M2139" s="85"/>
      <c r="N2139" s="110">
        <v>1.3959999999999999</v>
      </c>
      <c r="O2139" s="74"/>
      <c r="P2139" s="73">
        <v>544</v>
      </c>
      <c r="Q2139" s="74"/>
      <c r="R2139" s="75"/>
      <c r="S2139" s="75"/>
      <c r="T2139" s="75"/>
      <c r="U2139" s="75"/>
      <c r="V2139" s="75"/>
      <c r="W2139" s="74"/>
      <c r="X2139" s="76"/>
      <c r="Y2139" s="76"/>
      <c r="Z2139" s="76"/>
      <c r="AA2139" s="76"/>
      <c r="AB2139" s="76"/>
      <c r="AC2139" s="74"/>
      <c r="AD2139" s="77"/>
      <c r="AE2139" s="77"/>
      <c r="AF2139" s="77"/>
      <c r="AG2139" s="77"/>
      <c r="AH2139" s="77"/>
      <c r="AI2139" s="68"/>
      <c r="AJ2139" s="213">
        <v>2.0829999999999999E-4</v>
      </c>
      <c r="AK2139" s="213">
        <v>1.724</v>
      </c>
      <c r="AL2139" s="213">
        <v>2</v>
      </c>
      <c r="AM2139" s="213">
        <v>4.6182900000000003E-4</v>
      </c>
      <c r="AN2139" s="74"/>
      <c r="AO2139" s="73"/>
      <c r="AP2139" s="73"/>
      <c r="AQ2139" s="73"/>
      <c r="AR2139" s="73"/>
      <c r="AS2139" s="73"/>
      <c r="AT2139" s="74"/>
      <c r="AU2139" s="47"/>
      <c r="AV2139" s="48"/>
    </row>
    <row r="2140" spans="1:48" ht="12.75" customHeight="1" x14ac:dyDescent="0.25">
      <c r="A2140" s="72" t="s">
        <v>20</v>
      </c>
      <c r="B2140" s="43" t="s">
        <v>2240</v>
      </c>
      <c r="C2140" s="44" t="s">
        <v>2298</v>
      </c>
      <c r="D2140" s="45">
        <f>MROUND(MID($C2140,6,3)/Basis!$E$3,0.5)</f>
        <v>12</v>
      </c>
      <c r="E2140" s="45">
        <f>MROUND(MID($C2140,9,3)/Basis!$E$3,0.5)</f>
        <v>15.5</v>
      </c>
      <c r="F2140" s="124" t="s">
        <v>2947</v>
      </c>
      <c r="G2140" s="45">
        <f>ROUND((ROUNDDOWN($F2140/5,0)*5+1.8)/Basis!$E$3,1)</f>
        <v>6.6</v>
      </c>
      <c r="H2140" s="120">
        <f>ROUND($P2140*Basis!$E$2*((TaH-TrH)/LN(1/µ)/Basis!$E$7)^$N2140*$AA$4*Glycol,0)</f>
        <v>1249</v>
      </c>
      <c r="I2140" s="83">
        <f>ROUND(H2140/(MID($C2140,9,3)/Basis!$E$3/Basis!$E$9)*Basis!$E$11,0)</f>
        <v>952</v>
      </c>
      <c r="J2140" s="123">
        <f>IF(Basis!$E$1=1,ROUND(H2140/((TaH-TrH)*1.163)/3600,3),ROUND(H2140/(500*(TaH-TrH)),2))</f>
        <v>0.12</v>
      </c>
      <c r="K2140" s="84"/>
      <c r="L2140" s="177">
        <f>CHOOSE(Basis!$E$1,((AJ2140*(J2140*3600/Basis!$E$5)^AK2140*(((MID(C2140,9,3)*10)-144)/1000)*AL2140+AM2140*(J2140*3600/Basis!$E$5)^2)*0.0098)/Basis!$E$10,((AJ2140*(J2140/Basis!$E$5)^AK2140*(((MID(C2140,9,3)*10)-144)/1000)*AL2140+AM2140*(J2140/Basis!$E$5)^2)*0.0098)/Basis!$E$10)</f>
        <v>3.5909610506346082E-3</v>
      </c>
      <c r="M2140" s="85"/>
      <c r="N2140" s="109">
        <v>1.456</v>
      </c>
      <c r="O2140" s="68"/>
      <c r="P2140" s="67">
        <v>592</v>
      </c>
      <c r="Q2140" s="68"/>
      <c r="R2140" s="69"/>
      <c r="S2140" s="69"/>
      <c r="T2140" s="69"/>
      <c r="U2140" s="69"/>
      <c r="V2140" s="69"/>
      <c r="W2140" s="68"/>
      <c r="X2140" s="70"/>
      <c r="Y2140" s="70"/>
      <c r="Z2140" s="70"/>
      <c r="AA2140" s="70"/>
      <c r="AB2140" s="70"/>
      <c r="AC2140" s="68"/>
      <c r="AD2140" s="71"/>
      <c r="AE2140" s="71"/>
      <c r="AF2140" s="71"/>
      <c r="AG2140" s="71"/>
      <c r="AH2140" s="71"/>
      <c r="AI2140" s="68"/>
      <c r="AJ2140" s="214">
        <v>2.0829999999999999E-4</v>
      </c>
      <c r="AK2140" s="214">
        <v>1.724</v>
      </c>
      <c r="AL2140" s="214">
        <v>4</v>
      </c>
      <c r="AM2140" s="214">
        <v>1.392796E-3</v>
      </c>
      <c r="AN2140" s="68"/>
      <c r="AO2140" s="67"/>
      <c r="AP2140" s="67"/>
      <c r="AQ2140" s="67"/>
      <c r="AR2140" s="67"/>
      <c r="AS2140" s="67"/>
      <c r="AT2140" s="68"/>
      <c r="AU2140" s="49"/>
      <c r="AV2140" s="50"/>
    </row>
    <row r="2141" spans="1:48" ht="12.75" customHeight="1" x14ac:dyDescent="0.25">
      <c r="A2141" s="72" t="s">
        <v>20</v>
      </c>
      <c r="B2141" s="43" t="s">
        <v>2240</v>
      </c>
      <c r="C2141" s="44" t="s">
        <v>2299</v>
      </c>
      <c r="D2141" s="45">
        <f>MROUND(MID($C2141,6,3)/Basis!$E$3,0.5)</f>
        <v>12</v>
      </c>
      <c r="E2141" s="45">
        <f>MROUND(MID($C2141,9,3)/Basis!$E$3,0.5)</f>
        <v>15.5</v>
      </c>
      <c r="F2141" s="124" t="s">
        <v>2945</v>
      </c>
      <c r="G2141" s="45">
        <f>ROUND((ROUNDDOWN($F2141/5,0)*5+1.8)/Basis!$E$3,1)</f>
        <v>8.6</v>
      </c>
      <c r="H2141" s="120">
        <f>ROUND($P2141*Basis!$E$2*((TaH-TrH)/LN(1/µ)/Basis!$E$7)^$N2141*$AA$4*Glycol,0)</f>
        <v>1640</v>
      </c>
      <c r="I2141" s="83">
        <f>ROUND(H2141/(MID($C2141,9,3)/Basis!$E$3/Basis!$E$9)*Basis!$E$11,0)</f>
        <v>1250</v>
      </c>
      <c r="J2141" s="123">
        <f>IF(Basis!$E$1=1,ROUND(H2141/((TaH-TrH)*1.163)/3600,3),ROUND(H2141/(500*(TaH-TrH)),2))</f>
        <v>0.16</v>
      </c>
      <c r="K2141" s="84"/>
      <c r="L2141" s="177">
        <f>CHOOSE(Basis!$E$1,((AJ2141*(J2141*3600/Basis!$E$5)^AK2141*(((MID(C2141,9,3)*10)-144)/1000)*AL2141+AM2141*(J2141*3600/Basis!$E$5)^2)*0.0098)/Basis!$E$10,((AJ2141*(J2141/Basis!$E$5)^AK2141*(((MID(C2141,9,3)*10)-144)/1000)*AL2141+AM2141*(J2141/Basis!$E$5)^2)*0.0098)/Basis!$E$10)</f>
        <v>1.730051268955713E-3</v>
      </c>
      <c r="M2141" s="85"/>
      <c r="N2141" s="110">
        <v>1.3959999999999999</v>
      </c>
      <c r="O2141" s="74"/>
      <c r="P2141" s="73">
        <v>762</v>
      </c>
      <c r="Q2141" s="74"/>
      <c r="R2141" s="75"/>
      <c r="S2141" s="75"/>
      <c r="T2141" s="75"/>
      <c r="U2141" s="75"/>
      <c r="V2141" s="75"/>
      <c r="W2141" s="74"/>
      <c r="X2141" s="76"/>
      <c r="Y2141" s="76"/>
      <c r="Z2141" s="76"/>
      <c r="AA2141" s="76"/>
      <c r="AB2141" s="76"/>
      <c r="AC2141" s="74"/>
      <c r="AD2141" s="77"/>
      <c r="AE2141" s="77"/>
      <c r="AF2141" s="77"/>
      <c r="AG2141" s="77"/>
      <c r="AH2141" s="77"/>
      <c r="AI2141" s="68"/>
      <c r="AJ2141" s="214">
        <v>1.2760000000000001E-4</v>
      </c>
      <c r="AK2141" s="214">
        <v>1.7219</v>
      </c>
      <c r="AL2141" s="214">
        <v>2</v>
      </c>
      <c r="AM2141" s="214">
        <v>3.76611E-4</v>
      </c>
      <c r="AN2141" s="74"/>
      <c r="AO2141" s="73"/>
      <c r="AP2141" s="73"/>
      <c r="AQ2141" s="73"/>
      <c r="AR2141" s="73"/>
      <c r="AS2141" s="73"/>
      <c r="AT2141" s="74"/>
      <c r="AU2141" s="47"/>
      <c r="AV2141" s="48"/>
    </row>
    <row r="2142" spans="1:48" ht="12.75" customHeight="1" x14ac:dyDescent="0.25">
      <c r="A2142" s="72" t="s">
        <v>20</v>
      </c>
      <c r="B2142" s="43" t="s">
        <v>2240</v>
      </c>
      <c r="C2142" s="44" t="s">
        <v>2300</v>
      </c>
      <c r="D2142" s="45">
        <f>MROUND(MID($C2142,6,3)/Basis!$E$3,0.5)</f>
        <v>12</v>
      </c>
      <c r="E2142" s="45">
        <f>MROUND(MID($C2142,9,3)/Basis!$E$3,0.5)</f>
        <v>15.5</v>
      </c>
      <c r="F2142" s="124" t="s">
        <v>2948</v>
      </c>
      <c r="G2142" s="45">
        <f>ROUND((ROUNDDOWN($F2142/5,0)*5+1.8)/Basis!$E$3,1)</f>
        <v>8.6</v>
      </c>
      <c r="H2142" s="120">
        <f>ROUND($P2142*Basis!$E$2*((TaH-TrH)/LN(1/µ)/Basis!$E$7)^$N2142*$AA$4*Glycol,0)</f>
        <v>1637</v>
      </c>
      <c r="I2142" s="83">
        <f>ROUND(H2142/(MID($C2142,9,3)/Basis!$E$3/Basis!$E$9)*Basis!$E$11,0)</f>
        <v>1247</v>
      </c>
      <c r="J2142" s="123">
        <f>IF(Basis!$E$1=1,ROUND(H2142/((TaH-TrH)*1.163)/3600,3),ROUND(H2142/(500*(TaH-TrH)),2))</f>
        <v>0.16</v>
      </c>
      <c r="K2142" s="84"/>
      <c r="L2142" s="177">
        <f>CHOOSE(Basis!$E$1,((AJ2142*(J2142*3600/Basis!$E$5)^AK2142*(((MID(C2142,9,3)*10)-144)/1000)*AL2142+AM2142*(J2142*3600/Basis!$E$5)^2)*0.0098)/Basis!$E$10,((AJ2142*(J2142/Basis!$E$5)^AK2142*(((MID(C2142,9,3)*10)-144)/1000)*AL2142+AM2142*(J2142/Basis!$E$5)^2)*0.0098)/Basis!$E$10)</f>
        <v>2.4280210651672291E-3</v>
      </c>
      <c r="M2142" s="85"/>
      <c r="N2142" s="109">
        <v>1.468</v>
      </c>
      <c r="O2142" s="68"/>
      <c r="P2142" s="67">
        <v>779</v>
      </c>
      <c r="Q2142" s="68"/>
      <c r="R2142" s="69"/>
      <c r="S2142" s="69"/>
      <c r="T2142" s="69"/>
      <c r="U2142" s="69"/>
      <c r="V2142" s="69"/>
      <c r="W2142" s="68"/>
      <c r="X2142" s="70"/>
      <c r="Y2142" s="70"/>
      <c r="Z2142" s="70"/>
      <c r="AA2142" s="70"/>
      <c r="AB2142" s="70"/>
      <c r="AC2142" s="68"/>
      <c r="AD2142" s="71"/>
      <c r="AE2142" s="71"/>
      <c r="AF2142" s="71"/>
      <c r="AG2142" s="71"/>
      <c r="AH2142" s="71"/>
      <c r="AI2142" s="68"/>
      <c r="AJ2142" s="214">
        <v>1.2760000000000001E-4</v>
      </c>
      <c r="AK2142" s="214">
        <v>1.7219</v>
      </c>
      <c r="AL2142" s="214">
        <v>4</v>
      </c>
      <c r="AM2142" s="214">
        <v>5.1420100000000005E-4</v>
      </c>
      <c r="AN2142" s="68"/>
      <c r="AO2142" s="67"/>
      <c r="AP2142" s="67"/>
      <c r="AQ2142" s="67"/>
      <c r="AR2142" s="67"/>
      <c r="AS2142" s="67"/>
      <c r="AT2142" s="68"/>
      <c r="AU2142" s="49"/>
      <c r="AV2142" s="50"/>
    </row>
    <row r="2143" spans="1:48" ht="12.75" customHeight="1" x14ac:dyDescent="0.25">
      <c r="A2143" s="72" t="s">
        <v>20</v>
      </c>
      <c r="B2143" s="43" t="s">
        <v>2240</v>
      </c>
      <c r="C2143" s="44" t="s">
        <v>2301</v>
      </c>
      <c r="D2143" s="45">
        <f>MROUND(MID($C2143,6,3)/Basis!$E$3,0.5)</f>
        <v>12</v>
      </c>
      <c r="E2143" s="45">
        <f>MROUND(MID($C2143,9,3)/Basis!$E$3,0.5)</f>
        <v>19.5</v>
      </c>
      <c r="F2143" s="124" t="s">
        <v>2943</v>
      </c>
      <c r="G2143" s="45">
        <f>ROUND((ROUNDDOWN($F2143/5,0)*5+1.8)/Basis!$E$3,1)</f>
        <v>4.5999999999999996</v>
      </c>
      <c r="H2143" s="120">
        <f>ROUND($P2143*Basis!$E$2*((TaH-TrH)/LN(1/µ)/Basis!$E$7)^$N2143*$AA$4*Glycol,0)</f>
        <v>887</v>
      </c>
      <c r="I2143" s="83">
        <f>ROUND(H2143/(MID($C2143,9,3)/Basis!$E$3/Basis!$E$9)*Basis!$E$11,0)</f>
        <v>541</v>
      </c>
      <c r="J2143" s="123">
        <f>IF(Basis!$E$1=1,ROUND(H2143/((TaH-TrH)*1.163)/3600,3),ROUND(H2143/(500*(TaH-TrH)),2))</f>
        <v>0.09</v>
      </c>
      <c r="K2143" s="84"/>
      <c r="L2143" s="177">
        <f>CHOOSE(Basis!$E$1,((AJ2143*(J2143*3600/Basis!$E$5)^AK2143*(((MID(C2143,9,3)*10)-144)/1000)*AL2143+AM2143*(J2143*3600/Basis!$E$5)^2)*0.0098)/Basis!$E$10,((AJ2143*(J2143/Basis!$E$5)^AK2143*(((MID(C2143,9,3)*10)-144)/1000)*AL2143+AM2143*(J2143/Basis!$E$5)^2)*0.0098)/Basis!$E$10)</f>
        <v>6.7521162372512146E-4</v>
      </c>
      <c r="M2143" s="85"/>
      <c r="N2143" s="110">
        <v>1.403</v>
      </c>
      <c r="O2143" s="74"/>
      <c r="P2143" s="73">
        <v>413</v>
      </c>
      <c r="Q2143" s="74"/>
      <c r="R2143" s="75"/>
      <c r="S2143" s="75"/>
      <c r="T2143" s="75"/>
      <c r="U2143" s="75"/>
      <c r="V2143" s="75"/>
      <c r="W2143" s="74"/>
      <c r="X2143" s="76"/>
      <c r="Y2143" s="76"/>
      <c r="Z2143" s="76"/>
      <c r="AA2143" s="76"/>
      <c r="AB2143" s="76"/>
      <c r="AC2143" s="74"/>
      <c r="AD2143" s="77"/>
      <c r="AE2143" s="77"/>
      <c r="AF2143" s="77"/>
      <c r="AG2143" s="77"/>
      <c r="AH2143" s="77"/>
      <c r="AI2143" s="68"/>
      <c r="AJ2143" s="213">
        <v>3.9689999999999994E-4</v>
      </c>
      <c r="AK2143" s="213">
        <v>1.7345999999999999</v>
      </c>
      <c r="AL2143" s="213">
        <v>2</v>
      </c>
      <c r="AM2143" s="213">
        <v>3.6734700000000002E-4</v>
      </c>
      <c r="AN2143" s="74"/>
      <c r="AO2143" s="73"/>
      <c r="AP2143" s="73"/>
      <c r="AQ2143" s="73"/>
      <c r="AR2143" s="73"/>
      <c r="AS2143" s="73"/>
      <c r="AT2143" s="74"/>
      <c r="AU2143" s="47"/>
      <c r="AV2143" s="48"/>
    </row>
    <row r="2144" spans="1:48" ht="12.75" customHeight="1" x14ac:dyDescent="0.25">
      <c r="A2144" s="72" t="s">
        <v>20</v>
      </c>
      <c r="B2144" s="43" t="s">
        <v>2240</v>
      </c>
      <c r="C2144" s="44" t="s">
        <v>2302</v>
      </c>
      <c r="D2144" s="45">
        <f>MROUND(MID($C2144,6,3)/Basis!$E$3,0.5)</f>
        <v>12</v>
      </c>
      <c r="E2144" s="45">
        <f>MROUND(MID($C2144,9,3)/Basis!$E$3,0.5)</f>
        <v>19.5</v>
      </c>
      <c r="F2144" s="124" t="s">
        <v>2946</v>
      </c>
      <c r="G2144" s="45">
        <f>ROUND((ROUNDDOWN($F2144/5,0)*5+1.8)/Basis!$E$3,1)</f>
        <v>4.5999999999999996</v>
      </c>
      <c r="H2144" s="120">
        <f>ROUND($P2144*Basis!$E$2*((TaH-TrH)/LN(1/µ)/Basis!$E$7)^$N2144*$AA$4*Glycol,0)</f>
        <v>1190</v>
      </c>
      <c r="I2144" s="83">
        <f>ROUND(H2144/(MID($C2144,9,3)/Basis!$E$3/Basis!$E$9)*Basis!$E$11,0)</f>
        <v>725</v>
      </c>
      <c r="J2144" s="123">
        <f>IF(Basis!$E$1=1,ROUND(H2144/((TaH-TrH)*1.163)/3600,3),ROUND(H2144/(500*(TaH-TrH)),2))</f>
        <v>0.12</v>
      </c>
      <c r="K2144" s="84"/>
      <c r="L2144" s="177">
        <f>CHOOSE(Basis!$E$1,((AJ2144*(J2144*3600/Basis!$E$5)^AK2144*(((MID(C2144,9,3)*10)-144)/1000)*AL2144+AM2144*(J2144*3600/Basis!$E$5)^2)*0.0098)/Basis!$E$10,((AJ2144*(J2144/Basis!$E$5)^AK2144*(((MID(C2144,9,3)*10)-144)/1000)*AL2144+AM2144*(J2144/Basis!$E$5)^2)*0.0098)/Basis!$E$10)</f>
        <v>1.9658476149922066E-3</v>
      </c>
      <c r="M2144" s="85"/>
      <c r="N2144" s="109">
        <v>1.44</v>
      </c>
      <c r="O2144" s="68"/>
      <c r="P2144" s="67">
        <v>561</v>
      </c>
      <c r="Q2144" s="68"/>
      <c r="R2144" s="69"/>
      <c r="S2144" s="69"/>
      <c r="T2144" s="69"/>
      <c r="U2144" s="69"/>
      <c r="V2144" s="69"/>
      <c r="W2144" s="68"/>
      <c r="X2144" s="70"/>
      <c r="Y2144" s="70"/>
      <c r="Z2144" s="70"/>
      <c r="AA2144" s="70"/>
      <c r="AB2144" s="70"/>
      <c r="AC2144" s="68"/>
      <c r="AD2144" s="71"/>
      <c r="AE2144" s="71"/>
      <c r="AF2144" s="71"/>
      <c r="AG2144" s="71"/>
      <c r="AH2144" s="71"/>
      <c r="AI2144" s="68"/>
      <c r="AJ2144" s="214">
        <v>3.9689999999999994E-4</v>
      </c>
      <c r="AK2144" s="214">
        <v>1.7345999999999999</v>
      </c>
      <c r="AL2144" s="214">
        <v>4</v>
      </c>
      <c r="AM2144" s="214">
        <v>5.7428799999999995E-4</v>
      </c>
      <c r="AN2144" s="68"/>
      <c r="AO2144" s="67"/>
      <c r="AP2144" s="67"/>
      <c r="AQ2144" s="67"/>
      <c r="AR2144" s="67"/>
      <c r="AS2144" s="67"/>
      <c r="AT2144" s="68"/>
      <c r="AU2144" s="49"/>
      <c r="AV2144" s="50"/>
    </row>
    <row r="2145" spans="1:48" ht="12.75" customHeight="1" x14ac:dyDescent="0.25">
      <c r="A2145" s="72" t="s">
        <v>20</v>
      </c>
      <c r="B2145" s="43" t="s">
        <v>2240</v>
      </c>
      <c r="C2145" s="44" t="s">
        <v>2303</v>
      </c>
      <c r="D2145" s="45">
        <f>MROUND(MID($C2145,6,3)/Basis!$E$3,0.5)</f>
        <v>12</v>
      </c>
      <c r="E2145" s="45">
        <f>MROUND(MID($C2145,9,3)/Basis!$E$3,0.5)</f>
        <v>19.5</v>
      </c>
      <c r="F2145" s="124" t="s">
        <v>2944</v>
      </c>
      <c r="G2145" s="45">
        <f>ROUND((ROUNDDOWN($F2145/5,0)*5+1.8)/Basis!$E$3,1)</f>
        <v>6.6</v>
      </c>
      <c r="H2145" s="120">
        <f>ROUND($P2145*Basis!$E$2*((TaH-TrH)/LN(1/µ)/Basis!$E$7)^$N2145*$AA$4*Glycol,0)</f>
        <v>1464</v>
      </c>
      <c r="I2145" s="83">
        <f>ROUND(H2145/(MID($C2145,9,3)/Basis!$E$3/Basis!$E$9)*Basis!$E$11,0)</f>
        <v>892</v>
      </c>
      <c r="J2145" s="123">
        <f>IF(Basis!$E$1=1,ROUND(H2145/((TaH-TrH)*1.163)/3600,3),ROUND(H2145/(500*(TaH-TrH)),2))</f>
        <v>0.15</v>
      </c>
      <c r="K2145" s="84"/>
      <c r="L2145" s="177">
        <f>CHOOSE(Basis!$E$1,((AJ2145*(J2145*3600/Basis!$E$5)^AK2145*(((MID(C2145,9,3)*10)-144)/1000)*AL2145+AM2145*(J2145*3600/Basis!$E$5)^2)*0.0098)/Basis!$E$10,((AJ2145*(J2145/Basis!$E$5)^AK2145*(((MID(C2145,9,3)*10)-144)/1000)*AL2145+AM2145*(J2145/Basis!$E$5)^2)*0.0098)/Basis!$E$10)</f>
        <v>1.9652271646981218E-3</v>
      </c>
      <c r="M2145" s="85"/>
      <c r="N2145" s="110">
        <v>1.3959999999999999</v>
      </c>
      <c r="O2145" s="74"/>
      <c r="P2145" s="73">
        <v>680</v>
      </c>
      <c r="Q2145" s="74"/>
      <c r="R2145" s="75"/>
      <c r="S2145" s="75"/>
      <c r="T2145" s="75"/>
      <c r="U2145" s="75"/>
      <c r="V2145" s="75"/>
      <c r="W2145" s="74"/>
      <c r="X2145" s="76"/>
      <c r="Y2145" s="76"/>
      <c r="Z2145" s="76"/>
      <c r="AA2145" s="76"/>
      <c r="AB2145" s="76"/>
      <c r="AC2145" s="74"/>
      <c r="AD2145" s="77"/>
      <c r="AE2145" s="77"/>
      <c r="AF2145" s="77"/>
      <c r="AG2145" s="77"/>
      <c r="AH2145" s="77"/>
      <c r="AI2145" s="68"/>
      <c r="AJ2145" s="213">
        <v>2.0829999999999999E-4</v>
      </c>
      <c r="AK2145" s="213">
        <v>1.724</v>
      </c>
      <c r="AL2145" s="213">
        <v>2</v>
      </c>
      <c r="AM2145" s="213">
        <v>4.6182900000000003E-4</v>
      </c>
      <c r="AN2145" s="74"/>
      <c r="AO2145" s="73"/>
      <c r="AP2145" s="73"/>
      <c r="AQ2145" s="73"/>
      <c r="AR2145" s="73"/>
      <c r="AS2145" s="73"/>
      <c r="AT2145" s="74"/>
      <c r="AU2145" s="47"/>
      <c r="AV2145" s="48"/>
    </row>
    <row r="2146" spans="1:48" ht="12.75" customHeight="1" x14ac:dyDescent="0.25">
      <c r="A2146" s="72" t="s">
        <v>20</v>
      </c>
      <c r="B2146" s="43" t="s">
        <v>2240</v>
      </c>
      <c r="C2146" s="44" t="s">
        <v>2304</v>
      </c>
      <c r="D2146" s="45">
        <f>MROUND(MID($C2146,6,3)/Basis!$E$3,0.5)</f>
        <v>12</v>
      </c>
      <c r="E2146" s="45">
        <f>MROUND(MID($C2146,9,3)/Basis!$E$3,0.5)</f>
        <v>19.5</v>
      </c>
      <c r="F2146" s="124" t="s">
        <v>2947</v>
      </c>
      <c r="G2146" s="45">
        <f>ROUND((ROUNDDOWN($F2146/5,0)*5+1.8)/Basis!$E$3,1)</f>
        <v>6.6</v>
      </c>
      <c r="H2146" s="120">
        <f>ROUND($P2146*Basis!$E$2*((TaH-TrH)/LN(1/µ)/Basis!$E$7)^$N2146*$AA$4*Glycol,0)</f>
        <v>1562</v>
      </c>
      <c r="I2146" s="83">
        <f>ROUND(H2146/(MID($C2146,9,3)/Basis!$E$3/Basis!$E$9)*Basis!$E$11,0)</f>
        <v>952</v>
      </c>
      <c r="J2146" s="123">
        <f>IF(Basis!$E$1=1,ROUND(H2146/((TaH-TrH)*1.163)/3600,3),ROUND(H2146/(500*(TaH-TrH)),2))</f>
        <v>0.16</v>
      </c>
      <c r="K2146" s="84"/>
      <c r="L2146" s="177">
        <f>CHOOSE(Basis!$E$1,((AJ2146*(J2146*3600/Basis!$E$5)^AK2146*(((MID(C2146,9,3)*10)-144)/1000)*AL2146+AM2146*(J2146*3600/Basis!$E$5)^2)*0.0098)/Basis!$E$10,((AJ2146*(J2146/Basis!$E$5)^AK2146*(((MID(C2146,9,3)*10)-144)/1000)*AL2146+AM2146*(J2146/Basis!$E$5)^2)*0.0098)/Basis!$E$10)</f>
        <v>6.4891602969182624E-3</v>
      </c>
      <c r="M2146" s="85"/>
      <c r="N2146" s="109">
        <v>1.456</v>
      </c>
      <c r="O2146" s="68"/>
      <c r="P2146" s="67">
        <v>740</v>
      </c>
      <c r="Q2146" s="68"/>
      <c r="R2146" s="69"/>
      <c r="S2146" s="69"/>
      <c r="T2146" s="69"/>
      <c r="U2146" s="69"/>
      <c r="V2146" s="69"/>
      <c r="W2146" s="68"/>
      <c r="X2146" s="70"/>
      <c r="Y2146" s="70"/>
      <c r="Z2146" s="70"/>
      <c r="AA2146" s="70"/>
      <c r="AB2146" s="70"/>
      <c r="AC2146" s="68"/>
      <c r="AD2146" s="71"/>
      <c r="AE2146" s="71"/>
      <c r="AF2146" s="71"/>
      <c r="AG2146" s="71"/>
      <c r="AH2146" s="71"/>
      <c r="AI2146" s="68"/>
      <c r="AJ2146" s="214">
        <v>2.0829999999999999E-4</v>
      </c>
      <c r="AK2146" s="214">
        <v>1.724</v>
      </c>
      <c r="AL2146" s="214">
        <v>4</v>
      </c>
      <c r="AM2146" s="214">
        <v>1.392796E-3</v>
      </c>
      <c r="AN2146" s="68"/>
      <c r="AO2146" s="67"/>
      <c r="AP2146" s="67"/>
      <c r="AQ2146" s="67"/>
      <c r="AR2146" s="67"/>
      <c r="AS2146" s="67"/>
      <c r="AT2146" s="68"/>
      <c r="AU2146" s="49"/>
      <c r="AV2146" s="50"/>
    </row>
    <row r="2147" spans="1:48" ht="12.75" customHeight="1" x14ac:dyDescent="0.25">
      <c r="A2147" s="72" t="s">
        <v>20</v>
      </c>
      <c r="B2147" s="43" t="s">
        <v>2240</v>
      </c>
      <c r="C2147" s="44" t="s">
        <v>2305</v>
      </c>
      <c r="D2147" s="45">
        <f>MROUND(MID($C2147,6,3)/Basis!$E$3,0.5)</f>
        <v>12</v>
      </c>
      <c r="E2147" s="45">
        <f>MROUND(MID($C2147,9,3)/Basis!$E$3,0.5)</f>
        <v>19.5</v>
      </c>
      <c r="F2147" s="124" t="s">
        <v>2945</v>
      </c>
      <c r="G2147" s="45">
        <f>ROUND((ROUNDDOWN($F2147/5,0)*5+1.8)/Basis!$E$3,1)</f>
        <v>8.6</v>
      </c>
      <c r="H2147" s="120">
        <f>ROUND($P2147*Basis!$E$2*((TaH-TrH)/LN(1/µ)/Basis!$E$7)^$N2147*$AA$4*Glycol,0)</f>
        <v>2051</v>
      </c>
      <c r="I2147" s="83">
        <f>ROUND(H2147/(MID($C2147,9,3)/Basis!$E$3/Basis!$E$9)*Basis!$E$11,0)</f>
        <v>1250</v>
      </c>
      <c r="J2147" s="123">
        <f>IF(Basis!$E$1=1,ROUND(H2147/((TaH-TrH)*1.163)/3600,3),ROUND(H2147/(500*(TaH-TrH)),2))</f>
        <v>0.21</v>
      </c>
      <c r="K2147" s="84"/>
      <c r="L2147" s="177">
        <f>CHOOSE(Basis!$E$1,((AJ2147*(J2147*3600/Basis!$E$5)^AK2147*(((MID(C2147,9,3)*10)-144)/1000)*AL2147+AM2147*(J2147*3600/Basis!$E$5)^2)*0.0098)/Basis!$E$10,((AJ2147*(J2147/Basis!$E$5)^AK2147*(((MID(C2147,9,3)*10)-144)/1000)*AL2147+AM2147*(J2147/Basis!$E$5)^2)*0.0098)/Basis!$E$10)</f>
        <v>3.0320517816720019E-3</v>
      </c>
      <c r="M2147" s="85"/>
      <c r="N2147" s="110">
        <v>1.3959999999999999</v>
      </c>
      <c r="O2147" s="74"/>
      <c r="P2147" s="73">
        <v>953</v>
      </c>
      <c r="Q2147" s="74"/>
      <c r="R2147" s="75"/>
      <c r="S2147" s="75"/>
      <c r="T2147" s="75"/>
      <c r="U2147" s="75"/>
      <c r="V2147" s="75"/>
      <c r="W2147" s="74"/>
      <c r="X2147" s="76"/>
      <c r="Y2147" s="76"/>
      <c r="Z2147" s="76"/>
      <c r="AA2147" s="76"/>
      <c r="AB2147" s="76"/>
      <c r="AC2147" s="74"/>
      <c r="AD2147" s="77"/>
      <c r="AE2147" s="77"/>
      <c r="AF2147" s="77"/>
      <c r="AG2147" s="77"/>
      <c r="AH2147" s="77"/>
      <c r="AI2147" s="68"/>
      <c r="AJ2147" s="214">
        <v>1.2760000000000001E-4</v>
      </c>
      <c r="AK2147" s="214">
        <v>1.7219</v>
      </c>
      <c r="AL2147" s="214">
        <v>2</v>
      </c>
      <c r="AM2147" s="214">
        <v>3.76611E-4</v>
      </c>
      <c r="AN2147" s="74"/>
      <c r="AO2147" s="73"/>
      <c r="AP2147" s="73"/>
      <c r="AQ2147" s="73"/>
      <c r="AR2147" s="73"/>
      <c r="AS2147" s="73"/>
      <c r="AT2147" s="74"/>
      <c r="AU2147" s="47"/>
      <c r="AV2147" s="48"/>
    </row>
    <row r="2148" spans="1:48" ht="12.75" customHeight="1" x14ac:dyDescent="0.25">
      <c r="A2148" s="72" t="s">
        <v>20</v>
      </c>
      <c r="B2148" s="43" t="s">
        <v>2240</v>
      </c>
      <c r="C2148" s="44" t="s">
        <v>2306</v>
      </c>
      <c r="D2148" s="45">
        <f>MROUND(MID($C2148,6,3)/Basis!$E$3,0.5)</f>
        <v>12</v>
      </c>
      <c r="E2148" s="45">
        <f>MROUND(MID($C2148,9,3)/Basis!$E$3,0.5)</f>
        <v>19.5</v>
      </c>
      <c r="F2148" s="124" t="s">
        <v>2948</v>
      </c>
      <c r="G2148" s="45">
        <f>ROUND((ROUNDDOWN($F2148/5,0)*5+1.8)/Basis!$E$3,1)</f>
        <v>8.6</v>
      </c>
      <c r="H2148" s="120">
        <f>ROUND($P2148*Basis!$E$2*((TaH-TrH)/LN(1/µ)/Basis!$E$7)^$N2148*$AA$4*Glycol,0)</f>
        <v>2047</v>
      </c>
      <c r="I2148" s="83">
        <f>ROUND(H2148/(MID($C2148,9,3)/Basis!$E$3/Basis!$E$9)*Basis!$E$11,0)</f>
        <v>1248</v>
      </c>
      <c r="J2148" s="123">
        <f>IF(Basis!$E$1=1,ROUND(H2148/((TaH-TrH)*1.163)/3600,3),ROUND(H2148/(500*(TaH-TrH)),2))</f>
        <v>0.2</v>
      </c>
      <c r="K2148" s="84"/>
      <c r="L2148" s="177">
        <f>CHOOSE(Basis!$E$1,((AJ2148*(J2148*3600/Basis!$E$5)^AK2148*(((MID(C2148,9,3)*10)-144)/1000)*AL2148+AM2148*(J2148*3600/Basis!$E$5)^2)*0.0098)/Basis!$E$10,((AJ2148*(J2148/Basis!$E$5)^AK2148*(((MID(C2148,9,3)*10)-144)/1000)*AL2148+AM2148*(J2148/Basis!$E$5)^2)*0.0098)/Basis!$E$10)</f>
        <v>3.8934102689977164E-3</v>
      </c>
      <c r="M2148" s="85"/>
      <c r="N2148" s="109">
        <v>1.468</v>
      </c>
      <c r="O2148" s="68"/>
      <c r="P2148" s="67">
        <v>974</v>
      </c>
      <c r="Q2148" s="68"/>
      <c r="R2148" s="69"/>
      <c r="S2148" s="69"/>
      <c r="T2148" s="69"/>
      <c r="U2148" s="69"/>
      <c r="V2148" s="69"/>
      <c r="W2148" s="68"/>
      <c r="X2148" s="70"/>
      <c r="Y2148" s="70"/>
      <c r="Z2148" s="70"/>
      <c r="AA2148" s="70"/>
      <c r="AB2148" s="70"/>
      <c r="AC2148" s="68"/>
      <c r="AD2148" s="71"/>
      <c r="AE2148" s="71"/>
      <c r="AF2148" s="71"/>
      <c r="AG2148" s="71"/>
      <c r="AH2148" s="71"/>
      <c r="AI2148" s="68"/>
      <c r="AJ2148" s="214">
        <v>1.2760000000000001E-4</v>
      </c>
      <c r="AK2148" s="214">
        <v>1.7219</v>
      </c>
      <c r="AL2148" s="214">
        <v>4</v>
      </c>
      <c r="AM2148" s="214">
        <v>5.1420100000000005E-4</v>
      </c>
      <c r="AN2148" s="68"/>
      <c r="AO2148" s="67"/>
      <c r="AP2148" s="67"/>
      <c r="AQ2148" s="67"/>
      <c r="AR2148" s="67"/>
      <c r="AS2148" s="67"/>
      <c r="AT2148" s="68"/>
      <c r="AU2148" s="49"/>
      <c r="AV2148" s="50"/>
    </row>
    <row r="2149" spans="1:48" ht="12.75" customHeight="1" x14ac:dyDescent="0.25">
      <c r="A2149" s="72" t="s">
        <v>20</v>
      </c>
      <c r="B2149" s="43" t="s">
        <v>2240</v>
      </c>
      <c r="C2149" s="44" t="s">
        <v>2307</v>
      </c>
      <c r="D2149" s="45">
        <f>MROUND(MID($C2149,6,3)/Basis!$E$3,0.5)</f>
        <v>12</v>
      </c>
      <c r="E2149" s="45">
        <f>MROUND(MID($C2149,9,3)/Basis!$E$3,0.5)</f>
        <v>23.5</v>
      </c>
      <c r="F2149" s="124" t="s">
        <v>2943</v>
      </c>
      <c r="G2149" s="45">
        <f>ROUND((ROUNDDOWN($F2149/5,0)*5+1.8)/Basis!$E$3,1)</f>
        <v>4.5999999999999996</v>
      </c>
      <c r="H2149" s="120">
        <f>ROUND($P2149*Basis!$E$2*((TaH-TrH)/LN(1/µ)/Basis!$E$7)^$N2149*$AA$4*Glycol,0)</f>
        <v>1065</v>
      </c>
      <c r="I2149" s="83">
        <f>ROUND(H2149/(MID($C2149,9,3)/Basis!$E$3/Basis!$E$9)*Basis!$E$11,0)</f>
        <v>541</v>
      </c>
      <c r="J2149" s="123">
        <f>IF(Basis!$E$1=1,ROUND(H2149/((TaH-TrH)*1.163)/3600,3),ROUND(H2149/(500*(TaH-TrH)),2))</f>
        <v>0.11</v>
      </c>
      <c r="K2149" s="84"/>
      <c r="L2149" s="177">
        <f>CHOOSE(Basis!$E$1,((AJ2149*(J2149*3600/Basis!$E$5)^AK2149*(((MID(C2149,9,3)*10)-144)/1000)*AL2149+AM2149*(J2149*3600/Basis!$E$5)^2)*0.0098)/Basis!$E$10,((AJ2149*(J2149/Basis!$E$5)^AK2149*(((MID(C2149,9,3)*10)-144)/1000)*AL2149+AM2149*(J2149/Basis!$E$5)^2)*0.0098)/Basis!$E$10)</f>
        <v>1.0641806337505209E-3</v>
      </c>
      <c r="M2149" s="85"/>
      <c r="N2149" s="110">
        <v>1.403</v>
      </c>
      <c r="O2149" s="74"/>
      <c r="P2149" s="73">
        <v>496</v>
      </c>
      <c r="Q2149" s="74"/>
      <c r="R2149" s="75"/>
      <c r="S2149" s="75"/>
      <c r="T2149" s="75"/>
      <c r="U2149" s="75"/>
      <c r="V2149" s="75"/>
      <c r="W2149" s="74"/>
      <c r="X2149" s="76"/>
      <c r="Y2149" s="76"/>
      <c r="Z2149" s="76"/>
      <c r="AA2149" s="76"/>
      <c r="AB2149" s="76"/>
      <c r="AC2149" s="74"/>
      <c r="AD2149" s="77"/>
      <c r="AE2149" s="77"/>
      <c r="AF2149" s="77"/>
      <c r="AG2149" s="77"/>
      <c r="AH2149" s="77"/>
      <c r="AI2149" s="68"/>
      <c r="AJ2149" s="213">
        <v>3.9689999999999994E-4</v>
      </c>
      <c r="AK2149" s="213">
        <v>1.7345999999999999</v>
      </c>
      <c r="AL2149" s="213">
        <v>2</v>
      </c>
      <c r="AM2149" s="213">
        <v>3.6734700000000002E-4</v>
      </c>
      <c r="AN2149" s="74"/>
      <c r="AO2149" s="73"/>
      <c r="AP2149" s="73"/>
      <c r="AQ2149" s="73"/>
      <c r="AR2149" s="73"/>
      <c r="AS2149" s="73"/>
      <c r="AT2149" s="74"/>
      <c r="AU2149" s="47"/>
      <c r="AV2149" s="48"/>
    </row>
    <row r="2150" spans="1:48" ht="12.75" customHeight="1" x14ac:dyDescent="0.25">
      <c r="A2150" s="72" t="s">
        <v>20</v>
      </c>
      <c r="B2150" s="43" t="s">
        <v>2240</v>
      </c>
      <c r="C2150" s="44" t="s">
        <v>2308</v>
      </c>
      <c r="D2150" s="45">
        <f>MROUND(MID($C2150,6,3)/Basis!$E$3,0.5)</f>
        <v>12</v>
      </c>
      <c r="E2150" s="45">
        <f>MROUND(MID($C2150,9,3)/Basis!$E$3,0.5)</f>
        <v>23.5</v>
      </c>
      <c r="F2150" s="124" t="s">
        <v>2946</v>
      </c>
      <c r="G2150" s="45">
        <f>ROUND((ROUNDDOWN($F2150/5,0)*5+1.8)/Basis!$E$3,1)</f>
        <v>4.5999999999999996</v>
      </c>
      <c r="H2150" s="120">
        <f>ROUND($P2150*Basis!$E$2*((TaH-TrH)/LN(1/µ)/Basis!$E$7)^$N2150*$AA$4*Glycol,0)</f>
        <v>1428</v>
      </c>
      <c r="I2150" s="83">
        <f>ROUND(H2150/(MID($C2150,9,3)/Basis!$E$3/Basis!$E$9)*Basis!$E$11,0)</f>
        <v>725</v>
      </c>
      <c r="J2150" s="123">
        <f>IF(Basis!$E$1=1,ROUND(H2150/((TaH-TrH)*1.163)/3600,3),ROUND(H2150/(500*(TaH-TrH)),2))</f>
        <v>0.14000000000000001</v>
      </c>
      <c r="K2150" s="84"/>
      <c r="L2150" s="177">
        <f>CHOOSE(Basis!$E$1,((AJ2150*(J2150*3600/Basis!$E$5)^AK2150*(((MID(C2150,9,3)*10)-144)/1000)*AL2150+AM2150*(J2150*3600/Basis!$E$5)^2)*0.0098)/Basis!$E$10,((AJ2150*(J2150/Basis!$E$5)^AK2150*(((MID(C2150,9,3)*10)-144)/1000)*AL2150+AM2150*(J2150/Basis!$E$5)^2)*0.0098)/Basis!$E$10)</f>
        <v>2.8541407171271639E-3</v>
      </c>
      <c r="M2150" s="85"/>
      <c r="N2150" s="109">
        <v>1.44</v>
      </c>
      <c r="O2150" s="68"/>
      <c r="P2150" s="67">
        <v>673</v>
      </c>
      <c r="Q2150" s="68"/>
      <c r="R2150" s="69"/>
      <c r="S2150" s="69"/>
      <c r="T2150" s="69"/>
      <c r="U2150" s="69"/>
      <c r="V2150" s="69"/>
      <c r="W2150" s="68"/>
      <c r="X2150" s="70"/>
      <c r="Y2150" s="70"/>
      <c r="Z2150" s="70"/>
      <c r="AA2150" s="70"/>
      <c r="AB2150" s="70"/>
      <c r="AC2150" s="68"/>
      <c r="AD2150" s="71"/>
      <c r="AE2150" s="71"/>
      <c r="AF2150" s="71"/>
      <c r="AG2150" s="71"/>
      <c r="AH2150" s="71"/>
      <c r="AI2150" s="68"/>
      <c r="AJ2150" s="214">
        <v>3.9689999999999994E-4</v>
      </c>
      <c r="AK2150" s="214">
        <v>1.7345999999999999</v>
      </c>
      <c r="AL2150" s="214">
        <v>4</v>
      </c>
      <c r="AM2150" s="214">
        <v>5.7428799999999995E-4</v>
      </c>
      <c r="AN2150" s="68"/>
      <c r="AO2150" s="67"/>
      <c r="AP2150" s="67"/>
      <c r="AQ2150" s="67"/>
      <c r="AR2150" s="67"/>
      <c r="AS2150" s="67"/>
      <c r="AT2150" s="68"/>
      <c r="AU2150" s="49"/>
      <c r="AV2150" s="50"/>
    </row>
    <row r="2151" spans="1:48" ht="12.75" customHeight="1" x14ac:dyDescent="0.25">
      <c r="A2151" s="72" t="s">
        <v>20</v>
      </c>
      <c r="B2151" s="43" t="s">
        <v>2240</v>
      </c>
      <c r="C2151" s="44" t="s">
        <v>2309</v>
      </c>
      <c r="D2151" s="45">
        <f>MROUND(MID($C2151,6,3)/Basis!$E$3,0.5)</f>
        <v>12</v>
      </c>
      <c r="E2151" s="45">
        <f>MROUND(MID($C2151,9,3)/Basis!$E$3,0.5)</f>
        <v>23.5</v>
      </c>
      <c r="F2151" s="124" t="s">
        <v>2944</v>
      </c>
      <c r="G2151" s="45">
        <f>ROUND((ROUNDDOWN($F2151/5,0)*5+1.8)/Basis!$E$3,1)</f>
        <v>6.6</v>
      </c>
      <c r="H2151" s="120">
        <f>ROUND($P2151*Basis!$E$2*((TaH-TrH)/LN(1/µ)/Basis!$E$7)^$N2151*$AA$4*Glycol,0)</f>
        <v>1754</v>
      </c>
      <c r="I2151" s="83">
        <f>ROUND(H2151/(MID($C2151,9,3)/Basis!$E$3/Basis!$E$9)*Basis!$E$11,0)</f>
        <v>891</v>
      </c>
      <c r="J2151" s="123">
        <f>IF(Basis!$E$1=1,ROUND(H2151/((TaH-TrH)*1.163)/3600,3),ROUND(H2151/(500*(TaH-TrH)),2))</f>
        <v>0.18</v>
      </c>
      <c r="K2151" s="84"/>
      <c r="L2151" s="177">
        <f>CHOOSE(Basis!$E$1,((AJ2151*(J2151*3600/Basis!$E$5)^AK2151*(((MID(C2151,9,3)*10)-144)/1000)*AL2151+AM2151*(J2151*3600/Basis!$E$5)^2)*0.0098)/Basis!$E$10,((AJ2151*(J2151/Basis!$E$5)^AK2151*(((MID(C2151,9,3)*10)-144)/1000)*AL2151+AM2151*(J2151/Basis!$E$5)^2)*0.0098)/Basis!$E$10)</f>
        <v>2.8966627491201912E-3</v>
      </c>
      <c r="M2151" s="85"/>
      <c r="N2151" s="109">
        <v>1.3959999999999999</v>
      </c>
      <c r="O2151" s="68"/>
      <c r="P2151" s="67">
        <v>815</v>
      </c>
      <c r="Q2151" s="68"/>
      <c r="R2151" s="69"/>
      <c r="S2151" s="69"/>
      <c r="T2151" s="69"/>
      <c r="U2151" s="69"/>
      <c r="V2151" s="69"/>
      <c r="W2151" s="68"/>
      <c r="X2151" s="70"/>
      <c r="Y2151" s="70"/>
      <c r="Z2151" s="70"/>
      <c r="AA2151" s="70"/>
      <c r="AB2151" s="70"/>
      <c r="AC2151" s="68"/>
      <c r="AD2151" s="71"/>
      <c r="AE2151" s="71"/>
      <c r="AF2151" s="71"/>
      <c r="AG2151" s="71"/>
      <c r="AH2151" s="71"/>
      <c r="AI2151" s="68"/>
      <c r="AJ2151" s="214">
        <v>2.0829999999999999E-4</v>
      </c>
      <c r="AK2151" s="214">
        <v>1.724</v>
      </c>
      <c r="AL2151" s="214">
        <v>2</v>
      </c>
      <c r="AM2151" s="214">
        <v>4.6182900000000003E-4</v>
      </c>
      <c r="AN2151" s="68"/>
      <c r="AO2151" s="67"/>
      <c r="AP2151" s="67"/>
      <c r="AQ2151" s="67"/>
      <c r="AR2151" s="67"/>
      <c r="AS2151" s="67"/>
      <c r="AT2151" s="68"/>
      <c r="AU2151" s="49"/>
      <c r="AV2151" s="50"/>
    </row>
    <row r="2152" spans="1:48" ht="12.75" customHeight="1" x14ac:dyDescent="0.25">
      <c r="A2152" s="72" t="s">
        <v>20</v>
      </c>
      <c r="B2152" s="43" t="s">
        <v>2240</v>
      </c>
      <c r="C2152" s="44" t="s">
        <v>2310</v>
      </c>
      <c r="D2152" s="45">
        <f>MROUND(MID($C2152,6,3)/Basis!$E$3,0.5)</f>
        <v>12</v>
      </c>
      <c r="E2152" s="45">
        <f>MROUND(MID($C2152,9,3)/Basis!$E$3,0.5)</f>
        <v>23.5</v>
      </c>
      <c r="F2152" s="124" t="s">
        <v>2947</v>
      </c>
      <c r="G2152" s="45">
        <f>ROUND((ROUNDDOWN($F2152/5,0)*5+1.8)/Basis!$E$3,1)</f>
        <v>6.6</v>
      </c>
      <c r="H2152" s="120">
        <f>ROUND($P2152*Basis!$E$2*((TaH-TrH)/LN(1/µ)/Basis!$E$7)^$N2152*$AA$4*Glycol,0)</f>
        <v>1874</v>
      </c>
      <c r="I2152" s="83">
        <f>ROUND(H2152/(MID($C2152,9,3)/Basis!$E$3/Basis!$E$9)*Basis!$E$11,0)</f>
        <v>952</v>
      </c>
      <c r="J2152" s="123">
        <f>IF(Basis!$E$1=1,ROUND(H2152/((TaH-TrH)*1.163)/3600,3),ROUND(H2152/(500*(TaH-TrH)),2))</f>
        <v>0.19</v>
      </c>
      <c r="K2152" s="84"/>
      <c r="L2152" s="177">
        <f>CHOOSE(Basis!$E$1,((AJ2152*(J2152*3600/Basis!$E$5)^AK2152*(((MID(C2152,9,3)*10)-144)/1000)*AL2152+AM2152*(J2152*3600/Basis!$E$5)^2)*0.0098)/Basis!$E$10,((AJ2152*(J2152/Basis!$E$5)^AK2152*(((MID(C2152,9,3)*10)-144)/1000)*AL2152+AM2152*(J2152/Basis!$E$5)^2)*0.0098)/Basis!$E$10)</f>
        <v>9.2991797810713685E-3</v>
      </c>
      <c r="M2152" s="85"/>
      <c r="N2152" s="110">
        <v>1.456</v>
      </c>
      <c r="O2152" s="74"/>
      <c r="P2152" s="73">
        <v>888</v>
      </c>
      <c r="Q2152" s="74"/>
      <c r="R2152" s="75"/>
      <c r="S2152" s="75"/>
      <c r="T2152" s="75"/>
      <c r="U2152" s="75"/>
      <c r="V2152" s="75"/>
      <c r="W2152" s="74"/>
      <c r="X2152" s="76"/>
      <c r="Y2152" s="76"/>
      <c r="Z2152" s="76"/>
      <c r="AA2152" s="76"/>
      <c r="AB2152" s="76"/>
      <c r="AC2152" s="74"/>
      <c r="AD2152" s="77"/>
      <c r="AE2152" s="77"/>
      <c r="AF2152" s="77"/>
      <c r="AG2152" s="77"/>
      <c r="AH2152" s="77"/>
      <c r="AI2152" s="68"/>
      <c r="AJ2152" s="213">
        <v>2.0829999999999999E-4</v>
      </c>
      <c r="AK2152" s="213">
        <v>1.724</v>
      </c>
      <c r="AL2152" s="213">
        <v>4</v>
      </c>
      <c r="AM2152" s="213">
        <v>1.392796E-3</v>
      </c>
      <c r="AN2152" s="74"/>
      <c r="AO2152" s="73"/>
      <c r="AP2152" s="73"/>
      <c r="AQ2152" s="73"/>
      <c r="AR2152" s="73"/>
      <c r="AS2152" s="73"/>
      <c r="AT2152" s="74"/>
      <c r="AU2152" s="47"/>
      <c r="AV2152" s="48"/>
    </row>
    <row r="2153" spans="1:48" ht="12.75" customHeight="1" x14ac:dyDescent="0.25">
      <c r="A2153" s="72" t="s">
        <v>20</v>
      </c>
      <c r="B2153" s="43" t="s">
        <v>2240</v>
      </c>
      <c r="C2153" s="44" t="s">
        <v>2311</v>
      </c>
      <c r="D2153" s="45">
        <f>MROUND(MID($C2153,6,3)/Basis!$E$3,0.5)</f>
        <v>12</v>
      </c>
      <c r="E2153" s="45">
        <f>MROUND(MID($C2153,9,3)/Basis!$E$3,0.5)</f>
        <v>23.5</v>
      </c>
      <c r="F2153" s="124" t="s">
        <v>2945</v>
      </c>
      <c r="G2153" s="45">
        <f>ROUND((ROUNDDOWN($F2153/5,0)*5+1.8)/Basis!$E$3,1)</f>
        <v>8.6</v>
      </c>
      <c r="H2153" s="120">
        <f>ROUND($P2153*Basis!$E$2*((TaH-TrH)/LN(1/µ)/Basis!$E$7)^$N2153*$AA$4*Glycol,0)</f>
        <v>2462</v>
      </c>
      <c r="I2153" s="83">
        <f>ROUND(H2153/(MID($C2153,9,3)/Basis!$E$3/Basis!$E$9)*Basis!$E$11,0)</f>
        <v>1251</v>
      </c>
      <c r="J2153" s="123">
        <f>IF(Basis!$E$1=1,ROUND(H2153/((TaH-TrH)*1.163)/3600,3),ROUND(H2153/(500*(TaH-TrH)),2))</f>
        <v>0.25</v>
      </c>
      <c r="K2153" s="84"/>
      <c r="L2153" s="177">
        <f>CHOOSE(Basis!$E$1,((AJ2153*(J2153*3600/Basis!$E$5)^AK2153*(((MID(C2153,9,3)*10)-144)/1000)*AL2153+AM2153*(J2153*3600/Basis!$E$5)^2)*0.0098)/Basis!$E$10,((AJ2153*(J2153/Basis!$E$5)^AK2153*(((MID(C2153,9,3)*10)-144)/1000)*AL2153+AM2153*(J2153/Basis!$E$5)^2)*0.0098)/Basis!$E$10)</f>
        <v>4.3691411678858979E-3</v>
      </c>
      <c r="M2153" s="85"/>
      <c r="N2153" s="110">
        <v>1.3959999999999999</v>
      </c>
      <c r="O2153" s="74"/>
      <c r="P2153" s="73">
        <v>1144</v>
      </c>
      <c r="Q2153" s="74"/>
      <c r="R2153" s="75"/>
      <c r="S2153" s="75"/>
      <c r="T2153" s="75"/>
      <c r="U2153" s="75"/>
      <c r="V2153" s="75"/>
      <c r="W2153" s="74"/>
      <c r="X2153" s="76"/>
      <c r="Y2153" s="76"/>
      <c r="Z2153" s="76"/>
      <c r="AA2153" s="76"/>
      <c r="AB2153" s="76"/>
      <c r="AC2153" s="74"/>
      <c r="AD2153" s="77"/>
      <c r="AE2153" s="77"/>
      <c r="AF2153" s="77"/>
      <c r="AG2153" s="77"/>
      <c r="AH2153" s="77"/>
      <c r="AI2153" s="68"/>
      <c r="AJ2153" s="214">
        <v>1.2760000000000001E-4</v>
      </c>
      <c r="AK2153" s="214">
        <v>1.7219</v>
      </c>
      <c r="AL2153" s="214">
        <v>2</v>
      </c>
      <c r="AM2153" s="214">
        <v>3.76611E-4</v>
      </c>
      <c r="AN2153" s="74"/>
      <c r="AO2153" s="73"/>
      <c r="AP2153" s="73"/>
      <c r="AQ2153" s="73"/>
      <c r="AR2153" s="73"/>
      <c r="AS2153" s="73"/>
      <c r="AT2153" s="74"/>
      <c r="AU2153" s="47"/>
      <c r="AV2153" s="48"/>
    </row>
    <row r="2154" spans="1:48" ht="12.75" customHeight="1" x14ac:dyDescent="0.25">
      <c r="A2154" s="72" t="s">
        <v>20</v>
      </c>
      <c r="B2154" s="43" t="s">
        <v>2240</v>
      </c>
      <c r="C2154" s="44" t="s">
        <v>2312</v>
      </c>
      <c r="D2154" s="45">
        <f>MROUND(MID($C2154,6,3)/Basis!$E$3,0.5)</f>
        <v>12</v>
      </c>
      <c r="E2154" s="45">
        <f>MROUND(MID($C2154,9,3)/Basis!$E$3,0.5)</f>
        <v>23.5</v>
      </c>
      <c r="F2154" s="124" t="s">
        <v>2948</v>
      </c>
      <c r="G2154" s="45">
        <f>ROUND((ROUNDDOWN($F2154/5,0)*5+1.8)/Basis!$E$3,1)</f>
        <v>8.6</v>
      </c>
      <c r="H2154" s="120">
        <f>ROUND($P2154*Basis!$E$2*((TaH-TrH)/LN(1/µ)/Basis!$E$7)^$N2154*$AA$4*Glycol,0)</f>
        <v>2457</v>
      </c>
      <c r="I2154" s="83">
        <f>ROUND(H2154/(MID($C2154,9,3)/Basis!$E$3/Basis!$E$9)*Basis!$E$11,0)</f>
        <v>1248</v>
      </c>
      <c r="J2154" s="123">
        <f>IF(Basis!$E$1=1,ROUND(H2154/((TaH-TrH)*1.163)/3600,3),ROUND(H2154/(500*(TaH-TrH)),2))</f>
        <v>0.25</v>
      </c>
      <c r="K2154" s="84"/>
      <c r="L2154" s="177">
        <f>CHOOSE(Basis!$E$1,((AJ2154*(J2154*3600/Basis!$E$5)^AK2154*(((MID(C2154,9,3)*10)-144)/1000)*AL2154+AM2154*(J2154*3600/Basis!$E$5)^2)*0.0098)/Basis!$E$10,((AJ2154*(J2154/Basis!$E$5)^AK2154*(((MID(C2154,9,3)*10)-144)/1000)*AL2154+AM2154*(J2154/Basis!$E$5)^2)*0.0098)/Basis!$E$10)</f>
        <v>6.2185521777049094E-3</v>
      </c>
      <c r="M2154" s="85"/>
      <c r="N2154" s="109">
        <v>1.468</v>
      </c>
      <c r="O2154" s="68"/>
      <c r="P2154" s="67">
        <v>1169</v>
      </c>
      <c r="Q2154" s="68"/>
      <c r="R2154" s="69"/>
      <c r="S2154" s="69"/>
      <c r="T2154" s="69"/>
      <c r="U2154" s="69"/>
      <c r="V2154" s="69"/>
      <c r="W2154" s="68"/>
      <c r="X2154" s="70"/>
      <c r="Y2154" s="70"/>
      <c r="Z2154" s="70"/>
      <c r="AA2154" s="70"/>
      <c r="AB2154" s="70"/>
      <c r="AC2154" s="68"/>
      <c r="AD2154" s="71"/>
      <c r="AE2154" s="71"/>
      <c r="AF2154" s="71"/>
      <c r="AG2154" s="71"/>
      <c r="AH2154" s="71"/>
      <c r="AI2154" s="68"/>
      <c r="AJ2154" s="214">
        <v>1.2760000000000001E-4</v>
      </c>
      <c r="AK2154" s="214">
        <v>1.7219</v>
      </c>
      <c r="AL2154" s="214">
        <v>4</v>
      </c>
      <c r="AM2154" s="214">
        <v>5.1420100000000005E-4</v>
      </c>
      <c r="AN2154" s="68"/>
      <c r="AO2154" s="67"/>
      <c r="AP2154" s="67"/>
      <c r="AQ2154" s="67"/>
      <c r="AR2154" s="67"/>
      <c r="AS2154" s="67"/>
      <c r="AT2154" s="68"/>
      <c r="AU2154" s="49"/>
      <c r="AV2154" s="50"/>
    </row>
    <row r="2155" spans="1:48" ht="12.75" customHeight="1" x14ac:dyDescent="0.25">
      <c r="A2155" s="72" t="s">
        <v>20</v>
      </c>
      <c r="B2155" s="43" t="s">
        <v>2240</v>
      </c>
      <c r="C2155" s="44" t="s">
        <v>2313</v>
      </c>
      <c r="D2155" s="45">
        <f>MROUND(MID($C2155,6,3)/Basis!$E$3,0.5)</f>
        <v>12</v>
      </c>
      <c r="E2155" s="45">
        <f>MROUND(MID($C2155,9,3)/Basis!$E$3,0.5)</f>
        <v>27.5</v>
      </c>
      <c r="F2155" s="124" t="s">
        <v>2943</v>
      </c>
      <c r="G2155" s="45">
        <f>ROUND((ROUNDDOWN($F2155/5,0)*5+1.8)/Basis!$E$3,1)</f>
        <v>4.5999999999999996</v>
      </c>
      <c r="H2155" s="120">
        <f>ROUND($P2155*Basis!$E$2*((TaH-TrH)/LN(1/µ)/Basis!$E$7)^$N2155*$AA$4*Glycol,0)</f>
        <v>1241</v>
      </c>
      <c r="I2155" s="83">
        <f>ROUND(H2155/(MID($C2155,9,3)/Basis!$E$3/Basis!$E$9)*Basis!$E$11,0)</f>
        <v>540</v>
      </c>
      <c r="J2155" s="123">
        <f>IF(Basis!$E$1=1,ROUND(H2155/((TaH-TrH)*1.163)/3600,3),ROUND(H2155/(500*(TaH-TrH)),2))</f>
        <v>0.12</v>
      </c>
      <c r="K2155" s="84"/>
      <c r="L2155" s="177">
        <f>CHOOSE(Basis!$E$1,((AJ2155*(J2155*3600/Basis!$E$5)^AK2155*(((MID(C2155,9,3)*10)-144)/1000)*AL2155+AM2155*(J2155*3600/Basis!$E$5)^2)*0.0098)/Basis!$E$10,((AJ2155*(J2155/Basis!$E$5)^AK2155*(((MID(C2155,9,3)*10)-144)/1000)*AL2155+AM2155*(J2155/Basis!$E$5)^2)*0.0098)/Basis!$E$10)</f>
        <v>1.3381149207224001E-3</v>
      </c>
      <c r="M2155" s="85"/>
      <c r="N2155" s="109">
        <v>1.403</v>
      </c>
      <c r="O2155" s="68"/>
      <c r="P2155" s="67">
        <v>578</v>
      </c>
      <c r="Q2155" s="68"/>
      <c r="R2155" s="69"/>
      <c r="S2155" s="69"/>
      <c r="T2155" s="69"/>
      <c r="U2155" s="69"/>
      <c r="V2155" s="69"/>
      <c r="W2155" s="68"/>
      <c r="X2155" s="70"/>
      <c r="Y2155" s="70"/>
      <c r="Z2155" s="70"/>
      <c r="AA2155" s="70"/>
      <c r="AB2155" s="70"/>
      <c r="AC2155" s="68"/>
      <c r="AD2155" s="71"/>
      <c r="AE2155" s="71"/>
      <c r="AF2155" s="71"/>
      <c r="AG2155" s="71"/>
      <c r="AH2155" s="71"/>
      <c r="AI2155" s="68"/>
      <c r="AJ2155" s="214">
        <v>3.9689999999999994E-4</v>
      </c>
      <c r="AK2155" s="214">
        <v>1.7345999999999999</v>
      </c>
      <c r="AL2155" s="214">
        <v>2</v>
      </c>
      <c r="AM2155" s="214">
        <v>3.6734700000000002E-4</v>
      </c>
      <c r="AN2155" s="68"/>
      <c r="AO2155" s="67"/>
      <c r="AP2155" s="67"/>
      <c r="AQ2155" s="67"/>
      <c r="AR2155" s="67"/>
      <c r="AS2155" s="67"/>
      <c r="AT2155" s="68"/>
      <c r="AU2155" s="49"/>
      <c r="AV2155" s="50"/>
    </row>
    <row r="2156" spans="1:48" ht="12.75" customHeight="1" x14ac:dyDescent="0.25">
      <c r="A2156" s="72" t="s">
        <v>20</v>
      </c>
      <c r="B2156" s="43" t="s">
        <v>2240</v>
      </c>
      <c r="C2156" s="44" t="s">
        <v>2314</v>
      </c>
      <c r="D2156" s="45">
        <f>MROUND(MID($C2156,6,3)/Basis!$E$3,0.5)</f>
        <v>12</v>
      </c>
      <c r="E2156" s="45">
        <f>MROUND(MID($C2156,9,3)/Basis!$E$3,0.5)</f>
        <v>27.5</v>
      </c>
      <c r="F2156" s="124" t="s">
        <v>2946</v>
      </c>
      <c r="G2156" s="45">
        <f>ROUND((ROUNDDOWN($F2156/5,0)*5+1.8)/Basis!$E$3,1)</f>
        <v>4.5999999999999996</v>
      </c>
      <c r="H2156" s="120">
        <f>ROUND($P2156*Basis!$E$2*((TaH-TrH)/LN(1/µ)/Basis!$E$7)^$N2156*$AA$4*Glycol,0)</f>
        <v>1665</v>
      </c>
      <c r="I2156" s="83">
        <f>ROUND(H2156/(MID($C2156,9,3)/Basis!$E$3/Basis!$E$9)*Basis!$E$11,0)</f>
        <v>725</v>
      </c>
      <c r="J2156" s="123">
        <f>IF(Basis!$E$1=1,ROUND(H2156/((TaH-TrH)*1.163)/3600,3),ROUND(H2156/(500*(TaH-TrH)),2))</f>
        <v>0.17</v>
      </c>
      <c r="K2156" s="84"/>
      <c r="L2156" s="177">
        <f>CHOOSE(Basis!$E$1,((AJ2156*(J2156*3600/Basis!$E$5)^AK2156*(((MID(C2156,9,3)*10)-144)/1000)*AL2156+AM2156*(J2156*3600/Basis!$E$5)^2)*0.0098)/Basis!$E$10,((AJ2156*(J2156/Basis!$E$5)^AK2156*(((MID(C2156,9,3)*10)-144)/1000)*AL2156+AM2156*(J2156/Basis!$E$5)^2)*0.0098)/Basis!$E$10)</f>
        <v>4.4311079930171651E-3</v>
      </c>
      <c r="M2156" s="85"/>
      <c r="N2156" s="110">
        <v>1.44</v>
      </c>
      <c r="O2156" s="74"/>
      <c r="P2156" s="73">
        <v>785</v>
      </c>
      <c r="Q2156" s="74"/>
      <c r="R2156" s="75"/>
      <c r="S2156" s="75"/>
      <c r="T2156" s="75"/>
      <c r="U2156" s="75"/>
      <c r="V2156" s="75"/>
      <c r="W2156" s="74"/>
      <c r="X2156" s="76"/>
      <c r="Y2156" s="76"/>
      <c r="Z2156" s="76"/>
      <c r="AA2156" s="76"/>
      <c r="AB2156" s="76"/>
      <c r="AC2156" s="74"/>
      <c r="AD2156" s="77"/>
      <c r="AE2156" s="77"/>
      <c r="AF2156" s="77"/>
      <c r="AG2156" s="77"/>
      <c r="AH2156" s="77"/>
      <c r="AI2156" s="68"/>
      <c r="AJ2156" s="213">
        <v>3.9689999999999994E-4</v>
      </c>
      <c r="AK2156" s="213">
        <v>1.7345999999999999</v>
      </c>
      <c r="AL2156" s="213">
        <v>4</v>
      </c>
      <c r="AM2156" s="213">
        <v>5.7428799999999995E-4</v>
      </c>
      <c r="AN2156" s="74"/>
      <c r="AO2156" s="73"/>
      <c r="AP2156" s="73"/>
      <c r="AQ2156" s="73"/>
      <c r="AR2156" s="73"/>
      <c r="AS2156" s="73"/>
      <c r="AT2156" s="74"/>
      <c r="AU2156" s="47"/>
      <c r="AV2156" s="48"/>
    </row>
    <row r="2157" spans="1:48" ht="12.75" customHeight="1" x14ac:dyDescent="0.25">
      <c r="A2157" s="72" t="s">
        <v>20</v>
      </c>
      <c r="B2157" s="43" t="s">
        <v>2240</v>
      </c>
      <c r="C2157" s="44" t="s">
        <v>2315</v>
      </c>
      <c r="D2157" s="45">
        <f>MROUND(MID($C2157,6,3)/Basis!$E$3,0.5)</f>
        <v>12</v>
      </c>
      <c r="E2157" s="45">
        <f>MROUND(MID($C2157,9,3)/Basis!$E$3,0.5)</f>
        <v>27.5</v>
      </c>
      <c r="F2157" s="124" t="s">
        <v>2944</v>
      </c>
      <c r="G2157" s="45">
        <f>ROUND((ROUNDDOWN($F2157/5,0)*5+1.8)/Basis!$E$3,1)</f>
        <v>6.6</v>
      </c>
      <c r="H2157" s="120">
        <f>ROUND($P2157*Basis!$E$2*((TaH-TrH)/LN(1/µ)/Basis!$E$7)^$N2157*$AA$4*Glycol,0)</f>
        <v>2047</v>
      </c>
      <c r="I2157" s="83">
        <f>ROUND(H2157/(MID($C2157,9,3)/Basis!$E$3/Basis!$E$9)*Basis!$E$11,0)</f>
        <v>891</v>
      </c>
      <c r="J2157" s="123">
        <f>IF(Basis!$E$1=1,ROUND(H2157/((TaH-TrH)*1.163)/3600,3),ROUND(H2157/(500*(TaH-TrH)),2))</f>
        <v>0.2</v>
      </c>
      <c r="K2157" s="84"/>
      <c r="L2157" s="177">
        <f>CHOOSE(Basis!$E$1,((AJ2157*(J2157*3600/Basis!$E$5)^AK2157*(((MID(C2157,9,3)*10)-144)/1000)*AL2157+AM2157*(J2157*3600/Basis!$E$5)^2)*0.0098)/Basis!$E$10,((AJ2157*(J2157/Basis!$E$5)^AK2157*(((MID(C2157,9,3)*10)-144)/1000)*AL2157+AM2157*(J2157/Basis!$E$5)^2)*0.0098)/Basis!$E$10)</f>
        <v>3.6609764654712469E-3</v>
      </c>
      <c r="M2157" s="85"/>
      <c r="N2157" s="110">
        <v>1.3959999999999999</v>
      </c>
      <c r="O2157" s="74"/>
      <c r="P2157" s="73">
        <v>951</v>
      </c>
      <c r="Q2157" s="74"/>
      <c r="R2157" s="75"/>
      <c r="S2157" s="75"/>
      <c r="T2157" s="75"/>
      <c r="U2157" s="75"/>
      <c r="V2157" s="75"/>
      <c r="W2157" s="74"/>
      <c r="X2157" s="76"/>
      <c r="Y2157" s="76"/>
      <c r="Z2157" s="76"/>
      <c r="AA2157" s="76"/>
      <c r="AB2157" s="76"/>
      <c r="AC2157" s="74"/>
      <c r="AD2157" s="77"/>
      <c r="AE2157" s="77"/>
      <c r="AF2157" s="77"/>
      <c r="AG2157" s="77"/>
      <c r="AH2157" s="77"/>
      <c r="AI2157" s="68"/>
      <c r="AJ2157" s="213">
        <v>2.0829999999999999E-4</v>
      </c>
      <c r="AK2157" s="213">
        <v>1.724</v>
      </c>
      <c r="AL2157" s="213">
        <v>2</v>
      </c>
      <c r="AM2157" s="213">
        <v>4.6182900000000003E-4</v>
      </c>
      <c r="AN2157" s="74"/>
      <c r="AO2157" s="73"/>
      <c r="AP2157" s="73"/>
      <c r="AQ2157" s="73"/>
      <c r="AR2157" s="73"/>
      <c r="AS2157" s="73"/>
      <c r="AT2157" s="74"/>
      <c r="AU2157" s="47"/>
      <c r="AV2157" s="48"/>
    </row>
    <row r="2158" spans="1:48" ht="12.75" customHeight="1" x14ac:dyDescent="0.25">
      <c r="A2158" s="72" t="s">
        <v>20</v>
      </c>
      <c r="B2158" s="43" t="s">
        <v>2240</v>
      </c>
      <c r="C2158" s="44" t="s">
        <v>2316</v>
      </c>
      <c r="D2158" s="45">
        <f>MROUND(MID($C2158,6,3)/Basis!$E$3,0.5)</f>
        <v>12</v>
      </c>
      <c r="E2158" s="45">
        <f>MROUND(MID($C2158,9,3)/Basis!$E$3,0.5)</f>
        <v>27.5</v>
      </c>
      <c r="F2158" s="124" t="s">
        <v>2947</v>
      </c>
      <c r="G2158" s="45">
        <f>ROUND((ROUNDDOWN($F2158/5,0)*5+1.8)/Basis!$E$3,1)</f>
        <v>6.6</v>
      </c>
      <c r="H2158" s="120">
        <f>ROUND($P2158*Basis!$E$2*((TaH-TrH)/LN(1/µ)/Basis!$E$7)^$N2158*$AA$4*Glycol,0)</f>
        <v>2186</v>
      </c>
      <c r="I2158" s="83">
        <f>ROUND(H2158/(MID($C2158,9,3)/Basis!$E$3/Basis!$E$9)*Basis!$E$11,0)</f>
        <v>952</v>
      </c>
      <c r="J2158" s="123">
        <f>IF(Basis!$E$1=1,ROUND(H2158/((TaH-TrH)*1.163)/3600,3),ROUND(H2158/(500*(TaH-TrH)),2))</f>
        <v>0.22</v>
      </c>
      <c r="K2158" s="84"/>
      <c r="L2158" s="177">
        <f>CHOOSE(Basis!$E$1,((AJ2158*(J2158*3600/Basis!$E$5)^AK2158*(((MID(C2158,9,3)*10)-144)/1000)*AL2158+AM2158*(J2158*3600/Basis!$E$5)^2)*0.0098)/Basis!$E$10,((AJ2158*(J2158/Basis!$E$5)^AK2158*(((MID(C2158,9,3)*10)-144)/1000)*AL2158+AM2158*(J2158/Basis!$E$5)^2)*0.0098)/Basis!$E$10)</f>
        <v>1.2655183268046492E-2</v>
      </c>
      <c r="M2158" s="85"/>
      <c r="N2158" s="109">
        <v>1.456</v>
      </c>
      <c r="O2158" s="68"/>
      <c r="P2158" s="67">
        <v>1036</v>
      </c>
      <c r="Q2158" s="68"/>
      <c r="R2158" s="69"/>
      <c r="S2158" s="69"/>
      <c r="T2158" s="69"/>
      <c r="U2158" s="69"/>
      <c r="V2158" s="69"/>
      <c r="W2158" s="68"/>
      <c r="X2158" s="70"/>
      <c r="Y2158" s="70"/>
      <c r="Z2158" s="70"/>
      <c r="AA2158" s="70"/>
      <c r="AB2158" s="70"/>
      <c r="AC2158" s="68"/>
      <c r="AD2158" s="71"/>
      <c r="AE2158" s="71"/>
      <c r="AF2158" s="71"/>
      <c r="AG2158" s="71"/>
      <c r="AH2158" s="71"/>
      <c r="AI2158" s="68"/>
      <c r="AJ2158" s="214">
        <v>2.0829999999999999E-4</v>
      </c>
      <c r="AK2158" s="214">
        <v>1.724</v>
      </c>
      <c r="AL2158" s="214">
        <v>4</v>
      </c>
      <c r="AM2158" s="214">
        <v>1.392796E-3</v>
      </c>
      <c r="AN2158" s="68"/>
      <c r="AO2158" s="67"/>
      <c r="AP2158" s="67"/>
      <c r="AQ2158" s="67"/>
      <c r="AR2158" s="67"/>
      <c r="AS2158" s="67"/>
      <c r="AT2158" s="68"/>
      <c r="AU2158" s="49"/>
      <c r="AV2158" s="50"/>
    </row>
    <row r="2159" spans="1:48" ht="12.75" customHeight="1" x14ac:dyDescent="0.25">
      <c r="A2159" s="72" t="s">
        <v>20</v>
      </c>
      <c r="B2159" s="43" t="s">
        <v>2240</v>
      </c>
      <c r="C2159" s="44" t="s">
        <v>2317</v>
      </c>
      <c r="D2159" s="45">
        <f>MROUND(MID($C2159,6,3)/Basis!$E$3,0.5)</f>
        <v>12</v>
      </c>
      <c r="E2159" s="45">
        <f>MROUND(MID($C2159,9,3)/Basis!$E$3,0.5)</f>
        <v>27.5</v>
      </c>
      <c r="F2159" s="124" t="s">
        <v>2945</v>
      </c>
      <c r="G2159" s="45">
        <f>ROUND((ROUNDDOWN($F2159/5,0)*5+1.8)/Basis!$E$3,1)</f>
        <v>8.6</v>
      </c>
      <c r="H2159" s="120">
        <f>ROUND($P2159*Basis!$E$2*((TaH-TrH)/LN(1/µ)/Basis!$E$7)^$N2159*$AA$4*Glycol,0)</f>
        <v>2871</v>
      </c>
      <c r="I2159" s="83">
        <f>ROUND(H2159/(MID($C2159,9,3)/Basis!$E$3/Basis!$E$9)*Basis!$E$11,0)</f>
        <v>1250</v>
      </c>
      <c r="J2159" s="123">
        <f>IF(Basis!$E$1=1,ROUND(H2159/((TaH-TrH)*1.163)/3600,3),ROUND(H2159/(500*(TaH-TrH)),2))</f>
        <v>0.28999999999999998</v>
      </c>
      <c r="K2159" s="84"/>
      <c r="L2159" s="177">
        <f>CHOOSE(Basis!$E$1,((AJ2159*(J2159*3600/Basis!$E$5)^AK2159*(((MID(C2159,9,3)*10)-144)/1000)*AL2159+AM2159*(J2159*3600/Basis!$E$5)^2)*0.0098)/Basis!$E$10,((AJ2159*(J2159/Basis!$E$5)^AK2159*(((MID(C2159,9,3)*10)-144)/1000)*AL2159+AM2159*(J2159/Basis!$E$5)^2)*0.0098)/Basis!$E$10)</f>
        <v>5.9703754637266465E-3</v>
      </c>
      <c r="M2159" s="85"/>
      <c r="N2159" s="109">
        <v>1.3959999999999999</v>
      </c>
      <c r="O2159" s="68"/>
      <c r="P2159" s="67">
        <v>1334</v>
      </c>
      <c r="Q2159" s="68"/>
      <c r="R2159" s="69"/>
      <c r="S2159" s="69"/>
      <c r="T2159" s="69"/>
      <c r="U2159" s="69"/>
      <c r="V2159" s="69"/>
      <c r="W2159" s="68"/>
      <c r="X2159" s="70"/>
      <c r="Y2159" s="70"/>
      <c r="Z2159" s="70"/>
      <c r="AA2159" s="70"/>
      <c r="AB2159" s="70"/>
      <c r="AC2159" s="68"/>
      <c r="AD2159" s="71"/>
      <c r="AE2159" s="71"/>
      <c r="AF2159" s="71"/>
      <c r="AG2159" s="71"/>
      <c r="AH2159" s="71"/>
      <c r="AI2159" s="68"/>
      <c r="AJ2159" s="214">
        <v>1.2760000000000001E-4</v>
      </c>
      <c r="AK2159" s="214">
        <v>1.7219</v>
      </c>
      <c r="AL2159" s="214">
        <v>2</v>
      </c>
      <c r="AM2159" s="214">
        <v>3.76611E-4</v>
      </c>
      <c r="AN2159" s="68"/>
      <c r="AO2159" s="67"/>
      <c r="AP2159" s="67"/>
      <c r="AQ2159" s="67"/>
      <c r="AR2159" s="67"/>
      <c r="AS2159" s="67"/>
      <c r="AT2159" s="68"/>
      <c r="AU2159" s="49"/>
      <c r="AV2159" s="50"/>
    </row>
    <row r="2160" spans="1:48" ht="12.75" customHeight="1" x14ac:dyDescent="0.25">
      <c r="A2160" s="72" t="s">
        <v>20</v>
      </c>
      <c r="B2160" s="43" t="s">
        <v>2240</v>
      </c>
      <c r="C2160" s="44" t="s">
        <v>2318</v>
      </c>
      <c r="D2160" s="45">
        <f>MROUND(MID($C2160,6,3)/Basis!$E$3,0.5)</f>
        <v>12</v>
      </c>
      <c r="E2160" s="45">
        <f>MROUND(MID($C2160,9,3)/Basis!$E$3,0.5)</f>
        <v>27.5</v>
      </c>
      <c r="F2160" s="124" t="s">
        <v>2948</v>
      </c>
      <c r="G2160" s="45">
        <f>ROUND((ROUNDDOWN($F2160/5,0)*5+1.8)/Basis!$E$3,1)</f>
        <v>8.6</v>
      </c>
      <c r="H2160" s="120">
        <f>ROUND($P2160*Basis!$E$2*((TaH-TrH)/LN(1/µ)/Basis!$E$7)^$N2160*$AA$4*Glycol,0)</f>
        <v>2867</v>
      </c>
      <c r="I2160" s="83">
        <f>ROUND(H2160/(MID($C2160,9,3)/Basis!$E$3/Basis!$E$9)*Basis!$E$11,0)</f>
        <v>1248</v>
      </c>
      <c r="J2160" s="123">
        <f>IF(Basis!$E$1=1,ROUND(H2160/((TaH-TrH)*1.163)/3600,3),ROUND(H2160/(500*(TaH-TrH)),2))</f>
        <v>0.28999999999999998</v>
      </c>
      <c r="K2160" s="84"/>
      <c r="L2160" s="177">
        <f>CHOOSE(Basis!$E$1,((AJ2160*(J2160*3600/Basis!$E$5)^AK2160*(((MID(C2160,9,3)*10)-144)/1000)*AL2160+AM2160*(J2160*3600/Basis!$E$5)^2)*0.0098)/Basis!$E$10,((AJ2160*(J2160/Basis!$E$5)^AK2160*(((MID(C2160,9,3)*10)-144)/1000)*AL2160+AM2160*(J2160/Basis!$E$5)^2)*0.0098)/Basis!$E$10)</f>
        <v>8.5502020267584928E-3</v>
      </c>
      <c r="M2160" s="85"/>
      <c r="N2160" s="110">
        <v>1.468</v>
      </c>
      <c r="O2160" s="74"/>
      <c r="P2160" s="73">
        <v>1364</v>
      </c>
      <c r="Q2160" s="74"/>
      <c r="R2160" s="75"/>
      <c r="S2160" s="75"/>
      <c r="T2160" s="75"/>
      <c r="U2160" s="75"/>
      <c r="V2160" s="75"/>
      <c r="W2160" s="74"/>
      <c r="X2160" s="76"/>
      <c r="Y2160" s="76"/>
      <c r="Z2160" s="76"/>
      <c r="AA2160" s="76"/>
      <c r="AB2160" s="76"/>
      <c r="AC2160" s="74"/>
      <c r="AD2160" s="77"/>
      <c r="AE2160" s="77"/>
      <c r="AF2160" s="77"/>
      <c r="AG2160" s="77"/>
      <c r="AH2160" s="77"/>
      <c r="AI2160" s="68"/>
      <c r="AJ2160" s="213">
        <v>1.2760000000000001E-4</v>
      </c>
      <c r="AK2160" s="213">
        <v>1.7219</v>
      </c>
      <c r="AL2160" s="213">
        <v>4</v>
      </c>
      <c r="AM2160" s="213">
        <v>5.1420100000000005E-4</v>
      </c>
      <c r="AN2160" s="74"/>
      <c r="AO2160" s="73"/>
      <c r="AP2160" s="73"/>
      <c r="AQ2160" s="73"/>
      <c r="AR2160" s="73"/>
      <c r="AS2160" s="73"/>
      <c r="AT2160" s="74"/>
      <c r="AU2160" s="47"/>
      <c r="AV2160" s="48"/>
    </row>
    <row r="2161" spans="1:48" ht="12.75" customHeight="1" x14ac:dyDescent="0.25">
      <c r="A2161" s="72" t="s">
        <v>20</v>
      </c>
      <c r="B2161" s="43" t="s">
        <v>2240</v>
      </c>
      <c r="C2161" s="44" t="s">
        <v>2319</v>
      </c>
      <c r="D2161" s="45">
        <f>MROUND(MID($C2161,6,3)/Basis!$E$3,0.5)</f>
        <v>12</v>
      </c>
      <c r="E2161" s="45">
        <f>MROUND(MID($C2161,9,3)/Basis!$E$3,0.5)</f>
        <v>31.5</v>
      </c>
      <c r="F2161" s="124" t="s">
        <v>2943</v>
      </c>
      <c r="G2161" s="45">
        <f>ROUND((ROUNDDOWN($F2161/5,0)*5+1.8)/Basis!$E$3,1)</f>
        <v>4.5999999999999996</v>
      </c>
      <c r="H2161" s="120">
        <f>ROUND($P2161*Basis!$E$2*((TaH-TrH)/LN(1/µ)/Basis!$E$7)^$N2161*$AA$4*Glycol,0)</f>
        <v>1419</v>
      </c>
      <c r="I2161" s="83">
        <f>ROUND(H2161/(MID($C2161,9,3)/Basis!$E$3/Basis!$E$9)*Basis!$E$11,0)</f>
        <v>541</v>
      </c>
      <c r="J2161" s="123">
        <f>IF(Basis!$E$1=1,ROUND(H2161/((TaH-TrH)*1.163)/3600,3),ROUND(H2161/(500*(TaH-TrH)),2))</f>
        <v>0.14000000000000001</v>
      </c>
      <c r="K2161" s="84"/>
      <c r="L2161" s="177">
        <f>CHOOSE(Basis!$E$1,((AJ2161*(J2161*3600/Basis!$E$5)^AK2161*(((MID(C2161,9,3)*10)-144)/1000)*AL2161+AM2161*(J2161*3600/Basis!$E$5)^2)*0.0098)/Basis!$E$10,((AJ2161*(J2161/Basis!$E$5)^AK2161*(((MID(C2161,9,3)*10)-144)/1000)*AL2161+AM2161*(J2161/Basis!$E$5)^2)*0.0098)/Basis!$E$10)</f>
        <v>1.9017737994781027E-3</v>
      </c>
      <c r="M2161" s="85"/>
      <c r="N2161" s="110">
        <v>1.403</v>
      </c>
      <c r="O2161" s="74"/>
      <c r="P2161" s="73">
        <v>661</v>
      </c>
      <c r="Q2161" s="74"/>
      <c r="R2161" s="75"/>
      <c r="S2161" s="75"/>
      <c r="T2161" s="75"/>
      <c r="U2161" s="75"/>
      <c r="V2161" s="75"/>
      <c r="W2161" s="74"/>
      <c r="X2161" s="76"/>
      <c r="Y2161" s="76"/>
      <c r="Z2161" s="76"/>
      <c r="AA2161" s="76"/>
      <c r="AB2161" s="76"/>
      <c r="AC2161" s="74"/>
      <c r="AD2161" s="77"/>
      <c r="AE2161" s="77"/>
      <c r="AF2161" s="77"/>
      <c r="AG2161" s="77"/>
      <c r="AH2161" s="77"/>
      <c r="AI2161" s="68"/>
      <c r="AJ2161" s="213">
        <v>3.9689999999999994E-4</v>
      </c>
      <c r="AK2161" s="213">
        <v>1.7345999999999999</v>
      </c>
      <c r="AL2161" s="213">
        <v>2</v>
      </c>
      <c r="AM2161" s="213">
        <v>3.6734700000000002E-4</v>
      </c>
      <c r="AN2161" s="74"/>
      <c r="AO2161" s="73"/>
      <c r="AP2161" s="73"/>
      <c r="AQ2161" s="73"/>
      <c r="AR2161" s="73"/>
      <c r="AS2161" s="73"/>
      <c r="AT2161" s="74"/>
      <c r="AU2161" s="47"/>
      <c r="AV2161" s="48"/>
    </row>
    <row r="2162" spans="1:48" ht="12.75" customHeight="1" x14ac:dyDescent="0.25">
      <c r="A2162" s="72" t="s">
        <v>20</v>
      </c>
      <c r="B2162" s="43" t="s">
        <v>2240</v>
      </c>
      <c r="C2162" s="44" t="s">
        <v>2320</v>
      </c>
      <c r="D2162" s="45">
        <f>MROUND(MID($C2162,6,3)/Basis!$E$3,0.5)</f>
        <v>12</v>
      </c>
      <c r="E2162" s="45">
        <f>MROUND(MID($C2162,9,3)/Basis!$E$3,0.5)</f>
        <v>31.5</v>
      </c>
      <c r="F2162" s="124" t="s">
        <v>2946</v>
      </c>
      <c r="G2162" s="45">
        <f>ROUND((ROUNDDOWN($F2162/5,0)*5+1.8)/Basis!$E$3,1)</f>
        <v>4.5999999999999996</v>
      </c>
      <c r="H2162" s="120">
        <f>ROUND($P2162*Basis!$E$2*((TaH-TrH)/LN(1/µ)/Basis!$E$7)^$N2162*$AA$4*Glycol,0)</f>
        <v>1903</v>
      </c>
      <c r="I2162" s="83">
        <f>ROUND(H2162/(MID($C2162,9,3)/Basis!$E$3/Basis!$E$9)*Basis!$E$11,0)</f>
        <v>725</v>
      </c>
      <c r="J2162" s="123">
        <f>IF(Basis!$E$1=1,ROUND(H2162/((TaH-TrH)*1.163)/3600,3),ROUND(H2162/(500*(TaH-TrH)),2))</f>
        <v>0.19</v>
      </c>
      <c r="K2162" s="84"/>
      <c r="L2162" s="177">
        <f>CHOOSE(Basis!$E$1,((AJ2162*(J2162*3600/Basis!$E$5)^AK2162*(((MID(C2162,9,3)*10)-144)/1000)*AL2162+AM2162*(J2162*3600/Basis!$E$5)^2)*0.0098)/Basis!$E$10,((AJ2162*(J2162/Basis!$E$5)^AK2162*(((MID(C2162,9,3)*10)-144)/1000)*AL2162+AM2162*(J2162/Basis!$E$5)^2)*0.0098)/Basis!$E$10)</f>
        <v>5.831687371923952E-3</v>
      </c>
      <c r="M2162" s="85"/>
      <c r="N2162" s="109">
        <v>1.44</v>
      </c>
      <c r="O2162" s="68"/>
      <c r="P2162" s="67">
        <v>897</v>
      </c>
      <c r="Q2162" s="68"/>
      <c r="R2162" s="69"/>
      <c r="S2162" s="69"/>
      <c r="T2162" s="69"/>
      <c r="U2162" s="69"/>
      <c r="V2162" s="69"/>
      <c r="W2162" s="68"/>
      <c r="X2162" s="70"/>
      <c r="Y2162" s="70"/>
      <c r="Z2162" s="70"/>
      <c r="AA2162" s="70"/>
      <c r="AB2162" s="70"/>
      <c r="AC2162" s="68"/>
      <c r="AD2162" s="71"/>
      <c r="AE2162" s="71"/>
      <c r="AF2162" s="71"/>
      <c r="AG2162" s="71"/>
      <c r="AH2162" s="71"/>
      <c r="AI2162" s="68"/>
      <c r="AJ2162" s="214">
        <v>3.9689999999999994E-4</v>
      </c>
      <c r="AK2162" s="214">
        <v>1.7345999999999999</v>
      </c>
      <c r="AL2162" s="214">
        <v>4</v>
      </c>
      <c r="AM2162" s="214">
        <v>5.7428799999999995E-4</v>
      </c>
      <c r="AN2162" s="68"/>
      <c r="AO2162" s="67"/>
      <c r="AP2162" s="67"/>
      <c r="AQ2162" s="67"/>
      <c r="AR2162" s="67"/>
      <c r="AS2162" s="67"/>
      <c r="AT2162" s="68"/>
      <c r="AU2162" s="49"/>
      <c r="AV2162" s="50"/>
    </row>
    <row r="2163" spans="1:48" ht="12.75" customHeight="1" x14ac:dyDescent="0.25">
      <c r="A2163" s="72" t="s">
        <v>20</v>
      </c>
      <c r="B2163" s="43" t="s">
        <v>2240</v>
      </c>
      <c r="C2163" s="44" t="s">
        <v>2321</v>
      </c>
      <c r="D2163" s="45">
        <f>MROUND(MID($C2163,6,3)/Basis!$E$3,0.5)</f>
        <v>12</v>
      </c>
      <c r="E2163" s="45">
        <f>MROUND(MID($C2163,9,3)/Basis!$E$3,0.5)</f>
        <v>31.5</v>
      </c>
      <c r="F2163" s="124" t="s">
        <v>2944</v>
      </c>
      <c r="G2163" s="45">
        <f>ROUND((ROUNDDOWN($F2163/5,0)*5+1.8)/Basis!$E$3,1)</f>
        <v>6.6</v>
      </c>
      <c r="H2163" s="120">
        <f>ROUND($P2163*Basis!$E$2*((TaH-TrH)/LN(1/µ)/Basis!$E$7)^$N2163*$AA$4*Glycol,0)</f>
        <v>2340</v>
      </c>
      <c r="I2163" s="83">
        <f>ROUND(H2163/(MID($C2163,9,3)/Basis!$E$3/Basis!$E$9)*Basis!$E$11,0)</f>
        <v>892</v>
      </c>
      <c r="J2163" s="123">
        <f>IF(Basis!$E$1=1,ROUND(H2163/((TaH-TrH)*1.163)/3600,3),ROUND(H2163/(500*(TaH-TrH)),2))</f>
        <v>0.23</v>
      </c>
      <c r="K2163" s="84"/>
      <c r="L2163" s="177">
        <f>CHOOSE(Basis!$E$1,((AJ2163*(J2163*3600/Basis!$E$5)^AK2163*(((MID(C2163,9,3)*10)-144)/1000)*AL2163+AM2163*(J2163*3600/Basis!$E$5)^2)*0.0098)/Basis!$E$10,((AJ2163*(J2163/Basis!$E$5)^AK2163*(((MID(C2163,9,3)*10)-144)/1000)*AL2163+AM2163*(J2163/Basis!$E$5)^2)*0.0098)/Basis!$E$10)</f>
        <v>4.9391153865029451E-3</v>
      </c>
      <c r="M2163" s="85"/>
      <c r="N2163" s="109">
        <v>1.3959999999999999</v>
      </c>
      <c r="O2163" s="68"/>
      <c r="P2163" s="67">
        <v>1087</v>
      </c>
      <c r="Q2163" s="68"/>
      <c r="R2163" s="69"/>
      <c r="S2163" s="69"/>
      <c r="T2163" s="69"/>
      <c r="U2163" s="69"/>
      <c r="V2163" s="69"/>
      <c r="W2163" s="68"/>
      <c r="X2163" s="70"/>
      <c r="Y2163" s="70"/>
      <c r="Z2163" s="70"/>
      <c r="AA2163" s="70"/>
      <c r="AB2163" s="70"/>
      <c r="AC2163" s="68"/>
      <c r="AD2163" s="71"/>
      <c r="AE2163" s="71"/>
      <c r="AF2163" s="71"/>
      <c r="AG2163" s="71"/>
      <c r="AH2163" s="71"/>
      <c r="AI2163" s="68"/>
      <c r="AJ2163" s="214">
        <v>2.0829999999999999E-4</v>
      </c>
      <c r="AK2163" s="214">
        <v>1.724</v>
      </c>
      <c r="AL2163" s="214">
        <v>2</v>
      </c>
      <c r="AM2163" s="214">
        <v>4.6182900000000003E-4</v>
      </c>
      <c r="AN2163" s="68"/>
      <c r="AO2163" s="67"/>
      <c r="AP2163" s="67"/>
      <c r="AQ2163" s="67"/>
      <c r="AR2163" s="67"/>
      <c r="AS2163" s="67"/>
      <c r="AT2163" s="68"/>
      <c r="AU2163" s="49"/>
      <c r="AV2163" s="50"/>
    </row>
    <row r="2164" spans="1:48" ht="12.75" customHeight="1" x14ac:dyDescent="0.25">
      <c r="A2164" s="72" t="s">
        <v>20</v>
      </c>
      <c r="B2164" s="43" t="s">
        <v>2240</v>
      </c>
      <c r="C2164" s="44" t="s">
        <v>2322</v>
      </c>
      <c r="D2164" s="45">
        <f>MROUND(MID($C2164,6,3)/Basis!$E$3,0.5)</f>
        <v>12</v>
      </c>
      <c r="E2164" s="45">
        <f>MROUND(MID($C2164,9,3)/Basis!$E$3,0.5)</f>
        <v>31.5</v>
      </c>
      <c r="F2164" s="124" t="s">
        <v>2947</v>
      </c>
      <c r="G2164" s="45">
        <f>ROUND((ROUNDDOWN($F2164/5,0)*5+1.8)/Basis!$E$3,1)</f>
        <v>6.6</v>
      </c>
      <c r="H2164" s="120">
        <f>ROUND($P2164*Basis!$E$2*((TaH-TrH)/LN(1/µ)/Basis!$E$7)^$N2164*$AA$4*Glycol,0)</f>
        <v>2499</v>
      </c>
      <c r="I2164" s="83">
        <f>ROUND(H2164/(MID($C2164,9,3)/Basis!$E$3/Basis!$E$9)*Basis!$E$11,0)</f>
        <v>952</v>
      </c>
      <c r="J2164" s="123">
        <f>IF(Basis!$E$1=1,ROUND(H2164/((TaH-TrH)*1.163)/3600,3),ROUND(H2164/(500*(TaH-TrH)),2))</f>
        <v>0.25</v>
      </c>
      <c r="K2164" s="84"/>
      <c r="L2164" s="177">
        <f>CHOOSE(Basis!$E$1,((AJ2164*(J2164*3600/Basis!$E$5)^AK2164*(((MID(C2164,9,3)*10)-144)/1000)*AL2164+AM2164*(J2164*3600/Basis!$E$5)^2)*0.0098)/Basis!$E$10,((AJ2164*(J2164/Basis!$E$5)^AK2164*(((MID(C2164,9,3)*10)-144)/1000)*AL2164+AM2164*(J2164/Basis!$E$5)^2)*0.0098)/Basis!$E$10)</f>
        <v>1.6572478291331884E-2</v>
      </c>
      <c r="M2164" s="85"/>
      <c r="N2164" s="110">
        <v>1.456</v>
      </c>
      <c r="O2164" s="74"/>
      <c r="P2164" s="73">
        <v>1184</v>
      </c>
      <c r="Q2164" s="74"/>
      <c r="R2164" s="75"/>
      <c r="S2164" s="75"/>
      <c r="T2164" s="75"/>
      <c r="U2164" s="75"/>
      <c r="V2164" s="75"/>
      <c r="W2164" s="74"/>
      <c r="X2164" s="76"/>
      <c r="Y2164" s="76"/>
      <c r="Z2164" s="76"/>
      <c r="AA2164" s="76"/>
      <c r="AB2164" s="76"/>
      <c r="AC2164" s="74"/>
      <c r="AD2164" s="77"/>
      <c r="AE2164" s="77"/>
      <c r="AF2164" s="77"/>
      <c r="AG2164" s="77"/>
      <c r="AH2164" s="77"/>
      <c r="AI2164" s="68"/>
      <c r="AJ2164" s="213">
        <v>2.0829999999999999E-4</v>
      </c>
      <c r="AK2164" s="213">
        <v>1.724</v>
      </c>
      <c r="AL2164" s="213">
        <v>4</v>
      </c>
      <c r="AM2164" s="213">
        <v>1.392796E-3</v>
      </c>
      <c r="AN2164" s="74"/>
      <c r="AO2164" s="73"/>
      <c r="AP2164" s="73"/>
      <c r="AQ2164" s="73"/>
      <c r="AR2164" s="73"/>
      <c r="AS2164" s="73"/>
      <c r="AT2164" s="74"/>
      <c r="AU2164" s="47"/>
      <c r="AV2164" s="48"/>
    </row>
    <row r="2165" spans="1:48" ht="12.75" customHeight="1" x14ac:dyDescent="0.25">
      <c r="A2165" s="72" t="s">
        <v>20</v>
      </c>
      <c r="B2165" s="43" t="s">
        <v>2240</v>
      </c>
      <c r="C2165" s="44" t="s">
        <v>2323</v>
      </c>
      <c r="D2165" s="45">
        <f>MROUND(MID($C2165,6,3)/Basis!$E$3,0.5)</f>
        <v>12</v>
      </c>
      <c r="E2165" s="45">
        <f>MROUND(MID($C2165,9,3)/Basis!$E$3,0.5)</f>
        <v>31.5</v>
      </c>
      <c r="F2165" s="124" t="s">
        <v>2945</v>
      </c>
      <c r="G2165" s="45">
        <f>ROUND((ROUNDDOWN($F2165/5,0)*5+1.8)/Basis!$E$3,1)</f>
        <v>8.6</v>
      </c>
      <c r="H2165" s="120">
        <f>ROUND($P2165*Basis!$E$2*((TaH-TrH)/LN(1/µ)/Basis!$E$7)^$N2165*$AA$4*Glycol,0)</f>
        <v>3282</v>
      </c>
      <c r="I2165" s="83">
        <f>ROUND(H2165/(MID($C2165,9,3)/Basis!$E$3/Basis!$E$9)*Basis!$E$11,0)</f>
        <v>1250</v>
      </c>
      <c r="J2165" s="123">
        <f>IF(Basis!$E$1=1,ROUND(H2165/((TaH-TrH)*1.163)/3600,3),ROUND(H2165/(500*(TaH-TrH)),2))</f>
        <v>0.33</v>
      </c>
      <c r="K2165" s="84"/>
      <c r="L2165" s="177">
        <f>CHOOSE(Basis!$E$1,((AJ2165*(J2165*3600/Basis!$E$5)^AK2165*(((MID(C2165,9,3)*10)-144)/1000)*AL2165+AM2165*(J2165*3600/Basis!$E$5)^2)*0.0098)/Basis!$E$10,((AJ2165*(J2165/Basis!$E$5)^AK2165*(((MID(C2165,9,3)*10)-144)/1000)*AL2165+AM2165*(J2165/Basis!$E$5)^2)*0.0098)/Basis!$E$10)</f>
        <v>7.8433707963561118E-3</v>
      </c>
      <c r="M2165" s="85"/>
      <c r="N2165" s="110">
        <v>1.3959999999999999</v>
      </c>
      <c r="O2165" s="74"/>
      <c r="P2165" s="73">
        <v>1525</v>
      </c>
      <c r="Q2165" s="74"/>
      <c r="R2165" s="75"/>
      <c r="S2165" s="75"/>
      <c r="T2165" s="75"/>
      <c r="U2165" s="75"/>
      <c r="V2165" s="75"/>
      <c r="W2165" s="74"/>
      <c r="X2165" s="76"/>
      <c r="Y2165" s="76"/>
      <c r="Z2165" s="76"/>
      <c r="AA2165" s="76"/>
      <c r="AB2165" s="76"/>
      <c r="AC2165" s="74"/>
      <c r="AD2165" s="77"/>
      <c r="AE2165" s="77"/>
      <c r="AF2165" s="77"/>
      <c r="AG2165" s="77"/>
      <c r="AH2165" s="77"/>
      <c r="AI2165" s="68"/>
      <c r="AJ2165" s="214">
        <v>1.2760000000000001E-4</v>
      </c>
      <c r="AK2165" s="214">
        <v>1.7219</v>
      </c>
      <c r="AL2165" s="214">
        <v>2</v>
      </c>
      <c r="AM2165" s="214">
        <v>3.76611E-4</v>
      </c>
      <c r="AN2165" s="74"/>
      <c r="AO2165" s="73"/>
      <c r="AP2165" s="73"/>
      <c r="AQ2165" s="73"/>
      <c r="AR2165" s="73"/>
      <c r="AS2165" s="73"/>
      <c r="AT2165" s="74"/>
      <c r="AU2165" s="47"/>
      <c r="AV2165" s="48"/>
    </row>
    <row r="2166" spans="1:48" ht="12.75" customHeight="1" x14ac:dyDescent="0.25">
      <c r="A2166" s="72" t="s">
        <v>20</v>
      </c>
      <c r="B2166" s="43" t="s">
        <v>2240</v>
      </c>
      <c r="C2166" s="44" t="s">
        <v>2324</v>
      </c>
      <c r="D2166" s="45">
        <f>MROUND(MID($C2166,6,3)/Basis!$E$3,0.5)</f>
        <v>12</v>
      </c>
      <c r="E2166" s="45">
        <f>MROUND(MID($C2166,9,3)/Basis!$E$3,0.5)</f>
        <v>31.5</v>
      </c>
      <c r="F2166" s="124" t="s">
        <v>2948</v>
      </c>
      <c r="G2166" s="45">
        <f>ROUND((ROUNDDOWN($F2166/5,0)*5+1.8)/Basis!$E$3,1)</f>
        <v>8.6</v>
      </c>
      <c r="H2166" s="120">
        <f>ROUND($P2166*Basis!$E$2*((TaH-TrH)/LN(1/µ)/Basis!$E$7)^$N2166*$AA$4*Glycol,0)</f>
        <v>3275</v>
      </c>
      <c r="I2166" s="83">
        <f>ROUND(H2166/(MID($C2166,9,3)/Basis!$E$3/Basis!$E$9)*Basis!$E$11,0)</f>
        <v>1248</v>
      </c>
      <c r="J2166" s="123">
        <f>IF(Basis!$E$1=1,ROUND(H2166/((TaH-TrH)*1.163)/3600,3),ROUND(H2166/(500*(TaH-TrH)),2))</f>
        <v>0.33</v>
      </c>
      <c r="K2166" s="84"/>
      <c r="L2166" s="177">
        <f>CHOOSE(Basis!$E$1,((AJ2166*(J2166*3600/Basis!$E$5)^AK2166*(((MID(C2166,9,3)*10)-144)/1000)*AL2166+AM2166*(J2166*3600/Basis!$E$5)^2)*0.0098)/Basis!$E$10,((AJ2166*(J2166/Basis!$E$5)^AK2166*(((MID(C2166,9,3)*10)-144)/1000)*AL2166+AM2166*(J2166/Basis!$E$5)^2)*0.0098)/Basis!$E$10)</f>
        <v>1.1296363765296477E-2</v>
      </c>
      <c r="M2166" s="85"/>
      <c r="N2166" s="109">
        <v>1.468</v>
      </c>
      <c r="O2166" s="68"/>
      <c r="P2166" s="67">
        <v>1558</v>
      </c>
      <c r="Q2166" s="68"/>
      <c r="R2166" s="69"/>
      <c r="S2166" s="69"/>
      <c r="T2166" s="69"/>
      <c r="U2166" s="69"/>
      <c r="V2166" s="69"/>
      <c r="W2166" s="68"/>
      <c r="X2166" s="70"/>
      <c r="Y2166" s="70"/>
      <c r="Z2166" s="70"/>
      <c r="AA2166" s="70"/>
      <c r="AB2166" s="70"/>
      <c r="AC2166" s="68"/>
      <c r="AD2166" s="71"/>
      <c r="AE2166" s="71"/>
      <c r="AF2166" s="71"/>
      <c r="AG2166" s="71"/>
      <c r="AH2166" s="71"/>
      <c r="AI2166" s="68"/>
      <c r="AJ2166" s="214">
        <v>1.2760000000000001E-4</v>
      </c>
      <c r="AK2166" s="214">
        <v>1.7219</v>
      </c>
      <c r="AL2166" s="214">
        <v>4</v>
      </c>
      <c r="AM2166" s="214">
        <v>5.1420100000000005E-4</v>
      </c>
      <c r="AN2166" s="68"/>
      <c r="AO2166" s="67"/>
      <c r="AP2166" s="67"/>
      <c r="AQ2166" s="67"/>
      <c r="AR2166" s="67"/>
      <c r="AS2166" s="67"/>
      <c r="AT2166" s="68"/>
      <c r="AU2166" s="49"/>
      <c r="AV2166" s="50"/>
    </row>
    <row r="2167" spans="1:48" ht="12.75" customHeight="1" x14ac:dyDescent="0.25">
      <c r="A2167" s="72" t="s">
        <v>20</v>
      </c>
      <c r="B2167" s="43" t="s">
        <v>2240</v>
      </c>
      <c r="C2167" s="44" t="s">
        <v>2325</v>
      </c>
      <c r="D2167" s="45">
        <f>MROUND(MID($C2167,6,3)/Basis!$E$3,0.5)</f>
        <v>12</v>
      </c>
      <c r="E2167" s="45">
        <f>MROUND(MID($C2167,9,3)/Basis!$E$3,0.5)</f>
        <v>35.5</v>
      </c>
      <c r="F2167" s="124" t="s">
        <v>2943</v>
      </c>
      <c r="G2167" s="45">
        <f>ROUND((ROUNDDOWN($F2167/5,0)*5+1.8)/Basis!$E$3,1)</f>
        <v>4.5999999999999996</v>
      </c>
      <c r="H2167" s="120">
        <f>ROUND($P2167*Basis!$E$2*((TaH-TrH)/LN(1/µ)/Basis!$E$7)^$N2167*$AA$4*Glycol,0)</f>
        <v>1596</v>
      </c>
      <c r="I2167" s="83">
        <f>ROUND(H2167/(MID($C2167,9,3)/Basis!$E$3/Basis!$E$9)*Basis!$E$11,0)</f>
        <v>541</v>
      </c>
      <c r="J2167" s="123">
        <f>IF(Basis!$E$1=1,ROUND(H2167/((TaH-TrH)*1.163)/3600,3),ROUND(H2167/(500*(TaH-TrH)),2))</f>
        <v>0.16</v>
      </c>
      <c r="K2167" s="84"/>
      <c r="L2167" s="177">
        <f>CHOOSE(Basis!$E$1,((AJ2167*(J2167*3600/Basis!$E$5)^AK2167*(((MID(C2167,9,3)*10)-144)/1000)*AL2167+AM2167*(J2167*3600/Basis!$E$5)^2)*0.0098)/Basis!$E$10,((AJ2167*(J2167/Basis!$E$5)^AK2167*(((MID(C2167,9,3)*10)-144)/1000)*AL2167+AM2167*(J2167/Basis!$E$5)^2)*0.0098)/Basis!$E$10)</f>
        <v>2.5847795576502621E-3</v>
      </c>
      <c r="M2167" s="85"/>
      <c r="N2167" s="109">
        <v>1.403</v>
      </c>
      <c r="O2167" s="68"/>
      <c r="P2167" s="67">
        <v>743</v>
      </c>
      <c r="Q2167" s="68"/>
      <c r="R2167" s="69"/>
      <c r="S2167" s="69"/>
      <c r="T2167" s="69"/>
      <c r="U2167" s="69"/>
      <c r="V2167" s="69"/>
      <c r="W2167" s="68"/>
      <c r="X2167" s="70"/>
      <c r="Y2167" s="70"/>
      <c r="Z2167" s="70"/>
      <c r="AA2167" s="70"/>
      <c r="AB2167" s="70"/>
      <c r="AC2167" s="68"/>
      <c r="AD2167" s="71"/>
      <c r="AE2167" s="71"/>
      <c r="AF2167" s="71"/>
      <c r="AG2167" s="71"/>
      <c r="AH2167" s="71"/>
      <c r="AI2167" s="68"/>
      <c r="AJ2167" s="214">
        <v>3.9689999999999994E-4</v>
      </c>
      <c r="AK2167" s="214">
        <v>1.7345999999999999</v>
      </c>
      <c r="AL2167" s="214">
        <v>2</v>
      </c>
      <c r="AM2167" s="214">
        <v>3.6734700000000002E-4</v>
      </c>
      <c r="AN2167" s="68"/>
      <c r="AO2167" s="67"/>
      <c r="AP2167" s="67"/>
      <c r="AQ2167" s="67"/>
      <c r="AR2167" s="67"/>
      <c r="AS2167" s="67"/>
      <c r="AT2167" s="68"/>
      <c r="AU2167" s="49"/>
      <c r="AV2167" s="50"/>
    </row>
    <row r="2168" spans="1:48" ht="12.75" customHeight="1" x14ac:dyDescent="0.25">
      <c r="A2168" s="72" t="s">
        <v>20</v>
      </c>
      <c r="B2168" s="43" t="s">
        <v>2240</v>
      </c>
      <c r="C2168" s="44" t="s">
        <v>2326</v>
      </c>
      <c r="D2168" s="45">
        <f>MROUND(MID($C2168,6,3)/Basis!$E$3,0.5)</f>
        <v>12</v>
      </c>
      <c r="E2168" s="45">
        <f>MROUND(MID($C2168,9,3)/Basis!$E$3,0.5)</f>
        <v>35.5</v>
      </c>
      <c r="F2168" s="124" t="s">
        <v>2946</v>
      </c>
      <c r="G2168" s="45">
        <f>ROUND((ROUNDDOWN($F2168/5,0)*5+1.8)/Basis!$E$3,1)</f>
        <v>4.5999999999999996</v>
      </c>
      <c r="H2168" s="120">
        <f>ROUND($P2168*Basis!$E$2*((TaH-TrH)/LN(1/µ)/Basis!$E$7)^$N2168*$AA$4*Glycol,0)</f>
        <v>2140</v>
      </c>
      <c r="I2168" s="83">
        <f>ROUND(H2168/(MID($C2168,9,3)/Basis!$E$3/Basis!$E$9)*Basis!$E$11,0)</f>
        <v>725</v>
      </c>
      <c r="J2168" s="123">
        <f>IF(Basis!$E$1=1,ROUND(H2168/((TaH-TrH)*1.163)/3600,3),ROUND(H2168/(500*(TaH-TrH)),2))</f>
        <v>0.21</v>
      </c>
      <c r="K2168" s="84"/>
      <c r="L2168" s="177">
        <f>CHOOSE(Basis!$E$1,((AJ2168*(J2168*3600/Basis!$E$5)^AK2168*(((MID(C2168,9,3)*10)-144)/1000)*AL2168+AM2168*(J2168*3600/Basis!$E$5)^2)*0.0098)/Basis!$E$10,((AJ2168*(J2168/Basis!$E$5)^AK2168*(((MID(C2168,9,3)*10)-144)/1000)*AL2168+AM2168*(J2168/Basis!$E$5)^2)*0.0098)/Basis!$E$10)</f>
        <v>7.4726635708694455E-3</v>
      </c>
      <c r="M2168" s="85"/>
      <c r="N2168" s="110">
        <v>1.44</v>
      </c>
      <c r="O2168" s="74"/>
      <c r="P2168" s="73">
        <v>1009</v>
      </c>
      <c r="Q2168" s="74"/>
      <c r="R2168" s="75"/>
      <c r="S2168" s="75"/>
      <c r="T2168" s="75"/>
      <c r="U2168" s="75"/>
      <c r="V2168" s="75"/>
      <c r="W2168" s="74"/>
      <c r="X2168" s="76"/>
      <c r="Y2168" s="76"/>
      <c r="Z2168" s="76"/>
      <c r="AA2168" s="76"/>
      <c r="AB2168" s="76"/>
      <c r="AC2168" s="74"/>
      <c r="AD2168" s="77"/>
      <c r="AE2168" s="77"/>
      <c r="AF2168" s="77"/>
      <c r="AG2168" s="77"/>
      <c r="AH2168" s="77"/>
      <c r="AI2168" s="68"/>
      <c r="AJ2168" s="213">
        <v>3.9689999999999994E-4</v>
      </c>
      <c r="AK2168" s="213">
        <v>1.7345999999999999</v>
      </c>
      <c r="AL2168" s="213">
        <v>4</v>
      </c>
      <c r="AM2168" s="213">
        <v>5.7428799999999995E-4</v>
      </c>
      <c r="AN2168" s="74"/>
      <c r="AO2168" s="73"/>
      <c r="AP2168" s="73"/>
      <c r="AQ2168" s="73"/>
      <c r="AR2168" s="73"/>
      <c r="AS2168" s="73"/>
      <c r="AT2168" s="74"/>
      <c r="AU2168" s="47"/>
      <c r="AV2168" s="48"/>
    </row>
    <row r="2169" spans="1:48" ht="12.75" customHeight="1" x14ac:dyDescent="0.25">
      <c r="A2169" s="72" t="s">
        <v>20</v>
      </c>
      <c r="B2169" s="43" t="s">
        <v>2240</v>
      </c>
      <c r="C2169" s="44" t="s">
        <v>2327</v>
      </c>
      <c r="D2169" s="45">
        <f>MROUND(MID($C2169,6,3)/Basis!$E$3,0.5)</f>
        <v>12</v>
      </c>
      <c r="E2169" s="45">
        <f>MROUND(MID($C2169,9,3)/Basis!$E$3,0.5)</f>
        <v>35.5</v>
      </c>
      <c r="F2169" s="124" t="s">
        <v>2944</v>
      </c>
      <c r="G2169" s="45">
        <f>ROUND((ROUNDDOWN($F2169/5,0)*5+1.8)/Basis!$E$3,1)</f>
        <v>6.6</v>
      </c>
      <c r="H2169" s="120">
        <f>ROUND($P2169*Basis!$E$2*((TaH-TrH)/LN(1/µ)/Basis!$E$7)^$N2169*$AA$4*Glycol,0)</f>
        <v>2632</v>
      </c>
      <c r="I2169" s="83">
        <f>ROUND(H2169/(MID($C2169,9,3)/Basis!$E$3/Basis!$E$9)*Basis!$E$11,0)</f>
        <v>891</v>
      </c>
      <c r="J2169" s="123">
        <f>IF(Basis!$E$1=1,ROUND(H2169/((TaH-TrH)*1.163)/3600,3),ROUND(H2169/(500*(TaH-TrH)),2))</f>
        <v>0.26</v>
      </c>
      <c r="K2169" s="84"/>
      <c r="L2169" s="177">
        <f>CHOOSE(Basis!$E$1,((AJ2169*(J2169*3600/Basis!$E$5)^AK2169*(((MID(C2169,9,3)*10)-144)/1000)*AL2169+AM2169*(J2169*3600/Basis!$E$5)^2)*0.0098)/Basis!$E$10,((AJ2169*(J2169/Basis!$E$5)^AK2169*(((MID(C2169,9,3)*10)-144)/1000)*AL2169+AM2169*(J2169/Basis!$E$5)^2)*0.0098)/Basis!$E$10)</f>
        <v>6.4309301996443823E-3</v>
      </c>
      <c r="M2169" s="85"/>
      <c r="N2169" s="110">
        <v>1.3959999999999999</v>
      </c>
      <c r="O2169" s="74"/>
      <c r="P2169" s="73">
        <v>1223</v>
      </c>
      <c r="Q2169" s="74"/>
      <c r="R2169" s="75"/>
      <c r="S2169" s="75"/>
      <c r="T2169" s="75"/>
      <c r="U2169" s="75"/>
      <c r="V2169" s="75"/>
      <c r="W2169" s="74"/>
      <c r="X2169" s="76"/>
      <c r="Y2169" s="76"/>
      <c r="Z2169" s="76"/>
      <c r="AA2169" s="76"/>
      <c r="AB2169" s="76"/>
      <c r="AC2169" s="74"/>
      <c r="AD2169" s="77"/>
      <c r="AE2169" s="77"/>
      <c r="AF2169" s="77"/>
      <c r="AG2169" s="77"/>
      <c r="AH2169" s="77"/>
      <c r="AI2169" s="68"/>
      <c r="AJ2169" s="213">
        <v>2.0829999999999999E-4</v>
      </c>
      <c r="AK2169" s="213">
        <v>1.724</v>
      </c>
      <c r="AL2169" s="213">
        <v>2</v>
      </c>
      <c r="AM2169" s="213">
        <v>4.6182900000000003E-4</v>
      </c>
      <c r="AN2169" s="74"/>
      <c r="AO2169" s="73"/>
      <c r="AP2169" s="73"/>
      <c r="AQ2169" s="73"/>
      <c r="AR2169" s="73"/>
      <c r="AS2169" s="73"/>
      <c r="AT2169" s="74"/>
      <c r="AU2169" s="47"/>
      <c r="AV2169" s="48"/>
    </row>
    <row r="2170" spans="1:48" ht="12.75" customHeight="1" x14ac:dyDescent="0.25">
      <c r="A2170" s="72" t="s">
        <v>20</v>
      </c>
      <c r="B2170" s="43" t="s">
        <v>2240</v>
      </c>
      <c r="C2170" s="44" t="s">
        <v>2328</v>
      </c>
      <c r="D2170" s="45">
        <f>MROUND(MID($C2170,6,3)/Basis!$E$3,0.5)</f>
        <v>12</v>
      </c>
      <c r="E2170" s="45">
        <f>MROUND(MID($C2170,9,3)/Basis!$E$3,0.5)</f>
        <v>35.5</v>
      </c>
      <c r="F2170" s="124" t="s">
        <v>2947</v>
      </c>
      <c r="G2170" s="45">
        <f>ROUND((ROUNDDOWN($F2170/5,0)*5+1.8)/Basis!$E$3,1)</f>
        <v>6.6</v>
      </c>
      <c r="H2170" s="120">
        <f>ROUND($P2170*Basis!$E$2*((TaH-TrH)/LN(1/µ)/Basis!$E$7)^$N2170*$AA$4*Glycol,0)</f>
        <v>2811</v>
      </c>
      <c r="I2170" s="83">
        <f>ROUND(H2170/(MID($C2170,9,3)/Basis!$E$3/Basis!$E$9)*Basis!$E$11,0)</f>
        <v>952</v>
      </c>
      <c r="J2170" s="123">
        <f>IF(Basis!$E$1=1,ROUND(H2170/((TaH-TrH)*1.163)/3600,3),ROUND(H2170/(500*(TaH-TrH)),2))</f>
        <v>0.28000000000000003</v>
      </c>
      <c r="K2170" s="84"/>
      <c r="L2170" s="177">
        <f>CHOOSE(Basis!$E$1,((AJ2170*(J2170*3600/Basis!$E$5)^AK2170*(((MID(C2170,9,3)*10)-144)/1000)*AL2170+AM2170*(J2170*3600/Basis!$E$5)^2)*0.0098)/Basis!$E$10,((AJ2170*(J2170/Basis!$E$5)^AK2170*(((MID(C2170,9,3)*10)-144)/1000)*AL2170+AM2170*(J2170/Basis!$E$5)^2)*0.0098)/Basis!$E$10)</f>
        <v>2.1065753655700022E-2</v>
      </c>
      <c r="M2170" s="85"/>
      <c r="N2170" s="109">
        <v>1.456</v>
      </c>
      <c r="O2170" s="68"/>
      <c r="P2170" s="67">
        <v>1332</v>
      </c>
      <c r="Q2170" s="68"/>
      <c r="R2170" s="69"/>
      <c r="S2170" s="69"/>
      <c r="T2170" s="69"/>
      <c r="U2170" s="69"/>
      <c r="V2170" s="69"/>
      <c r="W2170" s="68"/>
      <c r="X2170" s="70"/>
      <c r="Y2170" s="70"/>
      <c r="Z2170" s="70"/>
      <c r="AA2170" s="70"/>
      <c r="AB2170" s="70"/>
      <c r="AC2170" s="68"/>
      <c r="AD2170" s="71"/>
      <c r="AE2170" s="71"/>
      <c r="AF2170" s="71"/>
      <c r="AG2170" s="71"/>
      <c r="AH2170" s="71"/>
      <c r="AI2170" s="68"/>
      <c r="AJ2170" s="214">
        <v>2.0829999999999999E-4</v>
      </c>
      <c r="AK2170" s="214">
        <v>1.724</v>
      </c>
      <c r="AL2170" s="214">
        <v>4</v>
      </c>
      <c r="AM2170" s="214">
        <v>1.392796E-3</v>
      </c>
      <c r="AN2170" s="68"/>
      <c r="AO2170" s="67"/>
      <c r="AP2170" s="67"/>
      <c r="AQ2170" s="67"/>
      <c r="AR2170" s="67"/>
      <c r="AS2170" s="67"/>
      <c r="AT2170" s="68"/>
      <c r="AU2170" s="49"/>
      <c r="AV2170" s="50"/>
    </row>
    <row r="2171" spans="1:48" ht="12.75" customHeight="1" x14ac:dyDescent="0.25">
      <c r="A2171" s="72" t="s">
        <v>20</v>
      </c>
      <c r="B2171" s="43" t="s">
        <v>2240</v>
      </c>
      <c r="C2171" s="44" t="s">
        <v>2329</v>
      </c>
      <c r="D2171" s="45">
        <f>MROUND(MID($C2171,6,3)/Basis!$E$3,0.5)</f>
        <v>12</v>
      </c>
      <c r="E2171" s="45">
        <f>MROUND(MID($C2171,9,3)/Basis!$E$3,0.5)</f>
        <v>35.5</v>
      </c>
      <c r="F2171" s="124" t="s">
        <v>2945</v>
      </c>
      <c r="G2171" s="45">
        <f>ROUND((ROUNDDOWN($F2171/5,0)*5+1.8)/Basis!$E$3,1)</f>
        <v>8.6</v>
      </c>
      <c r="H2171" s="120">
        <f>ROUND($P2171*Basis!$E$2*((TaH-TrH)/LN(1/µ)/Basis!$E$7)^$N2171*$AA$4*Glycol,0)</f>
        <v>3691</v>
      </c>
      <c r="I2171" s="83">
        <f>ROUND(H2171/(MID($C2171,9,3)/Basis!$E$3/Basis!$E$9)*Basis!$E$11,0)</f>
        <v>1250</v>
      </c>
      <c r="J2171" s="123">
        <f>IF(Basis!$E$1=1,ROUND(H2171/((TaH-TrH)*1.163)/3600,3),ROUND(H2171/(500*(TaH-TrH)),2))</f>
        <v>0.37</v>
      </c>
      <c r="K2171" s="84"/>
      <c r="L2171" s="177">
        <f>CHOOSE(Basis!$E$1,((AJ2171*(J2171*3600/Basis!$E$5)^AK2171*(((MID(C2171,9,3)*10)-144)/1000)*AL2171+AM2171*(J2171*3600/Basis!$E$5)^2)*0.0098)/Basis!$E$10,((AJ2171*(J2171/Basis!$E$5)^AK2171*(((MID(C2171,9,3)*10)-144)/1000)*AL2171+AM2171*(J2171/Basis!$E$5)^2)*0.0098)/Basis!$E$10)</f>
        <v>9.9954304589168277E-3</v>
      </c>
      <c r="M2171" s="85"/>
      <c r="N2171" s="109">
        <v>1.3959999999999999</v>
      </c>
      <c r="O2171" s="68"/>
      <c r="P2171" s="67">
        <v>1715</v>
      </c>
      <c r="Q2171" s="68"/>
      <c r="R2171" s="69"/>
      <c r="S2171" s="69"/>
      <c r="T2171" s="69"/>
      <c r="U2171" s="69"/>
      <c r="V2171" s="69"/>
      <c r="W2171" s="68"/>
      <c r="X2171" s="70"/>
      <c r="Y2171" s="70"/>
      <c r="Z2171" s="70"/>
      <c r="AA2171" s="70"/>
      <c r="AB2171" s="70"/>
      <c r="AC2171" s="68"/>
      <c r="AD2171" s="71"/>
      <c r="AE2171" s="71"/>
      <c r="AF2171" s="71"/>
      <c r="AG2171" s="71"/>
      <c r="AH2171" s="71"/>
      <c r="AI2171" s="68"/>
      <c r="AJ2171" s="214">
        <v>1.2760000000000001E-4</v>
      </c>
      <c r="AK2171" s="214">
        <v>1.7219</v>
      </c>
      <c r="AL2171" s="214">
        <v>2</v>
      </c>
      <c r="AM2171" s="214">
        <v>3.76611E-4</v>
      </c>
      <c r="AN2171" s="68"/>
      <c r="AO2171" s="67"/>
      <c r="AP2171" s="67"/>
      <c r="AQ2171" s="67"/>
      <c r="AR2171" s="67"/>
      <c r="AS2171" s="67"/>
      <c r="AT2171" s="68"/>
      <c r="AU2171" s="49"/>
      <c r="AV2171" s="50"/>
    </row>
    <row r="2172" spans="1:48" ht="12.75" customHeight="1" x14ac:dyDescent="0.25">
      <c r="A2172" s="72" t="s">
        <v>20</v>
      </c>
      <c r="B2172" s="43" t="s">
        <v>2240</v>
      </c>
      <c r="C2172" s="44" t="s">
        <v>2330</v>
      </c>
      <c r="D2172" s="45">
        <f>MROUND(MID($C2172,6,3)/Basis!$E$3,0.5)</f>
        <v>12</v>
      </c>
      <c r="E2172" s="45">
        <f>MROUND(MID($C2172,9,3)/Basis!$E$3,0.5)</f>
        <v>35.5</v>
      </c>
      <c r="F2172" s="124" t="s">
        <v>2948</v>
      </c>
      <c r="G2172" s="45">
        <f>ROUND((ROUNDDOWN($F2172/5,0)*5+1.8)/Basis!$E$3,1)</f>
        <v>8.6</v>
      </c>
      <c r="H2172" s="120">
        <f>ROUND($P2172*Basis!$E$2*((TaH-TrH)/LN(1/µ)/Basis!$E$7)^$N2172*$AA$4*Glycol,0)</f>
        <v>3685</v>
      </c>
      <c r="I2172" s="83">
        <f>ROUND(H2172/(MID($C2172,9,3)/Basis!$E$3/Basis!$E$9)*Basis!$E$11,0)</f>
        <v>1248</v>
      </c>
      <c r="J2172" s="123">
        <f>IF(Basis!$E$1=1,ROUND(H2172/((TaH-TrH)*1.163)/3600,3),ROUND(H2172/(500*(TaH-TrH)),2))</f>
        <v>0.37</v>
      </c>
      <c r="K2172" s="84"/>
      <c r="L2172" s="177">
        <f>CHOOSE(Basis!$E$1,((AJ2172*(J2172*3600/Basis!$E$5)^AK2172*(((MID(C2172,9,3)*10)-144)/1000)*AL2172+AM2172*(J2172*3600/Basis!$E$5)^2)*0.0098)/Basis!$E$10,((AJ2172*(J2172/Basis!$E$5)^AK2172*(((MID(C2172,9,3)*10)-144)/1000)*AL2172+AM2172*(J2172/Basis!$E$5)^2)*0.0098)/Basis!$E$10)</f>
        <v>1.4471643979603951E-2</v>
      </c>
      <c r="M2172" s="85"/>
      <c r="N2172" s="110">
        <v>1.468</v>
      </c>
      <c r="O2172" s="74"/>
      <c r="P2172" s="73">
        <v>1753</v>
      </c>
      <c r="Q2172" s="74"/>
      <c r="R2172" s="75"/>
      <c r="S2172" s="75"/>
      <c r="T2172" s="75"/>
      <c r="U2172" s="75"/>
      <c r="V2172" s="75"/>
      <c r="W2172" s="74"/>
      <c r="X2172" s="76"/>
      <c r="Y2172" s="76"/>
      <c r="Z2172" s="76"/>
      <c r="AA2172" s="76"/>
      <c r="AB2172" s="76"/>
      <c r="AC2172" s="74"/>
      <c r="AD2172" s="77"/>
      <c r="AE2172" s="77"/>
      <c r="AF2172" s="77"/>
      <c r="AG2172" s="77"/>
      <c r="AH2172" s="77"/>
      <c r="AI2172" s="68"/>
      <c r="AJ2172" s="213">
        <v>1.2760000000000001E-4</v>
      </c>
      <c r="AK2172" s="213">
        <v>1.7219</v>
      </c>
      <c r="AL2172" s="213">
        <v>4</v>
      </c>
      <c r="AM2172" s="213">
        <v>5.1420100000000005E-4</v>
      </c>
      <c r="AN2172" s="74"/>
      <c r="AO2172" s="73"/>
      <c r="AP2172" s="73"/>
      <c r="AQ2172" s="73"/>
      <c r="AR2172" s="73"/>
      <c r="AS2172" s="73"/>
      <c r="AT2172" s="74"/>
      <c r="AU2172" s="47"/>
      <c r="AV2172" s="48"/>
    </row>
    <row r="2173" spans="1:48" ht="12.75" customHeight="1" x14ac:dyDescent="0.25">
      <c r="A2173" s="72" t="s">
        <v>20</v>
      </c>
      <c r="B2173" s="43" t="s">
        <v>2240</v>
      </c>
      <c r="C2173" s="44" t="s">
        <v>2331</v>
      </c>
      <c r="D2173" s="45">
        <f>MROUND(MID($C2173,6,3)/Basis!$E$3,0.5)</f>
        <v>12</v>
      </c>
      <c r="E2173" s="45">
        <f>MROUND(MID($C2173,9,3)/Basis!$E$3,0.5)</f>
        <v>39.5</v>
      </c>
      <c r="F2173" s="124" t="s">
        <v>2943</v>
      </c>
      <c r="G2173" s="45">
        <f>ROUND((ROUNDDOWN($F2173/5,0)*5+1.8)/Basis!$E$3,1)</f>
        <v>4.5999999999999996</v>
      </c>
      <c r="H2173" s="120">
        <f>ROUND($P2173*Basis!$E$2*((TaH-TrH)/LN(1/µ)/Basis!$E$7)^$N2173*$AA$4*Glycol,0)</f>
        <v>1774</v>
      </c>
      <c r="I2173" s="83">
        <f>ROUND(H2173/(MID($C2173,9,3)/Basis!$E$3/Basis!$E$9)*Basis!$E$11,0)</f>
        <v>541</v>
      </c>
      <c r="J2173" s="123">
        <f>IF(Basis!$E$1=1,ROUND(H2173/((TaH-TrH)*1.163)/3600,3),ROUND(H2173/(500*(TaH-TrH)),2))</f>
        <v>0.18</v>
      </c>
      <c r="K2173" s="84"/>
      <c r="L2173" s="177">
        <f>CHOOSE(Basis!$E$1,((AJ2173*(J2173*3600/Basis!$E$5)^AK2173*(((MID(C2173,9,3)*10)-144)/1000)*AL2173+AM2173*(J2173*3600/Basis!$E$5)^2)*0.0098)/Basis!$E$10,((AJ2173*(J2173/Basis!$E$5)^AK2173*(((MID(C2173,9,3)*10)-144)/1000)*AL2173+AM2173*(J2173/Basis!$E$5)^2)*0.0098)/Basis!$E$10)</f>
        <v>3.394495546212298E-3</v>
      </c>
      <c r="M2173" s="85"/>
      <c r="N2173" s="110">
        <v>1.403</v>
      </c>
      <c r="O2173" s="74"/>
      <c r="P2173" s="73">
        <v>826</v>
      </c>
      <c r="Q2173" s="74"/>
      <c r="R2173" s="75"/>
      <c r="S2173" s="75"/>
      <c r="T2173" s="75"/>
      <c r="U2173" s="75"/>
      <c r="V2173" s="75"/>
      <c r="W2173" s="74"/>
      <c r="X2173" s="76"/>
      <c r="Y2173" s="76"/>
      <c r="Z2173" s="76"/>
      <c r="AA2173" s="76"/>
      <c r="AB2173" s="76"/>
      <c r="AC2173" s="74"/>
      <c r="AD2173" s="77"/>
      <c r="AE2173" s="77"/>
      <c r="AF2173" s="77"/>
      <c r="AG2173" s="77"/>
      <c r="AH2173" s="77"/>
      <c r="AI2173" s="68"/>
      <c r="AJ2173" s="213">
        <v>3.9689999999999994E-4</v>
      </c>
      <c r="AK2173" s="213">
        <v>1.7345999999999999</v>
      </c>
      <c r="AL2173" s="213">
        <v>2</v>
      </c>
      <c r="AM2173" s="213">
        <v>3.6734700000000002E-4</v>
      </c>
      <c r="AN2173" s="74"/>
      <c r="AO2173" s="73"/>
      <c r="AP2173" s="73"/>
      <c r="AQ2173" s="73"/>
      <c r="AR2173" s="73"/>
      <c r="AS2173" s="73"/>
      <c r="AT2173" s="74"/>
      <c r="AU2173" s="47"/>
      <c r="AV2173" s="48"/>
    </row>
    <row r="2174" spans="1:48" ht="12.75" customHeight="1" x14ac:dyDescent="0.25">
      <c r="A2174" s="72" t="s">
        <v>20</v>
      </c>
      <c r="B2174" s="43" t="s">
        <v>2240</v>
      </c>
      <c r="C2174" s="44" t="s">
        <v>2332</v>
      </c>
      <c r="D2174" s="45">
        <f>MROUND(MID($C2174,6,3)/Basis!$E$3,0.5)</f>
        <v>12</v>
      </c>
      <c r="E2174" s="45">
        <f>MROUND(MID($C2174,9,3)/Basis!$E$3,0.5)</f>
        <v>39.5</v>
      </c>
      <c r="F2174" s="124" t="s">
        <v>2946</v>
      </c>
      <c r="G2174" s="45">
        <f>ROUND((ROUNDDOWN($F2174/5,0)*5+1.8)/Basis!$E$3,1)</f>
        <v>4.5999999999999996</v>
      </c>
      <c r="H2174" s="120">
        <f>ROUND($P2174*Basis!$E$2*((TaH-TrH)/LN(1/µ)/Basis!$E$7)^$N2174*$AA$4*Glycol,0)</f>
        <v>2378</v>
      </c>
      <c r="I2174" s="83">
        <f>ROUND(H2174/(MID($C2174,9,3)/Basis!$E$3/Basis!$E$9)*Basis!$E$11,0)</f>
        <v>725</v>
      </c>
      <c r="J2174" s="123">
        <f>IF(Basis!$E$1=1,ROUND(H2174/((TaH-TrH)*1.163)/3600,3),ROUND(H2174/(500*(TaH-TrH)),2))</f>
        <v>0.24</v>
      </c>
      <c r="K2174" s="84"/>
      <c r="L2174" s="177">
        <f>CHOOSE(Basis!$E$1,((AJ2174*(J2174*3600/Basis!$E$5)^AK2174*(((MID(C2174,9,3)*10)-144)/1000)*AL2174+AM2174*(J2174*3600/Basis!$E$5)^2)*0.0098)/Basis!$E$10,((AJ2174*(J2174/Basis!$E$5)^AK2174*(((MID(C2174,9,3)*10)-144)/1000)*AL2174+AM2174*(J2174/Basis!$E$5)^2)*0.0098)/Basis!$E$10)</f>
        <v>1.0148402668657469E-2</v>
      </c>
      <c r="M2174" s="85"/>
      <c r="N2174" s="109">
        <v>1.44</v>
      </c>
      <c r="O2174" s="68"/>
      <c r="P2174" s="67">
        <v>1121</v>
      </c>
      <c r="Q2174" s="68"/>
      <c r="R2174" s="69"/>
      <c r="S2174" s="69"/>
      <c r="T2174" s="69"/>
      <c r="U2174" s="69"/>
      <c r="V2174" s="69"/>
      <c r="W2174" s="68"/>
      <c r="X2174" s="70"/>
      <c r="Y2174" s="70"/>
      <c r="Z2174" s="70"/>
      <c r="AA2174" s="70"/>
      <c r="AB2174" s="70"/>
      <c r="AC2174" s="68"/>
      <c r="AD2174" s="71"/>
      <c r="AE2174" s="71"/>
      <c r="AF2174" s="71"/>
      <c r="AG2174" s="71"/>
      <c r="AH2174" s="71"/>
      <c r="AI2174" s="68"/>
      <c r="AJ2174" s="214">
        <v>3.9689999999999994E-4</v>
      </c>
      <c r="AK2174" s="214">
        <v>1.7345999999999999</v>
      </c>
      <c r="AL2174" s="214">
        <v>4</v>
      </c>
      <c r="AM2174" s="214">
        <v>5.7428799999999995E-4</v>
      </c>
      <c r="AN2174" s="68"/>
      <c r="AO2174" s="67"/>
      <c r="AP2174" s="67"/>
      <c r="AQ2174" s="67"/>
      <c r="AR2174" s="67"/>
      <c r="AS2174" s="67"/>
      <c r="AT2174" s="68"/>
      <c r="AU2174" s="49"/>
      <c r="AV2174" s="50"/>
    </row>
    <row r="2175" spans="1:48" ht="12.75" customHeight="1" x14ac:dyDescent="0.25">
      <c r="A2175" s="72" t="s">
        <v>20</v>
      </c>
      <c r="B2175" s="43" t="s">
        <v>2240</v>
      </c>
      <c r="C2175" s="44" t="s">
        <v>2333</v>
      </c>
      <c r="D2175" s="45">
        <f>MROUND(MID($C2175,6,3)/Basis!$E$3,0.5)</f>
        <v>12</v>
      </c>
      <c r="E2175" s="45">
        <f>MROUND(MID($C2175,9,3)/Basis!$E$3,0.5)</f>
        <v>39.5</v>
      </c>
      <c r="F2175" s="124" t="s">
        <v>2944</v>
      </c>
      <c r="G2175" s="45">
        <f>ROUND((ROUNDDOWN($F2175/5,0)*5+1.8)/Basis!$E$3,1)</f>
        <v>6.6</v>
      </c>
      <c r="H2175" s="120">
        <f>ROUND($P2175*Basis!$E$2*((TaH-TrH)/LN(1/µ)/Basis!$E$7)^$N2175*$AA$4*Glycol,0)</f>
        <v>2925</v>
      </c>
      <c r="I2175" s="83">
        <f>ROUND(H2175/(MID($C2175,9,3)/Basis!$E$3/Basis!$E$9)*Basis!$E$11,0)</f>
        <v>892</v>
      </c>
      <c r="J2175" s="123">
        <f>IF(Basis!$E$1=1,ROUND(H2175/((TaH-TrH)*1.163)/3600,3),ROUND(H2175/(500*(TaH-TrH)),2))</f>
        <v>0.28999999999999998</v>
      </c>
      <c r="K2175" s="84"/>
      <c r="L2175" s="177">
        <f>CHOOSE(Basis!$E$1,((AJ2175*(J2175*3600/Basis!$E$5)^AK2175*(((MID(C2175,9,3)*10)-144)/1000)*AL2175+AM2175*(J2175*3600/Basis!$E$5)^2)*0.0098)/Basis!$E$10,((AJ2175*(J2175/Basis!$E$5)^AK2175*(((MID(C2175,9,3)*10)-144)/1000)*AL2175+AM2175*(J2175/Basis!$E$5)^2)*0.0098)/Basis!$E$10)</f>
        <v>8.1436151724463487E-3</v>
      </c>
      <c r="M2175" s="85"/>
      <c r="N2175" s="109">
        <v>1.3959999999999999</v>
      </c>
      <c r="O2175" s="68"/>
      <c r="P2175" s="67">
        <v>1359</v>
      </c>
      <c r="Q2175" s="68"/>
      <c r="R2175" s="69"/>
      <c r="S2175" s="69"/>
      <c r="T2175" s="69"/>
      <c r="U2175" s="69"/>
      <c r="V2175" s="69"/>
      <c r="W2175" s="68"/>
      <c r="X2175" s="70"/>
      <c r="Y2175" s="70"/>
      <c r="Z2175" s="70"/>
      <c r="AA2175" s="70"/>
      <c r="AB2175" s="70"/>
      <c r="AC2175" s="68"/>
      <c r="AD2175" s="71"/>
      <c r="AE2175" s="71"/>
      <c r="AF2175" s="71"/>
      <c r="AG2175" s="71"/>
      <c r="AH2175" s="71"/>
      <c r="AI2175" s="68"/>
      <c r="AJ2175" s="214">
        <v>2.0829999999999999E-4</v>
      </c>
      <c r="AK2175" s="214">
        <v>1.724</v>
      </c>
      <c r="AL2175" s="214">
        <v>2</v>
      </c>
      <c r="AM2175" s="214">
        <v>4.6182900000000003E-4</v>
      </c>
      <c r="AN2175" s="68"/>
      <c r="AO2175" s="67"/>
      <c r="AP2175" s="67"/>
      <c r="AQ2175" s="67"/>
      <c r="AR2175" s="67"/>
      <c r="AS2175" s="67"/>
      <c r="AT2175" s="68"/>
      <c r="AU2175" s="49"/>
      <c r="AV2175" s="50"/>
    </row>
    <row r="2176" spans="1:48" ht="12.75" customHeight="1" x14ac:dyDescent="0.25">
      <c r="A2176" s="72" t="s">
        <v>20</v>
      </c>
      <c r="B2176" s="43" t="s">
        <v>2240</v>
      </c>
      <c r="C2176" s="44" t="s">
        <v>2334</v>
      </c>
      <c r="D2176" s="45">
        <f>MROUND(MID($C2176,6,3)/Basis!$E$3,0.5)</f>
        <v>12</v>
      </c>
      <c r="E2176" s="45">
        <f>MROUND(MID($C2176,9,3)/Basis!$E$3,0.5)</f>
        <v>39.5</v>
      </c>
      <c r="F2176" s="124" t="s">
        <v>2947</v>
      </c>
      <c r="G2176" s="45">
        <f>ROUND((ROUNDDOWN($F2176/5,0)*5+1.8)/Basis!$E$3,1)</f>
        <v>6.6</v>
      </c>
      <c r="H2176" s="120">
        <f>ROUND($P2176*Basis!$E$2*((TaH-TrH)/LN(1/µ)/Basis!$E$7)^$N2176*$AA$4*Glycol,0)</f>
        <v>3123</v>
      </c>
      <c r="I2176" s="83">
        <f>ROUND(H2176/(MID($C2176,9,3)/Basis!$E$3/Basis!$E$9)*Basis!$E$11,0)</f>
        <v>952</v>
      </c>
      <c r="J2176" s="123">
        <f>IF(Basis!$E$1=1,ROUND(H2176/((TaH-TrH)*1.163)/3600,3),ROUND(H2176/(500*(TaH-TrH)),2))</f>
        <v>0.31</v>
      </c>
      <c r="K2176" s="84"/>
      <c r="L2176" s="177">
        <f>CHOOSE(Basis!$E$1,((AJ2176*(J2176*3600/Basis!$E$5)^AK2176*(((MID(C2176,9,3)*10)-144)/1000)*AL2176+AM2176*(J2176*3600/Basis!$E$5)^2)*0.0098)/Basis!$E$10,((AJ2176*(J2176/Basis!$E$5)^AK2176*(((MID(C2176,9,3)*10)-144)/1000)*AL2176+AM2176*(J2176/Basis!$E$5)^2)*0.0098)/Basis!$E$10)</f>
        <v>2.6149180301160351E-2</v>
      </c>
      <c r="M2176" s="85"/>
      <c r="N2176" s="110">
        <v>1.456</v>
      </c>
      <c r="O2176" s="74"/>
      <c r="P2176" s="73">
        <v>1480</v>
      </c>
      <c r="Q2176" s="74"/>
      <c r="R2176" s="75"/>
      <c r="S2176" s="75"/>
      <c r="T2176" s="75"/>
      <c r="U2176" s="75"/>
      <c r="V2176" s="75"/>
      <c r="W2176" s="74"/>
      <c r="X2176" s="76"/>
      <c r="Y2176" s="76"/>
      <c r="Z2176" s="76"/>
      <c r="AA2176" s="76"/>
      <c r="AB2176" s="76"/>
      <c r="AC2176" s="74"/>
      <c r="AD2176" s="77"/>
      <c r="AE2176" s="77"/>
      <c r="AF2176" s="77"/>
      <c r="AG2176" s="77"/>
      <c r="AH2176" s="77"/>
      <c r="AI2176" s="68"/>
      <c r="AJ2176" s="213">
        <v>2.0829999999999999E-4</v>
      </c>
      <c r="AK2176" s="213">
        <v>1.724</v>
      </c>
      <c r="AL2176" s="213">
        <v>4</v>
      </c>
      <c r="AM2176" s="213">
        <v>1.392796E-3</v>
      </c>
      <c r="AN2176" s="74"/>
      <c r="AO2176" s="73"/>
      <c r="AP2176" s="73"/>
      <c r="AQ2176" s="73"/>
      <c r="AR2176" s="73"/>
      <c r="AS2176" s="73"/>
      <c r="AT2176" s="74"/>
      <c r="AU2176" s="47"/>
      <c r="AV2176" s="48"/>
    </row>
    <row r="2177" spans="1:48" ht="12.75" customHeight="1" x14ac:dyDescent="0.25">
      <c r="A2177" s="72" t="s">
        <v>20</v>
      </c>
      <c r="B2177" s="43" t="s">
        <v>2240</v>
      </c>
      <c r="C2177" s="44" t="s">
        <v>2335</v>
      </c>
      <c r="D2177" s="45">
        <f>MROUND(MID($C2177,6,3)/Basis!$E$3,0.5)</f>
        <v>12</v>
      </c>
      <c r="E2177" s="45">
        <f>MROUND(MID($C2177,9,3)/Basis!$E$3,0.5)</f>
        <v>39.5</v>
      </c>
      <c r="F2177" s="124" t="s">
        <v>2945</v>
      </c>
      <c r="G2177" s="45">
        <f>ROUND((ROUNDDOWN($F2177/5,0)*5+1.8)/Basis!$E$3,1)</f>
        <v>8.6</v>
      </c>
      <c r="H2177" s="120">
        <f>ROUND($P2177*Basis!$E$2*((TaH-TrH)/LN(1/µ)/Basis!$E$7)^$N2177*$AA$4*Glycol,0)</f>
        <v>4103</v>
      </c>
      <c r="I2177" s="83">
        <f>ROUND(H2177/(MID($C2177,9,3)/Basis!$E$3/Basis!$E$9)*Basis!$E$11,0)</f>
        <v>1251</v>
      </c>
      <c r="J2177" s="123">
        <f>IF(Basis!$E$1=1,ROUND(H2177/((TaH-TrH)*1.163)/3600,3),ROUND(H2177/(500*(TaH-TrH)),2))</f>
        <v>0.41</v>
      </c>
      <c r="K2177" s="84"/>
      <c r="L2177" s="177">
        <f>CHOOSE(Basis!$E$1,((AJ2177*(J2177*3600/Basis!$E$5)^AK2177*(((MID(C2177,9,3)*10)-144)/1000)*AL2177+AM2177*(J2177*3600/Basis!$E$5)^2)*0.0098)/Basis!$E$10,((AJ2177*(J2177/Basis!$E$5)^AK2177*(((MID(C2177,9,3)*10)-144)/1000)*AL2177+AM2177*(J2177/Basis!$E$5)^2)*0.0098)/Basis!$E$10)</f>
        <v>1.2433596392789925E-2</v>
      </c>
      <c r="M2177" s="85"/>
      <c r="N2177" s="110">
        <v>1.3959999999999999</v>
      </c>
      <c r="O2177" s="74"/>
      <c r="P2177" s="73">
        <v>1906</v>
      </c>
      <c r="Q2177" s="74"/>
      <c r="R2177" s="75"/>
      <c r="S2177" s="75"/>
      <c r="T2177" s="75"/>
      <c r="U2177" s="75"/>
      <c r="V2177" s="75"/>
      <c r="W2177" s="74"/>
      <c r="X2177" s="76"/>
      <c r="Y2177" s="76"/>
      <c r="Z2177" s="76"/>
      <c r="AA2177" s="76"/>
      <c r="AB2177" s="76"/>
      <c r="AC2177" s="74"/>
      <c r="AD2177" s="77"/>
      <c r="AE2177" s="77"/>
      <c r="AF2177" s="77"/>
      <c r="AG2177" s="77"/>
      <c r="AH2177" s="77"/>
      <c r="AI2177" s="68"/>
      <c r="AJ2177" s="214">
        <v>1.2760000000000001E-4</v>
      </c>
      <c r="AK2177" s="214">
        <v>1.7219</v>
      </c>
      <c r="AL2177" s="214">
        <v>2</v>
      </c>
      <c r="AM2177" s="214">
        <v>3.76611E-4</v>
      </c>
      <c r="AN2177" s="74"/>
      <c r="AO2177" s="73"/>
      <c r="AP2177" s="73"/>
      <c r="AQ2177" s="73"/>
      <c r="AR2177" s="73"/>
      <c r="AS2177" s="73"/>
      <c r="AT2177" s="74"/>
      <c r="AU2177" s="47"/>
      <c r="AV2177" s="48"/>
    </row>
    <row r="2178" spans="1:48" ht="12.75" customHeight="1" x14ac:dyDescent="0.25">
      <c r="A2178" s="72" t="s">
        <v>20</v>
      </c>
      <c r="B2178" s="43" t="s">
        <v>2240</v>
      </c>
      <c r="C2178" s="44" t="s">
        <v>2336</v>
      </c>
      <c r="D2178" s="45">
        <f>MROUND(MID($C2178,6,3)/Basis!$E$3,0.5)</f>
        <v>12</v>
      </c>
      <c r="E2178" s="45">
        <f>MROUND(MID($C2178,9,3)/Basis!$E$3,0.5)</f>
        <v>39.5</v>
      </c>
      <c r="F2178" s="124" t="s">
        <v>2948</v>
      </c>
      <c r="G2178" s="45">
        <f>ROUND((ROUNDDOWN($F2178/5,0)*5+1.8)/Basis!$E$3,1)</f>
        <v>8.6</v>
      </c>
      <c r="H2178" s="120">
        <f>ROUND($P2178*Basis!$E$2*((TaH-TrH)/LN(1/µ)/Basis!$E$7)^$N2178*$AA$4*Glycol,0)</f>
        <v>4094</v>
      </c>
      <c r="I2178" s="83">
        <f>ROUND(H2178/(MID($C2178,9,3)/Basis!$E$3/Basis!$E$9)*Basis!$E$11,0)</f>
        <v>1248</v>
      </c>
      <c r="J2178" s="123">
        <f>IF(Basis!$E$1=1,ROUND(H2178/((TaH-TrH)*1.163)/3600,3),ROUND(H2178/(500*(TaH-TrH)),2))</f>
        <v>0.41</v>
      </c>
      <c r="K2178" s="84"/>
      <c r="L2178" s="177">
        <f>CHOOSE(Basis!$E$1,((AJ2178*(J2178*3600/Basis!$E$5)^AK2178*(((MID(C2178,9,3)*10)-144)/1000)*AL2178+AM2178*(J2178*3600/Basis!$E$5)^2)*0.0098)/Basis!$E$10,((AJ2178*(J2178/Basis!$E$5)^AK2178*(((MID(C2178,9,3)*10)-144)/1000)*AL2178+AM2178*(J2178/Basis!$E$5)^2)*0.0098)/Basis!$E$10)</f>
        <v>1.8090126552443152E-2</v>
      </c>
      <c r="M2178" s="85"/>
      <c r="N2178" s="109">
        <v>1.468</v>
      </c>
      <c r="O2178" s="68"/>
      <c r="P2178" s="67">
        <v>1948</v>
      </c>
      <c r="Q2178" s="68"/>
      <c r="R2178" s="69"/>
      <c r="S2178" s="69"/>
      <c r="T2178" s="69"/>
      <c r="U2178" s="69"/>
      <c r="V2178" s="69"/>
      <c r="W2178" s="68"/>
      <c r="X2178" s="70"/>
      <c r="Y2178" s="70"/>
      <c r="Z2178" s="70"/>
      <c r="AA2178" s="70"/>
      <c r="AB2178" s="70"/>
      <c r="AC2178" s="68"/>
      <c r="AD2178" s="71"/>
      <c r="AE2178" s="71"/>
      <c r="AF2178" s="71"/>
      <c r="AG2178" s="71"/>
      <c r="AH2178" s="71"/>
      <c r="AI2178" s="68"/>
      <c r="AJ2178" s="214">
        <v>1.2760000000000001E-4</v>
      </c>
      <c r="AK2178" s="214">
        <v>1.7219</v>
      </c>
      <c r="AL2178" s="214">
        <v>4</v>
      </c>
      <c r="AM2178" s="214">
        <v>5.1420100000000005E-4</v>
      </c>
      <c r="AN2178" s="68"/>
      <c r="AO2178" s="67"/>
      <c r="AP2178" s="67"/>
      <c r="AQ2178" s="67"/>
      <c r="AR2178" s="67"/>
      <c r="AS2178" s="67"/>
      <c r="AT2178" s="68"/>
      <c r="AU2178" s="49"/>
      <c r="AV2178" s="50"/>
    </row>
    <row r="2179" spans="1:48" ht="12.75" customHeight="1" x14ac:dyDescent="0.25">
      <c r="A2179" s="72" t="s">
        <v>20</v>
      </c>
      <c r="B2179" s="43" t="s">
        <v>2240</v>
      </c>
      <c r="C2179" s="44" t="s">
        <v>2337</v>
      </c>
      <c r="D2179" s="45">
        <f>MROUND(MID($C2179,6,3)/Basis!$E$3,0.5)</f>
        <v>12</v>
      </c>
      <c r="E2179" s="45">
        <f>MROUND(MID($C2179,9,3)/Basis!$E$3,0.5)</f>
        <v>43.5</v>
      </c>
      <c r="F2179" s="124" t="s">
        <v>2943</v>
      </c>
      <c r="G2179" s="45">
        <f>ROUND((ROUNDDOWN($F2179/5,0)*5+1.8)/Basis!$E$3,1)</f>
        <v>4.5999999999999996</v>
      </c>
      <c r="H2179" s="120">
        <f>ROUND($P2179*Basis!$E$2*((TaH-TrH)/LN(1/µ)/Basis!$E$7)^$N2179*$AA$4*Glycol,0)</f>
        <v>1952</v>
      </c>
      <c r="I2179" s="83">
        <f>ROUND(H2179/(MID($C2179,9,3)/Basis!$E$3/Basis!$E$9)*Basis!$E$11,0)</f>
        <v>541</v>
      </c>
      <c r="J2179" s="123">
        <f>IF(Basis!$E$1=1,ROUND(H2179/((TaH-TrH)*1.163)/3600,3),ROUND(H2179/(500*(TaH-TrH)),2))</f>
        <v>0.2</v>
      </c>
      <c r="K2179" s="84"/>
      <c r="L2179" s="177">
        <f>CHOOSE(Basis!$E$1,((AJ2179*(J2179*3600/Basis!$E$5)^AK2179*(((MID(C2179,9,3)*10)-144)/1000)*AL2179+AM2179*(J2179*3600/Basis!$E$5)^2)*0.0098)/Basis!$E$10,((AJ2179*(J2179/Basis!$E$5)^AK2179*(((MID(C2179,9,3)*10)-144)/1000)*AL2179+AM2179*(J2179/Basis!$E$5)^2)*0.0098)/Basis!$E$10)</f>
        <v>4.3380385289437627E-3</v>
      </c>
      <c r="M2179" s="85"/>
      <c r="N2179" s="109">
        <v>1.403</v>
      </c>
      <c r="O2179" s="68"/>
      <c r="P2179" s="67">
        <v>909</v>
      </c>
      <c r="Q2179" s="68"/>
      <c r="R2179" s="69"/>
      <c r="S2179" s="69"/>
      <c r="T2179" s="69"/>
      <c r="U2179" s="69"/>
      <c r="V2179" s="69"/>
      <c r="W2179" s="68"/>
      <c r="X2179" s="70"/>
      <c r="Y2179" s="70"/>
      <c r="Z2179" s="70"/>
      <c r="AA2179" s="70"/>
      <c r="AB2179" s="70"/>
      <c r="AC2179" s="68"/>
      <c r="AD2179" s="71"/>
      <c r="AE2179" s="71"/>
      <c r="AF2179" s="71"/>
      <c r="AG2179" s="71"/>
      <c r="AH2179" s="71"/>
      <c r="AI2179" s="68"/>
      <c r="AJ2179" s="214">
        <v>3.9689999999999994E-4</v>
      </c>
      <c r="AK2179" s="214">
        <v>1.7345999999999999</v>
      </c>
      <c r="AL2179" s="214">
        <v>2</v>
      </c>
      <c r="AM2179" s="214">
        <v>3.6734700000000002E-4</v>
      </c>
      <c r="AN2179" s="68"/>
      <c r="AO2179" s="67"/>
      <c r="AP2179" s="67"/>
      <c r="AQ2179" s="67"/>
      <c r="AR2179" s="67"/>
      <c r="AS2179" s="67"/>
      <c r="AT2179" s="68"/>
      <c r="AU2179" s="49"/>
      <c r="AV2179" s="50"/>
    </row>
    <row r="2180" spans="1:48" ht="12.75" customHeight="1" x14ac:dyDescent="0.25">
      <c r="A2180" s="72" t="s">
        <v>20</v>
      </c>
      <c r="B2180" s="43" t="s">
        <v>2240</v>
      </c>
      <c r="C2180" s="44" t="s">
        <v>2338</v>
      </c>
      <c r="D2180" s="45">
        <f>MROUND(MID($C2180,6,3)/Basis!$E$3,0.5)</f>
        <v>12</v>
      </c>
      <c r="E2180" s="45">
        <f>MROUND(MID($C2180,9,3)/Basis!$E$3,0.5)</f>
        <v>43.5</v>
      </c>
      <c r="F2180" s="124" t="s">
        <v>2946</v>
      </c>
      <c r="G2180" s="45">
        <f>ROUND((ROUNDDOWN($F2180/5,0)*5+1.8)/Basis!$E$3,1)</f>
        <v>4.5999999999999996</v>
      </c>
      <c r="H2180" s="120">
        <f>ROUND($P2180*Basis!$E$2*((TaH-TrH)/LN(1/µ)/Basis!$E$7)^$N2180*$AA$4*Glycol,0)</f>
        <v>2616</v>
      </c>
      <c r="I2180" s="83">
        <f>ROUND(H2180/(MID($C2180,9,3)/Basis!$E$3/Basis!$E$9)*Basis!$E$11,0)</f>
        <v>725</v>
      </c>
      <c r="J2180" s="123">
        <f>IF(Basis!$E$1=1,ROUND(H2180/((TaH-TrH)*1.163)/3600,3),ROUND(H2180/(500*(TaH-TrH)),2))</f>
        <v>0.26</v>
      </c>
      <c r="K2180" s="84"/>
      <c r="L2180" s="177">
        <f>CHOOSE(Basis!$E$1,((AJ2180*(J2180*3600/Basis!$E$5)^AK2180*(((MID(C2180,9,3)*10)-144)/1000)*AL2180+AM2180*(J2180*3600/Basis!$E$5)^2)*0.0098)/Basis!$E$10,((AJ2180*(J2180/Basis!$E$5)^AK2180*(((MID(C2180,9,3)*10)-144)/1000)*AL2180+AM2180*(J2180/Basis!$E$5)^2)*0.0098)/Basis!$E$10)</f>
        <v>1.2410825985846648E-2</v>
      </c>
      <c r="M2180" s="85"/>
      <c r="N2180" s="110">
        <v>1.44</v>
      </c>
      <c r="O2180" s="74"/>
      <c r="P2180" s="73">
        <v>1233</v>
      </c>
      <c r="Q2180" s="74"/>
      <c r="R2180" s="75"/>
      <c r="S2180" s="75"/>
      <c r="T2180" s="75"/>
      <c r="U2180" s="75"/>
      <c r="V2180" s="75"/>
      <c r="W2180" s="74"/>
      <c r="X2180" s="76"/>
      <c r="Y2180" s="76"/>
      <c r="Z2180" s="76"/>
      <c r="AA2180" s="76"/>
      <c r="AB2180" s="76"/>
      <c r="AC2180" s="74"/>
      <c r="AD2180" s="77"/>
      <c r="AE2180" s="77"/>
      <c r="AF2180" s="77"/>
      <c r="AG2180" s="77"/>
      <c r="AH2180" s="77"/>
      <c r="AI2180" s="68"/>
      <c r="AJ2180" s="213">
        <v>3.9689999999999994E-4</v>
      </c>
      <c r="AK2180" s="213">
        <v>1.7345999999999999</v>
      </c>
      <c r="AL2180" s="213">
        <v>4</v>
      </c>
      <c r="AM2180" s="213">
        <v>5.7428799999999995E-4</v>
      </c>
      <c r="AN2180" s="74"/>
      <c r="AO2180" s="73"/>
      <c r="AP2180" s="73"/>
      <c r="AQ2180" s="73"/>
      <c r="AR2180" s="73"/>
      <c r="AS2180" s="73"/>
      <c r="AT2180" s="74"/>
      <c r="AU2180" s="47"/>
      <c r="AV2180" s="48"/>
    </row>
    <row r="2181" spans="1:48" ht="12.75" customHeight="1" x14ac:dyDescent="0.25">
      <c r="A2181" s="72" t="s">
        <v>20</v>
      </c>
      <c r="B2181" s="43" t="s">
        <v>2240</v>
      </c>
      <c r="C2181" s="44" t="s">
        <v>2339</v>
      </c>
      <c r="D2181" s="45">
        <f>MROUND(MID($C2181,6,3)/Basis!$E$3,0.5)</f>
        <v>12</v>
      </c>
      <c r="E2181" s="45">
        <f>MROUND(MID($C2181,9,3)/Basis!$E$3,0.5)</f>
        <v>43.5</v>
      </c>
      <c r="F2181" s="124" t="s">
        <v>2944</v>
      </c>
      <c r="G2181" s="45">
        <f>ROUND((ROUNDDOWN($F2181/5,0)*5+1.8)/Basis!$E$3,1)</f>
        <v>6.6</v>
      </c>
      <c r="H2181" s="120">
        <f>ROUND($P2181*Basis!$E$2*((TaH-TrH)/LN(1/µ)/Basis!$E$7)^$N2181*$AA$4*Glycol,0)</f>
        <v>3218</v>
      </c>
      <c r="I2181" s="83">
        <f>ROUND(H2181/(MID($C2181,9,3)/Basis!$E$3/Basis!$E$9)*Basis!$E$11,0)</f>
        <v>892</v>
      </c>
      <c r="J2181" s="123">
        <f>IF(Basis!$E$1=1,ROUND(H2181/((TaH-TrH)*1.163)/3600,3),ROUND(H2181/(500*(TaH-TrH)),2))</f>
        <v>0.32</v>
      </c>
      <c r="K2181" s="84"/>
      <c r="L2181" s="177">
        <f>CHOOSE(Basis!$E$1,((AJ2181*(J2181*3600/Basis!$E$5)^AK2181*(((MID(C2181,9,3)*10)-144)/1000)*AL2181+AM2181*(J2181*3600/Basis!$E$5)^2)*0.0098)/Basis!$E$10,((AJ2181*(J2181/Basis!$E$5)^AK2181*(((MID(C2181,9,3)*10)-144)/1000)*AL2181+AM2181*(J2181/Basis!$E$5)^2)*0.0098)/Basis!$E$10)</f>
        <v>1.0084127438381853E-2</v>
      </c>
      <c r="M2181" s="85"/>
      <c r="N2181" s="110">
        <v>1.3959999999999999</v>
      </c>
      <c r="O2181" s="74"/>
      <c r="P2181" s="73">
        <v>1495</v>
      </c>
      <c r="Q2181" s="74"/>
      <c r="R2181" s="75"/>
      <c r="S2181" s="75"/>
      <c r="T2181" s="75"/>
      <c r="U2181" s="75"/>
      <c r="V2181" s="75"/>
      <c r="W2181" s="74"/>
      <c r="X2181" s="76"/>
      <c r="Y2181" s="76"/>
      <c r="Z2181" s="76"/>
      <c r="AA2181" s="76"/>
      <c r="AB2181" s="76"/>
      <c r="AC2181" s="74"/>
      <c r="AD2181" s="77"/>
      <c r="AE2181" s="77"/>
      <c r="AF2181" s="77"/>
      <c r="AG2181" s="77"/>
      <c r="AH2181" s="77"/>
      <c r="AI2181" s="68"/>
      <c r="AJ2181" s="213">
        <v>2.0829999999999999E-4</v>
      </c>
      <c r="AK2181" s="213">
        <v>1.724</v>
      </c>
      <c r="AL2181" s="213">
        <v>2</v>
      </c>
      <c r="AM2181" s="213">
        <v>4.6182900000000003E-4</v>
      </c>
      <c r="AN2181" s="74"/>
      <c r="AO2181" s="73"/>
      <c r="AP2181" s="73"/>
      <c r="AQ2181" s="73"/>
      <c r="AR2181" s="73"/>
      <c r="AS2181" s="73"/>
      <c r="AT2181" s="74"/>
      <c r="AU2181" s="47"/>
      <c r="AV2181" s="48"/>
    </row>
    <row r="2182" spans="1:48" ht="12.75" customHeight="1" x14ac:dyDescent="0.25">
      <c r="A2182" s="72" t="s">
        <v>20</v>
      </c>
      <c r="B2182" s="43" t="s">
        <v>2240</v>
      </c>
      <c r="C2182" s="44" t="s">
        <v>2340</v>
      </c>
      <c r="D2182" s="45">
        <f>MROUND(MID($C2182,6,3)/Basis!$E$3,0.5)</f>
        <v>12</v>
      </c>
      <c r="E2182" s="45">
        <f>MROUND(MID($C2182,9,3)/Basis!$E$3,0.5)</f>
        <v>43.5</v>
      </c>
      <c r="F2182" s="124" t="s">
        <v>2947</v>
      </c>
      <c r="G2182" s="45">
        <f>ROUND((ROUNDDOWN($F2182/5,0)*5+1.8)/Basis!$E$3,1)</f>
        <v>6.6</v>
      </c>
      <c r="H2182" s="120">
        <f>ROUND($P2182*Basis!$E$2*((TaH-TrH)/LN(1/µ)/Basis!$E$7)^$N2182*$AA$4*Glycol,0)</f>
        <v>3435</v>
      </c>
      <c r="I2182" s="83">
        <f>ROUND(H2182/(MID($C2182,9,3)/Basis!$E$3/Basis!$E$9)*Basis!$E$11,0)</f>
        <v>952</v>
      </c>
      <c r="J2182" s="123">
        <f>IF(Basis!$E$1=1,ROUND(H2182/((TaH-TrH)*1.163)/3600,3),ROUND(H2182/(500*(TaH-TrH)),2))</f>
        <v>0.34</v>
      </c>
      <c r="K2182" s="84"/>
      <c r="L2182" s="177">
        <f>CHOOSE(Basis!$E$1,((AJ2182*(J2182*3600/Basis!$E$5)^AK2182*(((MID(C2182,9,3)*10)-144)/1000)*AL2182+AM2182*(J2182*3600/Basis!$E$5)^2)*0.0098)/Basis!$E$10,((AJ2182*(J2182/Basis!$E$5)^AK2182*(((MID(C2182,9,3)*10)-144)/1000)*AL2182+AM2182*(J2182/Basis!$E$5)^2)*0.0098)/Basis!$E$10)</f>
        <v>3.1836486147809047E-2</v>
      </c>
      <c r="M2182" s="85"/>
      <c r="N2182" s="109">
        <v>1.456</v>
      </c>
      <c r="O2182" s="68"/>
      <c r="P2182" s="67">
        <v>1628</v>
      </c>
      <c r="Q2182" s="68"/>
      <c r="R2182" s="69"/>
      <c r="S2182" s="69"/>
      <c r="T2182" s="69"/>
      <c r="U2182" s="69"/>
      <c r="V2182" s="69"/>
      <c r="W2182" s="68"/>
      <c r="X2182" s="70"/>
      <c r="Y2182" s="70"/>
      <c r="Z2182" s="70"/>
      <c r="AA2182" s="70"/>
      <c r="AB2182" s="70"/>
      <c r="AC2182" s="68"/>
      <c r="AD2182" s="71"/>
      <c r="AE2182" s="71"/>
      <c r="AF2182" s="71"/>
      <c r="AG2182" s="71"/>
      <c r="AH2182" s="71"/>
      <c r="AI2182" s="68"/>
      <c r="AJ2182" s="214">
        <v>2.0829999999999999E-4</v>
      </c>
      <c r="AK2182" s="214">
        <v>1.724</v>
      </c>
      <c r="AL2182" s="214">
        <v>4</v>
      </c>
      <c r="AM2182" s="214">
        <v>1.392796E-3</v>
      </c>
      <c r="AN2182" s="68"/>
      <c r="AO2182" s="67"/>
      <c r="AP2182" s="67"/>
      <c r="AQ2182" s="67"/>
      <c r="AR2182" s="67"/>
      <c r="AS2182" s="67"/>
      <c r="AT2182" s="68"/>
      <c r="AU2182" s="49"/>
      <c r="AV2182" s="50"/>
    </row>
    <row r="2183" spans="1:48" ht="12.75" customHeight="1" x14ac:dyDescent="0.25">
      <c r="A2183" s="72" t="s">
        <v>20</v>
      </c>
      <c r="B2183" s="43" t="s">
        <v>2240</v>
      </c>
      <c r="C2183" s="44" t="s">
        <v>2341</v>
      </c>
      <c r="D2183" s="45">
        <f>MROUND(MID($C2183,6,3)/Basis!$E$3,0.5)</f>
        <v>12</v>
      </c>
      <c r="E2183" s="45">
        <f>MROUND(MID($C2183,9,3)/Basis!$E$3,0.5)</f>
        <v>43.5</v>
      </c>
      <c r="F2183" s="124" t="s">
        <v>2945</v>
      </c>
      <c r="G2183" s="45">
        <f>ROUND((ROUNDDOWN($F2183/5,0)*5+1.8)/Basis!$E$3,1)</f>
        <v>8.6</v>
      </c>
      <c r="H2183" s="120">
        <f>ROUND($P2183*Basis!$E$2*((TaH-TrH)/LN(1/µ)/Basis!$E$7)^$N2183*$AA$4*Glycol,0)</f>
        <v>4514</v>
      </c>
      <c r="I2183" s="83">
        <f>ROUND(H2183/(MID($C2183,9,3)/Basis!$E$3/Basis!$E$9)*Basis!$E$11,0)</f>
        <v>1251</v>
      </c>
      <c r="J2183" s="123">
        <f>IF(Basis!$E$1=1,ROUND(H2183/((TaH-TrH)*1.163)/3600,3),ROUND(H2183/(500*(TaH-TrH)),2))</f>
        <v>0.45</v>
      </c>
      <c r="K2183" s="84"/>
      <c r="L2183" s="177">
        <f>CHOOSE(Basis!$E$1,((AJ2183*(J2183*3600/Basis!$E$5)^AK2183*(((MID(C2183,9,3)*10)-144)/1000)*AL2183+AM2183*(J2183*3600/Basis!$E$5)^2)*0.0098)/Basis!$E$10,((AJ2183*(J2183/Basis!$E$5)^AK2183*(((MID(C2183,9,3)*10)-144)/1000)*AL2183+AM2183*(J2183/Basis!$E$5)^2)*0.0098)/Basis!$E$10)</f>
        <v>1.5164687281026087E-2</v>
      </c>
      <c r="M2183" s="85"/>
      <c r="N2183" s="109">
        <v>1.3959999999999999</v>
      </c>
      <c r="O2183" s="68"/>
      <c r="P2183" s="67">
        <v>2097</v>
      </c>
      <c r="Q2183" s="68"/>
      <c r="R2183" s="69"/>
      <c r="S2183" s="69"/>
      <c r="T2183" s="69"/>
      <c r="U2183" s="69"/>
      <c r="V2183" s="69"/>
      <c r="W2183" s="68"/>
      <c r="X2183" s="70"/>
      <c r="Y2183" s="70"/>
      <c r="Z2183" s="70"/>
      <c r="AA2183" s="70"/>
      <c r="AB2183" s="70"/>
      <c r="AC2183" s="68"/>
      <c r="AD2183" s="71"/>
      <c r="AE2183" s="71"/>
      <c r="AF2183" s="71"/>
      <c r="AG2183" s="71"/>
      <c r="AH2183" s="71"/>
      <c r="AI2183" s="68"/>
      <c r="AJ2183" s="214">
        <v>1.2760000000000001E-4</v>
      </c>
      <c r="AK2183" s="214">
        <v>1.7219</v>
      </c>
      <c r="AL2183" s="214">
        <v>2</v>
      </c>
      <c r="AM2183" s="214">
        <v>3.76611E-4</v>
      </c>
      <c r="AN2183" s="68"/>
      <c r="AO2183" s="67"/>
      <c r="AP2183" s="67"/>
      <c r="AQ2183" s="67"/>
      <c r="AR2183" s="67"/>
      <c r="AS2183" s="67"/>
      <c r="AT2183" s="68"/>
      <c r="AU2183" s="49"/>
      <c r="AV2183" s="50"/>
    </row>
    <row r="2184" spans="1:48" ht="12.75" customHeight="1" x14ac:dyDescent="0.25">
      <c r="A2184" s="72" t="s">
        <v>20</v>
      </c>
      <c r="B2184" s="43" t="s">
        <v>2240</v>
      </c>
      <c r="C2184" s="44" t="s">
        <v>2342</v>
      </c>
      <c r="D2184" s="45">
        <f>MROUND(MID($C2184,6,3)/Basis!$E$3,0.5)</f>
        <v>12</v>
      </c>
      <c r="E2184" s="45">
        <f>MROUND(MID($C2184,9,3)/Basis!$E$3,0.5)</f>
        <v>43.5</v>
      </c>
      <c r="F2184" s="124" t="s">
        <v>2948</v>
      </c>
      <c r="G2184" s="45">
        <f>ROUND((ROUNDDOWN($F2184/5,0)*5+1.8)/Basis!$E$3,1)</f>
        <v>8.6</v>
      </c>
      <c r="H2184" s="120">
        <f>ROUND($P2184*Basis!$E$2*((TaH-TrH)/LN(1/µ)/Basis!$E$7)^$N2184*$AA$4*Glycol,0)</f>
        <v>4504</v>
      </c>
      <c r="I2184" s="83">
        <f>ROUND(H2184/(MID($C2184,9,3)/Basis!$E$3/Basis!$E$9)*Basis!$E$11,0)</f>
        <v>1248</v>
      </c>
      <c r="J2184" s="123">
        <f>IF(Basis!$E$1=1,ROUND(H2184/((TaH-TrH)*1.163)/3600,3),ROUND(H2184/(500*(TaH-TrH)),2))</f>
        <v>0.45</v>
      </c>
      <c r="K2184" s="84"/>
      <c r="L2184" s="177">
        <f>CHOOSE(Basis!$E$1,((AJ2184*(J2184*3600/Basis!$E$5)^AK2184*(((MID(C2184,9,3)*10)-144)/1000)*AL2184+AM2184*(J2184*3600/Basis!$E$5)^2)*0.0098)/Basis!$E$10,((AJ2184*(J2184/Basis!$E$5)^AK2184*(((MID(C2184,9,3)*10)-144)/1000)*AL2184+AM2184*(J2184/Basis!$E$5)^2)*0.0098)/Basis!$E$10)</f>
        <v>2.2165448849915465E-2</v>
      </c>
      <c r="M2184" s="85"/>
      <c r="N2184" s="110">
        <v>1.468</v>
      </c>
      <c r="O2184" s="74"/>
      <c r="P2184" s="73">
        <v>2143</v>
      </c>
      <c r="Q2184" s="74"/>
      <c r="R2184" s="75"/>
      <c r="S2184" s="75"/>
      <c r="T2184" s="75"/>
      <c r="U2184" s="75"/>
      <c r="V2184" s="75"/>
      <c r="W2184" s="74"/>
      <c r="X2184" s="76"/>
      <c r="Y2184" s="76"/>
      <c r="Z2184" s="76"/>
      <c r="AA2184" s="76"/>
      <c r="AB2184" s="76"/>
      <c r="AC2184" s="74"/>
      <c r="AD2184" s="77"/>
      <c r="AE2184" s="77"/>
      <c r="AF2184" s="77"/>
      <c r="AG2184" s="77"/>
      <c r="AH2184" s="77"/>
      <c r="AI2184" s="68"/>
      <c r="AJ2184" s="213">
        <v>1.2760000000000001E-4</v>
      </c>
      <c r="AK2184" s="213">
        <v>1.7219</v>
      </c>
      <c r="AL2184" s="213">
        <v>4</v>
      </c>
      <c r="AM2184" s="213">
        <v>5.1420100000000005E-4</v>
      </c>
      <c r="AN2184" s="74"/>
      <c r="AO2184" s="73"/>
      <c r="AP2184" s="73"/>
      <c r="AQ2184" s="73"/>
      <c r="AR2184" s="73"/>
      <c r="AS2184" s="73"/>
      <c r="AT2184" s="74"/>
      <c r="AU2184" s="47"/>
      <c r="AV2184" s="48"/>
    </row>
    <row r="2185" spans="1:48" ht="12.75" customHeight="1" x14ac:dyDescent="0.25">
      <c r="A2185" s="72" t="s">
        <v>20</v>
      </c>
      <c r="B2185" s="43" t="s">
        <v>2240</v>
      </c>
      <c r="C2185" s="44" t="s">
        <v>2343</v>
      </c>
      <c r="D2185" s="45">
        <f>MROUND(MID($C2185,6,3)/Basis!$E$3,0.5)</f>
        <v>12</v>
      </c>
      <c r="E2185" s="45">
        <f>MROUND(MID($C2185,9,3)/Basis!$E$3,0.5)</f>
        <v>47</v>
      </c>
      <c r="F2185" s="124" t="s">
        <v>2943</v>
      </c>
      <c r="G2185" s="45">
        <f>ROUND((ROUNDDOWN($F2185/5,0)*5+1.8)/Basis!$E$3,1)</f>
        <v>4.5999999999999996</v>
      </c>
      <c r="H2185" s="120">
        <f>ROUND($P2185*Basis!$E$2*((TaH-TrH)/LN(1/µ)/Basis!$E$7)^$N2185*$AA$4*Glycol,0)</f>
        <v>2128</v>
      </c>
      <c r="I2185" s="83">
        <f>ROUND(H2185/(MID($C2185,9,3)/Basis!$E$3/Basis!$E$9)*Basis!$E$11,0)</f>
        <v>541</v>
      </c>
      <c r="J2185" s="123">
        <f>IF(Basis!$E$1=1,ROUND(H2185/((TaH-TrH)*1.163)/3600,3),ROUND(H2185/(500*(TaH-TrH)),2))</f>
        <v>0.21</v>
      </c>
      <c r="K2185" s="84"/>
      <c r="L2185" s="177">
        <f>CHOOSE(Basis!$E$1,((AJ2185*(J2185*3600/Basis!$E$5)^AK2185*(((MID(C2185,9,3)*10)-144)/1000)*AL2185+AM2185*(J2185*3600/Basis!$E$5)^2)*0.0098)/Basis!$E$10,((AJ2185*(J2185/Basis!$E$5)^AK2185*(((MID(C2185,9,3)*10)-144)/1000)*AL2185+AM2185*(J2185/Basis!$E$5)^2)*0.0098)/Basis!$E$10)</f>
        <v>4.9680106847874014E-3</v>
      </c>
      <c r="M2185" s="85"/>
      <c r="N2185" s="110">
        <v>1.403</v>
      </c>
      <c r="O2185" s="74"/>
      <c r="P2185" s="73">
        <v>991</v>
      </c>
      <c r="Q2185" s="74"/>
      <c r="R2185" s="75"/>
      <c r="S2185" s="75"/>
      <c r="T2185" s="75"/>
      <c r="U2185" s="75"/>
      <c r="V2185" s="75"/>
      <c r="W2185" s="74"/>
      <c r="X2185" s="76"/>
      <c r="Y2185" s="76"/>
      <c r="Z2185" s="76"/>
      <c r="AA2185" s="76"/>
      <c r="AB2185" s="76"/>
      <c r="AC2185" s="74"/>
      <c r="AD2185" s="77"/>
      <c r="AE2185" s="77"/>
      <c r="AF2185" s="77"/>
      <c r="AG2185" s="77"/>
      <c r="AH2185" s="77"/>
      <c r="AI2185" s="68"/>
      <c r="AJ2185" s="213">
        <v>3.9689999999999994E-4</v>
      </c>
      <c r="AK2185" s="213">
        <v>1.7345999999999999</v>
      </c>
      <c r="AL2185" s="213">
        <v>2</v>
      </c>
      <c r="AM2185" s="213">
        <v>3.6734700000000002E-4</v>
      </c>
      <c r="AN2185" s="74"/>
      <c r="AO2185" s="73"/>
      <c r="AP2185" s="73"/>
      <c r="AQ2185" s="73"/>
      <c r="AR2185" s="73"/>
      <c r="AS2185" s="73"/>
      <c r="AT2185" s="74"/>
      <c r="AU2185" s="47"/>
      <c r="AV2185" s="48"/>
    </row>
    <row r="2186" spans="1:48" ht="12.75" customHeight="1" x14ac:dyDescent="0.25">
      <c r="A2186" s="72" t="s">
        <v>20</v>
      </c>
      <c r="B2186" s="43" t="s">
        <v>2240</v>
      </c>
      <c r="C2186" s="44" t="s">
        <v>2344</v>
      </c>
      <c r="D2186" s="45">
        <f>MROUND(MID($C2186,6,3)/Basis!$E$3,0.5)</f>
        <v>12</v>
      </c>
      <c r="E2186" s="45">
        <f>MROUND(MID($C2186,9,3)/Basis!$E$3,0.5)</f>
        <v>47</v>
      </c>
      <c r="F2186" s="124" t="s">
        <v>2946</v>
      </c>
      <c r="G2186" s="45">
        <f>ROUND((ROUNDDOWN($F2186/5,0)*5+1.8)/Basis!$E$3,1)</f>
        <v>4.5999999999999996</v>
      </c>
      <c r="H2186" s="120">
        <f>ROUND($P2186*Basis!$E$2*((TaH-TrH)/LN(1/µ)/Basis!$E$7)^$N2186*$AA$4*Glycol,0)</f>
        <v>2853</v>
      </c>
      <c r="I2186" s="83">
        <f>ROUND(H2186/(MID($C2186,9,3)/Basis!$E$3/Basis!$E$9)*Basis!$E$11,0)</f>
        <v>725</v>
      </c>
      <c r="J2186" s="123">
        <f>IF(Basis!$E$1=1,ROUND(H2186/((TaH-TrH)*1.163)/3600,3),ROUND(H2186/(500*(TaH-TrH)),2))</f>
        <v>0.28999999999999998</v>
      </c>
      <c r="K2186" s="84"/>
      <c r="L2186" s="177">
        <f>CHOOSE(Basis!$E$1,((AJ2186*(J2186*3600/Basis!$E$5)^AK2186*(((MID(C2186,9,3)*10)-144)/1000)*AL2186+AM2186*(J2186*3600/Basis!$E$5)^2)*0.0098)/Basis!$E$10,((AJ2186*(J2186/Basis!$E$5)^AK2186*(((MID(C2186,9,3)*10)-144)/1000)*AL2186+AM2186*(J2186/Basis!$E$5)^2)*0.0098)/Basis!$E$10)</f>
        <v>1.5972895058024371E-2</v>
      </c>
      <c r="M2186" s="85"/>
      <c r="N2186" s="109">
        <v>1.44</v>
      </c>
      <c r="O2186" s="68"/>
      <c r="P2186" s="67">
        <v>1345</v>
      </c>
      <c r="Q2186" s="68"/>
      <c r="R2186" s="69"/>
      <c r="S2186" s="69"/>
      <c r="T2186" s="69"/>
      <c r="U2186" s="69"/>
      <c r="V2186" s="69"/>
      <c r="W2186" s="68"/>
      <c r="X2186" s="70"/>
      <c r="Y2186" s="70"/>
      <c r="Z2186" s="70"/>
      <c r="AA2186" s="70"/>
      <c r="AB2186" s="70"/>
      <c r="AC2186" s="68"/>
      <c r="AD2186" s="71"/>
      <c r="AE2186" s="71"/>
      <c r="AF2186" s="71"/>
      <c r="AG2186" s="71"/>
      <c r="AH2186" s="71"/>
      <c r="AI2186" s="68"/>
      <c r="AJ2186" s="214">
        <v>3.9689999999999994E-4</v>
      </c>
      <c r="AK2186" s="214">
        <v>1.7345999999999999</v>
      </c>
      <c r="AL2186" s="214">
        <v>4</v>
      </c>
      <c r="AM2186" s="214">
        <v>5.7428799999999995E-4</v>
      </c>
      <c r="AN2186" s="68"/>
      <c r="AO2186" s="67"/>
      <c r="AP2186" s="67"/>
      <c r="AQ2186" s="67"/>
      <c r="AR2186" s="67"/>
      <c r="AS2186" s="67"/>
      <c r="AT2186" s="68"/>
      <c r="AU2186" s="49"/>
      <c r="AV2186" s="50"/>
    </row>
    <row r="2187" spans="1:48" ht="12.75" customHeight="1" x14ac:dyDescent="0.25">
      <c r="A2187" s="72" t="s">
        <v>20</v>
      </c>
      <c r="B2187" s="43" t="s">
        <v>2240</v>
      </c>
      <c r="C2187" s="44" t="s">
        <v>2345</v>
      </c>
      <c r="D2187" s="45">
        <f>MROUND(MID($C2187,6,3)/Basis!$E$3,0.5)</f>
        <v>12</v>
      </c>
      <c r="E2187" s="45">
        <f>MROUND(MID($C2187,9,3)/Basis!$E$3,0.5)</f>
        <v>47</v>
      </c>
      <c r="F2187" s="124" t="s">
        <v>2944</v>
      </c>
      <c r="G2187" s="45">
        <f>ROUND((ROUNDDOWN($F2187/5,0)*5+1.8)/Basis!$E$3,1)</f>
        <v>6.6</v>
      </c>
      <c r="H2187" s="120">
        <f>ROUND($P2187*Basis!$E$2*((TaH-TrH)/LN(1/µ)/Basis!$E$7)^$N2187*$AA$4*Glycol,0)</f>
        <v>3511</v>
      </c>
      <c r="I2187" s="83">
        <f>ROUND(H2187/(MID($C2187,9,3)/Basis!$E$3/Basis!$E$9)*Basis!$E$11,0)</f>
        <v>892</v>
      </c>
      <c r="J2187" s="123">
        <f>IF(Basis!$E$1=1,ROUND(H2187/((TaH-TrH)*1.163)/3600,3),ROUND(H2187/(500*(TaH-TrH)),2))</f>
        <v>0.35</v>
      </c>
      <c r="K2187" s="84"/>
      <c r="L2187" s="177">
        <f>CHOOSE(Basis!$E$1,((AJ2187*(J2187*3600/Basis!$E$5)^AK2187*(((MID(C2187,9,3)*10)-144)/1000)*AL2187+AM2187*(J2187*3600/Basis!$E$5)^2)*0.0098)/Basis!$E$10,((AJ2187*(J2187/Basis!$E$5)^AK2187*(((MID(C2187,9,3)*10)-144)/1000)*AL2187+AM2187*(J2187/Basis!$E$5)^2)*0.0098)/Basis!$E$10)</f>
        <v>1.2259219341914667E-2</v>
      </c>
      <c r="M2187" s="85"/>
      <c r="N2187" s="109">
        <v>1.3959999999999999</v>
      </c>
      <c r="O2187" s="68"/>
      <c r="P2187" s="67">
        <v>1631</v>
      </c>
      <c r="Q2187" s="68"/>
      <c r="R2187" s="69"/>
      <c r="S2187" s="69"/>
      <c r="T2187" s="69"/>
      <c r="U2187" s="69"/>
      <c r="V2187" s="69"/>
      <c r="W2187" s="68"/>
      <c r="X2187" s="70"/>
      <c r="Y2187" s="70"/>
      <c r="Z2187" s="70"/>
      <c r="AA2187" s="70"/>
      <c r="AB2187" s="70"/>
      <c r="AC2187" s="68"/>
      <c r="AD2187" s="71"/>
      <c r="AE2187" s="71"/>
      <c r="AF2187" s="71"/>
      <c r="AG2187" s="71"/>
      <c r="AH2187" s="71"/>
      <c r="AI2187" s="68"/>
      <c r="AJ2187" s="214">
        <v>2.0829999999999999E-4</v>
      </c>
      <c r="AK2187" s="214">
        <v>1.724</v>
      </c>
      <c r="AL2187" s="214">
        <v>2</v>
      </c>
      <c r="AM2187" s="214">
        <v>4.6182900000000003E-4</v>
      </c>
      <c r="AN2187" s="68"/>
      <c r="AO2187" s="67"/>
      <c r="AP2187" s="67"/>
      <c r="AQ2187" s="67"/>
      <c r="AR2187" s="67"/>
      <c r="AS2187" s="67"/>
      <c r="AT2187" s="68"/>
      <c r="AU2187" s="49"/>
      <c r="AV2187" s="50"/>
    </row>
    <row r="2188" spans="1:48" ht="12.75" customHeight="1" x14ac:dyDescent="0.25">
      <c r="A2188" s="72" t="s">
        <v>20</v>
      </c>
      <c r="B2188" s="43" t="s">
        <v>2240</v>
      </c>
      <c r="C2188" s="44" t="s">
        <v>2346</v>
      </c>
      <c r="D2188" s="45">
        <f>MROUND(MID($C2188,6,3)/Basis!$E$3,0.5)</f>
        <v>12</v>
      </c>
      <c r="E2188" s="45">
        <f>MROUND(MID($C2188,9,3)/Basis!$E$3,0.5)</f>
        <v>47</v>
      </c>
      <c r="F2188" s="124" t="s">
        <v>2947</v>
      </c>
      <c r="G2188" s="45">
        <f>ROUND((ROUNDDOWN($F2188/5,0)*5+1.8)/Basis!$E$3,1)</f>
        <v>6.6</v>
      </c>
      <c r="H2188" s="120">
        <f>ROUND($P2188*Basis!$E$2*((TaH-TrH)/LN(1/µ)/Basis!$E$7)^$N2188*$AA$4*Glycol,0)</f>
        <v>3748</v>
      </c>
      <c r="I2188" s="83">
        <f>ROUND(H2188/(MID($C2188,9,3)/Basis!$E$3/Basis!$E$9)*Basis!$E$11,0)</f>
        <v>952</v>
      </c>
      <c r="J2188" s="123">
        <f>IF(Basis!$E$1=1,ROUND(H2188/((TaH-TrH)*1.163)/3600,3),ROUND(H2188/(500*(TaH-TrH)),2))</f>
        <v>0.37</v>
      </c>
      <c r="K2188" s="84"/>
      <c r="L2188" s="177">
        <f>CHOOSE(Basis!$E$1,((AJ2188*(J2188*3600/Basis!$E$5)^AK2188*(((MID(C2188,9,3)*10)-144)/1000)*AL2188+AM2188*(J2188*3600/Basis!$E$5)^2)*0.0098)/Basis!$E$10,((AJ2188*(J2188/Basis!$E$5)^AK2188*(((MID(C2188,9,3)*10)-144)/1000)*AL2188+AM2188*(J2188/Basis!$E$5)^2)*0.0098)/Basis!$E$10)</f>
        <v>3.8141013604627322E-2</v>
      </c>
      <c r="M2188" s="85"/>
      <c r="N2188" s="110">
        <v>1.456</v>
      </c>
      <c r="O2188" s="74"/>
      <c r="P2188" s="73">
        <v>1776</v>
      </c>
      <c r="Q2188" s="74"/>
      <c r="R2188" s="75"/>
      <c r="S2188" s="75"/>
      <c r="T2188" s="75"/>
      <c r="U2188" s="75"/>
      <c r="V2188" s="75"/>
      <c r="W2188" s="74"/>
      <c r="X2188" s="76"/>
      <c r="Y2188" s="76"/>
      <c r="Z2188" s="76"/>
      <c r="AA2188" s="76"/>
      <c r="AB2188" s="76"/>
      <c r="AC2188" s="74"/>
      <c r="AD2188" s="77"/>
      <c r="AE2188" s="77"/>
      <c r="AF2188" s="77"/>
      <c r="AG2188" s="77"/>
      <c r="AH2188" s="77"/>
      <c r="AI2188" s="68"/>
      <c r="AJ2188" s="213">
        <v>2.0829999999999999E-4</v>
      </c>
      <c r="AK2188" s="213">
        <v>1.724</v>
      </c>
      <c r="AL2188" s="213">
        <v>4</v>
      </c>
      <c r="AM2188" s="213">
        <v>1.392796E-3</v>
      </c>
      <c r="AN2188" s="74"/>
      <c r="AO2188" s="73"/>
      <c r="AP2188" s="73"/>
      <c r="AQ2188" s="73"/>
      <c r="AR2188" s="73"/>
      <c r="AS2188" s="73"/>
      <c r="AT2188" s="74"/>
      <c r="AU2188" s="47"/>
      <c r="AV2188" s="48"/>
    </row>
    <row r="2189" spans="1:48" ht="12.75" customHeight="1" x14ac:dyDescent="0.25">
      <c r="A2189" s="72" t="s">
        <v>20</v>
      </c>
      <c r="B2189" s="43" t="s">
        <v>2240</v>
      </c>
      <c r="C2189" s="44" t="s">
        <v>2347</v>
      </c>
      <c r="D2189" s="45">
        <f>MROUND(MID($C2189,6,3)/Basis!$E$3,0.5)</f>
        <v>12</v>
      </c>
      <c r="E2189" s="45">
        <f>MROUND(MID($C2189,9,3)/Basis!$E$3,0.5)</f>
        <v>47</v>
      </c>
      <c r="F2189" s="124" t="s">
        <v>2945</v>
      </c>
      <c r="G2189" s="45">
        <f>ROUND((ROUNDDOWN($F2189/5,0)*5+1.8)/Basis!$E$3,1)</f>
        <v>8.6</v>
      </c>
      <c r="H2189" s="120">
        <f>ROUND($P2189*Basis!$E$2*((TaH-TrH)/LN(1/µ)/Basis!$E$7)^$N2189*$AA$4*Glycol,0)</f>
        <v>4923</v>
      </c>
      <c r="I2189" s="83">
        <f>ROUND(H2189/(MID($C2189,9,3)/Basis!$E$3/Basis!$E$9)*Basis!$E$11,0)</f>
        <v>1250</v>
      </c>
      <c r="J2189" s="123">
        <f>IF(Basis!$E$1=1,ROUND(H2189/((TaH-TrH)*1.163)/3600,3),ROUND(H2189/(500*(TaH-TrH)),2))</f>
        <v>0.49</v>
      </c>
      <c r="K2189" s="84"/>
      <c r="L2189" s="177">
        <f>CHOOSE(Basis!$E$1,((AJ2189*(J2189*3600/Basis!$E$5)^AK2189*(((MID(C2189,9,3)*10)-144)/1000)*AL2189+AM2189*(J2189*3600/Basis!$E$5)^2)*0.0098)/Basis!$E$10,((AJ2189*(J2189/Basis!$E$5)^AK2189*(((MID(C2189,9,3)*10)-144)/1000)*AL2189+AM2189*(J2189/Basis!$E$5)^2)*0.0098)/Basis!$E$10)</f>
        <v>1.8195327753813578E-2</v>
      </c>
      <c r="M2189" s="85"/>
      <c r="N2189" s="110">
        <v>1.3959999999999999</v>
      </c>
      <c r="O2189" s="74"/>
      <c r="P2189" s="73">
        <v>2287</v>
      </c>
      <c r="Q2189" s="74"/>
      <c r="R2189" s="75"/>
      <c r="S2189" s="75"/>
      <c r="T2189" s="75"/>
      <c r="U2189" s="75"/>
      <c r="V2189" s="75"/>
      <c r="W2189" s="74"/>
      <c r="X2189" s="76"/>
      <c r="Y2189" s="76"/>
      <c r="Z2189" s="76"/>
      <c r="AA2189" s="76"/>
      <c r="AB2189" s="76"/>
      <c r="AC2189" s="74"/>
      <c r="AD2189" s="77"/>
      <c r="AE2189" s="77"/>
      <c r="AF2189" s="77"/>
      <c r="AG2189" s="77"/>
      <c r="AH2189" s="77"/>
      <c r="AI2189" s="68"/>
      <c r="AJ2189" s="214">
        <v>1.2760000000000001E-4</v>
      </c>
      <c r="AK2189" s="214">
        <v>1.7219</v>
      </c>
      <c r="AL2189" s="214">
        <v>2</v>
      </c>
      <c r="AM2189" s="214">
        <v>3.76611E-4</v>
      </c>
      <c r="AN2189" s="74"/>
      <c r="AO2189" s="73"/>
      <c r="AP2189" s="73"/>
      <c r="AQ2189" s="73"/>
      <c r="AR2189" s="73"/>
      <c r="AS2189" s="73"/>
      <c r="AT2189" s="74"/>
      <c r="AU2189" s="47"/>
      <c r="AV2189" s="48"/>
    </row>
    <row r="2190" spans="1:48" ht="12.75" customHeight="1" x14ac:dyDescent="0.25">
      <c r="A2190" s="72" t="s">
        <v>20</v>
      </c>
      <c r="B2190" s="43" t="s">
        <v>2240</v>
      </c>
      <c r="C2190" s="44" t="s">
        <v>2348</v>
      </c>
      <c r="D2190" s="45">
        <f>MROUND(MID($C2190,6,3)/Basis!$E$3,0.5)</f>
        <v>12</v>
      </c>
      <c r="E2190" s="45">
        <f>MROUND(MID($C2190,9,3)/Basis!$E$3,0.5)</f>
        <v>47</v>
      </c>
      <c r="F2190" s="124" t="s">
        <v>2948</v>
      </c>
      <c r="G2190" s="45">
        <f>ROUND((ROUNDDOWN($F2190/5,0)*5+1.8)/Basis!$E$3,1)</f>
        <v>8.6</v>
      </c>
      <c r="H2190" s="120">
        <f>ROUND($P2190*Basis!$E$2*((TaH-TrH)/LN(1/µ)/Basis!$E$7)^$N2190*$AA$4*Glycol,0)</f>
        <v>4914</v>
      </c>
      <c r="I2190" s="83">
        <f>ROUND(H2190/(MID($C2190,9,3)/Basis!$E$3/Basis!$E$9)*Basis!$E$11,0)</f>
        <v>1248</v>
      </c>
      <c r="J2190" s="123">
        <f>IF(Basis!$E$1=1,ROUND(H2190/((TaH-TrH)*1.163)/3600,3),ROUND(H2190/(500*(TaH-TrH)),2))</f>
        <v>0.49</v>
      </c>
      <c r="K2190" s="84"/>
      <c r="L2190" s="177">
        <f>CHOOSE(Basis!$E$1,((AJ2190*(J2190*3600/Basis!$E$5)^AK2190*(((MID(C2190,9,3)*10)-144)/1000)*AL2190+AM2190*(J2190*3600/Basis!$E$5)^2)*0.0098)/Basis!$E$10,((AJ2190*(J2190/Basis!$E$5)^AK2190*(((MID(C2190,9,3)*10)-144)/1000)*AL2190+AM2190*(J2190/Basis!$E$5)^2)*0.0098)/Basis!$E$10)</f>
        <v>2.6710860132397408E-2</v>
      </c>
      <c r="M2190" s="85"/>
      <c r="N2190" s="109">
        <v>1.468</v>
      </c>
      <c r="O2190" s="68"/>
      <c r="P2190" s="67">
        <v>2338</v>
      </c>
      <c r="Q2190" s="68"/>
      <c r="R2190" s="69"/>
      <c r="S2190" s="69"/>
      <c r="T2190" s="69"/>
      <c r="U2190" s="69"/>
      <c r="V2190" s="69"/>
      <c r="W2190" s="68"/>
      <c r="X2190" s="70"/>
      <c r="Y2190" s="70"/>
      <c r="Z2190" s="70"/>
      <c r="AA2190" s="70"/>
      <c r="AB2190" s="70"/>
      <c r="AC2190" s="68"/>
      <c r="AD2190" s="71"/>
      <c r="AE2190" s="71"/>
      <c r="AF2190" s="71"/>
      <c r="AG2190" s="71"/>
      <c r="AH2190" s="71"/>
      <c r="AI2190" s="68"/>
      <c r="AJ2190" s="214">
        <v>1.2760000000000001E-4</v>
      </c>
      <c r="AK2190" s="214">
        <v>1.7219</v>
      </c>
      <c r="AL2190" s="214">
        <v>4</v>
      </c>
      <c r="AM2190" s="214">
        <v>5.1420100000000005E-4</v>
      </c>
      <c r="AN2190" s="68"/>
      <c r="AO2190" s="67"/>
      <c r="AP2190" s="67"/>
      <c r="AQ2190" s="67"/>
      <c r="AR2190" s="67"/>
      <c r="AS2190" s="67"/>
      <c r="AT2190" s="68"/>
      <c r="AU2190" s="49"/>
      <c r="AV2190" s="50"/>
    </row>
    <row r="2191" spans="1:48" ht="12.75" customHeight="1" x14ac:dyDescent="0.25">
      <c r="A2191" s="72" t="s">
        <v>20</v>
      </c>
      <c r="B2191" s="43" t="s">
        <v>2240</v>
      </c>
      <c r="C2191" s="44" t="s">
        <v>2349</v>
      </c>
      <c r="D2191" s="45">
        <f>MROUND(MID($C2191,6,3)/Basis!$E$3,0.5)</f>
        <v>12</v>
      </c>
      <c r="E2191" s="45">
        <f>MROUND(MID($C2191,9,3)/Basis!$E$3,0.5)</f>
        <v>55</v>
      </c>
      <c r="F2191" s="124" t="s">
        <v>2943</v>
      </c>
      <c r="G2191" s="45">
        <f>ROUND((ROUNDDOWN($F2191/5,0)*5+1.8)/Basis!$E$3,1)</f>
        <v>4.5999999999999996</v>
      </c>
      <c r="H2191" s="120">
        <f>ROUND($P2191*Basis!$E$2*((TaH-TrH)/LN(1/µ)/Basis!$E$7)^$N2191*$AA$4*Glycol,0)</f>
        <v>2482</v>
      </c>
      <c r="I2191" s="83">
        <f>ROUND(H2191/(MID($C2191,9,3)/Basis!$E$3/Basis!$E$9)*Basis!$E$11,0)</f>
        <v>540</v>
      </c>
      <c r="J2191" s="123">
        <f>IF(Basis!$E$1=1,ROUND(H2191/((TaH-TrH)*1.163)/3600,3),ROUND(H2191/(500*(TaH-TrH)),2))</f>
        <v>0.25</v>
      </c>
      <c r="K2191" s="84"/>
      <c r="L2191" s="177">
        <f>CHOOSE(Basis!$E$1,((AJ2191*(J2191*3600/Basis!$E$5)^AK2191*(((MID(C2191,9,3)*10)-144)/1000)*AL2191+AM2191*(J2191*3600/Basis!$E$5)^2)*0.0098)/Basis!$E$10,((AJ2191*(J2191/Basis!$E$5)^AK2191*(((MID(C2191,9,3)*10)-144)/1000)*AL2191+AM2191*(J2191/Basis!$E$5)^2)*0.0098)/Basis!$E$10)</f>
        <v>7.470487167965425E-3</v>
      </c>
      <c r="M2191" s="85"/>
      <c r="N2191" s="109">
        <v>1.403</v>
      </c>
      <c r="O2191" s="68"/>
      <c r="P2191" s="67">
        <v>1156</v>
      </c>
      <c r="Q2191" s="68"/>
      <c r="R2191" s="69"/>
      <c r="S2191" s="69"/>
      <c r="T2191" s="69"/>
      <c r="U2191" s="69"/>
      <c r="V2191" s="69"/>
      <c r="W2191" s="68"/>
      <c r="X2191" s="70"/>
      <c r="Y2191" s="70"/>
      <c r="Z2191" s="70"/>
      <c r="AA2191" s="70"/>
      <c r="AB2191" s="70"/>
      <c r="AC2191" s="68"/>
      <c r="AD2191" s="71"/>
      <c r="AE2191" s="71"/>
      <c r="AF2191" s="71"/>
      <c r="AG2191" s="71"/>
      <c r="AH2191" s="71"/>
      <c r="AI2191" s="68"/>
      <c r="AJ2191" s="214">
        <v>3.9689999999999994E-4</v>
      </c>
      <c r="AK2191" s="214">
        <v>1.7345999999999999</v>
      </c>
      <c r="AL2191" s="214">
        <v>2</v>
      </c>
      <c r="AM2191" s="214">
        <v>3.6734700000000002E-4</v>
      </c>
      <c r="AN2191" s="68"/>
      <c r="AO2191" s="67"/>
      <c r="AP2191" s="67"/>
      <c r="AQ2191" s="67"/>
      <c r="AR2191" s="67"/>
      <c r="AS2191" s="67"/>
      <c r="AT2191" s="68"/>
      <c r="AU2191" s="49"/>
      <c r="AV2191" s="50"/>
    </row>
    <row r="2192" spans="1:48" ht="12.75" customHeight="1" x14ac:dyDescent="0.25">
      <c r="A2192" s="72" t="s">
        <v>20</v>
      </c>
      <c r="B2192" s="43" t="s">
        <v>2240</v>
      </c>
      <c r="C2192" s="44" t="s">
        <v>2350</v>
      </c>
      <c r="D2192" s="45">
        <f>MROUND(MID($C2192,6,3)/Basis!$E$3,0.5)</f>
        <v>12</v>
      </c>
      <c r="E2192" s="45">
        <f>MROUND(MID($C2192,9,3)/Basis!$E$3,0.5)</f>
        <v>55</v>
      </c>
      <c r="F2192" s="124" t="s">
        <v>2946</v>
      </c>
      <c r="G2192" s="45">
        <f>ROUND((ROUNDDOWN($F2192/5,0)*5+1.8)/Basis!$E$3,1)</f>
        <v>4.5999999999999996</v>
      </c>
      <c r="H2192" s="120">
        <f>ROUND($P2192*Basis!$E$2*((TaH-TrH)/LN(1/µ)/Basis!$E$7)^$N2192*$AA$4*Glycol,0)</f>
        <v>3328</v>
      </c>
      <c r="I2192" s="83">
        <f>ROUND(H2192/(MID($C2192,9,3)/Basis!$E$3/Basis!$E$9)*Basis!$E$11,0)</f>
        <v>725</v>
      </c>
      <c r="J2192" s="123">
        <f>IF(Basis!$E$1=1,ROUND(H2192/((TaH-TrH)*1.163)/3600,3),ROUND(H2192/(500*(TaH-TrH)),2))</f>
        <v>0.33</v>
      </c>
      <c r="K2192" s="84"/>
      <c r="L2192" s="177">
        <f>CHOOSE(Basis!$E$1,((AJ2192*(J2192*3600/Basis!$E$5)^AK2192*(((MID(C2192,9,3)*10)-144)/1000)*AL2192+AM2192*(J2192*3600/Basis!$E$5)^2)*0.0098)/Basis!$E$10,((AJ2192*(J2192/Basis!$E$5)^AK2192*(((MID(C2192,9,3)*10)-144)/1000)*AL2192+AM2192*(J2192/Basis!$E$5)^2)*0.0098)/Basis!$E$10)</f>
        <v>2.2196149154387328E-2</v>
      </c>
      <c r="M2192" s="85"/>
      <c r="N2192" s="110">
        <v>1.44</v>
      </c>
      <c r="O2192" s="74"/>
      <c r="P2192" s="73">
        <v>1569</v>
      </c>
      <c r="Q2192" s="74"/>
      <c r="R2192" s="75"/>
      <c r="S2192" s="75"/>
      <c r="T2192" s="75"/>
      <c r="U2192" s="75"/>
      <c r="V2192" s="75"/>
      <c r="W2192" s="74"/>
      <c r="X2192" s="76"/>
      <c r="Y2192" s="76"/>
      <c r="Z2192" s="76"/>
      <c r="AA2192" s="76"/>
      <c r="AB2192" s="76"/>
      <c r="AC2192" s="74"/>
      <c r="AD2192" s="77"/>
      <c r="AE2192" s="77"/>
      <c r="AF2192" s="77"/>
      <c r="AG2192" s="77"/>
      <c r="AH2192" s="77"/>
      <c r="AI2192" s="68"/>
      <c r="AJ2192" s="213">
        <v>3.9689999999999994E-4</v>
      </c>
      <c r="AK2192" s="213">
        <v>1.7345999999999999</v>
      </c>
      <c r="AL2192" s="213">
        <v>4</v>
      </c>
      <c r="AM2192" s="213">
        <v>5.7428799999999995E-4</v>
      </c>
      <c r="AN2192" s="74"/>
      <c r="AO2192" s="73"/>
      <c r="AP2192" s="73"/>
      <c r="AQ2192" s="73"/>
      <c r="AR2192" s="73"/>
      <c r="AS2192" s="73"/>
      <c r="AT2192" s="74"/>
      <c r="AU2192" s="47"/>
      <c r="AV2192" s="48"/>
    </row>
    <row r="2193" spans="1:48" ht="12.75" customHeight="1" x14ac:dyDescent="0.25">
      <c r="A2193" s="72" t="s">
        <v>20</v>
      </c>
      <c r="B2193" s="43" t="s">
        <v>2240</v>
      </c>
      <c r="C2193" s="44" t="s">
        <v>2351</v>
      </c>
      <c r="D2193" s="45">
        <f>MROUND(MID($C2193,6,3)/Basis!$E$3,0.5)</f>
        <v>12</v>
      </c>
      <c r="E2193" s="45">
        <f>MROUND(MID($C2193,9,3)/Basis!$E$3,0.5)</f>
        <v>55</v>
      </c>
      <c r="F2193" s="124" t="s">
        <v>2944</v>
      </c>
      <c r="G2193" s="45">
        <f>ROUND((ROUNDDOWN($F2193/5,0)*5+1.8)/Basis!$E$3,1)</f>
        <v>6.6</v>
      </c>
      <c r="H2193" s="120">
        <f>ROUND($P2193*Basis!$E$2*((TaH-TrH)/LN(1/µ)/Basis!$E$7)^$N2193*$AA$4*Glycol,0)</f>
        <v>4096</v>
      </c>
      <c r="I2193" s="83">
        <f>ROUND(H2193/(MID($C2193,9,3)/Basis!$E$3/Basis!$E$9)*Basis!$E$11,0)</f>
        <v>892</v>
      </c>
      <c r="J2193" s="123">
        <f>IF(Basis!$E$1=1,ROUND(H2193/((TaH-TrH)*1.163)/3600,3),ROUND(H2193/(500*(TaH-TrH)),2))</f>
        <v>0.41</v>
      </c>
      <c r="K2193" s="84"/>
      <c r="L2193" s="177">
        <f>CHOOSE(Basis!$E$1,((AJ2193*(J2193*3600/Basis!$E$5)^AK2193*(((MID(C2193,9,3)*10)-144)/1000)*AL2193+AM2193*(J2193*3600/Basis!$E$5)^2)*0.0098)/Basis!$E$10,((AJ2193*(J2193/Basis!$E$5)^AK2193*(((MID(C2193,9,3)*10)-144)/1000)*AL2193+AM2193*(J2193/Basis!$E$5)^2)*0.0098)/Basis!$E$10)</f>
        <v>1.7339273774944861E-2</v>
      </c>
      <c r="M2193" s="85"/>
      <c r="N2193" s="110">
        <v>1.3959999999999999</v>
      </c>
      <c r="O2193" s="74"/>
      <c r="P2193" s="73">
        <v>1903</v>
      </c>
      <c r="Q2193" s="74"/>
      <c r="R2193" s="75"/>
      <c r="S2193" s="75"/>
      <c r="T2193" s="75"/>
      <c r="U2193" s="75"/>
      <c r="V2193" s="75"/>
      <c r="W2193" s="74"/>
      <c r="X2193" s="76"/>
      <c r="Y2193" s="76"/>
      <c r="Z2193" s="76"/>
      <c r="AA2193" s="76"/>
      <c r="AB2193" s="76"/>
      <c r="AC2193" s="74"/>
      <c r="AD2193" s="77"/>
      <c r="AE2193" s="77"/>
      <c r="AF2193" s="77"/>
      <c r="AG2193" s="77"/>
      <c r="AH2193" s="77"/>
      <c r="AI2193" s="68"/>
      <c r="AJ2193" s="213">
        <v>2.0829999999999999E-4</v>
      </c>
      <c r="AK2193" s="213">
        <v>1.724</v>
      </c>
      <c r="AL2193" s="213">
        <v>2</v>
      </c>
      <c r="AM2193" s="213">
        <v>4.6182900000000003E-4</v>
      </c>
      <c r="AN2193" s="74"/>
      <c r="AO2193" s="73"/>
      <c r="AP2193" s="73"/>
      <c r="AQ2193" s="73"/>
      <c r="AR2193" s="73"/>
      <c r="AS2193" s="73"/>
      <c r="AT2193" s="74"/>
      <c r="AU2193" s="47"/>
      <c r="AV2193" s="48"/>
    </row>
    <row r="2194" spans="1:48" ht="12.75" customHeight="1" x14ac:dyDescent="0.25">
      <c r="A2194" s="72" t="s">
        <v>20</v>
      </c>
      <c r="B2194" s="43" t="s">
        <v>2240</v>
      </c>
      <c r="C2194" s="44" t="s">
        <v>2352</v>
      </c>
      <c r="D2194" s="45">
        <f>MROUND(MID($C2194,6,3)/Basis!$E$3,0.5)</f>
        <v>12</v>
      </c>
      <c r="E2194" s="45">
        <f>MROUND(MID($C2194,9,3)/Basis!$E$3,0.5)</f>
        <v>55</v>
      </c>
      <c r="F2194" s="124" t="s">
        <v>2947</v>
      </c>
      <c r="G2194" s="45">
        <f>ROUND((ROUNDDOWN($F2194/5,0)*5+1.8)/Basis!$E$3,1)</f>
        <v>6.6</v>
      </c>
      <c r="H2194" s="120">
        <f>ROUND($P2194*Basis!$E$2*((TaH-TrH)/LN(1/µ)/Basis!$E$7)^$N2194*$AA$4*Glycol,0)</f>
        <v>4372</v>
      </c>
      <c r="I2194" s="83">
        <f>ROUND(H2194/(MID($C2194,9,3)/Basis!$E$3/Basis!$E$9)*Basis!$E$11,0)</f>
        <v>952</v>
      </c>
      <c r="J2194" s="123">
        <f>IF(Basis!$E$1=1,ROUND(H2194/((TaH-TrH)*1.163)/3600,3),ROUND(H2194/(500*(TaH-TrH)),2))</f>
        <v>0.44</v>
      </c>
      <c r="K2194" s="84"/>
      <c r="L2194" s="177">
        <f>CHOOSE(Basis!$E$1,((AJ2194*(J2194*3600/Basis!$E$5)^AK2194*(((MID(C2194,9,3)*10)-144)/1000)*AL2194+AM2194*(J2194*3600/Basis!$E$5)^2)*0.0098)/Basis!$E$10,((AJ2194*(J2194/Basis!$E$5)^AK2194*(((MID(C2194,9,3)*10)-144)/1000)*AL2194+AM2194*(J2194/Basis!$E$5)^2)*0.0098)/Basis!$E$10)</f>
        <v>5.5069877753166956E-2</v>
      </c>
      <c r="M2194" s="85"/>
      <c r="N2194" s="109">
        <v>1.456</v>
      </c>
      <c r="O2194" s="68"/>
      <c r="P2194" s="67">
        <v>2072</v>
      </c>
      <c r="Q2194" s="68"/>
      <c r="R2194" s="69"/>
      <c r="S2194" s="69"/>
      <c r="T2194" s="69"/>
      <c r="U2194" s="69"/>
      <c r="V2194" s="69"/>
      <c r="W2194" s="68"/>
      <c r="X2194" s="70"/>
      <c r="Y2194" s="70"/>
      <c r="Z2194" s="70"/>
      <c r="AA2194" s="70"/>
      <c r="AB2194" s="70"/>
      <c r="AC2194" s="68"/>
      <c r="AD2194" s="71"/>
      <c r="AE2194" s="71"/>
      <c r="AF2194" s="71"/>
      <c r="AG2194" s="71"/>
      <c r="AH2194" s="71"/>
      <c r="AI2194" s="68"/>
      <c r="AJ2194" s="214">
        <v>2.0829999999999999E-4</v>
      </c>
      <c r="AK2194" s="214">
        <v>1.724</v>
      </c>
      <c r="AL2194" s="214">
        <v>4</v>
      </c>
      <c r="AM2194" s="214">
        <v>1.392796E-3</v>
      </c>
      <c r="AN2194" s="68"/>
      <c r="AO2194" s="67"/>
      <c r="AP2194" s="67"/>
      <c r="AQ2194" s="67"/>
      <c r="AR2194" s="67"/>
      <c r="AS2194" s="67"/>
      <c r="AT2194" s="68"/>
      <c r="AU2194" s="49"/>
      <c r="AV2194" s="50"/>
    </row>
    <row r="2195" spans="1:48" ht="12.75" customHeight="1" x14ac:dyDescent="0.25">
      <c r="A2195" s="72" t="s">
        <v>20</v>
      </c>
      <c r="B2195" s="43" t="s">
        <v>2240</v>
      </c>
      <c r="C2195" s="44" t="s">
        <v>2353</v>
      </c>
      <c r="D2195" s="45">
        <f>MROUND(MID($C2195,6,3)/Basis!$E$3,0.5)</f>
        <v>12</v>
      </c>
      <c r="E2195" s="45">
        <f>MROUND(MID($C2195,9,3)/Basis!$E$3,0.5)</f>
        <v>55</v>
      </c>
      <c r="F2195" s="124" t="s">
        <v>2945</v>
      </c>
      <c r="G2195" s="45">
        <f>ROUND((ROUNDDOWN($F2195/5,0)*5+1.8)/Basis!$E$3,1)</f>
        <v>8.6</v>
      </c>
      <c r="H2195" s="120">
        <f>ROUND($P2195*Basis!$E$2*((TaH-TrH)/LN(1/µ)/Basis!$E$7)^$N2195*$AA$4*Glycol,0)</f>
        <v>5743</v>
      </c>
      <c r="I2195" s="83">
        <f>ROUND(H2195/(MID($C2195,9,3)/Basis!$E$3/Basis!$E$9)*Basis!$E$11,0)</f>
        <v>1250</v>
      </c>
      <c r="J2195" s="123">
        <f>IF(Basis!$E$1=1,ROUND(H2195/((TaH-TrH)*1.163)/3600,3),ROUND(H2195/(500*(TaH-TrH)),2))</f>
        <v>0.56999999999999995</v>
      </c>
      <c r="K2195" s="84"/>
      <c r="L2195" s="177">
        <f>CHOOSE(Basis!$E$1,((AJ2195*(J2195*3600/Basis!$E$5)^AK2195*(((MID(C2195,9,3)*10)-144)/1000)*AL2195+AM2195*(J2195*3600/Basis!$E$5)^2)*0.0098)/Basis!$E$10,((AJ2195*(J2195/Basis!$E$5)^AK2195*(((MID(C2195,9,3)*10)-144)/1000)*AL2195+AM2195*(J2195/Basis!$E$5)^2)*0.0098)/Basis!$E$10)</f>
        <v>2.5180919407837499E-2</v>
      </c>
      <c r="M2195" s="85"/>
      <c r="N2195" s="109">
        <v>1.3959999999999999</v>
      </c>
      <c r="O2195" s="68"/>
      <c r="P2195" s="67">
        <v>2668</v>
      </c>
      <c r="Q2195" s="68"/>
      <c r="R2195" s="69"/>
      <c r="S2195" s="69"/>
      <c r="T2195" s="69"/>
      <c r="U2195" s="69"/>
      <c r="V2195" s="69"/>
      <c r="W2195" s="68"/>
      <c r="X2195" s="70"/>
      <c r="Y2195" s="70"/>
      <c r="Z2195" s="70"/>
      <c r="AA2195" s="70"/>
      <c r="AB2195" s="70"/>
      <c r="AC2195" s="68"/>
      <c r="AD2195" s="71"/>
      <c r="AE2195" s="71"/>
      <c r="AF2195" s="71"/>
      <c r="AG2195" s="71"/>
      <c r="AH2195" s="71"/>
      <c r="AI2195" s="68"/>
      <c r="AJ2195" s="214">
        <v>1.2760000000000001E-4</v>
      </c>
      <c r="AK2195" s="214">
        <v>1.7219</v>
      </c>
      <c r="AL2195" s="214">
        <v>2</v>
      </c>
      <c r="AM2195" s="214">
        <v>3.76611E-4</v>
      </c>
      <c r="AN2195" s="68"/>
      <c r="AO2195" s="67"/>
      <c r="AP2195" s="67"/>
      <c r="AQ2195" s="67"/>
      <c r="AR2195" s="67"/>
      <c r="AS2195" s="67"/>
      <c r="AT2195" s="68"/>
      <c r="AU2195" s="49"/>
      <c r="AV2195" s="50"/>
    </row>
    <row r="2196" spans="1:48" ht="12.75" customHeight="1" x14ac:dyDescent="0.25">
      <c r="A2196" s="72" t="s">
        <v>20</v>
      </c>
      <c r="B2196" s="43" t="s">
        <v>2240</v>
      </c>
      <c r="C2196" s="44" t="s">
        <v>2354</v>
      </c>
      <c r="D2196" s="45">
        <f>MROUND(MID($C2196,6,3)/Basis!$E$3,0.5)</f>
        <v>12</v>
      </c>
      <c r="E2196" s="45">
        <f>MROUND(MID($C2196,9,3)/Basis!$E$3,0.5)</f>
        <v>55</v>
      </c>
      <c r="F2196" s="124" t="s">
        <v>2948</v>
      </c>
      <c r="G2196" s="45">
        <f>ROUND((ROUNDDOWN($F2196/5,0)*5+1.8)/Basis!$E$3,1)</f>
        <v>8.6</v>
      </c>
      <c r="H2196" s="120">
        <f>ROUND($P2196*Basis!$E$2*((TaH-TrH)/LN(1/µ)/Basis!$E$7)^$N2196*$AA$4*Glycol,0)</f>
        <v>5732</v>
      </c>
      <c r="I2196" s="83">
        <f>ROUND(H2196/(MID($C2196,9,3)/Basis!$E$3/Basis!$E$9)*Basis!$E$11,0)</f>
        <v>1248</v>
      </c>
      <c r="J2196" s="123">
        <f>IF(Basis!$E$1=1,ROUND(H2196/((TaH-TrH)*1.163)/3600,3),ROUND(H2196/(500*(TaH-TrH)),2))</f>
        <v>0.56999999999999995</v>
      </c>
      <c r="K2196" s="84"/>
      <c r="L2196" s="177">
        <f>CHOOSE(Basis!$E$1,((AJ2196*(J2196*3600/Basis!$E$5)^AK2196*(((MID(C2196,9,3)*10)-144)/1000)*AL2196+AM2196*(J2196*3600/Basis!$E$5)^2)*0.0098)/Basis!$E$10,((AJ2196*(J2196/Basis!$E$5)^AK2196*(((MID(C2196,9,3)*10)-144)/1000)*AL2196+AM2196*(J2196/Basis!$E$5)^2)*0.0098)/Basis!$E$10)</f>
        <v>3.7263273561980101E-2</v>
      </c>
      <c r="M2196" s="85"/>
      <c r="N2196" s="110">
        <v>1.468</v>
      </c>
      <c r="O2196" s="74"/>
      <c r="P2196" s="73">
        <v>2727</v>
      </c>
      <c r="Q2196" s="74"/>
      <c r="R2196" s="75"/>
      <c r="S2196" s="75"/>
      <c r="T2196" s="75"/>
      <c r="U2196" s="75"/>
      <c r="V2196" s="75"/>
      <c r="W2196" s="74"/>
      <c r="X2196" s="76"/>
      <c r="Y2196" s="76"/>
      <c r="Z2196" s="76"/>
      <c r="AA2196" s="76"/>
      <c r="AB2196" s="76"/>
      <c r="AC2196" s="74"/>
      <c r="AD2196" s="77"/>
      <c r="AE2196" s="77"/>
      <c r="AF2196" s="77"/>
      <c r="AG2196" s="77"/>
      <c r="AH2196" s="77"/>
      <c r="AI2196" s="68"/>
      <c r="AJ2196" s="213">
        <v>1.2760000000000001E-4</v>
      </c>
      <c r="AK2196" s="213">
        <v>1.7219</v>
      </c>
      <c r="AL2196" s="213">
        <v>4</v>
      </c>
      <c r="AM2196" s="213">
        <v>5.1420100000000005E-4</v>
      </c>
      <c r="AN2196" s="74"/>
      <c r="AO2196" s="73"/>
      <c r="AP2196" s="73"/>
      <c r="AQ2196" s="73"/>
      <c r="AR2196" s="73"/>
      <c r="AS2196" s="73"/>
      <c r="AT2196" s="74"/>
      <c r="AU2196" s="47"/>
      <c r="AV2196" s="48"/>
    </row>
    <row r="2197" spans="1:48" ht="12.75" customHeight="1" x14ac:dyDescent="0.25">
      <c r="A2197" s="72" t="s">
        <v>20</v>
      </c>
      <c r="B2197" s="43" t="s">
        <v>2240</v>
      </c>
      <c r="C2197" s="44" t="s">
        <v>2355</v>
      </c>
      <c r="D2197" s="45">
        <f>MROUND(MID($C2197,6,3)/Basis!$E$3,0.5)</f>
        <v>12</v>
      </c>
      <c r="E2197" s="45">
        <f>MROUND(MID($C2197,9,3)/Basis!$E$3,0.5)</f>
        <v>63</v>
      </c>
      <c r="F2197" s="124" t="s">
        <v>2943</v>
      </c>
      <c r="G2197" s="45">
        <f>ROUND((ROUNDDOWN($F2197/5,0)*5+1.8)/Basis!$E$3,1)</f>
        <v>4.5999999999999996</v>
      </c>
      <c r="H2197" s="120">
        <f>ROUND($P2197*Basis!$E$2*((TaH-TrH)/LN(1/µ)/Basis!$E$7)^$N2197*$AA$4*Glycol,0)</f>
        <v>2839</v>
      </c>
      <c r="I2197" s="83">
        <f>ROUND(H2197/(MID($C2197,9,3)/Basis!$E$3/Basis!$E$9)*Basis!$E$11,0)</f>
        <v>541</v>
      </c>
      <c r="J2197" s="123">
        <f>IF(Basis!$E$1=1,ROUND(H2197/((TaH-TrH)*1.163)/3600,3),ROUND(H2197/(500*(TaH-TrH)),2))</f>
        <v>0.28000000000000003</v>
      </c>
      <c r="K2197" s="84"/>
      <c r="L2197" s="177">
        <f>CHOOSE(Basis!$E$1,((AJ2197*(J2197*3600/Basis!$E$5)^AK2197*(((MID(C2197,9,3)*10)-144)/1000)*AL2197+AM2197*(J2197*3600/Basis!$E$5)^2)*0.0098)/Basis!$E$10,((AJ2197*(J2197/Basis!$E$5)^AK2197*(((MID(C2197,9,3)*10)-144)/1000)*AL2197+AM2197*(J2197/Basis!$E$5)^2)*0.0098)/Basis!$E$10)</f>
        <v>9.9346336107036456E-3</v>
      </c>
      <c r="M2197" s="85"/>
      <c r="N2197" s="110">
        <v>1.403</v>
      </c>
      <c r="O2197" s="74"/>
      <c r="P2197" s="73">
        <v>1322</v>
      </c>
      <c r="Q2197" s="74"/>
      <c r="R2197" s="75"/>
      <c r="S2197" s="75"/>
      <c r="T2197" s="75"/>
      <c r="U2197" s="75"/>
      <c r="V2197" s="75"/>
      <c r="W2197" s="74"/>
      <c r="X2197" s="76"/>
      <c r="Y2197" s="76"/>
      <c r="Z2197" s="76"/>
      <c r="AA2197" s="76"/>
      <c r="AB2197" s="76"/>
      <c r="AC2197" s="74"/>
      <c r="AD2197" s="77"/>
      <c r="AE2197" s="77"/>
      <c r="AF2197" s="77"/>
      <c r="AG2197" s="77"/>
      <c r="AH2197" s="77"/>
      <c r="AI2197" s="68"/>
      <c r="AJ2197" s="213">
        <v>3.9689999999999994E-4</v>
      </c>
      <c r="AK2197" s="213">
        <v>1.7345999999999999</v>
      </c>
      <c r="AL2197" s="213">
        <v>2</v>
      </c>
      <c r="AM2197" s="213">
        <v>3.6734700000000002E-4</v>
      </c>
      <c r="AN2197" s="74"/>
      <c r="AO2197" s="73"/>
      <c r="AP2197" s="73"/>
      <c r="AQ2197" s="73"/>
      <c r="AR2197" s="73"/>
      <c r="AS2197" s="73"/>
      <c r="AT2197" s="74"/>
      <c r="AU2197" s="47"/>
      <c r="AV2197" s="48"/>
    </row>
    <row r="2198" spans="1:48" ht="12.75" customHeight="1" x14ac:dyDescent="0.25">
      <c r="A2198" s="72" t="s">
        <v>20</v>
      </c>
      <c r="B2198" s="43" t="s">
        <v>2240</v>
      </c>
      <c r="C2198" s="44" t="s">
        <v>2356</v>
      </c>
      <c r="D2198" s="45">
        <f>MROUND(MID($C2198,6,3)/Basis!$E$3,0.5)</f>
        <v>12</v>
      </c>
      <c r="E2198" s="45">
        <f>MROUND(MID($C2198,9,3)/Basis!$E$3,0.5)</f>
        <v>63</v>
      </c>
      <c r="F2198" s="124" t="s">
        <v>2946</v>
      </c>
      <c r="G2198" s="45">
        <f>ROUND((ROUNDDOWN($F2198/5,0)*5+1.8)/Basis!$E$3,1)</f>
        <v>4.5999999999999996</v>
      </c>
      <c r="H2198" s="120">
        <f>ROUND($P2198*Basis!$E$2*((TaH-TrH)/LN(1/µ)/Basis!$E$7)^$N2198*$AA$4*Glycol,0)</f>
        <v>3806</v>
      </c>
      <c r="I2198" s="83">
        <f>ROUND(H2198/(MID($C2198,9,3)/Basis!$E$3/Basis!$E$9)*Basis!$E$11,0)</f>
        <v>725</v>
      </c>
      <c r="J2198" s="123">
        <f>IF(Basis!$E$1=1,ROUND(H2198/((TaH-TrH)*1.163)/3600,3),ROUND(H2198/(500*(TaH-TrH)),2))</f>
        <v>0.38</v>
      </c>
      <c r="K2198" s="84"/>
      <c r="L2198" s="177">
        <f>CHOOSE(Basis!$E$1,((AJ2198*(J2198*3600/Basis!$E$5)^AK2198*(((MID(C2198,9,3)*10)-144)/1000)*AL2198+AM2198*(J2198*3600/Basis!$E$5)^2)*0.0098)/Basis!$E$10,((AJ2198*(J2198/Basis!$E$5)^AK2198*(((MID(C2198,9,3)*10)-144)/1000)*AL2198+AM2198*(J2198/Basis!$E$5)^2)*0.0098)/Basis!$E$10)</f>
        <v>3.1233156332340511E-2</v>
      </c>
      <c r="M2198" s="85"/>
      <c r="N2198" s="109">
        <v>1.44</v>
      </c>
      <c r="O2198" s="68"/>
      <c r="P2198" s="67">
        <v>1794</v>
      </c>
      <c r="Q2198" s="68"/>
      <c r="R2198" s="69"/>
      <c r="S2198" s="69"/>
      <c r="T2198" s="69"/>
      <c r="U2198" s="69"/>
      <c r="V2198" s="69"/>
      <c r="W2198" s="68"/>
      <c r="X2198" s="70"/>
      <c r="Y2198" s="70"/>
      <c r="Z2198" s="70"/>
      <c r="AA2198" s="70"/>
      <c r="AB2198" s="70"/>
      <c r="AC2198" s="68"/>
      <c r="AD2198" s="71"/>
      <c r="AE2198" s="71"/>
      <c r="AF2198" s="71"/>
      <c r="AG2198" s="71"/>
      <c r="AH2198" s="71"/>
      <c r="AI2198" s="68"/>
      <c r="AJ2198" s="214">
        <v>3.9689999999999994E-4</v>
      </c>
      <c r="AK2198" s="214">
        <v>1.7345999999999999</v>
      </c>
      <c r="AL2198" s="214">
        <v>4</v>
      </c>
      <c r="AM2198" s="214">
        <v>5.7428799999999995E-4</v>
      </c>
      <c r="AN2198" s="68"/>
      <c r="AO2198" s="67"/>
      <c r="AP2198" s="67"/>
      <c r="AQ2198" s="67"/>
      <c r="AR2198" s="67"/>
      <c r="AS2198" s="67"/>
      <c r="AT2198" s="68"/>
      <c r="AU2198" s="49"/>
      <c r="AV2198" s="50"/>
    </row>
    <row r="2199" spans="1:48" ht="12.75" customHeight="1" x14ac:dyDescent="0.25">
      <c r="A2199" s="72" t="s">
        <v>20</v>
      </c>
      <c r="B2199" s="43" t="s">
        <v>2240</v>
      </c>
      <c r="C2199" s="44" t="s">
        <v>2357</v>
      </c>
      <c r="D2199" s="45">
        <f>MROUND(MID($C2199,6,3)/Basis!$E$3,0.5)</f>
        <v>12</v>
      </c>
      <c r="E2199" s="45">
        <f>MROUND(MID($C2199,9,3)/Basis!$E$3,0.5)</f>
        <v>63</v>
      </c>
      <c r="F2199" s="124" t="s">
        <v>2944</v>
      </c>
      <c r="G2199" s="45">
        <f>ROUND((ROUNDDOWN($F2199/5,0)*5+1.8)/Basis!$E$3,1)</f>
        <v>6.6</v>
      </c>
      <c r="H2199" s="120">
        <f>ROUND($P2199*Basis!$E$2*((TaH-TrH)/LN(1/µ)/Basis!$E$7)^$N2199*$AA$4*Glycol,0)</f>
        <v>4679</v>
      </c>
      <c r="I2199" s="83">
        <f>ROUND(H2199/(MID($C2199,9,3)/Basis!$E$3/Basis!$E$9)*Basis!$E$11,0)</f>
        <v>891</v>
      </c>
      <c r="J2199" s="123">
        <f>IF(Basis!$E$1=1,ROUND(H2199/((TaH-TrH)*1.163)/3600,3),ROUND(H2199/(500*(TaH-TrH)),2))</f>
        <v>0.47</v>
      </c>
      <c r="K2199" s="84"/>
      <c r="L2199" s="177">
        <f>CHOOSE(Basis!$E$1,((AJ2199*(J2199*3600/Basis!$E$5)^AK2199*(((MID(C2199,9,3)*10)-144)/1000)*AL2199+AM2199*(J2199*3600/Basis!$E$5)^2)*0.0098)/Basis!$E$10,((AJ2199*(J2199/Basis!$E$5)^AK2199*(((MID(C2199,9,3)*10)-144)/1000)*AL2199+AM2199*(J2199/Basis!$E$5)^2)*0.0098)/Basis!$E$10)</f>
        <v>2.3434543748815453E-2</v>
      </c>
      <c r="M2199" s="85"/>
      <c r="N2199" s="109">
        <v>1.3959999999999999</v>
      </c>
      <c r="O2199" s="68"/>
      <c r="P2199" s="67">
        <v>2174</v>
      </c>
      <c r="Q2199" s="68"/>
      <c r="R2199" s="69"/>
      <c r="S2199" s="69"/>
      <c r="T2199" s="69"/>
      <c r="U2199" s="69"/>
      <c r="V2199" s="69"/>
      <c r="W2199" s="68"/>
      <c r="X2199" s="70"/>
      <c r="Y2199" s="70"/>
      <c r="Z2199" s="70"/>
      <c r="AA2199" s="70"/>
      <c r="AB2199" s="70"/>
      <c r="AC2199" s="68"/>
      <c r="AD2199" s="71"/>
      <c r="AE2199" s="71"/>
      <c r="AF2199" s="71"/>
      <c r="AG2199" s="71"/>
      <c r="AH2199" s="71"/>
      <c r="AI2199" s="68"/>
      <c r="AJ2199" s="214">
        <v>2.0829999999999999E-4</v>
      </c>
      <c r="AK2199" s="214">
        <v>1.724</v>
      </c>
      <c r="AL2199" s="214">
        <v>2</v>
      </c>
      <c r="AM2199" s="214">
        <v>4.6182900000000003E-4</v>
      </c>
      <c r="AN2199" s="68"/>
      <c r="AO2199" s="67"/>
      <c r="AP2199" s="67"/>
      <c r="AQ2199" s="67"/>
      <c r="AR2199" s="67"/>
      <c r="AS2199" s="67"/>
      <c r="AT2199" s="68"/>
      <c r="AU2199" s="49"/>
      <c r="AV2199" s="50"/>
    </row>
    <row r="2200" spans="1:48" ht="12.75" customHeight="1" x14ac:dyDescent="0.25">
      <c r="A2200" s="72" t="s">
        <v>20</v>
      </c>
      <c r="B2200" s="43" t="s">
        <v>2240</v>
      </c>
      <c r="C2200" s="44" t="s">
        <v>2358</v>
      </c>
      <c r="D2200" s="45">
        <f>MROUND(MID($C2200,6,3)/Basis!$E$3,0.5)</f>
        <v>12</v>
      </c>
      <c r="E2200" s="45">
        <f>MROUND(MID($C2200,9,3)/Basis!$E$3,0.5)</f>
        <v>63</v>
      </c>
      <c r="F2200" s="124" t="s">
        <v>2947</v>
      </c>
      <c r="G2200" s="45">
        <f>ROUND((ROUNDDOWN($F2200/5,0)*5+1.8)/Basis!$E$3,1)</f>
        <v>6.6</v>
      </c>
      <c r="H2200" s="120">
        <f>ROUND($P2200*Basis!$E$2*((TaH-TrH)/LN(1/µ)/Basis!$E$7)^$N2200*$AA$4*Glycol,0)</f>
        <v>4997</v>
      </c>
      <c r="I2200" s="83">
        <f>ROUND(H2200/(MID($C2200,9,3)/Basis!$E$3/Basis!$E$9)*Basis!$E$11,0)</f>
        <v>952</v>
      </c>
      <c r="J2200" s="123">
        <f>IF(Basis!$E$1=1,ROUND(H2200/((TaH-TrH)*1.163)/3600,3),ROUND(H2200/(500*(TaH-TrH)),2))</f>
        <v>0.5</v>
      </c>
      <c r="K2200" s="84"/>
      <c r="L2200" s="177">
        <f>CHOOSE(Basis!$E$1,((AJ2200*(J2200*3600/Basis!$E$5)^AK2200*(((MID(C2200,9,3)*10)-144)/1000)*AL2200+AM2200*(J2200*3600/Basis!$E$5)^2)*0.0098)/Basis!$E$10,((AJ2200*(J2200/Basis!$E$5)^AK2200*(((MID(C2200,9,3)*10)-144)/1000)*AL2200+AM2200*(J2200/Basis!$E$5)^2)*0.0098)/Basis!$E$10)</f>
        <v>7.2587048252951133E-2</v>
      </c>
      <c r="M2200" s="85"/>
      <c r="N2200" s="110">
        <v>1.456</v>
      </c>
      <c r="O2200" s="74"/>
      <c r="P2200" s="73">
        <v>2368</v>
      </c>
      <c r="Q2200" s="74"/>
      <c r="R2200" s="75"/>
      <c r="S2200" s="75"/>
      <c r="T2200" s="75"/>
      <c r="U2200" s="75"/>
      <c r="V2200" s="75"/>
      <c r="W2200" s="74"/>
      <c r="X2200" s="76"/>
      <c r="Y2200" s="76"/>
      <c r="Z2200" s="76"/>
      <c r="AA2200" s="76"/>
      <c r="AB2200" s="76"/>
      <c r="AC2200" s="74"/>
      <c r="AD2200" s="77"/>
      <c r="AE2200" s="77"/>
      <c r="AF2200" s="77"/>
      <c r="AG2200" s="77"/>
      <c r="AH2200" s="77"/>
      <c r="AI2200" s="68"/>
      <c r="AJ2200" s="213">
        <v>2.0829999999999999E-4</v>
      </c>
      <c r="AK2200" s="213">
        <v>1.724</v>
      </c>
      <c r="AL2200" s="213">
        <v>4</v>
      </c>
      <c r="AM2200" s="213">
        <v>1.392796E-3</v>
      </c>
      <c r="AN2200" s="74"/>
      <c r="AO2200" s="73"/>
      <c r="AP2200" s="73"/>
      <c r="AQ2200" s="73"/>
      <c r="AR2200" s="73"/>
      <c r="AS2200" s="73"/>
      <c r="AT2200" s="74"/>
      <c r="AU2200" s="47"/>
      <c r="AV2200" s="48"/>
    </row>
    <row r="2201" spans="1:48" ht="12.75" customHeight="1" x14ac:dyDescent="0.25">
      <c r="A2201" s="72" t="s">
        <v>20</v>
      </c>
      <c r="B2201" s="43" t="s">
        <v>2240</v>
      </c>
      <c r="C2201" s="44" t="s">
        <v>2359</v>
      </c>
      <c r="D2201" s="45">
        <f>MROUND(MID($C2201,6,3)/Basis!$E$3,0.5)</f>
        <v>12</v>
      </c>
      <c r="E2201" s="45">
        <f>MROUND(MID($C2201,9,3)/Basis!$E$3,0.5)</f>
        <v>63</v>
      </c>
      <c r="F2201" s="124" t="s">
        <v>2945</v>
      </c>
      <c r="G2201" s="45">
        <f>ROUND((ROUNDDOWN($F2201/5,0)*5+1.8)/Basis!$E$3,1)</f>
        <v>8.6</v>
      </c>
      <c r="H2201" s="120">
        <f>ROUND($P2201*Basis!$E$2*((TaH-TrH)/LN(1/µ)/Basis!$E$7)^$N2201*$AA$4*Glycol,0)</f>
        <v>6565</v>
      </c>
      <c r="I2201" s="83">
        <f>ROUND(H2201/(MID($C2201,9,3)/Basis!$E$3/Basis!$E$9)*Basis!$E$11,0)</f>
        <v>1251</v>
      </c>
      <c r="J2201" s="123">
        <f>IF(Basis!$E$1=1,ROUND(H2201/((TaH-TrH)*1.163)/3600,3),ROUND(H2201/(500*(TaH-TrH)),2))</f>
        <v>0.66</v>
      </c>
      <c r="K2201" s="84"/>
      <c r="L2201" s="177">
        <f>CHOOSE(Basis!$E$1,((AJ2201*(J2201*3600/Basis!$E$5)^AK2201*(((MID(C2201,9,3)*10)-144)/1000)*AL2201+AM2201*(J2201*3600/Basis!$E$5)^2)*0.0098)/Basis!$E$10,((AJ2201*(J2201/Basis!$E$5)^AK2201*(((MID(C2201,9,3)*10)-144)/1000)*AL2201+AM2201*(J2201/Basis!$E$5)^2)*0.0098)/Basis!$E$10)</f>
        <v>3.4448267317705686E-2</v>
      </c>
      <c r="M2201" s="85"/>
      <c r="N2201" s="110">
        <v>1.3959999999999999</v>
      </c>
      <c r="O2201" s="74"/>
      <c r="P2201" s="73">
        <v>3050</v>
      </c>
      <c r="Q2201" s="74"/>
      <c r="R2201" s="75"/>
      <c r="S2201" s="75"/>
      <c r="T2201" s="75"/>
      <c r="U2201" s="75"/>
      <c r="V2201" s="75"/>
      <c r="W2201" s="74"/>
      <c r="X2201" s="76"/>
      <c r="Y2201" s="76"/>
      <c r="Z2201" s="76"/>
      <c r="AA2201" s="76"/>
      <c r="AB2201" s="76"/>
      <c r="AC2201" s="74"/>
      <c r="AD2201" s="77"/>
      <c r="AE2201" s="77"/>
      <c r="AF2201" s="77"/>
      <c r="AG2201" s="77"/>
      <c r="AH2201" s="77"/>
      <c r="AI2201" s="68"/>
      <c r="AJ2201" s="214">
        <v>1.2760000000000001E-4</v>
      </c>
      <c r="AK2201" s="214">
        <v>1.7219</v>
      </c>
      <c r="AL2201" s="214">
        <v>2</v>
      </c>
      <c r="AM2201" s="214">
        <v>3.76611E-4</v>
      </c>
      <c r="AN2201" s="74"/>
      <c r="AO2201" s="73"/>
      <c r="AP2201" s="73"/>
      <c r="AQ2201" s="73"/>
      <c r="AR2201" s="73"/>
      <c r="AS2201" s="73"/>
      <c r="AT2201" s="74"/>
      <c r="AU2201" s="47"/>
      <c r="AV2201" s="48"/>
    </row>
    <row r="2202" spans="1:48" ht="12.75" customHeight="1" x14ac:dyDescent="0.25">
      <c r="A2202" s="72" t="s">
        <v>20</v>
      </c>
      <c r="B2202" s="43" t="s">
        <v>2240</v>
      </c>
      <c r="C2202" s="44" t="s">
        <v>2360</v>
      </c>
      <c r="D2202" s="45">
        <f>MROUND(MID($C2202,6,3)/Basis!$E$3,0.5)</f>
        <v>12</v>
      </c>
      <c r="E2202" s="45">
        <f>MROUND(MID($C2202,9,3)/Basis!$E$3,0.5)</f>
        <v>63</v>
      </c>
      <c r="F2202" s="124" t="s">
        <v>2948</v>
      </c>
      <c r="G2202" s="45">
        <f>ROUND((ROUNDDOWN($F2202/5,0)*5+1.8)/Basis!$E$3,1)</f>
        <v>8.6</v>
      </c>
      <c r="H2202" s="120">
        <f>ROUND($P2202*Basis!$E$2*((TaH-TrH)/LN(1/µ)/Basis!$E$7)^$N2202*$AA$4*Glycol,0)</f>
        <v>6552</v>
      </c>
      <c r="I2202" s="83">
        <f>ROUND(H2202/(MID($C2202,9,3)/Basis!$E$3/Basis!$E$9)*Basis!$E$11,0)</f>
        <v>1248</v>
      </c>
      <c r="J2202" s="123">
        <f>IF(Basis!$E$1=1,ROUND(H2202/((TaH-TrH)*1.163)/3600,3),ROUND(H2202/(500*(TaH-TrH)),2))</f>
        <v>0.66</v>
      </c>
      <c r="K2202" s="84"/>
      <c r="L2202" s="177">
        <f>CHOOSE(Basis!$E$1,((AJ2202*(J2202*3600/Basis!$E$5)^AK2202*(((MID(C2202,9,3)*10)-144)/1000)*AL2202+AM2202*(J2202*3600/Basis!$E$5)^2)*0.0098)/Basis!$E$10,((AJ2202*(J2202/Basis!$E$5)^AK2202*(((MID(C2202,9,3)*10)-144)/1000)*AL2202+AM2202*(J2202/Basis!$E$5)^2)*0.0098)/Basis!$E$10)</f>
        <v>5.1335023325748387E-2</v>
      </c>
      <c r="M2202" s="85"/>
      <c r="N2202" s="109">
        <v>1.468</v>
      </c>
      <c r="O2202" s="68"/>
      <c r="P2202" s="67">
        <v>3117</v>
      </c>
      <c r="Q2202" s="68"/>
      <c r="R2202" s="69"/>
      <c r="S2202" s="69"/>
      <c r="T2202" s="69"/>
      <c r="U2202" s="69"/>
      <c r="V2202" s="69"/>
      <c r="W2202" s="68"/>
      <c r="X2202" s="70"/>
      <c r="Y2202" s="70"/>
      <c r="Z2202" s="70"/>
      <c r="AA2202" s="70"/>
      <c r="AB2202" s="70"/>
      <c r="AC2202" s="68"/>
      <c r="AD2202" s="71"/>
      <c r="AE2202" s="71"/>
      <c r="AF2202" s="71"/>
      <c r="AG2202" s="71"/>
      <c r="AH2202" s="71"/>
      <c r="AI2202" s="68"/>
      <c r="AJ2202" s="214">
        <v>1.2760000000000001E-4</v>
      </c>
      <c r="AK2202" s="214">
        <v>1.7219</v>
      </c>
      <c r="AL2202" s="214">
        <v>4</v>
      </c>
      <c r="AM2202" s="214">
        <v>5.1420100000000005E-4</v>
      </c>
      <c r="AN2202" s="68"/>
      <c r="AO2202" s="67"/>
      <c r="AP2202" s="67"/>
      <c r="AQ2202" s="67"/>
      <c r="AR2202" s="67"/>
      <c r="AS2202" s="67"/>
      <c r="AT2202" s="68"/>
      <c r="AU2202" s="49"/>
      <c r="AV2202" s="50"/>
    </row>
    <row r="2203" spans="1:48" ht="12.75" customHeight="1" x14ac:dyDescent="0.25">
      <c r="A2203" s="72" t="s">
        <v>20</v>
      </c>
      <c r="B2203" s="43" t="s">
        <v>2240</v>
      </c>
      <c r="C2203" s="44" t="s">
        <v>2361</v>
      </c>
      <c r="D2203" s="45">
        <f>MROUND(MID($C2203,6,3)/Basis!$E$3,0.5)</f>
        <v>12</v>
      </c>
      <c r="E2203" s="45">
        <f>MROUND(MID($C2203,9,3)/Basis!$E$3,0.5)</f>
        <v>71</v>
      </c>
      <c r="F2203" s="124" t="s">
        <v>2943</v>
      </c>
      <c r="G2203" s="45">
        <f>ROUND((ROUNDDOWN($F2203/5,0)*5+1.8)/Basis!$E$3,1)</f>
        <v>4.5999999999999996</v>
      </c>
      <c r="H2203" s="120">
        <f>ROUND($P2203*Basis!$E$2*((TaH-TrH)/LN(1/µ)/Basis!$E$7)^$N2203*$AA$4*Glycol,0)</f>
        <v>3193</v>
      </c>
      <c r="I2203" s="83">
        <f>ROUND(H2203/(MID($C2203,9,3)/Basis!$E$3/Basis!$E$9)*Basis!$E$11,0)</f>
        <v>541</v>
      </c>
      <c r="J2203" s="123">
        <f>IF(Basis!$E$1=1,ROUND(H2203/((TaH-TrH)*1.163)/3600,3),ROUND(H2203/(500*(TaH-TrH)),2))</f>
        <v>0.32</v>
      </c>
      <c r="K2203" s="84"/>
      <c r="L2203" s="177">
        <f>CHOOSE(Basis!$E$1,((AJ2203*(J2203*3600/Basis!$E$5)^AK2203*(((MID(C2203,9,3)*10)-144)/1000)*AL2203+AM2203*(J2203*3600/Basis!$E$5)^2)*0.0098)/Basis!$E$10,((AJ2203*(J2203/Basis!$E$5)^AK2203*(((MID(C2203,9,3)*10)-144)/1000)*AL2203+AM2203*(J2203/Basis!$E$5)^2)*0.0098)/Basis!$E$10)</f>
        <v>1.3624112526029368E-2</v>
      </c>
      <c r="M2203" s="85"/>
      <c r="N2203" s="109">
        <v>1.403</v>
      </c>
      <c r="O2203" s="68"/>
      <c r="P2203" s="67">
        <v>1487</v>
      </c>
      <c r="Q2203" s="68"/>
      <c r="R2203" s="69"/>
      <c r="S2203" s="69"/>
      <c r="T2203" s="69"/>
      <c r="U2203" s="69"/>
      <c r="V2203" s="69"/>
      <c r="W2203" s="68"/>
      <c r="X2203" s="70"/>
      <c r="Y2203" s="70"/>
      <c r="Z2203" s="70"/>
      <c r="AA2203" s="70"/>
      <c r="AB2203" s="70"/>
      <c r="AC2203" s="68"/>
      <c r="AD2203" s="71"/>
      <c r="AE2203" s="71"/>
      <c r="AF2203" s="71"/>
      <c r="AG2203" s="71"/>
      <c r="AH2203" s="71"/>
      <c r="AI2203" s="68"/>
      <c r="AJ2203" s="214">
        <v>3.9689999999999994E-4</v>
      </c>
      <c r="AK2203" s="214">
        <v>1.7345999999999999</v>
      </c>
      <c r="AL2203" s="214">
        <v>2</v>
      </c>
      <c r="AM2203" s="214">
        <v>3.6734700000000002E-4</v>
      </c>
      <c r="AN2203" s="68"/>
      <c r="AO2203" s="67"/>
      <c r="AP2203" s="67"/>
      <c r="AQ2203" s="67"/>
      <c r="AR2203" s="67"/>
      <c r="AS2203" s="67"/>
      <c r="AT2203" s="68"/>
      <c r="AU2203" s="49"/>
      <c r="AV2203" s="50"/>
    </row>
    <row r="2204" spans="1:48" ht="12.75" customHeight="1" x14ac:dyDescent="0.25">
      <c r="A2204" s="72" t="s">
        <v>20</v>
      </c>
      <c r="B2204" s="43" t="s">
        <v>2240</v>
      </c>
      <c r="C2204" s="44" t="s">
        <v>2362</v>
      </c>
      <c r="D2204" s="45">
        <f>MROUND(MID($C2204,6,3)/Basis!$E$3,0.5)</f>
        <v>12</v>
      </c>
      <c r="E2204" s="45">
        <f>MROUND(MID($C2204,9,3)/Basis!$E$3,0.5)</f>
        <v>71</v>
      </c>
      <c r="F2204" s="124" t="s">
        <v>2946</v>
      </c>
      <c r="G2204" s="45">
        <f>ROUND((ROUNDDOWN($F2204/5,0)*5+1.8)/Basis!$E$3,1)</f>
        <v>4.5999999999999996</v>
      </c>
      <c r="H2204" s="120">
        <f>ROUND($P2204*Basis!$E$2*((TaH-TrH)/LN(1/µ)/Basis!$E$7)^$N2204*$AA$4*Glycol,0)</f>
        <v>4281</v>
      </c>
      <c r="I2204" s="83">
        <f>ROUND(H2204/(MID($C2204,9,3)/Basis!$E$3/Basis!$E$9)*Basis!$E$11,0)</f>
        <v>725</v>
      </c>
      <c r="J2204" s="123">
        <f>IF(Basis!$E$1=1,ROUND(H2204/((TaH-TrH)*1.163)/3600,3),ROUND(H2204/(500*(TaH-TrH)),2))</f>
        <v>0.43</v>
      </c>
      <c r="K2204" s="84"/>
      <c r="L2204" s="177">
        <f>CHOOSE(Basis!$E$1,((AJ2204*(J2204*3600/Basis!$E$5)^AK2204*(((MID(C2204,9,3)*10)-144)/1000)*AL2204+AM2204*(J2204*3600/Basis!$E$5)^2)*0.0098)/Basis!$E$10,((AJ2204*(J2204/Basis!$E$5)^AK2204*(((MID(C2204,9,3)*10)-144)/1000)*AL2204+AM2204*(J2204/Basis!$E$5)^2)*0.0098)/Basis!$E$10)</f>
        <v>4.2215878037562757E-2</v>
      </c>
      <c r="M2204" s="85"/>
      <c r="N2204" s="110">
        <v>1.44</v>
      </c>
      <c r="O2204" s="74"/>
      <c r="P2204" s="73">
        <v>2018</v>
      </c>
      <c r="Q2204" s="74"/>
      <c r="R2204" s="75"/>
      <c r="S2204" s="75"/>
      <c r="T2204" s="75"/>
      <c r="U2204" s="75"/>
      <c r="V2204" s="75"/>
      <c r="W2204" s="74"/>
      <c r="X2204" s="76"/>
      <c r="Y2204" s="76"/>
      <c r="Z2204" s="76"/>
      <c r="AA2204" s="76"/>
      <c r="AB2204" s="76"/>
      <c r="AC2204" s="74"/>
      <c r="AD2204" s="77"/>
      <c r="AE2204" s="77"/>
      <c r="AF2204" s="77"/>
      <c r="AG2204" s="77"/>
      <c r="AH2204" s="77"/>
      <c r="AI2204" s="68"/>
      <c r="AJ2204" s="213">
        <v>3.9689999999999994E-4</v>
      </c>
      <c r="AK2204" s="213">
        <v>1.7345999999999999</v>
      </c>
      <c r="AL2204" s="213">
        <v>4</v>
      </c>
      <c r="AM2204" s="213">
        <v>5.7428799999999995E-4</v>
      </c>
      <c r="AN2204" s="74"/>
      <c r="AO2204" s="73"/>
      <c r="AP2204" s="73"/>
      <c r="AQ2204" s="73"/>
      <c r="AR2204" s="73"/>
      <c r="AS2204" s="73"/>
      <c r="AT2204" s="74"/>
      <c r="AU2204" s="47"/>
      <c r="AV2204" s="48"/>
    </row>
    <row r="2205" spans="1:48" ht="12.75" customHeight="1" x14ac:dyDescent="0.25">
      <c r="A2205" s="72" t="s">
        <v>20</v>
      </c>
      <c r="B2205" s="43" t="s">
        <v>2240</v>
      </c>
      <c r="C2205" s="44" t="s">
        <v>2363</v>
      </c>
      <c r="D2205" s="45">
        <f>MROUND(MID($C2205,6,3)/Basis!$E$3,0.5)</f>
        <v>12</v>
      </c>
      <c r="E2205" s="45">
        <f>MROUND(MID($C2205,9,3)/Basis!$E$3,0.5)</f>
        <v>71</v>
      </c>
      <c r="F2205" s="124" t="s">
        <v>2944</v>
      </c>
      <c r="G2205" s="45">
        <f>ROUND((ROUNDDOWN($F2205/5,0)*5+1.8)/Basis!$E$3,1)</f>
        <v>6.6</v>
      </c>
      <c r="H2205" s="120">
        <f>ROUND($P2205*Basis!$E$2*((TaH-TrH)/LN(1/µ)/Basis!$E$7)^$N2205*$AA$4*Glycol,0)</f>
        <v>5265</v>
      </c>
      <c r="I2205" s="83">
        <f>ROUND(H2205/(MID($C2205,9,3)/Basis!$E$3/Basis!$E$9)*Basis!$E$11,0)</f>
        <v>892</v>
      </c>
      <c r="J2205" s="123">
        <f>IF(Basis!$E$1=1,ROUND(H2205/((TaH-TrH)*1.163)/3600,3),ROUND(H2205/(500*(TaH-TrH)),2))</f>
        <v>0.53</v>
      </c>
      <c r="K2205" s="84"/>
      <c r="L2205" s="177">
        <f>CHOOSE(Basis!$E$1,((AJ2205*(J2205*3600/Basis!$E$5)^AK2205*(((MID(C2205,9,3)*10)-144)/1000)*AL2205+AM2205*(J2205*3600/Basis!$E$5)^2)*0.0098)/Basis!$E$10,((AJ2205*(J2205/Basis!$E$5)^AK2205*(((MID(C2205,9,3)*10)-144)/1000)*AL2205+AM2205*(J2205/Basis!$E$5)^2)*0.0098)/Basis!$E$10)</f>
        <v>3.059370806470316E-2</v>
      </c>
      <c r="M2205" s="85"/>
      <c r="N2205" s="110">
        <v>1.3959999999999999</v>
      </c>
      <c r="O2205" s="74"/>
      <c r="P2205" s="73">
        <v>2446</v>
      </c>
      <c r="Q2205" s="74"/>
      <c r="R2205" s="75"/>
      <c r="S2205" s="75"/>
      <c r="T2205" s="75"/>
      <c r="U2205" s="75"/>
      <c r="V2205" s="75"/>
      <c r="W2205" s="74"/>
      <c r="X2205" s="76"/>
      <c r="Y2205" s="76"/>
      <c r="Z2205" s="76"/>
      <c r="AA2205" s="76"/>
      <c r="AB2205" s="76"/>
      <c r="AC2205" s="74"/>
      <c r="AD2205" s="77"/>
      <c r="AE2205" s="77"/>
      <c r="AF2205" s="77"/>
      <c r="AG2205" s="77"/>
      <c r="AH2205" s="77"/>
      <c r="AI2205" s="68"/>
      <c r="AJ2205" s="213">
        <v>2.0829999999999999E-4</v>
      </c>
      <c r="AK2205" s="213">
        <v>1.724</v>
      </c>
      <c r="AL2205" s="213">
        <v>2</v>
      </c>
      <c r="AM2205" s="213">
        <v>4.6182900000000003E-4</v>
      </c>
      <c r="AN2205" s="74"/>
      <c r="AO2205" s="73"/>
      <c r="AP2205" s="73"/>
      <c r="AQ2205" s="73"/>
      <c r="AR2205" s="73"/>
      <c r="AS2205" s="73"/>
      <c r="AT2205" s="74"/>
      <c r="AU2205" s="47"/>
      <c r="AV2205" s="48"/>
    </row>
    <row r="2206" spans="1:48" ht="12.75" customHeight="1" x14ac:dyDescent="0.25">
      <c r="A2206" s="72" t="s">
        <v>20</v>
      </c>
      <c r="B2206" s="43" t="s">
        <v>2240</v>
      </c>
      <c r="C2206" s="44" t="s">
        <v>2364</v>
      </c>
      <c r="D2206" s="45">
        <f>MROUND(MID($C2206,6,3)/Basis!$E$3,0.5)</f>
        <v>12</v>
      </c>
      <c r="E2206" s="45">
        <f>MROUND(MID($C2206,9,3)/Basis!$E$3,0.5)</f>
        <v>71</v>
      </c>
      <c r="F2206" s="124" t="s">
        <v>2947</v>
      </c>
      <c r="G2206" s="45">
        <f>ROUND((ROUNDDOWN($F2206/5,0)*5+1.8)/Basis!$E$3,1)</f>
        <v>6.6</v>
      </c>
      <c r="H2206" s="120">
        <f>ROUND($P2206*Basis!$E$2*((TaH-TrH)/LN(1/µ)/Basis!$E$7)^$N2206*$AA$4*Glycol,0)</f>
        <v>5622</v>
      </c>
      <c r="I2206" s="83">
        <f>ROUND(H2206/(MID($C2206,9,3)/Basis!$E$3/Basis!$E$9)*Basis!$E$11,0)</f>
        <v>952</v>
      </c>
      <c r="J2206" s="123">
        <f>IF(Basis!$E$1=1,ROUND(H2206/((TaH-TrH)*1.163)/3600,3),ROUND(H2206/(500*(TaH-TrH)),2))</f>
        <v>0.56000000000000005</v>
      </c>
      <c r="K2206" s="84"/>
      <c r="L2206" s="177">
        <f>CHOOSE(Basis!$E$1,((AJ2206*(J2206*3600/Basis!$E$5)^AK2206*(((MID(C2206,9,3)*10)-144)/1000)*AL2206+AM2206*(J2206*3600/Basis!$E$5)^2)*0.0098)/Basis!$E$10,((AJ2206*(J2206/Basis!$E$5)^AK2206*(((MID(C2206,9,3)*10)-144)/1000)*AL2206+AM2206*(J2206/Basis!$E$5)^2)*0.0098)/Basis!$E$10)</f>
        <v>9.2831966363424973E-2</v>
      </c>
      <c r="M2206" s="85"/>
      <c r="N2206" s="109">
        <v>1.456</v>
      </c>
      <c r="O2206" s="68"/>
      <c r="P2206" s="67">
        <v>2664</v>
      </c>
      <c r="Q2206" s="68"/>
      <c r="R2206" s="69"/>
      <c r="S2206" s="69"/>
      <c r="T2206" s="69"/>
      <c r="U2206" s="69"/>
      <c r="V2206" s="69"/>
      <c r="W2206" s="68"/>
      <c r="X2206" s="70"/>
      <c r="Y2206" s="70"/>
      <c r="Z2206" s="70"/>
      <c r="AA2206" s="70"/>
      <c r="AB2206" s="70"/>
      <c r="AC2206" s="68"/>
      <c r="AD2206" s="71"/>
      <c r="AE2206" s="71"/>
      <c r="AF2206" s="71"/>
      <c r="AG2206" s="71"/>
      <c r="AH2206" s="71"/>
      <c r="AI2206" s="68"/>
      <c r="AJ2206" s="214">
        <v>2.0829999999999999E-4</v>
      </c>
      <c r="AK2206" s="214">
        <v>1.724</v>
      </c>
      <c r="AL2206" s="214">
        <v>4</v>
      </c>
      <c r="AM2206" s="214">
        <v>1.392796E-3</v>
      </c>
      <c r="AN2206" s="68"/>
      <c r="AO2206" s="67"/>
      <c r="AP2206" s="67"/>
      <c r="AQ2206" s="67"/>
      <c r="AR2206" s="67"/>
      <c r="AS2206" s="67"/>
      <c r="AT2206" s="68"/>
      <c r="AU2206" s="49"/>
      <c r="AV2206" s="50"/>
    </row>
    <row r="2207" spans="1:48" ht="12.75" customHeight="1" x14ac:dyDescent="0.25">
      <c r="A2207" s="72" t="s">
        <v>20</v>
      </c>
      <c r="B2207" s="43" t="s">
        <v>2240</v>
      </c>
      <c r="C2207" s="44" t="s">
        <v>2365</v>
      </c>
      <c r="D2207" s="45">
        <f>MROUND(MID($C2207,6,3)/Basis!$E$3,0.5)</f>
        <v>12</v>
      </c>
      <c r="E2207" s="45">
        <f>MROUND(MID($C2207,9,3)/Basis!$E$3,0.5)</f>
        <v>71</v>
      </c>
      <c r="F2207" s="124" t="s">
        <v>2945</v>
      </c>
      <c r="G2207" s="45">
        <f>ROUND((ROUNDDOWN($F2207/5,0)*5+1.8)/Basis!$E$3,1)</f>
        <v>8.6</v>
      </c>
      <c r="H2207" s="120">
        <f>ROUND($P2207*Basis!$E$2*((TaH-TrH)/LN(1/µ)/Basis!$E$7)^$N2207*$AA$4*Glycol,0)</f>
        <v>7385</v>
      </c>
      <c r="I2207" s="83">
        <f>ROUND(H2207/(MID($C2207,9,3)/Basis!$E$3/Basis!$E$9)*Basis!$E$11,0)</f>
        <v>1251</v>
      </c>
      <c r="J2207" s="123">
        <f>IF(Basis!$E$1=1,ROUND(H2207/((TaH-TrH)*1.163)/3600,3),ROUND(H2207/(500*(TaH-TrH)),2))</f>
        <v>0.74</v>
      </c>
      <c r="K2207" s="84"/>
      <c r="L2207" s="177">
        <f>CHOOSE(Basis!$E$1,((AJ2207*(J2207*3600/Basis!$E$5)^AK2207*(((MID(C2207,9,3)*10)-144)/1000)*AL2207+AM2207*(J2207*3600/Basis!$E$5)^2)*0.0098)/Basis!$E$10,((AJ2207*(J2207/Basis!$E$5)^AK2207*(((MID(C2207,9,3)*10)-144)/1000)*AL2207+AM2207*(J2207/Basis!$E$5)^2)*0.0098)/Basis!$E$10)</f>
        <v>4.4172380556741241E-2</v>
      </c>
      <c r="M2207" s="85"/>
      <c r="N2207" s="109">
        <v>1.3959999999999999</v>
      </c>
      <c r="O2207" s="68"/>
      <c r="P2207" s="67">
        <v>3431</v>
      </c>
      <c r="Q2207" s="68"/>
      <c r="R2207" s="69"/>
      <c r="S2207" s="69"/>
      <c r="T2207" s="69"/>
      <c r="U2207" s="69"/>
      <c r="V2207" s="69"/>
      <c r="W2207" s="68"/>
      <c r="X2207" s="70"/>
      <c r="Y2207" s="70"/>
      <c r="Z2207" s="70"/>
      <c r="AA2207" s="70"/>
      <c r="AB2207" s="70"/>
      <c r="AC2207" s="68"/>
      <c r="AD2207" s="71"/>
      <c r="AE2207" s="71"/>
      <c r="AF2207" s="71"/>
      <c r="AG2207" s="71"/>
      <c r="AH2207" s="71"/>
      <c r="AI2207" s="68"/>
      <c r="AJ2207" s="214">
        <v>1.2760000000000001E-4</v>
      </c>
      <c r="AK2207" s="214">
        <v>1.7219</v>
      </c>
      <c r="AL2207" s="214">
        <v>2</v>
      </c>
      <c r="AM2207" s="214">
        <v>3.76611E-4</v>
      </c>
      <c r="AN2207" s="68"/>
      <c r="AO2207" s="67"/>
      <c r="AP2207" s="67"/>
      <c r="AQ2207" s="67"/>
      <c r="AR2207" s="67"/>
      <c r="AS2207" s="67"/>
      <c r="AT2207" s="68"/>
      <c r="AU2207" s="49"/>
      <c r="AV2207" s="50"/>
    </row>
    <row r="2208" spans="1:48" ht="12.75" customHeight="1" x14ac:dyDescent="0.25">
      <c r="A2208" s="72" t="s">
        <v>20</v>
      </c>
      <c r="B2208" s="43" t="s">
        <v>2240</v>
      </c>
      <c r="C2208" s="44" t="s">
        <v>2366</v>
      </c>
      <c r="D2208" s="45">
        <f>MROUND(MID($C2208,6,3)/Basis!$E$3,0.5)</f>
        <v>12</v>
      </c>
      <c r="E2208" s="45">
        <f>MROUND(MID($C2208,9,3)/Basis!$E$3,0.5)</f>
        <v>71</v>
      </c>
      <c r="F2208" s="124" t="s">
        <v>2948</v>
      </c>
      <c r="G2208" s="45">
        <f>ROUND((ROUNDDOWN($F2208/5,0)*5+1.8)/Basis!$E$3,1)</f>
        <v>8.6</v>
      </c>
      <c r="H2208" s="120">
        <f>ROUND($P2208*Basis!$E$2*((TaH-TrH)/LN(1/µ)/Basis!$E$7)^$N2208*$AA$4*Glycol,0)</f>
        <v>7369</v>
      </c>
      <c r="I2208" s="83">
        <f>ROUND(H2208/(MID($C2208,9,3)/Basis!$E$3/Basis!$E$9)*Basis!$E$11,0)</f>
        <v>1248</v>
      </c>
      <c r="J2208" s="123">
        <f>IF(Basis!$E$1=1,ROUND(H2208/((TaH-TrH)*1.163)/3600,3),ROUND(H2208/(500*(TaH-TrH)),2))</f>
        <v>0.74</v>
      </c>
      <c r="K2208" s="84"/>
      <c r="L2208" s="177">
        <f>CHOOSE(Basis!$E$1,((AJ2208*(J2208*3600/Basis!$E$5)^AK2208*(((MID(C2208,9,3)*10)-144)/1000)*AL2208+AM2208*(J2208*3600/Basis!$E$5)^2)*0.0098)/Basis!$E$10,((AJ2208*(J2208/Basis!$E$5)^AK2208*(((MID(C2208,9,3)*10)-144)/1000)*AL2208+AM2208*(J2208/Basis!$E$5)^2)*0.0098)/Basis!$E$10)</f>
        <v>6.6267893360563629E-2</v>
      </c>
      <c r="M2208" s="85"/>
      <c r="N2208" s="110">
        <v>1.468</v>
      </c>
      <c r="O2208" s="74"/>
      <c r="P2208" s="73">
        <v>3506</v>
      </c>
      <c r="Q2208" s="74"/>
      <c r="R2208" s="75"/>
      <c r="S2208" s="75"/>
      <c r="T2208" s="75"/>
      <c r="U2208" s="75"/>
      <c r="V2208" s="75"/>
      <c r="W2208" s="74"/>
      <c r="X2208" s="76"/>
      <c r="Y2208" s="76"/>
      <c r="Z2208" s="76"/>
      <c r="AA2208" s="76"/>
      <c r="AB2208" s="76"/>
      <c r="AC2208" s="74"/>
      <c r="AD2208" s="77"/>
      <c r="AE2208" s="77"/>
      <c r="AF2208" s="77"/>
      <c r="AG2208" s="77"/>
      <c r="AH2208" s="77"/>
      <c r="AI2208" s="68"/>
      <c r="AJ2208" s="213">
        <v>1.2760000000000001E-4</v>
      </c>
      <c r="AK2208" s="213">
        <v>1.7219</v>
      </c>
      <c r="AL2208" s="213">
        <v>4</v>
      </c>
      <c r="AM2208" s="213">
        <v>5.1420100000000005E-4</v>
      </c>
      <c r="AN2208" s="74"/>
      <c r="AO2208" s="73"/>
      <c r="AP2208" s="73"/>
      <c r="AQ2208" s="73"/>
      <c r="AR2208" s="73"/>
      <c r="AS2208" s="73"/>
      <c r="AT2208" s="74"/>
      <c r="AU2208" s="47"/>
      <c r="AV2208" s="48"/>
    </row>
    <row r="2209" spans="1:48" ht="12.75" customHeight="1" x14ac:dyDescent="0.25">
      <c r="A2209" s="72" t="s">
        <v>20</v>
      </c>
      <c r="B2209" s="43" t="s">
        <v>2240</v>
      </c>
      <c r="C2209" s="44" t="s">
        <v>2367</v>
      </c>
      <c r="D2209" s="45">
        <f>MROUND(MID($C2209,6,3)/Basis!$E$3,0.5)</f>
        <v>12</v>
      </c>
      <c r="E2209" s="45">
        <f>MROUND(MID($C2209,9,3)/Basis!$E$3,0.5)</f>
        <v>78.5</v>
      </c>
      <c r="F2209" s="124" t="s">
        <v>2943</v>
      </c>
      <c r="G2209" s="45">
        <f>ROUND((ROUNDDOWN($F2209/5,0)*5+1.8)/Basis!$E$3,1)</f>
        <v>4.5999999999999996</v>
      </c>
      <c r="H2209" s="120">
        <f>ROUND($P2209*Basis!$E$2*((TaH-TrH)/LN(1/µ)/Basis!$E$7)^$N2209*$AA$4*Glycol,0)</f>
        <v>3548</v>
      </c>
      <c r="I2209" s="83">
        <f>ROUND(H2209/(MID($C2209,9,3)/Basis!$E$3/Basis!$E$9)*Basis!$E$11,0)</f>
        <v>541</v>
      </c>
      <c r="J2209" s="123">
        <f>IF(Basis!$E$1=1,ROUND(H2209/((TaH-TrH)*1.163)/3600,3),ROUND(H2209/(500*(TaH-TrH)),2))</f>
        <v>0.35</v>
      </c>
      <c r="K2209" s="84"/>
      <c r="L2209" s="177">
        <f>CHOOSE(Basis!$E$1,((AJ2209*(J2209*3600/Basis!$E$5)^AK2209*(((MID(C2209,9,3)*10)-144)/1000)*AL2209+AM2209*(J2209*3600/Basis!$E$5)^2)*0.0098)/Basis!$E$10,((AJ2209*(J2209/Basis!$E$5)^AK2209*(((MID(C2209,9,3)*10)-144)/1000)*AL2209+AM2209*(J2209/Basis!$E$5)^2)*0.0098)/Basis!$E$10)</f>
        <v>1.7120711809639085E-2</v>
      </c>
      <c r="M2209" s="85"/>
      <c r="N2209" s="110">
        <v>1.403</v>
      </c>
      <c r="O2209" s="74"/>
      <c r="P2209" s="73">
        <v>1652</v>
      </c>
      <c r="Q2209" s="74"/>
      <c r="R2209" s="75"/>
      <c r="S2209" s="75"/>
      <c r="T2209" s="75"/>
      <c r="U2209" s="75"/>
      <c r="V2209" s="75"/>
      <c r="W2209" s="74"/>
      <c r="X2209" s="76"/>
      <c r="Y2209" s="76"/>
      <c r="Z2209" s="76"/>
      <c r="AA2209" s="76"/>
      <c r="AB2209" s="76"/>
      <c r="AC2209" s="74"/>
      <c r="AD2209" s="77"/>
      <c r="AE2209" s="77"/>
      <c r="AF2209" s="77"/>
      <c r="AG2209" s="77"/>
      <c r="AH2209" s="77"/>
      <c r="AI2209" s="68"/>
      <c r="AJ2209" s="213">
        <v>3.9689999999999994E-4</v>
      </c>
      <c r="AK2209" s="213">
        <v>1.7345999999999999</v>
      </c>
      <c r="AL2209" s="213">
        <v>2</v>
      </c>
      <c r="AM2209" s="213">
        <v>3.6734700000000002E-4</v>
      </c>
      <c r="AN2209" s="74"/>
      <c r="AO2209" s="73"/>
      <c r="AP2209" s="73"/>
      <c r="AQ2209" s="73"/>
      <c r="AR2209" s="73"/>
      <c r="AS2209" s="73"/>
      <c r="AT2209" s="74"/>
      <c r="AU2209" s="47"/>
      <c r="AV2209" s="48"/>
    </row>
    <row r="2210" spans="1:48" ht="12.75" customHeight="1" x14ac:dyDescent="0.25">
      <c r="A2210" s="72" t="s">
        <v>20</v>
      </c>
      <c r="B2210" s="43" t="s">
        <v>2240</v>
      </c>
      <c r="C2210" s="44" t="s">
        <v>2368</v>
      </c>
      <c r="D2210" s="45">
        <f>MROUND(MID($C2210,6,3)/Basis!$E$3,0.5)</f>
        <v>12</v>
      </c>
      <c r="E2210" s="45">
        <f>MROUND(MID($C2210,9,3)/Basis!$E$3,0.5)</f>
        <v>78.5</v>
      </c>
      <c r="F2210" s="124" t="s">
        <v>2946</v>
      </c>
      <c r="G2210" s="45">
        <f>ROUND((ROUNDDOWN($F2210/5,0)*5+1.8)/Basis!$E$3,1)</f>
        <v>4.5999999999999996</v>
      </c>
      <c r="H2210" s="120">
        <f>ROUND($P2210*Basis!$E$2*((TaH-TrH)/LN(1/µ)/Basis!$E$7)^$N2210*$AA$4*Glycol,0)</f>
        <v>4756</v>
      </c>
      <c r="I2210" s="83">
        <f>ROUND(H2210/(MID($C2210,9,3)/Basis!$E$3/Basis!$E$9)*Basis!$E$11,0)</f>
        <v>725</v>
      </c>
      <c r="J2210" s="123">
        <f>IF(Basis!$E$1=1,ROUND(H2210/((TaH-TrH)*1.163)/3600,3),ROUND(H2210/(500*(TaH-TrH)),2))</f>
        <v>0.48</v>
      </c>
      <c r="K2210" s="84"/>
      <c r="L2210" s="177">
        <f>CHOOSE(Basis!$E$1,((AJ2210*(J2210*3600/Basis!$E$5)^AK2210*(((MID(C2210,9,3)*10)-144)/1000)*AL2210+AM2210*(J2210*3600/Basis!$E$5)^2)*0.0098)/Basis!$E$10,((AJ2210*(J2210/Basis!$E$5)^AK2210*(((MID(C2210,9,3)*10)-144)/1000)*AL2210+AM2210*(J2210/Basis!$E$5)^2)*0.0098)/Basis!$E$10)</f>
        <v>5.5285462370592307E-2</v>
      </c>
      <c r="M2210" s="85"/>
      <c r="N2210" s="109">
        <v>1.44</v>
      </c>
      <c r="O2210" s="68"/>
      <c r="P2210" s="67">
        <v>2242</v>
      </c>
      <c r="Q2210" s="68"/>
      <c r="R2210" s="69"/>
      <c r="S2210" s="69"/>
      <c r="T2210" s="69"/>
      <c r="U2210" s="69"/>
      <c r="V2210" s="69"/>
      <c r="W2210" s="68"/>
      <c r="X2210" s="70"/>
      <c r="Y2210" s="70"/>
      <c r="Z2210" s="70"/>
      <c r="AA2210" s="70"/>
      <c r="AB2210" s="70"/>
      <c r="AC2210" s="68"/>
      <c r="AD2210" s="71"/>
      <c r="AE2210" s="71"/>
      <c r="AF2210" s="71"/>
      <c r="AG2210" s="71"/>
      <c r="AH2210" s="71"/>
      <c r="AI2210" s="68"/>
      <c r="AJ2210" s="214">
        <v>3.9689999999999994E-4</v>
      </c>
      <c r="AK2210" s="214">
        <v>1.7345999999999999</v>
      </c>
      <c r="AL2210" s="214">
        <v>4</v>
      </c>
      <c r="AM2210" s="214">
        <v>5.7428799999999995E-4</v>
      </c>
      <c r="AN2210" s="68"/>
      <c r="AO2210" s="67"/>
      <c r="AP2210" s="67"/>
      <c r="AQ2210" s="67"/>
      <c r="AR2210" s="67"/>
      <c r="AS2210" s="67"/>
      <c r="AT2210" s="68"/>
      <c r="AU2210" s="49"/>
      <c r="AV2210" s="50"/>
    </row>
    <row r="2211" spans="1:48" ht="12.75" customHeight="1" x14ac:dyDescent="0.25">
      <c r="A2211" s="72" t="s">
        <v>20</v>
      </c>
      <c r="B2211" s="43" t="s">
        <v>2240</v>
      </c>
      <c r="C2211" s="44" t="s">
        <v>2369</v>
      </c>
      <c r="D2211" s="45">
        <f>MROUND(MID($C2211,6,3)/Basis!$E$3,0.5)</f>
        <v>12</v>
      </c>
      <c r="E2211" s="45">
        <f>MROUND(MID($C2211,9,3)/Basis!$E$3,0.5)</f>
        <v>78.5</v>
      </c>
      <c r="F2211" s="124" t="s">
        <v>2944</v>
      </c>
      <c r="G2211" s="45">
        <f>ROUND((ROUNDDOWN($F2211/5,0)*5+1.8)/Basis!$E$3,1)</f>
        <v>6.6</v>
      </c>
      <c r="H2211" s="120">
        <f>ROUND($P2211*Basis!$E$2*((TaH-TrH)/LN(1/µ)/Basis!$E$7)^$N2211*$AA$4*Glycol,0)</f>
        <v>5850</v>
      </c>
      <c r="I2211" s="83">
        <f>ROUND(H2211/(MID($C2211,9,3)/Basis!$E$3/Basis!$E$9)*Basis!$E$11,0)</f>
        <v>892</v>
      </c>
      <c r="J2211" s="123">
        <f>IF(Basis!$E$1=1,ROUND(H2211/((TaH-TrH)*1.163)/3600,3),ROUND(H2211/(500*(TaH-TrH)),2))</f>
        <v>0.59</v>
      </c>
      <c r="K2211" s="84"/>
      <c r="L2211" s="177">
        <f>CHOOSE(Basis!$E$1,((AJ2211*(J2211*3600/Basis!$E$5)^AK2211*(((MID(C2211,9,3)*10)-144)/1000)*AL2211+AM2211*(J2211*3600/Basis!$E$5)^2)*0.0098)/Basis!$E$10,((AJ2211*(J2211/Basis!$E$5)^AK2211*(((MID(C2211,9,3)*10)-144)/1000)*AL2211+AM2211*(J2211/Basis!$E$5)^2)*0.0098)/Basis!$E$10)</f>
        <v>3.886370573249482E-2</v>
      </c>
      <c r="M2211" s="85"/>
      <c r="N2211" s="109">
        <v>1.3959999999999999</v>
      </c>
      <c r="O2211" s="68"/>
      <c r="P2211" s="67">
        <v>2718</v>
      </c>
      <c r="Q2211" s="68"/>
      <c r="R2211" s="69"/>
      <c r="S2211" s="69"/>
      <c r="T2211" s="69"/>
      <c r="U2211" s="69"/>
      <c r="V2211" s="69"/>
      <c r="W2211" s="68"/>
      <c r="X2211" s="70"/>
      <c r="Y2211" s="70"/>
      <c r="Z2211" s="70"/>
      <c r="AA2211" s="70"/>
      <c r="AB2211" s="70"/>
      <c r="AC2211" s="68"/>
      <c r="AD2211" s="71"/>
      <c r="AE2211" s="71"/>
      <c r="AF2211" s="71"/>
      <c r="AG2211" s="71"/>
      <c r="AH2211" s="71"/>
      <c r="AI2211" s="68"/>
      <c r="AJ2211" s="214">
        <v>2.0829999999999999E-4</v>
      </c>
      <c r="AK2211" s="214">
        <v>1.724</v>
      </c>
      <c r="AL2211" s="214">
        <v>2</v>
      </c>
      <c r="AM2211" s="214">
        <v>4.6182900000000003E-4</v>
      </c>
      <c r="AN2211" s="68"/>
      <c r="AO2211" s="67"/>
      <c r="AP2211" s="67"/>
      <c r="AQ2211" s="67"/>
      <c r="AR2211" s="67"/>
      <c r="AS2211" s="67"/>
      <c r="AT2211" s="68"/>
      <c r="AU2211" s="49"/>
      <c r="AV2211" s="50"/>
    </row>
    <row r="2212" spans="1:48" ht="12.75" customHeight="1" x14ac:dyDescent="0.25">
      <c r="A2212" s="72" t="s">
        <v>20</v>
      </c>
      <c r="B2212" s="43" t="s">
        <v>2240</v>
      </c>
      <c r="C2212" s="44" t="s">
        <v>2370</v>
      </c>
      <c r="D2212" s="45">
        <f>MROUND(MID($C2212,6,3)/Basis!$E$3,0.5)</f>
        <v>12</v>
      </c>
      <c r="E2212" s="45">
        <f>MROUND(MID($C2212,9,3)/Basis!$E$3,0.5)</f>
        <v>78.5</v>
      </c>
      <c r="F2212" s="124" t="s">
        <v>2947</v>
      </c>
      <c r="G2212" s="45">
        <f>ROUND((ROUNDDOWN($F2212/5,0)*5+1.8)/Basis!$E$3,1)</f>
        <v>6.6</v>
      </c>
      <c r="H2212" s="120">
        <f>ROUND($P2212*Basis!$E$2*((TaH-TrH)/LN(1/µ)/Basis!$E$7)^$N2212*$AA$4*Glycol,0)</f>
        <v>6246</v>
      </c>
      <c r="I2212" s="83">
        <f>ROUND(H2212/(MID($C2212,9,3)/Basis!$E$3/Basis!$E$9)*Basis!$E$11,0)</f>
        <v>952</v>
      </c>
      <c r="J2212" s="123">
        <f>IF(Basis!$E$1=1,ROUND(H2212/((TaH-TrH)*1.163)/3600,3),ROUND(H2212/(500*(TaH-TrH)),2))</f>
        <v>0.62</v>
      </c>
      <c r="K2212" s="84"/>
      <c r="L2212" s="177">
        <f>CHOOSE(Basis!$E$1,((AJ2212*(J2212*3600/Basis!$E$5)^AK2212*(((MID(C2212,9,3)*10)-144)/1000)*AL2212+AM2212*(J2212*3600/Basis!$E$5)^2)*0.0098)/Basis!$E$10,((AJ2212*(J2212/Basis!$E$5)^AK2212*(((MID(C2212,9,3)*10)-144)/1000)*AL2212+AM2212*(J2212/Basis!$E$5)^2)*0.0098)/Basis!$E$10)</f>
        <v>0.11589749889594478</v>
      </c>
      <c r="M2212" s="85"/>
      <c r="N2212" s="110">
        <v>1.456</v>
      </c>
      <c r="O2212" s="74"/>
      <c r="P2212" s="73">
        <v>2960</v>
      </c>
      <c r="Q2212" s="74"/>
      <c r="R2212" s="75"/>
      <c r="S2212" s="75"/>
      <c r="T2212" s="75"/>
      <c r="U2212" s="75"/>
      <c r="V2212" s="75"/>
      <c r="W2212" s="74"/>
      <c r="X2212" s="76"/>
      <c r="Y2212" s="76"/>
      <c r="Z2212" s="76"/>
      <c r="AA2212" s="76"/>
      <c r="AB2212" s="76"/>
      <c r="AC2212" s="74"/>
      <c r="AD2212" s="77"/>
      <c r="AE2212" s="77"/>
      <c r="AF2212" s="77"/>
      <c r="AG2212" s="77"/>
      <c r="AH2212" s="77"/>
      <c r="AI2212" s="68"/>
      <c r="AJ2212" s="213">
        <v>2.0829999999999999E-4</v>
      </c>
      <c r="AK2212" s="213">
        <v>1.724</v>
      </c>
      <c r="AL2212" s="213">
        <v>4</v>
      </c>
      <c r="AM2212" s="213">
        <v>1.392796E-3</v>
      </c>
      <c r="AN2212" s="74"/>
      <c r="AO2212" s="73"/>
      <c r="AP2212" s="73"/>
      <c r="AQ2212" s="73"/>
      <c r="AR2212" s="73"/>
      <c r="AS2212" s="73"/>
      <c r="AT2212" s="74"/>
      <c r="AU2212" s="47"/>
      <c r="AV2212" s="48"/>
    </row>
    <row r="2213" spans="1:48" ht="12.75" customHeight="1" x14ac:dyDescent="0.25">
      <c r="A2213" s="72" t="s">
        <v>20</v>
      </c>
      <c r="B2213" s="43" t="s">
        <v>2240</v>
      </c>
      <c r="C2213" s="44" t="s">
        <v>2371</v>
      </c>
      <c r="D2213" s="45">
        <f>MROUND(MID($C2213,6,3)/Basis!$E$3,0.5)</f>
        <v>12</v>
      </c>
      <c r="E2213" s="45">
        <f>MROUND(MID($C2213,9,3)/Basis!$E$3,0.5)</f>
        <v>78.5</v>
      </c>
      <c r="F2213" s="124" t="s">
        <v>2945</v>
      </c>
      <c r="G2213" s="45">
        <f>ROUND((ROUNDDOWN($F2213/5,0)*5+1.8)/Basis!$E$3,1)</f>
        <v>8.6</v>
      </c>
      <c r="H2213" s="120">
        <f>ROUND($P2213*Basis!$E$2*((TaH-TrH)/LN(1/µ)/Basis!$E$7)^$N2213*$AA$4*Glycol,0)</f>
        <v>8205</v>
      </c>
      <c r="I2213" s="83">
        <f>ROUND(H2213/(MID($C2213,9,3)/Basis!$E$3/Basis!$E$9)*Basis!$E$11,0)</f>
        <v>1250</v>
      </c>
      <c r="J2213" s="123">
        <f>IF(Basis!$E$1=1,ROUND(H2213/((TaH-TrH)*1.163)/3600,3),ROUND(H2213/(500*(TaH-TrH)),2))</f>
        <v>0.82</v>
      </c>
      <c r="K2213" s="84"/>
      <c r="L2213" s="177">
        <f>CHOOSE(Basis!$E$1,((AJ2213*(J2213*3600/Basis!$E$5)^AK2213*(((MID(C2213,9,3)*10)-144)/1000)*AL2213+AM2213*(J2213*3600/Basis!$E$5)^2)*0.0098)/Basis!$E$10,((AJ2213*(J2213/Basis!$E$5)^AK2213*(((MID(C2213,9,3)*10)-144)/1000)*AL2213+AM2213*(J2213/Basis!$E$5)^2)*0.0098)/Basis!$E$10)</f>
        <v>5.5267932305902427E-2</v>
      </c>
      <c r="M2213" s="85"/>
      <c r="N2213" s="110">
        <v>1.3959999999999999</v>
      </c>
      <c r="O2213" s="74"/>
      <c r="P2213" s="73">
        <v>3812</v>
      </c>
      <c r="Q2213" s="74"/>
      <c r="R2213" s="75"/>
      <c r="S2213" s="75"/>
      <c r="T2213" s="75"/>
      <c r="U2213" s="75"/>
      <c r="V2213" s="75"/>
      <c r="W2213" s="74"/>
      <c r="X2213" s="76"/>
      <c r="Y2213" s="76"/>
      <c r="Z2213" s="76"/>
      <c r="AA2213" s="76"/>
      <c r="AB2213" s="76"/>
      <c r="AC2213" s="74"/>
      <c r="AD2213" s="77"/>
      <c r="AE2213" s="77"/>
      <c r="AF2213" s="77"/>
      <c r="AG2213" s="77"/>
      <c r="AH2213" s="77"/>
      <c r="AI2213" s="68"/>
      <c r="AJ2213" s="214">
        <v>1.2760000000000001E-4</v>
      </c>
      <c r="AK2213" s="214">
        <v>1.7219</v>
      </c>
      <c r="AL2213" s="214">
        <v>2</v>
      </c>
      <c r="AM2213" s="214">
        <v>3.76611E-4</v>
      </c>
      <c r="AN2213" s="74"/>
      <c r="AO2213" s="73"/>
      <c r="AP2213" s="73"/>
      <c r="AQ2213" s="73"/>
      <c r="AR2213" s="73"/>
      <c r="AS2213" s="73"/>
      <c r="AT2213" s="74"/>
      <c r="AU2213" s="47"/>
      <c r="AV2213" s="48"/>
    </row>
    <row r="2214" spans="1:48" ht="12.75" customHeight="1" x14ac:dyDescent="0.25">
      <c r="A2214" s="72" t="s">
        <v>20</v>
      </c>
      <c r="B2214" s="43" t="s">
        <v>2240</v>
      </c>
      <c r="C2214" s="44" t="s">
        <v>2372</v>
      </c>
      <c r="D2214" s="45">
        <f>MROUND(MID($C2214,6,3)/Basis!$E$3,0.5)</f>
        <v>12</v>
      </c>
      <c r="E2214" s="45">
        <f>MROUND(MID($C2214,9,3)/Basis!$E$3,0.5)</f>
        <v>78.5</v>
      </c>
      <c r="F2214" s="124" t="s">
        <v>2948</v>
      </c>
      <c r="G2214" s="45">
        <f>ROUND((ROUNDDOWN($F2214/5,0)*5+1.8)/Basis!$E$3,1)</f>
        <v>8.6</v>
      </c>
      <c r="H2214" s="120">
        <f>ROUND($P2214*Basis!$E$2*((TaH-TrH)/LN(1/µ)/Basis!$E$7)^$N2214*$AA$4*Glycol,0)</f>
        <v>8189</v>
      </c>
      <c r="I2214" s="83">
        <f>ROUND(H2214/(MID($C2214,9,3)/Basis!$E$3/Basis!$E$9)*Basis!$E$11,0)</f>
        <v>1248</v>
      </c>
      <c r="J2214" s="123">
        <f>IF(Basis!$E$1=1,ROUND(H2214/((TaH-TrH)*1.163)/3600,3),ROUND(H2214/(500*(TaH-TrH)),2))</f>
        <v>0.82</v>
      </c>
      <c r="K2214" s="84"/>
      <c r="L2214" s="177">
        <f>CHOOSE(Basis!$E$1,((AJ2214*(J2214*3600/Basis!$E$5)^AK2214*(((MID(C2214,9,3)*10)-144)/1000)*AL2214+AM2214*(J2214*3600/Basis!$E$5)^2)*0.0098)/Basis!$E$10,((AJ2214*(J2214/Basis!$E$5)^AK2214*(((MID(C2214,9,3)*10)-144)/1000)*AL2214+AM2214*(J2214/Basis!$E$5)^2)*0.0098)/Basis!$E$10)</f>
        <v>8.3427599679258058E-2</v>
      </c>
      <c r="M2214" s="85"/>
      <c r="N2214" s="109">
        <v>1.468</v>
      </c>
      <c r="O2214" s="68"/>
      <c r="P2214" s="67">
        <v>3896</v>
      </c>
      <c r="Q2214" s="68"/>
      <c r="R2214" s="69"/>
      <c r="S2214" s="69"/>
      <c r="T2214" s="69"/>
      <c r="U2214" s="69"/>
      <c r="V2214" s="69"/>
      <c r="W2214" s="68"/>
      <c r="X2214" s="70"/>
      <c r="Y2214" s="70"/>
      <c r="Z2214" s="70"/>
      <c r="AA2214" s="70"/>
      <c r="AB2214" s="70"/>
      <c r="AC2214" s="68"/>
      <c r="AD2214" s="71"/>
      <c r="AE2214" s="71"/>
      <c r="AF2214" s="71"/>
      <c r="AG2214" s="71"/>
      <c r="AH2214" s="71"/>
      <c r="AI2214" s="68"/>
      <c r="AJ2214" s="214">
        <v>1.2760000000000001E-4</v>
      </c>
      <c r="AK2214" s="214">
        <v>1.7219</v>
      </c>
      <c r="AL2214" s="214">
        <v>4</v>
      </c>
      <c r="AM2214" s="214">
        <v>5.1420100000000005E-4</v>
      </c>
      <c r="AN2214" s="68"/>
      <c r="AO2214" s="67"/>
      <c r="AP2214" s="67"/>
      <c r="AQ2214" s="67"/>
      <c r="AR2214" s="67"/>
      <c r="AS2214" s="67"/>
      <c r="AT2214" s="68"/>
      <c r="AU2214" s="49"/>
      <c r="AV2214" s="50"/>
    </row>
    <row r="2215" spans="1:48" ht="12.75" customHeight="1" x14ac:dyDescent="0.25">
      <c r="A2215" s="72" t="s">
        <v>20</v>
      </c>
      <c r="B2215" s="43" t="s">
        <v>2240</v>
      </c>
      <c r="C2215" s="44" t="s">
        <v>2373</v>
      </c>
      <c r="D2215" s="45">
        <f>MROUND(MID($C2215,6,3)/Basis!$E$3,0.5)</f>
        <v>12</v>
      </c>
      <c r="E2215" s="45">
        <f>MROUND(MID($C2215,9,3)/Basis!$E$3,0.5)</f>
        <v>86.5</v>
      </c>
      <c r="F2215" s="124" t="s">
        <v>2943</v>
      </c>
      <c r="G2215" s="45">
        <f>ROUND((ROUNDDOWN($F2215/5,0)*5+1.8)/Basis!$E$3,1)</f>
        <v>4.5999999999999996</v>
      </c>
      <c r="H2215" s="120">
        <f>ROUND($P2215*Basis!$E$2*((TaH-TrH)/LN(1/µ)/Basis!$E$7)^$N2215*$AA$4*Glycol,0)</f>
        <v>3902</v>
      </c>
      <c r="I2215" s="83">
        <f>ROUND(H2215/(MID($C2215,9,3)/Basis!$E$3/Basis!$E$9)*Basis!$E$11,0)</f>
        <v>541</v>
      </c>
      <c r="J2215" s="123">
        <f>IF(Basis!$E$1=1,ROUND(H2215/((TaH-TrH)*1.163)/3600,3),ROUND(H2215/(500*(TaH-TrH)),2))</f>
        <v>0.39</v>
      </c>
      <c r="K2215" s="84"/>
      <c r="L2215" s="177">
        <f>CHOOSE(Basis!$E$1,((AJ2215*(J2215*3600/Basis!$E$5)^AK2215*(((MID(C2215,9,3)*10)-144)/1000)*AL2215+AM2215*(J2215*3600/Basis!$E$5)^2)*0.0098)/Basis!$E$10,((AJ2215*(J2215/Basis!$E$5)^AK2215*(((MID(C2215,9,3)*10)-144)/1000)*AL2215+AM2215*(J2215/Basis!$E$5)^2)*0.0098)/Basis!$E$10)</f>
        <v>2.2161668428323237E-2</v>
      </c>
      <c r="M2215" s="85"/>
      <c r="N2215" s="109">
        <v>1.403</v>
      </c>
      <c r="O2215" s="68"/>
      <c r="P2215" s="67">
        <v>1817</v>
      </c>
      <c r="Q2215" s="68"/>
      <c r="R2215" s="69"/>
      <c r="S2215" s="69"/>
      <c r="T2215" s="69"/>
      <c r="U2215" s="69"/>
      <c r="V2215" s="69"/>
      <c r="W2215" s="68"/>
      <c r="X2215" s="70"/>
      <c r="Y2215" s="70"/>
      <c r="Z2215" s="70"/>
      <c r="AA2215" s="70"/>
      <c r="AB2215" s="70"/>
      <c r="AC2215" s="68"/>
      <c r="AD2215" s="71"/>
      <c r="AE2215" s="71"/>
      <c r="AF2215" s="71"/>
      <c r="AG2215" s="71"/>
      <c r="AH2215" s="71"/>
      <c r="AI2215" s="68"/>
      <c r="AJ2215" s="214">
        <v>3.9689999999999994E-4</v>
      </c>
      <c r="AK2215" s="214">
        <v>1.7345999999999999</v>
      </c>
      <c r="AL2215" s="214">
        <v>2</v>
      </c>
      <c r="AM2215" s="214">
        <v>3.6734700000000002E-4</v>
      </c>
      <c r="AN2215" s="68"/>
      <c r="AO2215" s="67"/>
      <c r="AP2215" s="67"/>
      <c r="AQ2215" s="67"/>
      <c r="AR2215" s="67"/>
      <c r="AS2215" s="67"/>
      <c r="AT2215" s="68"/>
      <c r="AU2215" s="49"/>
      <c r="AV2215" s="50"/>
    </row>
    <row r="2216" spans="1:48" ht="12.75" customHeight="1" x14ac:dyDescent="0.25">
      <c r="A2216" s="72" t="s">
        <v>20</v>
      </c>
      <c r="B2216" s="43" t="s">
        <v>2240</v>
      </c>
      <c r="C2216" s="44" t="s">
        <v>2374</v>
      </c>
      <c r="D2216" s="45">
        <f>MROUND(MID($C2216,6,3)/Basis!$E$3,0.5)</f>
        <v>12</v>
      </c>
      <c r="E2216" s="45">
        <f>MROUND(MID($C2216,9,3)/Basis!$E$3,0.5)</f>
        <v>86.5</v>
      </c>
      <c r="F2216" s="124" t="s">
        <v>2946</v>
      </c>
      <c r="G2216" s="45">
        <f>ROUND((ROUNDDOWN($F2216/5,0)*5+1.8)/Basis!$E$3,1)</f>
        <v>4.5999999999999996</v>
      </c>
      <c r="H2216" s="120">
        <f>ROUND($P2216*Basis!$E$2*((TaH-TrH)/LN(1/µ)/Basis!$E$7)^$N2216*$AA$4*Glycol,0)</f>
        <v>5231</v>
      </c>
      <c r="I2216" s="83">
        <f>ROUND(H2216/(MID($C2216,9,3)/Basis!$E$3/Basis!$E$9)*Basis!$E$11,0)</f>
        <v>725</v>
      </c>
      <c r="J2216" s="123">
        <f>IF(Basis!$E$1=1,ROUND(H2216/((TaH-TrH)*1.163)/3600,3),ROUND(H2216/(500*(TaH-TrH)),2))</f>
        <v>0.52</v>
      </c>
      <c r="K2216" s="84"/>
      <c r="L2216" s="177">
        <f>CHOOSE(Basis!$E$1,((AJ2216*(J2216*3600/Basis!$E$5)^AK2216*(((MID(C2216,9,3)*10)-144)/1000)*AL2216+AM2216*(J2216*3600/Basis!$E$5)^2)*0.0098)/Basis!$E$10,((AJ2216*(J2216/Basis!$E$5)^AK2216*(((MID(C2216,9,3)*10)-144)/1000)*AL2216+AM2216*(J2216/Basis!$E$5)^2)*0.0098)/Basis!$E$10)</f>
        <v>6.8152053420155456E-2</v>
      </c>
      <c r="M2216" s="85"/>
      <c r="N2216" s="110">
        <v>1.44</v>
      </c>
      <c r="O2216" s="74"/>
      <c r="P2216" s="73">
        <v>2466</v>
      </c>
      <c r="Q2216" s="74"/>
      <c r="R2216" s="75"/>
      <c r="S2216" s="75"/>
      <c r="T2216" s="75"/>
      <c r="U2216" s="75"/>
      <c r="V2216" s="75"/>
      <c r="W2216" s="74"/>
      <c r="X2216" s="76"/>
      <c r="Y2216" s="76"/>
      <c r="Z2216" s="76"/>
      <c r="AA2216" s="76"/>
      <c r="AB2216" s="76"/>
      <c r="AC2216" s="74"/>
      <c r="AD2216" s="77"/>
      <c r="AE2216" s="77"/>
      <c r="AF2216" s="77"/>
      <c r="AG2216" s="77"/>
      <c r="AH2216" s="77"/>
      <c r="AI2216" s="68"/>
      <c r="AJ2216" s="213">
        <v>3.9689999999999994E-4</v>
      </c>
      <c r="AK2216" s="213">
        <v>1.7345999999999999</v>
      </c>
      <c r="AL2216" s="213">
        <v>4</v>
      </c>
      <c r="AM2216" s="213">
        <v>5.7428799999999995E-4</v>
      </c>
      <c r="AN2216" s="74"/>
      <c r="AO2216" s="73"/>
      <c r="AP2216" s="73"/>
      <c r="AQ2216" s="73"/>
      <c r="AR2216" s="73"/>
      <c r="AS2216" s="73"/>
      <c r="AT2216" s="74"/>
      <c r="AU2216" s="47"/>
      <c r="AV2216" s="48"/>
    </row>
    <row r="2217" spans="1:48" ht="12.75" customHeight="1" x14ac:dyDescent="0.25">
      <c r="A2217" s="72" t="s">
        <v>20</v>
      </c>
      <c r="B2217" s="43" t="s">
        <v>2240</v>
      </c>
      <c r="C2217" s="44" t="s">
        <v>2375</v>
      </c>
      <c r="D2217" s="45">
        <f>MROUND(MID($C2217,6,3)/Basis!$E$3,0.5)</f>
        <v>12</v>
      </c>
      <c r="E2217" s="45">
        <f>MROUND(MID($C2217,9,3)/Basis!$E$3,0.5)</f>
        <v>86.5</v>
      </c>
      <c r="F2217" s="124" t="s">
        <v>2944</v>
      </c>
      <c r="G2217" s="45">
        <f>ROUND((ROUNDDOWN($F2217/5,0)*5+1.8)/Basis!$E$3,1)</f>
        <v>6.6</v>
      </c>
      <c r="H2217" s="120">
        <f>ROUND($P2217*Basis!$E$2*((TaH-TrH)/LN(1/µ)/Basis!$E$7)^$N2217*$AA$4*Glycol,0)</f>
        <v>6436</v>
      </c>
      <c r="I2217" s="83">
        <f>ROUND(H2217/(MID($C2217,9,3)/Basis!$E$3/Basis!$E$9)*Basis!$E$11,0)</f>
        <v>892</v>
      </c>
      <c r="J2217" s="123">
        <f>IF(Basis!$E$1=1,ROUND(H2217/((TaH-TrH)*1.163)/3600,3),ROUND(H2217/(500*(TaH-TrH)),2))</f>
        <v>0.64</v>
      </c>
      <c r="K2217" s="84"/>
      <c r="L2217" s="177">
        <f>CHOOSE(Basis!$E$1,((AJ2217*(J2217*3600/Basis!$E$5)^AK2217*(((MID(C2217,9,3)*10)-144)/1000)*AL2217+AM2217*(J2217*3600/Basis!$E$5)^2)*0.0098)/Basis!$E$10,((AJ2217*(J2217/Basis!$E$5)^AK2217*(((MID(C2217,9,3)*10)-144)/1000)*AL2217+AM2217*(J2217/Basis!$E$5)^2)*0.0098)/Basis!$E$10)</f>
        <v>4.6879510069230509E-2</v>
      </c>
      <c r="M2217" s="85"/>
      <c r="N2217" s="110">
        <v>1.3959999999999999</v>
      </c>
      <c r="O2217" s="74"/>
      <c r="P2217" s="73">
        <v>2990</v>
      </c>
      <c r="Q2217" s="74"/>
      <c r="R2217" s="75"/>
      <c r="S2217" s="75"/>
      <c r="T2217" s="75"/>
      <c r="U2217" s="75"/>
      <c r="V2217" s="75"/>
      <c r="W2217" s="74"/>
      <c r="X2217" s="76"/>
      <c r="Y2217" s="76"/>
      <c r="Z2217" s="76"/>
      <c r="AA2217" s="76"/>
      <c r="AB2217" s="76"/>
      <c r="AC2217" s="74"/>
      <c r="AD2217" s="77"/>
      <c r="AE2217" s="77"/>
      <c r="AF2217" s="77"/>
      <c r="AG2217" s="77"/>
      <c r="AH2217" s="77"/>
      <c r="AI2217" s="68"/>
      <c r="AJ2217" s="213">
        <v>2.0829999999999999E-4</v>
      </c>
      <c r="AK2217" s="213">
        <v>1.724</v>
      </c>
      <c r="AL2217" s="213">
        <v>2</v>
      </c>
      <c r="AM2217" s="213">
        <v>4.6182900000000003E-4</v>
      </c>
      <c r="AN2217" s="74"/>
      <c r="AO2217" s="73"/>
      <c r="AP2217" s="73"/>
      <c r="AQ2217" s="73"/>
      <c r="AR2217" s="73"/>
      <c r="AS2217" s="73"/>
      <c r="AT2217" s="74"/>
      <c r="AU2217" s="47"/>
      <c r="AV2217" s="48"/>
    </row>
    <row r="2218" spans="1:48" ht="12.75" customHeight="1" x14ac:dyDescent="0.25">
      <c r="A2218" s="72" t="s">
        <v>20</v>
      </c>
      <c r="B2218" s="43" t="s">
        <v>2240</v>
      </c>
      <c r="C2218" s="44" t="s">
        <v>2376</v>
      </c>
      <c r="D2218" s="45">
        <f>MROUND(MID($C2218,6,3)/Basis!$E$3,0.5)</f>
        <v>12</v>
      </c>
      <c r="E2218" s="45">
        <f>MROUND(MID($C2218,9,3)/Basis!$E$3,0.5)</f>
        <v>86.5</v>
      </c>
      <c r="F2218" s="124" t="s">
        <v>2947</v>
      </c>
      <c r="G2218" s="45">
        <f>ROUND((ROUNDDOWN($F2218/5,0)*5+1.8)/Basis!$E$3,1)</f>
        <v>6.6</v>
      </c>
      <c r="H2218" s="120">
        <f>ROUND($P2218*Basis!$E$2*((TaH-TrH)/LN(1/µ)/Basis!$E$7)^$N2218*$AA$4*Glycol,0)</f>
        <v>6871</v>
      </c>
      <c r="I2218" s="83">
        <f>ROUND(H2218/(MID($C2218,9,3)/Basis!$E$3/Basis!$E$9)*Basis!$E$11,0)</f>
        <v>952</v>
      </c>
      <c r="J2218" s="123">
        <f>IF(Basis!$E$1=1,ROUND(H2218/((TaH-TrH)*1.163)/3600,3),ROUND(H2218/(500*(TaH-TrH)),2))</f>
        <v>0.69</v>
      </c>
      <c r="K2218" s="84"/>
      <c r="L2218" s="177">
        <f>CHOOSE(Basis!$E$1,((AJ2218*(J2218*3600/Basis!$E$5)^AK2218*(((MID(C2218,9,3)*10)-144)/1000)*AL2218+AM2218*(J2218*3600/Basis!$E$5)^2)*0.0098)/Basis!$E$10,((AJ2218*(J2218/Basis!$E$5)^AK2218*(((MID(C2218,9,3)*10)-144)/1000)*AL2218+AM2218*(J2218/Basis!$E$5)^2)*0.0098)/Basis!$E$10)</f>
        <v>0.14593947538386273</v>
      </c>
      <c r="M2218" s="85"/>
      <c r="N2218" s="109">
        <v>1.456</v>
      </c>
      <c r="O2218" s="68"/>
      <c r="P2218" s="67">
        <v>3256</v>
      </c>
      <c r="Q2218" s="68"/>
      <c r="R2218" s="69"/>
      <c r="S2218" s="69"/>
      <c r="T2218" s="69"/>
      <c r="U2218" s="69"/>
      <c r="V2218" s="69"/>
      <c r="W2218" s="68"/>
      <c r="X2218" s="70"/>
      <c r="Y2218" s="70"/>
      <c r="Z2218" s="70"/>
      <c r="AA2218" s="70"/>
      <c r="AB2218" s="70"/>
      <c r="AC2218" s="68"/>
      <c r="AD2218" s="71"/>
      <c r="AE2218" s="71"/>
      <c r="AF2218" s="71"/>
      <c r="AG2218" s="71"/>
      <c r="AH2218" s="71"/>
      <c r="AI2218" s="68"/>
      <c r="AJ2218" s="214">
        <v>2.0829999999999999E-4</v>
      </c>
      <c r="AK2218" s="214">
        <v>1.724</v>
      </c>
      <c r="AL2218" s="214">
        <v>4</v>
      </c>
      <c r="AM2218" s="214">
        <v>1.392796E-3</v>
      </c>
      <c r="AN2218" s="68"/>
      <c r="AO2218" s="67"/>
      <c r="AP2218" s="67"/>
      <c r="AQ2218" s="67"/>
      <c r="AR2218" s="67"/>
      <c r="AS2218" s="67"/>
      <c r="AT2218" s="68"/>
      <c r="AU2218" s="49"/>
      <c r="AV2218" s="50"/>
    </row>
    <row r="2219" spans="1:48" ht="12.75" customHeight="1" x14ac:dyDescent="0.25">
      <c r="A2219" s="72" t="s">
        <v>20</v>
      </c>
      <c r="B2219" s="43" t="s">
        <v>2240</v>
      </c>
      <c r="C2219" s="44" t="s">
        <v>2377</v>
      </c>
      <c r="D2219" s="45">
        <f>MROUND(MID($C2219,6,3)/Basis!$E$3,0.5)</f>
        <v>12</v>
      </c>
      <c r="E2219" s="45">
        <f>MROUND(MID($C2219,9,3)/Basis!$E$3,0.5)</f>
        <v>86.5</v>
      </c>
      <c r="F2219" s="124" t="s">
        <v>2945</v>
      </c>
      <c r="G2219" s="45">
        <f>ROUND((ROUNDDOWN($F2219/5,0)*5+1.8)/Basis!$E$3,1)</f>
        <v>8.6</v>
      </c>
      <c r="H2219" s="120">
        <f>ROUND($P2219*Basis!$E$2*((TaH-TrH)/LN(1/µ)/Basis!$E$7)^$N2219*$AA$4*Glycol,0)</f>
        <v>9025</v>
      </c>
      <c r="I2219" s="83">
        <f>ROUND(H2219/(MID($C2219,9,3)/Basis!$E$3/Basis!$E$9)*Basis!$E$11,0)</f>
        <v>1250</v>
      </c>
      <c r="J2219" s="123">
        <f>IF(Basis!$E$1=1,ROUND(H2219/((TaH-TrH)*1.163)/3600,3),ROUND(H2219/(500*(TaH-TrH)),2))</f>
        <v>0.9</v>
      </c>
      <c r="K2219" s="84"/>
      <c r="L2219" s="177">
        <f>CHOOSE(Basis!$E$1,((AJ2219*(J2219*3600/Basis!$E$5)^AK2219*(((MID(C2219,9,3)*10)-144)/1000)*AL2219+AM2219*(J2219*3600/Basis!$E$5)^2)*0.0098)/Basis!$E$10,((AJ2219*(J2219/Basis!$E$5)^AK2219*(((MID(C2219,9,3)*10)-144)/1000)*AL2219+AM2219*(J2219/Basis!$E$5)^2)*0.0098)/Basis!$E$10)</f>
        <v>6.7779573601437368E-2</v>
      </c>
      <c r="M2219" s="85"/>
      <c r="N2219" s="109">
        <v>1.3959999999999999</v>
      </c>
      <c r="O2219" s="68"/>
      <c r="P2219" s="67">
        <v>4193</v>
      </c>
      <c r="Q2219" s="68"/>
      <c r="R2219" s="69"/>
      <c r="S2219" s="69"/>
      <c r="T2219" s="69"/>
      <c r="U2219" s="69"/>
      <c r="V2219" s="69"/>
      <c r="W2219" s="68"/>
      <c r="X2219" s="70"/>
      <c r="Y2219" s="70"/>
      <c r="Z2219" s="70"/>
      <c r="AA2219" s="70"/>
      <c r="AB2219" s="70"/>
      <c r="AC2219" s="68"/>
      <c r="AD2219" s="71"/>
      <c r="AE2219" s="71"/>
      <c r="AF2219" s="71"/>
      <c r="AG2219" s="71"/>
      <c r="AH2219" s="71"/>
      <c r="AI2219" s="68"/>
      <c r="AJ2219" s="214">
        <v>1.2760000000000001E-4</v>
      </c>
      <c r="AK2219" s="214">
        <v>1.7219</v>
      </c>
      <c r="AL2219" s="214">
        <v>2</v>
      </c>
      <c r="AM2219" s="214">
        <v>3.76611E-4</v>
      </c>
      <c r="AN2219" s="68"/>
      <c r="AO2219" s="67"/>
      <c r="AP2219" s="67"/>
      <c r="AQ2219" s="67"/>
      <c r="AR2219" s="67"/>
      <c r="AS2219" s="67"/>
      <c r="AT2219" s="68"/>
      <c r="AU2219" s="49"/>
      <c r="AV2219" s="50"/>
    </row>
    <row r="2220" spans="1:48" ht="12.75" customHeight="1" x14ac:dyDescent="0.25">
      <c r="A2220" s="72" t="s">
        <v>20</v>
      </c>
      <c r="B2220" s="43" t="s">
        <v>2240</v>
      </c>
      <c r="C2220" s="44" t="s">
        <v>2378</v>
      </c>
      <c r="D2220" s="45">
        <f>MROUND(MID($C2220,6,3)/Basis!$E$3,0.5)</f>
        <v>12</v>
      </c>
      <c r="E2220" s="45">
        <f>MROUND(MID($C2220,9,3)/Basis!$E$3,0.5)</f>
        <v>86.5</v>
      </c>
      <c r="F2220" s="124" t="s">
        <v>2948</v>
      </c>
      <c r="G2220" s="45">
        <f>ROUND((ROUNDDOWN($F2220/5,0)*5+1.8)/Basis!$E$3,1)</f>
        <v>8.6</v>
      </c>
      <c r="H2220" s="120">
        <f>ROUND($P2220*Basis!$E$2*((TaH-TrH)/LN(1/µ)/Basis!$E$7)^$N2220*$AA$4*Glycol,0)</f>
        <v>9009</v>
      </c>
      <c r="I2220" s="83">
        <f>ROUND(H2220/(MID($C2220,9,3)/Basis!$E$3/Basis!$E$9)*Basis!$E$11,0)</f>
        <v>1248</v>
      </c>
      <c r="J2220" s="123">
        <f>IF(Basis!$E$1=1,ROUND(H2220/((TaH-TrH)*1.163)/3600,3),ROUND(H2220/(500*(TaH-TrH)),2))</f>
        <v>0.9</v>
      </c>
      <c r="K2220" s="84"/>
      <c r="L2220" s="177">
        <f>CHOOSE(Basis!$E$1,((AJ2220*(J2220*3600/Basis!$E$5)^AK2220*(((MID(C2220,9,3)*10)-144)/1000)*AL2220+AM2220*(J2220*3600/Basis!$E$5)^2)*0.0098)/Basis!$E$10,((AJ2220*(J2220/Basis!$E$5)^AK2220*(((MID(C2220,9,3)*10)-144)/1000)*AL2220+AM2220*(J2220/Basis!$E$5)^2)*0.0098)/Basis!$E$10)</f>
        <v>0.1029034443543279</v>
      </c>
      <c r="M2220" s="85"/>
      <c r="N2220" s="110">
        <v>1.468</v>
      </c>
      <c r="O2220" s="74"/>
      <c r="P2220" s="73">
        <v>4286</v>
      </c>
      <c r="Q2220" s="74"/>
      <c r="R2220" s="75"/>
      <c r="S2220" s="75"/>
      <c r="T2220" s="75"/>
      <c r="U2220" s="75"/>
      <c r="V2220" s="75"/>
      <c r="W2220" s="74"/>
      <c r="X2220" s="76"/>
      <c r="Y2220" s="76"/>
      <c r="Z2220" s="76"/>
      <c r="AA2220" s="76"/>
      <c r="AB2220" s="76"/>
      <c r="AC2220" s="74"/>
      <c r="AD2220" s="77"/>
      <c r="AE2220" s="77"/>
      <c r="AF2220" s="77"/>
      <c r="AG2220" s="77"/>
      <c r="AH2220" s="77"/>
      <c r="AI2220" s="68"/>
      <c r="AJ2220" s="213">
        <v>1.2760000000000001E-4</v>
      </c>
      <c r="AK2220" s="213">
        <v>1.7219</v>
      </c>
      <c r="AL2220" s="213">
        <v>4</v>
      </c>
      <c r="AM2220" s="213">
        <v>5.1420100000000005E-4</v>
      </c>
      <c r="AN2220" s="74"/>
      <c r="AO2220" s="73"/>
      <c r="AP2220" s="73"/>
      <c r="AQ2220" s="73"/>
      <c r="AR2220" s="73"/>
      <c r="AS2220" s="73"/>
      <c r="AT2220" s="74"/>
      <c r="AU2220" s="47"/>
      <c r="AV2220" s="48"/>
    </row>
    <row r="2221" spans="1:48" ht="12.75" customHeight="1" x14ac:dyDescent="0.25">
      <c r="A2221" s="72" t="s">
        <v>20</v>
      </c>
      <c r="B2221" s="43" t="s">
        <v>2240</v>
      </c>
      <c r="C2221" s="44" t="s">
        <v>2379</v>
      </c>
      <c r="D2221" s="45">
        <f>MROUND(MID($C2221,6,3)/Basis!$E$3,0.5)</f>
        <v>12</v>
      </c>
      <c r="E2221" s="45">
        <f>MROUND(MID($C2221,9,3)/Basis!$E$3,0.5)</f>
        <v>94.5</v>
      </c>
      <c r="F2221" s="124" t="s">
        <v>2943</v>
      </c>
      <c r="G2221" s="45">
        <f>ROUND((ROUNDDOWN($F2221/5,0)*5+1.8)/Basis!$E$3,1)</f>
        <v>4.5999999999999996</v>
      </c>
      <c r="H2221" s="120">
        <f>ROUND($P2221*Basis!$E$2*((TaH-TrH)/LN(1/µ)/Basis!$E$7)^$N2221*$AA$4*Glycol,0)</f>
        <v>4256</v>
      </c>
      <c r="I2221" s="83">
        <f>ROUND(H2221/(MID($C2221,9,3)/Basis!$E$3/Basis!$E$9)*Basis!$E$11,0)</f>
        <v>541</v>
      </c>
      <c r="J2221" s="123">
        <f>IF(Basis!$E$1=1,ROUND(H2221/((TaH-TrH)*1.163)/3600,3),ROUND(H2221/(500*(TaH-TrH)),2))</f>
        <v>0.43</v>
      </c>
      <c r="K2221" s="84"/>
      <c r="L2221" s="177">
        <f>CHOOSE(Basis!$E$1,((AJ2221*(J2221*3600/Basis!$E$5)^AK2221*(((MID(C2221,9,3)*10)-144)/1000)*AL2221+AM2221*(J2221*3600/Basis!$E$5)^2)*0.0098)/Basis!$E$10,((AJ2221*(J2221/Basis!$E$5)^AK2221*(((MID(C2221,9,3)*10)-144)/1000)*AL2221+AM2221*(J2221/Basis!$E$5)^2)*0.0098)/Basis!$E$10)</f>
        <v>2.8012408638653365E-2</v>
      </c>
      <c r="M2221" s="85"/>
      <c r="N2221" s="110">
        <v>1.403</v>
      </c>
      <c r="O2221" s="74"/>
      <c r="P2221" s="73">
        <v>1982</v>
      </c>
      <c r="Q2221" s="74"/>
      <c r="R2221" s="75"/>
      <c r="S2221" s="75"/>
      <c r="T2221" s="75"/>
      <c r="U2221" s="75"/>
      <c r="V2221" s="75"/>
      <c r="W2221" s="74"/>
      <c r="X2221" s="76"/>
      <c r="Y2221" s="76"/>
      <c r="Z2221" s="76"/>
      <c r="AA2221" s="76"/>
      <c r="AB2221" s="76"/>
      <c r="AC2221" s="74"/>
      <c r="AD2221" s="77"/>
      <c r="AE2221" s="77"/>
      <c r="AF2221" s="77"/>
      <c r="AG2221" s="77"/>
      <c r="AH2221" s="77"/>
      <c r="AI2221" s="68"/>
      <c r="AJ2221" s="213">
        <v>3.9689999999999994E-4</v>
      </c>
      <c r="AK2221" s="213">
        <v>1.7345999999999999</v>
      </c>
      <c r="AL2221" s="213">
        <v>2</v>
      </c>
      <c r="AM2221" s="213">
        <v>3.6734700000000002E-4</v>
      </c>
      <c r="AN2221" s="74"/>
      <c r="AO2221" s="73"/>
      <c r="AP2221" s="73"/>
      <c r="AQ2221" s="73"/>
      <c r="AR2221" s="73"/>
      <c r="AS2221" s="73"/>
      <c r="AT2221" s="74"/>
      <c r="AU2221" s="47"/>
      <c r="AV2221" s="48"/>
    </row>
    <row r="2222" spans="1:48" ht="12.75" customHeight="1" x14ac:dyDescent="0.25">
      <c r="A2222" s="72" t="s">
        <v>20</v>
      </c>
      <c r="B2222" s="43" t="s">
        <v>2240</v>
      </c>
      <c r="C2222" s="44" t="s">
        <v>2380</v>
      </c>
      <c r="D2222" s="45">
        <f>MROUND(MID($C2222,6,3)/Basis!$E$3,0.5)</f>
        <v>12</v>
      </c>
      <c r="E2222" s="45">
        <f>MROUND(MID($C2222,9,3)/Basis!$E$3,0.5)</f>
        <v>94.5</v>
      </c>
      <c r="F2222" s="124" t="s">
        <v>2946</v>
      </c>
      <c r="G2222" s="45">
        <f>ROUND((ROUNDDOWN($F2222/5,0)*5+1.8)/Basis!$E$3,1)</f>
        <v>4.5999999999999996</v>
      </c>
      <c r="H2222" s="120">
        <f>ROUND($P2222*Basis!$E$2*((TaH-TrH)/LN(1/µ)/Basis!$E$7)^$N2222*$AA$4*Glycol,0)</f>
        <v>5707</v>
      </c>
      <c r="I2222" s="83">
        <f>ROUND(H2222/(MID($C2222,9,3)/Basis!$E$3/Basis!$E$9)*Basis!$E$11,0)</f>
        <v>725</v>
      </c>
      <c r="J2222" s="123">
        <f>IF(Basis!$E$1=1,ROUND(H2222/((TaH-TrH)*1.163)/3600,3),ROUND(H2222/(500*(TaH-TrH)),2))</f>
        <v>0.56999999999999995</v>
      </c>
      <c r="K2222" s="84"/>
      <c r="L2222" s="177">
        <f>CHOOSE(Basis!$E$1,((AJ2222*(J2222*3600/Basis!$E$5)^AK2222*(((MID(C2222,9,3)*10)-144)/1000)*AL2222+AM2222*(J2222*3600/Basis!$E$5)^2)*0.0098)/Basis!$E$10,((AJ2222*(J2222/Basis!$E$5)^AK2222*(((MID(C2222,9,3)*10)-144)/1000)*AL2222+AM2222*(J2222/Basis!$E$5)^2)*0.0098)/Basis!$E$10)</f>
        <v>8.5461030412244385E-2</v>
      </c>
      <c r="M2222" s="85"/>
      <c r="N2222" s="109">
        <v>1.44</v>
      </c>
      <c r="O2222" s="68"/>
      <c r="P2222" s="67">
        <v>2690</v>
      </c>
      <c r="Q2222" s="68"/>
      <c r="R2222" s="69"/>
      <c r="S2222" s="69"/>
      <c r="T2222" s="69"/>
      <c r="U2222" s="69"/>
      <c r="V2222" s="69"/>
      <c r="W2222" s="68"/>
      <c r="X2222" s="70"/>
      <c r="Y2222" s="70"/>
      <c r="Z2222" s="70"/>
      <c r="AA2222" s="70"/>
      <c r="AB2222" s="70"/>
      <c r="AC2222" s="68"/>
      <c r="AD2222" s="71"/>
      <c r="AE2222" s="71"/>
      <c r="AF2222" s="71"/>
      <c r="AG2222" s="71"/>
      <c r="AH2222" s="71"/>
      <c r="AI2222" s="68"/>
      <c r="AJ2222" s="214">
        <v>3.9689999999999994E-4</v>
      </c>
      <c r="AK2222" s="214">
        <v>1.7345999999999999</v>
      </c>
      <c r="AL2222" s="214">
        <v>4</v>
      </c>
      <c r="AM2222" s="214">
        <v>5.7428799999999995E-4</v>
      </c>
      <c r="AN2222" s="68"/>
      <c r="AO2222" s="67"/>
      <c r="AP2222" s="67"/>
      <c r="AQ2222" s="67"/>
      <c r="AR2222" s="67"/>
      <c r="AS2222" s="67"/>
      <c r="AT2222" s="68"/>
      <c r="AU2222" s="49"/>
      <c r="AV2222" s="50"/>
    </row>
    <row r="2223" spans="1:48" ht="12.75" customHeight="1" x14ac:dyDescent="0.25">
      <c r="A2223" s="72" t="s">
        <v>20</v>
      </c>
      <c r="B2223" s="43" t="s">
        <v>2240</v>
      </c>
      <c r="C2223" s="44" t="s">
        <v>2381</v>
      </c>
      <c r="D2223" s="45">
        <f>MROUND(MID($C2223,6,3)/Basis!$E$3,0.5)</f>
        <v>12</v>
      </c>
      <c r="E2223" s="45">
        <f>MROUND(MID($C2223,9,3)/Basis!$E$3,0.5)</f>
        <v>94.5</v>
      </c>
      <c r="F2223" s="124" t="s">
        <v>2944</v>
      </c>
      <c r="G2223" s="45">
        <f>ROUND((ROUNDDOWN($F2223/5,0)*5+1.8)/Basis!$E$3,1)</f>
        <v>6.6</v>
      </c>
      <c r="H2223" s="120">
        <f>ROUND($P2223*Basis!$E$2*((TaH-TrH)/LN(1/µ)/Basis!$E$7)^$N2223*$AA$4*Glycol,0)</f>
        <v>7021</v>
      </c>
      <c r="I2223" s="83">
        <f>ROUND(H2223/(MID($C2223,9,3)/Basis!$E$3/Basis!$E$9)*Basis!$E$11,0)</f>
        <v>892</v>
      </c>
      <c r="J2223" s="123">
        <f>IF(Basis!$E$1=1,ROUND(H2223/((TaH-TrH)*1.163)/3600,3),ROUND(H2223/(500*(TaH-TrH)),2))</f>
        <v>0.7</v>
      </c>
      <c r="K2223" s="84"/>
      <c r="L2223" s="177">
        <f>CHOOSE(Basis!$E$1,((AJ2223*(J2223*3600/Basis!$E$5)^AK2223*(((MID(C2223,9,3)*10)-144)/1000)*AL2223+AM2223*(J2223*3600/Basis!$E$5)^2)*0.0098)/Basis!$E$10,((AJ2223*(J2223/Basis!$E$5)^AK2223*(((MID(C2223,9,3)*10)-144)/1000)*AL2223+AM2223*(J2223/Basis!$E$5)^2)*0.0098)/Basis!$E$10)</f>
        <v>5.734371189294736E-2</v>
      </c>
      <c r="M2223" s="85"/>
      <c r="N2223" s="109">
        <v>1.3959999999999999</v>
      </c>
      <c r="O2223" s="68"/>
      <c r="P2223" s="67">
        <v>3262</v>
      </c>
      <c r="Q2223" s="68"/>
      <c r="R2223" s="69"/>
      <c r="S2223" s="69"/>
      <c r="T2223" s="69"/>
      <c r="U2223" s="69"/>
      <c r="V2223" s="69"/>
      <c r="W2223" s="68"/>
      <c r="X2223" s="70"/>
      <c r="Y2223" s="70"/>
      <c r="Z2223" s="70"/>
      <c r="AA2223" s="70"/>
      <c r="AB2223" s="70"/>
      <c r="AC2223" s="68"/>
      <c r="AD2223" s="71"/>
      <c r="AE2223" s="71"/>
      <c r="AF2223" s="71"/>
      <c r="AG2223" s="71"/>
      <c r="AH2223" s="71"/>
      <c r="AI2223" s="68"/>
      <c r="AJ2223" s="214">
        <v>2.0829999999999999E-4</v>
      </c>
      <c r="AK2223" s="214">
        <v>1.724</v>
      </c>
      <c r="AL2223" s="214">
        <v>2</v>
      </c>
      <c r="AM2223" s="214">
        <v>4.6182900000000003E-4</v>
      </c>
      <c r="AN2223" s="68"/>
      <c r="AO2223" s="67"/>
      <c r="AP2223" s="67"/>
      <c r="AQ2223" s="67"/>
      <c r="AR2223" s="67"/>
      <c r="AS2223" s="67"/>
      <c r="AT2223" s="68"/>
      <c r="AU2223" s="49"/>
      <c r="AV2223" s="50"/>
    </row>
    <row r="2224" spans="1:48" ht="12.75" customHeight="1" x14ac:dyDescent="0.25">
      <c r="A2224" s="72" t="s">
        <v>20</v>
      </c>
      <c r="B2224" s="43" t="s">
        <v>2240</v>
      </c>
      <c r="C2224" s="44" t="s">
        <v>2382</v>
      </c>
      <c r="D2224" s="45">
        <f>MROUND(MID($C2224,6,3)/Basis!$E$3,0.5)</f>
        <v>12</v>
      </c>
      <c r="E2224" s="45">
        <f>MROUND(MID($C2224,9,3)/Basis!$E$3,0.5)</f>
        <v>94.5</v>
      </c>
      <c r="F2224" s="124" t="s">
        <v>2947</v>
      </c>
      <c r="G2224" s="45">
        <f>ROUND((ROUNDDOWN($F2224/5,0)*5+1.8)/Basis!$E$3,1)</f>
        <v>6.6</v>
      </c>
      <c r="H2224" s="120">
        <f>ROUND($P2224*Basis!$E$2*((TaH-TrH)/LN(1/µ)/Basis!$E$7)^$N2224*$AA$4*Glycol,0)</f>
        <v>7496</v>
      </c>
      <c r="I2224" s="83">
        <f>ROUND(H2224/(MID($C2224,9,3)/Basis!$E$3/Basis!$E$9)*Basis!$E$11,0)</f>
        <v>952</v>
      </c>
      <c r="J2224" s="123">
        <f>IF(Basis!$E$1=1,ROUND(H2224/((TaH-TrH)*1.163)/3600,3),ROUND(H2224/(500*(TaH-TrH)),2))</f>
        <v>0.75</v>
      </c>
      <c r="K2224" s="84"/>
      <c r="L2224" s="177">
        <f>CHOOSE(Basis!$E$1,((AJ2224*(J2224*3600/Basis!$E$5)^AK2224*(((MID(C2224,9,3)*10)-144)/1000)*AL2224+AM2224*(J2224*3600/Basis!$E$5)^2)*0.0098)/Basis!$E$10,((AJ2224*(J2224/Basis!$E$5)^AK2224*(((MID(C2224,9,3)*10)-144)/1000)*AL2224+AM2224*(J2224/Basis!$E$5)^2)*0.0098)/Basis!$E$10)</f>
        <v>0.17533648999582349</v>
      </c>
      <c r="M2224" s="85"/>
      <c r="N2224" s="110">
        <v>1.456</v>
      </c>
      <c r="O2224" s="74"/>
      <c r="P2224" s="73">
        <v>3552</v>
      </c>
      <c r="Q2224" s="74"/>
      <c r="R2224" s="75"/>
      <c r="S2224" s="75"/>
      <c r="T2224" s="75"/>
      <c r="U2224" s="75"/>
      <c r="V2224" s="75"/>
      <c r="W2224" s="74"/>
      <c r="X2224" s="76"/>
      <c r="Y2224" s="76"/>
      <c r="Z2224" s="76"/>
      <c r="AA2224" s="76"/>
      <c r="AB2224" s="76"/>
      <c r="AC2224" s="74"/>
      <c r="AD2224" s="77"/>
      <c r="AE2224" s="77"/>
      <c r="AF2224" s="77"/>
      <c r="AG2224" s="77"/>
      <c r="AH2224" s="77"/>
      <c r="AI2224" s="68"/>
      <c r="AJ2224" s="213">
        <v>2.0829999999999999E-4</v>
      </c>
      <c r="AK2224" s="213">
        <v>1.724</v>
      </c>
      <c r="AL2224" s="213">
        <v>4</v>
      </c>
      <c r="AM2224" s="213">
        <v>1.392796E-3</v>
      </c>
      <c r="AN2224" s="74"/>
      <c r="AO2224" s="73"/>
      <c r="AP2224" s="73"/>
      <c r="AQ2224" s="73"/>
      <c r="AR2224" s="73"/>
      <c r="AS2224" s="73"/>
      <c r="AT2224" s="74"/>
      <c r="AU2224" s="47"/>
      <c r="AV2224" s="48"/>
    </row>
    <row r="2225" spans="1:48" ht="12.75" customHeight="1" x14ac:dyDescent="0.25">
      <c r="A2225" s="72" t="s">
        <v>20</v>
      </c>
      <c r="B2225" s="43" t="s">
        <v>2240</v>
      </c>
      <c r="C2225" s="44" t="s">
        <v>2383</v>
      </c>
      <c r="D2225" s="45">
        <f>MROUND(MID($C2225,6,3)/Basis!$E$3,0.5)</f>
        <v>12</v>
      </c>
      <c r="E2225" s="45">
        <f>MROUND(MID($C2225,9,3)/Basis!$E$3,0.5)</f>
        <v>94.5</v>
      </c>
      <c r="F2225" s="124" t="s">
        <v>2945</v>
      </c>
      <c r="G2225" s="45">
        <f>ROUND((ROUNDDOWN($F2225/5,0)*5+1.8)/Basis!$E$3,1)</f>
        <v>8.6</v>
      </c>
      <c r="H2225" s="120">
        <f>ROUND($P2225*Basis!$E$2*((TaH-TrH)/LN(1/µ)/Basis!$E$7)^$N2225*$AA$4*Glycol,0)</f>
        <v>9845</v>
      </c>
      <c r="I2225" s="83">
        <f>ROUND(H2225/(MID($C2225,9,3)/Basis!$E$3/Basis!$E$9)*Basis!$E$11,0)</f>
        <v>1250</v>
      </c>
      <c r="J2225" s="123">
        <f>IF(Basis!$E$1=1,ROUND(H2225/((TaH-TrH)*1.163)/3600,3),ROUND(H2225/(500*(TaH-TrH)),2))</f>
        <v>0.98</v>
      </c>
      <c r="K2225" s="84"/>
      <c r="L2225" s="177">
        <f>CHOOSE(Basis!$E$1,((AJ2225*(J2225*3600/Basis!$E$5)^AK2225*(((MID(C2225,9,3)*10)-144)/1000)*AL2225+AM2225*(J2225*3600/Basis!$E$5)^2)*0.0098)/Basis!$E$10,((AJ2225*(J2225/Basis!$E$5)^AK2225*(((MID(C2225,9,3)*10)-144)/1000)*AL2225+AM2225*(J2225/Basis!$E$5)^2)*0.0098)/Basis!$E$10)</f>
        <v>8.1750714693112583E-2</v>
      </c>
      <c r="M2225" s="85"/>
      <c r="N2225" s="110">
        <v>1.3959999999999999</v>
      </c>
      <c r="O2225" s="74"/>
      <c r="P2225" s="73">
        <v>4574</v>
      </c>
      <c r="Q2225" s="74"/>
      <c r="R2225" s="75"/>
      <c r="S2225" s="75"/>
      <c r="T2225" s="75"/>
      <c r="U2225" s="75"/>
      <c r="V2225" s="75"/>
      <c r="W2225" s="74"/>
      <c r="X2225" s="76"/>
      <c r="Y2225" s="76"/>
      <c r="Z2225" s="76"/>
      <c r="AA2225" s="76"/>
      <c r="AB2225" s="76"/>
      <c r="AC2225" s="74"/>
      <c r="AD2225" s="77"/>
      <c r="AE2225" s="77"/>
      <c r="AF2225" s="77"/>
      <c r="AG2225" s="77"/>
      <c r="AH2225" s="77"/>
      <c r="AI2225" s="68"/>
      <c r="AJ2225" s="214">
        <v>1.2760000000000001E-4</v>
      </c>
      <c r="AK2225" s="214">
        <v>1.7219</v>
      </c>
      <c r="AL2225" s="214">
        <v>2</v>
      </c>
      <c r="AM2225" s="214">
        <v>3.76611E-4</v>
      </c>
      <c r="AN2225" s="74"/>
      <c r="AO2225" s="73"/>
      <c r="AP2225" s="73"/>
      <c r="AQ2225" s="73"/>
      <c r="AR2225" s="73"/>
      <c r="AS2225" s="73"/>
      <c r="AT2225" s="74"/>
      <c r="AU2225" s="47"/>
      <c r="AV2225" s="48"/>
    </row>
    <row r="2226" spans="1:48" ht="12.75" customHeight="1" x14ac:dyDescent="0.25">
      <c r="A2226" s="72" t="s">
        <v>20</v>
      </c>
      <c r="B2226" s="43" t="s">
        <v>2240</v>
      </c>
      <c r="C2226" s="44" t="s">
        <v>2384</v>
      </c>
      <c r="D2226" s="45">
        <f>MROUND(MID($C2226,6,3)/Basis!$E$3,0.5)</f>
        <v>12</v>
      </c>
      <c r="E2226" s="45">
        <f>MROUND(MID($C2226,9,3)/Basis!$E$3,0.5)</f>
        <v>94.5</v>
      </c>
      <c r="F2226" s="124" t="s">
        <v>2948</v>
      </c>
      <c r="G2226" s="45">
        <f>ROUND((ROUNDDOWN($F2226/5,0)*5+1.8)/Basis!$E$3,1)</f>
        <v>8.6</v>
      </c>
      <c r="H2226" s="120">
        <f>ROUND($P2226*Basis!$E$2*((TaH-TrH)/LN(1/µ)/Basis!$E$7)^$N2226*$AA$4*Glycol,0)</f>
        <v>9826</v>
      </c>
      <c r="I2226" s="83">
        <f>ROUND(H2226/(MID($C2226,9,3)/Basis!$E$3/Basis!$E$9)*Basis!$E$11,0)</f>
        <v>1248</v>
      </c>
      <c r="J2226" s="123">
        <f>IF(Basis!$E$1=1,ROUND(H2226/((TaH-TrH)*1.163)/3600,3),ROUND(H2226/(500*(TaH-TrH)),2))</f>
        <v>0.98</v>
      </c>
      <c r="K2226" s="84"/>
      <c r="L2226" s="177">
        <f>CHOOSE(Basis!$E$1,((AJ2226*(J2226*3600/Basis!$E$5)^AK2226*(((MID(C2226,9,3)*10)-144)/1000)*AL2226+AM2226*(J2226*3600/Basis!$E$5)^2)*0.0098)/Basis!$E$10,((AJ2226*(J2226/Basis!$E$5)^AK2226*(((MID(C2226,9,3)*10)-144)/1000)*AL2226+AM2226*(J2226/Basis!$E$5)^2)*0.0098)/Basis!$E$10)</f>
        <v>0.12478224788530616</v>
      </c>
      <c r="M2226" s="85"/>
      <c r="N2226" s="109">
        <v>1.468</v>
      </c>
      <c r="O2226" s="68"/>
      <c r="P2226" s="67">
        <v>4675</v>
      </c>
      <c r="Q2226" s="68"/>
      <c r="R2226" s="69"/>
      <c r="S2226" s="69"/>
      <c r="T2226" s="69"/>
      <c r="U2226" s="69"/>
      <c r="V2226" s="69"/>
      <c r="W2226" s="68"/>
      <c r="X2226" s="70"/>
      <c r="Y2226" s="70"/>
      <c r="Z2226" s="70"/>
      <c r="AA2226" s="70"/>
      <c r="AB2226" s="70"/>
      <c r="AC2226" s="68"/>
      <c r="AD2226" s="71"/>
      <c r="AE2226" s="71"/>
      <c r="AF2226" s="71"/>
      <c r="AG2226" s="71"/>
      <c r="AH2226" s="71"/>
      <c r="AI2226" s="68"/>
      <c r="AJ2226" s="214">
        <v>1.2760000000000001E-4</v>
      </c>
      <c r="AK2226" s="214">
        <v>1.7219</v>
      </c>
      <c r="AL2226" s="214">
        <v>4</v>
      </c>
      <c r="AM2226" s="214">
        <v>5.1420100000000005E-4</v>
      </c>
      <c r="AN2226" s="68"/>
      <c r="AO2226" s="67"/>
      <c r="AP2226" s="67"/>
      <c r="AQ2226" s="67"/>
      <c r="AR2226" s="67"/>
      <c r="AS2226" s="67"/>
      <c r="AT2226" s="68"/>
      <c r="AU2226" s="49"/>
      <c r="AV2226" s="50"/>
    </row>
    <row r="2227" spans="1:48" ht="12.75" customHeight="1" x14ac:dyDescent="0.25">
      <c r="A2227" s="72" t="s">
        <v>20</v>
      </c>
      <c r="B2227" s="43" t="s">
        <v>2240</v>
      </c>
      <c r="C2227" s="44" t="s">
        <v>2385</v>
      </c>
      <c r="D2227" s="45">
        <f>MROUND(MID($C2227,6,3)/Basis!$E$3,0.5)</f>
        <v>12</v>
      </c>
      <c r="E2227" s="45">
        <f>MROUND(MID($C2227,9,3)/Basis!$E$3,0.5)</f>
        <v>102.5</v>
      </c>
      <c r="F2227" s="124" t="s">
        <v>2943</v>
      </c>
      <c r="G2227" s="45">
        <f>ROUND((ROUNDDOWN($F2227/5,0)*5+1.8)/Basis!$E$3,1)</f>
        <v>4.5999999999999996</v>
      </c>
      <c r="H2227" s="120">
        <f>ROUND($P2227*Basis!$E$2*((TaH-TrH)/LN(1/µ)/Basis!$E$7)^$N2227*$AA$4*Glycol,0)</f>
        <v>4613</v>
      </c>
      <c r="I2227" s="83">
        <f>ROUND(H2227/(MID($C2227,9,3)/Basis!$E$3/Basis!$E$9)*Basis!$E$11,0)</f>
        <v>541</v>
      </c>
      <c r="J2227" s="123">
        <f>IF(Basis!$E$1=1,ROUND(H2227/((TaH-TrH)*1.163)/3600,3),ROUND(H2227/(500*(TaH-TrH)),2))</f>
        <v>0.46</v>
      </c>
      <c r="K2227" s="84"/>
      <c r="L2227" s="177">
        <f>CHOOSE(Basis!$E$1,((AJ2227*(J2227*3600/Basis!$E$5)^AK2227*(((MID(C2227,9,3)*10)-144)/1000)*AL2227+AM2227*(J2227*3600/Basis!$E$5)^2)*0.0098)/Basis!$E$10,((AJ2227*(J2227/Basis!$E$5)^AK2227*(((MID(C2227,9,3)*10)-144)/1000)*AL2227+AM2227*(J2227/Basis!$E$5)^2)*0.0098)/Basis!$E$10)</f>
        <v>3.3371229597495694E-2</v>
      </c>
      <c r="M2227" s="85"/>
      <c r="N2227" s="109">
        <v>1.403</v>
      </c>
      <c r="O2227" s="68"/>
      <c r="P2227" s="67">
        <v>2148</v>
      </c>
      <c r="Q2227" s="68"/>
      <c r="R2227" s="69"/>
      <c r="S2227" s="69"/>
      <c r="T2227" s="69"/>
      <c r="U2227" s="69"/>
      <c r="V2227" s="69"/>
      <c r="W2227" s="68"/>
      <c r="X2227" s="70"/>
      <c r="Y2227" s="70"/>
      <c r="Z2227" s="70"/>
      <c r="AA2227" s="70"/>
      <c r="AB2227" s="70"/>
      <c r="AC2227" s="68"/>
      <c r="AD2227" s="71"/>
      <c r="AE2227" s="71"/>
      <c r="AF2227" s="71"/>
      <c r="AG2227" s="71"/>
      <c r="AH2227" s="71"/>
      <c r="AI2227" s="68"/>
      <c r="AJ2227" s="214">
        <v>3.9689999999999994E-4</v>
      </c>
      <c r="AK2227" s="214">
        <v>1.7345999999999999</v>
      </c>
      <c r="AL2227" s="214">
        <v>2</v>
      </c>
      <c r="AM2227" s="214">
        <v>3.6734700000000002E-4</v>
      </c>
      <c r="AN2227" s="68"/>
      <c r="AO2227" s="67"/>
      <c r="AP2227" s="67"/>
      <c r="AQ2227" s="67"/>
      <c r="AR2227" s="67"/>
      <c r="AS2227" s="67"/>
      <c r="AT2227" s="68"/>
      <c r="AU2227" s="49"/>
      <c r="AV2227" s="50"/>
    </row>
    <row r="2228" spans="1:48" ht="12.75" customHeight="1" x14ac:dyDescent="0.25">
      <c r="A2228" s="72" t="s">
        <v>20</v>
      </c>
      <c r="B2228" s="43" t="s">
        <v>2240</v>
      </c>
      <c r="C2228" s="44" t="s">
        <v>2386</v>
      </c>
      <c r="D2228" s="45">
        <f>MROUND(MID($C2228,6,3)/Basis!$E$3,0.5)</f>
        <v>12</v>
      </c>
      <c r="E2228" s="45">
        <f>MROUND(MID($C2228,9,3)/Basis!$E$3,0.5)</f>
        <v>102.5</v>
      </c>
      <c r="F2228" s="124" t="s">
        <v>2946</v>
      </c>
      <c r="G2228" s="45">
        <f>ROUND((ROUNDDOWN($F2228/5,0)*5+1.8)/Basis!$E$3,1)</f>
        <v>4.5999999999999996</v>
      </c>
      <c r="H2228" s="120">
        <f>ROUND($P2228*Basis!$E$2*((TaH-TrH)/LN(1/µ)/Basis!$E$7)^$N2228*$AA$4*Glycol,0)</f>
        <v>6184</v>
      </c>
      <c r="I2228" s="83">
        <f>ROUND(H2228/(MID($C2228,9,3)/Basis!$E$3/Basis!$E$9)*Basis!$E$11,0)</f>
        <v>725</v>
      </c>
      <c r="J2228" s="123">
        <f>IF(Basis!$E$1=1,ROUND(H2228/((TaH-TrH)*1.163)/3600,3),ROUND(H2228/(500*(TaH-TrH)),2))</f>
        <v>0.62</v>
      </c>
      <c r="K2228" s="84"/>
      <c r="L2228" s="177">
        <f>CHOOSE(Basis!$E$1,((AJ2228*(J2228*3600/Basis!$E$5)^AK2228*(((MID(C2228,9,3)*10)-144)/1000)*AL2228+AM2228*(J2228*3600/Basis!$E$5)^2)*0.0098)/Basis!$E$10,((AJ2228*(J2228/Basis!$E$5)^AK2228*(((MID(C2228,9,3)*10)-144)/1000)*AL2228+AM2228*(J2228/Basis!$E$5)^2)*0.0098)/Basis!$E$10)</f>
        <v>0.1052399902568954</v>
      </c>
      <c r="M2228" s="85"/>
      <c r="N2228" s="110">
        <v>1.44</v>
      </c>
      <c r="O2228" s="74"/>
      <c r="P2228" s="73">
        <v>2915</v>
      </c>
      <c r="Q2228" s="74"/>
      <c r="R2228" s="75"/>
      <c r="S2228" s="75"/>
      <c r="T2228" s="75"/>
      <c r="U2228" s="75"/>
      <c r="V2228" s="75"/>
      <c r="W2228" s="74"/>
      <c r="X2228" s="76"/>
      <c r="Y2228" s="76"/>
      <c r="Z2228" s="76"/>
      <c r="AA2228" s="76"/>
      <c r="AB2228" s="76"/>
      <c r="AC2228" s="74"/>
      <c r="AD2228" s="77"/>
      <c r="AE2228" s="77"/>
      <c r="AF2228" s="77"/>
      <c r="AG2228" s="77"/>
      <c r="AH2228" s="77"/>
      <c r="AI2228" s="68"/>
      <c r="AJ2228" s="213">
        <v>3.9689999999999994E-4</v>
      </c>
      <c r="AK2228" s="213">
        <v>1.7345999999999999</v>
      </c>
      <c r="AL2228" s="213">
        <v>4</v>
      </c>
      <c r="AM2228" s="213">
        <v>5.7428799999999995E-4</v>
      </c>
      <c r="AN2228" s="74"/>
      <c r="AO2228" s="73"/>
      <c r="AP2228" s="73"/>
      <c r="AQ2228" s="73"/>
      <c r="AR2228" s="73"/>
      <c r="AS2228" s="73"/>
      <c r="AT2228" s="74"/>
      <c r="AU2228" s="47"/>
      <c r="AV2228" s="48"/>
    </row>
    <row r="2229" spans="1:48" ht="12.75" customHeight="1" x14ac:dyDescent="0.25">
      <c r="A2229" s="72" t="s">
        <v>20</v>
      </c>
      <c r="B2229" s="43" t="s">
        <v>2240</v>
      </c>
      <c r="C2229" s="44" t="s">
        <v>2387</v>
      </c>
      <c r="D2229" s="45">
        <f>MROUND(MID($C2229,6,3)/Basis!$E$3,0.5)</f>
        <v>12</v>
      </c>
      <c r="E2229" s="45">
        <f>MROUND(MID($C2229,9,3)/Basis!$E$3,0.5)</f>
        <v>102.5</v>
      </c>
      <c r="F2229" s="124" t="s">
        <v>2944</v>
      </c>
      <c r="G2229" s="45">
        <f>ROUND((ROUNDDOWN($F2229/5,0)*5+1.8)/Basis!$E$3,1)</f>
        <v>6.6</v>
      </c>
      <c r="H2229" s="120">
        <f>ROUND($P2229*Basis!$E$2*((TaH-TrH)/LN(1/µ)/Basis!$E$7)^$N2229*$AA$4*Glycol,0)</f>
        <v>7605</v>
      </c>
      <c r="I2229" s="83">
        <f>ROUND(H2229/(MID($C2229,9,3)/Basis!$E$3/Basis!$E$9)*Basis!$E$11,0)</f>
        <v>892</v>
      </c>
      <c r="J2229" s="123">
        <f>IF(Basis!$E$1=1,ROUND(H2229/((TaH-TrH)*1.163)/3600,3),ROUND(H2229/(500*(TaH-TrH)),2))</f>
        <v>0.76</v>
      </c>
      <c r="K2229" s="84"/>
      <c r="L2229" s="177">
        <f>CHOOSE(Basis!$E$1,((AJ2229*(J2229*3600/Basis!$E$5)^AK2229*(((MID(C2229,9,3)*10)-144)/1000)*AL2229+AM2229*(J2229*3600/Basis!$E$5)^2)*0.0098)/Basis!$E$10,((AJ2229*(J2229/Basis!$E$5)^AK2229*(((MID(C2229,9,3)*10)-144)/1000)*AL2229+AM2229*(J2229/Basis!$E$5)^2)*0.0098)/Basis!$E$10)</f>
        <v>6.9046897602563176E-2</v>
      </c>
      <c r="M2229" s="85"/>
      <c r="N2229" s="110">
        <v>1.3959999999999999</v>
      </c>
      <c r="O2229" s="74"/>
      <c r="P2229" s="73">
        <v>3533</v>
      </c>
      <c r="Q2229" s="74"/>
      <c r="R2229" s="75"/>
      <c r="S2229" s="75"/>
      <c r="T2229" s="75"/>
      <c r="U2229" s="75"/>
      <c r="V2229" s="75"/>
      <c r="W2229" s="74"/>
      <c r="X2229" s="76"/>
      <c r="Y2229" s="76"/>
      <c r="Z2229" s="76"/>
      <c r="AA2229" s="76"/>
      <c r="AB2229" s="76"/>
      <c r="AC2229" s="74"/>
      <c r="AD2229" s="77"/>
      <c r="AE2229" s="77"/>
      <c r="AF2229" s="77"/>
      <c r="AG2229" s="77"/>
      <c r="AH2229" s="77"/>
      <c r="AI2229" s="68"/>
      <c r="AJ2229" s="213">
        <v>2.0829999999999999E-4</v>
      </c>
      <c r="AK2229" s="213">
        <v>1.724</v>
      </c>
      <c r="AL2229" s="213">
        <v>2</v>
      </c>
      <c r="AM2229" s="213">
        <v>4.6182900000000003E-4</v>
      </c>
      <c r="AN2229" s="74"/>
      <c r="AO2229" s="73"/>
      <c r="AP2229" s="73"/>
      <c r="AQ2229" s="73"/>
      <c r="AR2229" s="73"/>
      <c r="AS2229" s="73"/>
      <c r="AT2229" s="74"/>
      <c r="AU2229" s="47"/>
      <c r="AV2229" s="48"/>
    </row>
    <row r="2230" spans="1:48" ht="12.75" customHeight="1" x14ac:dyDescent="0.25">
      <c r="A2230" s="72" t="s">
        <v>20</v>
      </c>
      <c r="B2230" s="43" t="s">
        <v>2240</v>
      </c>
      <c r="C2230" s="44" t="s">
        <v>2388</v>
      </c>
      <c r="D2230" s="45">
        <f>MROUND(MID($C2230,6,3)/Basis!$E$3,0.5)</f>
        <v>12</v>
      </c>
      <c r="E2230" s="45">
        <f>MROUND(MID($C2230,9,3)/Basis!$E$3,0.5)</f>
        <v>102.5</v>
      </c>
      <c r="F2230" s="124" t="s">
        <v>2947</v>
      </c>
      <c r="G2230" s="45">
        <f>ROUND((ROUNDDOWN($F2230/5,0)*5+1.8)/Basis!$E$3,1)</f>
        <v>6.6</v>
      </c>
      <c r="H2230" s="120">
        <f>ROUND($P2230*Basis!$E$2*((TaH-TrH)/LN(1/µ)/Basis!$E$7)^$N2230*$AA$4*Glycol,0)</f>
        <v>8120</v>
      </c>
      <c r="I2230" s="83">
        <f>ROUND(H2230/(MID($C2230,9,3)/Basis!$E$3/Basis!$E$9)*Basis!$E$11,0)</f>
        <v>952</v>
      </c>
      <c r="J2230" s="123">
        <f>IF(Basis!$E$1=1,ROUND(H2230/((TaH-TrH)*1.163)/3600,3),ROUND(H2230/(500*(TaH-TrH)),2))</f>
        <v>0.81</v>
      </c>
      <c r="K2230" s="84"/>
      <c r="L2230" s="177">
        <f>CHOOSE(Basis!$E$1,((AJ2230*(J2230*3600/Basis!$E$5)^AK2230*(((MID(C2230,9,3)*10)-144)/1000)*AL2230+AM2230*(J2230*3600/Basis!$E$5)^2)*0.0098)/Basis!$E$10,((AJ2230*(J2230/Basis!$E$5)^AK2230*(((MID(C2230,9,3)*10)-144)/1000)*AL2230+AM2230*(J2230/Basis!$E$5)^2)*0.0098)/Basis!$E$10)</f>
        <v>0.20782604468334809</v>
      </c>
      <c r="M2230" s="85"/>
      <c r="N2230" s="109">
        <v>1.456</v>
      </c>
      <c r="O2230" s="68"/>
      <c r="P2230" s="67">
        <v>3848</v>
      </c>
      <c r="Q2230" s="68"/>
      <c r="R2230" s="69"/>
      <c r="S2230" s="69"/>
      <c r="T2230" s="69"/>
      <c r="U2230" s="69"/>
      <c r="V2230" s="69"/>
      <c r="W2230" s="68"/>
      <c r="X2230" s="70"/>
      <c r="Y2230" s="70"/>
      <c r="Z2230" s="70"/>
      <c r="AA2230" s="70"/>
      <c r="AB2230" s="70"/>
      <c r="AC2230" s="68"/>
      <c r="AD2230" s="71"/>
      <c r="AE2230" s="71"/>
      <c r="AF2230" s="71"/>
      <c r="AG2230" s="71"/>
      <c r="AH2230" s="71"/>
      <c r="AI2230" s="68"/>
      <c r="AJ2230" s="214">
        <v>2.0829999999999999E-4</v>
      </c>
      <c r="AK2230" s="214">
        <v>1.724</v>
      </c>
      <c r="AL2230" s="214">
        <v>4</v>
      </c>
      <c r="AM2230" s="214">
        <v>1.392796E-3</v>
      </c>
      <c r="AN2230" s="68"/>
      <c r="AO2230" s="67"/>
      <c r="AP2230" s="67"/>
      <c r="AQ2230" s="67"/>
      <c r="AR2230" s="67"/>
      <c r="AS2230" s="67"/>
      <c r="AT2230" s="68"/>
      <c r="AU2230" s="49"/>
      <c r="AV2230" s="50"/>
    </row>
    <row r="2231" spans="1:48" ht="12.75" customHeight="1" x14ac:dyDescent="0.25">
      <c r="A2231" s="72" t="s">
        <v>20</v>
      </c>
      <c r="B2231" s="43" t="s">
        <v>2240</v>
      </c>
      <c r="C2231" s="44" t="s">
        <v>2389</v>
      </c>
      <c r="D2231" s="45">
        <f>MROUND(MID($C2231,6,3)/Basis!$E$3,0.5)</f>
        <v>12</v>
      </c>
      <c r="E2231" s="45">
        <f>MROUND(MID($C2231,9,3)/Basis!$E$3,0.5)</f>
        <v>102.5</v>
      </c>
      <c r="F2231" s="124" t="s">
        <v>2945</v>
      </c>
      <c r="G2231" s="45">
        <f>ROUND((ROUNDDOWN($F2231/5,0)*5+1.8)/Basis!$E$3,1)</f>
        <v>8.6</v>
      </c>
      <c r="H2231" s="120">
        <f>ROUND($P2231*Basis!$E$2*((TaH-TrH)/LN(1/µ)/Basis!$E$7)^$N2231*$AA$4*Glycol,0)</f>
        <v>10667</v>
      </c>
      <c r="I2231" s="83">
        <f>ROUND(H2231/(MID($C2231,9,3)/Basis!$E$3/Basis!$E$9)*Basis!$E$11,0)</f>
        <v>1251</v>
      </c>
      <c r="J2231" s="123">
        <f>IF(Basis!$E$1=1,ROUND(H2231/((TaH-TrH)*1.163)/3600,3),ROUND(H2231/(500*(TaH-TrH)),2))</f>
        <v>1.07</v>
      </c>
      <c r="K2231" s="84"/>
      <c r="L2231" s="177">
        <f>CHOOSE(Basis!$E$1,((AJ2231*(J2231*3600/Basis!$E$5)^AK2231*(((MID(C2231,9,3)*10)-144)/1000)*AL2231+AM2231*(J2231*3600/Basis!$E$5)^2)*0.0098)/Basis!$E$10,((AJ2231*(J2231/Basis!$E$5)^AK2231*(((MID(C2231,9,3)*10)-144)/1000)*AL2231+AM2231*(J2231/Basis!$E$5)^2)*0.0098)/Basis!$E$10)</f>
        <v>9.8998041450911373E-2</v>
      </c>
      <c r="M2231" s="85"/>
      <c r="N2231" s="109">
        <v>1.3959999999999999</v>
      </c>
      <c r="O2231" s="68"/>
      <c r="P2231" s="67">
        <v>4956</v>
      </c>
      <c r="Q2231" s="68"/>
      <c r="R2231" s="69"/>
      <c r="S2231" s="69"/>
      <c r="T2231" s="69"/>
      <c r="U2231" s="69"/>
      <c r="V2231" s="69"/>
      <c r="W2231" s="68"/>
      <c r="X2231" s="70"/>
      <c r="Y2231" s="70"/>
      <c r="Z2231" s="70"/>
      <c r="AA2231" s="70"/>
      <c r="AB2231" s="70"/>
      <c r="AC2231" s="68"/>
      <c r="AD2231" s="71"/>
      <c r="AE2231" s="71"/>
      <c r="AF2231" s="71"/>
      <c r="AG2231" s="71"/>
      <c r="AH2231" s="71"/>
      <c r="AI2231" s="68"/>
      <c r="AJ2231" s="214">
        <v>1.2760000000000001E-4</v>
      </c>
      <c r="AK2231" s="214">
        <v>1.7219</v>
      </c>
      <c r="AL2231" s="214">
        <v>2</v>
      </c>
      <c r="AM2231" s="214">
        <v>3.76611E-4</v>
      </c>
      <c r="AN2231" s="68"/>
      <c r="AO2231" s="67"/>
      <c r="AP2231" s="67"/>
      <c r="AQ2231" s="67"/>
      <c r="AR2231" s="67"/>
      <c r="AS2231" s="67"/>
      <c r="AT2231" s="68"/>
      <c r="AU2231" s="49"/>
      <c r="AV2231" s="50"/>
    </row>
    <row r="2232" spans="1:48" ht="12.75" customHeight="1" x14ac:dyDescent="0.25">
      <c r="A2232" s="72" t="s">
        <v>20</v>
      </c>
      <c r="B2232" s="43" t="s">
        <v>2240</v>
      </c>
      <c r="C2232" s="44" t="s">
        <v>2390</v>
      </c>
      <c r="D2232" s="45">
        <f>MROUND(MID($C2232,6,3)/Basis!$E$3,0.5)</f>
        <v>12</v>
      </c>
      <c r="E2232" s="45">
        <f>MROUND(MID($C2232,9,3)/Basis!$E$3,0.5)</f>
        <v>102.5</v>
      </c>
      <c r="F2232" s="124" t="s">
        <v>2948</v>
      </c>
      <c r="G2232" s="45">
        <f>ROUND((ROUNDDOWN($F2232/5,0)*5+1.8)/Basis!$E$3,1)</f>
        <v>8.6</v>
      </c>
      <c r="H2232" s="120">
        <f>ROUND($P2232*Basis!$E$2*((TaH-TrH)/LN(1/µ)/Basis!$E$7)^$N2232*$AA$4*Glycol,0)</f>
        <v>10646</v>
      </c>
      <c r="I2232" s="83">
        <f>ROUND(H2232/(MID($C2232,9,3)/Basis!$E$3/Basis!$E$9)*Basis!$E$11,0)</f>
        <v>1248</v>
      </c>
      <c r="J2232" s="123">
        <f>IF(Basis!$E$1=1,ROUND(H2232/((TaH-TrH)*1.163)/3600,3),ROUND(H2232/(500*(TaH-TrH)),2))</f>
        <v>1.06</v>
      </c>
      <c r="K2232" s="84"/>
      <c r="L2232" s="177">
        <f>CHOOSE(Basis!$E$1,((AJ2232*(J2232*3600/Basis!$E$5)^AK2232*(((MID(C2232,9,3)*10)-144)/1000)*AL2232+AM2232*(J2232*3600/Basis!$E$5)^2)*0.0098)/Basis!$E$10,((AJ2232*(J2232/Basis!$E$5)^AK2232*(((MID(C2232,9,3)*10)-144)/1000)*AL2232+AM2232*(J2232/Basis!$E$5)^2)*0.0098)/Basis!$E$10)</f>
        <v>0.14914863781007984</v>
      </c>
      <c r="M2232" s="85"/>
      <c r="N2232" s="110">
        <v>1.468</v>
      </c>
      <c r="O2232" s="74"/>
      <c r="P2232" s="73">
        <v>5065</v>
      </c>
      <c r="Q2232" s="74"/>
      <c r="R2232" s="75"/>
      <c r="S2232" s="75"/>
      <c r="T2232" s="75"/>
      <c r="U2232" s="75"/>
      <c r="V2232" s="75"/>
      <c r="W2232" s="74"/>
      <c r="X2232" s="76"/>
      <c r="Y2232" s="76"/>
      <c r="Z2232" s="76"/>
      <c r="AA2232" s="76"/>
      <c r="AB2232" s="76"/>
      <c r="AC2232" s="74"/>
      <c r="AD2232" s="77"/>
      <c r="AE2232" s="77"/>
      <c r="AF2232" s="77"/>
      <c r="AG2232" s="77"/>
      <c r="AH2232" s="77"/>
      <c r="AI2232" s="68"/>
      <c r="AJ2232" s="213">
        <v>1.2760000000000001E-4</v>
      </c>
      <c r="AK2232" s="213">
        <v>1.7219</v>
      </c>
      <c r="AL2232" s="213">
        <v>4</v>
      </c>
      <c r="AM2232" s="213">
        <v>5.1420100000000005E-4</v>
      </c>
      <c r="AN2232" s="74"/>
      <c r="AO2232" s="73"/>
      <c r="AP2232" s="73"/>
      <c r="AQ2232" s="73"/>
      <c r="AR2232" s="73"/>
      <c r="AS2232" s="73"/>
      <c r="AT2232" s="74"/>
      <c r="AU2232" s="47"/>
      <c r="AV2232" s="48"/>
    </row>
    <row r="2233" spans="1:48" ht="12.75" customHeight="1" x14ac:dyDescent="0.25">
      <c r="A2233" s="72" t="s">
        <v>20</v>
      </c>
      <c r="B2233" s="43" t="s">
        <v>2240</v>
      </c>
      <c r="C2233" s="44" t="s">
        <v>2391</v>
      </c>
      <c r="D2233" s="45">
        <f>MROUND(MID($C2233,6,3)/Basis!$E$3,0.5)</f>
        <v>12</v>
      </c>
      <c r="E2233" s="45">
        <f>MROUND(MID($C2233,9,3)/Basis!$E$3,0.5)</f>
        <v>110</v>
      </c>
      <c r="F2233" s="124" t="s">
        <v>2943</v>
      </c>
      <c r="G2233" s="45">
        <f>ROUND((ROUNDDOWN($F2233/5,0)*5+1.8)/Basis!$E$3,1)</f>
        <v>4.5999999999999996</v>
      </c>
      <c r="H2233" s="120">
        <f>ROUND($P2233*Basis!$E$2*((TaH-TrH)/LN(1/µ)/Basis!$E$7)^$N2233*$AA$4*Glycol,0)</f>
        <v>4967</v>
      </c>
      <c r="I2233" s="83">
        <f>ROUND(H2233/(MID($C2233,9,3)/Basis!$E$3/Basis!$E$9)*Basis!$E$11,0)</f>
        <v>541</v>
      </c>
      <c r="J2233" s="123">
        <f>IF(Basis!$E$1=1,ROUND(H2233/((TaH-TrH)*1.163)/3600,3),ROUND(H2233/(500*(TaH-TrH)),2))</f>
        <v>0.5</v>
      </c>
      <c r="K2233" s="84"/>
      <c r="L2233" s="177">
        <f>CHOOSE(Basis!$E$1,((AJ2233*(J2233*3600/Basis!$E$5)^AK2233*(((MID(C2233,9,3)*10)-144)/1000)*AL2233+AM2233*(J2233*3600/Basis!$E$5)^2)*0.0098)/Basis!$E$10,((AJ2233*(J2233/Basis!$E$5)^AK2233*(((MID(C2233,9,3)*10)-144)/1000)*AL2233+AM2233*(J2233/Basis!$E$5)^2)*0.0098)/Basis!$E$10)</f>
        <v>4.0809974091191137E-2</v>
      </c>
      <c r="M2233" s="85"/>
      <c r="N2233" s="110">
        <v>1.403</v>
      </c>
      <c r="O2233" s="74"/>
      <c r="P2233" s="73">
        <v>2313</v>
      </c>
      <c r="Q2233" s="74"/>
      <c r="R2233" s="75"/>
      <c r="S2233" s="75"/>
      <c r="T2233" s="75"/>
      <c r="U2233" s="75"/>
      <c r="V2233" s="75"/>
      <c r="W2233" s="74"/>
      <c r="X2233" s="76"/>
      <c r="Y2233" s="76"/>
      <c r="Z2233" s="76"/>
      <c r="AA2233" s="76"/>
      <c r="AB2233" s="76"/>
      <c r="AC2233" s="74"/>
      <c r="AD2233" s="77"/>
      <c r="AE2233" s="77"/>
      <c r="AF2233" s="77"/>
      <c r="AG2233" s="77"/>
      <c r="AH2233" s="77"/>
      <c r="AI2233" s="68"/>
      <c r="AJ2233" s="213">
        <v>3.9689999999999994E-4</v>
      </c>
      <c r="AK2233" s="213">
        <v>1.7345999999999999</v>
      </c>
      <c r="AL2233" s="213">
        <v>2</v>
      </c>
      <c r="AM2233" s="213">
        <v>3.6734700000000002E-4</v>
      </c>
      <c r="AN2233" s="74"/>
      <c r="AO2233" s="73"/>
      <c r="AP2233" s="73"/>
      <c r="AQ2233" s="73"/>
      <c r="AR2233" s="73"/>
      <c r="AS2233" s="73"/>
      <c r="AT2233" s="74"/>
      <c r="AU2233" s="47"/>
      <c r="AV2233" s="48"/>
    </row>
    <row r="2234" spans="1:48" ht="12.75" customHeight="1" x14ac:dyDescent="0.25">
      <c r="A2234" s="72" t="s">
        <v>20</v>
      </c>
      <c r="B2234" s="43" t="s">
        <v>2240</v>
      </c>
      <c r="C2234" s="44" t="s">
        <v>2392</v>
      </c>
      <c r="D2234" s="45">
        <f>MROUND(MID($C2234,6,3)/Basis!$E$3,0.5)</f>
        <v>12</v>
      </c>
      <c r="E2234" s="45">
        <f>MROUND(MID($C2234,9,3)/Basis!$E$3,0.5)</f>
        <v>110</v>
      </c>
      <c r="F2234" s="124" t="s">
        <v>2946</v>
      </c>
      <c r="G2234" s="45">
        <f>ROUND((ROUNDDOWN($F2234/5,0)*5+1.8)/Basis!$E$3,1)</f>
        <v>4.5999999999999996</v>
      </c>
      <c r="H2234" s="120">
        <f>ROUND($P2234*Basis!$E$2*((TaH-TrH)/LN(1/µ)/Basis!$E$7)^$N2234*$AA$4*Glycol,0)</f>
        <v>6659</v>
      </c>
      <c r="I2234" s="83">
        <f>ROUND(H2234/(MID($C2234,9,3)/Basis!$E$3/Basis!$E$9)*Basis!$E$11,0)</f>
        <v>725</v>
      </c>
      <c r="J2234" s="123">
        <f>IF(Basis!$E$1=1,ROUND(H2234/((TaH-TrH)*1.163)/3600,3),ROUND(H2234/(500*(TaH-TrH)),2))</f>
        <v>0.67</v>
      </c>
      <c r="K2234" s="84"/>
      <c r="L2234" s="177">
        <f>CHOOSE(Basis!$E$1,((AJ2234*(J2234*3600/Basis!$E$5)^AK2234*(((MID(C2234,9,3)*10)-144)/1000)*AL2234+AM2234*(J2234*3600/Basis!$E$5)^2)*0.0098)/Basis!$E$10,((AJ2234*(J2234/Basis!$E$5)^AK2234*(((MID(C2234,9,3)*10)-144)/1000)*AL2234+AM2234*(J2234/Basis!$E$5)^2)*0.0098)/Basis!$E$10)</f>
        <v>0.12761597342636424</v>
      </c>
      <c r="M2234" s="85"/>
      <c r="N2234" s="109">
        <v>1.44</v>
      </c>
      <c r="O2234" s="68"/>
      <c r="P2234" s="67">
        <v>3139</v>
      </c>
      <c r="Q2234" s="68"/>
      <c r="R2234" s="69"/>
      <c r="S2234" s="69"/>
      <c r="T2234" s="69"/>
      <c r="U2234" s="69"/>
      <c r="V2234" s="69"/>
      <c r="W2234" s="68"/>
      <c r="X2234" s="70"/>
      <c r="Y2234" s="70"/>
      <c r="Z2234" s="70"/>
      <c r="AA2234" s="70"/>
      <c r="AB2234" s="70"/>
      <c r="AC2234" s="68"/>
      <c r="AD2234" s="71"/>
      <c r="AE2234" s="71"/>
      <c r="AF2234" s="71"/>
      <c r="AG2234" s="71"/>
      <c r="AH2234" s="71"/>
      <c r="AI2234" s="68"/>
      <c r="AJ2234" s="214">
        <v>3.9689999999999994E-4</v>
      </c>
      <c r="AK2234" s="214">
        <v>1.7345999999999999</v>
      </c>
      <c r="AL2234" s="214">
        <v>4</v>
      </c>
      <c r="AM2234" s="214">
        <v>5.7428799999999995E-4</v>
      </c>
      <c r="AN2234" s="68"/>
      <c r="AO2234" s="67"/>
      <c r="AP2234" s="67"/>
      <c r="AQ2234" s="67"/>
      <c r="AR2234" s="67"/>
      <c r="AS2234" s="67"/>
      <c r="AT2234" s="68"/>
      <c r="AU2234" s="49"/>
      <c r="AV2234" s="50"/>
    </row>
    <row r="2235" spans="1:48" ht="12.75" customHeight="1" x14ac:dyDescent="0.25">
      <c r="A2235" s="72" t="s">
        <v>20</v>
      </c>
      <c r="B2235" s="43" t="s">
        <v>2240</v>
      </c>
      <c r="C2235" s="44" t="s">
        <v>2393</v>
      </c>
      <c r="D2235" s="45">
        <f>MROUND(MID($C2235,6,3)/Basis!$E$3,0.5)</f>
        <v>12</v>
      </c>
      <c r="E2235" s="45">
        <f>MROUND(MID($C2235,9,3)/Basis!$E$3,0.5)</f>
        <v>110</v>
      </c>
      <c r="F2235" s="124" t="s">
        <v>2944</v>
      </c>
      <c r="G2235" s="45">
        <f>ROUND((ROUNDDOWN($F2235/5,0)*5+1.8)/Basis!$E$3,1)</f>
        <v>6.6</v>
      </c>
      <c r="H2235" s="120">
        <f>ROUND($P2235*Basis!$E$2*((TaH-TrH)/LN(1/µ)/Basis!$E$7)^$N2235*$AA$4*Glycol,0)</f>
        <v>8190</v>
      </c>
      <c r="I2235" s="83">
        <f>ROUND(H2235/(MID($C2235,9,3)/Basis!$E$3/Basis!$E$9)*Basis!$E$11,0)</f>
        <v>892</v>
      </c>
      <c r="J2235" s="123">
        <f>IF(Basis!$E$1=1,ROUND(H2235/((TaH-TrH)*1.163)/3600,3),ROUND(H2235/(500*(TaH-TrH)),2))</f>
        <v>0.82</v>
      </c>
      <c r="K2235" s="84"/>
      <c r="L2235" s="177">
        <f>CHOOSE(Basis!$E$1,((AJ2235*(J2235*3600/Basis!$E$5)^AK2235*(((MID(C2235,9,3)*10)-144)/1000)*AL2235+AM2235*(J2235*3600/Basis!$E$5)^2)*0.0098)/Basis!$E$10,((AJ2235*(J2235/Basis!$E$5)^AK2235*(((MID(C2235,9,3)*10)-144)/1000)*AL2235+AM2235*(J2235/Basis!$E$5)^2)*0.0098)/Basis!$E$10)</f>
        <v>8.2031188220578935E-2</v>
      </c>
      <c r="M2235" s="85"/>
      <c r="N2235" s="109">
        <v>1.3959999999999999</v>
      </c>
      <c r="O2235" s="68"/>
      <c r="P2235" s="67">
        <v>3805</v>
      </c>
      <c r="Q2235" s="68"/>
      <c r="R2235" s="69"/>
      <c r="S2235" s="69"/>
      <c r="T2235" s="69"/>
      <c r="U2235" s="69"/>
      <c r="V2235" s="69"/>
      <c r="W2235" s="68"/>
      <c r="X2235" s="70"/>
      <c r="Y2235" s="70"/>
      <c r="Z2235" s="70"/>
      <c r="AA2235" s="70"/>
      <c r="AB2235" s="70"/>
      <c r="AC2235" s="68"/>
      <c r="AD2235" s="71"/>
      <c r="AE2235" s="71"/>
      <c r="AF2235" s="71"/>
      <c r="AG2235" s="71"/>
      <c r="AH2235" s="71"/>
      <c r="AI2235" s="68"/>
      <c r="AJ2235" s="214">
        <v>2.0829999999999999E-4</v>
      </c>
      <c r="AK2235" s="214">
        <v>1.724</v>
      </c>
      <c r="AL2235" s="214">
        <v>2</v>
      </c>
      <c r="AM2235" s="214">
        <v>4.6182900000000003E-4</v>
      </c>
      <c r="AN2235" s="68"/>
      <c r="AO2235" s="67"/>
      <c r="AP2235" s="67"/>
      <c r="AQ2235" s="67"/>
      <c r="AR2235" s="67"/>
      <c r="AS2235" s="67"/>
      <c r="AT2235" s="68"/>
      <c r="AU2235" s="49"/>
      <c r="AV2235" s="50"/>
    </row>
    <row r="2236" spans="1:48" ht="12.75" customHeight="1" x14ac:dyDescent="0.25">
      <c r="A2236" s="72" t="s">
        <v>20</v>
      </c>
      <c r="B2236" s="43" t="s">
        <v>2240</v>
      </c>
      <c r="C2236" s="44" t="s">
        <v>2394</v>
      </c>
      <c r="D2236" s="45">
        <f>MROUND(MID($C2236,6,3)/Basis!$E$3,0.5)</f>
        <v>12</v>
      </c>
      <c r="E2236" s="45">
        <f>MROUND(MID($C2236,9,3)/Basis!$E$3,0.5)</f>
        <v>110</v>
      </c>
      <c r="F2236" s="124" t="s">
        <v>2947</v>
      </c>
      <c r="G2236" s="45">
        <f>ROUND((ROUNDDOWN($F2236/5,0)*5+1.8)/Basis!$E$3,1)</f>
        <v>6.6</v>
      </c>
      <c r="H2236" s="120">
        <f>ROUND($P2236*Basis!$E$2*((TaH-TrH)/LN(1/µ)/Basis!$E$7)^$N2236*$AA$4*Glycol,0)</f>
        <v>8745</v>
      </c>
      <c r="I2236" s="83">
        <f>ROUND(H2236/(MID($C2236,9,3)/Basis!$E$3/Basis!$E$9)*Basis!$E$11,0)</f>
        <v>952</v>
      </c>
      <c r="J2236" s="123">
        <f>IF(Basis!$E$1=1,ROUND(H2236/((TaH-TrH)*1.163)/3600,3),ROUND(H2236/(500*(TaH-TrH)),2))</f>
        <v>0.87</v>
      </c>
      <c r="K2236" s="84"/>
      <c r="L2236" s="177">
        <f>CHOOSE(Basis!$E$1,((AJ2236*(J2236*3600/Basis!$E$5)^AK2236*(((MID(C2236,9,3)*10)-144)/1000)*AL2236+AM2236*(J2236*3600/Basis!$E$5)^2)*0.0098)/Basis!$E$10,((AJ2236*(J2236/Basis!$E$5)^AK2236*(((MID(C2236,9,3)*10)-144)/1000)*AL2236+AM2236*(J2236/Basis!$E$5)^2)*0.0098)/Basis!$E$10)</f>
        <v>0.24349137145098571</v>
      </c>
      <c r="M2236" s="85"/>
      <c r="N2236" s="110">
        <v>1.456</v>
      </c>
      <c r="O2236" s="74"/>
      <c r="P2236" s="73">
        <v>4144</v>
      </c>
      <c r="Q2236" s="74"/>
      <c r="R2236" s="75"/>
      <c r="S2236" s="75"/>
      <c r="T2236" s="75"/>
      <c r="U2236" s="75"/>
      <c r="V2236" s="75"/>
      <c r="W2236" s="74"/>
      <c r="X2236" s="76"/>
      <c r="Y2236" s="76"/>
      <c r="Z2236" s="76"/>
      <c r="AA2236" s="76"/>
      <c r="AB2236" s="76"/>
      <c r="AC2236" s="74"/>
      <c r="AD2236" s="77"/>
      <c r="AE2236" s="77"/>
      <c r="AF2236" s="77"/>
      <c r="AG2236" s="77"/>
      <c r="AH2236" s="77"/>
      <c r="AI2236" s="68"/>
      <c r="AJ2236" s="213">
        <v>2.0829999999999999E-4</v>
      </c>
      <c r="AK2236" s="213">
        <v>1.724</v>
      </c>
      <c r="AL2236" s="213">
        <v>4</v>
      </c>
      <c r="AM2236" s="213">
        <v>1.392796E-3</v>
      </c>
      <c r="AN2236" s="74"/>
      <c r="AO2236" s="73"/>
      <c r="AP2236" s="73"/>
      <c r="AQ2236" s="73"/>
      <c r="AR2236" s="73"/>
      <c r="AS2236" s="73"/>
      <c r="AT2236" s="74"/>
      <c r="AU2236" s="47"/>
      <c r="AV2236" s="48"/>
    </row>
    <row r="2237" spans="1:48" ht="12.75" customHeight="1" x14ac:dyDescent="0.25">
      <c r="A2237" s="72" t="s">
        <v>20</v>
      </c>
      <c r="B2237" s="43" t="s">
        <v>2240</v>
      </c>
      <c r="C2237" s="44" t="s">
        <v>2395</v>
      </c>
      <c r="D2237" s="45">
        <f>MROUND(MID($C2237,6,3)/Basis!$E$3,0.5)</f>
        <v>12</v>
      </c>
      <c r="E2237" s="45">
        <f>MROUND(MID($C2237,9,3)/Basis!$E$3,0.5)</f>
        <v>110</v>
      </c>
      <c r="F2237" s="124" t="s">
        <v>2945</v>
      </c>
      <c r="G2237" s="45">
        <f>ROUND((ROUNDDOWN($F2237/5,0)*5+1.8)/Basis!$E$3,1)</f>
        <v>8.6</v>
      </c>
      <c r="H2237" s="120">
        <f>ROUND($P2237*Basis!$E$2*((TaH-TrH)/LN(1/µ)/Basis!$E$7)^$N2237*$AA$4*Glycol,0)</f>
        <v>11487</v>
      </c>
      <c r="I2237" s="83">
        <f>ROUND(H2237/(MID($C2237,9,3)/Basis!$E$3/Basis!$E$9)*Basis!$E$11,0)</f>
        <v>1250</v>
      </c>
      <c r="J2237" s="123">
        <f>IF(Basis!$E$1=1,ROUND(H2237/((TaH-TrH)*1.163)/3600,3),ROUND(H2237/(500*(TaH-TrH)),2))</f>
        <v>1.1499999999999999</v>
      </c>
      <c r="K2237" s="84"/>
      <c r="L2237" s="177">
        <f>CHOOSE(Basis!$E$1,((AJ2237*(J2237*3600/Basis!$E$5)^AK2237*(((MID(C2237,9,3)*10)-144)/1000)*AL2237+AM2237*(J2237*3600/Basis!$E$5)^2)*0.0098)/Basis!$E$10,((AJ2237*(J2237/Basis!$E$5)^AK2237*(((MID(C2237,9,3)*10)-144)/1000)*AL2237+AM2237*(J2237/Basis!$E$5)^2)*0.0098)/Basis!$E$10)</f>
        <v>0.11617454918544765</v>
      </c>
      <c r="M2237" s="85"/>
      <c r="N2237" s="110">
        <v>1.3959999999999999</v>
      </c>
      <c r="O2237" s="74"/>
      <c r="P2237" s="73">
        <v>5337</v>
      </c>
      <c r="Q2237" s="74"/>
      <c r="R2237" s="75"/>
      <c r="S2237" s="75"/>
      <c r="T2237" s="75"/>
      <c r="U2237" s="75"/>
      <c r="V2237" s="75"/>
      <c r="W2237" s="74"/>
      <c r="X2237" s="76"/>
      <c r="Y2237" s="76"/>
      <c r="Z2237" s="76"/>
      <c r="AA2237" s="76"/>
      <c r="AB2237" s="76"/>
      <c r="AC2237" s="74"/>
      <c r="AD2237" s="77"/>
      <c r="AE2237" s="77"/>
      <c r="AF2237" s="77"/>
      <c r="AG2237" s="77"/>
      <c r="AH2237" s="77"/>
      <c r="AI2237" s="68"/>
      <c r="AJ2237" s="214">
        <v>1.2760000000000001E-4</v>
      </c>
      <c r="AK2237" s="214">
        <v>1.7219</v>
      </c>
      <c r="AL2237" s="214">
        <v>2</v>
      </c>
      <c r="AM2237" s="214">
        <v>3.76611E-4</v>
      </c>
      <c r="AN2237" s="74"/>
      <c r="AO2237" s="73"/>
      <c r="AP2237" s="73"/>
      <c r="AQ2237" s="73"/>
      <c r="AR2237" s="73"/>
      <c r="AS2237" s="73"/>
      <c r="AT2237" s="74"/>
      <c r="AU2237" s="47"/>
      <c r="AV2237" s="48"/>
    </row>
    <row r="2238" spans="1:48" ht="12.75" customHeight="1" x14ac:dyDescent="0.25">
      <c r="A2238" s="72" t="s">
        <v>20</v>
      </c>
      <c r="B2238" s="43" t="s">
        <v>2240</v>
      </c>
      <c r="C2238" s="44" t="s">
        <v>2396</v>
      </c>
      <c r="D2238" s="45">
        <f>MROUND(MID($C2238,6,3)/Basis!$E$3,0.5)</f>
        <v>12</v>
      </c>
      <c r="E2238" s="45">
        <f>MROUND(MID($C2238,9,3)/Basis!$E$3,0.5)</f>
        <v>110</v>
      </c>
      <c r="F2238" s="124" t="s">
        <v>2948</v>
      </c>
      <c r="G2238" s="45">
        <f>ROUND((ROUNDDOWN($F2238/5,0)*5+1.8)/Basis!$E$3,1)</f>
        <v>8.6</v>
      </c>
      <c r="H2238" s="120">
        <f>ROUND($P2238*Basis!$E$2*((TaH-TrH)/LN(1/µ)/Basis!$E$7)^$N2238*$AA$4*Glycol,0)</f>
        <v>11464</v>
      </c>
      <c r="I2238" s="83">
        <f>ROUND(H2238/(MID($C2238,9,3)/Basis!$E$3/Basis!$E$9)*Basis!$E$11,0)</f>
        <v>1248</v>
      </c>
      <c r="J2238" s="123">
        <f>IF(Basis!$E$1=1,ROUND(H2238/((TaH-TrH)*1.163)/3600,3),ROUND(H2238/(500*(TaH-TrH)),2))</f>
        <v>1.1499999999999999</v>
      </c>
      <c r="K2238" s="84"/>
      <c r="L2238" s="177">
        <f>CHOOSE(Basis!$E$1,((AJ2238*(J2238*3600/Basis!$E$5)^AK2238*(((MID(C2238,9,3)*10)-144)/1000)*AL2238+AM2238*(J2238*3600/Basis!$E$5)^2)*0.0098)/Basis!$E$10,((AJ2238*(J2238/Basis!$E$5)^AK2238*(((MID(C2238,9,3)*10)-144)/1000)*AL2238+AM2238*(J2238/Basis!$E$5)^2)*0.0098)/Basis!$E$10)</f>
        <v>0.17903160822619996</v>
      </c>
      <c r="M2238" s="85"/>
      <c r="N2238" s="109">
        <v>1.468</v>
      </c>
      <c r="O2238" s="68"/>
      <c r="P2238" s="67">
        <v>5454</v>
      </c>
      <c r="Q2238" s="68"/>
      <c r="R2238" s="69"/>
      <c r="S2238" s="69"/>
      <c r="T2238" s="69"/>
      <c r="U2238" s="69"/>
      <c r="V2238" s="69"/>
      <c r="W2238" s="68"/>
      <c r="X2238" s="70"/>
      <c r="Y2238" s="70"/>
      <c r="Z2238" s="70"/>
      <c r="AA2238" s="70"/>
      <c r="AB2238" s="70"/>
      <c r="AC2238" s="68"/>
      <c r="AD2238" s="71"/>
      <c r="AE2238" s="71"/>
      <c r="AF2238" s="71"/>
      <c r="AG2238" s="71"/>
      <c r="AH2238" s="71"/>
      <c r="AI2238" s="68"/>
      <c r="AJ2238" s="214">
        <v>1.2760000000000001E-4</v>
      </c>
      <c r="AK2238" s="214">
        <v>1.7219</v>
      </c>
      <c r="AL2238" s="214">
        <v>4</v>
      </c>
      <c r="AM2238" s="214">
        <v>5.1420100000000005E-4</v>
      </c>
      <c r="AN2238" s="68"/>
      <c r="AO2238" s="67"/>
      <c r="AP2238" s="67"/>
      <c r="AQ2238" s="67"/>
      <c r="AR2238" s="67"/>
      <c r="AS2238" s="67"/>
      <c r="AT2238" s="68"/>
      <c r="AU2238" s="49"/>
      <c r="AV2238" s="50"/>
    </row>
    <row r="2239" spans="1:48" ht="12.75" customHeight="1" x14ac:dyDescent="0.25">
      <c r="A2239" s="72" t="s">
        <v>20</v>
      </c>
      <c r="B2239" s="43" t="s">
        <v>2240</v>
      </c>
      <c r="C2239" s="44" t="s">
        <v>2397</v>
      </c>
      <c r="D2239" s="45">
        <f>MROUND(MID($C2239,6,3)/Basis!$E$3,0.5)</f>
        <v>12</v>
      </c>
      <c r="E2239" s="45">
        <f>MROUND(MID($C2239,9,3)/Basis!$E$3,0.5)</f>
        <v>118</v>
      </c>
      <c r="F2239" s="124" t="s">
        <v>2943</v>
      </c>
      <c r="G2239" s="45">
        <f>ROUND((ROUNDDOWN($F2239/5,0)*5+1.8)/Basis!$E$3,1)</f>
        <v>4.5999999999999996</v>
      </c>
      <c r="H2239" s="120">
        <f>ROUND($P2239*Basis!$E$2*((TaH-TrH)/LN(1/µ)/Basis!$E$7)^$N2239*$AA$4*Glycol,0)</f>
        <v>5321</v>
      </c>
      <c r="I2239" s="83">
        <f>ROUND(H2239/(MID($C2239,9,3)/Basis!$E$3/Basis!$E$9)*Basis!$E$11,0)</f>
        <v>541</v>
      </c>
      <c r="J2239" s="123">
        <f>IF(Basis!$E$1=1,ROUND(H2239/((TaH-TrH)*1.163)/3600,3),ROUND(H2239/(500*(TaH-TrH)),2))</f>
        <v>0.53</v>
      </c>
      <c r="K2239" s="84"/>
      <c r="L2239" s="177">
        <f>CHOOSE(Basis!$E$1,((AJ2239*(J2239*3600/Basis!$E$5)^AK2239*(((MID(C2239,9,3)*10)-144)/1000)*AL2239+AM2239*(J2239*3600/Basis!$E$5)^2)*0.0098)/Basis!$E$10,((AJ2239*(J2239/Basis!$E$5)^AK2239*(((MID(C2239,9,3)*10)-144)/1000)*AL2239+AM2239*(J2239/Basis!$E$5)^2)*0.0098)/Basis!$E$10)</f>
        <v>4.7526913261861717E-2</v>
      </c>
      <c r="M2239" s="85"/>
      <c r="N2239" s="109">
        <v>1.403</v>
      </c>
      <c r="O2239" s="68"/>
      <c r="P2239" s="67">
        <v>2478</v>
      </c>
      <c r="Q2239" s="68"/>
      <c r="R2239" s="69"/>
      <c r="S2239" s="69"/>
      <c r="T2239" s="69"/>
      <c r="U2239" s="69"/>
      <c r="V2239" s="69"/>
      <c r="W2239" s="68"/>
      <c r="X2239" s="70"/>
      <c r="Y2239" s="70"/>
      <c r="Z2239" s="70"/>
      <c r="AA2239" s="70"/>
      <c r="AB2239" s="70"/>
      <c r="AC2239" s="68"/>
      <c r="AD2239" s="71"/>
      <c r="AE2239" s="71"/>
      <c r="AF2239" s="71"/>
      <c r="AG2239" s="71"/>
      <c r="AH2239" s="71"/>
      <c r="AI2239" s="68"/>
      <c r="AJ2239" s="214">
        <v>3.9689999999999994E-4</v>
      </c>
      <c r="AK2239" s="214">
        <v>1.7345999999999999</v>
      </c>
      <c r="AL2239" s="214">
        <v>2</v>
      </c>
      <c r="AM2239" s="214">
        <v>3.6734700000000002E-4</v>
      </c>
      <c r="AN2239" s="68"/>
      <c r="AO2239" s="67"/>
      <c r="AP2239" s="67"/>
      <c r="AQ2239" s="67"/>
      <c r="AR2239" s="67"/>
      <c r="AS2239" s="67"/>
      <c r="AT2239" s="68"/>
      <c r="AU2239" s="49"/>
      <c r="AV2239" s="50"/>
    </row>
    <row r="2240" spans="1:48" ht="12.75" customHeight="1" x14ac:dyDescent="0.25">
      <c r="A2240" s="72" t="s">
        <v>20</v>
      </c>
      <c r="B2240" s="43" t="s">
        <v>2240</v>
      </c>
      <c r="C2240" s="44" t="s">
        <v>2398</v>
      </c>
      <c r="D2240" s="45">
        <f>MROUND(MID($C2240,6,3)/Basis!$E$3,0.5)</f>
        <v>12</v>
      </c>
      <c r="E2240" s="45">
        <f>MROUND(MID($C2240,9,3)/Basis!$E$3,0.5)</f>
        <v>118</v>
      </c>
      <c r="F2240" s="124" t="s">
        <v>2946</v>
      </c>
      <c r="G2240" s="45">
        <f>ROUND((ROUNDDOWN($F2240/5,0)*5+1.8)/Basis!$E$3,1)</f>
        <v>4.5999999999999996</v>
      </c>
      <c r="H2240" s="120">
        <f>ROUND($P2240*Basis!$E$2*((TaH-TrH)/LN(1/µ)/Basis!$E$7)^$N2240*$AA$4*Glycol,0)</f>
        <v>7134</v>
      </c>
      <c r="I2240" s="83">
        <f>ROUND(H2240/(MID($C2240,9,3)/Basis!$E$3/Basis!$E$9)*Basis!$E$11,0)</f>
        <v>725</v>
      </c>
      <c r="J2240" s="123">
        <f>IF(Basis!$E$1=1,ROUND(H2240/((TaH-TrH)*1.163)/3600,3),ROUND(H2240/(500*(TaH-TrH)),2))</f>
        <v>0.71</v>
      </c>
      <c r="K2240" s="84"/>
      <c r="L2240" s="177">
        <f>CHOOSE(Basis!$E$1,((AJ2240*(J2240*3600/Basis!$E$5)^AK2240*(((MID(C2240,9,3)*10)-144)/1000)*AL2240+AM2240*(J2240*3600/Basis!$E$5)^2)*0.0098)/Basis!$E$10,((AJ2240*(J2240/Basis!$E$5)^AK2240*(((MID(C2240,9,3)*10)-144)/1000)*AL2240+AM2240*(J2240/Basis!$E$5)^2)*0.0098)/Basis!$E$10)</f>
        <v>0.14887139698823582</v>
      </c>
      <c r="M2240" s="85"/>
      <c r="N2240" s="110">
        <v>1.44</v>
      </c>
      <c r="O2240" s="74"/>
      <c r="P2240" s="73">
        <v>3363</v>
      </c>
      <c r="Q2240" s="74"/>
      <c r="R2240" s="75"/>
      <c r="S2240" s="75"/>
      <c r="T2240" s="75"/>
      <c r="U2240" s="75"/>
      <c r="V2240" s="75"/>
      <c r="W2240" s="74"/>
      <c r="X2240" s="76"/>
      <c r="Y2240" s="76"/>
      <c r="Z2240" s="76"/>
      <c r="AA2240" s="76"/>
      <c r="AB2240" s="76"/>
      <c r="AC2240" s="74"/>
      <c r="AD2240" s="77"/>
      <c r="AE2240" s="77"/>
      <c r="AF2240" s="77"/>
      <c r="AG2240" s="77"/>
      <c r="AH2240" s="77"/>
      <c r="AI2240" s="68"/>
      <c r="AJ2240" s="213">
        <v>3.9689999999999994E-4</v>
      </c>
      <c r="AK2240" s="213">
        <v>1.7345999999999999</v>
      </c>
      <c r="AL2240" s="213">
        <v>4</v>
      </c>
      <c r="AM2240" s="213">
        <v>5.7428799999999995E-4</v>
      </c>
      <c r="AN2240" s="74"/>
      <c r="AO2240" s="73"/>
      <c r="AP2240" s="73"/>
      <c r="AQ2240" s="73"/>
      <c r="AR2240" s="73"/>
      <c r="AS2240" s="73"/>
      <c r="AT2240" s="74"/>
      <c r="AU2240" s="47"/>
      <c r="AV2240" s="48"/>
    </row>
    <row r="2241" spans="1:48" ht="12.75" customHeight="1" x14ac:dyDescent="0.25">
      <c r="A2241" s="72" t="s">
        <v>20</v>
      </c>
      <c r="B2241" s="43" t="s">
        <v>2240</v>
      </c>
      <c r="C2241" s="44" t="s">
        <v>2399</v>
      </c>
      <c r="D2241" s="45">
        <f>MROUND(MID($C2241,6,3)/Basis!$E$3,0.5)</f>
        <v>12</v>
      </c>
      <c r="E2241" s="45">
        <f>MROUND(MID($C2241,9,3)/Basis!$E$3,0.5)</f>
        <v>118</v>
      </c>
      <c r="F2241" s="124" t="s">
        <v>2944</v>
      </c>
      <c r="G2241" s="45">
        <f>ROUND((ROUNDDOWN($F2241/5,0)*5+1.8)/Basis!$E$3,1)</f>
        <v>6.6</v>
      </c>
      <c r="H2241" s="120">
        <f>ROUND($P2241*Basis!$E$2*((TaH-TrH)/LN(1/µ)/Basis!$E$7)^$N2241*$AA$4*Glycol,0)</f>
        <v>8775</v>
      </c>
      <c r="I2241" s="83">
        <f>ROUND(H2241/(MID($C2241,9,3)/Basis!$E$3/Basis!$E$9)*Basis!$E$11,0)</f>
        <v>892</v>
      </c>
      <c r="J2241" s="123">
        <f>IF(Basis!$E$1=1,ROUND(H2241/((TaH-TrH)*1.163)/3600,3),ROUND(H2241/(500*(TaH-TrH)),2))</f>
        <v>0.88</v>
      </c>
      <c r="K2241" s="84"/>
      <c r="L2241" s="177">
        <f>CHOOSE(Basis!$E$1,((AJ2241*(J2241*3600/Basis!$E$5)^AK2241*(((MID(C2241,9,3)*10)-144)/1000)*AL2241+AM2241*(J2241*3600/Basis!$E$5)^2)*0.0098)/Basis!$E$10,((AJ2241*(J2241/Basis!$E$5)^AK2241*(((MID(C2241,9,3)*10)-144)/1000)*AL2241+AM2241*(J2241/Basis!$E$5)^2)*0.0098)/Basis!$E$10)</f>
        <v>9.6337784528164244E-2</v>
      </c>
      <c r="M2241" s="85"/>
      <c r="N2241" s="110">
        <v>1.3959999999999999</v>
      </c>
      <c r="O2241" s="74"/>
      <c r="P2241" s="73">
        <v>4077</v>
      </c>
      <c r="Q2241" s="74"/>
      <c r="R2241" s="75"/>
      <c r="S2241" s="75"/>
      <c r="T2241" s="75"/>
      <c r="U2241" s="75"/>
      <c r="V2241" s="75"/>
      <c r="W2241" s="74"/>
      <c r="X2241" s="76"/>
      <c r="Y2241" s="76"/>
      <c r="Z2241" s="76"/>
      <c r="AA2241" s="76"/>
      <c r="AB2241" s="76"/>
      <c r="AC2241" s="74"/>
      <c r="AD2241" s="77"/>
      <c r="AE2241" s="77"/>
      <c r="AF2241" s="77"/>
      <c r="AG2241" s="77"/>
      <c r="AH2241" s="77"/>
      <c r="AI2241" s="68"/>
      <c r="AJ2241" s="213">
        <v>2.0829999999999999E-4</v>
      </c>
      <c r="AK2241" s="213">
        <v>1.724</v>
      </c>
      <c r="AL2241" s="213">
        <v>2</v>
      </c>
      <c r="AM2241" s="213">
        <v>4.6182900000000003E-4</v>
      </c>
      <c r="AN2241" s="74"/>
      <c r="AO2241" s="73"/>
      <c r="AP2241" s="73"/>
      <c r="AQ2241" s="73"/>
      <c r="AR2241" s="73"/>
      <c r="AS2241" s="73"/>
      <c r="AT2241" s="74"/>
      <c r="AU2241" s="47"/>
      <c r="AV2241" s="48"/>
    </row>
    <row r="2242" spans="1:48" ht="12.75" customHeight="1" x14ac:dyDescent="0.25">
      <c r="A2242" s="72" t="s">
        <v>20</v>
      </c>
      <c r="B2242" s="43" t="s">
        <v>2240</v>
      </c>
      <c r="C2242" s="44" t="s">
        <v>2400</v>
      </c>
      <c r="D2242" s="45">
        <f>MROUND(MID($C2242,6,3)/Basis!$E$3,0.5)</f>
        <v>12</v>
      </c>
      <c r="E2242" s="45">
        <f>MROUND(MID($C2242,9,3)/Basis!$E$3,0.5)</f>
        <v>118</v>
      </c>
      <c r="F2242" s="124" t="s">
        <v>2947</v>
      </c>
      <c r="G2242" s="45">
        <f>ROUND((ROUNDDOWN($F2242/5,0)*5+1.8)/Basis!$E$3,1)</f>
        <v>6.6</v>
      </c>
      <c r="H2242" s="120">
        <f>ROUND($P2242*Basis!$E$2*((TaH-TrH)/LN(1/µ)/Basis!$E$7)^$N2242*$AA$4*Glycol,0)</f>
        <v>9369</v>
      </c>
      <c r="I2242" s="83">
        <f>ROUND(H2242/(MID($C2242,9,3)/Basis!$E$3/Basis!$E$9)*Basis!$E$11,0)</f>
        <v>952</v>
      </c>
      <c r="J2242" s="123">
        <f>IF(Basis!$E$1=1,ROUND(H2242/((TaH-TrH)*1.163)/3600,3),ROUND(H2242/(500*(TaH-TrH)),2))</f>
        <v>0.94</v>
      </c>
      <c r="K2242" s="84"/>
      <c r="L2242" s="177">
        <f>CHOOSE(Basis!$E$1,((AJ2242*(J2242*3600/Basis!$E$5)^AK2242*(((MID(C2242,9,3)*10)-144)/1000)*AL2242+AM2242*(J2242*3600/Basis!$E$5)^2)*0.0098)/Basis!$E$10,((AJ2242*(J2242/Basis!$E$5)^AK2242*(((MID(C2242,9,3)*10)-144)/1000)*AL2242+AM2242*(J2242/Basis!$E$5)^2)*0.0098)/Basis!$E$10)</f>
        <v>0.28828144969199865</v>
      </c>
      <c r="M2242" s="85"/>
      <c r="N2242" s="109">
        <v>1.456</v>
      </c>
      <c r="O2242" s="68"/>
      <c r="P2242" s="67">
        <v>4440</v>
      </c>
      <c r="Q2242" s="68"/>
      <c r="R2242" s="69"/>
      <c r="S2242" s="69"/>
      <c r="T2242" s="69"/>
      <c r="U2242" s="69"/>
      <c r="V2242" s="69"/>
      <c r="W2242" s="68"/>
      <c r="X2242" s="70"/>
      <c r="Y2242" s="70"/>
      <c r="Z2242" s="70"/>
      <c r="AA2242" s="70"/>
      <c r="AB2242" s="70"/>
      <c r="AC2242" s="68"/>
      <c r="AD2242" s="71"/>
      <c r="AE2242" s="71"/>
      <c r="AF2242" s="71"/>
      <c r="AG2242" s="71"/>
      <c r="AH2242" s="71"/>
      <c r="AI2242" s="68"/>
      <c r="AJ2242" s="214">
        <v>2.0829999999999999E-4</v>
      </c>
      <c r="AK2242" s="214">
        <v>1.724</v>
      </c>
      <c r="AL2242" s="214">
        <v>4</v>
      </c>
      <c r="AM2242" s="214">
        <v>1.392796E-3</v>
      </c>
      <c r="AN2242" s="68"/>
      <c r="AO2242" s="67"/>
      <c r="AP2242" s="67"/>
      <c r="AQ2242" s="67"/>
      <c r="AR2242" s="67"/>
      <c r="AS2242" s="67"/>
      <c r="AT2242" s="68"/>
      <c r="AU2242" s="49"/>
      <c r="AV2242" s="50"/>
    </row>
    <row r="2243" spans="1:48" ht="12.75" customHeight="1" x14ac:dyDescent="0.25">
      <c r="A2243" s="72" t="s">
        <v>20</v>
      </c>
      <c r="B2243" s="43" t="s">
        <v>2240</v>
      </c>
      <c r="C2243" s="44" t="s">
        <v>2401</v>
      </c>
      <c r="D2243" s="45">
        <f>MROUND(MID($C2243,6,3)/Basis!$E$3,0.5)</f>
        <v>12</v>
      </c>
      <c r="E2243" s="45">
        <f>MROUND(MID($C2243,9,3)/Basis!$E$3,0.5)</f>
        <v>118</v>
      </c>
      <c r="F2243" s="124" t="s">
        <v>2945</v>
      </c>
      <c r="G2243" s="45">
        <f>ROUND((ROUNDDOWN($F2243/5,0)*5+1.8)/Basis!$E$3,1)</f>
        <v>8.6</v>
      </c>
      <c r="H2243" s="120">
        <f>ROUND($P2243*Basis!$E$2*((TaH-TrH)/LN(1/µ)/Basis!$E$7)^$N2243*$AA$4*Glycol,0)</f>
        <v>12308</v>
      </c>
      <c r="I2243" s="83">
        <f>ROUND(H2243/(MID($C2243,9,3)/Basis!$E$3/Basis!$E$9)*Basis!$E$11,0)</f>
        <v>1250</v>
      </c>
      <c r="J2243" s="123">
        <f>IF(Basis!$E$1=1,ROUND(H2243/((TaH-TrH)*1.163)/3600,3),ROUND(H2243/(500*(TaH-TrH)),2))</f>
        <v>1.23</v>
      </c>
      <c r="K2243" s="84"/>
      <c r="L2243" s="177">
        <f>CHOOSE(Basis!$E$1,((AJ2243*(J2243*3600/Basis!$E$5)^AK2243*(((MID(C2243,9,3)*10)-144)/1000)*AL2243+AM2243*(J2243*3600/Basis!$E$5)^2)*0.0098)/Basis!$E$10,((AJ2243*(J2243/Basis!$E$5)^AK2243*(((MID(C2243,9,3)*10)-144)/1000)*AL2243+AM2243*(J2243/Basis!$E$5)^2)*0.0098)/Basis!$E$10)</f>
        <v>0.13493783235433826</v>
      </c>
      <c r="M2243" s="85"/>
      <c r="N2243" s="109">
        <v>1.3959999999999999</v>
      </c>
      <c r="O2243" s="68"/>
      <c r="P2243" s="67">
        <v>5718</v>
      </c>
      <c r="Q2243" s="68"/>
      <c r="R2243" s="69"/>
      <c r="S2243" s="69"/>
      <c r="T2243" s="69"/>
      <c r="U2243" s="69"/>
      <c r="V2243" s="69"/>
      <c r="W2243" s="68"/>
      <c r="X2243" s="70"/>
      <c r="Y2243" s="70"/>
      <c r="Z2243" s="70"/>
      <c r="AA2243" s="70"/>
      <c r="AB2243" s="70"/>
      <c r="AC2243" s="68"/>
      <c r="AD2243" s="71"/>
      <c r="AE2243" s="71"/>
      <c r="AF2243" s="71"/>
      <c r="AG2243" s="71"/>
      <c r="AH2243" s="71"/>
      <c r="AI2243" s="68"/>
      <c r="AJ2243" s="214">
        <v>1.2760000000000001E-4</v>
      </c>
      <c r="AK2243" s="214">
        <v>1.7219</v>
      </c>
      <c r="AL2243" s="214">
        <v>2</v>
      </c>
      <c r="AM2243" s="214">
        <v>3.76611E-4</v>
      </c>
      <c r="AN2243" s="68"/>
      <c r="AO2243" s="67"/>
      <c r="AP2243" s="67"/>
      <c r="AQ2243" s="67"/>
      <c r="AR2243" s="67"/>
      <c r="AS2243" s="67"/>
      <c r="AT2243" s="68"/>
      <c r="AU2243" s="49"/>
      <c r="AV2243" s="50"/>
    </row>
    <row r="2244" spans="1:48" ht="12.75" customHeight="1" x14ac:dyDescent="0.25">
      <c r="A2244" s="72" t="s">
        <v>20</v>
      </c>
      <c r="B2244" s="43" t="s">
        <v>2240</v>
      </c>
      <c r="C2244" s="44" t="s">
        <v>2402</v>
      </c>
      <c r="D2244" s="45">
        <f>MROUND(MID($C2244,6,3)/Basis!$E$3,0.5)</f>
        <v>12</v>
      </c>
      <c r="E2244" s="45">
        <f>MROUND(MID($C2244,9,3)/Basis!$E$3,0.5)</f>
        <v>118</v>
      </c>
      <c r="F2244" s="124" t="s">
        <v>2948</v>
      </c>
      <c r="G2244" s="45">
        <f>ROUND((ROUNDDOWN($F2244/5,0)*5+1.8)/Basis!$E$3,1)</f>
        <v>8.6</v>
      </c>
      <c r="H2244" s="120">
        <f>ROUND($P2244*Basis!$E$2*((TaH-TrH)/LN(1/µ)/Basis!$E$7)^$N2244*$AA$4*Glycol,0)</f>
        <v>12283</v>
      </c>
      <c r="I2244" s="83">
        <f>ROUND(H2244/(MID($C2244,9,3)/Basis!$E$3/Basis!$E$9)*Basis!$E$11,0)</f>
        <v>1248</v>
      </c>
      <c r="J2244" s="123">
        <f>IF(Basis!$E$1=1,ROUND(H2244/((TaH-TrH)*1.163)/3600,3),ROUND(H2244/(500*(TaH-TrH)),2))</f>
        <v>1.23</v>
      </c>
      <c r="K2244" s="84"/>
      <c r="L2244" s="177">
        <f>CHOOSE(Basis!$E$1,((AJ2244*(J2244*3600/Basis!$E$5)^AK2244*(((MID(C2244,9,3)*10)-144)/1000)*AL2244+AM2244*(J2244*3600/Basis!$E$5)^2)*0.0098)/Basis!$E$10,((AJ2244*(J2244/Basis!$E$5)^AK2244*(((MID(C2244,9,3)*10)-144)/1000)*AL2244+AM2244*(J2244/Basis!$E$5)^2)*0.0098)/Basis!$E$10)</f>
        <v>0.20888206861044623</v>
      </c>
      <c r="M2244" s="85"/>
      <c r="N2244" s="110">
        <v>1.468</v>
      </c>
      <c r="O2244" s="74"/>
      <c r="P2244" s="73">
        <v>5844</v>
      </c>
      <c r="Q2244" s="74"/>
      <c r="R2244" s="75"/>
      <c r="S2244" s="75"/>
      <c r="T2244" s="75"/>
      <c r="U2244" s="75"/>
      <c r="V2244" s="75"/>
      <c r="W2244" s="74"/>
      <c r="X2244" s="76"/>
      <c r="Y2244" s="76"/>
      <c r="Z2244" s="76"/>
      <c r="AA2244" s="76"/>
      <c r="AB2244" s="76"/>
      <c r="AC2244" s="74"/>
      <c r="AD2244" s="77"/>
      <c r="AE2244" s="77"/>
      <c r="AF2244" s="77"/>
      <c r="AG2244" s="77"/>
      <c r="AH2244" s="77"/>
      <c r="AI2244" s="68"/>
      <c r="AJ2244" s="213">
        <v>1.2760000000000001E-4</v>
      </c>
      <c r="AK2244" s="213">
        <v>1.7219</v>
      </c>
      <c r="AL2244" s="213">
        <v>4</v>
      </c>
      <c r="AM2244" s="213">
        <v>5.1420100000000005E-4</v>
      </c>
      <c r="AN2244" s="74"/>
      <c r="AO2244" s="73"/>
      <c r="AP2244" s="73"/>
      <c r="AQ2244" s="73"/>
      <c r="AR2244" s="73"/>
      <c r="AS2244" s="73"/>
      <c r="AT2244" s="74"/>
      <c r="AU2244" s="47"/>
      <c r="AV2244" s="48"/>
    </row>
    <row r="2245" spans="1:48" ht="12.75" customHeight="1" x14ac:dyDescent="0.25">
      <c r="A2245" s="72" t="s">
        <v>20</v>
      </c>
      <c r="B2245" s="43" t="s">
        <v>2240</v>
      </c>
      <c r="C2245" s="44" t="s">
        <v>2403</v>
      </c>
      <c r="D2245" s="45">
        <f>MROUND(MID($C2245,6,3)/Basis!$E$3,0.5)</f>
        <v>15.5</v>
      </c>
      <c r="E2245" s="45">
        <f>MROUND(MID($C2245,9,3)/Basis!$E$3,0.5)</f>
        <v>15.5</v>
      </c>
      <c r="F2245" s="124" t="s">
        <v>2943</v>
      </c>
      <c r="G2245" s="45">
        <f>ROUND((ROUNDDOWN($F2245/5,0)*5+1.8)/Basis!$E$3,1)</f>
        <v>4.5999999999999996</v>
      </c>
      <c r="H2245" s="120">
        <f>ROUND($P2245*Basis!$E$2*((TaH-TrH)/LN(1/µ)/Basis!$E$7)^$N2245*$AA$4*Glycol,0)</f>
        <v>829</v>
      </c>
      <c r="I2245" s="83">
        <f>ROUND(H2245/(MID($C2245,9,3)/Basis!$E$3/Basis!$E$9)*Basis!$E$11,0)</f>
        <v>632</v>
      </c>
      <c r="J2245" s="123">
        <f>IF(Basis!$E$1=1,ROUND(H2245/((TaH-TrH)*1.163)/3600,3),ROUND(H2245/(500*(TaH-TrH)),2))</f>
        <v>0.08</v>
      </c>
      <c r="K2245" s="84"/>
      <c r="L2245" s="177">
        <f>CHOOSE(Basis!$E$1,((AJ2245*(J2245*3600/Basis!$E$5)^AK2245*(((MID(C2245,9,3)*10)-144)/1000)*AL2245+AM2245*(J2245*3600/Basis!$E$5)^2)*0.0098)/Basis!$E$10,((AJ2245*(J2245/Basis!$E$5)^AK2245*(((MID(C2245,9,3)*10)-144)/1000)*AL2245+AM2245*(J2245/Basis!$E$5)^2)*0.0098)/Basis!$E$10)</f>
        <v>4.9815756702951681E-4</v>
      </c>
      <c r="M2245" s="85"/>
      <c r="N2245" s="110">
        <v>1.3939999999999999</v>
      </c>
      <c r="O2245" s="74"/>
      <c r="P2245" s="73">
        <v>385</v>
      </c>
      <c r="Q2245" s="74"/>
      <c r="R2245" s="75"/>
      <c r="S2245" s="75"/>
      <c r="T2245" s="75"/>
      <c r="U2245" s="75"/>
      <c r="V2245" s="75"/>
      <c r="W2245" s="74"/>
      <c r="X2245" s="76"/>
      <c r="Y2245" s="76"/>
      <c r="Z2245" s="76"/>
      <c r="AA2245" s="76"/>
      <c r="AB2245" s="76"/>
      <c r="AC2245" s="74"/>
      <c r="AD2245" s="77"/>
      <c r="AE2245" s="77"/>
      <c r="AF2245" s="77"/>
      <c r="AG2245" s="77"/>
      <c r="AH2245" s="77"/>
      <c r="AI2245" s="68"/>
      <c r="AJ2245" s="213">
        <v>3.9689999999999994E-4</v>
      </c>
      <c r="AK2245" s="213">
        <v>1.7345999999999999</v>
      </c>
      <c r="AL2245" s="213">
        <v>2</v>
      </c>
      <c r="AM2245" s="213">
        <v>3.6734700000000002E-4</v>
      </c>
      <c r="AN2245" s="74"/>
      <c r="AO2245" s="73"/>
      <c r="AP2245" s="73"/>
      <c r="AQ2245" s="73"/>
      <c r="AR2245" s="73"/>
      <c r="AS2245" s="73"/>
      <c r="AT2245" s="74"/>
      <c r="AU2245" s="47"/>
      <c r="AV2245" s="48"/>
    </row>
    <row r="2246" spans="1:48" ht="12.75" customHeight="1" x14ac:dyDescent="0.25">
      <c r="A2246" s="72" t="s">
        <v>20</v>
      </c>
      <c r="B2246" s="43" t="s">
        <v>2240</v>
      </c>
      <c r="C2246" s="44" t="s">
        <v>2404</v>
      </c>
      <c r="D2246" s="45">
        <f>MROUND(MID($C2246,6,3)/Basis!$E$3,0.5)</f>
        <v>15.5</v>
      </c>
      <c r="E2246" s="45">
        <f>MROUND(MID($C2246,9,3)/Basis!$E$3,0.5)</f>
        <v>15.5</v>
      </c>
      <c r="F2246" s="124" t="s">
        <v>2946</v>
      </c>
      <c r="G2246" s="45">
        <f>ROUND((ROUNDDOWN($F2246/5,0)*5+1.8)/Basis!$E$3,1)</f>
        <v>4.5999999999999996</v>
      </c>
      <c r="H2246" s="120">
        <f>ROUND($P2246*Basis!$E$2*((TaH-TrH)/LN(1/µ)/Basis!$E$7)^$N2246*$AA$4*Glycol,0)</f>
        <v>1074</v>
      </c>
      <c r="I2246" s="83">
        <f>ROUND(H2246/(MID($C2246,9,3)/Basis!$E$3/Basis!$E$9)*Basis!$E$11,0)</f>
        <v>818</v>
      </c>
      <c r="J2246" s="123">
        <f>IF(Basis!$E$1=1,ROUND(H2246/((TaH-TrH)*1.163)/3600,3),ROUND(H2246/(500*(TaH-TrH)),2))</f>
        <v>0.11</v>
      </c>
      <c r="K2246" s="84"/>
      <c r="L2246" s="177">
        <f>CHOOSE(Basis!$E$1,((AJ2246*(J2246*3600/Basis!$E$5)^AK2246*(((MID(C2246,9,3)*10)-144)/1000)*AL2246+AM2246*(J2246*3600/Basis!$E$5)^2)*0.0098)/Basis!$E$10,((AJ2246*(J2246/Basis!$E$5)^AK2246*(((MID(C2246,9,3)*10)-144)/1000)*AL2246+AM2246*(J2246/Basis!$E$5)^2)*0.0098)/Basis!$E$10)</f>
        <v>1.5251458968533742E-3</v>
      </c>
      <c r="M2246" s="85"/>
      <c r="N2246" s="109">
        <v>1.4390000000000001</v>
      </c>
      <c r="O2246" s="68"/>
      <c r="P2246" s="67">
        <v>506</v>
      </c>
      <c r="Q2246" s="68"/>
      <c r="R2246" s="69"/>
      <c r="S2246" s="69"/>
      <c r="T2246" s="69"/>
      <c r="U2246" s="69"/>
      <c r="V2246" s="69"/>
      <c r="W2246" s="68"/>
      <c r="X2246" s="70"/>
      <c r="Y2246" s="70"/>
      <c r="Z2246" s="70"/>
      <c r="AA2246" s="70"/>
      <c r="AB2246" s="70"/>
      <c r="AC2246" s="68"/>
      <c r="AD2246" s="71"/>
      <c r="AE2246" s="71"/>
      <c r="AF2246" s="71"/>
      <c r="AG2246" s="71"/>
      <c r="AH2246" s="71"/>
      <c r="AI2246" s="68"/>
      <c r="AJ2246" s="214">
        <v>3.9689999999999994E-4</v>
      </c>
      <c r="AK2246" s="214">
        <v>1.7345999999999999</v>
      </c>
      <c r="AL2246" s="214">
        <v>4</v>
      </c>
      <c r="AM2246" s="214">
        <v>5.7428799999999995E-4</v>
      </c>
      <c r="AN2246" s="68"/>
      <c r="AO2246" s="67"/>
      <c r="AP2246" s="67"/>
      <c r="AQ2246" s="67"/>
      <c r="AR2246" s="67"/>
      <c r="AS2246" s="67"/>
      <c r="AT2246" s="68"/>
      <c r="AU2246" s="49"/>
      <c r="AV2246" s="50"/>
    </row>
    <row r="2247" spans="1:48" ht="12.75" customHeight="1" x14ac:dyDescent="0.25">
      <c r="A2247" s="72" t="s">
        <v>20</v>
      </c>
      <c r="B2247" s="43" t="s">
        <v>2240</v>
      </c>
      <c r="C2247" s="44" t="s">
        <v>2405</v>
      </c>
      <c r="D2247" s="45">
        <f>MROUND(MID($C2247,6,3)/Basis!$E$3,0.5)</f>
        <v>15.5</v>
      </c>
      <c r="E2247" s="45">
        <f>MROUND(MID($C2247,9,3)/Basis!$E$3,0.5)</f>
        <v>15.5</v>
      </c>
      <c r="F2247" s="124" t="s">
        <v>2944</v>
      </c>
      <c r="G2247" s="45">
        <f>ROUND((ROUNDDOWN($F2247/5,0)*5+1.8)/Basis!$E$3,1)</f>
        <v>6.6</v>
      </c>
      <c r="H2247" s="120">
        <f>ROUND($P2247*Basis!$E$2*((TaH-TrH)/LN(1/µ)/Basis!$E$7)^$N2247*$AA$4*Glycol,0)</f>
        <v>1354</v>
      </c>
      <c r="I2247" s="83">
        <f>ROUND(H2247/(MID($C2247,9,3)/Basis!$E$3/Basis!$E$9)*Basis!$E$11,0)</f>
        <v>1032</v>
      </c>
      <c r="J2247" s="123">
        <f>IF(Basis!$E$1=1,ROUND(H2247/((TaH-TrH)*1.163)/3600,3),ROUND(H2247/(500*(TaH-TrH)),2))</f>
        <v>0.14000000000000001</v>
      </c>
      <c r="K2247" s="84"/>
      <c r="L2247" s="177">
        <f>CHOOSE(Basis!$E$1,((AJ2247*(J2247*3600/Basis!$E$5)^AK2247*(((MID(C2247,9,3)*10)-144)/1000)*AL2247+AM2247*(J2247*3600/Basis!$E$5)^2)*0.0098)/Basis!$E$10,((AJ2247*(J2247/Basis!$E$5)^AK2247*(((MID(C2247,9,3)*10)-144)/1000)*AL2247+AM2247*(J2247/Basis!$E$5)^2)*0.0098)/Basis!$E$10)</f>
        <v>1.6624808875258625E-3</v>
      </c>
      <c r="M2247" s="85"/>
      <c r="N2247" s="110">
        <v>1.385</v>
      </c>
      <c r="O2247" s="74"/>
      <c r="P2247" s="73">
        <v>627</v>
      </c>
      <c r="Q2247" s="74"/>
      <c r="R2247" s="75"/>
      <c r="S2247" s="75"/>
      <c r="T2247" s="75"/>
      <c r="U2247" s="75"/>
      <c r="V2247" s="75"/>
      <c r="W2247" s="74"/>
      <c r="X2247" s="76"/>
      <c r="Y2247" s="76"/>
      <c r="Z2247" s="76"/>
      <c r="AA2247" s="76"/>
      <c r="AB2247" s="76"/>
      <c r="AC2247" s="74"/>
      <c r="AD2247" s="77"/>
      <c r="AE2247" s="77"/>
      <c r="AF2247" s="77"/>
      <c r="AG2247" s="77"/>
      <c r="AH2247" s="77"/>
      <c r="AI2247" s="68"/>
      <c r="AJ2247" s="213">
        <v>2.0829999999999999E-4</v>
      </c>
      <c r="AK2247" s="213">
        <v>1.724</v>
      </c>
      <c r="AL2247" s="213">
        <v>2</v>
      </c>
      <c r="AM2247" s="213">
        <v>4.6182900000000003E-4</v>
      </c>
      <c r="AN2247" s="74"/>
      <c r="AO2247" s="73"/>
      <c r="AP2247" s="73"/>
      <c r="AQ2247" s="73"/>
      <c r="AR2247" s="73"/>
      <c r="AS2247" s="73"/>
      <c r="AT2247" s="74"/>
      <c r="AU2247" s="47"/>
      <c r="AV2247" s="48"/>
    </row>
    <row r="2248" spans="1:48" ht="12.75" customHeight="1" x14ac:dyDescent="0.25">
      <c r="A2248" s="72" t="s">
        <v>20</v>
      </c>
      <c r="B2248" s="43" t="s">
        <v>2240</v>
      </c>
      <c r="C2248" s="44" t="s">
        <v>2406</v>
      </c>
      <c r="D2248" s="45">
        <f>MROUND(MID($C2248,6,3)/Basis!$E$3,0.5)</f>
        <v>15.5</v>
      </c>
      <c r="E2248" s="45">
        <f>MROUND(MID($C2248,9,3)/Basis!$E$3,0.5)</f>
        <v>15.5</v>
      </c>
      <c r="F2248" s="124" t="s">
        <v>2947</v>
      </c>
      <c r="G2248" s="45">
        <f>ROUND((ROUNDDOWN($F2248/5,0)*5+1.8)/Basis!$E$3,1)</f>
        <v>6.6</v>
      </c>
      <c r="H2248" s="120">
        <f>ROUND($P2248*Basis!$E$2*((TaH-TrH)/LN(1/µ)/Basis!$E$7)^$N2248*$AA$4*Glycol,0)</f>
        <v>1433</v>
      </c>
      <c r="I2248" s="83">
        <f>ROUND(H2248/(MID($C2248,9,3)/Basis!$E$3/Basis!$E$9)*Basis!$E$11,0)</f>
        <v>1092</v>
      </c>
      <c r="J2248" s="123">
        <f>IF(Basis!$E$1=1,ROUND(H2248/((TaH-TrH)*1.163)/3600,3),ROUND(H2248/(500*(TaH-TrH)),2))</f>
        <v>0.14000000000000001</v>
      </c>
      <c r="K2248" s="84"/>
      <c r="L2248" s="177">
        <f>CHOOSE(Basis!$E$1,((AJ2248*(J2248*3600/Basis!$E$5)^AK2248*(((MID(C2248,9,3)*10)-144)/1000)*AL2248+AM2248*(J2248*3600/Basis!$E$5)^2)*0.0098)/Basis!$E$10,((AJ2248*(J2248/Basis!$E$5)^AK2248*(((MID(C2248,9,3)*10)-144)/1000)*AL2248+AM2248*(J2248/Basis!$E$5)^2)*0.0098)/Basis!$E$10)</f>
        <v>4.8759005040267082E-3</v>
      </c>
      <c r="M2248" s="85"/>
      <c r="N2248" s="109">
        <v>1.46</v>
      </c>
      <c r="O2248" s="68"/>
      <c r="P2248" s="67">
        <v>680</v>
      </c>
      <c r="Q2248" s="68"/>
      <c r="R2248" s="69"/>
      <c r="S2248" s="69"/>
      <c r="T2248" s="69"/>
      <c r="U2248" s="69"/>
      <c r="V2248" s="69"/>
      <c r="W2248" s="68"/>
      <c r="X2248" s="70"/>
      <c r="Y2248" s="70"/>
      <c r="Z2248" s="70"/>
      <c r="AA2248" s="70"/>
      <c r="AB2248" s="70"/>
      <c r="AC2248" s="68"/>
      <c r="AD2248" s="71"/>
      <c r="AE2248" s="71"/>
      <c r="AF2248" s="71"/>
      <c r="AG2248" s="71"/>
      <c r="AH2248" s="71"/>
      <c r="AI2248" s="68"/>
      <c r="AJ2248" s="214">
        <v>2.0829999999999999E-4</v>
      </c>
      <c r="AK2248" s="214">
        <v>1.724</v>
      </c>
      <c r="AL2248" s="214">
        <v>4</v>
      </c>
      <c r="AM2248" s="214">
        <v>1.392796E-3</v>
      </c>
      <c r="AN2248" s="68"/>
      <c r="AO2248" s="67"/>
      <c r="AP2248" s="67"/>
      <c r="AQ2248" s="67"/>
      <c r="AR2248" s="67"/>
      <c r="AS2248" s="67"/>
      <c r="AT2248" s="68"/>
      <c r="AU2248" s="49"/>
      <c r="AV2248" s="50"/>
    </row>
    <row r="2249" spans="1:48" ht="12.75" customHeight="1" x14ac:dyDescent="0.25">
      <c r="A2249" s="72" t="s">
        <v>20</v>
      </c>
      <c r="B2249" s="43" t="s">
        <v>2240</v>
      </c>
      <c r="C2249" s="44" t="s">
        <v>2407</v>
      </c>
      <c r="D2249" s="45">
        <f>MROUND(MID($C2249,6,3)/Basis!$E$3,0.5)</f>
        <v>15.5</v>
      </c>
      <c r="E2249" s="45">
        <f>MROUND(MID($C2249,9,3)/Basis!$E$3,0.5)</f>
        <v>15.5</v>
      </c>
      <c r="F2249" s="124" t="s">
        <v>2945</v>
      </c>
      <c r="G2249" s="45">
        <f>ROUND((ROUNDDOWN($F2249/5,0)*5+1.8)/Basis!$E$3,1)</f>
        <v>8.6</v>
      </c>
      <c r="H2249" s="120">
        <f>ROUND($P2249*Basis!$E$2*((TaH-TrH)/LN(1/µ)/Basis!$E$7)^$N2249*$AA$4*Glycol,0)</f>
        <v>1897</v>
      </c>
      <c r="I2249" s="83">
        <f>ROUND(H2249/(MID($C2249,9,3)/Basis!$E$3/Basis!$E$9)*Basis!$E$11,0)</f>
        <v>1446</v>
      </c>
      <c r="J2249" s="123">
        <f>IF(Basis!$E$1=1,ROUND(H2249/((TaH-TrH)*1.163)/3600,3),ROUND(H2249/(500*(TaH-TrH)),2))</f>
        <v>0.19</v>
      </c>
      <c r="K2249" s="84"/>
      <c r="L2249" s="177">
        <f>CHOOSE(Basis!$E$1,((AJ2249*(J2249*3600/Basis!$E$5)^AK2249*(((MID(C2249,9,3)*10)-144)/1000)*AL2249+AM2249*(J2249*3600/Basis!$E$5)^2)*0.0098)/Basis!$E$10,((AJ2249*(J2249/Basis!$E$5)^AK2249*(((MID(C2249,9,3)*10)-144)/1000)*AL2249+AM2249*(J2249/Basis!$E$5)^2)*0.0098)/Basis!$E$10)</f>
        <v>2.4328075669557414E-3</v>
      </c>
      <c r="M2249" s="85"/>
      <c r="N2249" s="110">
        <v>1.3839999999999999</v>
      </c>
      <c r="O2249" s="74"/>
      <c r="P2249" s="73">
        <v>878</v>
      </c>
      <c r="Q2249" s="74"/>
      <c r="R2249" s="75"/>
      <c r="S2249" s="75"/>
      <c r="T2249" s="75"/>
      <c r="U2249" s="75"/>
      <c r="V2249" s="75"/>
      <c r="W2249" s="74"/>
      <c r="X2249" s="76"/>
      <c r="Y2249" s="76"/>
      <c r="Z2249" s="76"/>
      <c r="AA2249" s="76"/>
      <c r="AB2249" s="76"/>
      <c r="AC2249" s="74"/>
      <c r="AD2249" s="77"/>
      <c r="AE2249" s="77"/>
      <c r="AF2249" s="77"/>
      <c r="AG2249" s="77"/>
      <c r="AH2249" s="77"/>
      <c r="AI2249" s="68"/>
      <c r="AJ2249" s="214">
        <v>1.2760000000000001E-4</v>
      </c>
      <c r="AK2249" s="214">
        <v>1.7219</v>
      </c>
      <c r="AL2249" s="214">
        <v>2</v>
      </c>
      <c r="AM2249" s="214">
        <v>3.76611E-4</v>
      </c>
      <c r="AN2249" s="74"/>
      <c r="AO2249" s="73"/>
      <c r="AP2249" s="73"/>
      <c r="AQ2249" s="73"/>
      <c r="AR2249" s="73"/>
      <c r="AS2249" s="73"/>
      <c r="AT2249" s="74"/>
      <c r="AU2249" s="47"/>
      <c r="AV2249" s="48"/>
    </row>
    <row r="2250" spans="1:48" ht="12.75" customHeight="1" x14ac:dyDescent="0.25">
      <c r="A2250" s="72" t="s">
        <v>20</v>
      </c>
      <c r="B2250" s="43" t="s">
        <v>2240</v>
      </c>
      <c r="C2250" s="44" t="s">
        <v>2408</v>
      </c>
      <c r="D2250" s="45">
        <f>MROUND(MID($C2250,6,3)/Basis!$E$3,0.5)</f>
        <v>15.5</v>
      </c>
      <c r="E2250" s="45">
        <f>MROUND(MID($C2250,9,3)/Basis!$E$3,0.5)</f>
        <v>15.5</v>
      </c>
      <c r="F2250" s="124" t="s">
        <v>2948</v>
      </c>
      <c r="G2250" s="45">
        <f>ROUND((ROUNDDOWN($F2250/5,0)*5+1.8)/Basis!$E$3,1)</f>
        <v>8.6</v>
      </c>
      <c r="H2250" s="120">
        <f>ROUND($P2250*Basis!$E$2*((TaH-TrH)/LN(1/µ)/Basis!$E$7)^$N2250*$AA$4*Glycol,0)</f>
        <v>1907</v>
      </c>
      <c r="I2250" s="83">
        <f>ROUND(H2250/(MID($C2250,9,3)/Basis!$E$3/Basis!$E$9)*Basis!$E$11,0)</f>
        <v>1453</v>
      </c>
      <c r="J2250" s="123">
        <f>IF(Basis!$E$1=1,ROUND(H2250/((TaH-TrH)*1.163)/3600,3),ROUND(H2250/(500*(TaH-TrH)),2))</f>
        <v>0.19</v>
      </c>
      <c r="K2250" s="84"/>
      <c r="L2250" s="177">
        <f>CHOOSE(Basis!$E$1,((AJ2250*(J2250*3600/Basis!$E$5)^AK2250*(((MID(C2250,9,3)*10)-144)/1000)*AL2250+AM2250*(J2250*3600/Basis!$E$5)^2)*0.0098)/Basis!$E$10,((AJ2250*(J2250/Basis!$E$5)^AK2250*(((MID(C2250,9,3)*10)-144)/1000)*AL2250+AM2250*(J2250/Basis!$E$5)^2)*0.0098)/Basis!$E$10)</f>
        <v>3.410218994612049E-3</v>
      </c>
      <c r="M2250" s="85"/>
      <c r="N2250" s="109">
        <v>1.4770000000000001</v>
      </c>
      <c r="O2250" s="68"/>
      <c r="P2250" s="67">
        <v>910</v>
      </c>
      <c r="Q2250" s="68"/>
      <c r="R2250" s="69"/>
      <c r="S2250" s="69"/>
      <c r="T2250" s="69"/>
      <c r="U2250" s="69"/>
      <c r="V2250" s="69"/>
      <c r="W2250" s="68"/>
      <c r="X2250" s="70"/>
      <c r="Y2250" s="70"/>
      <c r="Z2250" s="70"/>
      <c r="AA2250" s="70"/>
      <c r="AB2250" s="70"/>
      <c r="AC2250" s="68"/>
      <c r="AD2250" s="71"/>
      <c r="AE2250" s="71"/>
      <c r="AF2250" s="71"/>
      <c r="AG2250" s="71"/>
      <c r="AH2250" s="71"/>
      <c r="AI2250" s="68"/>
      <c r="AJ2250" s="214">
        <v>1.2760000000000001E-4</v>
      </c>
      <c r="AK2250" s="214">
        <v>1.7219</v>
      </c>
      <c r="AL2250" s="214">
        <v>4</v>
      </c>
      <c r="AM2250" s="214">
        <v>5.1420100000000005E-4</v>
      </c>
      <c r="AN2250" s="68"/>
      <c r="AO2250" s="67"/>
      <c r="AP2250" s="67"/>
      <c r="AQ2250" s="67"/>
      <c r="AR2250" s="67"/>
      <c r="AS2250" s="67"/>
      <c r="AT2250" s="68"/>
      <c r="AU2250" s="49"/>
      <c r="AV2250" s="50"/>
    </row>
    <row r="2251" spans="1:48" ht="12.75" customHeight="1" x14ac:dyDescent="0.25">
      <c r="A2251" s="72" t="s">
        <v>20</v>
      </c>
      <c r="B2251" s="43" t="s">
        <v>2240</v>
      </c>
      <c r="C2251" s="44" t="s">
        <v>2409</v>
      </c>
      <c r="D2251" s="45">
        <f>MROUND(MID($C2251,6,3)/Basis!$E$3,0.5)</f>
        <v>15.5</v>
      </c>
      <c r="E2251" s="45">
        <f>MROUND(MID($C2251,9,3)/Basis!$E$3,0.5)</f>
        <v>19.5</v>
      </c>
      <c r="F2251" s="124" t="s">
        <v>2943</v>
      </c>
      <c r="G2251" s="45">
        <f>ROUND((ROUNDDOWN($F2251/5,0)*5+1.8)/Basis!$E$3,1)</f>
        <v>4.5999999999999996</v>
      </c>
      <c r="H2251" s="120">
        <f>ROUND($P2251*Basis!$E$2*((TaH-TrH)/LN(1/µ)/Basis!$E$7)^$N2251*$AA$4*Glycol,0)</f>
        <v>1038</v>
      </c>
      <c r="I2251" s="83">
        <f>ROUND(H2251/(MID($C2251,9,3)/Basis!$E$3/Basis!$E$9)*Basis!$E$11,0)</f>
        <v>633</v>
      </c>
      <c r="J2251" s="123">
        <f>IF(Basis!$E$1=1,ROUND(H2251/((TaH-TrH)*1.163)/3600,3),ROUND(H2251/(500*(TaH-TrH)),2))</f>
        <v>0.1</v>
      </c>
      <c r="K2251" s="84"/>
      <c r="L2251" s="177">
        <f>CHOOSE(Basis!$E$1,((AJ2251*(J2251*3600/Basis!$E$5)^AK2251*(((MID(C2251,9,3)*10)-144)/1000)*AL2251+AM2251*(J2251*3600/Basis!$E$5)^2)*0.0098)/Basis!$E$10,((AJ2251*(J2251/Basis!$E$5)^AK2251*(((MID(C2251,9,3)*10)-144)/1000)*AL2251+AM2251*(J2251/Basis!$E$5)^2)*0.0098)/Basis!$E$10)</f>
        <v>8.2769374243100264E-4</v>
      </c>
      <c r="M2251" s="85"/>
      <c r="N2251" s="110">
        <v>1.3939999999999999</v>
      </c>
      <c r="O2251" s="74"/>
      <c r="P2251" s="73">
        <v>482</v>
      </c>
      <c r="Q2251" s="74"/>
      <c r="R2251" s="75"/>
      <c r="S2251" s="75"/>
      <c r="T2251" s="75"/>
      <c r="U2251" s="75"/>
      <c r="V2251" s="75"/>
      <c r="W2251" s="74"/>
      <c r="X2251" s="76"/>
      <c r="Y2251" s="76"/>
      <c r="Z2251" s="76"/>
      <c r="AA2251" s="76"/>
      <c r="AB2251" s="76"/>
      <c r="AC2251" s="74"/>
      <c r="AD2251" s="77"/>
      <c r="AE2251" s="77"/>
      <c r="AF2251" s="77"/>
      <c r="AG2251" s="77"/>
      <c r="AH2251" s="77"/>
      <c r="AI2251" s="68"/>
      <c r="AJ2251" s="213">
        <v>3.9689999999999994E-4</v>
      </c>
      <c r="AK2251" s="213">
        <v>1.7345999999999999</v>
      </c>
      <c r="AL2251" s="213">
        <v>2</v>
      </c>
      <c r="AM2251" s="213">
        <v>3.6734700000000002E-4</v>
      </c>
      <c r="AN2251" s="74"/>
      <c r="AO2251" s="73"/>
      <c r="AP2251" s="73"/>
      <c r="AQ2251" s="73"/>
      <c r="AR2251" s="73"/>
      <c r="AS2251" s="73"/>
      <c r="AT2251" s="74"/>
      <c r="AU2251" s="47"/>
      <c r="AV2251" s="48"/>
    </row>
    <row r="2252" spans="1:48" ht="12.75" customHeight="1" x14ac:dyDescent="0.25">
      <c r="A2252" s="72" t="s">
        <v>20</v>
      </c>
      <c r="B2252" s="43" t="s">
        <v>2240</v>
      </c>
      <c r="C2252" s="44" t="s">
        <v>2410</v>
      </c>
      <c r="D2252" s="45">
        <f>MROUND(MID($C2252,6,3)/Basis!$E$3,0.5)</f>
        <v>15.5</v>
      </c>
      <c r="E2252" s="45">
        <f>MROUND(MID($C2252,9,3)/Basis!$E$3,0.5)</f>
        <v>19.5</v>
      </c>
      <c r="F2252" s="124" t="s">
        <v>2946</v>
      </c>
      <c r="G2252" s="45">
        <f>ROUND((ROUNDDOWN($F2252/5,0)*5+1.8)/Basis!$E$3,1)</f>
        <v>4.5999999999999996</v>
      </c>
      <c r="H2252" s="120">
        <f>ROUND($P2252*Basis!$E$2*((TaH-TrH)/LN(1/µ)/Basis!$E$7)^$N2252*$AA$4*Glycol,0)</f>
        <v>1341</v>
      </c>
      <c r="I2252" s="83">
        <f>ROUND(H2252/(MID($C2252,9,3)/Basis!$E$3/Basis!$E$9)*Basis!$E$11,0)</f>
        <v>817</v>
      </c>
      <c r="J2252" s="123">
        <f>IF(Basis!$E$1=1,ROUND(H2252/((TaH-TrH)*1.163)/3600,3),ROUND(H2252/(500*(TaH-TrH)),2))</f>
        <v>0.13</v>
      </c>
      <c r="K2252" s="84"/>
      <c r="L2252" s="177">
        <f>CHOOSE(Basis!$E$1,((AJ2252*(J2252*3600/Basis!$E$5)^AK2252*(((MID(C2252,9,3)*10)-144)/1000)*AL2252+AM2252*(J2252*3600/Basis!$E$5)^2)*0.0098)/Basis!$E$10,((AJ2252*(J2252/Basis!$E$5)^AK2252*(((MID(C2252,9,3)*10)-144)/1000)*AL2252+AM2252*(J2252/Basis!$E$5)^2)*0.0098)/Basis!$E$10)</f>
        <v>2.2930551813665173E-3</v>
      </c>
      <c r="M2252" s="85"/>
      <c r="N2252" s="109">
        <v>1.4390000000000001</v>
      </c>
      <c r="O2252" s="68"/>
      <c r="P2252" s="67">
        <v>632</v>
      </c>
      <c r="Q2252" s="68"/>
      <c r="R2252" s="69"/>
      <c r="S2252" s="69"/>
      <c r="T2252" s="69"/>
      <c r="U2252" s="69"/>
      <c r="V2252" s="69"/>
      <c r="W2252" s="68"/>
      <c r="X2252" s="70"/>
      <c r="Y2252" s="70"/>
      <c r="Z2252" s="70"/>
      <c r="AA2252" s="70"/>
      <c r="AB2252" s="70"/>
      <c r="AC2252" s="68"/>
      <c r="AD2252" s="71"/>
      <c r="AE2252" s="71"/>
      <c r="AF2252" s="71"/>
      <c r="AG2252" s="71"/>
      <c r="AH2252" s="71"/>
      <c r="AI2252" s="68"/>
      <c r="AJ2252" s="214">
        <v>3.9689999999999994E-4</v>
      </c>
      <c r="AK2252" s="214">
        <v>1.7345999999999999</v>
      </c>
      <c r="AL2252" s="214">
        <v>4</v>
      </c>
      <c r="AM2252" s="214">
        <v>5.7428799999999995E-4</v>
      </c>
      <c r="AN2252" s="68"/>
      <c r="AO2252" s="67"/>
      <c r="AP2252" s="67"/>
      <c r="AQ2252" s="67"/>
      <c r="AR2252" s="67"/>
      <c r="AS2252" s="67"/>
      <c r="AT2252" s="68"/>
      <c r="AU2252" s="49"/>
      <c r="AV2252" s="50"/>
    </row>
    <row r="2253" spans="1:48" ht="12.75" customHeight="1" x14ac:dyDescent="0.25">
      <c r="A2253" s="72" t="s">
        <v>20</v>
      </c>
      <c r="B2253" s="43" t="s">
        <v>2240</v>
      </c>
      <c r="C2253" s="44" t="s">
        <v>2411</v>
      </c>
      <c r="D2253" s="45">
        <f>MROUND(MID($C2253,6,3)/Basis!$E$3,0.5)</f>
        <v>15.5</v>
      </c>
      <c r="E2253" s="45">
        <f>MROUND(MID($C2253,9,3)/Basis!$E$3,0.5)</f>
        <v>19.5</v>
      </c>
      <c r="F2253" s="124" t="s">
        <v>2944</v>
      </c>
      <c r="G2253" s="45">
        <f>ROUND((ROUNDDOWN($F2253/5,0)*5+1.8)/Basis!$E$3,1)</f>
        <v>6.6</v>
      </c>
      <c r="H2253" s="120">
        <f>ROUND($P2253*Basis!$E$2*((TaH-TrH)/LN(1/µ)/Basis!$E$7)^$N2253*$AA$4*Glycol,0)</f>
        <v>1694</v>
      </c>
      <c r="I2253" s="83">
        <f>ROUND(H2253/(MID($C2253,9,3)/Basis!$E$3/Basis!$E$9)*Basis!$E$11,0)</f>
        <v>1033</v>
      </c>
      <c r="J2253" s="123">
        <f>IF(Basis!$E$1=1,ROUND(H2253/((TaH-TrH)*1.163)/3600,3),ROUND(H2253/(500*(TaH-TrH)),2))</f>
        <v>0.17</v>
      </c>
      <c r="K2253" s="84"/>
      <c r="L2253" s="177">
        <f>CHOOSE(Basis!$E$1,((AJ2253*(J2253*3600/Basis!$E$5)^AK2253*(((MID(C2253,9,3)*10)-144)/1000)*AL2253+AM2253*(J2253*3600/Basis!$E$5)^2)*0.0098)/Basis!$E$10,((AJ2253*(J2253/Basis!$E$5)^AK2253*(((MID(C2253,9,3)*10)-144)/1000)*AL2253+AM2253*(J2253/Basis!$E$5)^2)*0.0098)/Basis!$E$10)</f>
        <v>2.5149550164641188E-3</v>
      </c>
      <c r="M2253" s="85"/>
      <c r="N2253" s="110">
        <v>1.385</v>
      </c>
      <c r="O2253" s="74"/>
      <c r="P2253" s="73">
        <v>784</v>
      </c>
      <c r="Q2253" s="74"/>
      <c r="R2253" s="75"/>
      <c r="S2253" s="75"/>
      <c r="T2253" s="75"/>
      <c r="U2253" s="75"/>
      <c r="V2253" s="75"/>
      <c r="W2253" s="74"/>
      <c r="X2253" s="76"/>
      <c r="Y2253" s="76"/>
      <c r="Z2253" s="76"/>
      <c r="AA2253" s="76"/>
      <c r="AB2253" s="76"/>
      <c r="AC2253" s="74"/>
      <c r="AD2253" s="77"/>
      <c r="AE2253" s="77"/>
      <c r="AF2253" s="77"/>
      <c r="AG2253" s="77"/>
      <c r="AH2253" s="77"/>
      <c r="AI2253" s="68"/>
      <c r="AJ2253" s="213">
        <v>2.0829999999999999E-4</v>
      </c>
      <c r="AK2253" s="213">
        <v>1.724</v>
      </c>
      <c r="AL2253" s="213">
        <v>2</v>
      </c>
      <c r="AM2253" s="213">
        <v>4.6182900000000003E-4</v>
      </c>
      <c r="AN2253" s="74"/>
      <c r="AO2253" s="73"/>
      <c r="AP2253" s="73"/>
      <c r="AQ2253" s="73"/>
      <c r="AR2253" s="73"/>
      <c r="AS2253" s="73"/>
      <c r="AT2253" s="74"/>
      <c r="AU2253" s="47"/>
      <c r="AV2253" s="48"/>
    </row>
    <row r="2254" spans="1:48" ht="12.75" customHeight="1" x14ac:dyDescent="0.25">
      <c r="A2254" s="72" t="s">
        <v>20</v>
      </c>
      <c r="B2254" s="43" t="s">
        <v>2240</v>
      </c>
      <c r="C2254" s="44" t="s">
        <v>2412</v>
      </c>
      <c r="D2254" s="45">
        <f>MROUND(MID($C2254,6,3)/Basis!$E$3,0.5)</f>
        <v>15.5</v>
      </c>
      <c r="E2254" s="45">
        <f>MROUND(MID($C2254,9,3)/Basis!$E$3,0.5)</f>
        <v>19.5</v>
      </c>
      <c r="F2254" s="124" t="s">
        <v>2947</v>
      </c>
      <c r="G2254" s="45">
        <f>ROUND((ROUNDDOWN($F2254/5,0)*5+1.8)/Basis!$E$3,1)</f>
        <v>6.6</v>
      </c>
      <c r="H2254" s="120">
        <f>ROUND($P2254*Basis!$E$2*((TaH-TrH)/LN(1/µ)/Basis!$E$7)^$N2254*$AA$4*Glycol,0)</f>
        <v>1791</v>
      </c>
      <c r="I2254" s="83">
        <f>ROUND(H2254/(MID($C2254,9,3)/Basis!$E$3/Basis!$E$9)*Basis!$E$11,0)</f>
        <v>1092</v>
      </c>
      <c r="J2254" s="123">
        <f>IF(Basis!$E$1=1,ROUND(H2254/((TaH-TrH)*1.163)/3600,3),ROUND(H2254/(500*(TaH-TrH)),2))</f>
        <v>0.18</v>
      </c>
      <c r="K2254" s="84"/>
      <c r="L2254" s="177">
        <f>CHOOSE(Basis!$E$1,((AJ2254*(J2254*3600/Basis!$E$5)^AK2254*(((MID(C2254,9,3)*10)-144)/1000)*AL2254+AM2254*(J2254*3600/Basis!$E$5)^2)*0.0098)/Basis!$E$10,((AJ2254*(J2254/Basis!$E$5)^AK2254*(((MID(C2254,9,3)*10)-144)/1000)*AL2254+AM2254*(J2254/Basis!$E$5)^2)*0.0098)/Basis!$E$10)</f>
        <v>8.1936094105515087E-3</v>
      </c>
      <c r="M2254" s="85"/>
      <c r="N2254" s="109">
        <v>1.46</v>
      </c>
      <c r="O2254" s="68"/>
      <c r="P2254" s="67">
        <v>850</v>
      </c>
      <c r="Q2254" s="68"/>
      <c r="R2254" s="69"/>
      <c r="S2254" s="69"/>
      <c r="T2254" s="69"/>
      <c r="U2254" s="69"/>
      <c r="V2254" s="69"/>
      <c r="W2254" s="68"/>
      <c r="X2254" s="70"/>
      <c r="Y2254" s="70"/>
      <c r="Z2254" s="70"/>
      <c r="AA2254" s="70"/>
      <c r="AB2254" s="70"/>
      <c r="AC2254" s="68"/>
      <c r="AD2254" s="71"/>
      <c r="AE2254" s="71"/>
      <c r="AF2254" s="71"/>
      <c r="AG2254" s="71"/>
      <c r="AH2254" s="71"/>
      <c r="AI2254" s="68"/>
      <c r="AJ2254" s="214">
        <v>2.0829999999999999E-4</v>
      </c>
      <c r="AK2254" s="214">
        <v>1.724</v>
      </c>
      <c r="AL2254" s="214">
        <v>4</v>
      </c>
      <c r="AM2254" s="214">
        <v>1.392796E-3</v>
      </c>
      <c r="AN2254" s="68"/>
      <c r="AO2254" s="67"/>
      <c r="AP2254" s="67"/>
      <c r="AQ2254" s="67"/>
      <c r="AR2254" s="67"/>
      <c r="AS2254" s="67"/>
      <c r="AT2254" s="68"/>
      <c r="AU2254" s="49"/>
      <c r="AV2254" s="50"/>
    </row>
    <row r="2255" spans="1:48" ht="12.75" customHeight="1" x14ac:dyDescent="0.25">
      <c r="A2255" s="72" t="s">
        <v>20</v>
      </c>
      <c r="B2255" s="43" t="s">
        <v>2240</v>
      </c>
      <c r="C2255" s="44" t="s">
        <v>2413</v>
      </c>
      <c r="D2255" s="45">
        <f>MROUND(MID($C2255,6,3)/Basis!$E$3,0.5)</f>
        <v>15.5</v>
      </c>
      <c r="E2255" s="45">
        <f>MROUND(MID($C2255,9,3)/Basis!$E$3,0.5)</f>
        <v>19.5</v>
      </c>
      <c r="F2255" s="124" t="s">
        <v>2945</v>
      </c>
      <c r="G2255" s="45">
        <f>ROUND((ROUNDDOWN($F2255/5,0)*5+1.8)/Basis!$E$3,1)</f>
        <v>8.6</v>
      </c>
      <c r="H2255" s="120">
        <f>ROUND($P2255*Basis!$E$2*((TaH-TrH)/LN(1/µ)/Basis!$E$7)^$N2255*$AA$4*Glycol,0)</f>
        <v>2373</v>
      </c>
      <c r="I2255" s="83">
        <f>ROUND(H2255/(MID($C2255,9,3)/Basis!$E$3/Basis!$E$9)*Basis!$E$11,0)</f>
        <v>1447</v>
      </c>
      <c r="J2255" s="123">
        <f>IF(Basis!$E$1=1,ROUND(H2255/((TaH-TrH)*1.163)/3600,3),ROUND(H2255/(500*(TaH-TrH)),2))</f>
        <v>0.24</v>
      </c>
      <c r="K2255" s="84"/>
      <c r="L2255" s="177">
        <f>CHOOSE(Basis!$E$1,((AJ2255*(J2255*3600/Basis!$E$5)^AK2255*(((MID(C2255,9,3)*10)-144)/1000)*AL2255+AM2255*(J2255*3600/Basis!$E$5)^2)*0.0098)/Basis!$E$10,((AJ2255*(J2255/Basis!$E$5)^AK2255*(((MID(C2255,9,3)*10)-144)/1000)*AL2255+AM2255*(J2255/Basis!$E$5)^2)*0.0098)/Basis!$E$10)</f>
        <v>3.9492470641896383E-3</v>
      </c>
      <c r="M2255" s="85"/>
      <c r="N2255" s="110">
        <v>1.3839999999999999</v>
      </c>
      <c r="O2255" s="74"/>
      <c r="P2255" s="73">
        <v>1098</v>
      </c>
      <c r="Q2255" s="74"/>
      <c r="R2255" s="75"/>
      <c r="S2255" s="75"/>
      <c r="T2255" s="75"/>
      <c r="U2255" s="75"/>
      <c r="V2255" s="75"/>
      <c r="W2255" s="74"/>
      <c r="X2255" s="76"/>
      <c r="Y2255" s="76"/>
      <c r="Z2255" s="76"/>
      <c r="AA2255" s="76"/>
      <c r="AB2255" s="76"/>
      <c r="AC2255" s="74"/>
      <c r="AD2255" s="77"/>
      <c r="AE2255" s="77"/>
      <c r="AF2255" s="77"/>
      <c r="AG2255" s="77"/>
      <c r="AH2255" s="77"/>
      <c r="AI2255" s="68"/>
      <c r="AJ2255" s="214">
        <v>1.2760000000000001E-4</v>
      </c>
      <c r="AK2255" s="214">
        <v>1.7219</v>
      </c>
      <c r="AL2255" s="214">
        <v>2</v>
      </c>
      <c r="AM2255" s="214">
        <v>3.76611E-4</v>
      </c>
      <c r="AN2255" s="74"/>
      <c r="AO2255" s="73"/>
      <c r="AP2255" s="73"/>
      <c r="AQ2255" s="73"/>
      <c r="AR2255" s="73"/>
      <c r="AS2255" s="73"/>
      <c r="AT2255" s="74"/>
      <c r="AU2255" s="47"/>
      <c r="AV2255" s="48"/>
    </row>
    <row r="2256" spans="1:48" ht="12.75" customHeight="1" x14ac:dyDescent="0.25">
      <c r="A2256" s="72" t="s">
        <v>20</v>
      </c>
      <c r="B2256" s="43" t="s">
        <v>2240</v>
      </c>
      <c r="C2256" s="44" t="s">
        <v>2414</v>
      </c>
      <c r="D2256" s="45">
        <f>MROUND(MID($C2256,6,3)/Basis!$E$3,0.5)</f>
        <v>15.5</v>
      </c>
      <c r="E2256" s="45">
        <f>MROUND(MID($C2256,9,3)/Basis!$E$3,0.5)</f>
        <v>19.5</v>
      </c>
      <c r="F2256" s="124" t="s">
        <v>2948</v>
      </c>
      <c r="G2256" s="45">
        <f>ROUND((ROUNDDOWN($F2256/5,0)*5+1.8)/Basis!$E$3,1)</f>
        <v>8.6</v>
      </c>
      <c r="H2256" s="120">
        <f>ROUND($P2256*Basis!$E$2*((TaH-TrH)/LN(1/µ)/Basis!$E$7)^$N2256*$AA$4*Glycol,0)</f>
        <v>2383</v>
      </c>
      <c r="I2256" s="83">
        <f>ROUND(H2256/(MID($C2256,9,3)/Basis!$E$3/Basis!$E$9)*Basis!$E$11,0)</f>
        <v>1453</v>
      </c>
      <c r="J2256" s="123">
        <f>IF(Basis!$E$1=1,ROUND(H2256/((TaH-TrH)*1.163)/3600,3),ROUND(H2256/(500*(TaH-TrH)),2))</f>
        <v>0.24</v>
      </c>
      <c r="K2256" s="84"/>
      <c r="L2256" s="177">
        <f>CHOOSE(Basis!$E$1,((AJ2256*(J2256*3600/Basis!$E$5)^AK2256*(((MID(C2256,9,3)*10)-144)/1000)*AL2256+AM2256*(J2256*3600/Basis!$E$5)^2)*0.0098)/Basis!$E$10,((AJ2256*(J2256/Basis!$E$5)^AK2256*(((MID(C2256,9,3)*10)-144)/1000)*AL2256+AM2256*(J2256/Basis!$E$5)^2)*0.0098)/Basis!$E$10)</f>
        <v>5.5763108147048341E-3</v>
      </c>
      <c r="M2256" s="85"/>
      <c r="N2256" s="109">
        <v>1.4770000000000001</v>
      </c>
      <c r="O2256" s="68"/>
      <c r="P2256" s="67">
        <v>1137</v>
      </c>
      <c r="Q2256" s="68"/>
      <c r="R2256" s="69"/>
      <c r="S2256" s="69"/>
      <c r="T2256" s="69"/>
      <c r="U2256" s="69"/>
      <c r="V2256" s="69"/>
      <c r="W2256" s="68"/>
      <c r="X2256" s="70"/>
      <c r="Y2256" s="70"/>
      <c r="Z2256" s="70"/>
      <c r="AA2256" s="70"/>
      <c r="AB2256" s="70"/>
      <c r="AC2256" s="68"/>
      <c r="AD2256" s="71"/>
      <c r="AE2256" s="71"/>
      <c r="AF2256" s="71"/>
      <c r="AG2256" s="71"/>
      <c r="AH2256" s="71"/>
      <c r="AI2256" s="68"/>
      <c r="AJ2256" s="214">
        <v>1.2760000000000001E-4</v>
      </c>
      <c r="AK2256" s="214">
        <v>1.7219</v>
      </c>
      <c r="AL2256" s="214">
        <v>4</v>
      </c>
      <c r="AM2256" s="214">
        <v>5.1420100000000005E-4</v>
      </c>
      <c r="AN2256" s="68"/>
      <c r="AO2256" s="67"/>
      <c r="AP2256" s="67"/>
      <c r="AQ2256" s="67"/>
      <c r="AR2256" s="67"/>
      <c r="AS2256" s="67"/>
      <c r="AT2256" s="68"/>
      <c r="AU2256" s="49"/>
      <c r="AV2256" s="50"/>
    </row>
    <row r="2257" spans="1:48" ht="12.75" customHeight="1" x14ac:dyDescent="0.25">
      <c r="A2257" s="72" t="s">
        <v>20</v>
      </c>
      <c r="B2257" s="43" t="s">
        <v>2240</v>
      </c>
      <c r="C2257" s="44" t="s">
        <v>2415</v>
      </c>
      <c r="D2257" s="45">
        <f>MROUND(MID($C2257,6,3)/Basis!$E$3,0.5)</f>
        <v>15.5</v>
      </c>
      <c r="E2257" s="45">
        <f>MROUND(MID($C2257,9,3)/Basis!$E$3,0.5)</f>
        <v>23.5</v>
      </c>
      <c r="F2257" s="124" t="s">
        <v>2943</v>
      </c>
      <c r="G2257" s="45">
        <f>ROUND((ROUNDDOWN($F2257/5,0)*5+1.8)/Basis!$E$3,1)</f>
        <v>4.5999999999999996</v>
      </c>
      <c r="H2257" s="120">
        <f>ROUND($P2257*Basis!$E$2*((TaH-TrH)/LN(1/µ)/Basis!$E$7)^$N2257*$AA$4*Glycol,0)</f>
        <v>1245</v>
      </c>
      <c r="I2257" s="83">
        <f>ROUND(H2257/(MID($C2257,9,3)/Basis!$E$3/Basis!$E$9)*Basis!$E$11,0)</f>
        <v>632</v>
      </c>
      <c r="J2257" s="123">
        <f>IF(Basis!$E$1=1,ROUND(H2257/((TaH-TrH)*1.163)/3600,3),ROUND(H2257/(500*(TaH-TrH)),2))</f>
        <v>0.12</v>
      </c>
      <c r="K2257" s="84"/>
      <c r="L2257" s="177">
        <f>CHOOSE(Basis!$E$1,((AJ2257*(J2257*3600/Basis!$E$5)^AK2257*(((MID(C2257,9,3)*10)-144)/1000)*AL2257+AM2257*(J2257*3600/Basis!$E$5)^2)*0.0098)/Basis!$E$10,((AJ2257*(J2257/Basis!$E$5)^AK2257*(((MID(C2257,9,3)*10)-144)/1000)*AL2257+AM2257*(J2257/Basis!$E$5)^2)*0.0098)/Basis!$E$10)</f>
        <v>1.2579198374497906E-3</v>
      </c>
      <c r="M2257" s="85"/>
      <c r="N2257" s="110">
        <v>1.3939999999999999</v>
      </c>
      <c r="O2257" s="74"/>
      <c r="P2257" s="73">
        <v>578</v>
      </c>
      <c r="Q2257" s="74"/>
      <c r="R2257" s="75"/>
      <c r="S2257" s="75"/>
      <c r="T2257" s="75"/>
      <c r="U2257" s="75"/>
      <c r="V2257" s="75"/>
      <c r="W2257" s="74"/>
      <c r="X2257" s="76"/>
      <c r="Y2257" s="76"/>
      <c r="Z2257" s="76"/>
      <c r="AA2257" s="76"/>
      <c r="AB2257" s="76"/>
      <c r="AC2257" s="74"/>
      <c r="AD2257" s="77"/>
      <c r="AE2257" s="77"/>
      <c r="AF2257" s="77"/>
      <c r="AG2257" s="77"/>
      <c r="AH2257" s="77"/>
      <c r="AI2257" s="68"/>
      <c r="AJ2257" s="213">
        <v>3.9689999999999994E-4</v>
      </c>
      <c r="AK2257" s="213">
        <v>1.7345999999999999</v>
      </c>
      <c r="AL2257" s="213">
        <v>2</v>
      </c>
      <c r="AM2257" s="213">
        <v>3.6734700000000002E-4</v>
      </c>
      <c r="AN2257" s="74"/>
      <c r="AO2257" s="73"/>
      <c r="AP2257" s="73"/>
      <c r="AQ2257" s="73"/>
      <c r="AR2257" s="73"/>
      <c r="AS2257" s="73"/>
      <c r="AT2257" s="74"/>
      <c r="AU2257" s="47"/>
      <c r="AV2257" s="48"/>
    </row>
    <row r="2258" spans="1:48" ht="12.75" customHeight="1" x14ac:dyDescent="0.25">
      <c r="A2258" s="72" t="s">
        <v>20</v>
      </c>
      <c r="B2258" s="43" t="s">
        <v>2240</v>
      </c>
      <c r="C2258" s="44" t="s">
        <v>2416</v>
      </c>
      <c r="D2258" s="45">
        <f>MROUND(MID($C2258,6,3)/Basis!$E$3,0.5)</f>
        <v>15.5</v>
      </c>
      <c r="E2258" s="45">
        <f>MROUND(MID($C2258,9,3)/Basis!$E$3,0.5)</f>
        <v>23.5</v>
      </c>
      <c r="F2258" s="124" t="s">
        <v>2946</v>
      </c>
      <c r="G2258" s="45">
        <f>ROUND((ROUNDDOWN($F2258/5,0)*5+1.8)/Basis!$E$3,1)</f>
        <v>4.5999999999999996</v>
      </c>
      <c r="H2258" s="120">
        <f>ROUND($P2258*Basis!$E$2*((TaH-TrH)/LN(1/µ)/Basis!$E$7)^$N2258*$AA$4*Glycol,0)</f>
        <v>1609</v>
      </c>
      <c r="I2258" s="83">
        <f>ROUND(H2258/(MID($C2258,9,3)/Basis!$E$3/Basis!$E$9)*Basis!$E$11,0)</f>
        <v>817</v>
      </c>
      <c r="J2258" s="123">
        <f>IF(Basis!$E$1=1,ROUND(H2258/((TaH-TrH)*1.163)/3600,3),ROUND(H2258/(500*(TaH-TrH)),2))</f>
        <v>0.16</v>
      </c>
      <c r="K2258" s="84"/>
      <c r="L2258" s="177">
        <f>CHOOSE(Basis!$E$1,((AJ2258*(J2258*3600/Basis!$E$5)^AK2258*(((MID(C2258,9,3)*10)-144)/1000)*AL2258+AM2258*(J2258*3600/Basis!$E$5)^2)*0.0098)/Basis!$E$10,((AJ2258*(J2258/Basis!$E$5)^AK2258*(((MID(C2258,9,3)*10)-144)/1000)*AL2258+AM2258*(J2258/Basis!$E$5)^2)*0.0098)/Basis!$E$10)</f>
        <v>3.6843998502735088E-3</v>
      </c>
      <c r="M2258" s="85"/>
      <c r="N2258" s="109">
        <v>1.4390000000000001</v>
      </c>
      <c r="O2258" s="68"/>
      <c r="P2258" s="67">
        <v>758</v>
      </c>
      <c r="Q2258" s="68"/>
      <c r="R2258" s="69"/>
      <c r="S2258" s="69"/>
      <c r="T2258" s="69"/>
      <c r="U2258" s="69"/>
      <c r="V2258" s="69"/>
      <c r="W2258" s="68"/>
      <c r="X2258" s="70"/>
      <c r="Y2258" s="70"/>
      <c r="Z2258" s="70"/>
      <c r="AA2258" s="70"/>
      <c r="AB2258" s="70"/>
      <c r="AC2258" s="68"/>
      <c r="AD2258" s="71"/>
      <c r="AE2258" s="71"/>
      <c r="AF2258" s="71"/>
      <c r="AG2258" s="71"/>
      <c r="AH2258" s="71"/>
      <c r="AI2258" s="68"/>
      <c r="AJ2258" s="214">
        <v>3.9689999999999994E-4</v>
      </c>
      <c r="AK2258" s="214">
        <v>1.7345999999999999</v>
      </c>
      <c r="AL2258" s="214">
        <v>4</v>
      </c>
      <c r="AM2258" s="214">
        <v>5.7428799999999995E-4</v>
      </c>
      <c r="AN2258" s="68"/>
      <c r="AO2258" s="67"/>
      <c r="AP2258" s="67"/>
      <c r="AQ2258" s="67"/>
      <c r="AR2258" s="67"/>
      <c r="AS2258" s="67"/>
      <c r="AT2258" s="68"/>
      <c r="AU2258" s="49"/>
      <c r="AV2258" s="50"/>
    </row>
    <row r="2259" spans="1:48" ht="12.75" customHeight="1" x14ac:dyDescent="0.25">
      <c r="A2259" s="72" t="s">
        <v>20</v>
      </c>
      <c r="B2259" s="43" t="s">
        <v>2240</v>
      </c>
      <c r="C2259" s="44" t="s">
        <v>2417</v>
      </c>
      <c r="D2259" s="45">
        <f>MROUND(MID($C2259,6,3)/Basis!$E$3,0.5)</f>
        <v>15.5</v>
      </c>
      <c r="E2259" s="45">
        <f>MROUND(MID($C2259,9,3)/Basis!$E$3,0.5)</f>
        <v>23.5</v>
      </c>
      <c r="F2259" s="124" t="s">
        <v>2944</v>
      </c>
      <c r="G2259" s="45">
        <f>ROUND((ROUNDDOWN($F2259/5,0)*5+1.8)/Basis!$E$3,1)</f>
        <v>6.6</v>
      </c>
      <c r="H2259" s="120">
        <f>ROUND($P2259*Basis!$E$2*((TaH-TrH)/LN(1/µ)/Basis!$E$7)^$N2259*$AA$4*Glycol,0)</f>
        <v>2033</v>
      </c>
      <c r="I2259" s="83">
        <f>ROUND(H2259/(MID($C2259,9,3)/Basis!$E$3/Basis!$E$9)*Basis!$E$11,0)</f>
        <v>1033</v>
      </c>
      <c r="J2259" s="123">
        <f>IF(Basis!$E$1=1,ROUND(H2259/((TaH-TrH)*1.163)/3600,3),ROUND(H2259/(500*(TaH-TrH)),2))</f>
        <v>0.2</v>
      </c>
      <c r="K2259" s="84"/>
      <c r="L2259" s="177">
        <f>CHOOSE(Basis!$E$1,((AJ2259*(J2259*3600/Basis!$E$5)^AK2259*(((MID(C2259,9,3)*10)-144)/1000)*AL2259+AM2259*(J2259*3600/Basis!$E$5)^2)*0.0098)/Basis!$E$10,((AJ2259*(J2259/Basis!$E$5)^AK2259*(((MID(C2259,9,3)*10)-144)/1000)*AL2259+AM2259*(J2259/Basis!$E$5)^2)*0.0098)/Basis!$E$10)</f>
        <v>3.5629355014562217E-3</v>
      </c>
      <c r="M2259" s="85"/>
      <c r="N2259" s="109">
        <v>1.385</v>
      </c>
      <c r="O2259" s="68"/>
      <c r="P2259" s="67">
        <v>941</v>
      </c>
      <c r="Q2259" s="68"/>
      <c r="R2259" s="69"/>
      <c r="S2259" s="69"/>
      <c r="T2259" s="69"/>
      <c r="U2259" s="69"/>
      <c r="V2259" s="69"/>
      <c r="W2259" s="68"/>
      <c r="X2259" s="70"/>
      <c r="Y2259" s="70"/>
      <c r="Z2259" s="70"/>
      <c r="AA2259" s="70"/>
      <c r="AB2259" s="70"/>
      <c r="AC2259" s="68"/>
      <c r="AD2259" s="71"/>
      <c r="AE2259" s="71"/>
      <c r="AF2259" s="71"/>
      <c r="AG2259" s="71"/>
      <c r="AH2259" s="71"/>
      <c r="AI2259" s="68"/>
      <c r="AJ2259" s="214">
        <v>2.0829999999999999E-4</v>
      </c>
      <c r="AK2259" s="214">
        <v>1.724</v>
      </c>
      <c r="AL2259" s="214">
        <v>2</v>
      </c>
      <c r="AM2259" s="214">
        <v>4.6182900000000003E-4</v>
      </c>
      <c r="AN2259" s="68"/>
      <c r="AO2259" s="67"/>
      <c r="AP2259" s="67"/>
      <c r="AQ2259" s="67"/>
      <c r="AR2259" s="67"/>
      <c r="AS2259" s="67"/>
      <c r="AT2259" s="68"/>
      <c r="AU2259" s="49"/>
      <c r="AV2259" s="50"/>
    </row>
    <row r="2260" spans="1:48" ht="12.75" customHeight="1" x14ac:dyDescent="0.25">
      <c r="A2260" s="72" t="s">
        <v>20</v>
      </c>
      <c r="B2260" s="43" t="s">
        <v>2240</v>
      </c>
      <c r="C2260" s="44" t="s">
        <v>2418</v>
      </c>
      <c r="D2260" s="45">
        <f>MROUND(MID($C2260,6,3)/Basis!$E$3,0.5)</f>
        <v>15.5</v>
      </c>
      <c r="E2260" s="45">
        <f>MROUND(MID($C2260,9,3)/Basis!$E$3,0.5)</f>
        <v>23.5</v>
      </c>
      <c r="F2260" s="124" t="s">
        <v>2947</v>
      </c>
      <c r="G2260" s="45">
        <f>ROUND((ROUNDDOWN($F2260/5,0)*5+1.8)/Basis!$E$3,1)</f>
        <v>6.6</v>
      </c>
      <c r="H2260" s="120">
        <f>ROUND($P2260*Basis!$E$2*((TaH-TrH)/LN(1/µ)/Basis!$E$7)^$N2260*$AA$4*Glycol,0)</f>
        <v>2150</v>
      </c>
      <c r="I2260" s="83">
        <f>ROUND(H2260/(MID($C2260,9,3)/Basis!$E$3/Basis!$E$9)*Basis!$E$11,0)</f>
        <v>1092</v>
      </c>
      <c r="J2260" s="123">
        <f>IF(Basis!$E$1=1,ROUND(H2260/((TaH-TrH)*1.163)/3600,3),ROUND(H2260/(500*(TaH-TrH)),2))</f>
        <v>0.22</v>
      </c>
      <c r="K2260" s="84"/>
      <c r="L2260" s="177">
        <f>CHOOSE(Basis!$E$1,((AJ2260*(J2260*3600/Basis!$E$5)^AK2260*(((MID(C2260,9,3)*10)-144)/1000)*AL2260+AM2260*(J2260*3600/Basis!$E$5)^2)*0.0098)/Basis!$E$10,((AJ2260*(J2260/Basis!$E$5)^AK2260*(((MID(C2260,9,3)*10)-144)/1000)*AL2260+AM2260*(J2260/Basis!$E$5)^2)*0.0098)/Basis!$E$10)</f>
        <v>1.2424084006467946E-2</v>
      </c>
      <c r="M2260" s="85"/>
      <c r="N2260" s="110">
        <v>1.46</v>
      </c>
      <c r="O2260" s="74"/>
      <c r="P2260" s="73">
        <v>1020</v>
      </c>
      <c r="Q2260" s="74"/>
      <c r="R2260" s="75"/>
      <c r="S2260" s="75"/>
      <c r="T2260" s="75"/>
      <c r="U2260" s="75"/>
      <c r="V2260" s="75"/>
      <c r="W2260" s="74"/>
      <c r="X2260" s="76"/>
      <c r="Y2260" s="76"/>
      <c r="Z2260" s="76"/>
      <c r="AA2260" s="76"/>
      <c r="AB2260" s="76"/>
      <c r="AC2260" s="74"/>
      <c r="AD2260" s="77"/>
      <c r="AE2260" s="77"/>
      <c r="AF2260" s="77"/>
      <c r="AG2260" s="77"/>
      <c r="AH2260" s="77"/>
      <c r="AI2260" s="68"/>
      <c r="AJ2260" s="213">
        <v>2.0829999999999999E-4</v>
      </c>
      <c r="AK2260" s="213">
        <v>1.724</v>
      </c>
      <c r="AL2260" s="213">
        <v>4</v>
      </c>
      <c r="AM2260" s="213">
        <v>1.392796E-3</v>
      </c>
      <c r="AN2260" s="74"/>
      <c r="AO2260" s="73"/>
      <c r="AP2260" s="73"/>
      <c r="AQ2260" s="73"/>
      <c r="AR2260" s="73"/>
      <c r="AS2260" s="73"/>
      <c r="AT2260" s="74"/>
      <c r="AU2260" s="47"/>
      <c r="AV2260" s="48"/>
    </row>
    <row r="2261" spans="1:48" ht="12.75" customHeight="1" x14ac:dyDescent="0.25">
      <c r="A2261" s="72" t="s">
        <v>20</v>
      </c>
      <c r="B2261" s="43" t="s">
        <v>2240</v>
      </c>
      <c r="C2261" s="44" t="s">
        <v>2419</v>
      </c>
      <c r="D2261" s="45">
        <f>MROUND(MID($C2261,6,3)/Basis!$E$3,0.5)</f>
        <v>15.5</v>
      </c>
      <c r="E2261" s="45">
        <f>MROUND(MID($C2261,9,3)/Basis!$E$3,0.5)</f>
        <v>23.5</v>
      </c>
      <c r="F2261" s="124" t="s">
        <v>2945</v>
      </c>
      <c r="G2261" s="45">
        <f>ROUND((ROUNDDOWN($F2261/5,0)*5+1.8)/Basis!$E$3,1)</f>
        <v>8.6</v>
      </c>
      <c r="H2261" s="120">
        <f>ROUND($P2261*Basis!$E$2*((TaH-TrH)/LN(1/µ)/Basis!$E$7)^$N2261*$AA$4*Glycol,0)</f>
        <v>2848</v>
      </c>
      <c r="I2261" s="83">
        <f>ROUND(H2261/(MID($C2261,9,3)/Basis!$E$3/Basis!$E$9)*Basis!$E$11,0)</f>
        <v>1447</v>
      </c>
      <c r="J2261" s="123">
        <f>IF(Basis!$E$1=1,ROUND(H2261/((TaH-TrH)*1.163)/3600,3),ROUND(H2261/(500*(TaH-TrH)),2))</f>
        <v>0.28000000000000003</v>
      </c>
      <c r="K2261" s="84"/>
      <c r="L2261" s="177">
        <f>CHOOSE(Basis!$E$1,((AJ2261*(J2261*3600/Basis!$E$5)^AK2261*(((MID(C2261,9,3)*10)-144)/1000)*AL2261+AM2261*(J2261*3600/Basis!$E$5)^2)*0.0098)/Basis!$E$10,((AJ2261*(J2261/Basis!$E$5)^AK2261*(((MID(C2261,9,3)*10)-144)/1000)*AL2261+AM2261*(J2261/Basis!$E$5)^2)*0.0098)/Basis!$E$10)</f>
        <v>5.4651241664767916E-3</v>
      </c>
      <c r="M2261" s="85"/>
      <c r="N2261" s="110">
        <v>1.3839999999999999</v>
      </c>
      <c r="O2261" s="74"/>
      <c r="P2261" s="73">
        <v>1318</v>
      </c>
      <c r="Q2261" s="74"/>
      <c r="R2261" s="75"/>
      <c r="S2261" s="75"/>
      <c r="T2261" s="75"/>
      <c r="U2261" s="75"/>
      <c r="V2261" s="75"/>
      <c r="W2261" s="74"/>
      <c r="X2261" s="76"/>
      <c r="Y2261" s="76"/>
      <c r="Z2261" s="76"/>
      <c r="AA2261" s="76"/>
      <c r="AB2261" s="76"/>
      <c r="AC2261" s="74"/>
      <c r="AD2261" s="77"/>
      <c r="AE2261" s="77"/>
      <c r="AF2261" s="77"/>
      <c r="AG2261" s="77"/>
      <c r="AH2261" s="77"/>
      <c r="AI2261" s="68"/>
      <c r="AJ2261" s="214">
        <v>1.2760000000000001E-4</v>
      </c>
      <c r="AK2261" s="214">
        <v>1.7219</v>
      </c>
      <c r="AL2261" s="214">
        <v>2</v>
      </c>
      <c r="AM2261" s="214">
        <v>3.76611E-4</v>
      </c>
      <c r="AN2261" s="74"/>
      <c r="AO2261" s="73"/>
      <c r="AP2261" s="73"/>
      <c r="AQ2261" s="73"/>
      <c r="AR2261" s="73"/>
      <c r="AS2261" s="73"/>
      <c r="AT2261" s="74"/>
      <c r="AU2261" s="47"/>
      <c r="AV2261" s="48"/>
    </row>
    <row r="2262" spans="1:48" ht="12.75" customHeight="1" x14ac:dyDescent="0.25">
      <c r="A2262" s="72" t="s">
        <v>20</v>
      </c>
      <c r="B2262" s="43" t="s">
        <v>2240</v>
      </c>
      <c r="C2262" s="44" t="s">
        <v>2420</v>
      </c>
      <c r="D2262" s="45">
        <f>MROUND(MID($C2262,6,3)/Basis!$E$3,0.5)</f>
        <v>15.5</v>
      </c>
      <c r="E2262" s="45">
        <f>MROUND(MID($C2262,9,3)/Basis!$E$3,0.5)</f>
        <v>23.5</v>
      </c>
      <c r="F2262" s="124" t="s">
        <v>2948</v>
      </c>
      <c r="G2262" s="45">
        <f>ROUND((ROUNDDOWN($F2262/5,0)*5+1.8)/Basis!$E$3,1)</f>
        <v>8.6</v>
      </c>
      <c r="H2262" s="120">
        <f>ROUND($P2262*Basis!$E$2*((TaH-TrH)/LN(1/µ)/Basis!$E$7)^$N2262*$AA$4*Glycol,0)</f>
        <v>2858</v>
      </c>
      <c r="I2262" s="83">
        <f>ROUND(H2262/(MID($C2262,9,3)/Basis!$E$3/Basis!$E$9)*Basis!$E$11,0)</f>
        <v>1452</v>
      </c>
      <c r="J2262" s="123">
        <f>IF(Basis!$E$1=1,ROUND(H2262/((TaH-TrH)*1.163)/3600,3),ROUND(H2262/(500*(TaH-TrH)),2))</f>
        <v>0.28999999999999998</v>
      </c>
      <c r="K2262" s="84"/>
      <c r="L2262" s="177">
        <f>CHOOSE(Basis!$E$1,((AJ2262*(J2262*3600/Basis!$E$5)^AK2262*(((MID(C2262,9,3)*10)-144)/1000)*AL2262+AM2262*(J2262*3600/Basis!$E$5)^2)*0.0098)/Basis!$E$10,((AJ2262*(J2262/Basis!$E$5)^AK2262*(((MID(C2262,9,3)*10)-144)/1000)*AL2262+AM2262*(J2262/Basis!$E$5)^2)*0.0098)/Basis!$E$10)</f>
        <v>8.3242697674187124E-3</v>
      </c>
      <c r="M2262" s="85"/>
      <c r="N2262" s="109">
        <v>1.4770000000000001</v>
      </c>
      <c r="O2262" s="68"/>
      <c r="P2262" s="67">
        <v>1364</v>
      </c>
      <c r="Q2262" s="68"/>
      <c r="R2262" s="69"/>
      <c r="S2262" s="69"/>
      <c r="T2262" s="69"/>
      <c r="U2262" s="69"/>
      <c r="V2262" s="69"/>
      <c r="W2262" s="68"/>
      <c r="X2262" s="70"/>
      <c r="Y2262" s="70"/>
      <c r="Z2262" s="70"/>
      <c r="AA2262" s="70"/>
      <c r="AB2262" s="70"/>
      <c r="AC2262" s="68"/>
      <c r="AD2262" s="71"/>
      <c r="AE2262" s="71"/>
      <c r="AF2262" s="71"/>
      <c r="AG2262" s="71"/>
      <c r="AH2262" s="71"/>
      <c r="AI2262" s="68"/>
      <c r="AJ2262" s="214">
        <v>1.2760000000000001E-4</v>
      </c>
      <c r="AK2262" s="214">
        <v>1.7219</v>
      </c>
      <c r="AL2262" s="214">
        <v>4</v>
      </c>
      <c r="AM2262" s="214">
        <v>5.1420100000000005E-4</v>
      </c>
      <c r="AN2262" s="68"/>
      <c r="AO2262" s="67"/>
      <c r="AP2262" s="67"/>
      <c r="AQ2262" s="67"/>
      <c r="AR2262" s="67"/>
      <c r="AS2262" s="67"/>
      <c r="AT2262" s="68"/>
      <c r="AU2262" s="49"/>
      <c r="AV2262" s="50"/>
    </row>
    <row r="2263" spans="1:48" ht="12.75" customHeight="1" x14ac:dyDescent="0.25">
      <c r="A2263" s="72" t="s">
        <v>20</v>
      </c>
      <c r="B2263" s="43" t="s">
        <v>2240</v>
      </c>
      <c r="C2263" s="44" t="s">
        <v>2421</v>
      </c>
      <c r="D2263" s="45">
        <f>MROUND(MID($C2263,6,3)/Basis!$E$3,0.5)</f>
        <v>15.5</v>
      </c>
      <c r="E2263" s="45">
        <f>MROUND(MID($C2263,9,3)/Basis!$E$3,0.5)</f>
        <v>27.5</v>
      </c>
      <c r="F2263" s="124" t="s">
        <v>2943</v>
      </c>
      <c r="G2263" s="45">
        <f>ROUND((ROUNDDOWN($F2263/5,0)*5+1.8)/Basis!$E$3,1)</f>
        <v>4.5999999999999996</v>
      </c>
      <c r="H2263" s="120">
        <f>ROUND($P2263*Basis!$E$2*((TaH-TrH)/LN(1/µ)/Basis!$E$7)^$N2263*$AA$4*Glycol,0)</f>
        <v>1452</v>
      </c>
      <c r="I2263" s="83">
        <f>ROUND(H2263/(MID($C2263,9,3)/Basis!$E$3/Basis!$E$9)*Basis!$E$11,0)</f>
        <v>632</v>
      </c>
      <c r="J2263" s="123">
        <f>IF(Basis!$E$1=1,ROUND(H2263/((TaH-TrH)*1.163)/3600,3),ROUND(H2263/(500*(TaH-TrH)),2))</f>
        <v>0.15</v>
      </c>
      <c r="K2263" s="84"/>
      <c r="L2263" s="177">
        <f>CHOOSE(Basis!$E$1,((AJ2263*(J2263*3600/Basis!$E$5)^AK2263*(((MID(C2263,9,3)*10)-144)/1000)*AL2263+AM2263*(J2263*3600/Basis!$E$5)^2)*0.0098)/Basis!$E$10,((AJ2263*(J2263/Basis!$E$5)^AK2263*(((MID(C2263,9,3)*10)-144)/1000)*AL2263+AM2263*(J2263/Basis!$E$5)^2)*0.0098)/Basis!$E$10)</f>
        <v>2.0507426836834869E-3</v>
      </c>
      <c r="M2263" s="85"/>
      <c r="N2263" s="109">
        <v>1.3939999999999999</v>
      </c>
      <c r="O2263" s="68"/>
      <c r="P2263" s="67">
        <v>674</v>
      </c>
      <c r="Q2263" s="68"/>
      <c r="R2263" s="69"/>
      <c r="S2263" s="69"/>
      <c r="T2263" s="69"/>
      <c r="U2263" s="69"/>
      <c r="V2263" s="69"/>
      <c r="W2263" s="68"/>
      <c r="X2263" s="70"/>
      <c r="Y2263" s="70"/>
      <c r="Z2263" s="70"/>
      <c r="AA2263" s="70"/>
      <c r="AB2263" s="70"/>
      <c r="AC2263" s="68"/>
      <c r="AD2263" s="71"/>
      <c r="AE2263" s="71"/>
      <c r="AF2263" s="71"/>
      <c r="AG2263" s="71"/>
      <c r="AH2263" s="71"/>
      <c r="AI2263" s="68"/>
      <c r="AJ2263" s="214">
        <v>3.9689999999999994E-4</v>
      </c>
      <c r="AK2263" s="214">
        <v>1.7345999999999999</v>
      </c>
      <c r="AL2263" s="214">
        <v>2</v>
      </c>
      <c r="AM2263" s="214">
        <v>3.6734700000000002E-4</v>
      </c>
      <c r="AN2263" s="68"/>
      <c r="AO2263" s="67"/>
      <c r="AP2263" s="67"/>
      <c r="AQ2263" s="67"/>
      <c r="AR2263" s="67"/>
      <c r="AS2263" s="67"/>
      <c r="AT2263" s="68"/>
      <c r="AU2263" s="49"/>
      <c r="AV2263" s="50"/>
    </row>
    <row r="2264" spans="1:48" ht="12.75" customHeight="1" x14ac:dyDescent="0.25">
      <c r="A2264" s="72" t="s">
        <v>20</v>
      </c>
      <c r="B2264" s="43" t="s">
        <v>2240</v>
      </c>
      <c r="C2264" s="44" t="s">
        <v>2422</v>
      </c>
      <c r="D2264" s="45">
        <f>MROUND(MID($C2264,6,3)/Basis!$E$3,0.5)</f>
        <v>15.5</v>
      </c>
      <c r="E2264" s="45">
        <f>MROUND(MID($C2264,9,3)/Basis!$E$3,0.5)</f>
        <v>27.5</v>
      </c>
      <c r="F2264" s="124" t="s">
        <v>2946</v>
      </c>
      <c r="G2264" s="45">
        <f>ROUND((ROUNDDOWN($F2264/5,0)*5+1.8)/Basis!$E$3,1)</f>
        <v>4.5999999999999996</v>
      </c>
      <c r="H2264" s="120">
        <f>ROUND($P2264*Basis!$E$2*((TaH-TrH)/LN(1/µ)/Basis!$E$7)^$N2264*$AA$4*Glycol,0)</f>
        <v>1878</v>
      </c>
      <c r="I2264" s="83">
        <f>ROUND(H2264/(MID($C2264,9,3)/Basis!$E$3/Basis!$E$9)*Basis!$E$11,0)</f>
        <v>818</v>
      </c>
      <c r="J2264" s="123">
        <f>IF(Basis!$E$1=1,ROUND(H2264/((TaH-TrH)*1.163)/3600,3),ROUND(H2264/(500*(TaH-TrH)),2))</f>
        <v>0.19</v>
      </c>
      <c r="K2264" s="84"/>
      <c r="L2264" s="177">
        <f>CHOOSE(Basis!$E$1,((AJ2264*(J2264*3600/Basis!$E$5)^AK2264*(((MID(C2264,9,3)*10)-144)/1000)*AL2264+AM2264*(J2264*3600/Basis!$E$5)^2)*0.0098)/Basis!$E$10,((AJ2264*(J2264/Basis!$E$5)^AK2264*(((MID(C2264,9,3)*10)-144)/1000)*AL2264+AM2264*(J2264/Basis!$E$5)^2)*0.0098)/Basis!$E$10)</f>
        <v>5.4757644605692391E-3</v>
      </c>
      <c r="M2264" s="85"/>
      <c r="N2264" s="110">
        <v>1.4390000000000001</v>
      </c>
      <c r="O2264" s="74"/>
      <c r="P2264" s="73">
        <v>885</v>
      </c>
      <c r="Q2264" s="74"/>
      <c r="R2264" s="75"/>
      <c r="S2264" s="75"/>
      <c r="T2264" s="75"/>
      <c r="U2264" s="75"/>
      <c r="V2264" s="75"/>
      <c r="W2264" s="74"/>
      <c r="X2264" s="76"/>
      <c r="Y2264" s="76"/>
      <c r="Z2264" s="76"/>
      <c r="AA2264" s="76"/>
      <c r="AB2264" s="76"/>
      <c r="AC2264" s="74"/>
      <c r="AD2264" s="77"/>
      <c r="AE2264" s="77"/>
      <c r="AF2264" s="77"/>
      <c r="AG2264" s="77"/>
      <c r="AH2264" s="77"/>
      <c r="AI2264" s="68"/>
      <c r="AJ2264" s="213">
        <v>3.9689999999999994E-4</v>
      </c>
      <c r="AK2264" s="213">
        <v>1.7345999999999999</v>
      </c>
      <c r="AL2264" s="213">
        <v>4</v>
      </c>
      <c r="AM2264" s="213">
        <v>5.7428799999999995E-4</v>
      </c>
      <c r="AN2264" s="74"/>
      <c r="AO2264" s="73"/>
      <c r="AP2264" s="73"/>
      <c r="AQ2264" s="73"/>
      <c r="AR2264" s="73"/>
      <c r="AS2264" s="73"/>
      <c r="AT2264" s="74"/>
      <c r="AU2264" s="47"/>
      <c r="AV2264" s="48"/>
    </row>
    <row r="2265" spans="1:48" ht="12.75" customHeight="1" x14ac:dyDescent="0.25">
      <c r="A2265" s="72" t="s">
        <v>20</v>
      </c>
      <c r="B2265" s="43" t="s">
        <v>2240</v>
      </c>
      <c r="C2265" s="44" t="s">
        <v>2423</v>
      </c>
      <c r="D2265" s="45">
        <f>MROUND(MID($C2265,6,3)/Basis!$E$3,0.5)</f>
        <v>15.5</v>
      </c>
      <c r="E2265" s="45">
        <f>MROUND(MID($C2265,9,3)/Basis!$E$3,0.5)</f>
        <v>27.5</v>
      </c>
      <c r="F2265" s="124" t="s">
        <v>2944</v>
      </c>
      <c r="G2265" s="45">
        <f>ROUND((ROUNDDOWN($F2265/5,0)*5+1.8)/Basis!$E$3,1)</f>
        <v>6.6</v>
      </c>
      <c r="H2265" s="120">
        <f>ROUND($P2265*Basis!$E$2*((TaH-TrH)/LN(1/µ)/Basis!$E$7)^$N2265*$AA$4*Glycol,0)</f>
        <v>2372</v>
      </c>
      <c r="I2265" s="83">
        <f>ROUND(H2265/(MID($C2265,9,3)/Basis!$E$3/Basis!$E$9)*Basis!$E$11,0)</f>
        <v>1033</v>
      </c>
      <c r="J2265" s="123">
        <f>IF(Basis!$E$1=1,ROUND(H2265/((TaH-TrH)*1.163)/3600,3),ROUND(H2265/(500*(TaH-TrH)),2))</f>
        <v>0.24</v>
      </c>
      <c r="K2265" s="84"/>
      <c r="L2265" s="177">
        <f>CHOOSE(Basis!$E$1,((AJ2265*(J2265*3600/Basis!$E$5)^AK2265*(((MID(C2265,9,3)*10)-144)/1000)*AL2265+AM2265*(J2265*3600/Basis!$E$5)^2)*0.0098)/Basis!$E$10,((AJ2265*(J2265/Basis!$E$5)^AK2265*(((MID(C2265,9,3)*10)-144)/1000)*AL2265+AM2265*(J2265/Basis!$E$5)^2)*0.0098)/Basis!$E$10)</f>
        <v>5.233283938143634E-3</v>
      </c>
      <c r="M2265" s="85"/>
      <c r="N2265" s="110">
        <v>1.385</v>
      </c>
      <c r="O2265" s="74"/>
      <c r="P2265" s="73">
        <v>1098</v>
      </c>
      <c r="Q2265" s="74"/>
      <c r="R2265" s="75"/>
      <c r="S2265" s="75"/>
      <c r="T2265" s="75"/>
      <c r="U2265" s="75"/>
      <c r="V2265" s="75"/>
      <c r="W2265" s="74"/>
      <c r="X2265" s="76"/>
      <c r="Y2265" s="76"/>
      <c r="Z2265" s="76"/>
      <c r="AA2265" s="76"/>
      <c r="AB2265" s="76"/>
      <c r="AC2265" s="74"/>
      <c r="AD2265" s="77"/>
      <c r="AE2265" s="77"/>
      <c r="AF2265" s="77"/>
      <c r="AG2265" s="77"/>
      <c r="AH2265" s="77"/>
      <c r="AI2265" s="68"/>
      <c r="AJ2265" s="213">
        <v>2.0829999999999999E-4</v>
      </c>
      <c r="AK2265" s="213">
        <v>1.724</v>
      </c>
      <c r="AL2265" s="213">
        <v>2</v>
      </c>
      <c r="AM2265" s="213">
        <v>4.6182900000000003E-4</v>
      </c>
      <c r="AN2265" s="74"/>
      <c r="AO2265" s="73"/>
      <c r="AP2265" s="73"/>
      <c r="AQ2265" s="73"/>
      <c r="AR2265" s="73"/>
      <c r="AS2265" s="73"/>
      <c r="AT2265" s="74"/>
      <c r="AU2265" s="47"/>
      <c r="AV2265" s="48"/>
    </row>
    <row r="2266" spans="1:48" ht="12.75" customHeight="1" x14ac:dyDescent="0.25">
      <c r="A2266" s="72" t="s">
        <v>20</v>
      </c>
      <c r="B2266" s="43" t="s">
        <v>2240</v>
      </c>
      <c r="C2266" s="44" t="s">
        <v>2424</v>
      </c>
      <c r="D2266" s="45">
        <f>MROUND(MID($C2266,6,3)/Basis!$E$3,0.5)</f>
        <v>15.5</v>
      </c>
      <c r="E2266" s="45">
        <f>MROUND(MID($C2266,9,3)/Basis!$E$3,0.5)</f>
        <v>27.5</v>
      </c>
      <c r="F2266" s="124" t="s">
        <v>2947</v>
      </c>
      <c r="G2266" s="45">
        <f>ROUND((ROUNDDOWN($F2266/5,0)*5+1.8)/Basis!$E$3,1)</f>
        <v>6.6</v>
      </c>
      <c r="H2266" s="120">
        <f>ROUND($P2266*Basis!$E$2*((TaH-TrH)/LN(1/µ)/Basis!$E$7)^$N2266*$AA$4*Glycol,0)</f>
        <v>2508</v>
      </c>
      <c r="I2266" s="83">
        <f>ROUND(H2266/(MID($C2266,9,3)/Basis!$E$3/Basis!$E$9)*Basis!$E$11,0)</f>
        <v>1092</v>
      </c>
      <c r="J2266" s="123">
        <f>IF(Basis!$E$1=1,ROUND(H2266/((TaH-TrH)*1.163)/3600,3),ROUND(H2266/(500*(TaH-TrH)),2))</f>
        <v>0.25</v>
      </c>
      <c r="K2266" s="84"/>
      <c r="L2266" s="177">
        <f>CHOOSE(Basis!$E$1,((AJ2266*(J2266*3600/Basis!$E$5)^AK2266*(((MID(C2266,9,3)*10)-144)/1000)*AL2266+AM2266*(J2266*3600/Basis!$E$5)^2)*0.0098)/Basis!$E$10,((AJ2266*(J2266/Basis!$E$5)^AK2266*(((MID(C2266,9,3)*10)-144)/1000)*AL2266+AM2266*(J2266/Basis!$E$5)^2)*0.0098)/Basis!$E$10)</f>
        <v>1.6284400067290292E-2</v>
      </c>
      <c r="M2266" s="85"/>
      <c r="N2266" s="109">
        <v>1.46</v>
      </c>
      <c r="O2266" s="68"/>
      <c r="P2266" s="67">
        <v>1190</v>
      </c>
      <c r="Q2266" s="68"/>
      <c r="R2266" s="69"/>
      <c r="S2266" s="69"/>
      <c r="T2266" s="69"/>
      <c r="U2266" s="69"/>
      <c r="V2266" s="69"/>
      <c r="W2266" s="68"/>
      <c r="X2266" s="70"/>
      <c r="Y2266" s="70"/>
      <c r="Z2266" s="70"/>
      <c r="AA2266" s="70"/>
      <c r="AB2266" s="70"/>
      <c r="AC2266" s="68"/>
      <c r="AD2266" s="71"/>
      <c r="AE2266" s="71"/>
      <c r="AF2266" s="71"/>
      <c r="AG2266" s="71"/>
      <c r="AH2266" s="71"/>
      <c r="AI2266" s="68"/>
      <c r="AJ2266" s="214">
        <v>2.0829999999999999E-4</v>
      </c>
      <c r="AK2266" s="214">
        <v>1.724</v>
      </c>
      <c r="AL2266" s="214">
        <v>4</v>
      </c>
      <c r="AM2266" s="214">
        <v>1.392796E-3</v>
      </c>
      <c r="AN2266" s="68"/>
      <c r="AO2266" s="67"/>
      <c r="AP2266" s="67"/>
      <c r="AQ2266" s="67"/>
      <c r="AR2266" s="67"/>
      <c r="AS2266" s="67"/>
      <c r="AT2266" s="68"/>
      <c r="AU2266" s="49"/>
      <c r="AV2266" s="50"/>
    </row>
    <row r="2267" spans="1:48" ht="12.75" customHeight="1" x14ac:dyDescent="0.25">
      <c r="A2267" s="72" t="s">
        <v>20</v>
      </c>
      <c r="B2267" s="43" t="s">
        <v>2240</v>
      </c>
      <c r="C2267" s="44" t="s">
        <v>2425</v>
      </c>
      <c r="D2267" s="45">
        <f>MROUND(MID($C2267,6,3)/Basis!$E$3,0.5)</f>
        <v>15.5</v>
      </c>
      <c r="E2267" s="45">
        <f>MROUND(MID($C2267,9,3)/Basis!$E$3,0.5)</f>
        <v>27.5</v>
      </c>
      <c r="F2267" s="124" t="s">
        <v>2945</v>
      </c>
      <c r="G2267" s="45">
        <f>ROUND((ROUNDDOWN($F2267/5,0)*5+1.8)/Basis!$E$3,1)</f>
        <v>8.6</v>
      </c>
      <c r="H2267" s="120">
        <f>ROUND($P2267*Basis!$E$2*((TaH-TrH)/LN(1/µ)/Basis!$E$7)^$N2267*$AA$4*Glycol,0)</f>
        <v>3321</v>
      </c>
      <c r="I2267" s="83">
        <f>ROUND(H2267/(MID($C2267,9,3)/Basis!$E$3/Basis!$E$9)*Basis!$E$11,0)</f>
        <v>1446</v>
      </c>
      <c r="J2267" s="123">
        <f>IF(Basis!$E$1=1,ROUND(H2267/((TaH-TrH)*1.163)/3600,3),ROUND(H2267/(500*(TaH-TrH)),2))</f>
        <v>0.33</v>
      </c>
      <c r="K2267" s="84"/>
      <c r="L2267" s="177">
        <f>CHOOSE(Basis!$E$1,((AJ2267*(J2267*3600/Basis!$E$5)^AK2267*(((MID(C2267,9,3)*10)-144)/1000)*AL2267+AM2267*(J2267*3600/Basis!$E$5)^2)*0.0098)/Basis!$E$10,((AJ2267*(J2267/Basis!$E$5)^AK2267*(((MID(C2267,9,3)*10)-144)/1000)*AL2267+AM2267*(J2267/Basis!$E$5)^2)*0.0098)/Basis!$E$10)</f>
        <v>7.7022554356669633E-3</v>
      </c>
      <c r="M2267" s="85"/>
      <c r="N2267" s="109">
        <v>1.3839999999999999</v>
      </c>
      <c r="O2267" s="68"/>
      <c r="P2267" s="67">
        <v>1537</v>
      </c>
      <c r="Q2267" s="68"/>
      <c r="R2267" s="69"/>
      <c r="S2267" s="69"/>
      <c r="T2267" s="69"/>
      <c r="U2267" s="69"/>
      <c r="V2267" s="69"/>
      <c r="W2267" s="68"/>
      <c r="X2267" s="70"/>
      <c r="Y2267" s="70"/>
      <c r="Z2267" s="70"/>
      <c r="AA2267" s="70"/>
      <c r="AB2267" s="70"/>
      <c r="AC2267" s="68"/>
      <c r="AD2267" s="71"/>
      <c r="AE2267" s="71"/>
      <c r="AF2267" s="71"/>
      <c r="AG2267" s="71"/>
      <c r="AH2267" s="71"/>
      <c r="AI2267" s="68"/>
      <c r="AJ2267" s="214">
        <v>1.2760000000000001E-4</v>
      </c>
      <c r="AK2267" s="214">
        <v>1.7219</v>
      </c>
      <c r="AL2267" s="214">
        <v>2</v>
      </c>
      <c r="AM2267" s="214">
        <v>3.76611E-4</v>
      </c>
      <c r="AN2267" s="68"/>
      <c r="AO2267" s="67"/>
      <c r="AP2267" s="67"/>
      <c r="AQ2267" s="67"/>
      <c r="AR2267" s="67"/>
      <c r="AS2267" s="67"/>
      <c r="AT2267" s="68"/>
      <c r="AU2267" s="49"/>
      <c r="AV2267" s="50"/>
    </row>
    <row r="2268" spans="1:48" ht="12.75" customHeight="1" x14ac:dyDescent="0.25">
      <c r="A2268" s="72" t="s">
        <v>20</v>
      </c>
      <c r="B2268" s="43" t="s">
        <v>2240</v>
      </c>
      <c r="C2268" s="44" t="s">
        <v>2426</v>
      </c>
      <c r="D2268" s="45">
        <f>MROUND(MID($C2268,6,3)/Basis!$E$3,0.5)</f>
        <v>15.5</v>
      </c>
      <c r="E2268" s="45">
        <f>MROUND(MID($C2268,9,3)/Basis!$E$3,0.5)</f>
        <v>27.5</v>
      </c>
      <c r="F2268" s="124" t="s">
        <v>2948</v>
      </c>
      <c r="G2268" s="45">
        <f>ROUND((ROUNDDOWN($F2268/5,0)*5+1.8)/Basis!$E$3,1)</f>
        <v>8.6</v>
      </c>
      <c r="H2268" s="120">
        <f>ROUND($P2268*Basis!$E$2*((TaH-TrH)/LN(1/µ)/Basis!$E$7)^$N2268*$AA$4*Glycol,0)</f>
        <v>3336</v>
      </c>
      <c r="I2268" s="83">
        <f>ROUND(H2268/(MID($C2268,9,3)/Basis!$E$3/Basis!$E$9)*Basis!$E$11,0)</f>
        <v>1453</v>
      </c>
      <c r="J2268" s="123">
        <f>IF(Basis!$E$1=1,ROUND(H2268/((TaH-TrH)*1.163)/3600,3),ROUND(H2268/(500*(TaH-TrH)),2))</f>
        <v>0.33</v>
      </c>
      <c r="K2268" s="84"/>
      <c r="L2268" s="177">
        <f>CHOOSE(Basis!$E$1,((AJ2268*(J2268*3600/Basis!$E$5)^AK2268*(((MID(C2268,9,3)*10)-144)/1000)*AL2268+AM2268*(J2268*3600/Basis!$E$5)^2)*0.0098)/Basis!$E$10,((AJ2268*(J2268/Basis!$E$5)^AK2268*(((MID(C2268,9,3)*10)-144)/1000)*AL2268+AM2268*(J2268/Basis!$E$5)^2)*0.0098)/Basis!$E$10)</f>
        <v>1.101413304391818E-2</v>
      </c>
      <c r="M2268" s="85"/>
      <c r="N2268" s="110">
        <v>1.4770000000000001</v>
      </c>
      <c r="O2268" s="74"/>
      <c r="P2268" s="73">
        <v>1592</v>
      </c>
      <c r="Q2268" s="74"/>
      <c r="R2268" s="75"/>
      <c r="S2268" s="75"/>
      <c r="T2268" s="75"/>
      <c r="U2268" s="75"/>
      <c r="V2268" s="75"/>
      <c r="W2268" s="74"/>
      <c r="X2268" s="76"/>
      <c r="Y2268" s="76"/>
      <c r="Z2268" s="76"/>
      <c r="AA2268" s="76"/>
      <c r="AB2268" s="76"/>
      <c r="AC2268" s="74"/>
      <c r="AD2268" s="77"/>
      <c r="AE2268" s="77"/>
      <c r="AF2268" s="77"/>
      <c r="AG2268" s="77"/>
      <c r="AH2268" s="77"/>
      <c r="AI2268" s="68"/>
      <c r="AJ2268" s="213">
        <v>1.2760000000000001E-4</v>
      </c>
      <c r="AK2268" s="213">
        <v>1.7219</v>
      </c>
      <c r="AL2268" s="213">
        <v>4</v>
      </c>
      <c r="AM2268" s="213">
        <v>5.1420100000000005E-4</v>
      </c>
      <c r="AN2268" s="74"/>
      <c r="AO2268" s="73"/>
      <c r="AP2268" s="73"/>
      <c r="AQ2268" s="73"/>
      <c r="AR2268" s="73"/>
      <c r="AS2268" s="73"/>
      <c r="AT2268" s="74"/>
      <c r="AU2268" s="47"/>
      <c r="AV2268" s="48"/>
    </row>
    <row r="2269" spans="1:48" ht="12.75" customHeight="1" x14ac:dyDescent="0.25">
      <c r="A2269" s="72" t="s">
        <v>20</v>
      </c>
      <c r="B2269" s="43" t="s">
        <v>2240</v>
      </c>
      <c r="C2269" s="44" t="s">
        <v>2427</v>
      </c>
      <c r="D2269" s="45">
        <f>MROUND(MID($C2269,6,3)/Basis!$E$3,0.5)</f>
        <v>15.5</v>
      </c>
      <c r="E2269" s="45">
        <f>MROUND(MID($C2269,9,3)/Basis!$E$3,0.5)</f>
        <v>31.5</v>
      </c>
      <c r="F2269" s="124" t="s">
        <v>2943</v>
      </c>
      <c r="G2269" s="45">
        <f>ROUND((ROUNDDOWN($F2269/5,0)*5+1.8)/Basis!$E$3,1)</f>
        <v>4.5999999999999996</v>
      </c>
      <c r="H2269" s="120">
        <f>ROUND($P2269*Basis!$E$2*((TaH-TrH)/LN(1/µ)/Basis!$E$7)^$N2269*$AA$4*Glycol,0)</f>
        <v>1658</v>
      </c>
      <c r="I2269" s="83">
        <f>ROUND(H2269/(MID($C2269,9,3)/Basis!$E$3/Basis!$E$9)*Basis!$E$11,0)</f>
        <v>632</v>
      </c>
      <c r="J2269" s="123">
        <f>IF(Basis!$E$1=1,ROUND(H2269/((TaH-TrH)*1.163)/3600,3),ROUND(H2269/(500*(TaH-TrH)),2))</f>
        <v>0.17</v>
      </c>
      <c r="K2269" s="84"/>
      <c r="L2269" s="177">
        <f>CHOOSE(Basis!$E$1,((AJ2269*(J2269*3600/Basis!$E$5)^AK2269*(((MID(C2269,9,3)*10)-144)/1000)*AL2269+AM2269*(J2269*3600/Basis!$E$5)^2)*0.0098)/Basis!$E$10,((AJ2269*(J2269/Basis!$E$5)^AK2269*(((MID(C2269,9,3)*10)-144)/1000)*AL2269+AM2269*(J2269/Basis!$E$5)^2)*0.0098)/Basis!$E$10)</f>
        <v>2.7532446661854364E-3</v>
      </c>
      <c r="M2269" s="85"/>
      <c r="N2269" s="110">
        <v>1.3939999999999999</v>
      </c>
      <c r="O2269" s="74"/>
      <c r="P2269" s="73">
        <v>770</v>
      </c>
      <c r="Q2269" s="74"/>
      <c r="R2269" s="75"/>
      <c r="S2269" s="75"/>
      <c r="T2269" s="75"/>
      <c r="U2269" s="75"/>
      <c r="V2269" s="75"/>
      <c r="W2269" s="74"/>
      <c r="X2269" s="76"/>
      <c r="Y2269" s="76"/>
      <c r="Z2269" s="76"/>
      <c r="AA2269" s="76"/>
      <c r="AB2269" s="76"/>
      <c r="AC2269" s="74"/>
      <c r="AD2269" s="77"/>
      <c r="AE2269" s="77"/>
      <c r="AF2269" s="77"/>
      <c r="AG2269" s="77"/>
      <c r="AH2269" s="77"/>
      <c r="AI2269" s="68"/>
      <c r="AJ2269" s="213">
        <v>3.9689999999999994E-4</v>
      </c>
      <c r="AK2269" s="213">
        <v>1.7345999999999999</v>
      </c>
      <c r="AL2269" s="213">
        <v>2</v>
      </c>
      <c r="AM2269" s="213">
        <v>3.6734700000000002E-4</v>
      </c>
      <c r="AN2269" s="74"/>
      <c r="AO2269" s="73"/>
      <c r="AP2269" s="73"/>
      <c r="AQ2269" s="73"/>
      <c r="AR2269" s="73"/>
      <c r="AS2269" s="73"/>
      <c r="AT2269" s="74"/>
      <c r="AU2269" s="47"/>
      <c r="AV2269" s="48"/>
    </row>
    <row r="2270" spans="1:48" ht="12.75" customHeight="1" x14ac:dyDescent="0.25">
      <c r="A2270" s="72" t="s">
        <v>20</v>
      </c>
      <c r="B2270" s="43" t="s">
        <v>2240</v>
      </c>
      <c r="C2270" s="44" t="s">
        <v>2428</v>
      </c>
      <c r="D2270" s="45">
        <f>MROUND(MID($C2270,6,3)/Basis!$E$3,0.5)</f>
        <v>15.5</v>
      </c>
      <c r="E2270" s="45">
        <f>MROUND(MID($C2270,9,3)/Basis!$E$3,0.5)</f>
        <v>31.5</v>
      </c>
      <c r="F2270" s="124" t="s">
        <v>2946</v>
      </c>
      <c r="G2270" s="45">
        <f>ROUND((ROUNDDOWN($F2270/5,0)*5+1.8)/Basis!$E$3,1)</f>
        <v>4.5999999999999996</v>
      </c>
      <c r="H2270" s="120">
        <f>ROUND($P2270*Basis!$E$2*((TaH-TrH)/LN(1/µ)/Basis!$E$7)^$N2270*$AA$4*Glycol,0)</f>
        <v>2145</v>
      </c>
      <c r="I2270" s="83">
        <f>ROUND(H2270/(MID($C2270,9,3)/Basis!$E$3/Basis!$E$9)*Basis!$E$11,0)</f>
        <v>817</v>
      </c>
      <c r="J2270" s="123">
        <f>IF(Basis!$E$1=1,ROUND(H2270/((TaH-TrH)*1.163)/3600,3),ROUND(H2270/(500*(TaH-TrH)),2))</f>
        <v>0.21</v>
      </c>
      <c r="K2270" s="84"/>
      <c r="L2270" s="177">
        <f>CHOOSE(Basis!$E$1,((AJ2270*(J2270*3600/Basis!$E$5)^AK2270*(((MID(C2270,9,3)*10)-144)/1000)*AL2270+AM2270*(J2270*3600/Basis!$E$5)^2)*0.0098)/Basis!$E$10,((AJ2270*(J2270/Basis!$E$5)^AK2270*(((MID(C2270,9,3)*10)-144)/1000)*AL2270+AM2270*(J2270/Basis!$E$5)^2)*0.0098)/Basis!$E$10)</f>
        <v>7.0492629041081934E-3</v>
      </c>
      <c r="M2270" s="85"/>
      <c r="N2270" s="109">
        <v>1.4390000000000001</v>
      </c>
      <c r="O2270" s="68"/>
      <c r="P2270" s="67">
        <v>1011</v>
      </c>
      <c r="Q2270" s="68"/>
      <c r="R2270" s="69"/>
      <c r="S2270" s="69"/>
      <c r="T2270" s="69"/>
      <c r="U2270" s="69"/>
      <c r="V2270" s="69"/>
      <c r="W2270" s="68"/>
      <c r="X2270" s="70"/>
      <c r="Y2270" s="70"/>
      <c r="Z2270" s="70"/>
      <c r="AA2270" s="70"/>
      <c r="AB2270" s="70"/>
      <c r="AC2270" s="68"/>
      <c r="AD2270" s="71"/>
      <c r="AE2270" s="71"/>
      <c r="AF2270" s="71"/>
      <c r="AG2270" s="71"/>
      <c r="AH2270" s="71"/>
      <c r="AI2270" s="68"/>
      <c r="AJ2270" s="214">
        <v>3.9689999999999994E-4</v>
      </c>
      <c r="AK2270" s="214">
        <v>1.7345999999999999</v>
      </c>
      <c r="AL2270" s="214">
        <v>4</v>
      </c>
      <c r="AM2270" s="214">
        <v>5.7428799999999995E-4</v>
      </c>
      <c r="AN2270" s="68"/>
      <c r="AO2270" s="67"/>
      <c r="AP2270" s="67"/>
      <c r="AQ2270" s="67"/>
      <c r="AR2270" s="67"/>
      <c r="AS2270" s="67"/>
      <c r="AT2270" s="68"/>
      <c r="AU2270" s="49"/>
      <c r="AV2270" s="50"/>
    </row>
    <row r="2271" spans="1:48" ht="12.75" customHeight="1" x14ac:dyDescent="0.25">
      <c r="A2271" s="72" t="s">
        <v>20</v>
      </c>
      <c r="B2271" s="43" t="s">
        <v>2240</v>
      </c>
      <c r="C2271" s="44" t="s">
        <v>2429</v>
      </c>
      <c r="D2271" s="45">
        <f>MROUND(MID($C2271,6,3)/Basis!$E$3,0.5)</f>
        <v>15.5</v>
      </c>
      <c r="E2271" s="45">
        <f>MROUND(MID($C2271,9,3)/Basis!$E$3,0.5)</f>
        <v>31.5</v>
      </c>
      <c r="F2271" s="124" t="s">
        <v>2944</v>
      </c>
      <c r="G2271" s="45">
        <f>ROUND((ROUNDDOWN($F2271/5,0)*5+1.8)/Basis!$E$3,1)</f>
        <v>6.6</v>
      </c>
      <c r="H2271" s="120">
        <f>ROUND($P2271*Basis!$E$2*((TaH-TrH)/LN(1/µ)/Basis!$E$7)^$N2271*$AA$4*Glycol,0)</f>
        <v>2709</v>
      </c>
      <c r="I2271" s="83">
        <f>ROUND(H2271/(MID($C2271,9,3)/Basis!$E$3/Basis!$E$9)*Basis!$E$11,0)</f>
        <v>1032</v>
      </c>
      <c r="J2271" s="123">
        <f>IF(Basis!$E$1=1,ROUND(H2271/((TaH-TrH)*1.163)/3600,3),ROUND(H2271/(500*(TaH-TrH)),2))</f>
        <v>0.27</v>
      </c>
      <c r="K2271" s="84"/>
      <c r="L2271" s="177">
        <f>CHOOSE(Basis!$E$1,((AJ2271*(J2271*3600/Basis!$E$5)^AK2271*(((MID(C2271,9,3)*10)-144)/1000)*AL2271+AM2271*(J2271*3600/Basis!$E$5)^2)*0.0098)/Basis!$E$10,((AJ2271*(J2271/Basis!$E$5)^AK2271*(((MID(C2271,9,3)*10)-144)/1000)*AL2271+AM2271*(J2271/Basis!$E$5)^2)*0.0098)/Basis!$E$10)</f>
        <v>6.7576344044190167E-3</v>
      </c>
      <c r="M2271" s="85"/>
      <c r="N2271" s="109">
        <v>1.385</v>
      </c>
      <c r="O2271" s="68"/>
      <c r="P2271" s="67">
        <v>1254</v>
      </c>
      <c r="Q2271" s="68"/>
      <c r="R2271" s="69"/>
      <c r="S2271" s="69"/>
      <c r="T2271" s="69"/>
      <c r="U2271" s="69"/>
      <c r="V2271" s="69"/>
      <c r="W2271" s="68"/>
      <c r="X2271" s="70"/>
      <c r="Y2271" s="70"/>
      <c r="Z2271" s="70"/>
      <c r="AA2271" s="70"/>
      <c r="AB2271" s="70"/>
      <c r="AC2271" s="68"/>
      <c r="AD2271" s="71"/>
      <c r="AE2271" s="71"/>
      <c r="AF2271" s="71"/>
      <c r="AG2271" s="71"/>
      <c r="AH2271" s="71"/>
      <c r="AI2271" s="68"/>
      <c r="AJ2271" s="214">
        <v>2.0829999999999999E-4</v>
      </c>
      <c r="AK2271" s="214">
        <v>1.724</v>
      </c>
      <c r="AL2271" s="214">
        <v>2</v>
      </c>
      <c r="AM2271" s="214">
        <v>4.6182900000000003E-4</v>
      </c>
      <c r="AN2271" s="68"/>
      <c r="AO2271" s="67"/>
      <c r="AP2271" s="67"/>
      <c r="AQ2271" s="67"/>
      <c r="AR2271" s="67"/>
      <c r="AS2271" s="67"/>
      <c r="AT2271" s="68"/>
      <c r="AU2271" s="49"/>
      <c r="AV2271" s="50"/>
    </row>
    <row r="2272" spans="1:48" ht="12.75" customHeight="1" x14ac:dyDescent="0.25">
      <c r="A2272" s="72" t="s">
        <v>20</v>
      </c>
      <c r="B2272" s="43" t="s">
        <v>2240</v>
      </c>
      <c r="C2272" s="44" t="s">
        <v>2430</v>
      </c>
      <c r="D2272" s="45">
        <f>MROUND(MID($C2272,6,3)/Basis!$E$3,0.5)</f>
        <v>15.5</v>
      </c>
      <c r="E2272" s="45">
        <f>MROUND(MID($C2272,9,3)/Basis!$E$3,0.5)</f>
        <v>31.5</v>
      </c>
      <c r="F2272" s="124" t="s">
        <v>2947</v>
      </c>
      <c r="G2272" s="45">
        <f>ROUND((ROUNDDOWN($F2272/5,0)*5+1.8)/Basis!$E$3,1)</f>
        <v>6.6</v>
      </c>
      <c r="H2272" s="120">
        <f>ROUND($P2272*Basis!$E$2*((TaH-TrH)/LN(1/µ)/Basis!$E$7)^$N2272*$AA$4*Glycol,0)</f>
        <v>2866</v>
      </c>
      <c r="I2272" s="83">
        <f>ROUND(H2272/(MID($C2272,9,3)/Basis!$E$3/Basis!$E$9)*Basis!$E$11,0)</f>
        <v>1092</v>
      </c>
      <c r="J2272" s="123">
        <f>IF(Basis!$E$1=1,ROUND(H2272/((TaH-TrH)*1.163)/3600,3),ROUND(H2272/(500*(TaH-TrH)),2))</f>
        <v>0.28999999999999998</v>
      </c>
      <c r="K2272" s="84"/>
      <c r="L2272" s="177">
        <f>CHOOSE(Basis!$E$1,((AJ2272*(J2272*3600/Basis!$E$5)^AK2272*(((MID(C2272,9,3)*10)-144)/1000)*AL2272+AM2272*(J2272*3600/Basis!$E$5)^2)*0.0098)/Basis!$E$10,((AJ2272*(J2272/Basis!$E$5)^AK2272*(((MID(C2272,9,3)*10)-144)/1000)*AL2272+AM2272*(J2272/Basis!$E$5)^2)*0.0098)/Basis!$E$10)</f>
        <v>2.2197864116481256E-2</v>
      </c>
      <c r="M2272" s="85"/>
      <c r="N2272" s="110">
        <v>1.46</v>
      </c>
      <c r="O2272" s="74"/>
      <c r="P2272" s="73">
        <v>1360</v>
      </c>
      <c r="Q2272" s="74"/>
      <c r="R2272" s="75"/>
      <c r="S2272" s="75"/>
      <c r="T2272" s="75"/>
      <c r="U2272" s="75"/>
      <c r="V2272" s="75"/>
      <c r="W2272" s="74"/>
      <c r="X2272" s="76"/>
      <c r="Y2272" s="76"/>
      <c r="Z2272" s="76"/>
      <c r="AA2272" s="76"/>
      <c r="AB2272" s="76"/>
      <c r="AC2272" s="74"/>
      <c r="AD2272" s="77"/>
      <c r="AE2272" s="77"/>
      <c r="AF2272" s="77"/>
      <c r="AG2272" s="77"/>
      <c r="AH2272" s="77"/>
      <c r="AI2272" s="68"/>
      <c r="AJ2272" s="213">
        <v>2.0829999999999999E-4</v>
      </c>
      <c r="AK2272" s="213">
        <v>1.724</v>
      </c>
      <c r="AL2272" s="213">
        <v>4</v>
      </c>
      <c r="AM2272" s="213">
        <v>1.392796E-3</v>
      </c>
      <c r="AN2272" s="74"/>
      <c r="AO2272" s="73"/>
      <c r="AP2272" s="73"/>
      <c r="AQ2272" s="73"/>
      <c r="AR2272" s="73"/>
      <c r="AS2272" s="73"/>
      <c r="AT2272" s="74"/>
      <c r="AU2272" s="47"/>
      <c r="AV2272" s="48"/>
    </row>
    <row r="2273" spans="1:48" ht="12.75" customHeight="1" x14ac:dyDescent="0.25">
      <c r="A2273" s="72" t="s">
        <v>20</v>
      </c>
      <c r="B2273" s="43" t="s">
        <v>2240</v>
      </c>
      <c r="C2273" s="44" t="s">
        <v>2431</v>
      </c>
      <c r="D2273" s="45">
        <f>MROUND(MID($C2273,6,3)/Basis!$E$3,0.5)</f>
        <v>15.5</v>
      </c>
      <c r="E2273" s="45">
        <f>MROUND(MID($C2273,9,3)/Basis!$E$3,0.5)</f>
        <v>31.5</v>
      </c>
      <c r="F2273" s="124" t="s">
        <v>2945</v>
      </c>
      <c r="G2273" s="45">
        <f>ROUND((ROUNDDOWN($F2273/5,0)*5+1.8)/Basis!$E$3,1)</f>
        <v>8.6</v>
      </c>
      <c r="H2273" s="120">
        <f>ROUND($P2273*Basis!$E$2*((TaH-TrH)/LN(1/µ)/Basis!$E$7)^$N2273*$AA$4*Glycol,0)</f>
        <v>3797</v>
      </c>
      <c r="I2273" s="83">
        <f>ROUND(H2273/(MID($C2273,9,3)/Basis!$E$3/Basis!$E$9)*Basis!$E$11,0)</f>
        <v>1447</v>
      </c>
      <c r="J2273" s="123">
        <f>IF(Basis!$E$1=1,ROUND(H2273/((TaH-TrH)*1.163)/3600,3),ROUND(H2273/(500*(TaH-TrH)),2))</f>
        <v>0.38</v>
      </c>
      <c r="K2273" s="84"/>
      <c r="L2273" s="177">
        <f>CHOOSE(Basis!$E$1,((AJ2273*(J2273*3600/Basis!$E$5)^AK2273*(((MID(C2273,9,3)*10)-144)/1000)*AL2273+AM2273*(J2273*3600/Basis!$E$5)^2)*0.0098)/Basis!$E$10,((AJ2273*(J2273/Basis!$E$5)^AK2273*(((MID(C2273,9,3)*10)-144)/1000)*AL2273+AM2273*(J2273/Basis!$E$5)^2)*0.0098)/Basis!$E$10)</f>
        <v>1.035298211287365E-2</v>
      </c>
      <c r="M2273" s="85"/>
      <c r="N2273" s="110">
        <v>1.3839999999999999</v>
      </c>
      <c r="O2273" s="74"/>
      <c r="P2273" s="73">
        <v>1757</v>
      </c>
      <c r="Q2273" s="74"/>
      <c r="R2273" s="75"/>
      <c r="S2273" s="75"/>
      <c r="T2273" s="75"/>
      <c r="U2273" s="75"/>
      <c r="V2273" s="75"/>
      <c r="W2273" s="74"/>
      <c r="X2273" s="76"/>
      <c r="Y2273" s="76"/>
      <c r="Z2273" s="76"/>
      <c r="AA2273" s="76"/>
      <c r="AB2273" s="76"/>
      <c r="AC2273" s="74"/>
      <c r="AD2273" s="77"/>
      <c r="AE2273" s="77"/>
      <c r="AF2273" s="77"/>
      <c r="AG2273" s="77"/>
      <c r="AH2273" s="77"/>
      <c r="AI2273" s="68"/>
      <c r="AJ2273" s="214">
        <v>1.2760000000000001E-4</v>
      </c>
      <c r="AK2273" s="214">
        <v>1.7219</v>
      </c>
      <c r="AL2273" s="214">
        <v>2</v>
      </c>
      <c r="AM2273" s="214">
        <v>3.76611E-4</v>
      </c>
      <c r="AN2273" s="74"/>
      <c r="AO2273" s="73"/>
      <c r="AP2273" s="73"/>
      <c r="AQ2273" s="73"/>
      <c r="AR2273" s="73"/>
      <c r="AS2273" s="73"/>
      <c r="AT2273" s="74"/>
      <c r="AU2273" s="47"/>
      <c r="AV2273" s="48"/>
    </row>
    <row r="2274" spans="1:48" ht="12.75" customHeight="1" x14ac:dyDescent="0.25">
      <c r="A2274" s="72" t="s">
        <v>20</v>
      </c>
      <c r="B2274" s="43" t="s">
        <v>2240</v>
      </c>
      <c r="C2274" s="44" t="s">
        <v>2432</v>
      </c>
      <c r="D2274" s="45">
        <f>MROUND(MID($C2274,6,3)/Basis!$E$3,0.5)</f>
        <v>15.5</v>
      </c>
      <c r="E2274" s="45">
        <f>MROUND(MID($C2274,9,3)/Basis!$E$3,0.5)</f>
        <v>31.5</v>
      </c>
      <c r="F2274" s="124" t="s">
        <v>2948</v>
      </c>
      <c r="G2274" s="45">
        <f>ROUND((ROUNDDOWN($F2274/5,0)*5+1.8)/Basis!$E$3,1)</f>
        <v>8.6</v>
      </c>
      <c r="H2274" s="120">
        <f>ROUND($P2274*Basis!$E$2*((TaH-TrH)/LN(1/µ)/Basis!$E$7)^$N2274*$AA$4*Glycol,0)</f>
        <v>3812</v>
      </c>
      <c r="I2274" s="83">
        <f>ROUND(H2274/(MID($C2274,9,3)/Basis!$E$3/Basis!$E$9)*Basis!$E$11,0)</f>
        <v>1452</v>
      </c>
      <c r="J2274" s="123">
        <f>IF(Basis!$E$1=1,ROUND(H2274/((TaH-TrH)*1.163)/3600,3),ROUND(H2274/(500*(TaH-TrH)),2))</f>
        <v>0.38</v>
      </c>
      <c r="K2274" s="84"/>
      <c r="L2274" s="177">
        <f>CHOOSE(Basis!$E$1,((AJ2274*(J2274*3600/Basis!$E$5)^AK2274*(((MID(C2274,9,3)*10)-144)/1000)*AL2274+AM2274*(J2274*3600/Basis!$E$5)^2)*0.0098)/Basis!$E$10,((AJ2274*(J2274/Basis!$E$5)^AK2274*(((MID(C2274,9,3)*10)-144)/1000)*AL2274+AM2274*(J2274/Basis!$E$5)^2)*0.0098)/Basis!$E$10)</f>
        <v>1.4884379668549564E-2</v>
      </c>
      <c r="M2274" s="85"/>
      <c r="N2274" s="109">
        <v>1.4770000000000001</v>
      </c>
      <c r="O2274" s="68"/>
      <c r="P2274" s="67">
        <v>1819</v>
      </c>
      <c r="Q2274" s="68"/>
      <c r="R2274" s="69"/>
      <c r="S2274" s="69"/>
      <c r="T2274" s="69"/>
      <c r="U2274" s="69"/>
      <c r="V2274" s="69"/>
      <c r="W2274" s="68"/>
      <c r="X2274" s="70"/>
      <c r="Y2274" s="70"/>
      <c r="Z2274" s="70"/>
      <c r="AA2274" s="70"/>
      <c r="AB2274" s="70"/>
      <c r="AC2274" s="68"/>
      <c r="AD2274" s="71"/>
      <c r="AE2274" s="71"/>
      <c r="AF2274" s="71"/>
      <c r="AG2274" s="71"/>
      <c r="AH2274" s="71"/>
      <c r="AI2274" s="68"/>
      <c r="AJ2274" s="214">
        <v>1.2760000000000001E-4</v>
      </c>
      <c r="AK2274" s="214">
        <v>1.7219</v>
      </c>
      <c r="AL2274" s="214">
        <v>4</v>
      </c>
      <c r="AM2274" s="214">
        <v>5.1420100000000005E-4</v>
      </c>
      <c r="AN2274" s="68"/>
      <c r="AO2274" s="67"/>
      <c r="AP2274" s="67"/>
      <c r="AQ2274" s="67"/>
      <c r="AR2274" s="67"/>
      <c r="AS2274" s="67"/>
      <c r="AT2274" s="68"/>
      <c r="AU2274" s="49"/>
      <c r="AV2274" s="50"/>
    </row>
    <row r="2275" spans="1:48" ht="12.75" customHeight="1" x14ac:dyDescent="0.25">
      <c r="A2275" s="72" t="s">
        <v>20</v>
      </c>
      <c r="B2275" s="43" t="s">
        <v>2240</v>
      </c>
      <c r="C2275" s="44" t="s">
        <v>2433</v>
      </c>
      <c r="D2275" s="45">
        <f>MROUND(MID($C2275,6,3)/Basis!$E$3,0.5)</f>
        <v>15.5</v>
      </c>
      <c r="E2275" s="45">
        <f>MROUND(MID($C2275,9,3)/Basis!$E$3,0.5)</f>
        <v>35.5</v>
      </c>
      <c r="F2275" s="124" t="s">
        <v>2943</v>
      </c>
      <c r="G2275" s="45">
        <f>ROUND((ROUNDDOWN($F2275/5,0)*5+1.8)/Basis!$E$3,1)</f>
        <v>4.5999999999999996</v>
      </c>
      <c r="H2275" s="120">
        <f>ROUND($P2275*Basis!$E$2*((TaH-TrH)/LN(1/µ)/Basis!$E$7)^$N2275*$AA$4*Glycol,0)</f>
        <v>1867</v>
      </c>
      <c r="I2275" s="83">
        <f>ROUND(H2275/(MID($C2275,9,3)/Basis!$E$3/Basis!$E$9)*Basis!$E$11,0)</f>
        <v>632</v>
      </c>
      <c r="J2275" s="123">
        <f>IF(Basis!$E$1=1,ROUND(H2275/((TaH-TrH)*1.163)/3600,3),ROUND(H2275/(500*(TaH-TrH)),2))</f>
        <v>0.19</v>
      </c>
      <c r="K2275" s="84"/>
      <c r="L2275" s="177">
        <f>CHOOSE(Basis!$E$1,((AJ2275*(J2275*3600/Basis!$E$5)^AK2275*(((MID(C2275,9,3)*10)-144)/1000)*AL2275+AM2275*(J2275*3600/Basis!$E$5)^2)*0.0098)/Basis!$E$10,((AJ2275*(J2275/Basis!$E$5)^AK2275*(((MID(C2275,9,3)*10)-144)/1000)*AL2275+AM2275*(J2275/Basis!$E$5)^2)*0.0098)/Basis!$E$10)</f>
        <v>3.582160292693978E-3</v>
      </c>
      <c r="M2275" s="85"/>
      <c r="N2275" s="109">
        <v>1.3939999999999999</v>
      </c>
      <c r="O2275" s="68"/>
      <c r="P2275" s="67">
        <v>867</v>
      </c>
      <c r="Q2275" s="68"/>
      <c r="R2275" s="69"/>
      <c r="S2275" s="69"/>
      <c r="T2275" s="69"/>
      <c r="U2275" s="69"/>
      <c r="V2275" s="69"/>
      <c r="W2275" s="68"/>
      <c r="X2275" s="70"/>
      <c r="Y2275" s="70"/>
      <c r="Z2275" s="70"/>
      <c r="AA2275" s="70"/>
      <c r="AB2275" s="70"/>
      <c r="AC2275" s="68"/>
      <c r="AD2275" s="71"/>
      <c r="AE2275" s="71"/>
      <c r="AF2275" s="71"/>
      <c r="AG2275" s="71"/>
      <c r="AH2275" s="71"/>
      <c r="AI2275" s="68"/>
      <c r="AJ2275" s="214">
        <v>3.9689999999999994E-4</v>
      </c>
      <c r="AK2275" s="214">
        <v>1.7345999999999999</v>
      </c>
      <c r="AL2275" s="214">
        <v>2</v>
      </c>
      <c r="AM2275" s="214">
        <v>3.6734700000000002E-4</v>
      </c>
      <c r="AN2275" s="68"/>
      <c r="AO2275" s="67"/>
      <c r="AP2275" s="67"/>
      <c r="AQ2275" s="67"/>
      <c r="AR2275" s="67"/>
      <c r="AS2275" s="67"/>
      <c r="AT2275" s="68"/>
      <c r="AU2275" s="49"/>
      <c r="AV2275" s="50"/>
    </row>
    <row r="2276" spans="1:48" ht="12.75" customHeight="1" x14ac:dyDescent="0.25">
      <c r="A2276" s="72" t="s">
        <v>20</v>
      </c>
      <c r="B2276" s="43" t="s">
        <v>2240</v>
      </c>
      <c r="C2276" s="44" t="s">
        <v>2434</v>
      </c>
      <c r="D2276" s="45">
        <f>MROUND(MID($C2276,6,3)/Basis!$E$3,0.5)</f>
        <v>15.5</v>
      </c>
      <c r="E2276" s="45">
        <f>MROUND(MID($C2276,9,3)/Basis!$E$3,0.5)</f>
        <v>35.5</v>
      </c>
      <c r="F2276" s="124" t="s">
        <v>2946</v>
      </c>
      <c r="G2276" s="45">
        <f>ROUND((ROUNDDOWN($F2276/5,0)*5+1.8)/Basis!$E$3,1)</f>
        <v>4.5999999999999996</v>
      </c>
      <c r="H2276" s="120">
        <f>ROUND($P2276*Basis!$E$2*((TaH-TrH)/LN(1/µ)/Basis!$E$7)^$N2276*$AA$4*Glycol,0)</f>
        <v>2415</v>
      </c>
      <c r="I2276" s="83">
        <f>ROUND(H2276/(MID($C2276,9,3)/Basis!$E$3/Basis!$E$9)*Basis!$E$11,0)</f>
        <v>818</v>
      </c>
      <c r="J2276" s="123">
        <f>IF(Basis!$E$1=1,ROUND(H2276/((TaH-TrH)*1.163)/3600,3),ROUND(H2276/(500*(TaH-TrH)),2))</f>
        <v>0.24</v>
      </c>
      <c r="K2276" s="84"/>
      <c r="L2276" s="177">
        <f>CHOOSE(Basis!$E$1,((AJ2276*(J2276*3600/Basis!$E$5)^AK2276*(((MID(C2276,9,3)*10)-144)/1000)*AL2276+AM2276*(J2276*3600/Basis!$E$5)^2)*0.0098)/Basis!$E$10,((AJ2276*(J2276/Basis!$E$5)^AK2276*(((MID(C2276,9,3)*10)-144)/1000)*AL2276+AM2276*(J2276/Basis!$E$5)^2)*0.0098)/Basis!$E$10)</f>
        <v>9.6146447036700219E-3</v>
      </c>
      <c r="M2276" s="85"/>
      <c r="N2276" s="110">
        <v>1.4390000000000001</v>
      </c>
      <c r="O2276" s="74"/>
      <c r="P2276" s="73">
        <v>1138</v>
      </c>
      <c r="Q2276" s="74"/>
      <c r="R2276" s="75"/>
      <c r="S2276" s="75"/>
      <c r="T2276" s="75"/>
      <c r="U2276" s="75"/>
      <c r="V2276" s="75"/>
      <c r="W2276" s="74"/>
      <c r="X2276" s="76"/>
      <c r="Y2276" s="76"/>
      <c r="Z2276" s="76"/>
      <c r="AA2276" s="76"/>
      <c r="AB2276" s="76"/>
      <c r="AC2276" s="74"/>
      <c r="AD2276" s="77"/>
      <c r="AE2276" s="77"/>
      <c r="AF2276" s="77"/>
      <c r="AG2276" s="77"/>
      <c r="AH2276" s="77"/>
      <c r="AI2276" s="68"/>
      <c r="AJ2276" s="213">
        <v>3.9689999999999994E-4</v>
      </c>
      <c r="AK2276" s="213">
        <v>1.7345999999999999</v>
      </c>
      <c r="AL2276" s="213">
        <v>4</v>
      </c>
      <c r="AM2276" s="213">
        <v>5.7428799999999995E-4</v>
      </c>
      <c r="AN2276" s="74"/>
      <c r="AO2276" s="73"/>
      <c r="AP2276" s="73"/>
      <c r="AQ2276" s="73"/>
      <c r="AR2276" s="73"/>
      <c r="AS2276" s="73"/>
      <c r="AT2276" s="74"/>
      <c r="AU2276" s="47"/>
      <c r="AV2276" s="48"/>
    </row>
    <row r="2277" spans="1:48" ht="12.75" customHeight="1" x14ac:dyDescent="0.25">
      <c r="A2277" s="72" t="s">
        <v>20</v>
      </c>
      <c r="B2277" s="43" t="s">
        <v>2240</v>
      </c>
      <c r="C2277" s="44" t="s">
        <v>2435</v>
      </c>
      <c r="D2277" s="45">
        <f>MROUND(MID($C2277,6,3)/Basis!$E$3,0.5)</f>
        <v>15.5</v>
      </c>
      <c r="E2277" s="45">
        <f>MROUND(MID($C2277,9,3)/Basis!$E$3,0.5)</f>
        <v>35.5</v>
      </c>
      <c r="F2277" s="124" t="s">
        <v>2944</v>
      </c>
      <c r="G2277" s="45">
        <f>ROUND((ROUNDDOWN($F2277/5,0)*5+1.8)/Basis!$E$3,1)</f>
        <v>6.6</v>
      </c>
      <c r="H2277" s="120">
        <f>ROUND($P2277*Basis!$E$2*((TaH-TrH)/LN(1/µ)/Basis!$E$7)^$N2277*$AA$4*Glycol,0)</f>
        <v>3048</v>
      </c>
      <c r="I2277" s="83">
        <f>ROUND(H2277/(MID($C2277,9,3)/Basis!$E$3/Basis!$E$9)*Basis!$E$11,0)</f>
        <v>1032</v>
      </c>
      <c r="J2277" s="123">
        <f>IF(Basis!$E$1=1,ROUND(H2277/((TaH-TrH)*1.163)/3600,3),ROUND(H2277/(500*(TaH-TrH)),2))</f>
        <v>0.3</v>
      </c>
      <c r="K2277" s="84"/>
      <c r="L2277" s="177">
        <f>CHOOSE(Basis!$E$1,((AJ2277*(J2277*3600/Basis!$E$5)^AK2277*(((MID(C2277,9,3)*10)-144)/1000)*AL2277+AM2277*(J2277*3600/Basis!$E$5)^2)*0.0098)/Basis!$E$10,((AJ2277*(J2277/Basis!$E$5)^AK2277*(((MID(C2277,9,3)*10)-144)/1000)*AL2277+AM2277*(J2277/Basis!$E$5)^2)*0.0098)/Basis!$E$10)</f>
        <v>8.5018180767186986E-3</v>
      </c>
      <c r="M2277" s="85"/>
      <c r="N2277" s="110">
        <v>1.385</v>
      </c>
      <c r="O2277" s="74"/>
      <c r="P2277" s="73">
        <v>1411</v>
      </c>
      <c r="Q2277" s="74"/>
      <c r="R2277" s="75"/>
      <c r="S2277" s="75"/>
      <c r="T2277" s="75"/>
      <c r="U2277" s="75"/>
      <c r="V2277" s="75"/>
      <c r="W2277" s="74"/>
      <c r="X2277" s="76"/>
      <c r="Y2277" s="76"/>
      <c r="Z2277" s="76"/>
      <c r="AA2277" s="76"/>
      <c r="AB2277" s="76"/>
      <c r="AC2277" s="74"/>
      <c r="AD2277" s="77"/>
      <c r="AE2277" s="77"/>
      <c r="AF2277" s="77"/>
      <c r="AG2277" s="77"/>
      <c r="AH2277" s="77"/>
      <c r="AI2277" s="68"/>
      <c r="AJ2277" s="213">
        <v>2.0829999999999999E-4</v>
      </c>
      <c r="AK2277" s="213">
        <v>1.724</v>
      </c>
      <c r="AL2277" s="213">
        <v>2</v>
      </c>
      <c r="AM2277" s="213">
        <v>4.6182900000000003E-4</v>
      </c>
      <c r="AN2277" s="74"/>
      <c r="AO2277" s="73"/>
      <c r="AP2277" s="73"/>
      <c r="AQ2277" s="73"/>
      <c r="AR2277" s="73"/>
      <c r="AS2277" s="73"/>
      <c r="AT2277" s="74"/>
      <c r="AU2277" s="47"/>
      <c r="AV2277" s="48"/>
    </row>
    <row r="2278" spans="1:48" ht="12.75" customHeight="1" x14ac:dyDescent="0.25">
      <c r="A2278" s="72" t="s">
        <v>20</v>
      </c>
      <c r="B2278" s="43" t="s">
        <v>2240</v>
      </c>
      <c r="C2278" s="44" t="s">
        <v>2436</v>
      </c>
      <c r="D2278" s="45">
        <f>MROUND(MID($C2278,6,3)/Basis!$E$3,0.5)</f>
        <v>15.5</v>
      </c>
      <c r="E2278" s="45">
        <f>MROUND(MID($C2278,9,3)/Basis!$E$3,0.5)</f>
        <v>35.5</v>
      </c>
      <c r="F2278" s="124" t="s">
        <v>2947</v>
      </c>
      <c r="G2278" s="45">
        <f>ROUND((ROUNDDOWN($F2278/5,0)*5+1.8)/Basis!$E$3,1)</f>
        <v>6.6</v>
      </c>
      <c r="H2278" s="120">
        <f>ROUND($P2278*Basis!$E$2*((TaH-TrH)/LN(1/µ)/Basis!$E$7)^$N2278*$AA$4*Glycol,0)</f>
        <v>3224</v>
      </c>
      <c r="I2278" s="83">
        <f>ROUND(H2278/(MID($C2278,9,3)/Basis!$E$3/Basis!$E$9)*Basis!$E$11,0)</f>
        <v>1092</v>
      </c>
      <c r="J2278" s="123">
        <f>IF(Basis!$E$1=1,ROUND(H2278/((TaH-TrH)*1.163)/3600,3),ROUND(H2278/(500*(TaH-TrH)),2))</f>
        <v>0.32</v>
      </c>
      <c r="K2278" s="84"/>
      <c r="L2278" s="177">
        <f>CHOOSE(Basis!$E$1,((AJ2278*(J2278*3600/Basis!$E$5)^AK2278*(((MID(C2278,9,3)*10)-144)/1000)*AL2278+AM2278*(J2278*3600/Basis!$E$5)^2)*0.0098)/Basis!$E$10,((AJ2278*(J2278/Basis!$E$5)^AK2278*(((MID(C2278,9,3)*10)-144)/1000)*AL2278+AM2278*(J2278/Basis!$E$5)^2)*0.0098)/Basis!$E$10)</f>
        <v>2.7389317790940518E-2</v>
      </c>
      <c r="M2278" s="85"/>
      <c r="N2278" s="109">
        <v>1.46</v>
      </c>
      <c r="O2278" s="68"/>
      <c r="P2278" s="67">
        <v>1530</v>
      </c>
      <c r="Q2278" s="68"/>
      <c r="R2278" s="69"/>
      <c r="S2278" s="69"/>
      <c r="T2278" s="69"/>
      <c r="U2278" s="69"/>
      <c r="V2278" s="69"/>
      <c r="W2278" s="68"/>
      <c r="X2278" s="70"/>
      <c r="Y2278" s="70"/>
      <c r="Z2278" s="70"/>
      <c r="AA2278" s="70"/>
      <c r="AB2278" s="70"/>
      <c r="AC2278" s="68"/>
      <c r="AD2278" s="71"/>
      <c r="AE2278" s="71"/>
      <c r="AF2278" s="71"/>
      <c r="AG2278" s="71"/>
      <c r="AH2278" s="71"/>
      <c r="AI2278" s="68"/>
      <c r="AJ2278" s="214">
        <v>2.0829999999999999E-4</v>
      </c>
      <c r="AK2278" s="214">
        <v>1.724</v>
      </c>
      <c r="AL2278" s="214">
        <v>4</v>
      </c>
      <c r="AM2278" s="214">
        <v>1.392796E-3</v>
      </c>
      <c r="AN2278" s="68"/>
      <c r="AO2278" s="67"/>
      <c r="AP2278" s="67"/>
      <c r="AQ2278" s="67"/>
      <c r="AR2278" s="67"/>
      <c r="AS2278" s="67"/>
      <c r="AT2278" s="68"/>
      <c r="AU2278" s="49"/>
      <c r="AV2278" s="50"/>
    </row>
    <row r="2279" spans="1:48" ht="12.75" customHeight="1" x14ac:dyDescent="0.25">
      <c r="A2279" s="72" t="s">
        <v>20</v>
      </c>
      <c r="B2279" s="43" t="s">
        <v>2240</v>
      </c>
      <c r="C2279" s="44" t="s">
        <v>2437</v>
      </c>
      <c r="D2279" s="45">
        <f>MROUND(MID($C2279,6,3)/Basis!$E$3,0.5)</f>
        <v>15.5</v>
      </c>
      <c r="E2279" s="45">
        <f>MROUND(MID($C2279,9,3)/Basis!$E$3,0.5)</f>
        <v>35.5</v>
      </c>
      <c r="F2279" s="124" t="s">
        <v>2945</v>
      </c>
      <c r="G2279" s="45">
        <f>ROUND((ROUNDDOWN($F2279/5,0)*5+1.8)/Basis!$E$3,1)</f>
        <v>8.6</v>
      </c>
      <c r="H2279" s="120">
        <f>ROUND($P2279*Basis!$E$2*((TaH-TrH)/LN(1/µ)/Basis!$E$7)^$N2279*$AA$4*Glycol,0)</f>
        <v>4270</v>
      </c>
      <c r="I2279" s="83">
        <f>ROUND(H2279/(MID($C2279,9,3)/Basis!$E$3/Basis!$E$9)*Basis!$E$11,0)</f>
        <v>1446</v>
      </c>
      <c r="J2279" s="123">
        <f>IF(Basis!$E$1=1,ROUND(H2279/((TaH-TrH)*1.163)/3600,3),ROUND(H2279/(500*(TaH-TrH)),2))</f>
        <v>0.43</v>
      </c>
      <c r="K2279" s="84"/>
      <c r="L2279" s="177">
        <f>CHOOSE(Basis!$E$1,((AJ2279*(J2279*3600/Basis!$E$5)^AK2279*(((MID(C2279,9,3)*10)-144)/1000)*AL2279+AM2279*(J2279*3600/Basis!$E$5)^2)*0.0098)/Basis!$E$10,((AJ2279*(J2279/Basis!$E$5)^AK2279*(((MID(C2279,9,3)*10)-144)/1000)*AL2279+AM2279*(J2279/Basis!$E$5)^2)*0.0098)/Basis!$E$10)</f>
        <v>1.34282161432991E-2</v>
      </c>
      <c r="M2279" s="85"/>
      <c r="N2279" s="109">
        <v>1.3839999999999999</v>
      </c>
      <c r="O2279" s="68"/>
      <c r="P2279" s="67">
        <v>1976</v>
      </c>
      <c r="Q2279" s="68"/>
      <c r="R2279" s="69"/>
      <c r="S2279" s="69"/>
      <c r="T2279" s="69"/>
      <c r="U2279" s="69"/>
      <c r="V2279" s="69"/>
      <c r="W2279" s="68"/>
      <c r="X2279" s="70"/>
      <c r="Y2279" s="70"/>
      <c r="Z2279" s="70"/>
      <c r="AA2279" s="70"/>
      <c r="AB2279" s="70"/>
      <c r="AC2279" s="68"/>
      <c r="AD2279" s="71"/>
      <c r="AE2279" s="71"/>
      <c r="AF2279" s="71"/>
      <c r="AG2279" s="71"/>
      <c r="AH2279" s="71"/>
      <c r="AI2279" s="68"/>
      <c r="AJ2279" s="214">
        <v>1.2760000000000001E-4</v>
      </c>
      <c r="AK2279" s="214">
        <v>1.7219</v>
      </c>
      <c r="AL2279" s="214">
        <v>2</v>
      </c>
      <c r="AM2279" s="214">
        <v>3.76611E-4</v>
      </c>
      <c r="AN2279" s="68"/>
      <c r="AO2279" s="67"/>
      <c r="AP2279" s="67"/>
      <c r="AQ2279" s="67"/>
      <c r="AR2279" s="67"/>
      <c r="AS2279" s="67"/>
      <c r="AT2279" s="68"/>
      <c r="AU2279" s="49"/>
      <c r="AV2279" s="50"/>
    </row>
    <row r="2280" spans="1:48" ht="12.75" customHeight="1" x14ac:dyDescent="0.25">
      <c r="A2280" s="72" t="s">
        <v>20</v>
      </c>
      <c r="B2280" s="43" t="s">
        <v>2240</v>
      </c>
      <c r="C2280" s="44" t="s">
        <v>2438</v>
      </c>
      <c r="D2280" s="45">
        <f>MROUND(MID($C2280,6,3)/Basis!$E$3,0.5)</f>
        <v>15.5</v>
      </c>
      <c r="E2280" s="45">
        <f>MROUND(MID($C2280,9,3)/Basis!$E$3,0.5)</f>
        <v>35.5</v>
      </c>
      <c r="F2280" s="124" t="s">
        <v>2948</v>
      </c>
      <c r="G2280" s="45">
        <f>ROUND((ROUNDDOWN($F2280/5,0)*5+1.8)/Basis!$E$3,1)</f>
        <v>8.6</v>
      </c>
      <c r="H2280" s="120">
        <f>ROUND($P2280*Basis!$E$2*((TaH-TrH)/LN(1/µ)/Basis!$E$7)^$N2280*$AA$4*Glycol,0)</f>
        <v>4290</v>
      </c>
      <c r="I2280" s="83">
        <f>ROUND(H2280/(MID($C2280,9,3)/Basis!$E$3/Basis!$E$9)*Basis!$E$11,0)</f>
        <v>1453</v>
      </c>
      <c r="J2280" s="123">
        <f>IF(Basis!$E$1=1,ROUND(H2280/((TaH-TrH)*1.163)/3600,3),ROUND(H2280/(500*(TaH-TrH)),2))</f>
        <v>0.43</v>
      </c>
      <c r="K2280" s="84"/>
      <c r="L2280" s="177">
        <f>CHOOSE(Basis!$E$1,((AJ2280*(J2280*3600/Basis!$E$5)^AK2280*(((MID(C2280,9,3)*10)-144)/1000)*AL2280+AM2280*(J2280*3600/Basis!$E$5)^2)*0.0098)/Basis!$E$10,((AJ2280*(J2280/Basis!$E$5)^AK2280*(((MID(C2280,9,3)*10)-144)/1000)*AL2280+AM2280*(J2280/Basis!$E$5)^2)*0.0098)/Basis!$E$10)</f>
        <v>1.9402062586973117E-2</v>
      </c>
      <c r="M2280" s="85"/>
      <c r="N2280" s="110">
        <v>1.4770000000000001</v>
      </c>
      <c r="O2280" s="74"/>
      <c r="P2280" s="73">
        <v>2047</v>
      </c>
      <c r="Q2280" s="74"/>
      <c r="R2280" s="75"/>
      <c r="S2280" s="75"/>
      <c r="T2280" s="75"/>
      <c r="U2280" s="75"/>
      <c r="V2280" s="75"/>
      <c r="W2280" s="74"/>
      <c r="X2280" s="76"/>
      <c r="Y2280" s="76"/>
      <c r="Z2280" s="76"/>
      <c r="AA2280" s="76"/>
      <c r="AB2280" s="76"/>
      <c r="AC2280" s="74"/>
      <c r="AD2280" s="77"/>
      <c r="AE2280" s="77"/>
      <c r="AF2280" s="77"/>
      <c r="AG2280" s="77"/>
      <c r="AH2280" s="77"/>
      <c r="AI2280" s="68"/>
      <c r="AJ2280" s="213">
        <v>1.2760000000000001E-4</v>
      </c>
      <c r="AK2280" s="213">
        <v>1.7219</v>
      </c>
      <c r="AL2280" s="213">
        <v>4</v>
      </c>
      <c r="AM2280" s="213">
        <v>5.1420100000000005E-4</v>
      </c>
      <c r="AN2280" s="74"/>
      <c r="AO2280" s="73"/>
      <c r="AP2280" s="73"/>
      <c r="AQ2280" s="73"/>
      <c r="AR2280" s="73"/>
      <c r="AS2280" s="73"/>
      <c r="AT2280" s="74"/>
      <c r="AU2280" s="47"/>
      <c r="AV2280" s="48"/>
    </row>
    <row r="2281" spans="1:48" ht="12.75" customHeight="1" x14ac:dyDescent="0.25">
      <c r="A2281" s="72" t="s">
        <v>20</v>
      </c>
      <c r="B2281" s="43" t="s">
        <v>2240</v>
      </c>
      <c r="C2281" s="44" t="s">
        <v>2439</v>
      </c>
      <c r="D2281" s="45">
        <f>MROUND(MID($C2281,6,3)/Basis!$E$3,0.5)</f>
        <v>15.5</v>
      </c>
      <c r="E2281" s="45">
        <f>MROUND(MID($C2281,9,3)/Basis!$E$3,0.5)</f>
        <v>39.5</v>
      </c>
      <c r="F2281" s="124" t="s">
        <v>2943</v>
      </c>
      <c r="G2281" s="45">
        <f>ROUND((ROUNDDOWN($F2281/5,0)*5+1.8)/Basis!$E$3,1)</f>
        <v>4.5999999999999996</v>
      </c>
      <c r="H2281" s="120">
        <f>ROUND($P2281*Basis!$E$2*((TaH-TrH)/LN(1/µ)/Basis!$E$7)^$N2281*$AA$4*Glycol,0)</f>
        <v>2074</v>
      </c>
      <c r="I2281" s="83">
        <f>ROUND(H2281/(MID($C2281,9,3)/Basis!$E$3/Basis!$E$9)*Basis!$E$11,0)</f>
        <v>632</v>
      </c>
      <c r="J2281" s="123">
        <f>IF(Basis!$E$1=1,ROUND(H2281/((TaH-TrH)*1.163)/3600,3),ROUND(H2281/(500*(TaH-TrH)),2))</f>
        <v>0.21</v>
      </c>
      <c r="K2281" s="84"/>
      <c r="L2281" s="177">
        <f>CHOOSE(Basis!$E$1,((AJ2281*(J2281*3600/Basis!$E$5)^AK2281*(((MID(C2281,9,3)*10)-144)/1000)*AL2281+AM2281*(J2281*3600/Basis!$E$5)^2)*0.0098)/Basis!$E$10,((AJ2281*(J2281/Basis!$E$5)^AK2281*(((MID(C2281,9,3)*10)-144)/1000)*AL2281+AM2281*(J2281/Basis!$E$5)^2)*0.0098)/Basis!$E$10)</f>
        <v>4.5446100180261493E-3</v>
      </c>
      <c r="M2281" s="85"/>
      <c r="N2281" s="110">
        <v>1.3939999999999999</v>
      </c>
      <c r="O2281" s="74"/>
      <c r="P2281" s="73">
        <v>963</v>
      </c>
      <c r="Q2281" s="74"/>
      <c r="R2281" s="75"/>
      <c r="S2281" s="75"/>
      <c r="T2281" s="75"/>
      <c r="U2281" s="75"/>
      <c r="V2281" s="75"/>
      <c r="W2281" s="74"/>
      <c r="X2281" s="76"/>
      <c r="Y2281" s="76"/>
      <c r="Z2281" s="76"/>
      <c r="AA2281" s="76"/>
      <c r="AB2281" s="76"/>
      <c r="AC2281" s="74"/>
      <c r="AD2281" s="77"/>
      <c r="AE2281" s="77"/>
      <c r="AF2281" s="77"/>
      <c r="AG2281" s="77"/>
      <c r="AH2281" s="77"/>
      <c r="AI2281" s="68"/>
      <c r="AJ2281" s="213">
        <v>3.9689999999999994E-4</v>
      </c>
      <c r="AK2281" s="213">
        <v>1.7345999999999999</v>
      </c>
      <c r="AL2281" s="213">
        <v>2</v>
      </c>
      <c r="AM2281" s="213">
        <v>3.6734700000000002E-4</v>
      </c>
      <c r="AN2281" s="74"/>
      <c r="AO2281" s="73"/>
      <c r="AP2281" s="73"/>
      <c r="AQ2281" s="73"/>
      <c r="AR2281" s="73"/>
      <c r="AS2281" s="73"/>
      <c r="AT2281" s="74"/>
      <c r="AU2281" s="47"/>
      <c r="AV2281" s="48"/>
    </row>
    <row r="2282" spans="1:48" ht="12.75" customHeight="1" x14ac:dyDescent="0.25">
      <c r="A2282" s="72" t="s">
        <v>20</v>
      </c>
      <c r="B2282" s="43" t="s">
        <v>2240</v>
      </c>
      <c r="C2282" s="44" t="s">
        <v>2440</v>
      </c>
      <c r="D2282" s="45">
        <f>MROUND(MID($C2282,6,3)/Basis!$E$3,0.5)</f>
        <v>15.5</v>
      </c>
      <c r="E2282" s="45">
        <f>MROUND(MID($C2282,9,3)/Basis!$E$3,0.5)</f>
        <v>39.5</v>
      </c>
      <c r="F2282" s="124" t="s">
        <v>2946</v>
      </c>
      <c r="G2282" s="45">
        <f>ROUND((ROUNDDOWN($F2282/5,0)*5+1.8)/Basis!$E$3,1)</f>
        <v>4.5999999999999996</v>
      </c>
      <c r="H2282" s="120">
        <f>ROUND($P2282*Basis!$E$2*((TaH-TrH)/LN(1/µ)/Basis!$E$7)^$N2282*$AA$4*Glycol,0)</f>
        <v>2682</v>
      </c>
      <c r="I2282" s="83">
        <f>ROUND(H2282/(MID($C2282,9,3)/Basis!$E$3/Basis!$E$9)*Basis!$E$11,0)</f>
        <v>817</v>
      </c>
      <c r="J2282" s="123">
        <f>IF(Basis!$E$1=1,ROUND(H2282/((TaH-TrH)*1.163)/3600,3),ROUND(H2282/(500*(TaH-TrH)),2))</f>
        <v>0.27</v>
      </c>
      <c r="K2282" s="84"/>
      <c r="L2282" s="177">
        <f>CHOOSE(Basis!$E$1,((AJ2282*(J2282*3600/Basis!$E$5)^AK2282*(((MID(C2282,9,3)*10)-144)/1000)*AL2282+AM2282*(J2282*3600/Basis!$E$5)^2)*0.0098)/Basis!$E$10,((AJ2282*(J2282/Basis!$E$5)^AK2282*(((MID(C2282,9,3)*10)-144)/1000)*AL2282+AM2282*(J2282/Basis!$E$5)^2)*0.0098)/Basis!$E$10)</f>
        <v>1.2666106314589625E-2</v>
      </c>
      <c r="M2282" s="85"/>
      <c r="N2282" s="109">
        <v>1.4390000000000001</v>
      </c>
      <c r="O2282" s="68"/>
      <c r="P2282" s="67">
        <v>1264</v>
      </c>
      <c r="Q2282" s="68"/>
      <c r="R2282" s="69"/>
      <c r="S2282" s="69"/>
      <c r="T2282" s="69"/>
      <c r="U2282" s="69"/>
      <c r="V2282" s="69"/>
      <c r="W2282" s="68"/>
      <c r="X2282" s="70"/>
      <c r="Y2282" s="70"/>
      <c r="Z2282" s="70"/>
      <c r="AA2282" s="70"/>
      <c r="AB2282" s="70"/>
      <c r="AC2282" s="68"/>
      <c r="AD2282" s="71"/>
      <c r="AE2282" s="71"/>
      <c r="AF2282" s="71"/>
      <c r="AG2282" s="71"/>
      <c r="AH2282" s="71"/>
      <c r="AI2282" s="68"/>
      <c r="AJ2282" s="214">
        <v>3.9689999999999994E-4</v>
      </c>
      <c r="AK2282" s="214">
        <v>1.7345999999999999</v>
      </c>
      <c r="AL2282" s="214">
        <v>4</v>
      </c>
      <c r="AM2282" s="214">
        <v>5.7428799999999995E-4</v>
      </c>
      <c r="AN2282" s="68"/>
      <c r="AO2282" s="67"/>
      <c r="AP2282" s="67"/>
      <c r="AQ2282" s="67"/>
      <c r="AR2282" s="67"/>
      <c r="AS2282" s="67"/>
      <c r="AT2282" s="68"/>
      <c r="AU2282" s="49"/>
      <c r="AV2282" s="50"/>
    </row>
    <row r="2283" spans="1:48" ht="12.75" customHeight="1" x14ac:dyDescent="0.25">
      <c r="A2283" s="72" t="s">
        <v>20</v>
      </c>
      <c r="B2283" s="43" t="s">
        <v>2240</v>
      </c>
      <c r="C2283" s="44" t="s">
        <v>2441</v>
      </c>
      <c r="D2283" s="45">
        <f>MROUND(MID($C2283,6,3)/Basis!$E$3,0.5)</f>
        <v>15.5</v>
      </c>
      <c r="E2283" s="45">
        <f>MROUND(MID($C2283,9,3)/Basis!$E$3,0.5)</f>
        <v>39.5</v>
      </c>
      <c r="F2283" s="124" t="s">
        <v>2944</v>
      </c>
      <c r="G2283" s="45">
        <f>ROUND((ROUNDDOWN($F2283/5,0)*5+1.8)/Basis!$E$3,1)</f>
        <v>6.6</v>
      </c>
      <c r="H2283" s="120">
        <f>ROUND($P2283*Basis!$E$2*((TaH-TrH)/LN(1/µ)/Basis!$E$7)^$N2283*$AA$4*Glycol,0)</f>
        <v>3387</v>
      </c>
      <c r="I2283" s="83">
        <f>ROUND(H2283/(MID($C2283,9,3)/Basis!$E$3/Basis!$E$9)*Basis!$E$11,0)</f>
        <v>1032</v>
      </c>
      <c r="J2283" s="123">
        <f>IF(Basis!$E$1=1,ROUND(H2283/((TaH-TrH)*1.163)/3600,3),ROUND(H2283/(500*(TaH-TrH)),2))</f>
        <v>0.34</v>
      </c>
      <c r="K2283" s="84"/>
      <c r="L2283" s="177">
        <f>CHOOSE(Basis!$E$1,((AJ2283*(J2283*3600/Basis!$E$5)^AK2283*(((MID(C2283,9,3)*10)-144)/1000)*AL2283+AM2283*(J2283*3600/Basis!$E$5)^2)*0.0098)/Basis!$E$10,((AJ2283*(J2283/Basis!$E$5)^AK2283*(((MID(C2283,9,3)*10)-144)/1000)*AL2283+AM2283*(J2283/Basis!$E$5)^2)*0.0098)/Basis!$E$10)</f>
        <v>1.1099818353828428E-2</v>
      </c>
      <c r="M2283" s="85"/>
      <c r="N2283" s="109">
        <v>1.385</v>
      </c>
      <c r="O2283" s="68"/>
      <c r="P2283" s="67">
        <v>1568</v>
      </c>
      <c r="Q2283" s="68"/>
      <c r="R2283" s="69"/>
      <c r="S2283" s="69"/>
      <c r="T2283" s="69"/>
      <c r="U2283" s="69"/>
      <c r="V2283" s="69"/>
      <c r="W2283" s="68"/>
      <c r="X2283" s="70"/>
      <c r="Y2283" s="70"/>
      <c r="Z2283" s="70"/>
      <c r="AA2283" s="70"/>
      <c r="AB2283" s="70"/>
      <c r="AC2283" s="68"/>
      <c r="AD2283" s="71"/>
      <c r="AE2283" s="71"/>
      <c r="AF2283" s="71"/>
      <c r="AG2283" s="71"/>
      <c r="AH2283" s="71"/>
      <c r="AI2283" s="68"/>
      <c r="AJ2283" s="214">
        <v>2.0829999999999999E-4</v>
      </c>
      <c r="AK2283" s="214">
        <v>1.724</v>
      </c>
      <c r="AL2283" s="214">
        <v>2</v>
      </c>
      <c r="AM2283" s="214">
        <v>4.6182900000000003E-4</v>
      </c>
      <c r="AN2283" s="68"/>
      <c r="AO2283" s="67"/>
      <c r="AP2283" s="67"/>
      <c r="AQ2283" s="67"/>
      <c r="AR2283" s="67"/>
      <c r="AS2283" s="67"/>
      <c r="AT2283" s="68"/>
      <c r="AU2283" s="49"/>
      <c r="AV2283" s="50"/>
    </row>
    <row r="2284" spans="1:48" ht="12.75" customHeight="1" x14ac:dyDescent="0.25">
      <c r="A2284" s="72" t="s">
        <v>20</v>
      </c>
      <c r="B2284" s="43" t="s">
        <v>2240</v>
      </c>
      <c r="C2284" s="44" t="s">
        <v>2442</v>
      </c>
      <c r="D2284" s="45">
        <f>MROUND(MID($C2284,6,3)/Basis!$E$3,0.5)</f>
        <v>15.5</v>
      </c>
      <c r="E2284" s="45">
        <f>MROUND(MID($C2284,9,3)/Basis!$E$3,0.5)</f>
        <v>39.5</v>
      </c>
      <c r="F2284" s="124" t="s">
        <v>2947</v>
      </c>
      <c r="G2284" s="45">
        <f>ROUND((ROUNDDOWN($F2284/5,0)*5+1.8)/Basis!$E$3,1)</f>
        <v>6.6</v>
      </c>
      <c r="H2284" s="120">
        <f>ROUND($P2284*Basis!$E$2*((TaH-TrH)/LN(1/µ)/Basis!$E$7)^$N2284*$AA$4*Glycol,0)</f>
        <v>3583</v>
      </c>
      <c r="I2284" s="83">
        <f>ROUND(H2284/(MID($C2284,9,3)/Basis!$E$3/Basis!$E$9)*Basis!$E$11,0)</f>
        <v>1092</v>
      </c>
      <c r="J2284" s="123">
        <f>IF(Basis!$E$1=1,ROUND(H2284/((TaH-TrH)*1.163)/3600,3),ROUND(H2284/(500*(TaH-TrH)),2))</f>
        <v>0.36</v>
      </c>
      <c r="K2284" s="84"/>
      <c r="L2284" s="177">
        <f>CHOOSE(Basis!$E$1,((AJ2284*(J2284*3600/Basis!$E$5)^AK2284*(((MID(C2284,9,3)*10)-144)/1000)*AL2284+AM2284*(J2284*3600/Basis!$E$5)^2)*0.0098)/Basis!$E$10,((AJ2284*(J2284/Basis!$E$5)^AK2284*(((MID(C2284,9,3)*10)-144)/1000)*AL2284+AM2284*(J2284/Basis!$E$5)^2)*0.0098)/Basis!$E$10)</f>
        <v>3.5069838176406944E-2</v>
      </c>
      <c r="M2284" s="85"/>
      <c r="N2284" s="110">
        <v>1.46</v>
      </c>
      <c r="O2284" s="74"/>
      <c r="P2284" s="73">
        <v>1700</v>
      </c>
      <c r="Q2284" s="74"/>
      <c r="R2284" s="75"/>
      <c r="S2284" s="75"/>
      <c r="T2284" s="75"/>
      <c r="U2284" s="75"/>
      <c r="V2284" s="75"/>
      <c r="W2284" s="74"/>
      <c r="X2284" s="76"/>
      <c r="Y2284" s="76"/>
      <c r="Z2284" s="76"/>
      <c r="AA2284" s="76"/>
      <c r="AB2284" s="76"/>
      <c r="AC2284" s="74"/>
      <c r="AD2284" s="77"/>
      <c r="AE2284" s="77"/>
      <c r="AF2284" s="77"/>
      <c r="AG2284" s="77"/>
      <c r="AH2284" s="77"/>
      <c r="AI2284" s="68"/>
      <c r="AJ2284" s="213">
        <v>2.0829999999999999E-4</v>
      </c>
      <c r="AK2284" s="213">
        <v>1.724</v>
      </c>
      <c r="AL2284" s="213">
        <v>4</v>
      </c>
      <c r="AM2284" s="213">
        <v>1.392796E-3</v>
      </c>
      <c r="AN2284" s="74"/>
      <c r="AO2284" s="73"/>
      <c r="AP2284" s="73"/>
      <c r="AQ2284" s="73"/>
      <c r="AR2284" s="73"/>
      <c r="AS2284" s="73"/>
      <c r="AT2284" s="74"/>
      <c r="AU2284" s="47"/>
      <c r="AV2284" s="48"/>
    </row>
    <row r="2285" spans="1:48" ht="12.75" customHeight="1" x14ac:dyDescent="0.25">
      <c r="A2285" s="72" t="s">
        <v>20</v>
      </c>
      <c r="B2285" s="43" t="s">
        <v>2240</v>
      </c>
      <c r="C2285" s="44" t="s">
        <v>2443</v>
      </c>
      <c r="D2285" s="45">
        <f>MROUND(MID($C2285,6,3)/Basis!$E$3,0.5)</f>
        <v>15.5</v>
      </c>
      <c r="E2285" s="45">
        <f>MROUND(MID($C2285,9,3)/Basis!$E$3,0.5)</f>
        <v>39.5</v>
      </c>
      <c r="F2285" s="124" t="s">
        <v>2945</v>
      </c>
      <c r="G2285" s="45">
        <f>ROUND((ROUNDDOWN($F2285/5,0)*5+1.8)/Basis!$E$3,1)</f>
        <v>8.6</v>
      </c>
      <c r="H2285" s="120">
        <f>ROUND($P2285*Basis!$E$2*((TaH-TrH)/LN(1/µ)/Basis!$E$7)^$N2285*$AA$4*Glycol,0)</f>
        <v>4745</v>
      </c>
      <c r="I2285" s="83">
        <f>ROUND(H2285/(MID($C2285,9,3)/Basis!$E$3/Basis!$E$9)*Basis!$E$11,0)</f>
        <v>1446</v>
      </c>
      <c r="J2285" s="123">
        <f>IF(Basis!$E$1=1,ROUND(H2285/((TaH-TrH)*1.163)/3600,3),ROUND(H2285/(500*(TaH-TrH)),2))</f>
        <v>0.47</v>
      </c>
      <c r="K2285" s="84"/>
      <c r="L2285" s="177">
        <f>CHOOSE(Basis!$E$1,((AJ2285*(J2285*3600/Basis!$E$5)^AK2285*(((MID(C2285,9,3)*10)-144)/1000)*AL2285+AM2285*(J2285*3600/Basis!$E$5)^2)*0.0098)/Basis!$E$10,((AJ2285*(J2285/Basis!$E$5)^AK2285*(((MID(C2285,9,3)*10)-144)/1000)*AL2285+AM2285*(J2285/Basis!$E$5)^2)*0.0098)/Basis!$E$10)</f>
        <v>1.6253002518565554E-2</v>
      </c>
      <c r="M2285" s="85"/>
      <c r="N2285" s="110">
        <v>1.3839999999999999</v>
      </c>
      <c r="O2285" s="74"/>
      <c r="P2285" s="73">
        <v>2196</v>
      </c>
      <c r="Q2285" s="74"/>
      <c r="R2285" s="75"/>
      <c r="S2285" s="75"/>
      <c r="T2285" s="75"/>
      <c r="U2285" s="75"/>
      <c r="V2285" s="75"/>
      <c r="W2285" s="74"/>
      <c r="X2285" s="76"/>
      <c r="Y2285" s="76"/>
      <c r="Z2285" s="76"/>
      <c r="AA2285" s="76"/>
      <c r="AB2285" s="76"/>
      <c r="AC2285" s="74"/>
      <c r="AD2285" s="77"/>
      <c r="AE2285" s="77"/>
      <c r="AF2285" s="77"/>
      <c r="AG2285" s="77"/>
      <c r="AH2285" s="77"/>
      <c r="AI2285" s="68"/>
      <c r="AJ2285" s="214">
        <v>1.2760000000000001E-4</v>
      </c>
      <c r="AK2285" s="214">
        <v>1.7219</v>
      </c>
      <c r="AL2285" s="214">
        <v>2</v>
      </c>
      <c r="AM2285" s="214">
        <v>3.76611E-4</v>
      </c>
      <c r="AN2285" s="74"/>
      <c r="AO2285" s="73"/>
      <c r="AP2285" s="73"/>
      <c r="AQ2285" s="73"/>
      <c r="AR2285" s="73"/>
      <c r="AS2285" s="73"/>
      <c r="AT2285" s="74"/>
      <c r="AU2285" s="47"/>
      <c r="AV2285" s="48"/>
    </row>
    <row r="2286" spans="1:48" ht="12.75" customHeight="1" x14ac:dyDescent="0.25">
      <c r="A2286" s="72" t="s">
        <v>20</v>
      </c>
      <c r="B2286" s="43" t="s">
        <v>2240</v>
      </c>
      <c r="C2286" s="44" t="s">
        <v>2444</v>
      </c>
      <c r="D2286" s="45">
        <f>MROUND(MID($C2286,6,3)/Basis!$E$3,0.5)</f>
        <v>15.5</v>
      </c>
      <c r="E2286" s="45">
        <f>MROUND(MID($C2286,9,3)/Basis!$E$3,0.5)</f>
        <v>39.5</v>
      </c>
      <c r="F2286" s="124" t="s">
        <v>2948</v>
      </c>
      <c r="G2286" s="45">
        <f>ROUND((ROUNDDOWN($F2286/5,0)*5+1.8)/Basis!$E$3,1)</f>
        <v>8.6</v>
      </c>
      <c r="H2286" s="120">
        <f>ROUND($P2286*Basis!$E$2*((TaH-TrH)/LN(1/µ)/Basis!$E$7)^$N2286*$AA$4*Glycol,0)</f>
        <v>4765</v>
      </c>
      <c r="I2286" s="83">
        <f>ROUND(H2286/(MID($C2286,9,3)/Basis!$E$3/Basis!$E$9)*Basis!$E$11,0)</f>
        <v>1452</v>
      </c>
      <c r="J2286" s="123">
        <f>IF(Basis!$E$1=1,ROUND(H2286/((TaH-TrH)*1.163)/3600,3),ROUND(H2286/(500*(TaH-TrH)),2))</f>
        <v>0.48</v>
      </c>
      <c r="K2286" s="84"/>
      <c r="L2286" s="177">
        <f>CHOOSE(Basis!$E$1,((AJ2286*(J2286*3600/Basis!$E$5)^AK2286*(((MID(C2286,9,3)*10)-144)/1000)*AL2286+AM2286*(J2286*3600/Basis!$E$5)^2)*0.0098)/Basis!$E$10,((AJ2286*(J2286/Basis!$E$5)^AK2286*(((MID(C2286,9,3)*10)-144)/1000)*AL2286+AM2286*(J2286/Basis!$E$5)^2)*0.0098)/Basis!$E$10)</f>
        <v>2.45881771302199E-2</v>
      </c>
      <c r="M2286" s="85"/>
      <c r="N2286" s="109">
        <v>1.4770000000000001</v>
      </c>
      <c r="O2286" s="68"/>
      <c r="P2286" s="67">
        <v>2274</v>
      </c>
      <c r="Q2286" s="68"/>
      <c r="R2286" s="69"/>
      <c r="S2286" s="69"/>
      <c r="T2286" s="69"/>
      <c r="U2286" s="69"/>
      <c r="V2286" s="69"/>
      <c r="W2286" s="68"/>
      <c r="X2286" s="70"/>
      <c r="Y2286" s="70"/>
      <c r="Z2286" s="70"/>
      <c r="AA2286" s="70"/>
      <c r="AB2286" s="70"/>
      <c r="AC2286" s="68"/>
      <c r="AD2286" s="71"/>
      <c r="AE2286" s="71"/>
      <c r="AF2286" s="71"/>
      <c r="AG2286" s="71"/>
      <c r="AH2286" s="71"/>
      <c r="AI2286" s="68"/>
      <c r="AJ2286" s="214">
        <v>1.2760000000000001E-4</v>
      </c>
      <c r="AK2286" s="214">
        <v>1.7219</v>
      </c>
      <c r="AL2286" s="214">
        <v>4</v>
      </c>
      <c r="AM2286" s="214">
        <v>5.1420100000000005E-4</v>
      </c>
      <c r="AN2286" s="68"/>
      <c r="AO2286" s="67"/>
      <c r="AP2286" s="67"/>
      <c r="AQ2286" s="67"/>
      <c r="AR2286" s="67"/>
      <c r="AS2286" s="67"/>
      <c r="AT2286" s="68"/>
      <c r="AU2286" s="49"/>
      <c r="AV2286" s="50"/>
    </row>
    <row r="2287" spans="1:48" ht="12.75" customHeight="1" x14ac:dyDescent="0.25">
      <c r="A2287" s="72" t="s">
        <v>20</v>
      </c>
      <c r="B2287" s="43" t="s">
        <v>2240</v>
      </c>
      <c r="C2287" s="44" t="s">
        <v>2445</v>
      </c>
      <c r="D2287" s="45">
        <f>MROUND(MID($C2287,6,3)/Basis!$E$3,0.5)</f>
        <v>15.5</v>
      </c>
      <c r="E2287" s="45">
        <f>MROUND(MID($C2287,9,3)/Basis!$E$3,0.5)</f>
        <v>43.5</v>
      </c>
      <c r="F2287" s="124" t="s">
        <v>2943</v>
      </c>
      <c r="G2287" s="45">
        <f>ROUND((ROUNDDOWN($F2287/5,0)*5+1.8)/Basis!$E$3,1)</f>
        <v>4.5999999999999996</v>
      </c>
      <c r="H2287" s="120">
        <f>ROUND($P2287*Basis!$E$2*((TaH-TrH)/LN(1/µ)/Basis!$E$7)^$N2287*$AA$4*Glycol,0)</f>
        <v>2281</v>
      </c>
      <c r="I2287" s="83">
        <f>ROUND(H2287/(MID($C2287,9,3)/Basis!$E$3/Basis!$E$9)*Basis!$E$11,0)</f>
        <v>632</v>
      </c>
      <c r="J2287" s="123">
        <f>IF(Basis!$E$1=1,ROUND(H2287/((TaH-TrH)*1.163)/3600,3),ROUND(H2287/(500*(TaH-TrH)),2))</f>
        <v>0.23</v>
      </c>
      <c r="K2287" s="84"/>
      <c r="L2287" s="177">
        <f>CHOOSE(Basis!$E$1,((AJ2287*(J2287*3600/Basis!$E$5)^AK2287*(((MID(C2287,9,3)*10)-144)/1000)*AL2287+AM2287*(J2287*3600/Basis!$E$5)^2)*0.0098)/Basis!$E$10,((AJ2287*(J2287/Basis!$E$5)^AK2287*(((MID(C2287,9,3)*10)-144)/1000)*AL2287+AM2287*(J2287/Basis!$E$5)^2)*0.0098)/Basis!$E$10)</f>
        <v>5.6475029220575106E-3</v>
      </c>
      <c r="M2287" s="85"/>
      <c r="N2287" s="109">
        <v>1.3939999999999999</v>
      </c>
      <c r="O2287" s="68"/>
      <c r="P2287" s="67">
        <v>1059</v>
      </c>
      <c r="Q2287" s="68"/>
      <c r="R2287" s="69"/>
      <c r="S2287" s="69"/>
      <c r="T2287" s="69"/>
      <c r="U2287" s="69"/>
      <c r="V2287" s="69"/>
      <c r="W2287" s="68"/>
      <c r="X2287" s="70"/>
      <c r="Y2287" s="70"/>
      <c r="Z2287" s="70"/>
      <c r="AA2287" s="70"/>
      <c r="AB2287" s="70"/>
      <c r="AC2287" s="68"/>
      <c r="AD2287" s="71"/>
      <c r="AE2287" s="71"/>
      <c r="AF2287" s="71"/>
      <c r="AG2287" s="71"/>
      <c r="AH2287" s="71"/>
      <c r="AI2287" s="68"/>
      <c r="AJ2287" s="214">
        <v>3.9689999999999994E-4</v>
      </c>
      <c r="AK2287" s="214">
        <v>1.7345999999999999</v>
      </c>
      <c r="AL2287" s="214">
        <v>2</v>
      </c>
      <c r="AM2287" s="214">
        <v>3.6734700000000002E-4</v>
      </c>
      <c r="AN2287" s="68"/>
      <c r="AO2287" s="67"/>
      <c r="AP2287" s="67"/>
      <c r="AQ2287" s="67"/>
      <c r="AR2287" s="67"/>
      <c r="AS2287" s="67"/>
      <c r="AT2287" s="68"/>
      <c r="AU2287" s="49"/>
      <c r="AV2287" s="50"/>
    </row>
    <row r="2288" spans="1:48" ht="12.75" customHeight="1" x14ac:dyDescent="0.25">
      <c r="A2288" s="72" t="s">
        <v>20</v>
      </c>
      <c r="B2288" s="43" t="s">
        <v>2240</v>
      </c>
      <c r="C2288" s="44" t="s">
        <v>2446</v>
      </c>
      <c r="D2288" s="45">
        <f>MROUND(MID($C2288,6,3)/Basis!$E$3,0.5)</f>
        <v>15.5</v>
      </c>
      <c r="E2288" s="45">
        <f>MROUND(MID($C2288,9,3)/Basis!$E$3,0.5)</f>
        <v>43.5</v>
      </c>
      <c r="F2288" s="124" t="s">
        <v>2946</v>
      </c>
      <c r="G2288" s="45">
        <f>ROUND((ROUNDDOWN($F2288/5,0)*5+1.8)/Basis!$E$3,1)</f>
        <v>4.5999999999999996</v>
      </c>
      <c r="H2288" s="120">
        <f>ROUND($P2288*Basis!$E$2*((TaH-TrH)/LN(1/µ)/Basis!$E$7)^$N2288*$AA$4*Glycol,0)</f>
        <v>2950</v>
      </c>
      <c r="I2288" s="83">
        <f>ROUND(H2288/(MID($C2288,9,3)/Basis!$E$3/Basis!$E$9)*Basis!$E$11,0)</f>
        <v>817</v>
      </c>
      <c r="J2288" s="123">
        <f>IF(Basis!$E$1=1,ROUND(H2288/((TaH-TrH)*1.163)/3600,3),ROUND(H2288/(500*(TaH-TrH)),2))</f>
        <v>0.3</v>
      </c>
      <c r="K2288" s="84"/>
      <c r="L2288" s="177">
        <f>CHOOSE(Basis!$E$1,((AJ2288*(J2288*3600/Basis!$E$5)^AK2288*(((MID(C2288,9,3)*10)-144)/1000)*AL2288+AM2288*(J2288*3600/Basis!$E$5)^2)*0.0098)/Basis!$E$10,((AJ2288*(J2288/Basis!$E$5)^AK2288*(((MID(C2288,9,3)*10)-144)/1000)*AL2288+AM2288*(J2288/Basis!$E$5)^2)*0.0098)/Basis!$E$10)</f>
        <v>1.6232405853752151E-2</v>
      </c>
      <c r="M2288" s="85"/>
      <c r="N2288" s="110">
        <v>1.4390000000000001</v>
      </c>
      <c r="O2288" s="74"/>
      <c r="P2288" s="73">
        <v>1390</v>
      </c>
      <c r="Q2288" s="74"/>
      <c r="R2288" s="75"/>
      <c r="S2288" s="75"/>
      <c r="T2288" s="75"/>
      <c r="U2288" s="75"/>
      <c r="V2288" s="75"/>
      <c r="W2288" s="74"/>
      <c r="X2288" s="76"/>
      <c r="Y2288" s="76"/>
      <c r="Z2288" s="76"/>
      <c r="AA2288" s="76"/>
      <c r="AB2288" s="76"/>
      <c r="AC2288" s="74"/>
      <c r="AD2288" s="77"/>
      <c r="AE2288" s="77"/>
      <c r="AF2288" s="77"/>
      <c r="AG2288" s="77"/>
      <c r="AH2288" s="77"/>
      <c r="AI2288" s="68"/>
      <c r="AJ2288" s="213">
        <v>3.9689999999999994E-4</v>
      </c>
      <c r="AK2288" s="213">
        <v>1.7345999999999999</v>
      </c>
      <c r="AL2288" s="213">
        <v>4</v>
      </c>
      <c r="AM2288" s="213">
        <v>5.7428799999999995E-4</v>
      </c>
      <c r="AN2288" s="74"/>
      <c r="AO2288" s="73"/>
      <c r="AP2288" s="73"/>
      <c r="AQ2288" s="73"/>
      <c r="AR2288" s="73"/>
      <c r="AS2288" s="73"/>
      <c r="AT2288" s="74"/>
      <c r="AU2288" s="47"/>
      <c r="AV2288" s="48"/>
    </row>
    <row r="2289" spans="1:48" ht="12.75" customHeight="1" x14ac:dyDescent="0.25">
      <c r="A2289" s="72" t="s">
        <v>20</v>
      </c>
      <c r="B2289" s="43" t="s">
        <v>2240</v>
      </c>
      <c r="C2289" s="44" t="s">
        <v>2447</v>
      </c>
      <c r="D2289" s="45">
        <f>MROUND(MID($C2289,6,3)/Basis!$E$3,0.5)</f>
        <v>15.5</v>
      </c>
      <c r="E2289" s="45">
        <f>MROUND(MID($C2289,9,3)/Basis!$E$3,0.5)</f>
        <v>43.5</v>
      </c>
      <c r="F2289" s="124" t="s">
        <v>2944</v>
      </c>
      <c r="G2289" s="45">
        <f>ROUND((ROUNDDOWN($F2289/5,0)*5+1.8)/Basis!$E$3,1)</f>
        <v>6.6</v>
      </c>
      <c r="H2289" s="120">
        <f>ROUND($P2289*Basis!$E$2*((TaH-TrH)/LN(1/µ)/Basis!$E$7)^$N2289*$AA$4*Glycol,0)</f>
        <v>3726</v>
      </c>
      <c r="I2289" s="83">
        <f>ROUND(H2289/(MID($C2289,9,3)/Basis!$E$3/Basis!$E$9)*Basis!$E$11,0)</f>
        <v>1032</v>
      </c>
      <c r="J2289" s="123">
        <f>IF(Basis!$E$1=1,ROUND(H2289/((TaH-TrH)*1.163)/3600,3),ROUND(H2289/(500*(TaH-TrH)),2))</f>
        <v>0.37</v>
      </c>
      <c r="K2289" s="84"/>
      <c r="L2289" s="177">
        <f>CHOOSE(Basis!$E$1,((AJ2289*(J2289*3600/Basis!$E$5)^AK2289*(((MID(C2289,9,3)*10)-144)/1000)*AL2289+AM2289*(J2289*3600/Basis!$E$5)^2)*0.0098)/Basis!$E$10,((AJ2289*(J2289/Basis!$E$5)^AK2289*(((MID(C2289,9,3)*10)-144)/1000)*AL2289+AM2289*(J2289/Basis!$E$5)^2)*0.0098)/Basis!$E$10)</f>
        <v>1.337094389631195E-2</v>
      </c>
      <c r="M2289" s="85"/>
      <c r="N2289" s="110">
        <v>1.385</v>
      </c>
      <c r="O2289" s="74"/>
      <c r="P2289" s="73">
        <v>1725</v>
      </c>
      <c r="Q2289" s="74"/>
      <c r="R2289" s="75"/>
      <c r="S2289" s="75"/>
      <c r="T2289" s="75"/>
      <c r="U2289" s="75"/>
      <c r="V2289" s="75"/>
      <c r="W2289" s="74"/>
      <c r="X2289" s="76"/>
      <c r="Y2289" s="76"/>
      <c r="Z2289" s="76"/>
      <c r="AA2289" s="76"/>
      <c r="AB2289" s="76"/>
      <c r="AC2289" s="74"/>
      <c r="AD2289" s="77"/>
      <c r="AE2289" s="77"/>
      <c r="AF2289" s="77"/>
      <c r="AG2289" s="77"/>
      <c r="AH2289" s="77"/>
      <c r="AI2289" s="68"/>
      <c r="AJ2289" s="213">
        <v>2.0829999999999999E-4</v>
      </c>
      <c r="AK2289" s="213">
        <v>1.724</v>
      </c>
      <c r="AL2289" s="213">
        <v>2</v>
      </c>
      <c r="AM2289" s="213">
        <v>4.6182900000000003E-4</v>
      </c>
      <c r="AN2289" s="74"/>
      <c r="AO2289" s="73"/>
      <c r="AP2289" s="73"/>
      <c r="AQ2289" s="73"/>
      <c r="AR2289" s="73"/>
      <c r="AS2289" s="73"/>
      <c r="AT2289" s="74"/>
      <c r="AU2289" s="47"/>
      <c r="AV2289" s="48"/>
    </row>
    <row r="2290" spans="1:48" ht="12.75" customHeight="1" x14ac:dyDescent="0.25">
      <c r="A2290" s="72" t="s">
        <v>20</v>
      </c>
      <c r="B2290" s="43" t="s">
        <v>2240</v>
      </c>
      <c r="C2290" s="44" t="s">
        <v>2448</v>
      </c>
      <c r="D2290" s="45">
        <f>MROUND(MID($C2290,6,3)/Basis!$E$3,0.5)</f>
        <v>15.5</v>
      </c>
      <c r="E2290" s="45">
        <f>MROUND(MID($C2290,9,3)/Basis!$E$3,0.5)</f>
        <v>43.5</v>
      </c>
      <c r="F2290" s="124" t="s">
        <v>2947</v>
      </c>
      <c r="G2290" s="45">
        <f>ROUND((ROUNDDOWN($F2290/5,0)*5+1.8)/Basis!$E$3,1)</f>
        <v>6.6</v>
      </c>
      <c r="H2290" s="120">
        <f>ROUND($P2290*Basis!$E$2*((TaH-TrH)/LN(1/µ)/Basis!$E$7)^$N2290*$AA$4*Glycol,0)</f>
        <v>3941</v>
      </c>
      <c r="I2290" s="83">
        <f>ROUND(H2290/(MID($C2290,9,3)/Basis!$E$3/Basis!$E$9)*Basis!$E$11,0)</f>
        <v>1092</v>
      </c>
      <c r="J2290" s="123">
        <f>IF(Basis!$E$1=1,ROUND(H2290/((TaH-TrH)*1.163)/3600,3),ROUND(H2290/(500*(TaH-TrH)),2))</f>
        <v>0.39</v>
      </c>
      <c r="K2290" s="84"/>
      <c r="L2290" s="177">
        <f>CHOOSE(Basis!$E$1,((AJ2290*(J2290*3600/Basis!$E$5)^AK2290*(((MID(C2290,9,3)*10)-144)/1000)*AL2290+AM2290*(J2290*3600/Basis!$E$5)^2)*0.0098)/Basis!$E$10,((AJ2290*(J2290/Basis!$E$5)^AK2290*(((MID(C2290,9,3)*10)-144)/1000)*AL2290+AM2290*(J2290/Basis!$E$5)^2)*0.0098)/Basis!$E$10)</f>
        <v>4.1659877234250998E-2</v>
      </c>
      <c r="M2290" s="85"/>
      <c r="N2290" s="109">
        <v>1.46</v>
      </c>
      <c r="O2290" s="68"/>
      <c r="P2290" s="67">
        <v>1870</v>
      </c>
      <c r="Q2290" s="68"/>
      <c r="R2290" s="69"/>
      <c r="S2290" s="69"/>
      <c r="T2290" s="69"/>
      <c r="U2290" s="69"/>
      <c r="V2290" s="69"/>
      <c r="W2290" s="68"/>
      <c r="X2290" s="70"/>
      <c r="Y2290" s="70"/>
      <c r="Z2290" s="70"/>
      <c r="AA2290" s="70"/>
      <c r="AB2290" s="70"/>
      <c r="AC2290" s="68"/>
      <c r="AD2290" s="71"/>
      <c r="AE2290" s="71"/>
      <c r="AF2290" s="71"/>
      <c r="AG2290" s="71"/>
      <c r="AH2290" s="71"/>
      <c r="AI2290" s="68"/>
      <c r="AJ2290" s="214">
        <v>2.0829999999999999E-4</v>
      </c>
      <c r="AK2290" s="214">
        <v>1.724</v>
      </c>
      <c r="AL2290" s="214">
        <v>4</v>
      </c>
      <c r="AM2290" s="214">
        <v>1.392796E-3</v>
      </c>
      <c r="AN2290" s="68"/>
      <c r="AO2290" s="67"/>
      <c r="AP2290" s="67"/>
      <c r="AQ2290" s="67"/>
      <c r="AR2290" s="67"/>
      <c r="AS2290" s="67"/>
      <c r="AT2290" s="68"/>
      <c r="AU2290" s="49"/>
      <c r="AV2290" s="50"/>
    </row>
    <row r="2291" spans="1:48" ht="12.75" customHeight="1" x14ac:dyDescent="0.25">
      <c r="A2291" s="72" t="s">
        <v>20</v>
      </c>
      <c r="B2291" s="43" t="s">
        <v>2240</v>
      </c>
      <c r="C2291" s="44" t="s">
        <v>2449</v>
      </c>
      <c r="D2291" s="45">
        <f>MROUND(MID($C2291,6,3)/Basis!$E$3,0.5)</f>
        <v>15.5</v>
      </c>
      <c r="E2291" s="45">
        <f>MROUND(MID($C2291,9,3)/Basis!$E$3,0.5)</f>
        <v>43.5</v>
      </c>
      <c r="F2291" s="124" t="s">
        <v>2945</v>
      </c>
      <c r="G2291" s="45">
        <f>ROUND((ROUNDDOWN($F2291/5,0)*5+1.8)/Basis!$E$3,1)</f>
        <v>8.6</v>
      </c>
      <c r="H2291" s="120">
        <f>ROUND($P2291*Basis!$E$2*((TaH-TrH)/LN(1/µ)/Basis!$E$7)^$N2291*$AA$4*Glycol,0)</f>
        <v>5221</v>
      </c>
      <c r="I2291" s="83">
        <f>ROUND(H2291/(MID($C2291,9,3)/Basis!$E$3/Basis!$E$9)*Basis!$E$11,0)</f>
        <v>1447</v>
      </c>
      <c r="J2291" s="123">
        <f>IF(Basis!$E$1=1,ROUND(H2291/((TaH-TrH)*1.163)/3600,3),ROUND(H2291/(500*(TaH-TrH)),2))</f>
        <v>0.52</v>
      </c>
      <c r="K2291" s="84"/>
      <c r="L2291" s="177">
        <f>CHOOSE(Basis!$E$1,((AJ2291*(J2291*3600/Basis!$E$5)^AK2291*(((MID(C2291,9,3)*10)-144)/1000)*AL2291+AM2291*(J2291*3600/Basis!$E$5)^2)*0.0098)/Basis!$E$10,((AJ2291*(J2291/Basis!$E$5)^AK2291*(((MID(C2291,9,3)*10)-144)/1000)*AL2291+AM2291*(J2291/Basis!$E$5)^2)*0.0098)/Basis!$E$10)</f>
        <v>2.0128432886468813E-2</v>
      </c>
      <c r="M2291" s="85"/>
      <c r="N2291" s="109">
        <v>1.3839999999999999</v>
      </c>
      <c r="O2291" s="68"/>
      <c r="P2291" s="67">
        <v>2416</v>
      </c>
      <c r="Q2291" s="68"/>
      <c r="R2291" s="69"/>
      <c r="S2291" s="69"/>
      <c r="T2291" s="69"/>
      <c r="U2291" s="69"/>
      <c r="V2291" s="69"/>
      <c r="W2291" s="68"/>
      <c r="X2291" s="70"/>
      <c r="Y2291" s="70"/>
      <c r="Z2291" s="70"/>
      <c r="AA2291" s="70"/>
      <c r="AB2291" s="70"/>
      <c r="AC2291" s="68"/>
      <c r="AD2291" s="71"/>
      <c r="AE2291" s="71"/>
      <c r="AF2291" s="71"/>
      <c r="AG2291" s="71"/>
      <c r="AH2291" s="71"/>
      <c r="AI2291" s="68"/>
      <c r="AJ2291" s="214">
        <v>1.2760000000000001E-4</v>
      </c>
      <c r="AK2291" s="214">
        <v>1.7219</v>
      </c>
      <c r="AL2291" s="214">
        <v>2</v>
      </c>
      <c r="AM2291" s="214">
        <v>3.76611E-4</v>
      </c>
      <c r="AN2291" s="68"/>
      <c r="AO2291" s="67"/>
      <c r="AP2291" s="67"/>
      <c r="AQ2291" s="67"/>
      <c r="AR2291" s="67"/>
      <c r="AS2291" s="67"/>
      <c r="AT2291" s="68"/>
      <c r="AU2291" s="49"/>
      <c r="AV2291" s="50"/>
    </row>
    <row r="2292" spans="1:48" ht="12.75" customHeight="1" x14ac:dyDescent="0.25">
      <c r="A2292" s="72" t="s">
        <v>20</v>
      </c>
      <c r="B2292" s="43" t="s">
        <v>2240</v>
      </c>
      <c r="C2292" s="44" t="s">
        <v>2450</v>
      </c>
      <c r="D2292" s="45">
        <f>MROUND(MID($C2292,6,3)/Basis!$E$3,0.5)</f>
        <v>15.5</v>
      </c>
      <c r="E2292" s="45">
        <f>MROUND(MID($C2292,9,3)/Basis!$E$3,0.5)</f>
        <v>43.5</v>
      </c>
      <c r="F2292" s="124" t="s">
        <v>2948</v>
      </c>
      <c r="G2292" s="45">
        <f>ROUND((ROUNDDOWN($F2292/5,0)*5+1.8)/Basis!$E$3,1)</f>
        <v>8.6</v>
      </c>
      <c r="H2292" s="120">
        <f>ROUND($P2292*Basis!$E$2*((TaH-TrH)/LN(1/µ)/Basis!$E$7)^$N2292*$AA$4*Glycol,0)</f>
        <v>5241</v>
      </c>
      <c r="I2292" s="83">
        <f>ROUND(H2292/(MID($C2292,9,3)/Basis!$E$3/Basis!$E$9)*Basis!$E$11,0)</f>
        <v>1452</v>
      </c>
      <c r="J2292" s="123">
        <f>IF(Basis!$E$1=1,ROUND(H2292/((TaH-TrH)*1.163)/3600,3),ROUND(H2292/(500*(TaH-TrH)),2))</f>
        <v>0.52</v>
      </c>
      <c r="K2292" s="84"/>
      <c r="L2292" s="177">
        <f>CHOOSE(Basis!$E$1,((AJ2292*(J2292*3600/Basis!$E$5)^AK2292*(((MID(C2292,9,3)*10)-144)/1000)*AL2292+AM2292*(J2292*3600/Basis!$E$5)^2)*0.0098)/Basis!$E$10,((AJ2292*(J2292/Basis!$E$5)^AK2292*(((MID(C2292,9,3)*10)-144)/1000)*AL2292+AM2292*(J2292/Basis!$E$5)^2)*0.0098)/Basis!$E$10)</f>
        <v>2.9355505217077048E-2</v>
      </c>
      <c r="M2292" s="85"/>
      <c r="N2292" s="110">
        <v>1.4770000000000001</v>
      </c>
      <c r="O2292" s="74"/>
      <c r="P2292" s="73">
        <v>2501</v>
      </c>
      <c r="Q2292" s="74"/>
      <c r="R2292" s="75"/>
      <c r="S2292" s="75"/>
      <c r="T2292" s="75"/>
      <c r="U2292" s="75"/>
      <c r="V2292" s="75"/>
      <c r="W2292" s="74"/>
      <c r="X2292" s="76"/>
      <c r="Y2292" s="76"/>
      <c r="Z2292" s="76"/>
      <c r="AA2292" s="76"/>
      <c r="AB2292" s="76"/>
      <c r="AC2292" s="74"/>
      <c r="AD2292" s="77"/>
      <c r="AE2292" s="77"/>
      <c r="AF2292" s="77"/>
      <c r="AG2292" s="77"/>
      <c r="AH2292" s="77"/>
      <c r="AI2292" s="68"/>
      <c r="AJ2292" s="213">
        <v>1.2760000000000001E-4</v>
      </c>
      <c r="AK2292" s="213">
        <v>1.7219</v>
      </c>
      <c r="AL2292" s="213">
        <v>4</v>
      </c>
      <c r="AM2292" s="213">
        <v>5.1420100000000005E-4</v>
      </c>
      <c r="AN2292" s="74"/>
      <c r="AO2292" s="73"/>
      <c r="AP2292" s="73"/>
      <c r="AQ2292" s="73"/>
      <c r="AR2292" s="73"/>
      <c r="AS2292" s="73"/>
      <c r="AT2292" s="74"/>
      <c r="AU2292" s="47"/>
      <c r="AV2292" s="48"/>
    </row>
    <row r="2293" spans="1:48" ht="12.75" customHeight="1" x14ac:dyDescent="0.25">
      <c r="A2293" s="72" t="s">
        <v>20</v>
      </c>
      <c r="B2293" s="43" t="s">
        <v>2240</v>
      </c>
      <c r="C2293" s="44" t="s">
        <v>2451</v>
      </c>
      <c r="D2293" s="45">
        <f>MROUND(MID($C2293,6,3)/Basis!$E$3,0.5)</f>
        <v>15.5</v>
      </c>
      <c r="E2293" s="45">
        <f>MROUND(MID($C2293,9,3)/Basis!$E$3,0.5)</f>
        <v>47</v>
      </c>
      <c r="F2293" s="124" t="s">
        <v>2943</v>
      </c>
      <c r="G2293" s="45">
        <f>ROUND((ROUNDDOWN($F2293/5,0)*5+1.8)/Basis!$E$3,1)</f>
        <v>4.5999999999999996</v>
      </c>
      <c r="H2293" s="120">
        <f>ROUND($P2293*Basis!$E$2*((TaH-TrH)/LN(1/µ)/Basis!$E$7)^$N2293*$AA$4*Glycol,0)</f>
        <v>2490</v>
      </c>
      <c r="I2293" s="83">
        <f>ROUND(H2293/(MID($C2293,9,3)/Basis!$E$3/Basis!$E$9)*Basis!$E$11,0)</f>
        <v>632</v>
      </c>
      <c r="J2293" s="123">
        <f>IF(Basis!$E$1=1,ROUND(H2293/((TaH-TrH)*1.163)/3600,3),ROUND(H2293/(500*(TaH-TrH)),2))</f>
        <v>0.25</v>
      </c>
      <c r="K2293" s="84"/>
      <c r="L2293" s="177">
        <f>CHOOSE(Basis!$E$1,((AJ2293*(J2293*3600/Basis!$E$5)^AK2293*(((MID(C2293,9,3)*10)-144)/1000)*AL2293+AM2293*(J2293*3600/Basis!$E$5)^2)*0.0098)/Basis!$E$10,((AJ2293*(J2293/Basis!$E$5)^AK2293*(((MID(C2293,9,3)*10)-144)/1000)*AL2293+AM2293*(J2293/Basis!$E$5)^2)*0.0098)/Basis!$E$10)</f>
        <v>6.8975635998613921E-3</v>
      </c>
      <c r="M2293" s="85"/>
      <c r="N2293" s="110">
        <v>1.3939999999999999</v>
      </c>
      <c r="O2293" s="74"/>
      <c r="P2293" s="73">
        <v>1156</v>
      </c>
      <c r="Q2293" s="74"/>
      <c r="R2293" s="75"/>
      <c r="S2293" s="75"/>
      <c r="T2293" s="75"/>
      <c r="U2293" s="75"/>
      <c r="V2293" s="75"/>
      <c r="W2293" s="74"/>
      <c r="X2293" s="76"/>
      <c r="Y2293" s="76"/>
      <c r="Z2293" s="76"/>
      <c r="AA2293" s="76"/>
      <c r="AB2293" s="76"/>
      <c r="AC2293" s="74"/>
      <c r="AD2293" s="77"/>
      <c r="AE2293" s="77"/>
      <c r="AF2293" s="77"/>
      <c r="AG2293" s="77"/>
      <c r="AH2293" s="77"/>
      <c r="AI2293" s="68"/>
      <c r="AJ2293" s="213">
        <v>3.9689999999999994E-4</v>
      </c>
      <c r="AK2293" s="213">
        <v>1.7345999999999999</v>
      </c>
      <c r="AL2293" s="213">
        <v>2</v>
      </c>
      <c r="AM2293" s="213">
        <v>3.6734700000000002E-4</v>
      </c>
      <c r="AN2293" s="74"/>
      <c r="AO2293" s="73"/>
      <c r="AP2293" s="73"/>
      <c r="AQ2293" s="73"/>
      <c r="AR2293" s="73"/>
      <c r="AS2293" s="73"/>
      <c r="AT2293" s="74"/>
      <c r="AU2293" s="47"/>
      <c r="AV2293" s="48"/>
    </row>
    <row r="2294" spans="1:48" ht="12.75" customHeight="1" x14ac:dyDescent="0.25">
      <c r="A2294" s="72" t="s">
        <v>20</v>
      </c>
      <c r="B2294" s="43" t="s">
        <v>2240</v>
      </c>
      <c r="C2294" s="44" t="s">
        <v>2452</v>
      </c>
      <c r="D2294" s="45">
        <f>MROUND(MID($C2294,6,3)/Basis!$E$3,0.5)</f>
        <v>15.5</v>
      </c>
      <c r="E2294" s="45">
        <f>MROUND(MID($C2294,9,3)/Basis!$E$3,0.5)</f>
        <v>47</v>
      </c>
      <c r="F2294" s="124" t="s">
        <v>2946</v>
      </c>
      <c r="G2294" s="45">
        <f>ROUND((ROUNDDOWN($F2294/5,0)*5+1.8)/Basis!$E$3,1)</f>
        <v>4.5999999999999996</v>
      </c>
      <c r="H2294" s="120">
        <f>ROUND($P2294*Basis!$E$2*((TaH-TrH)/LN(1/µ)/Basis!$E$7)^$N2294*$AA$4*Glycol,0)</f>
        <v>3219</v>
      </c>
      <c r="I2294" s="83">
        <f>ROUND(H2294/(MID($C2294,9,3)/Basis!$E$3/Basis!$E$9)*Basis!$E$11,0)</f>
        <v>818</v>
      </c>
      <c r="J2294" s="123">
        <f>IF(Basis!$E$1=1,ROUND(H2294/((TaH-TrH)*1.163)/3600,3),ROUND(H2294/(500*(TaH-TrH)),2))</f>
        <v>0.32</v>
      </c>
      <c r="K2294" s="84"/>
      <c r="L2294" s="177">
        <f>CHOOSE(Basis!$E$1,((AJ2294*(J2294*3600/Basis!$E$5)^AK2294*(((MID(C2294,9,3)*10)-144)/1000)*AL2294+AM2294*(J2294*3600/Basis!$E$5)^2)*0.0098)/Basis!$E$10,((AJ2294*(J2294/Basis!$E$5)^AK2294*(((MID(C2294,9,3)*10)-144)/1000)*AL2294+AM2294*(J2294/Basis!$E$5)^2)*0.0098)/Basis!$E$10)</f>
        <v>1.9202821230681795E-2</v>
      </c>
      <c r="M2294" s="85"/>
      <c r="N2294" s="109">
        <v>1.4390000000000001</v>
      </c>
      <c r="O2294" s="68"/>
      <c r="P2294" s="67">
        <v>1517</v>
      </c>
      <c r="Q2294" s="68"/>
      <c r="R2294" s="69"/>
      <c r="S2294" s="69"/>
      <c r="T2294" s="69"/>
      <c r="U2294" s="69"/>
      <c r="V2294" s="69"/>
      <c r="W2294" s="68"/>
      <c r="X2294" s="70"/>
      <c r="Y2294" s="70"/>
      <c r="Z2294" s="70"/>
      <c r="AA2294" s="70"/>
      <c r="AB2294" s="70"/>
      <c r="AC2294" s="68"/>
      <c r="AD2294" s="71"/>
      <c r="AE2294" s="71"/>
      <c r="AF2294" s="71"/>
      <c r="AG2294" s="71"/>
      <c r="AH2294" s="71"/>
      <c r="AI2294" s="68"/>
      <c r="AJ2294" s="214">
        <v>3.9689999999999994E-4</v>
      </c>
      <c r="AK2294" s="214">
        <v>1.7345999999999999</v>
      </c>
      <c r="AL2294" s="214">
        <v>4</v>
      </c>
      <c r="AM2294" s="214">
        <v>5.7428799999999995E-4</v>
      </c>
      <c r="AN2294" s="68"/>
      <c r="AO2294" s="67"/>
      <c r="AP2294" s="67"/>
      <c r="AQ2294" s="67"/>
      <c r="AR2294" s="67"/>
      <c r="AS2294" s="67"/>
      <c r="AT2294" s="68"/>
      <c r="AU2294" s="49"/>
      <c r="AV2294" s="50"/>
    </row>
    <row r="2295" spans="1:48" ht="12.75" customHeight="1" x14ac:dyDescent="0.25">
      <c r="A2295" s="72" t="s">
        <v>20</v>
      </c>
      <c r="B2295" s="43" t="s">
        <v>2240</v>
      </c>
      <c r="C2295" s="44" t="s">
        <v>2453</v>
      </c>
      <c r="D2295" s="45">
        <f>MROUND(MID($C2295,6,3)/Basis!$E$3,0.5)</f>
        <v>15.5</v>
      </c>
      <c r="E2295" s="45">
        <f>MROUND(MID($C2295,9,3)/Basis!$E$3,0.5)</f>
        <v>47</v>
      </c>
      <c r="F2295" s="124" t="s">
        <v>2944</v>
      </c>
      <c r="G2295" s="45">
        <f>ROUND((ROUNDDOWN($F2295/5,0)*5+1.8)/Basis!$E$3,1)</f>
        <v>6.6</v>
      </c>
      <c r="H2295" s="120">
        <f>ROUND($P2295*Basis!$E$2*((TaH-TrH)/LN(1/µ)/Basis!$E$7)^$N2295*$AA$4*Glycol,0)</f>
        <v>4066</v>
      </c>
      <c r="I2295" s="83">
        <f>ROUND(H2295/(MID($C2295,9,3)/Basis!$E$3/Basis!$E$9)*Basis!$E$11,0)</f>
        <v>1033</v>
      </c>
      <c r="J2295" s="123">
        <f>IF(Basis!$E$1=1,ROUND(H2295/((TaH-TrH)*1.163)/3600,3),ROUND(H2295/(500*(TaH-TrH)),2))</f>
        <v>0.41</v>
      </c>
      <c r="K2295" s="84"/>
      <c r="L2295" s="177">
        <f>CHOOSE(Basis!$E$1,((AJ2295*(J2295*3600/Basis!$E$5)^AK2295*(((MID(C2295,9,3)*10)-144)/1000)*AL2295+AM2295*(J2295*3600/Basis!$E$5)^2)*0.0098)/Basis!$E$10,((AJ2295*(J2295/Basis!$E$5)^AK2295*(((MID(C2295,9,3)*10)-144)/1000)*AL2295+AM2295*(J2295/Basis!$E$5)^2)*0.0098)/Basis!$E$10)</f>
        <v>1.6663344548849223E-2</v>
      </c>
      <c r="M2295" s="85"/>
      <c r="N2295" s="109">
        <v>1.385</v>
      </c>
      <c r="O2295" s="68"/>
      <c r="P2295" s="67">
        <v>1882</v>
      </c>
      <c r="Q2295" s="68"/>
      <c r="R2295" s="69"/>
      <c r="S2295" s="69"/>
      <c r="T2295" s="69"/>
      <c r="U2295" s="69"/>
      <c r="V2295" s="69"/>
      <c r="W2295" s="68"/>
      <c r="X2295" s="70"/>
      <c r="Y2295" s="70"/>
      <c r="Z2295" s="70"/>
      <c r="AA2295" s="70"/>
      <c r="AB2295" s="70"/>
      <c r="AC2295" s="68"/>
      <c r="AD2295" s="71"/>
      <c r="AE2295" s="71"/>
      <c r="AF2295" s="71"/>
      <c r="AG2295" s="71"/>
      <c r="AH2295" s="71"/>
      <c r="AI2295" s="68"/>
      <c r="AJ2295" s="214">
        <v>2.0829999999999999E-4</v>
      </c>
      <c r="AK2295" s="214">
        <v>1.724</v>
      </c>
      <c r="AL2295" s="214">
        <v>2</v>
      </c>
      <c r="AM2295" s="214">
        <v>4.6182900000000003E-4</v>
      </c>
      <c r="AN2295" s="68"/>
      <c r="AO2295" s="67"/>
      <c r="AP2295" s="67"/>
      <c r="AQ2295" s="67"/>
      <c r="AR2295" s="67"/>
      <c r="AS2295" s="67"/>
      <c r="AT2295" s="68"/>
      <c r="AU2295" s="49"/>
      <c r="AV2295" s="50"/>
    </row>
    <row r="2296" spans="1:48" ht="12.75" customHeight="1" x14ac:dyDescent="0.25">
      <c r="A2296" s="72" t="s">
        <v>20</v>
      </c>
      <c r="B2296" s="43" t="s">
        <v>2240</v>
      </c>
      <c r="C2296" s="44" t="s">
        <v>2454</v>
      </c>
      <c r="D2296" s="45">
        <f>MROUND(MID($C2296,6,3)/Basis!$E$3,0.5)</f>
        <v>15.5</v>
      </c>
      <c r="E2296" s="45">
        <f>MROUND(MID($C2296,9,3)/Basis!$E$3,0.5)</f>
        <v>47</v>
      </c>
      <c r="F2296" s="124" t="s">
        <v>2947</v>
      </c>
      <c r="G2296" s="45">
        <f>ROUND((ROUNDDOWN($F2296/5,0)*5+1.8)/Basis!$E$3,1)</f>
        <v>6.6</v>
      </c>
      <c r="H2296" s="120">
        <f>ROUND($P2296*Basis!$E$2*((TaH-TrH)/LN(1/µ)/Basis!$E$7)^$N2296*$AA$4*Glycol,0)</f>
        <v>4299</v>
      </c>
      <c r="I2296" s="83">
        <f>ROUND(H2296/(MID($C2296,9,3)/Basis!$E$3/Basis!$E$9)*Basis!$E$11,0)</f>
        <v>1092</v>
      </c>
      <c r="J2296" s="123">
        <f>IF(Basis!$E$1=1,ROUND(H2296/((TaH-TrH)*1.163)/3600,3),ROUND(H2296/(500*(TaH-TrH)),2))</f>
        <v>0.43</v>
      </c>
      <c r="K2296" s="84"/>
      <c r="L2296" s="177">
        <f>CHOOSE(Basis!$E$1,((AJ2296*(J2296*3600/Basis!$E$5)^AK2296*(((MID(C2296,9,3)*10)-144)/1000)*AL2296+AM2296*(J2296*3600/Basis!$E$5)^2)*0.0098)/Basis!$E$10,((AJ2296*(J2296/Basis!$E$5)^AK2296*(((MID(C2296,9,3)*10)-144)/1000)*AL2296+AM2296*(J2296/Basis!$E$5)^2)*0.0098)/Basis!$E$10)</f>
        <v>5.1185894073245801E-2</v>
      </c>
      <c r="M2296" s="85"/>
      <c r="N2296" s="110">
        <v>1.46</v>
      </c>
      <c r="O2296" s="74"/>
      <c r="P2296" s="73">
        <v>2040</v>
      </c>
      <c r="Q2296" s="74"/>
      <c r="R2296" s="75"/>
      <c r="S2296" s="75"/>
      <c r="T2296" s="75"/>
      <c r="U2296" s="75"/>
      <c r="V2296" s="75"/>
      <c r="W2296" s="74"/>
      <c r="X2296" s="76"/>
      <c r="Y2296" s="76"/>
      <c r="Z2296" s="76"/>
      <c r="AA2296" s="76"/>
      <c r="AB2296" s="76"/>
      <c r="AC2296" s="74"/>
      <c r="AD2296" s="77"/>
      <c r="AE2296" s="77"/>
      <c r="AF2296" s="77"/>
      <c r="AG2296" s="77"/>
      <c r="AH2296" s="77"/>
      <c r="AI2296" s="68"/>
      <c r="AJ2296" s="213">
        <v>2.0829999999999999E-4</v>
      </c>
      <c r="AK2296" s="213">
        <v>1.724</v>
      </c>
      <c r="AL2296" s="213">
        <v>4</v>
      </c>
      <c r="AM2296" s="213">
        <v>1.392796E-3</v>
      </c>
      <c r="AN2296" s="74"/>
      <c r="AO2296" s="73"/>
      <c r="AP2296" s="73"/>
      <c r="AQ2296" s="73"/>
      <c r="AR2296" s="73"/>
      <c r="AS2296" s="73"/>
      <c r="AT2296" s="74"/>
      <c r="AU2296" s="47"/>
      <c r="AV2296" s="48"/>
    </row>
    <row r="2297" spans="1:48" ht="12.75" customHeight="1" x14ac:dyDescent="0.25">
      <c r="A2297" s="72" t="s">
        <v>20</v>
      </c>
      <c r="B2297" s="43" t="s">
        <v>2240</v>
      </c>
      <c r="C2297" s="44" t="s">
        <v>2455</v>
      </c>
      <c r="D2297" s="45">
        <f>MROUND(MID($C2297,6,3)/Basis!$E$3,0.5)</f>
        <v>15.5</v>
      </c>
      <c r="E2297" s="45">
        <f>MROUND(MID($C2297,9,3)/Basis!$E$3,0.5)</f>
        <v>47</v>
      </c>
      <c r="F2297" s="124" t="s">
        <v>2945</v>
      </c>
      <c r="G2297" s="45">
        <f>ROUND((ROUNDDOWN($F2297/5,0)*5+1.8)/Basis!$E$3,1)</f>
        <v>8.6</v>
      </c>
      <c r="H2297" s="120">
        <f>ROUND($P2297*Basis!$E$2*((TaH-TrH)/LN(1/µ)/Basis!$E$7)^$N2297*$AA$4*Glycol,0)</f>
        <v>5694</v>
      </c>
      <c r="I2297" s="83">
        <f>ROUND(H2297/(MID($C2297,9,3)/Basis!$E$3/Basis!$E$9)*Basis!$E$11,0)</f>
        <v>1446</v>
      </c>
      <c r="J2297" s="123">
        <f>IF(Basis!$E$1=1,ROUND(H2297/((TaH-TrH)*1.163)/3600,3),ROUND(H2297/(500*(TaH-TrH)),2))</f>
        <v>0.56999999999999995</v>
      </c>
      <c r="K2297" s="84"/>
      <c r="L2297" s="177">
        <f>CHOOSE(Basis!$E$1,((AJ2297*(J2297*3600/Basis!$E$5)^AK2297*(((MID(C2297,9,3)*10)-144)/1000)*AL2297+AM2297*(J2297*3600/Basis!$E$5)^2)*0.0098)/Basis!$E$10,((AJ2297*(J2297/Basis!$E$5)^AK2297*(((MID(C2297,9,3)*10)-144)/1000)*AL2297+AM2297*(J2297/Basis!$E$5)^2)*0.0098)/Basis!$E$10)</f>
        <v>2.4457623435534776E-2</v>
      </c>
      <c r="M2297" s="85"/>
      <c r="N2297" s="110">
        <v>1.3839999999999999</v>
      </c>
      <c r="O2297" s="74"/>
      <c r="P2297" s="73">
        <v>2635</v>
      </c>
      <c r="Q2297" s="74"/>
      <c r="R2297" s="75"/>
      <c r="S2297" s="75"/>
      <c r="T2297" s="75"/>
      <c r="U2297" s="75"/>
      <c r="V2297" s="75"/>
      <c r="W2297" s="74"/>
      <c r="X2297" s="76"/>
      <c r="Y2297" s="76"/>
      <c r="Z2297" s="76"/>
      <c r="AA2297" s="76"/>
      <c r="AB2297" s="76"/>
      <c r="AC2297" s="74"/>
      <c r="AD2297" s="77"/>
      <c r="AE2297" s="77"/>
      <c r="AF2297" s="77"/>
      <c r="AG2297" s="77"/>
      <c r="AH2297" s="77"/>
      <c r="AI2297" s="68"/>
      <c r="AJ2297" s="214">
        <v>1.2760000000000001E-4</v>
      </c>
      <c r="AK2297" s="214">
        <v>1.7219</v>
      </c>
      <c r="AL2297" s="214">
        <v>2</v>
      </c>
      <c r="AM2297" s="214">
        <v>3.76611E-4</v>
      </c>
      <c r="AN2297" s="74"/>
      <c r="AO2297" s="73"/>
      <c r="AP2297" s="73"/>
      <c r="AQ2297" s="73"/>
      <c r="AR2297" s="73"/>
      <c r="AS2297" s="73"/>
      <c r="AT2297" s="74"/>
      <c r="AU2297" s="47"/>
      <c r="AV2297" s="48"/>
    </row>
    <row r="2298" spans="1:48" ht="12.75" customHeight="1" x14ac:dyDescent="0.25">
      <c r="A2298" s="72" t="s">
        <v>20</v>
      </c>
      <c r="B2298" s="43" t="s">
        <v>2240</v>
      </c>
      <c r="C2298" s="44" t="s">
        <v>2456</v>
      </c>
      <c r="D2298" s="45">
        <f>MROUND(MID($C2298,6,3)/Basis!$E$3,0.5)</f>
        <v>15.5</v>
      </c>
      <c r="E2298" s="45">
        <f>MROUND(MID($C2298,9,3)/Basis!$E$3,0.5)</f>
        <v>47</v>
      </c>
      <c r="F2298" s="124" t="s">
        <v>2948</v>
      </c>
      <c r="G2298" s="45">
        <f>ROUND((ROUNDDOWN($F2298/5,0)*5+1.8)/Basis!$E$3,1)</f>
        <v>8.6</v>
      </c>
      <c r="H2298" s="120">
        <f>ROUND($P2298*Basis!$E$2*((TaH-TrH)/LN(1/µ)/Basis!$E$7)^$N2298*$AA$4*Glycol,0)</f>
        <v>5719</v>
      </c>
      <c r="I2298" s="83">
        <f>ROUND(H2298/(MID($C2298,9,3)/Basis!$E$3/Basis!$E$9)*Basis!$E$11,0)</f>
        <v>1453</v>
      </c>
      <c r="J2298" s="123">
        <f>IF(Basis!$E$1=1,ROUND(H2298/((TaH-TrH)*1.163)/3600,3),ROUND(H2298/(500*(TaH-TrH)),2))</f>
        <v>0.56999999999999995</v>
      </c>
      <c r="K2298" s="84"/>
      <c r="L2298" s="177">
        <f>CHOOSE(Basis!$E$1,((AJ2298*(J2298*3600/Basis!$E$5)^AK2298*(((MID(C2298,9,3)*10)-144)/1000)*AL2298+AM2298*(J2298*3600/Basis!$E$5)^2)*0.0098)/Basis!$E$10,((AJ2298*(J2298/Basis!$E$5)^AK2298*(((MID(C2298,9,3)*10)-144)/1000)*AL2298+AM2298*(J2298/Basis!$E$5)^2)*0.0098)/Basis!$E$10)</f>
        <v>3.5816681617374654E-2</v>
      </c>
      <c r="M2298" s="85"/>
      <c r="N2298" s="109">
        <v>1.4770000000000001</v>
      </c>
      <c r="O2298" s="68"/>
      <c r="P2298" s="67">
        <v>2729</v>
      </c>
      <c r="Q2298" s="68"/>
      <c r="R2298" s="69"/>
      <c r="S2298" s="69"/>
      <c r="T2298" s="69"/>
      <c r="U2298" s="69"/>
      <c r="V2298" s="69"/>
      <c r="W2298" s="68"/>
      <c r="X2298" s="70"/>
      <c r="Y2298" s="70"/>
      <c r="Z2298" s="70"/>
      <c r="AA2298" s="70"/>
      <c r="AB2298" s="70"/>
      <c r="AC2298" s="68"/>
      <c r="AD2298" s="71"/>
      <c r="AE2298" s="71"/>
      <c r="AF2298" s="71"/>
      <c r="AG2298" s="71"/>
      <c r="AH2298" s="71"/>
      <c r="AI2298" s="68"/>
      <c r="AJ2298" s="214">
        <v>1.2760000000000001E-4</v>
      </c>
      <c r="AK2298" s="214">
        <v>1.7219</v>
      </c>
      <c r="AL2298" s="214">
        <v>4</v>
      </c>
      <c r="AM2298" s="214">
        <v>5.1420100000000005E-4</v>
      </c>
      <c r="AN2298" s="68"/>
      <c r="AO2298" s="67"/>
      <c r="AP2298" s="67"/>
      <c r="AQ2298" s="67"/>
      <c r="AR2298" s="67"/>
      <c r="AS2298" s="67"/>
      <c r="AT2298" s="68"/>
      <c r="AU2298" s="49"/>
      <c r="AV2298" s="50"/>
    </row>
    <row r="2299" spans="1:48" ht="12.75" customHeight="1" x14ac:dyDescent="0.25">
      <c r="A2299" s="72" t="s">
        <v>20</v>
      </c>
      <c r="B2299" s="43" t="s">
        <v>2240</v>
      </c>
      <c r="C2299" s="44" t="s">
        <v>2457</v>
      </c>
      <c r="D2299" s="45">
        <f>MROUND(MID($C2299,6,3)/Basis!$E$3,0.5)</f>
        <v>15.5</v>
      </c>
      <c r="E2299" s="45">
        <f>MROUND(MID($C2299,9,3)/Basis!$E$3,0.5)</f>
        <v>55</v>
      </c>
      <c r="F2299" s="124" t="s">
        <v>2943</v>
      </c>
      <c r="G2299" s="45">
        <f>ROUND((ROUNDDOWN($F2299/5,0)*5+1.8)/Basis!$E$3,1)</f>
        <v>4.5999999999999996</v>
      </c>
      <c r="H2299" s="120">
        <f>ROUND($P2299*Basis!$E$2*((TaH-TrH)/LN(1/µ)/Basis!$E$7)^$N2299*$AA$4*Glycol,0)</f>
        <v>2903</v>
      </c>
      <c r="I2299" s="83">
        <f>ROUND(H2299/(MID($C2299,9,3)/Basis!$E$3/Basis!$E$9)*Basis!$E$11,0)</f>
        <v>632</v>
      </c>
      <c r="J2299" s="123">
        <f>IF(Basis!$E$1=1,ROUND(H2299/((TaH-TrH)*1.163)/3600,3),ROUND(H2299/(500*(TaH-TrH)),2))</f>
        <v>0.28999999999999998</v>
      </c>
      <c r="K2299" s="84"/>
      <c r="L2299" s="177">
        <f>CHOOSE(Basis!$E$1,((AJ2299*(J2299*3600/Basis!$E$5)^AK2299*(((MID(C2299,9,3)*10)-144)/1000)*AL2299+AM2299*(J2299*3600/Basis!$E$5)^2)*0.0098)/Basis!$E$10,((AJ2299*(J2299/Basis!$E$5)^AK2299*(((MID(C2299,9,3)*10)-144)/1000)*AL2299+AM2299*(J2299/Basis!$E$5)^2)*0.0098)/Basis!$E$10)</f>
        <v>9.8652881504699749E-3</v>
      </c>
      <c r="M2299" s="85"/>
      <c r="N2299" s="109">
        <v>1.3939999999999999</v>
      </c>
      <c r="O2299" s="68"/>
      <c r="P2299" s="67">
        <v>1348</v>
      </c>
      <c r="Q2299" s="68"/>
      <c r="R2299" s="69"/>
      <c r="S2299" s="69"/>
      <c r="T2299" s="69"/>
      <c r="U2299" s="69"/>
      <c r="V2299" s="69"/>
      <c r="W2299" s="68"/>
      <c r="X2299" s="70"/>
      <c r="Y2299" s="70"/>
      <c r="Z2299" s="70"/>
      <c r="AA2299" s="70"/>
      <c r="AB2299" s="70"/>
      <c r="AC2299" s="68"/>
      <c r="AD2299" s="71"/>
      <c r="AE2299" s="71"/>
      <c r="AF2299" s="71"/>
      <c r="AG2299" s="71"/>
      <c r="AH2299" s="71"/>
      <c r="AI2299" s="68"/>
      <c r="AJ2299" s="214">
        <v>3.9689999999999994E-4</v>
      </c>
      <c r="AK2299" s="214">
        <v>1.7345999999999999</v>
      </c>
      <c r="AL2299" s="214">
        <v>2</v>
      </c>
      <c r="AM2299" s="214">
        <v>3.6734700000000002E-4</v>
      </c>
      <c r="AN2299" s="68"/>
      <c r="AO2299" s="67"/>
      <c r="AP2299" s="67"/>
      <c r="AQ2299" s="67"/>
      <c r="AR2299" s="67"/>
      <c r="AS2299" s="67"/>
      <c r="AT2299" s="68"/>
      <c r="AU2299" s="49"/>
      <c r="AV2299" s="50"/>
    </row>
    <row r="2300" spans="1:48" ht="12.75" customHeight="1" x14ac:dyDescent="0.25">
      <c r="A2300" s="72" t="s">
        <v>20</v>
      </c>
      <c r="B2300" s="43" t="s">
        <v>2240</v>
      </c>
      <c r="C2300" s="44" t="s">
        <v>2458</v>
      </c>
      <c r="D2300" s="45">
        <f>MROUND(MID($C2300,6,3)/Basis!$E$3,0.5)</f>
        <v>15.5</v>
      </c>
      <c r="E2300" s="45">
        <f>MROUND(MID($C2300,9,3)/Basis!$E$3,0.5)</f>
        <v>55</v>
      </c>
      <c r="F2300" s="124" t="s">
        <v>2946</v>
      </c>
      <c r="G2300" s="45">
        <f>ROUND((ROUNDDOWN($F2300/5,0)*5+1.8)/Basis!$E$3,1)</f>
        <v>4.5999999999999996</v>
      </c>
      <c r="H2300" s="120">
        <f>ROUND($P2300*Basis!$E$2*((TaH-TrH)/LN(1/µ)/Basis!$E$7)^$N2300*$AA$4*Glycol,0)</f>
        <v>3756</v>
      </c>
      <c r="I2300" s="83">
        <f>ROUND(H2300/(MID($C2300,9,3)/Basis!$E$3/Basis!$E$9)*Basis!$E$11,0)</f>
        <v>818</v>
      </c>
      <c r="J2300" s="123">
        <f>IF(Basis!$E$1=1,ROUND(H2300/((TaH-TrH)*1.163)/3600,3),ROUND(H2300/(500*(TaH-TrH)),2))</f>
        <v>0.38</v>
      </c>
      <c r="K2300" s="84"/>
      <c r="L2300" s="177">
        <f>CHOOSE(Basis!$E$1,((AJ2300*(J2300*3600/Basis!$E$5)^AK2300*(((MID(C2300,9,3)*10)-144)/1000)*AL2300+AM2300*(J2300*3600/Basis!$E$5)^2)*0.0098)/Basis!$E$10,((AJ2300*(J2300/Basis!$E$5)^AK2300*(((MID(C2300,9,3)*10)-144)/1000)*AL2300+AM2300*(J2300/Basis!$E$5)^2)*0.0098)/Basis!$E$10)</f>
        <v>2.8864224458907496E-2</v>
      </c>
      <c r="M2300" s="85"/>
      <c r="N2300" s="110">
        <v>1.4390000000000001</v>
      </c>
      <c r="O2300" s="74"/>
      <c r="P2300" s="73">
        <v>1770</v>
      </c>
      <c r="Q2300" s="74"/>
      <c r="R2300" s="75"/>
      <c r="S2300" s="75"/>
      <c r="T2300" s="75"/>
      <c r="U2300" s="75"/>
      <c r="V2300" s="75"/>
      <c r="W2300" s="74"/>
      <c r="X2300" s="76"/>
      <c r="Y2300" s="76"/>
      <c r="Z2300" s="76"/>
      <c r="AA2300" s="76"/>
      <c r="AB2300" s="76"/>
      <c r="AC2300" s="74"/>
      <c r="AD2300" s="77"/>
      <c r="AE2300" s="77"/>
      <c r="AF2300" s="77"/>
      <c r="AG2300" s="77"/>
      <c r="AH2300" s="77"/>
      <c r="AI2300" s="68"/>
      <c r="AJ2300" s="213">
        <v>3.9689999999999994E-4</v>
      </c>
      <c r="AK2300" s="213">
        <v>1.7345999999999999</v>
      </c>
      <c r="AL2300" s="213">
        <v>4</v>
      </c>
      <c r="AM2300" s="213">
        <v>5.7428799999999995E-4</v>
      </c>
      <c r="AN2300" s="74"/>
      <c r="AO2300" s="73"/>
      <c r="AP2300" s="73"/>
      <c r="AQ2300" s="73"/>
      <c r="AR2300" s="73"/>
      <c r="AS2300" s="73"/>
      <c r="AT2300" s="74"/>
      <c r="AU2300" s="47"/>
      <c r="AV2300" s="48"/>
    </row>
    <row r="2301" spans="1:48" ht="12.75" customHeight="1" x14ac:dyDescent="0.25">
      <c r="A2301" s="72" t="s">
        <v>20</v>
      </c>
      <c r="B2301" s="43" t="s">
        <v>2240</v>
      </c>
      <c r="C2301" s="44" t="s">
        <v>2459</v>
      </c>
      <c r="D2301" s="45">
        <f>MROUND(MID($C2301,6,3)/Basis!$E$3,0.5)</f>
        <v>15.5</v>
      </c>
      <c r="E2301" s="45">
        <f>MROUND(MID($C2301,9,3)/Basis!$E$3,0.5)</f>
        <v>55</v>
      </c>
      <c r="F2301" s="124" t="s">
        <v>2944</v>
      </c>
      <c r="G2301" s="45">
        <f>ROUND((ROUNDDOWN($F2301/5,0)*5+1.8)/Basis!$E$3,1)</f>
        <v>6.6</v>
      </c>
      <c r="H2301" s="120">
        <f>ROUND($P2301*Basis!$E$2*((TaH-TrH)/LN(1/µ)/Basis!$E$7)^$N2301*$AA$4*Glycol,0)</f>
        <v>4742</v>
      </c>
      <c r="I2301" s="83">
        <f>ROUND(H2301/(MID($C2301,9,3)/Basis!$E$3/Basis!$E$9)*Basis!$E$11,0)</f>
        <v>1032</v>
      </c>
      <c r="J2301" s="123">
        <f>IF(Basis!$E$1=1,ROUND(H2301/((TaH-TrH)*1.163)/3600,3),ROUND(H2301/(500*(TaH-TrH)),2))</f>
        <v>0.47</v>
      </c>
      <c r="K2301" s="84"/>
      <c r="L2301" s="177">
        <f>CHOOSE(Basis!$E$1,((AJ2301*(J2301*3600/Basis!$E$5)^AK2301*(((MID(C2301,9,3)*10)-144)/1000)*AL2301+AM2301*(J2301*3600/Basis!$E$5)^2)*0.0098)/Basis!$E$10,((AJ2301*(J2301/Basis!$E$5)^AK2301*(((MID(C2301,9,3)*10)-144)/1000)*AL2301+AM2301*(J2301/Basis!$E$5)^2)*0.0098)/Basis!$E$10)</f>
        <v>2.2579164789690694E-2</v>
      </c>
      <c r="M2301" s="85"/>
      <c r="N2301" s="110">
        <v>1.385</v>
      </c>
      <c r="O2301" s="74"/>
      <c r="P2301" s="73">
        <v>2195</v>
      </c>
      <c r="Q2301" s="74"/>
      <c r="R2301" s="75"/>
      <c r="S2301" s="75"/>
      <c r="T2301" s="75"/>
      <c r="U2301" s="75"/>
      <c r="V2301" s="75"/>
      <c r="W2301" s="74"/>
      <c r="X2301" s="76"/>
      <c r="Y2301" s="76"/>
      <c r="Z2301" s="76"/>
      <c r="AA2301" s="76"/>
      <c r="AB2301" s="76"/>
      <c r="AC2301" s="74"/>
      <c r="AD2301" s="77"/>
      <c r="AE2301" s="77"/>
      <c r="AF2301" s="77"/>
      <c r="AG2301" s="77"/>
      <c r="AH2301" s="77"/>
      <c r="AI2301" s="68"/>
      <c r="AJ2301" s="213">
        <v>2.0829999999999999E-4</v>
      </c>
      <c r="AK2301" s="213">
        <v>1.724</v>
      </c>
      <c r="AL2301" s="213">
        <v>2</v>
      </c>
      <c r="AM2301" s="213">
        <v>4.6182900000000003E-4</v>
      </c>
      <c r="AN2301" s="74"/>
      <c r="AO2301" s="73"/>
      <c r="AP2301" s="73"/>
      <c r="AQ2301" s="73"/>
      <c r="AR2301" s="73"/>
      <c r="AS2301" s="73"/>
      <c r="AT2301" s="74"/>
      <c r="AU2301" s="47"/>
      <c r="AV2301" s="48"/>
    </row>
    <row r="2302" spans="1:48" ht="12.75" customHeight="1" x14ac:dyDescent="0.25">
      <c r="A2302" s="72" t="s">
        <v>20</v>
      </c>
      <c r="B2302" s="43" t="s">
        <v>2240</v>
      </c>
      <c r="C2302" s="44" t="s">
        <v>2460</v>
      </c>
      <c r="D2302" s="45">
        <f>MROUND(MID($C2302,6,3)/Basis!$E$3,0.5)</f>
        <v>15.5</v>
      </c>
      <c r="E2302" s="45">
        <f>MROUND(MID($C2302,9,3)/Basis!$E$3,0.5)</f>
        <v>55</v>
      </c>
      <c r="F2302" s="124" t="s">
        <v>2947</v>
      </c>
      <c r="G2302" s="45">
        <f>ROUND((ROUNDDOWN($F2302/5,0)*5+1.8)/Basis!$E$3,1)</f>
        <v>6.6</v>
      </c>
      <c r="H2302" s="120">
        <f>ROUND($P2302*Basis!$E$2*((TaH-TrH)/LN(1/µ)/Basis!$E$7)^$N2302*$AA$4*Glycol,0)</f>
        <v>5016</v>
      </c>
      <c r="I2302" s="83">
        <f>ROUND(H2302/(MID($C2302,9,3)/Basis!$E$3/Basis!$E$9)*Basis!$E$11,0)</f>
        <v>1092</v>
      </c>
      <c r="J2302" s="123">
        <f>IF(Basis!$E$1=1,ROUND(H2302/((TaH-TrH)*1.163)/3600,3),ROUND(H2302/(500*(TaH-TrH)),2))</f>
        <v>0.5</v>
      </c>
      <c r="K2302" s="84"/>
      <c r="L2302" s="177">
        <f>CHOOSE(Basis!$E$1,((AJ2302*(J2302*3600/Basis!$E$5)^AK2302*(((MID(C2302,9,3)*10)-144)/1000)*AL2302+AM2302*(J2302*3600/Basis!$E$5)^2)*0.0098)/Basis!$E$10,((AJ2302*(J2302/Basis!$E$5)^AK2302*(((MID(C2302,9,3)*10)-144)/1000)*AL2302+AM2302*(J2302/Basis!$E$5)^2)*0.0098)/Basis!$E$10)</f>
        <v>7.0683709285028748E-2</v>
      </c>
      <c r="M2302" s="85"/>
      <c r="N2302" s="109">
        <v>1.46</v>
      </c>
      <c r="O2302" s="68"/>
      <c r="P2302" s="67">
        <v>2380</v>
      </c>
      <c r="Q2302" s="68"/>
      <c r="R2302" s="69"/>
      <c r="S2302" s="69"/>
      <c r="T2302" s="69"/>
      <c r="U2302" s="69"/>
      <c r="V2302" s="69"/>
      <c r="W2302" s="68"/>
      <c r="X2302" s="70"/>
      <c r="Y2302" s="70"/>
      <c r="Z2302" s="70"/>
      <c r="AA2302" s="70"/>
      <c r="AB2302" s="70"/>
      <c r="AC2302" s="68"/>
      <c r="AD2302" s="71"/>
      <c r="AE2302" s="71"/>
      <c r="AF2302" s="71"/>
      <c r="AG2302" s="71"/>
      <c r="AH2302" s="71"/>
      <c r="AI2302" s="68"/>
      <c r="AJ2302" s="214">
        <v>2.0829999999999999E-4</v>
      </c>
      <c r="AK2302" s="214">
        <v>1.724</v>
      </c>
      <c r="AL2302" s="214">
        <v>4</v>
      </c>
      <c r="AM2302" s="214">
        <v>1.392796E-3</v>
      </c>
      <c r="AN2302" s="68"/>
      <c r="AO2302" s="67"/>
      <c r="AP2302" s="67"/>
      <c r="AQ2302" s="67"/>
      <c r="AR2302" s="67"/>
      <c r="AS2302" s="67"/>
      <c r="AT2302" s="68"/>
      <c r="AU2302" s="49"/>
      <c r="AV2302" s="50"/>
    </row>
    <row r="2303" spans="1:48" ht="12.75" customHeight="1" x14ac:dyDescent="0.25">
      <c r="A2303" s="72" t="s">
        <v>20</v>
      </c>
      <c r="B2303" s="43" t="s">
        <v>2240</v>
      </c>
      <c r="C2303" s="44" t="s">
        <v>2461</v>
      </c>
      <c r="D2303" s="45">
        <f>MROUND(MID($C2303,6,3)/Basis!$E$3,0.5)</f>
        <v>15.5</v>
      </c>
      <c r="E2303" s="45">
        <f>MROUND(MID($C2303,9,3)/Basis!$E$3,0.5)</f>
        <v>55</v>
      </c>
      <c r="F2303" s="124" t="s">
        <v>2945</v>
      </c>
      <c r="G2303" s="45">
        <f>ROUND((ROUNDDOWN($F2303/5,0)*5+1.8)/Basis!$E$3,1)</f>
        <v>8.6</v>
      </c>
      <c r="H2303" s="120">
        <f>ROUND($P2303*Basis!$E$2*((TaH-TrH)/LN(1/µ)/Basis!$E$7)^$N2303*$AA$4*Glycol,0)</f>
        <v>6643</v>
      </c>
      <c r="I2303" s="83">
        <f>ROUND(H2303/(MID($C2303,9,3)/Basis!$E$3/Basis!$E$9)*Basis!$E$11,0)</f>
        <v>1446</v>
      </c>
      <c r="J2303" s="123">
        <f>IF(Basis!$E$1=1,ROUND(H2303/((TaH-TrH)*1.163)/3600,3),ROUND(H2303/(500*(TaH-TrH)),2))</f>
        <v>0.66</v>
      </c>
      <c r="K2303" s="84"/>
      <c r="L2303" s="177">
        <f>CHOOSE(Basis!$E$1,((AJ2303*(J2303*3600/Basis!$E$5)^AK2303*(((MID(C2303,9,3)*10)-144)/1000)*AL2303+AM2303*(J2303*3600/Basis!$E$5)^2)*0.0098)/Basis!$E$10,((AJ2303*(J2303/Basis!$E$5)^AK2303*(((MID(C2303,9,3)*10)-144)/1000)*AL2303+AM2303*(J2303/Basis!$E$5)^2)*0.0098)/Basis!$E$10)</f>
        <v>3.3517271274194078E-2</v>
      </c>
      <c r="M2303" s="85"/>
      <c r="N2303" s="109">
        <v>1.3839999999999999</v>
      </c>
      <c r="O2303" s="68"/>
      <c r="P2303" s="67">
        <v>3074</v>
      </c>
      <c r="Q2303" s="68"/>
      <c r="R2303" s="69"/>
      <c r="S2303" s="69"/>
      <c r="T2303" s="69"/>
      <c r="U2303" s="69"/>
      <c r="V2303" s="69"/>
      <c r="W2303" s="68"/>
      <c r="X2303" s="70"/>
      <c r="Y2303" s="70"/>
      <c r="Z2303" s="70"/>
      <c r="AA2303" s="70"/>
      <c r="AB2303" s="70"/>
      <c r="AC2303" s="68"/>
      <c r="AD2303" s="71"/>
      <c r="AE2303" s="71"/>
      <c r="AF2303" s="71"/>
      <c r="AG2303" s="71"/>
      <c r="AH2303" s="71"/>
      <c r="AI2303" s="68"/>
      <c r="AJ2303" s="214">
        <v>1.2760000000000001E-4</v>
      </c>
      <c r="AK2303" s="214">
        <v>1.7219</v>
      </c>
      <c r="AL2303" s="214">
        <v>2</v>
      </c>
      <c r="AM2303" s="214">
        <v>3.76611E-4</v>
      </c>
      <c r="AN2303" s="68"/>
      <c r="AO2303" s="67"/>
      <c r="AP2303" s="67"/>
      <c r="AQ2303" s="67"/>
      <c r="AR2303" s="67"/>
      <c r="AS2303" s="67"/>
      <c r="AT2303" s="68"/>
      <c r="AU2303" s="49"/>
      <c r="AV2303" s="50"/>
    </row>
    <row r="2304" spans="1:48" ht="12.75" customHeight="1" x14ac:dyDescent="0.25">
      <c r="A2304" s="72" t="s">
        <v>20</v>
      </c>
      <c r="B2304" s="43" t="s">
        <v>2240</v>
      </c>
      <c r="C2304" s="44" t="s">
        <v>2462</v>
      </c>
      <c r="D2304" s="45">
        <f>MROUND(MID($C2304,6,3)/Basis!$E$3,0.5)</f>
        <v>15.5</v>
      </c>
      <c r="E2304" s="45">
        <f>MROUND(MID($C2304,9,3)/Basis!$E$3,0.5)</f>
        <v>55</v>
      </c>
      <c r="F2304" s="124" t="s">
        <v>2948</v>
      </c>
      <c r="G2304" s="45">
        <f>ROUND((ROUNDDOWN($F2304/5,0)*5+1.8)/Basis!$E$3,1)</f>
        <v>8.6</v>
      </c>
      <c r="H2304" s="120">
        <f>ROUND($P2304*Basis!$E$2*((TaH-TrH)/LN(1/µ)/Basis!$E$7)^$N2304*$AA$4*Glycol,0)</f>
        <v>6673</v>
      </c>
      <c r="I2304" s="83">
        <f>ROUND(H2304/(MID($C2304,9,3)/Basis!$E$3/Basis!$E$9)*Basis!$E$11,0)</f>
        <v>1453</v>
      </c>
      <c r="J2304" s="123">
        <f>IF(Basis!$E$1=1,ROUND(H2304/((TaH-TrH)*1.163)/3600,3),ROUND(H2304/(500*(TaH-TrH)),2))</f>
        <v>0.67</v>
      </c>
      <c r="K2304" s="84"/>
      <c r="L2304" s="177">
        <f>CHOOSE(Basis!$E$1,((AJ2304*(J2304*3600/Basis!$E$5)^AK2304*(((MID(C2304,9,3)*10)-144)/1000)*AL2304+AM2304*(J2304*3600/Basis!$E$5)^2)*0.0098)/Basis!$E$10,((AJ2304*(J2304/Basis!$E$5)^AK2304*(((MID(C2304,9,3)*10)-144)/1000)*AL2304+AM2304*(J2304/Basis!$E$5)^2)*0.0098)/Basis!$E$10)</f>
        <v>5.0933281761315986E-2</v>
      </c>
      <c r="M2304" s="85"/>
      <c r="N2304" s="110">
        <v>1.4770000000000001</v>
      </c>
      <c r="O2304" s="74"/>
      <c r="P2304" s="73">
        <v>3184</v>
      </c>
      <c r="Q2304" s="74"/>
      <c r="R2304" s="75"/>
      <c r="S2304" s="75"/>
      <c r="T2304" s="75"/>
      <c r="U2304" s="75"/>
      <c r="V2304" s="75"/>
      <c r="W2304" s="74"/>
      <c r="X2304" s="76"/>
      <c r="Y2304" s="76"/>
      <c r="Z2304" s="76"/>
      <c r="AA2304" s="76"/>
      <c r="AB2304" s="76"/>
      <c r="AC2304" s="74"/>
      <c r="AD2304" s="77"/>
      <c r="AE2304" s="77"/>
      <c r="AF2304" s="77"/>
      <c r="AG2304" s="77"/>
      <c r="AH2304" s="77"/>
      <c r="AI2304" s="68"/>
      <c r="AJ2304" s="213">
        <v>1.2760000000000001E-4</v>
      </c>
      <c r="AK2304" s="213">
        <v>1.7219</v>
      </c>
      <c r="AL2304" s="213">
        <v>4</v>
      </c>
      <c r="AM2304" s="213">
        <v>5.1420100000000005E-4</v>
      </c>
      <c r="AN2304" s="74"/>
      <c r="AO2304" s="73"/>
      <c r="AP2304" s="73"/>
      <c r="AQ2304" s="73"/>
      <c r="AR2304" s="73"/>
      <c r="AS2304" s="73"/>
      <c r="AT2304" s="74"/>
      <c r="AU2304" s="47"/>
      <c r="AV2304" s="48"/>
    </row>
    <row r="2305" spans="1:48" ht="12.75" customHeight="1" x14ac:dyDescent="0.25">
      <c r="A2305" s="72" t="s">
        <v>20</v>
      </c>
      <c r="B2305" s="43" t="s">
        <v>2240</v>
      </c>
      <c r="C2305" s="44" t="s">
        <v>2463</v>
      </c>
      <c r="D2305" s="45">
        <f>MROUND(MID($C2305,6,3)/Basis!$E$3,0.5)</f>
        <v>15.5</v>
      </c>
      <c r="E2305" s="45">
        <f>MROUND(MID($C2305,9,3)/Basis!$E$3,0.5)</f>
        <v>63</v>
      </c>
      <c r="F2305" s="124" t="s">
        <v>2943</v>
      </c>
      <c r="G2305" s="45">
        <f>ROUND((ROUNDDOWN($F2305/5,0)*5+1.8)/Basis!$E$3,1)</f>
        <v>4.5999999999999996</v>
      </c>
      <c r="H2305" s="120">
        <f>ROUND($P2305*Basis!$E$2*((TaH-TrH)/LN(1/µ)/Basis!$E$7)^$N2305*$AA$4*Glycol,0)</f>
        <v>3319</v>
      </c>
      <c r="I2305" s="83">
        <f>ROUND(H2305/(MID($C2305,9,3)/Basis!$E$3/Basis!$E$9)*Basis!$E$11,0)</f>
        <v>632</v>
      </c>
      <c r="J2305" s="123">
        <f>IF(Basis!$E$1=1,ROUND(H2305/((TaH-TrH)*1.163)/3600,3),ROUND(H2305/(500*(TaH-TrH)),2))</f>
        <v>0.33</v>
      </c>
      <c r="K2305" s="84"/>
      <c r="L2305" s="177">
        <f>CHOOSE(Basis!$E$1,((AJ2305*(J2305*3600/Basis!$E$5)^AK2305*(((MID(C2305,9,3)*10)-144)/1000)*AL2305+AM2305*(J2305*3600/Basis!$E$5)^2)*0.0098)/Basis!$E$10,((AJ2305*(J2305/Basis!$E$5)^AK2305*(((MID(C2305,9,3)*10)-144)/1000)*AL2305+AM2305*(J2305/Basis!$E$5)^2)*0.0098)/Basis!$E$10)</f>
        <v>1.3498607916789571E-2</v>
      </c>
      <c r="M2305" s="85"/>
      <c r="N2305" s="110">
        <v>1.3939999999999999</v>
      </c>
      <c r="O2305" s="74"/>
      <c r="P2305" s="73">
        <v>1541</v>
      </c>
      <c r="Q2305" s="74"/>
      <c r="R2305" s="75"/>
      <c r="S2305" s="75"/>
      <c r="T2305" s="75"/>
      <c r="U2305" s="75"/>
      <c r="V2305" s="75"/>
      <c r="W2305" s="74"/>
      <c r="X2305" s="76"/>
      <c r="Y2305" s="76"/>
      <c r="Z2305" s="76"/>
      <c r="AA2305" s="76"/>
      <c r="AB2305" s="76"/>
      <c r="AC2305" s="74"/>
      <c r="AD2305" s="77"/>
      <c r="AE2305" s="77"/>
      <c r="AF2305" s="77"/>
      <c r="AG2305" s="77"/>
      <c r="AH2305" s="77"/>
      <c r="AI2305" s="68"/>
      <c r="AJ2305" s="213">
        <v>3.9689999999999994E-4</v>
      </c>
      <c r="AK2305" s="213">
        <v>1.7345999999999999</v>
      </c>
      <c r="AL2305" s="213">
        <v>2</v>
      </c>
      <c r="AM2305" s="213">
        <v>3.6734700000000002E-4</v>
      </c>
      <c r="AN2305" s="74"/>
      <c r="AO2305" s="73"/>
      <c r="AP2305" s="73"/>
      <c r="AQ2305" s="73"/>
      <c r="AR2305" s="73"/>
      <c r="AS2305" s="73"/>
      <c r="AT2305" s="74"/>
      <c r="AU2305" s="47"/>
      <c r="AV2305" s="48"/>
    </row>
    <row r="2306" spans="1:48" ht="12.75" customHeight="1" x14ac:dyDescent="0.25">
      <c r="A2306" s="72" t="s">
        <v>20</v>
      </c>
      <c r="B2306" s="43" t="s">
        <v>2240</v>
      </c>
      <c r="C2306" s="44" t="s">
        <v>2464</v>
      </c>
      <c r="D2306" s="45">
        <f>MROUND(MID($C2306,6,3)/Basis!$E$3,0.5)</f>
        <v>15.5</v>
      </c>
      <c r="E2306" s="45">
        <f>MROUND(MID($C2306,9,3)/Basis!$E$3,0.5)</f>
        <v>63</v>
      </c>
      <c r="F2306" s="124" t="s">
        <v>2946</v>
      </c>
      <c r="G2306" s="45">
        <f>ROUND((ROUNDDOWN($F2306/5,0)*5+1.8)/Basis!$E$3,1)</f>
        <v>4.5999999999999996</v>
      </c>
      <c r="H2306" s="120">
        <f>ROUND($P2306*Basis!$E$2*((TaH-TrH)/LN(1/µ)/Basis!$E$7)^$N2306*$AA$4*Glycol,0)</f>
        <v>4291</v>
      </c>
      <c r="I2306" s="83">
        <f>ROUND(H2306/(MID($C2306,9,3)/Basis!$E$3/Basis!$E$9)*Basis!$E$11,0)</f>
        <v>817</v>
      </c>
      <c r="J2306" s="123">
        <f>IF(Basis!$E$1=1,ROUND(H2306/((TaH-TrH)*1.163)/3600,3),ROUND(H2306/(500*(TaH-TrH)),2))</f>
        <v>0.43</v>
      </c>
      <c r="K2306" s="84"/>
      <c r="L2306" s="177">
        <f>CHOOSE(Basis!$E$1,((AJ2306*(J2306*3600/Basis!$E$5)^AK2306*(((MID(C2306,9,3)*10)-144)/1000)*AL2306+AM2306*(J2306*3600/Basis!$E$5)^2)*0.0098)/Basis!$E$10,((AJ2306*(J2306/Basis!$E$5)^AK2306*(((MID(C2306,9,3)*10)-144)/1000)*AL2306+AM2306*(J2306/Basis!$E$5)^2)*0.0098)/Basis!$E$10)</f>
        <v>3.9280430468820841E-2</v>
      </c>
      <c r="M2306" s="85"/>
      <c r="N2306" s="109">
        <v>1.4390000000000001</v>
      </c>
      <c r="O2306" s="68"/>
      <c r="P2306" s="67">
        <v>2022</v>
      </c>
      <c r="Q2306" s="68"/>
      <c r="R2306" s="69"/>
      <c r="S2306" s="69"/>
      <c r="T2306" s="69"/>
      <c r="U2306" s="69"/>
      <c r="V2306" s="69"/>
      <c r="W2306" s="68"/>
      <c r="X2306" s="70"/>
      <c r="Y2306" s="70"/>
      <c r="Z2306" s="70"/>
      <c r="AA2306" s="70"/>
      <c r="AB2306" s="70"/>
      <c r="AC2306" s="68"/>
      <c r="AD2306" s="71"/>
      <c r="AE2306" s="71"/>
      <c r="AF2306" s="71"/>
      <c r="AG2306" s="71"/>
      <c r="AH2306" s="71"/>
      <c r="AI2306" s="68"/>
      <c r="AJ2306" s="214">
        <v>3.9689999999999994E-4</v>
      </c>
      <c r="AK2306" s="214">
        <v>1.7345999999999999</v>
      </c>
      <c r="AL2306" s="214">
        <v>4</v>
      </c>
      <c r="AM2306" s="214">
        <v>5.7428799999999995E-4</v>
      </c>
      <c r="AN2306" s="68"/>
      <c r="AO2306" s="67"/>
      <c r="AP2306" s="67"/>
      <c r="AQ2306" s="67"/>
      <c r="AR2306" s="67"/>
      <c r="AS2306" s="67"/>
      <c r="AT2306" s="68"/>
      <c r="AU2306" s="49"/>
      <c r="AV2306" s="50"/>
    </row>
    <row r="2307" spans="1:48" ht="12.75" customHeight="1" x14ac:dyDescent="0.25">
      <c r="A2307" s="72" t="s">
        <v>20</v>
      </c>
      <c r="B2307" s="43" t="s">
        <v>2240</v>
      </c>
      <c r="C2307" s="44" t="s">
        <v>2465</v>
      </c>
      <c r="D2307" s="45">
        <f>MROUND(MID($C2307,6,3)/Basis!$E$3,0.5)</f>
        <v>15.5</v>
      </c>
      <c r="E2307" s="45">
        <f>MROUND(MID($C2307,9,3)/Basis!$E$3,0.5)</f>
        <v>63</v>
      </c>
      <c r="F2307" s="124" t="s">
        <v>2944</v>
      </c>
      <c r="G2307" s="45">
        <f>ROUND((ROUNDDOWN($F2307/5,0)*5+1.8)/Basis!$E$3,1)</f>
        <v>6.6</v>
      </c>
      <c r="H2307" s="120">
        <f>ROUND($P2307*Basis!$E$2*((TaH-TrH)/LN(1/µ)/Basis!$E$7)^$N2307*$AA$4*Glycol,0)</f>
        <v>5420</v>
      </c>
      <c r="I2307" s="83">
        <f>ROUND(H2307/(MID($C2307,9,3)/Basis!$E$3/Basis!$E$9)*Basis!$E$11,0)</f>
        <v>1033</v>
      </c>
      <c r="J2307" s="123">
        <f>IF(Basis!$E$1=1,ROUND(H2307/((TaH-TrH)*1.163)/3600,3),ROUND(H2307/(500*(TaH-TrH)),2))</f>
        <v>0.54</v>
      </c>
      <c r="K2307" s="84"/>
      <c r="L2307" s="177">
        <f>CHOOSE(Basis!$E$1,((AJ2307*(J2307*3600/Basis!$E$5)^AK2307*(((MID(C2307,9,3)*10)-144)/1000)*AL2307+AM2307*(J2307*3600/Basis!$E$5)^2)*0.0098)/Basis!$E$10,((AJ2307*(J2307/Basis!$E$5)^AK2307*(((MID(C2307,9,3)*10)-144)/1000)*AL2307+AM2307*(J2307/Basis!$E$5)^2)*0.0098)/Basis!$E$10)</f>
        <v>3.0625841210836433E-2</v>
      </c>
      <c r="M2307" s="85"/>
      <c r="N2307" s="109">
        <v>1.385</v>
      </c>
      <c r="O2307" s="68"/>
      <c r="P2307" s="67">
        <v>2509</v>
      </c>
      <c r="Q2307" s="68"/>
      <c r="R2307" s="69"/>
      <c r="S2307" s="69"/>
      <c r="T2307" s="69"/>
      <c r="U2307" s="69"/>
      <c r="V2307" s="69"/>
      <c r="W2307" s="68"/>
      <c r="X2307" s="70"/>
      <c r="Y2307" s="70"/>
      <c r="Z2307" s="70"/>
      <c r="AA2307" s="70"/>
      <c r="AB2307" s="70"/>
      <c r="AC2307" s="68"/>
      <c r="AD2307" s="71"/>
      <c r="AE2307" s="71"/>
      <c r="AF2307" s="71"/>
      <c r="AG2307" s="71"/>
      <c r="AH2307" s="71"/>
      <c r="AI2307" s="68"/>
      <c r="AJ2307" s="214">
        <v>2.0829999999999999E-4</v>
      </c>
      <c r="AK2307" s="214">
        <v>1.724</v>
      </c>
      <c r="AL2307" s="214">
        <v>2</v>
      </c>
      <c r="AM2307" s="214">
        <v>4.6182900000000003E-4</v>
      </c>
      <c r="AN2307" s="68"/>
      <c r="AO2307" s="67"/>
      <c r="AP2307" s="67"/>
      <c r="AQ2307" s="67"/>
      <c r="AR2307" s="67"/>
      <c r="AS2307" s="67"/>
      <c r="AT2307" s="68"/>
      <c r="AU2307" s="49"/>
      <c r="AV2307" s="50"/>
    </row>
    <row r="2308" spans="1:48" ht="12.75" customHeight="1" x14ac:dyDescent="0.25">
      <c r="A2308" s="72" t="s">
        <v>20</v>
      </c>
      <c r="B2308" s="43" t="s">
        <v>2240</v>
      </c>
      <c r="C2308" s="44" t="s">
        <v>2466</v>
      </c>
      <c r="D2308" s="45">
        <f>MROUND(MID($C2308,6,3)/Basis!$E$3,0.5)</f>
        <v>15.5</v>
      </c>
      <c r="E2308" s="45">
        <f>MROUND(MID($C2308,9,3)/Basis!$E$3,0.5)</f>
        <v>63</v>
      </c>
      <c r="F2308" s="124" t="s">
        <v>2947</v>
      </c>
      <c r="G2308" s="45">
        <f>ROUND((ROUNDDOWN($F2308/5,0)*5+1.8)/Basis!$E$3,1)</f>
        <v>6.6</v>
      </c>
      <c r="H2308" s="120">
        <f>ROUND($P2308*Basis!$E$2*((TaH-TrH)/LN(1/µ)/Basis!$E$7)^$N2308*$AA$4*Glycol,0)</f>
        <v>5732</v>
      </c>
      <c r="I2308" s="83">
        <f>ROUND(H2308/(MID($C2308,9,3)/Basis!$E$3/Basis!$E$9)*Basis!$E$11,0)</f>
        <v>1092</v>
      </c>
      <c r="J2308" s="123">
        <f>IF(Basis!$E$1=1,ROUND(H2308/((TaH-TrH)*1.163)/3600,3),ROUND(H2308/(500*(TaH-TrH)),2))</f>
        <v>0.56999999999999995</v>
      </c>
      <c r="K2308" s="84"/>
      <c r="L2308" s="177">
        <f>CHOOSE(Basis!$E$1,((AJ2308*(J2308*3600/Basis!$E$5)^AK2308*(((MID(C2308,9,3)*10)-144)/1000)*AL2308+AM2308*(J2308*3600/Basis!$E$5)^2)*0.0098)/Basis!$E$10,((AJ2308*(J2308/Basis!$E$5)^AK2308*(((MID(C2308,9,3)*10)-144)/1000)*AL2308+AM2308*(J2308/Basis!$E$5)^2)*0.0098)/Basis!$E$10)</f>
        <v>9.3694537296634406E-2</v>
      </c>
      <c r="M2308" s="85"/>
      <c r="N2308" s="110">
        <v>1.46</v>
      </c>
      <c r="O2308" s="74"/>
      <c r="P2308" s="73">
        <v>2720</v>
      </c>
      <c r="Q2308" s="74"/>
      <c r="R2308" s="75"/>
      <c r="S2308" s="75"/>
      <c r="T2308" s="75"/>
      <c r="U2308" s="75"/>
      <c r="V2308" s="75"/>
      <c r="W2308" s="74"/>
      <c r="X2308" s="76"/>
      <c r="Y2308" s="76"/>
      <c r="Z2308" s="76"/>
      <c r="AA2308" s="76"/>
      <c r="AB2308" s="76"/>
      <c r="AC2308" s="74"/>
      <c r="AD2308" s="77"/>
      <c r="AE2308" s="77"/>
      <c r="AF2308" s="77"/>
      <c r="AG2308" s="77"/>
      <c r="AH2308" s="77"/>
      <c r="AI2308" s="68"/>
      <c r="AJ2308" s="213">
        <v>2.0829999999999999E-4</v>
      </c>
      <c r="AK2308" s="213">
        <v>1.724</v>
      </c>
      <c r="AL2308" s="213">
        <v>4</v>
      </c>
      <c r="AM2308" s="213">
        <v>1.392796E-3</v>
      </c>
      <c r="AN2308" s="74"/>
      <c r="AO2308" s="73"/>
      <c r="AP2308" s="73"/>
      <c r="AQ2308" s="73"/>
      <c r="AR2308" s="73"/>
      <c r="AS2308" s="73"/>
      <c r="AT2308" s="74"/>
      <c r="AU2308" s="47"/>
      <c r="AV2308" s="48"/>
    </row>
    <row r="2309" spans="1:48" ht="12.75" customHeight="1" x14ac:dyDescent="0.25">
      <c r="A2309" s="72" t="s">
        <v>20</v>
      </c>
      <c r="B2309" s="43" t="s">
        <v>2240</v>
      </c>
      <c r="C2309" s="44" t="s">
        <v>2467</v>
      </c>
      <c r="D2309" s="45">
        <f>MROUND(MID($C2309,6,3)/Basis!$E$3,0.5)</f>
        <v>15.5</v>
      </c>
      <c r="E2309" s="45">
        <f>MROUND(MID($C2309,9,3)/Basis!$E$3,0.5)</f>
        <v>63</v>
      </c>
      <c r="F2309" s="124" t="s">
        <v>2945</v>
      </c>
      <c r="G2309" s="45">
        <f>ROUND((ROUNDDOWN($F2309/5,0)*5+1.8)/Basis!$E$3,1)</f>
        <v>8.6</v>
      </c>
      <c r="H2309" s="120">
        <f>ROUND($P2309*Basis!$E$2*((TaH-TrH)/LN(1/µ)/Basis!$E$7)^$N2309*$AA$4*Glycol,0)</f>
        <v>7594</v>
      </c>
      <c r="I2309" s="83">
        <f>ROUND(H2309/(MID($C2309,9,3)/Basis!$E$3/Basis!$E$9)*Basis!$E$11,0)</f>
        <v>1447</v>
      </c>
      <c r="J2309" s="123">
        <f>IF(Basis!$E$1=1,ROUND(H2309/((TaH-TrH)*1.163)/3600,3),ROUND(H2309/(500*(TaH-TrH)),2))</f>
        <v>0.76</v>
      </c>
      <c r="K2309" s="84"/>
      <c r="L2309" s="177">
        <f>CHOOSE(Basis!$E$1,((AJ2309*(J2309*3600/Basis!$E$5)^AK2309*(((MID(C2309,9,3)*10)-144)/1000)*AL2309+AM2309*(J2309*3600/Basis!$E$5)^2)*0.0098)/Basis!$E$10,((AJ2309*(J2309/Basis!$E$5)^AK2309*(((MID(C2309,9,3)*10)-144)/1000)*AL2309+AM2309*(J2309/Basis!$E$5)^2)*0.0098)/Basis!$E$10)</f>
        <v>4.5332188287315632E-2</v>
      </c>
      <c r="M2309" s="85"/>
      <c r="N2309" s="110">
        <v>1.3839999999999999</v>
      </c>
      <c r="O2309" s="74"/>
      <c r="P2309" s="73">
        <v>3514</v>
      </c>
      <c r="Q2309" s="74"/>
      <c r="R2309" s="75"/>
      <c r="S2309" s="75"/>
      <c r="T2309" s="75"/>
      <c r="U2309" s="75"/>
      <c r="V2309" s="75"/>
      <c r="W2309" s="74"/>
      <c r="X2309" s="76"/>
      <c r="Y2309" s="76"/>
      <c r="Z2309" s="76"/>
      <c r="AA2309" s="76"/>
      <c r="AB2309" s="76"/>
      <c r="AC2309" s="74"/>
      <c r="AD2309" s="77"/>
      <c r="AE2309" s="77"/>
      <c r="AF2309" s="77"/>
      <c r="AG2309" s="77"/>
      <c r="AH2309" s="77"/>
      <c r="AI2309" s="68"/>
      <c r="AJ2309" s="214">
        <v>1.2760000000000001E-4</v>
      </c>
      <c r="AK2309" s="214">
        <v>1.7219</v>
      </c>
      <c r="AL2309" s="214">
        <v>2</v>
      </c>
      <c r="AM2309" s="214">
        <v>3.76611E-4</v>
      </c>
      <c r="AN2309" s="74"/>
      <c r="AO2309" s="73"/>
      <c r="AP2309" s="73"/>
      <c r="AQ2309" s="73"/>
      <c r="AR2309" s="73"/>
      <c r="AS2309" s="73"/>
      <c r="AT2309" s="74"/>
      <c r="AU2309" s="47"/>
      <c r="AV2309" s="48"/>
    </row>
    <row r="2310" spans="1:48" ht="12.75" customHeight="1" x14ac:dyDescent="0.25">
      <c r="A2310" s="72" t="s">
        <v>20</v>
      </c>
      <c r="B2310" s="43" t="s">
        <v>2240</v>
      </c>
      <c r="C2310" s="44" t="s">
        <v>2468</v>
      </c>
      <c r="D2310" s="45">
        <f>MROUND(MID($C2310,6,3)/Basis!$E$3,0.5)</f>
        <v>15.5</v>
      </c>
      <c r="E2310" s="45">
        <f>MROUND(MID($C2310,9,3)/Basis!$E$3,0.5)</f>
        <v>63</v>
      </c>
      <c r="F2310" s="124" t="s">
        <v>2948</v>
      </c>
      <c r="G2310" s="45">
        <f>ROUND((ROUNDDOWN($F2310/5,0)*5+1.8)/Basis!$E$3,1)</f>
        <v>8.6</v>
      </c>
      <c r="H2310" s="120">
        <f>ROUND($P2310*Basis!$E$2*((TaH-TrH)/LN(1/µ)/Basis!$E$7)^$N2310*$AA$4*Glycol,0)</f>
        <v>7624</v>
      </c>
      <c r="I2310" s="83">
        <f>ROUND(H2310/(MID($C2310,9,3)/Basis!$E$3/Basis!$E$9)*Basis!$E$11,0)</f>
        <v>1452</v>
      </c>
      <c r="J2310" s="123">
        <f>IF(Basis!$E$1=1,ROUND(H2310/((TaH-TrH)*1.163)/3600,3),ROUND(H2310/(500*(TaH-TrH)),2))</f>
        <v>0.76</v>
      </c>
      <c r="K2310" s="84"/>
      <c r="L2310" s="177">
        <f>CHOOSE(Basis!$E$1,((AJ2310*(J2310*3600/Basis!$E$5)^AK2310*(((MID(C2310,9,3)*10)-144)/1000)*AL2310+AM2310*(J2310*3600/Basis!$E$5)^2)*0.0098)/Basis!$E$10,((AJ2310*(J2310/Basis!$E$5)^AK2310*(((MID(C2310,9,3)*10)-144)/1000)*AL2310+AM2310*(J2310/Basis!$E$5)^2)*0.0098)/Basis!$E$10)</f>
        <v>6.737803834584033E-2</v>
      </c>
      <c r="M2310" s="85"/>
      <c r="N2310" s="109">
        <v>1.4770000000000001</v>
      </c>
      <c r="O2310" s="68"/>
      <c r="P2310" s="67">
        <v>3638</v>
      </c>
      <c r="Q2310" s="68"/>
      <c r="R2310" s="69"/>
      <c r="S2310" s="69"/>
      <c r="T2310" s="69"/>
      <c r="U2310" s="69"/>
      <c r="V2310" s="69"/>
      <c r="W2310" s="68"/>
      <c r="X2310" s="70"/>
      <c r="Y2310" s="70"/>
      <c r="Z2310" s="70"/>
      <c r="AA2310" s="70"/>
      <c r="AB2310" s="70"/>
      <c r="AC2310" s="68"/>
      <c r="AD2310" s="71"/>
      <c r="AE2310" s="71"/>
      <c r="AF2310" s="71"/>
      <c r="AG2310" s="71"/>
      <c r="AH2310" s="71"/>
      <c r="AI2310" s="68"/>
      <c r="AJ2310" s="214">
        <v>1.2760000000000001E-4</v>
      </c>
      <c r="AK2310" s="214">
        <v>1.7219</v>
      </c>
      <c r="AL2310" s="214">
        <v>4</v>
      </c>
      <c r="AM2310" s="214">
        <v>5.1420100000000005E-4</v>
      </c>
      <c r="AN2310" s="68"/>
      <c r="AO2310" s="67"/>
      <c r="AP2310" s="67"/>
      <c r="AQ2310" s="67"/>
      <c r="AR2310" s="67"/>
      <c r="AS2310" s="67"/>
      <c r="AT2310" s="68"/>
      <c r="AU2310" s="49"/>
      <c r="AV2310" s="50"/>
    </row>
    <row r="2311" spans="1:48" ht="12.75" customHeight="1" x14ac:dyDescent="0.25">
      <c r="A2311" s="72" t="s">
        <v>20</v>
      </c>
      <c r="B2311" s="43" t="s">
        <v>2240</v>
      </c>
      <c r="C2311" s="44" t="s">
        <v>2469</v>
      </c>
      <c r="D2311" s="45">
        <f>MROUND(MID($C2311,6,3)/Basis!$E$3,0.5)</f>
        <v>15.5</v>
      </c>
      <c r="E2311" s="45">
        <f>MROUND(MID($C2311,9,3)/Basis!$E$3,0.5)</f>
        <v>71</v>
      </c>
      <c r="F2311" s="124" t="s">
        <v>2943</v>
      </c>
      <c r="G2311" s="45">
        <f>ROUND((ROUNDDOWN($F2311/5,0)*5+1.8)/Basis!$E$3,1)</f>
        <v>4.5999999999999996</v>
      </c>
      <c r="H2311" s="120">
        <f>ROUND($P2311*Basis!$E$2*((TaH-TrH)/LN(1/µ)/Basis!$E$7)^$N2311*$AA$4*Glycol,0)</f>
        <v>3733</v>
      </c>
      <c r="I2311" s="83">
        <f>ROUND(H2311/(MID($C2311,9,3)/Basis!$E$3/Basis!$E$9)*Basis!$E$11,0)</f>
        <v>632</v>
      </c>
      <c r="J2311" s="123">
        <f>IF(Basis!$E$1=1,ROUND(H2311/((TaH-TrH)*1.163)/3600,3),ROUND(H2311/(500*(TaH-TrH)),2))</f>
        <v>0.37</v>
      </c>
      <c r="K2311" s="84"/>
      <c r="L2311" s="177">
        <f>CHOOSE(Basis!$E$1,((AJ2311*(J2311*3600/Basis!$E$5)^AK2311*(((MID(C2311,9,3)*10)-144)/1000)*AL2311+AM2311*(J2311*3600/Basis!$E$5)^2)*0.0098)/Basis!$E$10,((AJ2311*(J2311/Basis!$E$5)^AK2311*(((MID(C2311,9,3)*10)-144)/1000)*AL2311+AM2311*(J2311/Basis!$E$5)^2)*0.0098)/Basis!$E$10)</f>
        <v>1.7846417802200337E-2</v>
      </c>
      <c r="M2311" s="85"/>
      <c r="N2311" s="109">
        <v>1.3939999999999999</v>
      </c>
      <c r="O2311" s="68"/>
      <c r="P2311" s="67">
        <v>1733</v>
      </c>
      <c r="Q2311" s="68"/>
      <c r="R2311" s="69"/>
      <c r="S2311" s="69"/>
      <c r="T2311" s="69"/>
      <c r="U2311" s="69"/>
      <c r="V2311" s="69"/>
      <c r="W2311" s="68"/>
      <c r="X2311" s="70"/>
      <c r="Y2311" s="70"/>
      <c r="Z2311" s="70"/>
      <c r="AA2311" s="70"/>
      <c r="AB2311" s="70"/>
      <c r="AC2311" s="68"/>
      <c r="AD2311" s="71"/>
      <c r="AE2311" s="71"/>
      <c r="AF2311" s="71"/>
      <c r="AG2311" s="71"/>
      <c r="AH2311" s="71"/>
      <c r="AI2311" s="68"/>
      <c r="AJ2311" s="214">
        <v>3.9689999999999994E-4</v>
      </c>
      <c r="AK2311" s="214">
        <v>1.7345999999999999</v>
      </c>
      <c r="AL2311" s="214">
        <v>2</v>
      </c>
      <c r="AM2311" s="214">
        <v>3.6734700000000002E-4</v>
      </c>
      <c r="AN2311" s="68"/>
      <c r="AO2311" s="67"/>
      <c r="AP2311" s="67"/>
      <c r="AQ2311" s="67"/>
      <c r="AR2311" s="67"/>
      <c r="AS2311" s="67"/>
      <c r="AT2311" s="68"/>
      <c r="AU2311" s="49"/>
      <c r="AV2311" s="50"/>
    </row>
    <row r="2312" spans="1:48" ht="12.75" customHeight="1" x14ac:dyDescent="0.25">
      <c r="A2312" s="72" t="s">
        <v>20</v>
      </c>
      <c r="B2312" s="43" t="s">
        <v>2240</v>
      </c>
      <c r="C2312" s="44" t="s">
        <v>2470</v>
      </c>
      <c r="D2312" s="45">
        <f>MROUND(MID($C2312,6,3)/Basis!$E$3,0.5)</f>
        <v>15.5</v>
      </c>
      <c r="E2312" s="45">
        <f>MROUND(MID($C2312,9,3)/Basis!$E$3,0.5)</f>
        <v>71</v>
      </c>
      <c r="F2312" s="124" t="s">
        <v>2946</v>
      </c>
      <c r="G2312" s="45">
        <f>ROUND((ROUNDDOWN($F2312/5,0)*5+1.8)/Basis!$E$3,1)</f>
        <v>4.5999999999999996</v>
      </c>
      <c r="H2312" s="120">
        <f>ROUND($P2312*Basis!$E$2*((TaH-TrH)/LN(1/µ)/Basis!$E$7)^$N2312*$AA$4*Glycol,0)</f>
        <v>4828</v>
      </c>
      <c r="I2312" s="83">
        <f>ROUND(H2312/(MID($C2312,9,3)/Basis!$E$3/Basis!$E$9)*Basis!$E$11,0)</f>
        <v>818</v>
      </c>
      <c r="J2312" s="123">
        <f>IF(Basis!$E$1=1,ROUND(H2312/((TaH-TrH)*1.163)/3600,3),ROUND(H2312/(500*(TaH-TrH)),2))</f>
        <v>0.48</v>
      </c>
      <c r="K2312" s="84"/>
      <c r="L2312" s="177">
        <f>CHOOSE(Basis!$E$1,((AJ2312*(J2312*3600/Basis!$E$5)^AK2312*(((MID(C2312,9,3)*10)-144)/1000)*AL2312+AM2312*(J2312*3600/Basis!$E$5)^2)*0.0098)/Basis!$E$10,((AJ2312*(J2312/Basis!$E$5)^AK2312*(((MID(C2312,9,3)*10)-144)/1000)*AL2312+AM2312*(J2312/Basis!$E$5)^2)*0.0098)/Basis!$E$10)</f>
        <v>5.1732905860125418E-2</v>
      </c>
      <c r="M2312" s="85"/>
      <c r="N2312" s="110">
        <v>1.4390000000000001</v>
      </c>
      <c r="O2312" s="74"/>
      <c r="P2312" s="73">
        <v>2275</v>
      </c>
      <c r="Q2312" s="74"/>
      <c r="R2312" s="75"/>
      <c r="S2312" s="75"/>
      <c r="T2312" s="75"/>
      <c r="U2312" s="75"/>
      <c r="V2312" s="75"/>
      <c r="W2312" s="74"/>
      <c r="X2312" s="76"/>
      <c r="Y2312" s="76"/>
      <c r="Z2312" s="76"/>
      <c r="AA2312" s="76"/>
      <c r="AB2312" s="76"/>
      <c r="AC2312" s="74"/>
      <c r="AD2312" s="77"/>
      <c r="AE2312" s="77"/>
      <c r="AF2312" s="77"/>
      <c r="AG2312" s="77"/>
      <c r="AH2312" s="77"/>
      <c r="AI2312" s="68"/>
      <c r="AJ2312" s="213">
        <v>3.9689999999999994E-4</v>
      </c>
      <c r="AK2312" s="213">
        <v>1.7345999999999999</v>
      </c>
      <c r="AL2312" s="213">
        <v>4</v>
      </c>
      <c r="AM2312" s="213">
        <v>5.7428799999999995E-4</v>
      </c>
      <c r="AN2312" s="74"/>
      <c r="AO2312" s="73"/>
      <c r="AP2312" s="73"/>
      <c r="AQ2312" s="73"/>
      <c r="AR2312" s="73"/>
      <c r="AS2312" s="73"/>
      <c r="AT2312" s="74"/>
      <c r="AU2312" s="47"/>
      <c r="AV2312" s="48"/>
    </row>
    <row r="2313" spans="1:48" ht="12.75" customHeight="1" x14ac:dyDescent="0.25">
      <c r="A2313" s="72" t="s">
        <v>20</v>
      </c>
      <c r="B2313" s="43" t="s">
        <v>2240</v>
      </c>
      <c r="C2313" s="44" t="s">
        <v>2471</v>
      </c>
      <c r="D2313" s="45">
        <f>MROUND(MID($C2313,6,3)/Basis!$E$3,0.5)</f>
        <v>15.5</v>
      </c>
      <c r="E2313" s="45">
        <f>MROUND(MID($C2313,9,3)/Basis!$E$3,0.5)</f>
        <v>71</v>
      </c>
      <c r="F2313" s="124" t="s">
        <v>2944</v>
      </c>
      <c r="G2313" s="45">
        <f>ROUND((ROUNDDOWN($F2313/5,0)*5+1.8)/Basis!$E$3,1)</f>
        <v>6.6</v>
      </c>
      <c r="H2313" s="120">
        <f>ROUND($P2313*Basis!$E$2*((TaH-TrH)/LN(1/µ)/Basis!$E$7)^$N2313*$AA$4*Glycol,0)</f>
        <v>6096</v>
      </c>
      <c r="I2313" s="83">
        <f>ROUND(H2313/(MID($C2313,9,3)/Basis!$E$3/Basis!$E$9)*Basis!$E$11,0)</f>
        <v>1032</v>
      </c>
      <c r="J2313" s="123">
        <f>IF(Basis!$E$1=1,ROUND(H2313/((TaH-TrH)*1.163)/3600,3),ROUND(H2313/(500*(TaH-TrH)),2))</f>
        <v>0.61</v>
      </c>
      <c r="K2313" s="84"/>
      <c r="L2313" s="177">
        <f>CHOOSE(Basis!$E$1,((AJ2313*(J2313*3600/Basis!$E$5)^AK2313*(((MID(C2313,9,3)*10)-144)/1000)*AL2313+AM2313*(J2313*3600/Basis!$E$5)^2)*0.0098)/Basis!$E$10,((AJ2313*(J2313/Basis!$E$5)^AK2313*(((MID(C2313,9,3)*10)-144)/1000)*AL2313+AM2313*(J2313/Basis!$E$5)^2)*0.0098)/Basis!$E$10)</f>
        <v>4.0087358546316731E-2</v>
      </c>
      <c r="M2313" s="85"/>
      <c r="N2313" s="110">
        <v>1.385</v>
      </c>
      <c r="O2313" s="74"/>
      <c r="P2313" s="73">
        <v>2822</v>
      </c>
      <c r="Q2313" s="74"/>
      <c r="R2313" s="75"/>
      <c r="S2313" s="75"/>
      <c r="T2313" s="75"/>
      <c r="U2313" s="75"/>
      <c r="V2313" s="75"/>
      <c r="W2313" s="74"/>
      <c r="X2313" s="76"/>
      <c r="Y2313" s="76"/>
      <c r="Z2313" s="76"/>
      <c r="AA2313" s="76"/>
      <c r="AB2313" s="76"/>
      <c r="AC2313" s="74"/>
      <c r="AD2313" s="77"/>
      <c r="AE2313" s="77"/>
      <c r="AF2313" s="77"/>
      <c r="AG2313" s="77"/>
      <c r="AH2313" s="77"/>
      <c r="AI2313" s="68"/>
      <c r="AJ2313" s="213">
        <v>2.0829999999999999E-4</v>
      </c>
      <c r="AK2313" s="213">
        <v>1.724</v>
      </c>
      <c r="AL2313" s="213">
        <v>2</v>
      </c>
      <c r="AM2313" s="213">
        <v>4.6182900000000003E-4</v>
      </c>
      <c r="AN2313" s="74"/>
      <c r="AO2313" s="73"/>
      <c r="AP2313" s="73"/>
      <c r="AQ2313" s="73"/>
      <c r="AR2313" s="73"/>
      <c r="AS2313" s="73"/>
      <c r="AT2313" s="74"/>
      <c r="AU2313" s="47"/>
      <c r="AV2313" s="48"/>
    </row>
    <row r="2314" spans="1:48" ht="12.75" customHeight="1" x14ac:dyDescent="0.25">
      <c r="A2314" s="72" t="s">
        <v>20</v>
      </c>
      <c r="B2314" s="43" t="s">
        <v>2240</v>
      </c>
      <c r="C2314" s="44" t="s">
        <v>2472</v>
      </c>
      <c r="D2314" s="45">
        <f>MROUND(MID($C2314,6,3)/Basis!$E$3,0.5)</f>
        <v>15.5</v>
      </c>
      <c r="E2314" s="45">
        <f>MROUND(MID($C2314,9,3)/Basis!$E$3,0.5)</f>
        <v>71</v>
      </c>
      <c r="F2314" s="124" t="s">
        <v>2947</v>
      </c>
      <c r="G2314" s="45">
        <f>ROUND((ROUNDDOWN($F2314/5,0)*5+1.8)/Basis!$E$3,1)</f>
        <v>6.6</v>
      </c>
      <c r="H2314" s="120">
        <f>ROUND($P2314*Basis!$E$2*((TaH-TrH)/LN(1/µ)/Basis!$E$7)^$N2314*$AA$4*Glycol,0)</f>
        <v>6449</v>
      </c>
      <c r="I2314" s="83">
        <f>ROUND(H2314/(MID($C2314,9,3)/Basis!$E$3/Basis!$E$9)*Basis!$E$11,0)</f>
        <v>1092</v>
      </c>
      <c r="J2314" s="123">
        <f>IF(Basis!$E$1=1,ROUND(H2314/((TaH-TrH)*1.163)/3600,3),ROUND(H2314/(500*(TaH-TrH)),2))</f>
        <v>0.64</v>
      </c>
      <c r="K2314" s="84"/>
      <c r="L2314" s="177">
        <f>CHOOSE(Basis!$E$1,((AJ2314*(J2314*3600/Basis!$E$5)^AK2314*(((MID(C2314,9,3)*10)-144)/1000)*AL2314+AM2314*(J2314*3600/Basis!$E$5)^2)*0.0098)/Basis!$E$10,((AJ2314*(J2314/Basis!$E$5)^AK2314*(((MID(C2314,9,3)*10)-144)/1000)*AL2314+AM2314*(J2314/Basis!$E$5)^2)*0.0098)/Basis!$E$10)</f>
        <v>0.12034439870252203</v>
      </c>
      <c r="M2314" s="85"/>
      <c r="N2314" s="109">
        <v>1.46</v>
      </c>
      <c r="O2314" s="68"/>
      <c r="P2314" s="67">
        <v>3060</v>
      </c>
      <c r="Q2314" s="68"/>
      <c r="R2314" s="69"/>
      <c r="S2314" s="69"/>
      <c r="T2314" s="69"/>
      <c r="U2314" s="69"/>
      <c r="V2314" s="69"/>
      <c r="W2314" s="68"/>
      <c r="X2314" s="70"/>
      <c r="Y2314" s="70"/>
      <c r="Z2314" s="70"/>
      <c r="AA2314" s="70"/>
      <c r="AB2314" s="70"/>
      <c r="AC2314" s="68"/>
      <c r="AD2314" s="71"/>
      <c r="AE2314" s="71"/>
      <c r="AF2314" s="71"/>
      <c r="AG2314" s="71"/>
      <c r="AH2314" s="71"/>
      <c r="AI2314" s="68"/>
      <c r="AJ2314" s="214">
        <v>2.0829999999999999E-4</v>
      </c>
      <c r="AK2314" s="214">
        <v>1.724</v>
      </c>
      <c r="AL2314" s="214">
        <v>4</v>
      </c>
      <c r="AM2314" s="214">
        <v>1.392796E-3</v>
      </c>
      <c r="AN2314" s="68"/>
      <c r="AO2314" s="67"/>
      <c r="AP2314" s="67"/>
      <c r="AQ2314" s="67"/>
      <c r="AR2314" s="67"/>
      <c r="AS2314" s="67"/>
      <c r="AT2314" s="68"/>
      <c r="AU2314" s="49"/>
      <c r="AV2314" s="50"/>
    </row>
    <row r="2315" spans="1:48" ht="12.75" customHeight="1" x14ac:dyDescent="0.25">
      <c r="A2315" s="72" t="s">
        <v>20</v>
      </c>
      <c r="B2315" s="43" t="s">
        <v>2240</v>
      </c>
      <c r="C2315" s="44" t="s">
        <v>2473</v>
      </c>
      <c r="D2315" s="45">
        <f>MROUND(MID($C2315,6,3)/Basis!$E$3,0.5)</f>
        <v>15.5</v>
      </c>
      <c r="E2315" s="45">
        <f>MROUND(MID($C2315,9,3)/Basis!$E$3,0.5)</f>
        <v>71</v>
      </c>
      <c r="F2315" s="124" t="s">
        <v>2945</v>
      </c>
      <c r="G2315" s="45">
        <f>ROUND((ROUNDDOWN($F2315/5,0)*5+1.8)/Basis!$E$3,1)</f>
        <v>8.6</v>
      </c>
      <c r="H2315" s="120">
        <f>ROUND($P2315*Basis!$E$2*((TaH-TrH)/LN(1/µ)/Basis!$E$7)^$N2315*$AA$4*Glycol,0)</f>
        <v>8542</v>
      </c>
      <c r="I2315" s="83">
        <f>ROUND(H2315/(MID($C2315,9,3)/Basis!$E$3/Basis!$E$9)*Basis!$E$11,0)</f>
        <v>1446</v>
      </c>
      <c r="J2315" s="123">
        <f>IF(Basis!$E$1=1,ROUND(H2315/((TaH-TrH)*1.163)/3600,3),ROUND(H2315/(500*(TaH-TrH)),2))</f>
        <v>0.85</v>
      </c>
      <c r="K2315" s="84"/>
      <c r="L2315" s="177">
        <f>CHOOSE(Basis!$E$1,((AJ2315*(J2315*3600/Basis!$E$5)^AK2315*(((MID(C2315,9,3)*10)-144)/1000)*AL2315+AM2315*(J2315*3600/Basis!$E$5)^2)*0.0098)/Basis!$E$10,((AJ2315*(J2315/Basis!$E$5)^AK2315*(((MID(C2315,9,3)*10)-144)/1000)*AL2315+AM2315*(J2315/Basis!$E$5)^2)*0.0098)/Basis!$E$10)</f>
        <v>5.7812499663101917E-2</v>
      </c>
      <c r="M2315" s="85"/>
      <c r="N2315" s="109">
        <v>1.3839999999999999</v>
      </c>
      <c r="O2315" s="68"/>
      <c r="P2315" s="67">
        <v>3953</v>
      </c>
      <c r="Q2315" s="68"/>
      <c r="R2315" s="69"/>
      <c r="S2315" s="69"/>
      <c r="T2315" s="69"/>
      <c r="U2315" s="69"/>
      <c r="V2315" s="69"/>
      <c r="W2315" s="68"/>
      <c r="X2315" s="70"/>
      <c r="Y2315" s="70"/>
      <c r="Z2315" s="70"/>
      <c r="AA2315" s="70"/>
      <c r="AB2315" s="70"/>
      <c r="AC2315" s="68"/>
      <c r="AD2315" s="71"/>
      <c r="AE2315" s="71"/>
      <c r="AF2315" s="71"/>
      <c r="AG2315" s="71"/>
      <c r="AH2315" s="71"/>
      <c r="AI2315" s="68"/>
      <c r="AJ2315" s="214">
        <v>1.2760000000000001E-4</v>
      </c>
      <c r="AK2315" s="214">
        <v>1.7219</v>
      </c>
      <c r="AL2315" s="214">
        <v>2</v>
      </c>
      <c r="AM2315" s="214">
        <v>3.76611E-4</v>
      </c>
      <c r="AN2315" s="68"/>
      <c r="AO2315" s="67"/>
      <c r="AP2315" s="67"/>
      <c r="AQ2315" s="67"/>
      <c r="AR2315" s="67"/>
      <c r="AS2315" s="67"/>
      <c r="AT2315" s="68"/>
      <c r="AU2315" s="49"/>
      <c r="AV2315" s="50"/>
    </row>
    <row r="2316" spans="1:48" ht="12.75" customHeight="1" x14ac:dyDescent="0.25">
      <c r="A2316" s="72" t="s">
        <v>20</v>
      </c>
      <c r="B2316" s="43" t="s">
        <v>2240</v>
      </c>
      <c r="C2316" s="44" t="s">
        <v>2474</v>
      </c>
      <c r="D2316" s="45">
        <f>MROUND(MID($C2316,6,3)/Basis!$E$3,0.5)</f>
        <v>15.5</v>
      </c>
      <c r="E2316" s="45">
        <f>MROUND(MID($C2316,9,3)/Basis!$E$3,0.5)</f>
        <v>71</v>
      </c>
      <c r="F2316" s="124" t="s">
        <v>2948</v>
      </c>
      <c r="G2316" s="45">
        <f>ROUND((ROUNDDOWN($F2316/5,0)*5+1.8)/Basis!$E$3,1)</f>
        <v>8.6</v>
      </c>
      <c r="H2316" s="120">
        <f>ROUND($P2316*Basis!$E$2*((TaH-TrH)/LN(1/µ)/Basis!$E$7)^$N2316*$AA$4*Glycol,0)</f>
        <v>8577</v>
      </c>
      <c r="I2316" s="83">
        <f>ROUND(H2316/(MID($C2316,9,3)/Basis!$E$3/Basis!$E$9)*Basis!$E$11,0)</f>
        <v>1452</v>
      </c>
      <c r="J2316" s="123">
        <f>IF(Basis!$E$1=1,ROUND(H2316/((TaH-TrH)*1.163)/3600,3),ROUND(H2316/(500*(TaH-TrH)),2))</f>
        <v>0.86</v>
      </c>
      <c r="K2316" s="84"/>
      <c r="L2316" s="177">
        <f>CHOOSE(Basis!$E$1,((AJ2316*(J2316*3600/Basis!$E$5)^AK2316*(((MID(C2316,9,3)*10)-144)/1000)*AL2316+AM2316*(J2316*3600/Basis!$E$5)^2)*0.0098)/Basis!$E$10,((AJ2316*(J2316/Basis!$E$5)^AK2316*(((MID(C2316,9,3)*10)-144)/1000)*AL2316+AM2316*(J2316/Basis!$E$5)^2)*0.0098)/Basis!$E$10)</f>
        <v>8.846488129200264E-2</v>
      </c>
      <c r="M2316" s="85"/>
      <c r="N2316" s="110">
        <v>1.4770000000000001</v>
      </c>
      <c r="O2316" s="74"/>
      <c r="P2316" s="73">
        <v>4093</v>
      </c>
      <c r="Q2316" s="74"/>
      <c r="R2316" s="75"/>
      <c r="S2316" s="75"/>
      <c r="T2316" s="75"/>
      <c r="U2316" s="75"/>
      <c r="V2316" s="75"/>
      <c r="W2316" s="74"/>
      <c r="X2316" s="76"/>
      <c r="Y2316" s="76"/>
      <c r="Z2316" s="76"/>
      <c r="AA2316" s="76"/>
      <c r="AB2316" s="76"/>
      <c r="AC2316" s="74"/>
      <c r="AD2316" s="77"/>
      <c r="AE2316" s="77"/>
      <c r="AF2316" s="77"/>
      <c r="AG2316" s="77"/>
      <c r="AH2316" s="77"/>
      <c r="AI2316" s="68"/>
      <c r="AJ2316" s="213">
        <v>1.2760000000000001E-4</v>
      </c>
      <c r="AK2316" s="213">
        <v>1.7219</v>
      </c>
      <c r="AL2316" s="213">
        <v>4</v>
      </c>
      <c r="AM2316" s="213">
        <v>5.1420100000000005E-4</v>
      </c>
      <c r="AN2316" s="74"/>
      <c r="AO2316" s="73"/>
      <c r="AP2316" s="73"/>
      <c r="AQ2316" s="73"/>
      <c r="AR2316" s="73"/>
      <c r="AS2316" s="73"/>
      <c r="AT2316" s="74"/>
      <c r="AU2316" s="47"/>
      <c r="AV2316" s="48"/>
    </row>
    <row r="2317" spans="1:48" ht="12.75" customHeight="1" x14ac:dyDescent="0.25">
      <c r="A2317" s="72" t="s">
        <v>20</v>
      </c>
      <c r="B2317" s="43" t="s">
        <v>2240</v>
      </c>
      <c r="C2317" s="44" t="s">
        <v>2475</v>
      </c>
      <c r="D2317" s="45">
        <f>MROUND(MID($C2317,6,3)/Basis!$E$3,0.5)</f>
        <v>15.5</v>
      </c>
      <c r="E2317" s="45">
        <f>MROUND(MID($C2317,9,3)/Basis!$E$3,0.5)</f>
        <v>78.5</v>
      </c>
      <c r="F2317" s="124" t="s">
        <v>2943</v>
      </c>
      <c r="G2317" s="45">
        <f>ROUND((ROUNDDOWN($F2317/5,0)*5+1.8)/Basis!$E$3,1)</f>
        <v>4.5999999999999996</v>
      </c>
      <c r="H2317" s="120">
        <f>ROUND($P2317*Basis!$E$2*((TaH-TrH)/LN(1/µ)/Basis!$E$7)^$N2317*$AA$4*Glycol,0)</f>
        <v>4148</v>
      </c>
      <c r="I2317" s="83">
        <f>ROUND(H2317/(MID($C2317,9,3)/Basis!$E$3/Basis!$E$9)*Basis!$E$11,0)</f>
        <v>632</v>
      </c>
      <c r="J2317" s="123">
        <f>IF(Basis!$E$1=1,ROUND(H2317/((TaH-TrH)*1.163)/3600,3),ROUND(H2317/(500*(TaH-TrH)),2))</f>
        <v>0.41</v>
      </c>
      <c r="K2317" s="84"/>
      <c r="L2317" s="177">
        <f>CHOOSE(Basis!$E$1,((AJ2317*(J2317*3600/Basis!$E$5)^AK2317*(((MID(C2317,9,3)*10)-144)/1000)*AL2317+AM2317*(J2317*3600/Basis!$E$5)^2)*0.0098)/Basis!$E$10,((AJ2317*(J2317/Basis!$E$5)^AK2317*(((MID(C2317,9,3)*10)-144)/1000)*AL2317+AM2317*(J2317/Basis!$E$5)^2)*0.0098)/Basis!$E$10)</f>
        <v>2.2955989870610902E-2</v>
      </c>
      <c r="M2317" s="85"/>
      <c r="N2317" s="110">
        <v>1.3939999999999999</v>
      </c>
      <c r="O2317" s="74"/>
      <c r="P2317" s="73">
        <v>1926</v>
      </c>
      <c r="Q2317" s="74"/>
      <c r="R2317" s="75"/>
      <c r="S2317" s="75"/>
      <c r="T2317" s="75"/>
      <c r="U2317" s="75"/>
      <c r="V2317" s="75"/>
      <c r="W2317" s="74"/>
      <c r="X2317" s="76"/>
      <c r="Y2317" s="76"/>
      <c r="Z2317" s="76"/>
      <c r="AA2317" s="76"/>
      <c r="AB2317" s="76"/>
      <c r="AC2317" s="74"/>
      <c r="AD2317" s="77"/>
      <c r="AE2317" s="77"/>
      <c r="AF2317" s="77"/>
      <c r="AG2317" s="77"/>
      <c r="AH2317" s="77"/>
      <c r="AI2317" s="68"/>
      <c r="AJ2317" s="213">
        <v>3.9689999999999994E-4</v>
      </c>
      <c r="AK2317" s="213">
        <v>1.7345999999999999</v>
      </c>
      <c r="AL2317" s="213">
        <v>2</v>
      </c>
      <c r="AM2317" s="213">
        <v>3.6734700000000002E-4</v>
      </c>
      <c r="AN2317" s="74"/>
      <c r="AO2317" s="73"/>
      <c r="AP2317" s="73"/>
      <c r="AQ2317" s="73"/>
      <c r="AR2317" s="73"/>
      <c r="AS2317" s="73"/>
      <c r="AT2317" s="74"/>
      <c r="AU2317" s="47"/>
      <c r="AV2317" s="48"/>
    </row>
    <row r="2318" spans="1:48" ht="12.75" customHeight="1" x14ac:dyDescent="0.25">
      <c r="A2318" s="72" t="s">
        <v>20</v>
      </c>
      <c r="B2318" s="43" t="s">
        <v>2240</v>
      </c>
      <c r="C2318" s="44" t="s">
        <v>2476</v>
      </c>
      <c r="D2318" s="45">
        <f>MROUND(MID($C2318,6,3)/Basis!$E$3,0.5)</f>
        <v>15.5</v>
      </c>
      <c r="E2318" s="45">
        <f>MROUND(MID($C2318,9,3)/Basis!$E$3,0.5)</f>
        <v>78.5</v>
      </c>
      <c r="F2318" s="124" t="s">
        <v>2946</v>
      </c>
      <c r="G2318" s="45">
        <f>ROUND((ROUNDDOWN($F2318/5,0)*5+1.8)/Basis!$E$3,1)</f>
        <v>4.5999999999999996</v>
      </c>
      <c r="H2318" s="120">
        <f>ROUND($P2318*Basis!$E$2*((TaH-TrH)/LN(1/µ)/Basis!$E$7)^$N2318*$AA$4*Glycol,0)</f>
        <v>5365</v>
      </c>
      <c r="I2318" s="83">
        <f>ROUND(H2318/(MID($C2318,9,3)/Basis!$E$3/Basis!$E$9)*Basis!$E$11,0)</f>
        <v>818</v>
      </c>
      <c r="J2318" s="123">
        <f>IF(Basis!$E$1=1,ROUND(H2318/((TaH-TrH)*1.163)/3600,3),ROUND(H2318/(500*(TaH-TrH)),2))</f>
        <v>0.54</v>
      </c>
      <c r="K2318" s="84"/>
      <c r="L2318" s="177">
        <f>CHOOSE(Basis!$E$1,((AJ2318*(J2318*3600/Basis!$E$5)^AK2318*(((MID(C2318,9,3)*10)-144)/1000)*AL2318+AM2318*(J2318*3600/Basis!$E$5)^2)*0.0098)/Basis!$E$10,((AJ2318*(J2318/Basis!$E$5)^AK2318*(((MID(C2318,9,3)*10)-144)/1000)*AL2318+AM2318*(J2318/Basis!$E$5)^2)*0.0098)/Basis!$E$10)</f>
        <v>6.8686537960003527E-2</v>
      </c>
      <c r="M2318" s="85"/>
      <c r="N2318" s="109">
        <v>1.4390000000000001</v>
      </c>
      <c r="O2318" s="68"/>
      <c r="P2318" s="67">
        <v>2528</v>
      </c>
      <c r="Q2318" s="68"/>
      <c r="R2318" s="69"/>
      <c r="S2318" s="69"/>
      <c r="T2318" s="69"/>
      <c r="U2318" s="69"/>
      <c r="V2318" s="69"/>
      <c r="W2318" s="68"/>
      <c r="X2318" s="70"/>
      <c r="Y2318" s="70"/>
      <c r="Z2318" s="70"/>
      <c r="AA2318" s="70"/>
      <c r="AB2318" s="70"/>
      <c r="AC2318" s="68"/>
      <c r="AD2318" s="71"/>
      <c r="AE2318" s="71"/>
      <c r="AF2318" s="71"/>
      <c r="AG2318" s="71"/>
      <c r="AH2318" s="71"/>
      <c r="AI2318" s="68"/>
      <c r="AJ2318" s="214">
        <v>3.9689999999999994E-4</v>
      </c>
      <c r="AK2318" s="214">
        <v>1.7345999999999999</v>
      </c>
      <c r="AL2318" s="214">
        <v>4</v>
      </c>
      <c r="AM2318" s="214">
        <v>5.7428799999999995E-4</v>
      </c>
      <c r="AN2318" s="68"/>
      <c r="AO2318" s="67"/>
      <c r="AP2318" s="67"/>
      <c r="AQ2318" s="67"/>
      <c r="AR2318" s="67"/>
      <c r="AS2318" s="67"/>
      <c r="AT2318" s="68"/>
      <c r="AU2318" s="49"/>
      <c r="AV2318" s="50"/>
    </row>
    <row r="2319" spans="1:48" ht="12.75" customHeight="1" x14ac:dyDescent="0.25">
      <c r="A2319" s="72" t="s">
        <v>20</v>
      </c>
      <c r="B2319" s="43" t="s">
        <v>2240</v>
      </c>
      <c r="C2319" s="44" t="s">
        <v>2477</v>
      </c>
      <c r="D2319" s="45">
        <f>MROUND(MID($C2319,6,3)/Basis!$E$3,0.5)</f>
        <v>15.5</v>
      </c>
      <c r="E2319" s="45">
        <f>MROUND(MID($C2319,9,3)/Basis!$E$3,0.5)</f>
        <v>78.5</v>
      </c>
      <c r="F2319" s="124" t="s">
        <v>2944</v>
      </c>
      <c r="G2319" s="45">
        <f>ROUND((ROUNDDOWN($F2319/5,0)*5+1.8)/Basis!$E$3,1)</f>
        <v>6.6</v>
      </c>
      <c r="H2319" s="120">
        <f>ROUND($P2319*Basis!$E$2*((TaH-TrH)/LN(1/µ)/Basis!$E$7)^$N2319*$AA$4*Glycol,0)</f>
        <v>6775</v>
      </c>
      <c r="I2319" s="83">
        <f>ROUND(H2319/(MID($C2319,9,3)/Basis!$E$3/Basis!$E$9)*Basis!$E$11,0)</f>
        <v>1033</v>
      </c>
      <c r="J2319" s="123">
        <f>IF(Basis!$E$1=1,ROUND(H2319/((TaH-TrH)*1.163)/3600,3),ROUND(H2319/(500*(TaH-TrH)),2))</f>
        <v>0.68</v>
      </c>
      <c r="K2319" s="84"/>
      <c r="L2319" s="177">
        <f>CHOOSE(Basis!$E$1,((AJ2319*(J2319*3600/Basis!$E$5)^AK2319*(((MID(C2319,9,3)*10)-144)/1000)*AL2319+AM2319*(J2319*3600/Basis!$E$5)^2)*0.0098)/Basis!$E$10,((AJ2319*(J2319/Basis!$E$5)^AK2319*(((MID(C2319,9,3)*10)-144)/1000)*AL2319+AM2319*(J2319/Basis!$E$5)^2)*0.0098)/Basis!$E$10)</f>
        <v>5.1025105548111897E-2</v>
      </c>
      <c r="M2319" s="85"/>
      <c r="N2319" s="109">
        <v>1.385</v>
      </c>
      <c r="O2319" s="68"/>
      <c r="P2319" s="67">
        <v>3136</v>
      </c>
      <c r="Q2319" s="68"/>
      <c r="R2319" s="69"/>
      <c r="S2319" s="69"/>
      <c r="T2319" s="69"/>
      <c r="U2319" s="69"/>
      <c r="V2319" s="69"/>
      <c r="W2319" s="68"/>
      <c r="X2319" s="70"/>
      <c r="Y2319" s="70"/>
      <c r="Z2319" s="70"/>
      <c r="AA2319" s="70"/>
      <c r="AB2319" s="70"/>
      <c r="AC2319" s="68"/>
      <c r="AD2319" s="71"/>
      <c r="AE2319" s="71"/>
      <c r="AF2319" s="71"/>
      <c r="AG2319" s="71"/>
      <c r="AH2319" s="71"/>
      <c r="AI2319" s="68"/>
      <c r="AJ2319" s="214">
        <v>2.0829999999999999E-4</v>
      </c>
      <c r="AK2319" s="214">
        <v>1.724</v>
      </c>
      <c r="AL2319" s="214">
        <v>2</v>
      </c>
      <c r="AM2319" s="214">
        <v>4.6182900000000003E-4</v>
      </c>
      <c r="AN2319" s="68"/>
      <c r="AO2319" s="67"/>
      <c r="AP2319" s="67"/>
      <c r="AQ2319" s="67"/>
      <c r="AR2319" s="67"/>
      <c r="AS2319" s="67"/>
      <c r="AT2319" s="68"/>
      <c r="AU2319" s="49"/>
      <c r="AV2319" s="50"/>
    </row>
    <row r="2320" spans="1:48" ht="12.75" customHeight="1" x14ac:dyDescent="0.25">
      <c r="A2320" s="72" t="s">
        <v>20</v>
      </c>
      <c r="B2320" s="43" t="s">
        <v>2240</v>
      </c>
      <c r="C2320" s="44" t="s">
        <v>2478</v>
      </c>
      <c r="D2320" s="45">
        <f>MROUND(MID($C2320,6,3)/Basis!$E$3,0.5)</f>
        <v>15.5</v>
      </c>
      <c r="E2320" s="45">
        <f>MROUND(MID($C2320,9,3)/Basis!$E$3,0.5)</f>
        <v>78.5</v>
      </c>
      <c r="F2320" s="124" t="s">
        <v>2947</v>
      </c>
      <c r="G2320" s="45">
        <f>ROUND((ROUNDDOWN($F2320/5,0)*5+1.8)/Basis!$E$3,1)</f>
        <v>6.6</v>
      </c>
      <c r="H2320" s="120">
        <f>ROUND($P2320*Basis!$E$2*((TaH-TrH)/LN(1/µ)/Basis!$E$7)^$N2320*$AA$4*Glycol,0)</f>
        <v>7165</v>
      </c>
      <c r="I2320" s="83">
        <f>ROUND(H2320/(MID($C2320,9,3)/Basis!$E$3/Basis!$E$9)*Basis!$E$11,0)</f>
        <v>1092</v>
      </c>
      <c r="J2320" s="123">
        <f>IF(Basis!$E$1=1,ROUND(H2320/((TaH-TrH)*1.163)/3600,3),ROUND(H2320/(500*(TaH-TrH)),2))</f>
        <v>0.72</v>
      </c>
      <c r="K2320" s="84"/>
      <c r="L2320" s="177">
        <f>CHOOSE(Basis!$E$1,((AJ2320*(J2320*3600/Basis!$E$5)^AK2320*(((MID(C2320,9,3)*10)-144)/1000)*AL2320+AM2320*(J2320*3600/Basis!$E$5)^2)*0.0098)/Basis!$E$10,((AJ2320*(J2320/Basis!$E$5)^AK2320*(((MID(C2320,9,3)*10)-144)/1000)*AL2320+AM2320*(J2320/Basis!$E$5)^2)*0.0098)/Basis!$E$10)</f>
        <v>0.15490335621894971</v>
      </c>
      <c r="M2320" s="85"/>
      <c r="N2320" s="110">
        <v>1.46</v>
      </c>
      <c r="O2320" s="74"/>
      <c r="P2320" s="73">
        <v>3400</v>
      </c>
      <c r="Q2320" s="74"/>
      <c r="R2320" s="75"/>
      <c r="S2320" s="75"/>
      <c r="T2320" s="75"/>
      <c r="U2320" s="75"/>
      <c r="V2320" s="75"/>
      <c r="W2320" s="74"/>
      <c r="X2320" s="76"/>
      <c r="Y2320" s="76"/>
      <c r="Z2320" s="76"/>
      <c r="AA2320" s="76"/>
      <c r="AB2320" s="76"/>
      <c r="AC2320" s="74"/>
      <c r="AD2320" s="77"/>
      <c r="AE2320" s="77"/>
      <c r="AF2320" s="77"/>
      <c r="AG2320" s="77"/>
      <c r="AH2320" s="77"/>
      <c r="AI2320" s="68"/>
      <c r="AJ2320" s="213">
        <v>2.0829999999999999E-4</v>
      </c>
      <c r="AK2320" s="213">
        <v>1.724</v>
      </c>
      <c r="AL2320" s="213">
        <v>4</v>
      </c>
      <c r="AM2320" s="213">
        <v>1.392796E-3</v>
      </c>
      <c r="AN2320" s="74"/>
      <c r="AO2320" s="73"/>
      <c r="AP2320" s="73"/>
      <c r="AQ2320" s="73"/>
      <c r="AR2320" s="73"/>
      <c r="AS2320" s="73"/>
      <c r="AT2320" s="74"/>
      <c r="AU2320" s="47"/>
      <c r="AV2320" s="48"/>
    </row>
    <row r="2321" spans="1:48" ht="12.75" customHeight="1" x14ac:dyDescent="0.25">
      <c r="A2321" s="72" t="s">
        <v>20</v>
      </c>
      <c r="B2321" s="43" t="s">
        <v>2240</v>
      </c>
      <c r="C2321" s="44" t="s">
        <v>2479</v>
      </c>
      <c r="D2321" s="45">
        <f>MROUND(MID($C2321,6,3)/Basis!$E$3,0.5)</f>
        <v>15.5</v>
      </c>
      <c r="E2321" s="45">
        <f>MROUND(MID($C2321,9,3)/Basis!$E$3,0.5)</f>
        <v>78.5</v>
      </c>
      <c r="F2321" s="124" t="s">
        <v>2945</v>
      </c>
      <c r="G2321" s="45">
        <f>ROUND((ROUNDDOWN($F2321/5,0)*5+1.8)/Basis!$E$3,1)</f>
        <v>8.6</v>
      </c>
      <c r="H2321" s="120">
        <f>ROUND($P2321*Basis!$E$2*((TaH-TrH)/LN(1/µ)/Basis!$E$7)^$N2321*$AA$4*Glycol,0)</f>
        <v>9491</v>
      </c>
      <c r="I2321" s="83">
        <f>ROUND(H2321/(MID($C2321,9,3)/Basis!$E$3/Basis!$E$9)*Basis!$E$11,0)</f>
        <v>1446</v>
      </c>
      <c r="J2321" s="123">
        <f>IF(Basis!$E$1=1,ROUND(H2321/((TaH-TrH)*1.163)/3600,3),ROUND(H2321/(500*(TaH-TrH)),2))</f>
        <v>0.95</v>
      </c>
      <c r="K2321" s="84"/>
      <c r="L2321" s="177">
        <f>CHOOSE(Basis!$E$1,((AJ2321*(J2321*3600/Basis!$E$5)^AK2321*(((MID(C2321,9,3)*10)-144)/1000)*AL2321+AM2321*(J2321*3600/Basis!$E$5)^2)*0.0098)/Basis!$E$10,((AJ2321*(J2321/Basis!$E$5)^AK2321*(((MID(C2321,9,3)*10)-144)/1000)*AL2321+AM2321*(J2321/Basis!$E$5)^2)*0.0098)/Basis!$E$10)</f>
        <v>7.350528765824435E-2</v>
      </c>
      <c r="M2321" s="85"/>
      <c r="N2321" s="110">
        <v>1.3839999999999999</v>
      </c>
      <c r="O2321" s="74"/>
      <c r="P2321" s="73">
        <v>4392</v>
      </c>
      <c r="Q2321" s="74"/>
      <c r="R2321" s="75"/>
      <c r="S2321" s="75"/>
      <c r="T2321" s="75"/>
      <c r="U2321" s="75"/>
      <c r="V2321" s="75"/>
      <c r="W2321" s="74"/>
      <c r="X2321" s="76"/>
      <c r="Y2321" s="76"/>
      <c r="Z2321" s="76"/>
      <c r="AA2321" s="76"/>
      <c r="AB2321" s="76"/>
      <c r="AC2321" s="74"/>
      <c r="AD2321" s="77"/>
      <c r="AE2321" s="77"/>
      <c r="AF2321" s="77"/>
      <c r="AG2321" s="77"/>
      <c r="AH2321" s="77"/>
      <c r="AI2321" s="68"/>
      <c r="AJ2321" s="214">
        <v>1.2760000000000001E-4</v>
      </c>
      <c r="AK2321" s="214">
        <v>1.7219</v>
      </c>
      <c r="AL2321" s="214">
        <v>2</v>
      </c>
      <c r="AM2321" s="214">
        <v>3.76611E-4</v>
      </c>
      <c r="AN2321" s="74"/>
      <c r="AO2321" s="73"/>
      <c r="AP2321" s="73"/>
      <c r="AQ2321" s="73"/>
      <c r="AR2321" s="73"/>
      <c r="AS2321" s="73"/>
      <c r="AT2321" s="74"/>
      <c r="AU2321" s="47"/>
      <c r="AV2321" s="48"/>
    </row>
    <row r="2322" spans="1:48" ht="12.75" customHeight="1" x14ac:dyDescent="0.25">
      <c r="A2322" s="72" t="s">
        <v>20</v>
      </c>
      <c r="B2322" s="43" t="s">
        <v>2240</v>
      </c>
      <c r="C2322" s="44" t="s">
        <v>2480</v>
      </c>
      <c r="D2322" s="45">
        <f>MROUND(MID($C2322,6,3)/Basis!$E$3,0.5)</f>
        <v>15.5</v>
      </c>
      <c r="E2322" s="45">
        <f>MROUND(MID($C2322,9,3)/Basis!$E$3,0.5)</f>
        <v>78.5</v>
      </c>
      <c r="F2322" s="124" t="s">
        <v>2948</v>
      </c>
      <c r="G2322" s="45">
        <f>ROUND((ROUNDDOWN($F2322/5,0)*5+1.8)/Basis!$E$3,1)</f>
        <v>8.6</v>
      </c>
      <c r="H2322" s="120">
        <f>ROUND($P2322*Basis!$E$2*((TaH-TrH)/LN(1/µ)/Basis!$E$7)^$N2322*$AA$4*Glycol,0)</f>
        <v>9531</v>
      </c>
      <c r="I2322" s="83">
        <f>ROUND(H2322/(MID($C2322,9,3)/Basis!$E$3/Basis!$E$9)*Basis!$E$11,0)</f>
        <v>1453</v>
      </c>
      <c r="J2322" s="123">
        <f>IF(Basis!$E$1=1,ROUND(H2322/((TaH-TrH)*1.163)/3600,3),ROUND(H2322/(500*(TaH-TrH)),2))</f>
        <v>0.95</v>
      </c>
      <c r="K2322" s="84"/>
      <c r="L2322" s="177">
        <f>CHOOSE(Basis!$E$1,((AJ2322*(J2322*3600/Basis!$E$5)^AK2322*(((MID(C2322,9,3)*10)-144)/1000)*AL2322+AM2322*(J2322*3600/Basis!$E$5)^2)*0.0098)/Basis!$E$10,((AJ2322*(J2322/Basis!$E$5)^AK2322*(((MID(C2322,9,3)*10)-144)/1000)*AL2322+AM2322*(J2322/Basis!$E$5)^2)*0.0098)/Basis!$E$10)</f>
        <v>0.11062567183400288</v>
      </c>
      <c r="M2322" s="85"/>
      <c r="N2322" s="109">
        <v>1.4770000000000001</v>
      </c>
      <c r="O2322" s="68"/>
      <c r="P2322" s="67">
        <v>4548</v>
      </c>
      <c r="Q2322" s="68"/>
      <c r="R2322" s="69"/>
      <c r="S2322" s="69"/>
      <c r="T2322" s="69"/>
      <c r="U2322" s="69"/>
      <c r="V2322" s="69"/>
      <c r="W2322" s="68"/>
      <c r="X2322" s="70"/>
      <c r="Y2322" s="70"/>
      <c r="Z2322" s="70"/>
      <c r="AA2322" s="70"/>
      <c r="AB2322" s="70"/>
      <c r="AC2322" s="68"/>
      <c r="AD2322" s="71"/>
      <c r="AE2322" s="71"/>
      <c r="AF2322" s="71"/>
      <c r="AG2322" s="71"/>
      <c r="AH2322" s="71"/>
      <c r="AI2322" s="68"/>
      <c r="AJ2322" s="214">
        <v>1.2760000000000001E-4</v>
      </c>
      <c r="AK2322" s="214">
        <v>1.7219</v>
      </c>
      <c r="AL2322" s="214">
        <v>4</v>
      </c>
      <c r="AM2322" s="214">
        <v>5.1420100000000005E-4</v>
      </c>
      <c r="AN2322" s="68"/>
      <c r="AO2322" s="67"/>
      <c r="AP2322" s="67"/>
      <c r="AQ2322" s="67"/>
      <c r="AR2322" s="67"/>
      <c r="AS2322" s="67"/>
      <c r="AT2322" s="68"/>
      <c r="AU2322" s="49"/>
      <c r="AV2322" s="50"/>
    </row>
    <row r="2323" spans="1:48" ht="12.75" customHeight="1" x14ac:dyDescent="0.25">
      <c r="A2323" s="72" t="s">
        <v>20</v>
      </c>
      <c r="B2323" s="43" t="s">
        <v>2240</v>
      </c>
      <c r="C2323" s="44" t="s">
        <v>2481</v>
      </c>
      <c r="D2323" s="45">
        <f>MROUND(MID($C2323,6,3)/Basis!$E$3,0.5)</f>
        <v>15.5</v>
      </c>
      <c r="E2323" s="45">
        <f>MROUND(MID($C2323,9,3)/Basis!$E$3,0.5)</f>
        <v>86.5</v>
      </c>
      <c r="F2323" s="124" t="s">
        <v>2943</v>
      </c>
      <c r="G2323" s="45">
        <f>ROUND((ROUNDDOWN($F2323/5,0)*5+1.8)/Basis!$E$3,1)</f>
        <v>4.5999999999999996</v>
      </c>
      <c r="H2323" s="120">
        <f>ROUND($P2323*Basis!$E$2*((TaH-TrH)/LN(1/µ)/Basis!$E$7)^$N2323*$AA$4*Glycol,0)</f>
        <v>4564</v>
      </c>
      <c r="I2323" s="83">
        <f>ROUND(H2323/(MID($C2323,9,3)/Basis!$E$3/Basis!$E$9)*Basis!$E$11,0)</f>
        <v>632</v>
      </c>
      <c r="J2323" s="123">
        <f>IF(Basis!$E$1=1,ROUND(H2323/((TaH-TrH)*1.163)/3600,3),ROUND(H2323/(500*(TaH-TrH)),2))</f>
        <v>0.46</v>
      </c>
      <c r="K2323" s="84"/>
      <c r="L2323" s="177">
        <f>CHOOSE(Basis!$E$1,((AJ2323*(J2323*3600/Basis!$E$5)^AK2323*(((MID(C2323,9,3)*10)-144)/1000)*AL2323+AM2323*(J2323*3600/Basis!$E$5)^2)*0.0098)/Basis!$E$10,((AJ2323*(J2323/Basis!$E$5)^AK2323*(((MID(C2323,9,3)*10)-144)/1000)*AL2323+AM2323*(J2323/Basis!$E$5)^2)*0.0098)/Basis!$E$10)</f>
        <v>3.007148991611484E-2</v>
      </c>
      <c r="M2323" s="85"/>
      <c r="N2323" s="109">
        <v>1.3939999999999999</v>
      </c>
      <c r="O2323" s="68"/>
      <c r="P2323" s="67">
        <v>2119</v>
      </c>
      <c r="Q2323" s="68"/>
      <c r="R2323" s="69"/>
      <c r="S2323" s="69"/>
      <c r="T2323" s="69"/>
      <c r="U2323" s="69"/>
      <c r="V2323" s="69"/>
      <c r="W2323" s="68"/>
      <c r="X2323" s="70"/>
      <c r="Y2323" s="70"/>
      <c r="Z2323" s="70"/>
      <c r="AA2323" s="70"/>
      <c r="AB2323" s="70"/>
      <c r="AC2323" s="68"/>
      <c r="AD2323" s="71"/>
      <c r="AE2323" s="71"/>
      <c r="AF2323" s="71"/>
      <c r="AG2323" s="71"/>
      <c r="AH2323" s="71"/>
      <c r="AI2323" s="68"/>
      <c r="AJ2323" s="214">
        <v>3.9689999999999994E-4</v>
      </c>
      <c r="AK2323" s="214">
        <v>1.7345999999999999</v>
      </c>
      <c r="AL2323" s="214">
        <v>2</v>
      </c>
      <c r="AM2323" s="214">
        <v>3.6734700000000002E-4</v>
      </c>
      <c r="AN2323" s="68"/>
      <c r="AO2323" s="67"/>
      <c r="AP2323" s="67"/>
      <c r="AQ2323" s="67"/>
      <c r="AR2323" s="67"/>
      <c r="AS2323" s="67"/>
      <c r="AT2323" s="68"/>
      <c r="AU2323" s="49"/>
      <c r="AV2323" s="50"/>
    </row>
    <row r="2324" spans="1:48" ht="12.75" customHeight="1" x14ac:dyDescent="0.25">
      <c r="A2324" s="72" t="s">
        <v>20</v>
      </c>
      <c r="B2324" s="43" t="s">
        <v>2240</v>
      </c>
      <c r="C2324" s="44" t="s">
        <v>2482</v>
      </c>
      <c r="D2324" s="45">
        <f>MROUND(MID($C2324,6,3)/Basis!$E$3,0.5)</f>
        <v>15.5</v>
      </c>
      <c r="E2324" s="45">
        <f>MROUND(MID($C2324,9,3)/Basis!$E$3,0.5)</f>
        <v>86.5</v>
      </c>
      <c r="F2324" s="124" t="s">
        <v>2946</v>
      </c>
      <c r="G2324" s="45">
        <f>ROUND((ROUNDDOWN($F2324/5,0)*5+1.8)/Basis!$E$3,1)</f>
        <v>4.5999999999999996</v>
      </c>
      <c r="H2324" s="120">
        <f>ROUND($P2324*Basis!$E$2*((TaH-TrH)/LN(1/µ)/Basis!$E$7)^$N2324*$AA$4*Glycol,0)</f>
        <v>5902</v>
      </c>
      <c r="I2324" s="83">
        <f>ROUND(H2324/(MID($C2324,9,3)/Basis!$E$3/Basis!$E$9)*Basis!$E$11,0)</f>
        <v>818</v>
      </c>
      <c r="J2324" s="123">
        <f>IF(Basis!$E$1=1,ROUND(H2324/((TaH-TrH)*1.163)/3600,3),ROUND(H2324/(500*(TaH-TrH)),2))</f>
        <v>0.59</v>
      </c>
      <c r="K2324" s="84"/>
      <c r="L2324" s="177">
        <f>CHOOSE(Basis!$E$1,((AJ2324*(J2324*3600/Basis!$E$5)^AK2324*(((MID(C2324,9,3)*10)-144)/1000)*AL2324+AM2324*(J2324*3600/Basis!$E$5)^2)*0.0098)/Basis!$E$10,((AJ2324*(J2324/Basis!$E$5)^AK2324*(((MID(C2324,9,3)*10)-144)/1000)*AL2324+AM2324*(J2324/Basis!$E$5)^2)*0.0098)/Basis!$E$10)</f>
        <v>8.5955136188962222E-2</v>
      </c>
      <c r="M2324" s="85"/>
      <c r="N2324" s="110">
        <v>1.4390000000000001</v>
      </c>
      <c r="O2324" s="74"/>
      <c r="P2324" s="73">
        <v>2781</v>
      </c>
      <c r="Q2324" s="74"/>
      <c r="R2324" s="75"/>
      <c r="S2324" s="75"/>
      <c r="T2324" s="75"/>
      <c r="U2324" s="75"/>
      <c r="V2324" s="75"/>
      <c r="W2324" s="74"/>
      <c r="X2324" s="76"/>
      <c r="Y2324" s="76"/>
      <c r="Z2324" s="76"/>
      <c r="AA2324" s="76"/>
      <c r="AB2324" s="76"/>
      <c r="AC2324" s="74"/>
      <c r="AD2324" s="77"/>
      <c r="AE2324" s="77"/>
      <c r="AF2324" s="77"/>
      <c r="AG2324" s="77"/>
      <c r="AH2324" s="77"/>
      <c r="AI2324" s="68"/>
      <c r="AJ2324" s="213">
        <v>3.9689999999999994E-4</v>
      </c>
      <c r="AK2324" s="213">
        <v>1.7345999999999999</v>
      </c>
      <c r="AL2324" s="213">
        <v>4</v>
      </c>
      <c r="AM2324" s="213">
        <v>5.7428799999999995E-4</v>
      </c>
      <c r="AN2324" s="74"/>
      <c r="AO2324" s="73"/>
      <c r="AP2324" s="73"/>
      <c r="AQ2324" s="73"/>
      <c r="AR2324" s="73"/>
      <c r="AS2324" s="73"/>
      <c r="AT2324" s="74"/>
      <c r="AU2324" s="47"/>
      <c r="AV2324" s="48"/>
    </row>
    <row r="2325" spans="1:48" ht="12.75" customHeight="1" x14ac:dyDescent="0.25">
      <c r="A2325" s="72" t="s">
        <v>20</v>
      </c>
      <c r="B2325" s="43" t="s">
        <v>2240</v>
      </c>
      <c r="C2325" s="44" t="s">
        <v>2483</v>
      </c>
      <c r="D2325" s="45">
        <f>MROUND(MID($C2325,6,3)/Basis!$E$3,0.5)</f>
        <v>15.5</v>
      </c>
      <c r="E2325" s="45">
        <f>MROUND(MID($C2325,9,3)/Basis!$E$3,0.5)</f>
        <v>86.5</v>
      </c>
      <c r="F2325" s="124" t="s">
        <v>2944</v>
      </c>
      <c r="G2325" s="45">
        <f>ROUND((ROUNDDOWN($F2325/5,0)*5+1.8)/Basis!$E$3,1)</f>
        <v>6.6</v>
      </c>
      <c r="H2325" s="120">
        <f>ROUND($P2325*Basis!$E$2*((TaH-TrH)/LN(1/µ)/Basis!$E$7)^$N2325*$AA$4*Glycol,0)</f>
        <v>7453</v>
      </c>
      <c r="I2325" s="83">
        <f>ROUND(H2325/(MID($C2325,9,3)/Basis!$E$3/Basis!$E$9)*Basis!$E$11,0)</f>
        <v>1033</v>
      </c>
      <c r="J2325" s="123">
        <f>IF(Basis!$E$1=1,ROUND(H2325/((TaH-TrH)*1.163)/3600,3),ROUND(H2325/(500*(TaH-TrH)),2))</f>
        <v>0.75</v>
      </c>
      <c r="K2325" s="84"/>
      <c r="L2325" s="177">
        <f>CHOOSE(Basis!$E$1,((AJ2325*(J2325*3600/Basis!$E$5)^AK2325*(((MID(C2325,9,3)*10)-144)/1000)*AL2325+AM2325*(J2325*3600/Basis!$E$5)^2)*0.0098)/Basis!$E$10,((AJ2325*(J2325/Basis!$E$5)^AK2325*(((MID(C2325,9,3)*10)-144)/1000)*AL2325+AM2325*(J2325/Basis!$E$5)^2)*0.0098)/Basis!$E$10)</f>
        <v>6.3498512175952149E-2</v>
      </c>
      <c r="M2325" s="85"/>
      <c r="N2325" s="110">
        <v>1.385</v>
      </c>
      <c r="O2325" s="74"/>
      <c r="P2325" s="73">
        <v>3450</v>
      </c>
      <c r="Q2325" s="74"/>
      <c r="R2325" s="75"/>
      <c r="S2325" s="75"/>
      <c r="T2325" s="75"/>
      <c r="U2325" s="75"/>
      <c r="V2325" s="75"/>
      <c r="W2325" s="74"/>
      <c r="X2325" s="76"/>
      <c r="Y2325" s="76"/>
      <c r="Z2325" s="76"/>
      <c r="AA2325" s="76"/>
      <c r="AB2325" s="76"/>
      <c r="AC2325" s="74"/>
      <c r="AD2325" s="77"/>
      <c r="AE2325" s="77"/>
      <c r="AF2325" s="77"/>
      <c r="AG2325" s="77"/>
      <c r="AH2325" s="77"/>
      <c r="AI2325" s="68"/>
      <c r="AJ2325" s="213">
        <v>2.0829999999999999E-4</v>
      </c>
      <c r="AK2325" s="213">
        <v>1.724</v>
      </c>
      <c r="AL2325" s="213">
        <v>2</v>
      </c>
      <c r="AM2325" s="213">
        <v>4.6182900000000003E-4</v>
      </c>
      <c r="AN2325" s="74"/>
      <c r="AO2325" s="73"/>
      <c r="AP2325" s="73"/>
      <c r="AQ2325" s="73"/>
      <c r="AR2325" s="73"/>
      <c r="AS2325" s="73"/>
      <c r="AT2325" s="74"/>
      <c r="AU2325" s="47"/>
      <c r="AV2325" s="48"/>
    </row>
    <row r="2326" spans="1:48" ht="12.75" customHeight="1" x14ac:dyDescent="0.25">
      <c r="A2326" s="72" t="s">
        <v>20</v>
      </c>
      <c r="B2326" s="43" t="s">
        <v>2240</v>
      </c>
      <c r="C2326" s="44" t="s">
        <v>2484</v>
      </c>
      <c r="D2326" s="45">
        <f>MROUND(MID($C2326,6,3)/Basis!$E$3,0.5)</f>
        <v>15.5</v>
      </c>
      <c r="E2326" s="45">
        <f>MROUND(MID($C2326,9,3)/Basis!$E$3,0.5)</f>
        <v>86.5</v>
      </c>
      <c r="F2326" s="124" t="s">
        <v>2947</v>
      </c>
      <c r="G2326" s="45">
        <f>ROUND((ROUNDDOWN($F2326/5,0)*5+1.8)/Basis!$E$3,1)</f>
        <v>6.6</v>
      </c>
      <c r="H2326" s="120">
        <f>ROUND($P2326*Basis!$E$2*((TaH-TrH)/LN(1/µ)/Basis!$E$7)^$N2326*$AA$4*Glycol,0)</f>
        <v>7882</v>
      </c>
      <c r="I2326" s="83">
        <f>ROUND(H2326/(MID($C2326,9,3)/Basis!$E$3/Basis!$E$9)*Basis!$E$11,0)</f>
        <v>1092</v>
      </c>
      <c r="J2326" s="123">
        <f>IF(Basis!$E$1=1,ROUND(H2326/((TaH-TrH)*1.163)/3600,3),ROUND(H2326/(500*(TaH-TrH)),2))</f>
        <v>0.79</v>
      </c>
      <c r="K2326" s="84"/>
      <c r="L2326" s="177">
        <f>CHOOSE(Basis!$E$1,((AJ2326*(J2326*3600/Basis!$E$5)^AK2326*(((MID(C2326,9,3)*10)-144)/1000)*AL2326+AM2326*(J2326*3600/Basis!$E$5)^2)*0.0098)/Basis!$E$10,((AJ2326*(J2326/Basis!$E$5)^AK2326*(((MID(C2326,9,3)*10)-144)/1000)*AL2326+AM2326*(J2326/Basis!$E$5)^2)*0.0098)/Basis!$E$10)</f>
        <v>0.18966749412351994</v>
      </c>
      <c r="M2326" s="85"/>
      <c r="N2326" s="109">
        <v>1.46</v>
      </c>
      <c r="O2326" s="68"/>
      <c r="P2326" s="67">
        <v>3740</v>
      </c>
      <c r="Q2326" s="68"/>
      <c r="R2326" s="69"/>
      <c r="S2326" s="69"/>
      <c r="T2326" s="69"/>
      <c r="U2326" s="69"/>
      <c r="V2326" s="69"/>
      <c r="W2326" s="68"/>
      <c r="X2326" s="70"/>
      <c r="Y2326" s="70"/>
      <c r="Z2326" s="70"/>
      <c r="AA2326" s="70"/>
      <c r="AB2326" s="70"/>
      <c r="AC2326" s="68"/>
      <c r="AD2326" s="71"/>
      <c r="AE2326" s="71"/>
      <c r="AF2326" s="71"/>
      <c r="AG2326" s="71"/>
      <c r="AH2326" s="71"/>
      <c r="AI2326" s="68"/>
      <c r="AJ2326" s="214">
        <v>2.0829999999999999E-4</v>
      </c>
      <c r="AK2326" s="214">
        <v>1.724</v>
      </c>
      <c r="AL2326" s="214">
        <v>4</v>
      </c>
      <c r="AM2326" s="214">
        <v>1.392796E-3</v>
      </c>
      <c r="AN2326" s="68"/>
      <c r="AO2326" s="67"/>
      <c r="AP2326" s="67"/>
      <c r="AQ2326" s="67"/>
      <c r="AR2326" s="67"/>
      <c r="AS2326" s="67"/>
      <c r="AT2326" s="68"/>
      <c r="AU2326" s="49"/>
      <c r="AV2326" s="50"/>
    </row>
    <row r="2327" spans="1:48" ht="12.75" customHeight="1" x14ac:dyDescent="0.25">
      <c r="A2327" s="72" t="s">
        <v>20</v>
      </c>
      <c r="B2327" s="43" t="s">
        <v>2240</v>
      </c>
      <c r="C2327" s="44" t="s">
        <v>2485</v>
      </c>
      <c r="D2327" s="45">
        <f>MROUND(MID($C2327,6,3)/Basis!$E$3,0.5)</f>
        <v>15.5</v>
      </c>
      <c r="E2327" s="45">
        <f>MROUND(MID($C2327,9,3)/Basis!$E$3,0.5)</f>
        <v>86.5</v>
      </c>
      <c r="F2327" s="124" t="s">
        <v>2945</v>
      </c>
      <c r="G2327" s="45">
        <f>ROUND((ROUNDDOWN($F2327/5,0)*5+1.8)/Basis!$E$3,1)</f>
        <v>8.6</v>
      </c>
      <c r="H2327" s="120">
        <f>ROUND($P2327*Basis!$E$2*((TaH-TrH)/LN(1/µ)/Basis!$E$7)^$N2327*$AA$4*Glycol,0)</f>
        <v>10440</v>
      </c>
      <c r="I2327" s="83">
        <f>ROUND(H2327/(MID($C2327,9,3)/Basis!$E$3/Basis!$E$9)*Basis!$E$11,0)</f>
        <v>1446</v>
      </c>
      <c r="J2327" s="123">
        <f>IF(Basis!$E$1=1,ROUND(H2327/((TaH-TrH)*1.163)/3600,3),ROUND(H2327/(500*(TaH-TrH)),2))</f>
        <v>1.04</v>
      </c>
      <c r="K2327" s="84"/>
      <c r="L2327" s="177">
        <f>CHOOSE(Basis!$E$1,((AJ2327*(J2327*3600/Basis!$E$5)^AK2327*(((MID(C2327,9,3)*10)-144)/1000)*AL2327+AM2327*(J2327*3600/Basis!$E$5)^2)*0.0098)/Basis!$E$10,((AJ2327*(J2327/Basis!$E$5)^AK2327*(((MID(C2327,9,3)*10)-144)/1000)*AL2327+AM2327*(J2327/Basis!$E$5)^2)*0.0098)/Basis!$E$10)</f>
        <v>8.9647496067313245E-2</v>
      </c>
      <c r="M2327" s="85"/>
      <c r="N2327" s="109">
        <v>1.3839999999999999</v>
      </c>
      <c r="O2327" s="68"/>
      <c r="P2327" s="67">
        <v>4831</v>
      </c>
      <c r="Q2327" s="68"/>
      <c r="R2327" s="69"/>
      <c r="S2327" s="69"/>
      <c r="T2327" s="69"/>
      <c r="U2327" s="69"/>
      <c r="V2327" s="69"/>
      <c r="W2327" s="68"/>
      <c r="X2327" s="70"/>
      <c r="Y2327" s="70"/>
      <c r="Z2327" s="70"/>
      <c r="AA2327" s="70"/>
      <c r="AB2327" s="70"/>
      <c r="AC2327" s="68"/>
      <c r="AD2327" s="71"/>
      <c r="AE2327" s="71"/>
      <c r="AF2327" s="71"/>
      <c r="AG2327" s="71"/>
      <c r="AH2327" s="71"/>
      <c r="AI2327" s="68"/>
      <c r="AJ2327" s="214">
        <v>1.2760000000000001E-4</v>
      </c>
      <c r="AK2327" s="214">
        <v>1.7219</v>
      </c>
      <c r="AL2327" s="214">
        <v>2</v>
      </c>
      <c r="AM2327" s="214">
        <v>3.76611E-4</v>
      </c>
      <c r="AN2327" s="68"/>
      <c r="AO2327" s="67"/>
      <c r="AP2327" s="67"/>
      <c r="AQ2327" s="67"/>
      <c r="AR2327" s="67"/>
      <c r="AS2327" s="67"/>
      <c r="AT2327" s="68"/>
      <c r="AU2327" s="49"/>
      <c r="AV2327" s="50"/>
    </row>
    <row r="2328" spans="1:48" ht="12.75" customHeight="1" x14ac:dyDescent="0.25">
      <c r="A2328" s="72" t="s">
        <v>20</v>
      </c>
      <c r="B2328" s="43" t="s">
        <v>2240</v>
      </c>
      <c r="C2328" s="44" t="s">
        <v>2486</v>
      </c>
      <c r="D2328" s="45">
        <f>MROUND(MID($C2328,6,3)/Basis!$E$3,0.5)</f>
        <v>15.5</v>
      </c>
      <c r="E2328" s="45">
        <f>MROUND(MID($C2328,9,3)/Basis!$E$3,0.5)</f>
        <v>86.5</v>
      </c>
      <c r="F2328" s="124" t="s">
        <v>2948</v>
      </c>
      <c r="G2328" s="45">
        <f>ROUND((ROUNDDOWN($F2328/5,0)*5+1.8)/Basis!$E$3,1)</f>
        <v>8.6</v>
      </c>
      <c r="H2328" s="120">
        <f>ROUND($P2328*Basis!$E$2*((TaH-TrH)/LN(1/µ)/Basis!$E$7)^$N2328*$AA$4*Glycol,0)</f>
        <v>10485</v>
      </c>
      <c r="I2328" s="83">
        <f>ROUND(H2328/(MID($C2328,9,3)/Basis!$E$3/Basis!$E$9)*Basis!$E$11,0)</f>
        <v>1453</v>
      </c>
      <c r="J2328" s="123">
        <f>IF(Basis!$E$1=1,ROUND(H2328/((TaH-TrH)*1.163)/3600,3),ROUND(H2328/(500*(TaH-TrH)),2))</f>
        <v>1.05</v>
      </c>
      <c r="K2328" s="84"/>
      <c r="L2328" s="177">
        <f>CHOOSE(Basis!$E$1,((AJ2328*(J2328*3600/Basis!$E$5)^AK2328*(((MID(C2328,9,3)*10)-144)/1000)*AL2328+AM2328*(J2328*3600/Basis!$E$5)^2)*0.0098)/Basis!$E$10,((AJ2328*(J2328/Basis!$E$5)^AK2328*(((MID(C2328,9,3)*10)-144)/1000)*AL2328+AM2328*(J2328/Basis!$E$5)^2)*0.0098)/Basis!$E$10)</f>
        <v>0.13819804767532545</v>
      </c>
      <c r="M2328" s="85"/>
      <c r="N2328" s="110">
        <v>1.4770000000000001</v>
      </c>
      <c r="O2328" s="74"/>
      <c r="P2328" s="73">
        <v>5003</v>
      </c>
      <c r="Q2328" s="74"/>
      <c r="R2328" s="75"/>
      <c r="S2328" s="75"/>
      <c r="T2328" s="75"/>
      <c r="U2328" s="75"/>
      <c r="V2328" s="75"/>
      <c r="W2328" s="74"/>
      <c r="X2328" s="76"/>
      <c r="Y2328" s="76"/>
      <c r="Z2328" s="76"/>
      <c r="AA2328" s="76"/>
      <c r="AB2328" s="76"/>
      <c r="AC2328" s="74"/>
      <c r="AD2328" s="77"/>
      <c r="AE2328" s="77"/>
      <c r="AF2328" s="77"/>
      <c r="AG2328" s="77"/>
      <c r="AH2328" s="77"/>
      <c r="AI2328" s="68"/>
      <c r="AJ2328" s="213">
        <v>1.2760000000000001E-4</v>
      </c>
      <c r="AK2328" s="213">
        <v>1.7219</v>
      </c>
      <c r="AL2328" s="213">
        <v>4</v>
      </c>
      <c r="AM2328" s="213">
        <v>5.1420100000000005E-4</v>
      </c>
      <c r="AN2328" s="74"/>
      <c r="AO2328" s="73"/>
      <c r="AP2328" s="73"/>
      <c r="AQ2328" s="73"/>
      <c r="AR2328" s="73"/>
      <c r="AS2328" s="73"/>
      <c r="AT2328" s="74"/>
      <c r="AU2328" s="47"/>
      <c r="AV2328" s="48"/>
    </row>
    <row r="2329" spans="1:48" ht="12.75" customHeight="1" x14ac:dyDescent="0.25">
      <c r="A2329" s="72" t="s">
        <v>20</v>
      </c>
      <c r="B2329" s="43" t="s">
        <v>2240</v>
      </c>
      <c r="C2329" s="44" t="s">
        <v>2487</v>
      </c>
      <c r="D2329" s="45">
        <f>MROUND(MID($C2329,6,3)/Basis!$E$3,0.5)</f>
        <v>15.5</v>
      </c>
      <c r="E2329" s="45">
        <f>MROUND(MID($C2329,9,3)/Basis!$E$3,0.5)</f>
        <v>94.5</v>
      </c>
      <c r="F2329" s="124" t="s">
        <v>2943</v>
      </c>
      <c r="G2329" s="45">
        <f>ROUND((ROUNDDOWN($F2329/5,0)*5+1.8)/Basis!$E$3,1)</f>
        <v>4.5999999999999996</v>
      </c>
      <c r="H2329" s="120">
        <f>ROUND($P2329*Basis!$E$2*((TaH-TrH)/LN(1/µ)/Basis!$E$7)^$N2329*$AA$4*Glycol,0)</f>
        <v>4978</v>
      </c>
      <c r="I2329" s="83">
        <f>ROUND(H2329/(MID($C2329,9,3)/Basis!$E$3/Basis!$E$9)*Basis!$E$11,0)</f>
        <v>632</v>
      </c>
      <c r="J2329" s="123">
        <f>IF(Basis!$E$1=1,ROUND(H2329/((TaH-TrH)*1.163)/3600,3),ROUND(H2329/(500*(TaH-TrH)),2))</f>
        <v>0.5</v>
      </c>
      <c r="K2329" s="84"/>
      <c r="L2329" s="177">
        <f>CHOOSE(Basis!$E$1,((AJ2329*(J2329*3600/Basis!$E$5)^AK2329*(((MID(C2329,9,3)*10)-144)/1000)*AL2329+AM2329*(J2329*3600/Basis!$E$5)^2)*0.0098)/Basis!$E$10,((AJ2329*(J2329/Basis!$E$5)^AK2329*(((MID(C2329,9,3)*10)-144)/1000)*AL2329+AM2329*(J2329/Basis!$E$5)^2)*0.0098)/Basis!$E$10)</f>
        <v>3.6996741342681681E-2</v>
      </c>
      <c r="M2329" s="85"/>
      <c r="N2329" s="110">
        <v>1.3939999999999999</v>
      </c>
      <c r="O2329" s="74"/>
      <c r="P2329" s="73">
        <v>2311</v>
      </c>
      <c r="Q2329" s="74"/>
      <c r="R2329" s="75"/>
      <c r="S2329" s="75"/>
      <c r="T2329" s="75"/>
      <c r="U2329" s="75"/>
      <c r="V2329" s="75"/>
      <c r="W2329" s="74"/>
      <c r="X2329" s="76"/>
      <c r="Y2329" s="76"/>
      <c r="Z2329" s="76"/>
      <c r="AA2329" s="76"/>
      <c r="AB2329" s="76"/>
      <c r="AC2329" s="74"/>
      <c r="AD2329" s="77"/>
      <c r="AE2329" s="77"/>
      <c r="AF2329" s="77"/>
      <c r="AG2329" s="77"/>
      <c r="AH2329" s="77"/>
      <c r="AI2329" s="68"/>
      <c r="AJ2329" s="213">
        <v>3.9689999999999994E-4</v>
      </c>
      <c r="AK2329" s="213">
        <v>1.7345999999999999</v>
      </c>
      <c r="AL2329" s="213">
        <v>2</v>
      </c>
      <c r="AM2329" s="213">
        <v>3.6734700000000002E-4</v>
      </c>
      <c r="AN2329" s="74"/>
      <c r="AO2329" s="73"/>
      <c r="AP2329" s="73"/>
      <c r="AQ2329" s="73"/>
      <c r="AR2329" s="73"/>
      <c r="AS2329" s="73"/>
      <c r="AT2329" s="74"/>
      <c r="AU2329" s="47"/>
      <c r="AV2329" s="48"/>
    </row>
    <row r="2330" spans="1:48" ht="12.75" customHeight="1" x14ac:dyDescent="0.25">
      <c r="A2330" s="72" t="s">
        <v>20</v>
      </c>
      <c r="B2330" s="43" t="s">
        <v>2240</v>
      </c>
      <c r="C2330" s="44" t="s">
        <v>2488</v>
      </c>
      <c r="D2330" s="45">
        <f>MROUND(MID($C2330,6,3)/Basis!$E$3,0.5)</f>
        <v>15.5</v>
      </c>
      <c r="E2330" s="45">
        <f>MROUND(MID($C2330,9,3)/Basis!$E$3,0.5)</f>
        <v>94.5</v>
      </c>
      <c r="F2330" s="124" t="s">
        <v>2946</v>
      </c>
      <c r="G2330" s="45">
        <f>ROUND((ROUNDDOWN($F2330/5,0)*5+1.8)/Basis!$E$3,1)</f>
        <v>4.5999999999999996</v>
      </c>
      <c r="H2330" s="120">
        <f>ROUND($P2330*Basis!$E$2*((TaH-TrH)/LN(1/µ)/Basis!$E$7)^$N2330*$AA$4*Glycol,0)</f>
        <v>6438</v>
      </c>
      <c r="I2330" s="83">
        <f>ROUND(H2330/(MID($C2330,9,3)/Basis!$E$3/Basis!$E$9)*Basis!$E$11,0)</f>
        <v>818</v>
      </c>
      <c r="J2330" s="123">
        <f>IF(Basis!$E$1=1,ROUND(H2330/((TaH-TrH)*1.163)/3600,3),ROUND(H2330/(500*(TaH-TrH)),2))</f>
        <v>0.64</v>
      </c>
      <c r="K2330" s="84"/>
      <c r="L2330" s="177">
        <f>CHOOSE(Basis!$E$1,((AJ2330*(J2330*3600/Basis!$E$5)^AK2330*(((MID(C2330,9,3)*10)-144)/1000)*AL2330+AM2330*(J2330*3600/Basis!$E$5)^2)*0.0098)/Basis!$E$10,((AJ2330*(J2330/Basis!$E$5)^AK2330*(((MID(C2330,9,3)*10)-144)/1000)*AL2330+AM2330*(J2330/Basis!$E$5)^2)*0.0098)/Basis!$E$10)</f>
        <v>0.10567976148365835</v>
      </c>
      <c r="M2330" s="85"/>
      <c r="N2330" s="109">
        <v>1.4390000000000001</v>
      </c>
      <c r="O2330" s="68"/>
      <c r="P2330" s="67">
        <v>3034</v>
      </c>
      <c r="Q2330" s="68"/>
      <c r="R2330" s="69"/>
      <c r="S2330" s="69"/>
      <c r="T2330" s="69"/>
      <c r="U2330" s="69"/>
      <c r="V2330" s="69"/>
      <c r="W2330" s="68"/>
      <c r="X2330" s="70"/>
      <c r="Y2330" s="70"/>
      <c r="Z2330" s="70"/>
      <c r="AA2330" s="70"/>
      <c r="AB2330" s="70"/>
      <c r="AC2330" s="68"/>
      <c r="AD2330" s="71"/>
      <c r="AE2330" s="71"/>
      <c r="AF2330" s="71"/>
      <c r="AG2330" s="71"/>
      <c r="AH2330" s="71"/>
      <c r="AI2330" s="68"/>
      <c r="AJ2330" s="214">
        <v>3.9689999999999994E-4</v>
      </c>
      <c r="AK2330" s="214">
        <v>1.7345999999999999</v>
      </c>
      <c r="AL2330" s="214">
        <v>4</v>
      </c>
      <c r="AM2330" s="214">
        <v>5.7428799999999995E-4</v>
      </c>
      <c r="AN2330" s="68"/>
      <c r="AO2330" s="67"/>
      <c r="AP2330" s="67"/>
      <c r="AQ2330" s="67"/>
      <c r="AR2330" s="67"/>
      <c r="AS2330" s="67"/>
      <c r="AT2330" s="68"/>
      <c r="AU2330" s="49"/>
      <c r="AV2330" s="50"/>
    </row>
    <row r="2331" spans="1:48" ht="12.75" customHeight="1" x14ac:dyDescent="0.25">
      <c r="A2331" s="72" t="s">
        <v>20</v>
      </c>
      <c r="B2331" s="43" t="s">
        <v>2240</v>
      </c>
      <c r="C2331" s="44" t="s">
        <v>2489</v>
      </c>
      <c r="D2331" s="45">
        <f>MROUND(MID($C2331,6,3)/Basis!$E$3,0.5)</f>
        <v>15.5</v>
      </c>
      <c r="E2331" s="45">
        <f>MROUND(MID($C2331,9,3)/Basis!$E$3,0.5)</f>
        <v>94.5</v>
      </c>
      <c r="F2331" s="124" t="s">
        <v>2944</v>
      </c>
      <c r="G2331" s="45">
        <f>ROUND((ROUNDDOWN($F2331/5,0)*5+1.8)/Basis!$E$3,1)</f>
        <v>6.6</v>
      </c>
      <c r="H2331" s="120">
        <f>ROUND($P2331*Basis!$E$2*((TaH-TrH)/LN(1/µ)/Basis!$E$7)^$N2331*$AA$4*Glycol,0)</f>
        <v>8129</v>
      </c>
      <c r="I2331" s="83">
        <f>ROUND(H2331/(MID($C2331,9,3)/Basis!$E$3/Basis!$E$9)*Basis!$E$11,0)</f>
        <v>1032</v>
      </c>
      <c r="J2331" s="123">
        <f>IF(Basis!$E$1=1,ROUND(H2331/((TaH-TrH)*1.163)/3600,3),ROUND(H2331/(500*(TaH-TrH)),2))</f>
        <v>0.81</v>
      </c>
      <c r="K2331" s="84"/>
      <c r="L2331" s="177">
        <f>CHOOSE(Basis!$E$1,((AJ2331*(J2331*3600/Basis!$E$5)^AK2331*(((MID(C2331,9,3)*10)-144)/1000)*AL2331+AM2331*(J2331*3600/Basis!$E$5)^2)*0.0098)/Basis!$E$10,((AJ2331*(J2331/Basis!$E$5)^AK2331*(((MID(C2331,9,3)*10)-144)/1000)*AL2331+AM2331*(J2331/Basis!$E$5)^2)*0.0098)/Basis!$E$10)</f>
        <v>7.5768380315179462E-2</v>
      </c>
      <c r="M2331" s="85"/>
      <c r="N2331" s="109">
        <v>1.385</v>
      </c>
      <c r="O2331" s="68"/>
      <c r="P2331" s="67">
        <v>3763</v>
      </c>
      <c r="Q2331" s="68"/>
      <c r="R2331" s="69"/>
      <c r="S2331" s="69"/>
      <c r="T2331" s="69"/>
      <c r="U2331" s="69"/>
      <c r="V2331" s="69"/>
      <c r="W2331" s="68"/>
      <c r="X2331" s="70"/>
      <c r="Y2331" s="70"/>
      <c r="Z2331" s="70"/>
      <c r="AA2331" s="70"/>
      <c r="AB2331" s="70"/>
      <c r="AC2331" s="68"/>
      <c r="AD2331" s="71"/>
      <c r="AE2331" s="71"/>
      <c r="AF2331" s="71"/>
      <c r="AG2331" s="71"/>
      <c r="AH2331" s="71"/>
      <c r="AI2331" s="68"/>
      <c r="AJ2331" s="214">
        <v>2.0829999999999999E-4</v>
      </c>
      <c r="AK2331" s="214">
        <v>1.724</v>
      </c>
      <c r="AL2331" s="214">
        <v>2</v>
      </c>
      <c r="AM2331" s="214">
        <v>4.6182900000000003E-4</v>
      </c>
      <c r="AN2331" s="68"/>
      <c r="AO2331" s="67"/>
      <c r="AP2331" s="67"/>
      <c r="AQ2331" s="67"/>
      <c r="AR2331" s="67"/>
      <c r="AS2331" s="67"/>
      <c r="AT2331" s="68"/>
      <c r="AU2331" s="49"/>
      <c r="AV2331" s="50"/>
    </row>
    <row r="2332" spans="1:48" ht="12.75" customHeight="1" x14ac:dyDescent="0.25">
      <c r="A2332" s="72" t="s">
        <v>20</v>
      </c>
      <c r="B2332" s="43" t="s">
        <v>2240</v>
      </c>
      <c r="C2332" s="44" t="s">
        <v>2490</v>
      </c>
      <c r="D2332" s="45">
        <f>MROUND(MID($C2332,6,3)/Basis!$E$3,0.5)</f>
        <v>15.5</v>
      </c>
      <c r="E2332" s="45">
        <f>MROUND(MID($C2332,9,3)/Basis!$E$3,0.5)</f>
        <v>94.5</v>
      </c>
      <c r="F2332" s="124" t="s">
        <v>2947</v>
      </c>
      <c r="G2332" s="45">
        <f>ROUND((ROUNDDOWN($F2332/5,0)*5+1.8)/Basis!$E$3,1)</f>
        <v>6.6</v>
      </c>
      <c r="H2332" s="120">
        <f>ROUND($P2332*Basis!$E$2*((TaH-TrH)/LN(1/µ)/Basis!$E$7)^$N2332*$AA$4*Glycol,0)</f>
        <v>8598</v>
      </c>
      <c r="I2332" s="83">
        <f>ROUND(H2332/(MID($C2332,9,3)/Basis!$E$3/Basis!$E$9)*Basis!$E$11,0)</f>
        <v>1092</v>
      </c>
      <c r="J2332" s="123">
        <f>IF(Basis!$E$1=1,ROUND(H2332/((TaH-TrH)*1.163)/3600,3),ROUND(H2332/(500*(TaH-TrH)),2))</f>
        <v>0.86</v>
      </c>
      <c r="K2332" s="84"/>
      <c r="L2332" s="177">
        <f>CHOOSE(Basis!$E$1,((AJ2332*(J2332*3600/Basis!$E$5)^AK2332*(((MID(C2332,9,3)*10)-144)/1000)*AL2332+AM2332*(J2332*3600/Basis!$E$5)^2)*0.0098)/Basis!$E$10,((AJ2332*(J2332/Basis!$E$5)^AK2332*(((MID(C2332,9,3)*10)-144)/1000)*AL2332+AM2332*(J2332/Basis!$E$5)^2)*0.0098)/Basis!$E$10)</f>
        <v>0.2284350384039629</v>
      </c>
      <c r="M2332" s="85"/>
      <c r="N2332" s="110">
        <v>1.46</v>
      </c>
      <c r="O2332" s="74"/>
      <c r="P2332" s="73">
        <v>4080</v>
      </c>
      <c r="Q2332" s="74"/>
      <c r="R2332" s="75"/>
      <c r="S2332" s="75"/>
      <c r="T2332" s="75"/>
      <c r="U2332" s="75"/>
      <c r="V2332" s="75"/>
      <c r="W2332" s="74"/>
      <c r="X2332" s="76"/>
      <c r="Y2332" s="76"/>
      <c r="Z2332" s="76"/>
      <c r="AA2332" s="76"/>
      <c r="AB2332" s="76"/>
      <c r="AC2332" s="74"/>
      <c r="AD2332" s="77"/>
      <c r="AE2332" s="77"/>
      <c r="AF2332" s="77"/>
      <c r="AG2332" s="77"/>
      <c r="AH2332" s="77"/>
      <c r="AI2332" s="68"/>
      <c r="AJ2332" s="213">
        <v>2.0829999999999999E-4</v>
      </c>
      <c r="AK2332" s="213">
        <v>1.724</v>
      </c>
      <c r="AL2332" s="213">
        <v>4</v>
      </c>
      <c r="AM2332" s="213">
        <v>1.392796E-3</v>
      </c>
      <c r="AN2332" s="74"/>
      <c r="AO2332" s="73"/>
      <c r="AP2332" s="73"/>
      <c r="AQ2332" s="73"/>
      <c r="AR2332" s="73"/>
      <c r="AS2332" s="73"/>
      <c r="AT2332" s="74"/>
      <c r="AU2332" s="47"/>
      <c r="AV2332" s="48"/>
    </row>
    <row r="2333" spans="1:48" ht="12.75" customHeight="1" x14ac:dyDescent="0.25">
      <c r="A2333" s="72" t="s">
        <v>20</v>
      </c>
      <c r="B2333" s="43" t="s">
        <v>2240</v>
      </c>
      <c r="C2333" s="44" t="s">
        <v>2491</v>
      </c>
      <c r="D2333" s="45">
        <f>MROUND(MID($C2333,6,3)/Basis!$E$3,0.5)</f>
        <v>15.5</v>
      </c>
      <c r="E2333" s="45">
        <f>MROUND(MID($C2333,9,3)/Basis!$E$3,0.5)</f>
        <v>94.5</v>
      </c>
      <c r="F2333" s="124" t="s">
        <v>2945</v>
      </c>
      <c r="G2333" s="45">
        <f>ROUND((ROUNDDOWN($F2333/5,0)*5+1.8)/Basis!$E$3,1)</f>
        <v>8.6</v>
      </c>
      <c r="H2333" s="120">
        <f>ROUND($P2333*Basis!$E$2*((TaH-TrH)/LN(1/µ)/Basis!$E$7)^$N2333*$AA$4*Glycol,0)</f>
        <v>11388</v>
      </c>
      <c r="I2333" s="83">
        <f>ROUND(H2333/(MID($C2333,9,3)/Basis!$E$3/Basis!$E$9)*Basis!$E$11,0)</f>
        <v>1446</v>
      </c>
      <c r="J2333" s="123">
        <f>IF(Basis!$E$1=1,ROUND(H2333/((TaH-TrH)*1.163)/3600,3),ROUND(H2333/(500*(TaH-TrH)),2))</f>
        <v>1.1399999999999999</v>
      </c>
      <c r="K2333" s="84"/>
      <c r="L2333" s="177">
        <f>CHOOSE(Basis!$E$1,((AJ2333*(J2333*3600/Basis!$E$5)^AK2333*(((MID(C2333,9,3)*10)-144)/1000)*AL2333+AM2333*(J2333*3600/Basis!$E$5)^2)*0.0098)/Basis!$E$10,((AJ2333*(J2333/Basis!$E$5)^AK2333*(((MID(C2333,9,3)*10)-144)/1000)*AL2333+AM2333*(J2333/Basis!$E$5)^2)*0.0098)/Basis!$E$10)</f>
        <v>0.1094678908485998</v>
      </c>
      <c r="M2333" s="85"/>
      <c r="N2333" s="110">
        <v>1.3839999999999999</v>
      </c>
      <c r="O2333" s="74"/>
      <c r="P2333" s="73">
        <v>5270</v>
      </c>
      <c r="Q2333" s="74"/>
      <c r="R2333" s="75"/>
      <c r="S2333" s="75"/>
      <c r="T2333" s="75"/>
      <c r="U2333" s="75"/>
      <c r="V2333" s="75"/>
      <c r="W2333" s="74"/>
      <c r="X2333" s="76"/>
      <c r="Y2333" s="76"/>
      <c r="Z2333" s="76"/>
      <c r="AA2333" s="76"/>
      <c r="AB2333" s="76"/>
      <c r="AC2333" s="74"/>
      <c r="AD2333" s="77"/>
      <c r="AE2333" s="77"/>
      <c r="AF2333" s="77"/>
      <c r="AG2333" s="77"/>
      <c r="AH2333" s="77"/>
      <c r="AI2333" s="68"/>
      <c r="AJ2333" s="214">
        <v>1.2760000000000001E-4</v>
      </c>
      <c r="AK2333" s="214">
        <v>1.7219</v>
      </c>
      <c r="AL2333" s="214">
        <v>2</v>
      </c>
      <c r="AM2333" s="214">
        <v>3.76611E-4</v>
      </c>
      <c r="AN2333" s="74"/>
      <c r="AO2333" s="73"/>
      <c r="AP2333" s="73"/>
      <c r="AQ2333" s="73"/>
      <c r="AR2333" s="73"/>
      <c r="AS2333" s="73"/>
      <c r="AT2333" s="74"/>
      <c r="AU2333" s="47"/>
      <c r="AV2333" s="48"/>
    </row>
    <row r="2334" spans="1:48" ht="12.75" customHeight="1" x14ac:dyDescent="0.25">
      <c r="A2334" s="72" t="s">
        <v>20</v>
      </c>
      <c r="B2334" s="43" t="s">
        <v>2240</v>
      </c>
      <c r="C2334" s="44" t="s">
        <v>2492</v>
      </c>
      <c r="D2334" s="45">
        <f>MROUND(MID($C2334,6,3)/Basis!$E$3,0.5)</f>
        <v>15.5</v>
      </c>
      <c r="E2334" s="45">
        <f>MROUND(MID($C2334,9,3)/Basis!$E$3,0.5)</f>
        <v>94.5</v>
      </c>
      <c r="F2334" s="124" t="s">
        <v>2948</v>
      </c>
      <c r="G2334" s="45">
        <f>ROUND((ROUNDDOWN($F2334/5,0)*5+1.8)/Basis!$E$3,1)</f>
        <v>8.6</v>
      </c>
      <c r="H2334" s="120">
        <f>ROUND($P2334*Basis!$E$2*((TaH-TrH)/LN(1/µ)/Basis!$E$7)^$N2334*$AA$4*Glycol,0)</f>
        <v>11438</v>
      </c>
      <c r="I2334" s="83">
        <f>ROUND(H2334/(MID($C2334,9,3)/Basis!$E$3/Basis!$E$9)*Basis!$E$11,0)</f>
        <v>1453</v>
      </c>
      <c r="J2334" s="123">
        <f>IF(Basis!$E$1=1,ROUND(H2334/((TaH-TrH)*1.163)/3600,3),ROUND(H2334/(500*(TaH-TrH)),2))</f>
        <v>1.1399999999999999</v>
      </c>
      <c r="K2334" s="84"/>
      <c r="L2334" s="177">
        <f>CHOOSE(Basis!$E$1,((AJ2334*(J2334*3600/Basis!$E$5)^AK2334*(((MID(C2334,9,3)*10)-144)/1000)*AL2334+AM2334*(J2334*3600/Basis!$E$5)^2)*0.0098)/Basis!$E$10,((AJ2334*(J2334/Basis!$E$5)^AK2334*(((MID(C2334,9,3)*10)-144)/1000)*AL2334+AM2334*(J2334/Basis!$E$5)^2)*0.0098)/Basis!$E$10)</f>
        <v>0.16654152068242004</v>
      </c>
      <c r="M2334" s="85"/>
      <c r="N2334" s="109">
        <v>1.4770000000000001</v>
      </c>
      <c r="O2334" s="68"/>
      <c r="P2334" s="67">
        <v>5458</v>
      </c>
      <c r="Q2334" s="68"/>
      <c r="R2334" s="69"/>
      <c r="S2334" s="69"/>
      <c r="T2334" s="69"/>
      <c r="U2334" s="69"/>
      <c r="V2334" s="69"/>
      <c r="W2334" s="68"/>
      <c r="X2334" s="70"/>
      <c r="Y2334" s="70"/>
      <c r="Z2334" s="70"/>
      <c r="AA2334" s="70"/>
      <c r="AB2334" s="70"/>
      <c r="AC2334" s="68"/>
      <c r="AD2334" s="71"/>
      <c r="AE2334" s="71"/>
      <c r="AF2334" s="71"/>
      <c r="AG2334" s="71"/>
      <c r="AH2334" s="71"/>
      <c r="AI2334" s="68"/>
      <c r="AJ2334" s="214">
        <v>1.2760000000000001E-4</v>
      </c>
      <c r="AK2334" s="214">
        <v>1.7219</v>
      </c>
      <c r="AL2334" s="214">
        <v>4</v>
      </c>
      <c r="AM2334" s="214">
        <v>5.1420100000000005E-4</v>
      </c>
      <c r="AN2334" s="68"/>
      <c r="AO2334" s="67"/>
      <c r="AP2334" s="67"/>
      <c r="AQ2334" s="67"/>
      <c r="AR2334" s="67"/>
      <c r="AS2334" s="67"/>
      <c r="AT2334" s="68"/>
      <c r="AU2334" s="49"/>
      <c r="AV2334" s="50"/>
    </row>
    <row r="2335" spans="1:48" ht="12.75" customHeight="1" x14ac:dyDescent="0.25">
      <c r="A2335" s="72" t="s">
        <v>20</v>
      </c>
      <c r="B2335" s="43" t="s">
        <v>2240</v>
      </c>
      <c r="C2335" s="44" t="s">
        <v>2493</v>
      </c>
      <c r="D2335" s="45">
        <f>MROUND(MID($C2335,6,3)/Basis!$E$3,0.5)</f>
        <v>15.5</v>
      </c>
      <c r="E2335" s="45">
        <f>MROUND(MID($C2335,9,3)/Basis!$E$3,0.5)</f>
        <v>102.5</v>
      </c>
      <c r="F2335" s="124" t="s">
        <v>2943</v>
      </c>
      <c r="G2335" s="45">
        <f>ROUND((ROUNDDOWN($F2335/5,0)*5+1.8)/Basis!$E$3,1)</f>
        <v>4.5999999999999996</v>
      </c>
      <c r="H2335" s="120">
        <f>ROUND($P2335*Basis!$E$2*((TaH-TrH)/LN(1/µ)/Basis!$E$7)^$N2335*$AA$4*Glycol,0)</f>
        <v>5393</v>
      </c>
      <c r="I2335" s="83">
        <f>ROUND(H2335/(MID($C2335,9,3)/Basis!$E$3/Basis!$E$9)*Basis!$E$11,0)</f>
        <v>632</v>
      </c>
      <c r="J2335" s="123">
        <f>IF(Basis!$E$1=1,ROUND(H2335/((TaH-TrH)*1.163)/3600,3),ROUND(H2335/(500*(TaH-TrH)),2))</f>
        <v>0.54</v>
      </c>
      <c r="K2335" s="84"/>
      <c r="L2335" s="177">
        <f>CHOOSE(Basis!$E$1,((AJ2335*(J2335*3600/Basis!$E$5)^AK2335*(((MID(C2335,9,3)*10)-144)/1000)*AL2335+AM2335*(J2335*3600/Basis!$E$5)^2)*0.0098)/Basis!$E$10,((AJ2335*(J2335/Basis!$E$5)^AK2335*(((MID(C2335,9,3)*10)-144)/1000)*AL2335+AM2335*(J2335/Basis!$E$5)^2)*0.0098)/Basis!$E$10)</f>
        <v>4.4824731285421207E-2</v>
      </c>
      <c r="M2335" s="85"/>
      <c r="N2335" s="109">
        <v>1.3939999999999999</v>
      </c>
      <c r="O2335" s="68"/>
      <c r="P2335" s="67">
        <v>2504</v>
      </c>
      <c r="Q2335" s="68"/>
      <c r="R2335" s="69"/>
      <c r="S2335" s="69"/>
      <c r="T2335" s="69"/>
      <c r="U2335" s="69"/>
      <c r="V2335" s="69"/>
      <c r="W2335" s="68"/>
      <c r="X2335" s="70"/>
      <c r="Y2335" s="70"/>
      <c r="Z2335" s="70"/>
      <c r="AA2335" s="70"/>
      <c r="AB2335" s="70"/>
      <c r="AC2335" s="68"/>
      <c r="AD2335" s="71"/>
      <c r="AE2335" s="71"/>
      <c r="AF2335" s="71"/>
      <c r="AG2335" s="71"/>
      <c r="AH2335" s="71"/>
      <c r="AI2335" s="68"/>
      <c r="AJ2335" s="214">
        <v>3.9689999999999994E-4</v>
      </c>
      <c r="AK2335" s="214">
        <v>1.7345999999999999</v>
      </c>
      <c r="AL2335" s="214">
        <v>2</v>
      </c>
      <c r="AM2335" s="214">
        <v>3.6734700000000002E-4</v>
      </c>
      <c r="AN2335" s="68"/>
      <c r="AO2335" s="67"/>
      <c r="AP2335" s="67"/>
      <c r="AQ2335" s="67"/>
      <c r="AR2335" s="67"/>
      <c r="AS2335" s="67"/>
      <c r="AT2335" s="68"/>
      <c r="AU2335" s="49"/>
      <c r="AV2335" s="50"/>
    </row>
    <row r="2336" spans="1:48" ht="12.75" customHeight="1" x14ac:dyDescent="0.25">
      <c r="A2336" s="72" t="s">
        <v>20</v>
      </c>
      <c r="B2336" s="43" t="s">
        <v>2240</v>
      </c>
      <c r="C2336" s="44" t="s">
        <v>2494</v>
      </c>
      <c r="D2336" s="45">
        <f>MROUND(MID($C2336,6,3)/Basis!$E$3,0.5)</f>
        <v>15.5</v>
      </c>
      <c r="E2336" s="45">
        <f>MROUND(MID($C2336,9,3)/Basis!$E$3,0.5)</f>
        <v>102.5</v>
      </c>
      <c r="F2336" s="124" t="s">
        <v>2946</v>
      </c>
      <c r="G2336" s="45">
        <f>ROUND((ROUNDDOWN($F2336/5,0)*5+1.8)/Basis!$E$3,1)</f>
        <v>4.5999999999999996</v>
      </c>
      <c r="H2336" s="120">
        <f>ROUND($P2336*Basis!$E$2*((TaH-TrH)/LN(1/µ)/Basis!$E$7)^$N2336*$AA$4*Glycol,0)</f>
        <v>6973</v>
      </c>
      <c r="I2336" s="83">
        <f>ROUND(H2336/(MID($C2336,9,3)/Basis!$E$3/Basis!$E$9)*Basis!$E$11,0)</f>
        <v>817</v>
      </c>
      <c r="J2336" s="123">
        <f>IF(Basis!$E$1=1,ROUND(H2336/((TaH-TrH)*1.163)/3600,3),ROUND(H2336/(500*(TaH-TrH)),2))</f>
        <v>0.7</v>
      </c>
      <c r="K2336" s="84"/>
      <c r="L2336" s="177">
        <f>CHOOSE(Basis!$E$1,((AJ2336*(J2336*3600/Basis!$E$5)^AK2336*(((MID(C2336,9,3)*10)-144)/1000)*AL2336+AM2336*(J2336*3600/Basis!$E$5)^2)*0.0098)/Basis!$E$10,((AJ2336*(J2336/Basis!$E$5)^AK2336*(((MID(C2336,9,3)*10)-144)/1000)*AL2336+AM2336*(J2336/Basis!$E$5)^2)*0.0098)/Basis!$E$10)</f>
        <v>0.13140324472850723</v>
      </c>
      <c r="M2336" s="85"/>
      <c r="N2336" s="110">
        <v>1.4390000000000001</v>
      </c>
      <c r="O2336" s="74"/>
      <c r="P2336" s="73">
        <v>3286</v>
      </c>
      <c r="Q2336" s="74"/>
      <c r="R2336" s="75"/>
      <c r="S2336" s="75"/>
      <c r="T2336" s="75"/>
      <c r="U2336" s="75"/>
      <c r="V2336" s="75"/>
      <c r="W2336" s="74"/>
      <c r="X2336" s="76"/>
      <c r="Y2336" s="76"/>
      <c r="Z2336" s="76"/>
      <c r="AA2336" s="76"/>
      <c r="AB2336" s="76"/>
      <c r="AC2336" s="74"/>
      <c r="AD2336" s="77"/>
      <c r="AE2336" s="77"/>
      <c r="AF2336" s="77"/>
      <c r="AG2336" s="77"/>
      <c r="AH2336" s="77"/>
      <c r="AI2336" s="68"/>
      <c r="AJ2336" s="213">
        <v>3.9689999999999994E-4</v>
      </c>
      <c r="AK2336" s="213">
        <v>1.7345999999999999</v>
      </c>
      <c r="AL2336" s="213">
        <v>4</v>
      </c>
      <c r="AM2336" s="213">
        <v>5.7428799999999995E-4</v>
      </c>
      <c r="AN2336" s="74"/>
      <c r="AO2336" s="73"/>
      <c r="AP2336" s="73"/>
      <c r="AQ2336" s="73"/>
      <c r="AR2336" s="73"/>
      <c r="AS2336" s="73"/>
      <c r="AT2336" s="74"/>
      <c r="AU2336" s="47"/>
      <c r="AV2336" s="48"/>
    </row>
    <row r="2337" spans="1:48" ht="12.75" customHeight="1" x14ac:dyDescent="0.25">
      <c r="A2337" s="72" t="s">
        <v>20</v>
      </c>
      <c r="B2337" s="43" t="s">
        <v>2240</v>
      </c>
      <c r="C2337" s="44" t="s">
        <v>2495</v>
      </c>
      <c r="D2337" s="45">
        <f>MROUND(MID($C2337,6,3)/Basis!$E$3,0.5)</f>
        <v>15.5</v>
      </c>
      <c r="E2337" s="45">
        <f>MROUND(MID($C2337,9,3)/Basis!$E$3,0.5)</f>
        <v>102.5</v>
      </c>
      <c r="F2337" s="124" t="s">
        <v>2944</v>
      </c>
      <c r="G2337" s="45">
        <f>ROUND((ROUNDDOWN($F2337/5,0)*5+1.8)/Basis!$E$3,1)</f>
        <v>6.6</v>
      </c>
      <c r="H2337" s="120">
        <f>ROUND($P2337*Basis!$E$2*((TaH-TrH)/LN(1/µ)/Basis!$E$7)^$N2337*$AA$4*Glycol,0)</f>
        <v>8807</v>
      </c>
      <c r="I2337" s="83">
        <f>ROUND(H2337/(MID($C2337,9,3)/Basis!$E$3/Basis!$E$9)*Basis!$E$11,0)</f>
        <v>1032</v>
      </c>
      <c r="J2337" s="123">
        <f>IF(Basis!$E$1=1,ROUND(H2337/((TaH-TrH)*1.163)/3600,3),ROUND(H2337/(500*(TaH-TrH)),2))</f>
        <v>0.88</v>
      </c>
      <c r="K2337" s="84"/>
      <c r="L2337" s="177">
        <f>CHOOSE(Basis!$E$1,((AJ2337*(J2337*3600/Basis!$E$5)^AK2337*(((MID(C2337,9,3)*10)-144)/1000)*AL2337+AM2337*(J2337*3600/Basis!$E$5)^2)*0.0098)/Basis!$E$10,((AJ2337*(J2337/Basis!$E$5)^AK2337*(((MID(C2337,9,3)*10)-144)/1000)*AL2337+AM2337*(J2337/Basis!$E$5)^2)*0.0098)/Basis!$E$10)</f>
        <v>9.1293727610970876E-2</v>
      </c>
      <c r="M2337" s="85"/>
      <c r="N2337" s="110">
        <v>1.385</v>
      </c>
      <c r="O2337" s="74"/>
      <c r="P2337" s="73">
        <v>4077</v>
      </c>
      <c r="Q2337" s="74"/>
      <c r="R2337" s="75"/>
      <c r="S2337" s="75"/>
      <c r="T2337" s="75"/>
      <c r="U2337" s="75"/>
      <c r="V2337" s="75"/>
      <c r="W2337" s="74"/>
      <c r="X2337" s="76"/>
      <c r="Y2337" s="76"/>
      <c r="Z2337" s="76"/>
      <c r="AA2337" s="76"/>
      <c r="AB2337" s="76"/>
      <c r="AC2337" s="74"/>
      <c r="AD2337" s="77"/>
      <c r="AE2337" s="77"/>
      <c r="AF2337" s="77"/>
      <c r="AG2337" s="77"/>
      <c r="AH2337" s="77"/>
      <c r="AI2337" s="68"/>
      <c r="AJ2337" s="213">
        <v>2.0829999999999999E-4</v>
      </c>
      <c r="AK2337" s="213">
        <v>1.724</v>
      </c>
      <c r="AL2337" s="213">
        <v>2</v>
      </c>
      <c r="AM2337" s="213">
        <v>4.6182900000000003E-4</v>
      </c>
      <c r="AN2337" s="74"/>
      <c r="AO2337" s="73"/>
      <c r="AP2337" s="73"/>
      <c r="AQ2337" s="73"/>
      <c r="AR2337" s="73"/>
      <c r="AS2337" s="73"/>
      <c r="AT2337" s="74"/>
      <c r="AU2337" s="47"/>
      <c r="AV2337" s="48"/>
    </row>
    <row r="2338" spans="1:48" ht="12.75" customHeight="1" x14ac:dyDescent="0.25">
      <c r="A2338" s="72" t="s">
        <v>20</v>
      </c>
      <c r="B2338" s="43" t="s">
        <v>2240</v>
      </c>
      <c r="C2338" s="44" t="s">
        <v>2496</v>
      </c>
      <c r="D2338" s="45">
        <f>MROUND(MID($C2338,6,3)/Basis!$E$3,0.5)</f>
        <v>15.5</v>
      </c>
      <c r="E2338" s="45">
        <f>MROUND(MID($C2338,9,3)/Basis!$E$3,0.5)</f>
        <v>102.5</v>
      </c>
      <c r="F2338" s="124" t="s">
        <v>2947</v>
      </c>
      <c r="G2338" s="45">
        <f>ROUND((ROUNDDOWN($F2338/5,0)*5+1.8)/Basis!$E$3,1)</f>
        <v>6.6</v>
      </c>
      <c r="H2338" s="120">
        <f>ROUND($P2338*Basis!$E$2*((TaH-TrH)/LN(1/µ)/Basis!$E$7)^$N2338*$AA$4*Glycol,0)</f>
        <v>9315</v>
      </c>
      <c r="I2338" s="83">
        <f>ROUND(H2338/(MID($C2338,9,3)/Basis!$E$3/Basis!$E$9)*Basis!$E$11,0)</f>
        <v>1092</v>
      </c>
      <c r="J2338" s="123">
        <f>IF(Basis!$E$1=1,ROUND(H2338/((TaH-TrH)*1.163)/3600,3),ROUND(H2338/(500*(TaH-TrH)),2))</f>
        <v>0.93</v>
      </c>
      <c r="K2338" s="84"/>
      <c r="L2338" s="177">
        <f>CHOOSE(Basis!$E$1,((AJ2338*(J2338*3600/Basis!$E$5)^AK2338*(((MID(C2338,9,3)*10)-144)/1000)*AL2338+AM2338*(J2338*3600/Basis!$E$5)^2)*0.0098)/Basis!$E$10,((AJ2338*(J2338/Basis!$E$5)^AK2338*(((MID(C2338,9,3)*10)-144)/1000)*AL2338+AM2338*(J2338/Basis!$E$5)^2)*0.0098)/Basis!$E$10)</f>
        <v>0.27131744802547247</v>
      </c>
      <c r="M2338" s="85"/>
      <c r="N2338" s="109">
        <v>1.46</v>
      </c>
      <c r="O2338" s="68"/>
      <c r="P2338" s="67">
        <v>4420</v>
      </c>
      <c r="Q2338" s="68"/>
      <c r="R2338" s="69"/>
      <c r="S2338" s="69"/>
      <c r="T2338" s="69"/>
      <c r="U2338" s="69"/>
      <c r="V2338" s="69"/>
      <c r="W2338" s="68"/>
      <c r="X2338" s="70"/>
      <c r="Y2338" s="70"/>
      <c r="Z2338" s="70"/>
      <c r="AA2338" s="70"/>
      <c r="AB2338" s="70"/>
      <c r="AC2338" s="68"/>
      <c r="AD2338" s="71"/>
      <c r="AE2338" s="71"/>
      <c r="AF2338" s="71"/>
      <c r="AG2338" s="71"/>
      <c r="AH2338" s="71"/>
      <c r="AI2338" s="68"/>
      <c r="AJ2338" s="214">
        <v>2.0829999999999999E-4</v>
      </c>
      <c r="AK2338" s="214">
        <v>1.724</v>
      </c>
      <c r="AL2338" s="214">
        <v>4</v>
      </c>
      <c r="AM2338" s="214">
        <v>1.392796E-3</v>
      </c>
      <c r="AN2338" s="68"/>
      <c r="AO2338" s="67"/>
      <c r="AP2338" s="67"/>
      <c r="AQ2338" s="67"/>
      <c r="AR2338" s="67"/>
      <c r="AS2338" s="67"/>
      <c r="AT2338" s="68"/>
      <c r="AU2338" s="49"/>
      <c r="AV2338" s="50"/>
    </row>
    <row r="2339" spans="1:48" ht="12.75" customHeight="1" x14ac:dyDescent="0.25">
      <c r="A2339" s="72" t="s">
        <v>20</v>
      </c>
      <c r="B2339" s="43" t="s">
        <v>2240</v>
      </c>
      <c r="C2339" s="44" t="s">
        <v>2497</v>
      </c>
      <c r="D2339" s="45">
        <f>MROUND(MID($C2339,6,3)/Basis!$E$3,0.5)</f>
        <v>15.5</v>
      </c>
      <c r="E2339" s="45">
        <f>MROUND(MID($C2339,9,3)/Basis!$E$3,0.5)</f>
        <v>102.5</v>
      </c>
      <c r="F2339" s="124" t="s">
        <v>2945</v>
      </c>
      <c r="G2339" s="45">
        <f>ROUND((ROUNDDOWN($F2339/5,0)*5+1.8)/Basis!$E$3,1)</f>
        <v>8.6</v>
      </c>
      <c r="H2339" s="120">
        <f>ROUND($P2339*Basis!$E$2*((TaH-TrH)/LN(1/µ)/Basis!$E$7)^$N2339*$AA$4*Glycol,0)</f>
        <v>12339</v>
      </c>
      <c r="I2339" s="83">
        <f>ROUND(H2339/(MID($C2339,9,3)/Basis!$E$3/Basis!$E$9)*Basis!$E$11,0)</f>
        <v>1447</v>
      </c>
      <c r="J2339" s="123">
        <f>IF(Basis!$E$1=1,ROUND(H2339/((TaH-TrH)*1.163)/3600,3),ROUND(H2339/(500*(TaH-TrH)),2))</f>
        <v>1.23</v>
      </c>
      <c r="K2339" s="84"/>
      <c r="L2339" s="177">
        <f>CHOOSE(Basis!$E$1,((AJ2339*(J2339*3600/Basis!$E$5)^AK2339*(((MID(C2339,9,3)*10)-144)/1000)*AL2339+AM2339*(J2339*3600/Basis!$E$5)^2)*0.0098)/Basis!$E$10,((AJ2339*(J2339/Basis!$E$5)^AK2339*(((MID(C2339,9,3)*10)-144)/1000)*AL2339+AM2339*(J2339/Basis!$E$5)^2)*0.0098)/Basis!$E$10)</f>
        <v>0.12949891149172119</v>
      </c>
      <c r="M2339" s="85"/>
      <c r="N2339" s="109">
        <v>1.3839999999999999</v>
      </c>
      <c r="O2339" s="68"/>
      <c r="P2339" s="67">
        <v>5710</v>
      </c>
      <c r="Q2339" s="68"/>
      <c r="R2339" s="69"/>
      <c r="S2339" s="69"/>
      <c r="T2339" s="69"/>
      <c r="U2339" s="69"/>
      <c r="V2339" s="69"/>
      <c r="W2339" s="68"/>
      <c r="X2339" s="70"/>
      <c r="Y2339" s="70"/>
      <c r="Z2339" s="70"/>
      <c r="AA2339" s="70"/>
      <c r="AB2339" s="70"/>
      <c r="AC2339" s="68"/>
      <c r="AD2339" s="71"/>
      <c r="AE2339" s="71"/>
      <c r="AF2339" s="71"/>
      <c r="AG2339" s="71"/>
      <c r="AH2339" s="71"/>
      <c r="AI2339" s="68"/>
      <c r="AJ2339" s="214">
        <v>1.2760000000000001E-4</v>
      </c>
      <c r="AK2339" s="214">
        <v>1.7219</v>
      </c>
      <c r="AL2339" s="214">
        <v>2</v>
      </c>
      <c r="AM2339" s="214">
        <v>3.76611E-4</v>
      </c>
      <c r="AN2339" s="68"/>
      <c r="AO2339" s="67"/>
      <c r="AP2339" s="67"/>
      <c r="AQ2339" s="67"/>
      <c r="AR2339" s="67"/>
      <c r="AS2339" s="67"/>
      <c r="AT2339" s="68"/>
      <c r="AU2339" s="49"/>
      <c r="AV2339" s="50"/>
    </row>
    <row r="2340" spans="1:48" ht="12.75" customHeight="1" x14ac:dyDescent="0.25">
      <c r="A2340" s="72" t="s">
        <v>20</v>
      </c>
      <c r="B2340" s="43" t="s">
        <v>2240</v>
      </c>
      <c r="C2340" s="44" t="s">
        <v>2498</v>
      </c>
      <c r="D2340" s="45">
        <f>MROUND(MID($C2340,6,3)/Basis!$E$3,0.5)</f>
        <v>15.5</v>
      </c>
      <c r="E2340" s="45">
        <f>MROUND(MID($C2340,9,3)/Basis!$E$3,0.5)</f>
        <v>102.5</v>
      </c>
      <c r="F2340" s="124" t="s">
        <v>2948</v>
      </c>
      <c r="G2340" s="45">
        <f>ROUND((ROUNDDOWN($F2340/5,0)*5+1.8)/Basis!$E$3,1)</f>
        <v>8.6</v>
      </c>
      <c r="H2340" s="120">
        <f>ROUND($P2340*Basis!$E$2*((TaH-TrH)/LN(1/µ)/Basis!$E$7)^$N2340*$AA$4*Glycol,0)</f>
        <v>12389</v>
      </c>
      <c r="I2340" s="83">
        <f>ROUND(H2340/(MID($C2340,9,3)/Basis!$E$3/Basis!$E$9)*Basis!$E$11,0)</f>
        <v>1452</v>
      </c>
      <c r="J2340" s="123">
        <f>IF(Basis!$E$1=1,ROUND(H2340/((TaH-TrH)*1.163)/3600,3),ROUND(H2340/(500*(TaH-TrH)),2))</f>
        <v>1.24</v>
      </c>
      <c r="K2340" s="84"/>
      <c r="L2340" s="177">
        <f>CHOOSE(Basis!$E$1,((AJ2340*(J2340*3600/Basis!$E$5)^AK2340*(((MID(C2340,9,3)*10)-144)/1000)*AL2340+AM2340*(J2340*3600/Basis!$E$5)^2)*0.0098)/Basis!$E$10,((AJ2340*(J2340/Basis!$E$5)^AK2340*(((MID(C2340,9,3)*10)-144)/1000)*AL2340+AM2340*(J2340/Basis!$E$5)^2)*0.0098)/Basis!$E$10)</f>
        <v>0.20108421215580527</v>
      </c>
      <c r="M2340" s="85"/>
      <c r="N2340" s="110">
        <v>1.4770000000000001</v>
      </c>
      <c r="O2340" s="74"/>
      <c r="P2340" s="73">
        <v>5912</v>
      </c>
      <c r="Q2340" s="74"/>
      <c r="R2340" s="75"/>
      <c r="S2340" s="75"/>
      <c r="T2340" s="75"/>
      <c r="U2340" s="75"/>
      <c r="V2340" s="75"/>
      <c r="W2340" s="74"/>
      <c r="X2340" s="76"/>
      <c r="Y2340" s="76"/>
      <c r="Z2340" s="76"/>
      <c r="AA2340" s="76"/>
      <c r="AB2340" s="76"/>
      <c r="AC2340" s="74"/>
      <c r="AD2340" s="77"/>
      <c r="AE2340" s="77"/>
      <c r="AF2340" s="77"/>
      <c r="AG2340" s="77"/>
      <c r="AH2340" s="77"/>
      <c r="AI2340" s="68"/>
      <c r="AJ2340" s="213">
        <v>1.2760000000000001E-4</v>
      </c>
      <c r="AK2340" s="213">
        <v>1.7219</v>
      </c>
      <c r="AL2340" s="213">
        <v>4</v>
      </c>
      <c r="AM2340" s="213">
        <v>5.1420100000000005E-4</v>
      </c>
      <c r="AN2340" s="74"/>
      <c r="AO2340" s="73"/>
      <c r="AP2340" s="73"/>
      <c r="AQ2340" s="73"/>
      <c r="AR2340" s="73"/>
      <c r="AS2340" s="73"/>
      <c r="AT2340" s="74"/>
      <c r="AU2340" s="47"/>
      <c r="AV2340" s="48"/>
    </row>
    <row r="2341" spans="1:48" ht="12.75" customHeight="1" x14ac:dyDescent="0.25">
      <c r="A2341" s="72" t="s">
        <v>20</v>
      </c>
      <c r="B2341" s="43" t="s">
        <v>2240</v>
      </c>
      <c r="C2341" s="44" t="s">
        <v>2499</v>
      </c>
      <c r="D2341" s="45">
        <f>MROUND(MID($C2341,6,3)/Basis!$E$3,0.5)</f>
        <v>15.5</v>
      </c>
      <c r="E2341" s="45">
        <f>MROUND(MID($C2341,9,3)/Basis!$E$3,0.5)</f>
        <v>110</v>
      </c>
      <c r="F2341" s="124" t="s">
        <v>2943</v>
      </c>
      <c r="G2341" s="45">
        <f>ROUND((ROUNDDOWN($F2341/5,0)*5+1.8)/Basis!$E$3,1)</f>
        <v>4.5999999999999996</v>
      </c>
      <c r="H2341" s="120">
        <f>ROUND($P2341*Basis!$E$2*((TaH-TrH)/LN(1/µ)/Basis!$E$7)^$N2341*$AA$4*Glycol,0)</f>
        <v>5807</v>
      </c>
      <c r="I2341" s="83">
        <f>ROUND(H2341/(MID($C2341,9,3)/Basis!$E$3/Basis!$E$9)*Basis!$E$11,0)</f>
        <v>632</v>
      </c>
      <c r="J2341" s="123">
        <f>IF(Basis!$E$1=1,ROUND(H2341/((TaH-TrH)*1.163)/3600,3),ROUND(H2341/(500*(TaH-TrH)),2))</f>
        <v>0.57999999999999996</v>
      </c>
      <c r="K2341" s="84"/>
      <c r="L2341" s="177">
        <f>CHOOSE(Basis!$E$1,((AJ2341*(J2341*3600/Basis!$E$5)^AK2341*(((MID(C2341,9,3)*10)-144)/1000)*AL2341+AM2341*(J2341*3600/Basis!$E$5)^2)*0.0098)/Basis!$E$10,((AJ2341*(J2341/Basis!$E$5)^AK2341*(((MID(C2341,9,3)*10)-144)/1000)*AL2341+AM2341*(J2341/Basis!$E$5)^2)*0.0098)/Basis!$E$10)</f>
        <v>5.3597933422008824E-2</v>
      </c>
      <c r="M2341" s="85"/>
      <c r="N2341" s="110">
        <v>1.3939999999999999</v>
      </c>
      <c r="O2341" s="74"/>
      <c r="P2341" s="73">
        <v>2696</v>
      </c>
      <c r="Q2341" s="74"/>
      <c r="R2341" s="75"/>
      <c r="S2341" s="75"/>
      <c r="T2341" s="75"/>
      <c r="U2341" s="75"/>
      <c r="V2341" s="75"/>
      <c r="W2341" s="74"/>
      <c r="X2341" s="76"/>
      <c r="Y2341" s="76"/>
      <c r="Z2341" s="76"/>
      <c r="AA2341" s="76"/>
      <c r="AB2341" s="76"/>
      <c r="AC2341" s="74"/>
      <c r="AD2341" s="77"/>
      <c r="AE2341" s="77"/>
      <c r="AF2341" s="77"/>
      <c r="AG2341" s="77"/>
      <c r="AH2341" s="77"/>
      <c r="AI2341" s="68"/>
      <c r="AJ2341" s="213">
        <v>3.9689999999999994E-4</v>
      </c>
      <c r="AK2341" s="213">
        <v>1.7345999999999999</v>
      </c>
      <c r="AL2341" s="213">
        <v>2</v>
      </c>
      <c r="AM2341" s="213">
        <v>3.6734700000000002E-4</v>
      </c>
      <c r="AN2341" s="74"/>
      <c r="AO2341" s="73"/>
      <c r="AP2341" s="73"/>
      <c r="AQ2341" s="73"/>
      <c r="AR2341" s="73"/>
      <c r="AS2341" s="73"/>
      <c r="AT2341" s="74"/>
      <c r="AU2341" s="47"/>
      <c r="AV2341" s="48"/>
    </row>
    <row r="2342" spans="1:48" ht="12.75" customHeight="1" x14ac:dyDescent="0.25">
      <c r="A2342" s="72" t="s">
        <v>20</v>
      </c>
      <c r="B2342" s="43" t="s">
        <v>2240</v>
      </c>
      <c r="C2342" s="44" t="s">
        <v>2500</v>
      </c>
      <c r="D2342" s="45">
        <f>MROUND(MID($C2342,6,3)/Basis!$E$3,0.5)</f>
        <v>15.5</v>
      </c>
      <c r="E2342" s="45">
        <f>MROUND(MID($C2342,9,3)/Basis!$E$3,0.5)</f>
        <v>110</v>
      </c>
      <c r="F2342" s="124" t="s">
        <v>2946</v>
      </c>
      <c r="G2342" s="45">
        <f>ROUND((ROUNDDOWN($F2342/5,0)*5+1.8)/Basis!$E$3,1)</f>
        <v>4.5999999999999996</v>
      </c>
      <c r="H2342" s="120">
        <f>ROUND($P2342*Basis!$E$2*((TaH-TrH)/LN(1/µ)/Basis!$E$7)^$N2342*$AA$4*Glycol,0)</f>
        <v>7510</v>
      </c>
      <c r="I2342" s="83">
        <f>ROUND(H2342/(MID($C2342,9,3)/Basis!$E$3/Basis!$E$9)*Basis!$E$11,0)</f>
        <v>818</v>
      </c>
      <c r="J2342" s="123">
        <f>IF(Basis!$E$1=1,ROUND(H2342/((TaH-TrH)*1.163)/3600,3),ROUND(H2342/(500*(TaH-TrH)),2))</f>
        <v>0.75</v>
      </c>
      <c r="K2342" s="84"/>
      <c r="L2342" s="177">
        <f>CHOOSE(Basis!$E$1,((AJ2342*(J2342*3600/Basis!$E$5)^AK2342*(((MID(C2342,9,3)*10)-144)/1000)*AL2342+AM2342*(J2342*3600/Basis!$E$5)^2)*0.0098)/Basis!$E$10,((AJ2342*(J2342/Basis!$E$5)^AK2342*(((MID(C2342,9,3)*10)-144)/1000)*AL2342+AM2342*(J2342/Basis!$E$5)^2)*0.0098)/Basis!$E$10)</f>
        <v>0.15680165987050948</v>
      </c>
      <c r="M2342" s="85"/>
      <c r="N2342" s="109">
        <v>1.4390000000000001</v>
      </c>
      <c r="O2342" s="68"/>
      <c r="P2342" s="67">
        <v>3539</v>
      </c>
      <c r="Q2342" s="68"/>
      <c r="R2342" s="69"/>
      <c r="S2342" s="69"/>
      <c r="T2342" s="69"/>
      <c r="U2342" s="69"/>
      <c r="V2342" s="69"/>
      <c r="W2342" s="68"/>
      <c r="X2342" s="70"/>
      <c r="Y2342" s="70"/>
      <c r="Z2342" s="70"/>
      <c r="AA2342" s="70"/>
      <c r="AB2342" s="70"/>
      <c r="AC2342" s="68"/>
      <c r="AD2342" s="71"/>
      <c r="AE2342" s="71"/>
      <c r="AF2342" s="71"/>
      <c r="AG2342" s="71"/>
      <c r="AH2342" s="71"/>
      <c r="AI2342" s="68"/>
      <c r="AJ2342" s="214">
        <v>3.9689999999999994E-4</v>
      </c>
      <c r="AK2342" s="214">
        <v>1.7345999999999999</v>
      </c>
      <c r="AL2342" s="214">
        <v>4</v>
      </c>
      <c r="AM2342" s="214">
        <v>5.7428799999999995E-4</v>
      </c>
      <c r="AN2342" s="68"/>
      <c r="AO2342" s="67"/>
      <c r="AP2342" s="67"/>
      <c r="AQ2342" s="67"/>
      <c r="AR2342" s="67"/>
      <c r="AS2342" s="67"/>
      <c r="AT2342" s="68"/>
      <c r="AU2342" s="49"/>
      <c r="AV2342" s="50"/>
    </row>
    <row r="2343" spans="1:48" ht="12.75" customHeight="1" x14ac:dyDescent="0.25">
      <c r="A2343" s="72" t="s">
        <v>20</v>
      </c>
      <c r="B2343" s="43" t="s">
        <v>2240</v>
      </c>
      <c r="C2343" s="44" t="s">
        <v>2501</v>
      </c>
      <c r="D2343" s="45">
        <f>MROUND(MID($C2343,6,3)/Basis!$E$3,0.5)</f>
        <v>15.5</v>
      </c>
      <c r="E2343" s="45">
        <f>MROUND(MID($C2343,9,3)/Basis!$E$3,0.5)</f>
        <v>110</v>
      </c>
      <c r="F2343" s="124" t="s">
        <v>2944</v>
      </c>
      <c r="G2343" s="45">
        <f>ROUND((ROUNDDOWN($F2343/5,0)*5+1.8)/Basis!$E$3,1)</f>
        <v>6.6</v>
      </c>
      <c r="H2343" s="120">
        <f>ROUND($P2343*Basis!$E$2*((TaH-TrH)/LN(1/µ)/Basis!$E$7)^$N2343*$AA$4*Glycol,0)</f>
        <v>9484</v>
      </c>
      <c r="I2343" s="83">
        <f>ROUND(H2343/(MID($C2343,9,3)/Basis!$E$3/Basis!$E$9)*Basis!$E$11,0)</f>
        <v>1032</v>
      </c>
      <c r="J2343" s="123">
        <f>IF(Basis!$E$1=1,ROUND(H2343/((TaH-TrH)*1.163)/3600,3),ROUND(H2343/(500*(TaH-TrH)),2))</f>
        <v>0.95</v>
      </c>
      <c r="K2343" s="84"/>
      <c r="L2343" s="177">
        <f>CHOOSE(Basis!$E$1,((AJ2343*(J2343*3600/Basis!$E$5)^AK2343*(((MID(C2343,9,3)*10)-144)/1000)*AL2343+AM2343*(J2343*3600/Basis!$E$5)^2)*0.0098)/Basis!$E$10,((AJ2343*(J2343/Basis!$E$5)^AK2343*(((MID(C2343,9,3)*10)-144)/1000)*AL2343+AM2343*(J2343/Basis!$E$5)^2)*0.0098)/Basis!$E$10)</f>
        <v>0.10851868508808526</v>
      </c>
      <c r="M2343" s="85"/>
      <c r="N2343" s="109">
        <v>1.385</v>
      </c>
      <c r="O2343" s="68"/>
      <c r="P2343" s="67">
        <v>4390</v>
      </c>
      <c r="Q2343" s="68"/>
      <c r="R2343" s="69"/>
      <c r="S2343" s="69"/>
      <c r="T2343" s="69"/>
      <c r="U2343" s="69"/>
      <c r="V2343" s="69"/>
      <c r="W2343" s="68"/>
      <c r="X2343" s="70"/>
      <c r="Y2343" s="70"/>
      <c r="Z2343" s="70"/>
      <c r="AA2343" s="70"/>
      <c r="AB2343" s="70"/>
      <c r="AC2343" s="68"/>
      <c r="AD2343" s="71"/>
      <c r="AE2343" s="71"/>
      <c r="AF2343" s="71"/>
      <c r="AG2343" s="71"/>
      <c r="AH2343" s="71"/>
      <c r="AI2343" s="68"/>
      <c r="AJ2343" s="214">
        <v>2.0829999999999999E-4</v>
      </c>
      <c r="AK2343" s="214">
        <v>1.724</v>
      </c>
      <c r="AL2343" s="214">
        <v>2</v>
      </c>
      <c r="AM2343" s="214">
        <v>4.6182900000000003E-4</v>
      </c>
      <c r="AN2343" s="68"/>
      <c r="AO2343" s="67"/>
      <c r="AP2343" s="67"/>
      <c r="AQ2343" s="67"/>
      <c r="AR2343" s="67"/>
      <c r="AS2343" s="67"/>
      <c r="AT2343" s="68"/>
      <c r="AU2343" s="49"/>
      <c r="AV2343" s="50"/>
    </row>
    <row r="2344" spans="1:48" ht="12.75" customHeight="1" x14ac:dyDescent="0.25">
      <c r="A2344" s="72" t="s">
        <v>20</v>
      </c>
      <c r="B2344" s="43" t="s">
        <v>2240</v>
      </c>
      <c r="C2344" s="44" t="s">
        <v>2502</v>
      </c>
      <c r="D2344" s="45">
        <f>MROUND(MID($C2344,6,3)/Basis!$E$3,0.5)</f>
        <v>15.5</v>
      </c>
      <c r="E2344" s="45">
        <f>MROUND(MID($C2344,9,3)/Basis!$E$3,0.5)</f>
        <v>110</v>
      </c>
      <c r="F2344" s="124" t="s">
        <v>2947</v>
      </c>
      <c r="G2344" s="45">
        <f>ROUND((ROUNDDOWN($F2344/5,0)*5+1.8)/Basis!$E$3,1)</f>
        <v>6.6</v>
      </c>
      <c r="H2344" s="120">
        <f>ROUND($P2344*Basis!$E$2*((TaH-TrH)/LN(1/µ)/Basis!$E$7)^$N2344*$AA$4*Glycol,0)</f>
        <v>10031</v>
      </c>
      <c r="I2344" s="83">
        <f>ROUND(H2344/(MID($C2344,9,3)/Basis!$E$3/Basis!$E$9)*Basis!$E$11,0)</f>
        <v>1092</v>
      </c>
      <c r="J2344" s="123">
        <f>IF(Basis!$E$1=1,ROUND(H2344/((TaH-TrH)*1.163)/3600,3),ROUND(H2344/(500*(TaH-TrH)),2))</f>
        <v>1</v>
      </c>
      <c r="K2344" s="84"/>
      <c r="L2344" s="177">
        <f>CHOOSE(Basis!$E$1,((AJ2344*(J2344*3600/Basis!$E$5)^AK2344*(((MID(C2344,9,3)*10)-144)/1000)*AL2344+AM2344*(J2344*3600/Basis!$E$5)^2)*0.0098)/Basis!$E$10,((AJ2344*(J2344/Basis!$E$5)^AK2344*(((MID(C2344,9,3)*10)-144)/1000)*AL2344+AM2344*(J2344/Basis!$E$5)^2)*0.0098)/Basis!$E$10)</f>
        <v>0.31842362583066558</v>
      </c>
      <c r="M2344" s="85"/>
      <c r="N2344" s="110">
        <v>1.46</v>
      </c>
      <c r="O2344" s="74"/>
      <c r="P2344" s="73">
        <v>4760</v>
      </c>
      <c r="Q2344" s="74"/>
      <c r="R2344" s="75"/>
      <c r="S2344" s="75"/>
      <c r="T2344" s="75"/>
      <c r="U2344" s="75"/>
      <c r="V2344" s="75"/>
      <c r="W2344" s="74"/>
      <c r="X2344" s="76"/>
      <c r="Y2344" s="76"/>
      <c r="Z2344" s="76"/>
      <c r="AA2344" s="76"/>
      <c r="AB2344" s="76"/>
      <c r="AC2344" s="74"/>
      <c r="AD2344" s="77"/>
      <c r="AE2344" s="77"/>
      <c r="AF2344" s="77"/>
      <c r="AG2344" s="77"/>
      <c r="AH2344" s="77"/>
      <c r="AI2344" s="68"/>
      <c r="AJ2344" s="213">
        <v>2.0829999999999999E-4</v>
      </c>
      <c r="AK2344" s="213">
        <v>1.724</v>
      </c>
      <c r="AL2344" s="213">
        <v>4</v>
      </c>
      <c r="AM2344" s="213">
        <v>1.392796E-3</v>
      </c>
      <c r="AN2344" s="74"/>
      <c r="AO2344" s="73"/>
      <c r="AP2344" s="73"/>
      <c r="AQ2344" s="73"/>
      <c r="AR2344" s="73"/>
      <c r="AS2344" s="73"/>
      <c r="AT2344" s="74"/>
      <c r="AU2344" s="47"/>
      <c r="AV2344" s="48"/>
    </row>
    <row r="2345" spans="1:48" ht="12.75" customHeight="1" x14ac:dyDescent="0.25">
      <c r="A2345" s="72" t="s">
        <v>20</v>
      </c>
      <c r="B2345" s="43" t="s">
        <v>2240</v>
      </c>
      <c r="C2345" s="44" t="s">
        <v>2503</v>
      </c>
      <c r="D2345" s="45">
        <f>MROUND(MID($C2345,6,3)/Basis!$E$3,0.5)</f>
        <v>15.5</v>
      </c>
      <c r="E2345" s="45">
        <f>MROUND(MID($C2345,9,3)/Basis!$E$3,0.5)</f>
        <v>110</v>
      </c>
      <c r="F2345" s="124" t="s">
        <v>2945</v>
      </c>
      <c r="G2345" s="45">
        <f>ROUND((ROUNDDOWN($F2345/5,0)*5+1.8)/Basis!$E$3,1)</f>
        <v>8.6</v>
      </c>
      <c r="H2345" s="120">
        <f>ROUND($P2345*Basis!$E$2*((TaH-TrH)/LN(1/µ)/Basis!$E$7)^$N2345*$AA$4*Glycol,0)</f>
        <v>13288</v>
      </c>
      <c r="I2345" s="83">
        <f>ROUND(H2345/(MID($C2345,9,3)/Basis!$E$3/Basis!$E$9)*Basis!$E$11,0)</f>
        <v>1446</v>
      </c>
      <c r="J2345" s="123">
        <f>IF(Basis!$E$1=1,ROUND(H2345/((TaH-TrH)*1.163)/3600,3),ROUND(H2345/(500*(TaH-TrH)),2))</f>
        <v>1.33</v>
      </c>
      <c r="K2345" s="84"/>
      <c r="L2345" s="177">
        <f>CHOOSE(Basis!$E$1,((AJ2345*(J2345*3600/Basis!$E$5)^AK2345*(((MID(C2345,9,3)*10)-144)/1000)*AL2345+AM2345*(J2345*3600/Basis!$E$5)^2)*0.0098)/Basis!$E$10,((AJ2345*(J2345/Basis!$E$5)^AK2345*(((MID(C2345,9,3)*10)-144)/1000)*AL2345+AM2345*(J2345/Basis!$E$5)^2)*0.0098)/Basis!$E$10)</f>
        <v>0.15368325842234151</v>
      </c>
      <c r="M2345" s="85"/>
      <c r="N2345" s="110">
        <v>1.3839999999999999</v>
      </c>
      <c r="O2345" s="74"/>
      <c r="P2345" s="73">
        <v>6149</v>
      </c>
      <c r="Q2345" s="74"/>
      <c r="R2345" s="75"/>
      <c r="S2345" s="75"/>
      <c r="T2345" s="75"/>
      <c r="U2345" s="75"/>
      <c r="V2345" s="75"/>
      <c r="W2345" s="74"/>
      <c r="X2345" s="76"/>
      <c r="Y2345" s="76"/>
      <c r="Z2345" s="76"/>
      <c r="AA2345" s="76"/>
      <c r="AB2345" s="76"/>
      <c r="AC2345" s="74"/>
      <c r="AD2345" s="77"/>
      <c r="AE2345" s="77"/>
      <c r="AF2345" s="77"/>
      <c r="AG2345" s="77"/>
      <c r="AH2345" s="77"/>
      <c r="AI2345" s="68"/>
      <c r="AJ2345" s="214">
        <v>1.2760000000000001E-4</v>
      </c>
      <c r="AK2345" s="214">
        <v>1.7219</v>
      </c>
      <c r="AL2345" s="214">
        <v>2</v>
      </c>
      <c r="AM2345" s="214">
        <v>3.76611E-4</v>
      </c>
      <c r="AN2345" s="74"/>
      <c r="AO2345" s="73"/>
      <c r="AP2345" s="73"/>
      <c r="AQ2345" s="73"/>
      <c r="AR2345" s="73"/>
      <c r="AS2345" s="73"/>
      <c r="AT2345" s="74"/>
      <c r="AU2345" s="47"/>
      <c r="AV2345" s="48"/>
    </row>
    <row r="2346" spans="1:48" ht="12.75" customHeight="1" x14ac:dyDescent="0.25">
      <c r="A2346" s="72" t="s">
        <v>20</v>
      </c>
      <c r="B2346" s="43" t="s">
        <v>2240</v>
      </c>
      <c r="C2346" s="44" t="s">
        <v>2504</v>
      </c>
      <c r="D2346" s="45">
        <f>MROUND(MID($C2346,6,3)/Basis!$E$3,0.5)</f>
        <v>15.5</v>
      </c>
      <c r="E2346" s="45">
        <f>MROUND(MID($C2346,9,3)/Basis!$E$3,0.5)</f>
        <v>110</v>
      </c>
      <c r="F2346" s="124" t="s">
        <v>2948</v>
      </c>
      <c r="G2346" s="45">
        <f>ROUND((ROUNDDOWN($F2346/5,0)*5+1.8)/Basis!$E$3,1)</f>
        <v>8.6</v>
      </c>
      <c r="H2346" s="120">
        <f>ROUND($P2346*Basis!$E$2*((TaH-TrH)/LN(1/µ)/Basis!$E$7)^$N2346*$AA$4*Glycol,0)</f>
        <v>13343</v>
      </c>
      <c r="I2346" s="83">
        <f>ROUND(H2346/(MID($C2346,9,3)/Basis!$E$3/Basis!$E$9)*Basis!$E$11,0)</f>
        <v>1452</v>
      </c>
      <c r="J2346" s="123">
        <f>IF(Basis!$E$1=1,ROUND(H2346/((TaH-TrH)*1.163)/3600,3),ROUND(H2346/(500*(TaH-TrH)),2))</f>
        <v>1.33</v>
      </c>
      <c r="K2346" s="84"/>
      <c r="L2346" s="177">
        <f>CHOOSE(Basis!$E$1,((AJ2346*(J2346*3600/Basis!$E$5)^AK2346*(((MID(C2346,9,3)*10)-144)/1000)*AL2346+AM2346*(J2346*3600/Basis!$E$5)^2)*0.0098)/Basis!$E$10,((AJ2346*(J2346/Basis!$E$5)^AK2346*(((MID(C2346,9,3)*10)-144)/1000)*AL2346+AM2346*(J2346/Basis!$E$5)^2)*0.0098)/Basis!$E$10)</f>
        <v>0.23605210601901075</v>
      </c>
      <c r="M2346" s="85"/>
      <c r="N2346" s="109">
        <v>1.4770000000000001</v>
      </c>
      <c r="O2346" s="68"/>
      <c r="P2346" s="67">
        <v>6367</v>
      </c>
      <c r="Q2346" s="68"/>
      <c r="R2346" s="69"/>
      <c r="S2346" s="69"/>
      <c r="T2346" s="69"/>
      <c r="U2346" s="69"/>
      <c r="V2346" s="69"/>
      <c r="W2346" s="68"/>
      <c r="X2346" s="70"/>
      <c r="Y2346" s="70"/>
      <c r="Z2346" s="70"/>
      <c r="AA2346" s="70"/>
      <c r="AB2346" s="70"/>
      <c r="AC2346" s="68"/>
      <c r="AD2346" s="71"/>
      <c r="AE2346" s="71"/>
      <c r="AF2346" s="71"/>
      <c r="AG2346" s="71"/>
      <c r="AH2346" s="71"/>
      <c r="AI2346" s="68"/>
      <c r="AJ2346" s="214">
        <v>1.2760000000000001E-4</v>
      </c>
      <c r="AK2346" s="214">
        <v>1.7219</v>
      </c>
      <c r="AL2346" s="214">
        <v>4</v>
      </c>
      <c r="AM2346" s="214">
        <v>5.1420100000000005E-4</v>
      </c>
      <c r="AN2346" s="68"/>
      <c r="AO2346" s="67"/>
      <c r="AP2346" s="67"/>
      <c r="AQ2346" s="67"/>
      <c r="AR2346" s="67"/>
      <c r="AS2346" s="67"/>
      <c r="AT2346" s="68"/>
      <c r="AU2346" s="49"/>
      <c r="AV2346" s="50"/>
    </row>
    <row r="2347" spans="1:48" ht="12.75" customHeight="1" x14ac:dyDescent="0.25">
      <c r="A2347" s="72" t="s">
        <v>20</v>
      </c>
      <c r="B2347" s="43" t="s">
        <v>2240</v>
      </c>
      <c r="C2347" s="44" t="s">
        <v>2505</v>
      </c>
      <c r="D2347" s="45">
        <f>MROUND(MID($C2347,6,3)/Basis!$E$3,0.5)</f>
        <v>15.5</v>
      </c>
      <c r="E2347" s="45">
        <f>MROUND(MID($C2347,9,3)/Basis!$E$3,0.5)</f>
        <v>118</v>
      </c>
      <c r="F2347" s="124" t="s">
        <v>2943</v>
      </c>
      <c r="G2347" s="45">
        <f>ROUND((ROUNDDOWN($F2347/5,0)*5+1.8)/Basis!$E$3,1)</f>
        <v>4.5999999999999996</v>
      </c>
      <c r="H2347" s="120">
        <f>ROUND($P2347*Basis!$E$2*((TaH-TrH)/LN(1/µ)/Basis!$E$7)^$N2347*$AA$4*Glycol,0)</f>
        <v>6222</v>
      </c>
      <c r="I2347" s="83">
        <f>ROUND(H2347/(MID($C2347,9,3)/Basis!$E$3/Basis!$E$9)*Basis!$E$11,0)</f>
        <v>632</v>
      </c>
      <c r="J2347" s="123">
        <f>IF(Basis!$E$1=1,ROUND(H2347/((TaH-TrH)*1.163)/3600,3),ROUND(H2347/(500*(TaH-TrH)),2))</f>
        <v>0.62</v>
      </c>
      <c r="K2347" s="84"/>
      <c r="L2347" s="177">
        <f>CHOOSE(Basis!$E$1,((AJ2347*(J2347*3600/Basis!$E$5)^AK2347*(((MID(C2347,9,3)*10)-144)/1000)*AL2347+AM2347*(J2347*3600/Basis!$E$5)^2)*0.0098)/Basis!$E$10,((AJ2347*(J2347/Basis!$E$5)^AK2347*(((MID(C2347,9,3)*10)-144)/1000)*AL2347+AM2347*(J2347/Basis!$E$5)^2)*0.0098)/Basis!$E$10)</f>
        <v>6.3357965788232565E-2</v>
      </c>
      <c r="M2347" s="85"/>
      <c r="N2347" s="109">
        <v>1.3939999999999999</v>
      </c>
      <c r="O2347" s="68"/>
      <c r="P2347" s="67">
        <v>2889</v>
      </c>
      <c r="Q2347" s="68"/>
      <c r="R2347" s="69"/>
      <c r="S2347" s="69"/>
      <c r="T2347" s="69"/>
      <c r="U2347" s="69"/>
      <c r="V2347" s="69"/>
      <c r="W2347" s="68"/>
      <c r="X2347" s="70"/>
      <c r="Y2347" s="70"/>
      <c r="Z2347" s="70"/>
      <c r="AA2347" s="70"/>
      <c r="AB2347" s="70"/>
      <c r="AC2347" s="68"/>
      <c r="AD2347" s="71"/>
      <c r="AE2347" s="71"/>
      <c r="AF2347" s="71"/>
      <c r="AG2347" s="71"/>
      <c r="AH2347" s="71"/>
      <c r="AI2347" s="68"/>
      <c r="AJ2347" s="214">
        <v>3.9689999999999994E-4</v>
      </c>
      <c r="AK2347" s="214">
        <v>1.7345999999999999</v>
      </c>
      <c r="AL2347" s="214">
        <v>2</v>
      </c>
      <c r="AM2347" s="214">
        <v>3.6734700000000002E-4</v>
      </c>
      <c r="AN2347" s="68"/>
      <c r="AO2347" s="67"/>
      <c r="AP2347" s="67"/>
      <c r="AQ2347" s="67"/>
      <c r="AR2347" s="67"/>
      <c r="AS2347" s="67"/>
      <c r="AT2347" s="68"/>
      <c r="AU2347" s="49"/>
      <c r="AV2347" s="50"/>
    </row>
    <row r="2348" spans="1:48" ht="12.75" customHeight="1" x14ac:dyDescent="0.25">
      <c r="A2348" s="72" t="s">
        <v>20</v>
      </c>
      <c r="B2348" s="43" t="s">
        <v>2240</v>
      </c>
      <c r="C2348" s="44" t="s">
        <v>2506</v>
      </c>
      <c r="D2348" s="45">
        <f>MROUND(MID($C2348,6,3)/Basis!$E$3,0.5)</f>
        <v>15.5</v>
      </c>
      <c r="E2348" s="45">
        <f>MROUND(MID($C2348,9,3)/Basis!$E$3,0.5)</f>
        <v>118</v>
      </c>
      <c r="F2348" s="124" t="s">
        <v>2946</v>
      </c>
      <c r="G2348" s="45">
        <f>ROUND((ROUNDDOWN($F2348/5,0)*5+1.8)/Basis!$E$3,1)</f>
        <v>4.5999999999999996</v>
      </c>
      <c r="H2348" s="120">
        <f>ROUND($P2348*Basis!$E$2*((TaH-TrH)/LN(1/µ)/Basis!$E$7)^$N2348*$AA$4*Glycol,0)</f>
        <v>8047</v>
      </c>
      <c r="I2348" s="83">
        <f>ROUND(H2348/(MID($C2348,9,3)/Basis!$E$3/Basis!$E$9)*Basis!$E$11,0)</f>
        <v>818</v>
      </c>
      <c r="J2348" s="123">
        <f>IF(Basis!$E$1=1,ROUND(H2348/((TaH-TrH)*1.163)/3600,3),ROUND(H2348/(500*(TaH-TrH)),2))</f>
        <v>0.8</v>
      </c>
      <c r="K2348" s="84"/>
      <c r="L2348" s="177">
        <f>CHOOSE(Basis!$E$1,((AJ2348*(J2348*3600/Basis!$E$5)^AK2348*(((MID(C2348,9,3)*10)-144)/1000)*AL2348+AM2348*(J2348*3600/Basis!$E$5)^2)*0.0098)/Basis!$E$10,((AJ2348*(J2348/Basis!$E$5)^AK2348*(((MID(C2348,9,3)*10)-144)/1000)*AL2348+AM2348*(J2348/Basis!$E$5)^2)*0.0098)/Basis!$E$10)</f>
        <v>0.18504553709536173</v>
      </c>
      <c r="M2348" s="85"/>
      <c r="N2348" s="110">
        <v>1.4390000000000001</v>
      </c>
      <c r="O2348" s="74"/>
      <c r="P2348" s="73">
        <v>3792</v>
      </c>
      <c r="Q2348" s="74"/>
      <c r="R2348" s="75"/>
      <c r="S2348" s="75"/>
      <c r="T2348" s="75"/>
      <c r="U2348" s="75"/>
      <c r="V2348" s="75"/>
      <c r="W2348" s="74"/>
      <c r="X2348" s="76"/>
      <c r="Y2348" s="76"/>
      <c r="Z2348" s="76"/>
      <c r="AA2348" s="76"/>
      <c r="AB2348" s="76"/>
      <c r="AC2348" s="74"/>
      <c r="AD2348" s="77"/>
      <c r="AE2348" s="77"/>
      <c r="AF2348" s="77"/>
      <c r="AG2348" s="77"/>
      <c r="AH2348" s="77"/>
      <c r="AI2348" s="68"/>
      <c r="AJ2348" s="213">
        <v>3.9689999999999994E-4</v>
      </c>
      <c r="AK2348" s="213">
        <v>1.7345999999999999</v>
      </c>
      <c r="AL2348" s="213">
        <v>4</v>
      </c>
      <c r="AM2348" s="213">
        <v>5.7428799999999995E-4</v>
      </c>
      <c r="AN2348" s="74"/>
      <c r="AO2348" s="73"/>
      <c r="AP2348" s="73"/>
      <c r="AQ2348" s="73"/>
      <c r="AR2348" s="73"/>
      <c r="AS2348" s="73"/>
      <c r="AT2348" s="74"/>
      <c r="AU2348" s="47"/>
      <c r="AV2348" s="48"/>
    </row>
    <row r="2349" spans="1:48" ht="12.75" customHeight="1" x14ac:dyDescent="0.25">
      <c r="A2349" s="72" t="s">
        <v>20</v>
      </c>
      <c r="B2349" s="43" t="s">
        <v>2240</v>
      </c>
      <c r="C2349" s="44" t="s">
        <v>2507</v>
      </c>
      <c r="D2349" s="45">
        <f>MROUND(MID($C2349,6,3)/Basis!$E$3,0.5)</f>
        <v>15.5</v>
      </c>
      <c r="E2349" s="45">
        <f>MROUND(MID($C2349,9,3)/Basis!$E$3,0.5)</f>
        <v>118</v>
      </c>
      <c r="F2349" s="124" t="s">
        <v>2944</v>
      </c>
      <c r="G2349" s="45">
        <f>ROUND((ROUNDDOWN($F2349/5,0)*5+1.8)/Basis!$E$3,1)</f>
        <v>6.6</v>
      </c>
      <c r="H2349" s="120">
        <f>ROUND($P2349*Basis!$E$2*((TaH-TrH)/LN(1/µ)/Basis!$E$7)^$N2349*$AA$4*Glycol,0)</f>
        <v>10162</v>
      </c>
      <c r="I2349" s="83">
        <f>ROUND(H2349/(MID($C2349,9,3)/Basis!$E$3/Basis!$E$9)*Basis!$E$11,0)</f>
        <v>1032</v>
      </c>
      <c r="J2349" s="123">
        <f>IF(Basis!$E$1=1,ROUND(H2349/((TaH-TrH)*1.163)/3600,3),ROUND(H2349/(500*(TaH-TrH)),2))</f>
        <v>1.02</v>
      </c>
      <c r="K2349" s="84"/>
      <c r="L2349" s="177">
        <f>CHOOSE(Basis!$E$1,((AJ2349*(J2349*3600/Basis!$E$5)^AK2349*(((MID(C2349,9,3)*10)-144)/1000)*AL2349+AM2349*(J2349*3600/Basis!$E$5)^2)*0.0098)/Basis!$E$10,((AJ2349*(J2349/Basis!$E$5)^AK2349*(((MID(C2349,9,3)*10)-144)/1000)*AL2349+AM2349*(J2349/Basis!$E$5)^2)*0.0098)/Basis!$E$10)</f>
        <v>0.1274970651734792</v>
      </c>
      <c r="M2349" s="85"/>
      <c r="N2349" s="110">
        <v>1.385</v>
      </c>
      <c r="O2349" s="74"/>
      <c r="P2349" s="73">
        <v>4704</v>
      </c>
      <c r="Q2349" s="74"/>
      <c r="R2349" s="75"/>
      <c r="S2349" s="75"/>
      <c r="T2349" s="75"/>
      <c r="U2349" s="75"/>
      <c r="V2349" s="75"/>
      <c r="W2349" s="74"/>
      <c r="X2349" s="76"/>
      <c r="Y2349" s="76"/>
      <c r="Z2349" s="76"/>
      <c r="AA2349" s="76"/>
      <c r="AB2349" s="76"/>
      <c r="AC2349" s="74"/>
      <c r="AD2349" s="77"/>
      <c r="AE2349" s="77"/>
      <c r="AF2349" s="77"/>
      <c r="AG2349" s="77"/>
      <c r="AH2349" s="77"/>
      <c r="AI2349" s="68"/>
      <c r="AJ2349" s="213">
        <v>2.0829999999999999E-4</v>
      </c>
      <c r="AK2349" s="213">
        <v>1.724</v>
      </c>
      <c r="AL2349" s="213">
        <v>2</v>
      </c>
      <c r="AM2349" s="213">
        <v>4.6182900000000003E-4</v>
      </c>
      <c r="AN2349" s="74"/>
      <c r="AO2349" s="73"/>
      <c r="AP2349" s="73"/>
      <c r="AQ2349" s="73"/>
      <c r="AR2349" s="73"/>
      <c r="AS2349" s="73"/>
      <c r="AT2349" s="74"/>
      <c r="AU2349" s="47"/>
      <c r="AV2349" s="48"/>
    </row>
    <row r="2350" spans="1:48" ht="12.75" customHeight="1" x14ac:dyDescent="0.25">
      <c r="A2350" s="72" t="s">
        <v>20</v>
      </c>
      <c r="B2350" s="43" t="s">
        <v>2240</v>
      </c>
      <c r="C2350" s="44" t="s">
        <v>2508</v>
      </c>
      <c r="D2350" s="45">
        <f>MROUND(MID($C2350,6,3)/Basis!$E$3,0.5)</f>
        <v>15.5</v>
      </c>
      <c r="E2350" s="45">
        <f>MROUND(MID($C2350,9,3)/Basis!$E$3,0.5)</f>
        <v>118</v>
      </c>
      <c r="F2350" s="124" t="s">
        <v>2947</v>
      </c>
      <c r="G2350" s="45">
        <f>ROUND((ROUNDDOWN($F2350/5,0)*5+1.8)/Basis!$E$3,1)</f>
        <v>6.6</v>
      </c>
      <c r="H2350" s="120">
        <f>ROUND($P2350*Basis!$E$2*((TaH-TrH)/LN(1/µ)/Basis!$E$7)^$N2350*$AA$4*Glycol,0)</f>
        <v>10748</v>
      </c>
      <c r="I2350" s="83">
        <f>ROUND(H2350/(MID($C2350,9,3)/Basis!$E$3/Basis!$E$9)*Basis!$E$11,0)</f>
        <v>1092</v>
      </c>
      <c r="J2350" s="123">
        <f>IF(Basis!$E$1=1,ROUND(H2350/((TaH-TrH)*1.163)/3600,3),ROUND(H2350/(500*(TaH-TrH)),2))</f>
        <v>1.07</v>
      </c>
      <c r="K2350" s="84"/>
      <c r="L2350" s="177">
        <f>CHOOSE(Basis!$E$1,((AJ2350*(J2350*3600/Basis!$E$5)^AK2350*(((MID(C2350,9,3)*10)-144)/1000)*AL2350+AM2350*(J2350*3600/Basis!$E$5)^2)*0.0098)/Basis!$E$10,((AJ2350*(J2350/Basis!$E$5)^AK2350*(((MID(C2350,9,3)*10)-144)/1000)*AL2350+AM2350*(J2350/Basis!$E$5)^2)*0.0098)/Basis!$E$10)</f>
        <v>0.36986016904166402</v>
      </c>
      <c r="M2350" s="85"/>
      <c r="N2350" s="109">
        <v>1.46</v>
      </c>
      <c r="O2350" s="68"/>
      <c r="P2350" s="67">
        <v>5100</v>
      </c>
      <c r="Q2350" s="68"/>
      <c r="R2350" s="69"/>
      <c r="S2350" s="69"/>
      <c r="T2350" s="69"/>
      <c r="U2350" s="69"/>
      <c r="V2350" s="69"/>
      <c r="W2350" s="68"/>
      <c r="X2350" s="70"/>
      <c r="Y2350" s="70"/>
      <c r="Z2350" s="70"/>
      <c r="AA2350" s="70"/>
      <c r="AB2350" s="70"/>
      <c r="AC2350" s="68"/>
      <c r="AD2350" s="71"/>
      <c r="AE2350" s="71"/>
      <c r="AF2350" s="71"/>
      <c r="AG2350" s="71"/>
      <c r="AH2350" s="71"/>
      <c r="AI2350" s="68"/>
      <c r="AJ2350" s="214">
        <v>2.0829999999999999E-4</v>
      </c>
      <c r="AK2350" s="214">
        <v>1.724</v>
      </c>
      <c r="AL2350" s="214">
        <v>4</v>
      </c>
      <c r="AM2350" s="214">
        <v>1.392796E-3</v>
      </c>
      <c r="AN2350" s="68"/>
      <c r="AO2350" s="67"/>
      <c r="AP2350" s="67"/>
      <c r="AQ2350" s="67"/>
      <c r="AR2350" s="67"/>
      <c r="AS2350" s="67"/>
      <c r="AT2350" s="68"/>
      <c r="AU2350" s="49"/>
      <c r="AV2350" s="50"/>
    </row>
    <row r="2351" spans="1:48" ht="12.75" customHeight="1" x14ac:dyDescent="0.25">
      <c r="A2351" s="72" t="s">
        <v>20</v>
      </c>
      <c r="B2351" s="43" t="s">
        <v>2240</v>
      </c>
      <c r="C2351" s="44" t="s">
        <v>2509</v>
      </c>
      <c r="D2351" s="45">
        <f>MROUND(MID($C2351,6,3)/Basis!$E$3,0.5)</f>
        <v>15.5</v>
      </c>
      <c r="E2351" s="45">
        <f>MROUND(MID($C2351,9,3)/Basis!$E$3,0.5)</f>
        <v>118</v>
      </c>
      <c r="F2351" s="124" t="s">
        <v>2945</v>
      </c>
      <c r="G2351" s="45">
        <f>ROUND((ROUNDDOWN($F2351/5,0)*5+1.8)/Basis!$E$3,1)</f>
        <v>8.6</v>
      </c>
      <c r="H2351" s="120">
        <f>ROUND($P2351*Basis!$E$2*((TaH-TrH)/LN(1/µ)/Basis!$E$7)^$N2351*$AA$4*Glycol,0)</f>
        <v>14236</v>
      </c>
      <c r="I2351" s="83">
        <f>ROUND(H2351/(MID($C2351,9,3)/Basis!$E$3/Basis!$E$9)*Basis!$E$11,0)</f>
        <v>1446</v>
      </c>
      <c r="J2351" s="123">
        <f>IF(Basis!$E$1=1,ROUND(H2351/((TaH-TrH)*1.163)/3600,3),ROUND(H2351/(500*(TaH-TrH)),2))</f>
        <v>1.42</v>
      </c>
      <c r="K2351" s="84"/>
      <c r="L2351" s="177">
        <f>CHOOSE(Basis!$E$1,((AJ2351*(J2351*3600/Basis!$E$5)^AK2351*(((MID(C2351,9,3)*10)-144)/1000)*AL2351+AM2351*(J2351*3600/Basis!$E$5)^2)*0.0098)/Basis!$E$10,((AJ2351*(J2351/Basis!$E$5)^AK2351*(((MID(C2351,9,3)*10)-144)/1000)*AL2351+AM2351*(J2351/Basis!$E$5)^2)*0.0098)/Basis!$E$10)</f>
        <v>0.17781893062966114</v>
      </c>
      <c r="M2351" s="85"/>
      <c r="N2351" s="109">
        <v>1.3839999999999999</v>
      </c>
      <c r="O2351" s="68"/>
      <c r="P2351" s="67">
        <v>6588</v>
      </c>
      <c r="Q2351" s="68"/>
      <c r="R2351" s="69"/>
      <c r="S2351" s="69"/>
      <c r="T2351" s="69"/>
      <c r="U2351" s="69"/>
      <c r="V2351" s="69"/>
      <c r="W2351" s="68"/>
      <c r="X2351" s="70"/>
      <c r="Y2351" s="70"/>
      <c r="Z2351" s="70"/>
      <c r="AA2351" s="70"/>
      <c r="AB2351" s="70"/>
      <c r="AC2351" s="68"/>
      <c r="AD2351" s="71"/>
      <c r="AE2351" s="71"/>
      <c r="AF2351" s="71"/>
      <c r="AG2351" s="71"/>
      <c r="AH2351" s="71"/>
      <c r="AI2351" s="68"/>
      <c r="AJ2351" s="214">
        <v>1.2760000000000001E-4</v>
      </c>
      <c r="AK2351" s="214">
        <v>1.7219</v>
      </c>
      <c r="AL2351" s="214">
        <v>2</v>
      </c>
      <c r="AM2351" s="214">
        <v>3.76611E-4</v>
      </c>
      <c r="AN2351" s="68"/>
      <c r="AO2351" s="67"/>
      <c r="AP2351" s="67"/>
      <c r="AQ2351" s="67"/>
      <c r="AR2351" s="67"/>
      <c r="AS2351" s="67"/>
      <c r="AT2351" s="68"/>
      <c r="AU2351" s="49"/>
      <c r="AV2351" s="50"/>
    </row>
    <row r="2352" spans="1:48" ht="12.75" customHeight="1" x14ac:dyDescent="0.25">
      <c r="A2352" s="72" t="s">
        <v>20</v>
      </c>
      <c r="B2352" s="43" t="s">
        <v>2240</v>
      </c>
      <c r="C2352" s="44" t="s">
        <v>2510</v>
      </c>
      <c r="D2352" s="45">
        <f>MROUND(MID($C2352,6,3)/Basis!$E$3,0.5)</f>
        <v>15.5</v>
      </c>
      <c r="E2352" s="45">
        <f>MROUND(MID($C2352,9,3)/Basis!$E$3,0.5)</f>
        <v>118</v>
      </c>
      <c r="F2352" s="124" t="s">
        <v>2948</v>
      </c>
      <c r="G2352" s="45">
        <f>ROUND((ROUNDDOWN($F2352/5,0)*5+1.8)/Basis!$E$3,1)</f>
        <v>8.6</v>
      </c>
      <c r="H2352" s="120">
        <f>ROUND($P2352*Basis!$E$2*((TaH-TrH)/LN(1/µ)/Basis!$E$7)^$N2352*$AA$4*Glycol,0)</f>
        <v>14296</v>
      </c>
      <c r="I2352" s="83">
        <f>ROUND(H2352/(MID($C2352,9,3)/Basis!$E$3/Basis!$E$9)*Basis!$E$11,0)</f>
        <v>1452</v>
      </c>
      <c r="J2352" s="123">
        <f>IF(Basis!$E$1=1,ROUND(H2352/((TaH-TrH)*1.163)/3600,3),ROUND(H2352/(500*(TaH-TrH)),2))</f>
        <v>1.43</v>
      </c>
      <c r="K2352" s="84"/>
      <c r="L2352" s="177">
        <f>CHOOSE(Basis!$E$1,((AJ2352*(J2352*3600/Basis!$E$5)^AK2352*(((MID(C2352,9,3)*10)-144)/1000)*AL2352+AM2352*(J2352*3600/Basis!$E$5)^2)*0.0098)/Basis!$E$10,((AJ2352*(J2352/Basis!$E$5)^AK2352*(((MID(C2352,9,3)*10)-144)/1000)*AL2352+AM2352*(J2352/Basis!$E$5)^2)*0.0098)/Basis!$E$10)</f>
        <v>0.27802628229671106</v>
      </c>
      <c r="M2352" s="85"/>
      <c r="N2352" s="110">
        <v>1.4770000000000001</v>
      </c>
      <c r="O2352" s="74"/>
      <c r="P2352" s="73">
        <v>6822</v>
      </c>
      <c r="Q2352" s="74"/>
      <c r="R2352" s="75"/>
      <c r="S2352" s="75"/>
      <c r="T2352" s="75"/>
      <c r="U2352" s="75"/>
      <c r="V2352" s="75"/>
      <c r="W2352" s="74"/>
      <c r="X2352" s="76"/>
      <c r="Y2352" s="76"/>
      <c r="Z2352" s="76"/>
      <c r="AA2352" s="76"/>
      <c r="AB2352" s="76"/>
      <c r="AC2352" s="74"/>
      <c r="AD2352" s="77"/>
      <c r="AE2352" s="77"/>
      <c r="AF2352" s="77"/>
      <c r="AG2352" s="77"/>
      <c r="AH2352" s="77"/>
      <c r="AI2352" s="68"/>
      <c r="AJ2352" s="213">
        <v>1.2760000000000001E-4</v>
      </c>
      <c r="AK2352" s="213">
        <v>1.7219</v>
      </c>
      <c r="AL2352" s="213">
        <v>4</v>
      </c>
      <c r="AM2352" s="213">
        <v>5.1420100000000005E-4</v>
      </c>
      <c r="AN2352" s="74"/>
      <c r="AO2352" s="73"/>
      <c r="AP2352" s="73"/>
      <c r="AQ2352" s="73"/>
      <c r="AR2352" s="73"/>
      <c r="AS2352" s="73"/>
      <c r="AT2352" s="74"/>
      <c r="AU2352" s="47"/>
      <c r="AV2352" s="48"/>
    </row>
    <row r="2353" spans="1:48" ht="12.75" customHeight="1" x14ac:dyDescent="0.25">
      <c r="A2353" s="72" t="s">
        <v>20</v>
      </c>
      <c r="B2353" s="43" t="s">
        <v>2240</v>
      </c>
      <c r="C2353" s="44" t="s">
        <v>2511</v>
      </c>
      <c r="D2353" s="45">
        <f>MROUND(MID($C2353,6,3)/Basis!$E$3,0.5)</f>
        <v>19.5</v>
      </c>
      <c r="E2353" s="45">
        <f>MROUND(MID($C2353,9,3)/Basis!$E$3,0.5)</f>
        <v>15.5</v>
      </c>
      <c r="F2353" s="124" t="s">
        <v>2943</v>
      </c>
      <c r="G2353" s="45">
        <f>ROUND((ROUNDDOWN($F2353/5,0)*5+1.8)/Basis!$E$3,1)</f>
        <v>4.5999999999999996</v>
      </c>
      <c r="H2353" s="120">
        <f>ROUND($P2353*Basis!$E$2*((TaH-TrH)/LN(1/µ)/Basis!$E$7)^$N2353*$AA$4*Glycol,0)</f>
        <v>929</v>
      </c>
      <c r="I2353" s="83">
        <f>ROUND(H2353/(MID($C2353,9,3)/Basis!$E$3/Basis!$E$9)*Basis!$E$11,0)</f>
        <v>708</v>
      </c>
      <c r="J2353" s="123">
        <f>IF(Basis!$E$1=1,ROUND(H2353/((TaH-TrH)*1.163)/3600,3),ROUND(H2353/(500*(TaH-TrH)),2))</f>
        <v>0.09</v>
      </c>
      <c r="K2353" s="84"/>
      <c r="L2353" s="177">
        <f>CHOOSE(Basis!$E$1,((AJ2353*(J2353*3600/Basis!$E$5)^AK2353*(((MID(C2353,9,3)*10)-144)/1000)*AL2353+AM2353*(J2353*3600/Basis!$E$5)^2)*0.0098)/Basis!$E$10,((AJ2353*(J2353/Basis!$E$5)^AK2353*(((MID(C2353,9,3)*10)-144)/1000)*AL2353+AM2353*(J2353/Basis!$E$5)^2)*0.0098)/Basis!$E$10)</f>
        <v>6.2652283053583565E-4</v>
      </c>
      <c r="M2353" s="85"/>
      <c r="N2353" s="110">
        <v>1.385</v>
      </c>
      <c r="O2353" s="74"/>
      <c r="P2353" s="73">
        <v>430</v>
      </c>
      <c r="Q2353" s="74"/>
      <c r="R2353" s="75"/>
      <c r="S2353" s="75"/>
      <c r="T2353" s="75"/>
      <c r="U2353" s="75"/>
      <c r="V2353" s="75"/>
      <c r="W2353" s="74"/>
      <c r="X2353" s="76"/>
      <c r="Y2353" s="76"/>
      <c r="Z2353" s="76"/>
      <c r="AA2353" s="76"/>
      <c r="AB2353" s="76"/>
      <c r="AC2353" s="74"/>
      <c r="AD2353" s="77"/>
      <c r="AE2353" s="77"/>
      <c r="AF2353" s="77"/>
      <c r="AG2353" s="77"/>
      <c r="AH2353" s="77"/>
      <c r="AI2353" s="68"/>
      <c r="AJ2353" s="213">
        <v>3.9689999999999994E-4</v>
      </c>
      <c r="AK2353" s="213">
        <v>1.7345999999999999</v>
      </c>
      <c r="AL2353" s="213">
        <v>2</v>
      </c>
      <c r="AM2353" s="213">
        <v>3.6734700000000002E-4</v>
      </c>
      <c r="AN2353" s="74"/>
      <c r="AO2353" s="73"/>
      <c r="AP2353" s="73"/>
      <c r="AQ2353" s="73"/>
      <c r="AR2353" s="73"/>
      <c r="AS2353" s="73"/>
      <c r="AT2353" s="74"/>
      <c r="AU2353" s="47"/>
      <c r="AV2353" s="48"/>
    </row>
    <row r="2354" spans="1:48" ht="12.75" customHeight="1" x14ac:dyDescent="0.25">
      <c r="A2354" s="72" t="s">
        <v>20</v>
      </c>
      <c r="B2354" s="43" t="s">
        <v>2240</v>
      </c>
      <c r="C2354" s="44" t="s">
        <v>2512</v>
      </c>
      <c r="D2354" s="45">
        <f>MROUND(MID($C2354,6,3)/Basis!$E$3,0.5)</f>
        <v>19.5</v>
      </c>
      <c r="E2354" s="45">
        <f>MROUND(MID($C2354,9,3)/Basis!$E$3,0.5)</f>
        <v>15.5</v>
      </c>
      <c r="F2354" s="124" t="s">
        <v>2946</v>
      </c>
      <c r="G2354" s="45">
        <f>ROUND((ROUNDDOWN($F2354/5,0)*5+1.8)/Basis!$E$3,1)</f>
        <v>4.5999999999999996</v>
      </c>
      <c r="H2354" s="120">
        <f>ROUND($P2354*Basis!$E$2*((TaH-TrH)/LN(1/µ)/Basis!$E$7)^$N2354*$AA$4*Glycol,0)</f>
        <v>1176</v>
      </c>
      <c r="I2354" s="83">
        <f>ROUND(H2354/(MID($C2354,9,3)/Basis!$E$3/Basis!$E$9)*Basis!$E$11,0)</f>
        <v>896</v>
      </c>
      <c r="J2354" s="123">
        <f>IF(Basis!$E$1=1,ROUND(H2354/((TaH-TrH)*1.163)/3600,3),ROUND(H2354/(500*(TaH-TrH)),2))</f>
        <v>0.12</v>
      </c>
      <c r="K2354" s="84"/>
      <c r="L2354" s="177">
        <f>CHOOSE(Basis!$E$1,((AJ2354*(J2354*3600/Basis!$E$5)^AK2354*(((MID(C2354,9,3)*10)-144)/1000)*AL2354+AM2354*(J2354*3600/Basis!$E$5)^2)*0.0098)/Basis!$E$10,((AJ2354*(J2354/Basis!$E$5)^AK2354*(((MID(C2354,9,3)*10)-144)/1000)*AL2354+AM2354*(J2354/Basis!$E$5)^2)*0.0098)/Basis!$E$10)</f>
        <v>1.8054574484469873E-3</v>
      </c>
      <c r="M2354" s="85"/>
      <c r="N2354" s="109">
        <v>1.4379999999999999</v>
      </c>
      <c r="O2354" s="68"/>
      <c r="P2354" s="67">
        <v>554</v>
      </c>
      <c r="Q2354" s="68"/>
      <c r="R2354" s="69"/>
      <c r="S2354" s="69"/>
      <c r="T2354" s="69"/>
      <c r="U2354" s="69"/>
      <c r="V2354" s="69"/>
      <c r="W2354" s="68"/>
      <c r="X2354" s="70"/>
      <c r="Y2354" s="70"/>
      <c r="Z2354" s="70"/>
      <c r="AA2354" s="70"/>
      <c r="AB2354" s="70"/>
      <c r="AC2354" s="68"/>
      <c r="AD2354" s="71"/>
      <c r="AE2354" s="71"/>
      <c r="AF2354" s="71"/>
      <c r="AG2354" s="71"/>
      <c r="AH2354" s="71"/>
      <c r="AI2354" s="68"/>
      <c r="AJ2354" s="214">
        <v>3.9689999999999994E-4</v>
      </c>
      <c r="AK2354" s="214">
        <v>1.7345999999999999</v>
      </c>
      <c r="AL2354" s="214">
        <v>4</v>
      </c>
      <c r="AM2354" s="214">
        <v>5.7428799999999995E-4</v>
      </c>
      <c r="AN2354" s="68"/>
      <c r="AO2354" s="67"/>
      <c r="AP2354" s="67"/>
      <c r="AQ2354" s="67"/>
      <c r="AR2354" s="67"/>
      <c r="AS2354" s="67"/>
      <c r="AT2354" s="68"/>
      <c r="AU2354" s="49"/>
      <c r="AV2354" s="50"/>
    </row>
    <row r="2355" spans="1:48" ht="12.75" customHeight="1" x14ac:dyDescent="0.25">
      <c r="A2355" s="72" t="s">
        <v>20</v>
      </c>
      <c r="B2355" s="43" t="s">
        <v>2240</v>
      </c>
      <c r="C2355" s="44" t="s">
        <v>2513</v>
      </c>
      <c r="D2355" s="45">
        <f>MROUND(MID($C2355,6,3)/Basis!$E$3,0.5)</f>
        <v>19.5</v>
      </c>
      <c r="E2355" s="45">
        <f>MROUND(MID($C2355,9,3)/Basis!$E$3,0.5)</f>
        <v>15.5</v>
      </c>
      <c r="F2355" s="124" t="s">
        <v>2944</v>
      </c>
      <c r="G2355" s="45">
        <f>ROUND((ROUNDDOWN($F2355/5,0)*5+1.8)/Basis!$E$3,1)</f>
        <v>6.6</v>
      </c>
      <c r="H2355" s="120">
        <f>ROUND($P2355*Basis!$E$2*((TaH-TrH)/LN(1/µ)/Basis!$E$7)^$N2355*$AA$4*Glycol,0)</f>
        <v>1505</v>
      </c>
      <c r="I2355" s="83">
        <f>ROUND(H2355/(MID($C2355,9,3)/Basis!$E$3/Basis!$E$9)*Basis!$E$11,0)</f>
        <v>1147</v>
      </c>
      <c r="J2355" s="123">
        <f>IF(Basis!$E$1=1,ROUND(H2355/((TaH-TrH)*1.163)/3600,3),ROUND(H2355/(500*(TaH-TrH)),2))</f>
        <v>0.15</v>
      </c>
      <c r="K2355" s="84"/>
      <c r="L2355" s="177">
        <f>CHOOSE(Basis!$E$1,((AJ2355*(J2355*3600/Basis!$E$5)^AK2355*(((MID(C2355,9,3)*10)-144)/1000)*AL2355+AM2355*(J2355*3600/Basis!$E$5)^2)*0.0098)/Basis!$E$10,((AJ2355*(J2355/Basis!$E$5)^AK2355*(((MID(C2355,9,3)*10)-144)/1000)*AL2355+AM2355*(J2355/Basis!$E$5)^2)*0.0098)/Basis!$E$10)</f>
        <v>1.9055218226117349E-3</v>
      </c>
      <c r="M2355" s="85"/>
      <c r="N2355" s="110">
        <v>1.373</v>
      </c>
      <c r="O2355" s="74"/>
      <c r="P2355" s="73">
        <v>694</v>
      </c>
      <c r="Q2355" s="74"/>
      <c r="R2355" s="75"/>
      <c r="S2355" s="75"/>
      <c r="T2355" s="75"/>
      <c r="U2355" s="75"/>
      <c r="V2355" s="75"/>
      <c r="W2355" s="74"/>
      <c r="X2355" s="76"/>
      <c r="Y2355" s="76"/>
      <c r="Z2355" s="76"/>
      <c r="AA2355" s="76"/>
      <c r="AB2355" s="76"/>
      <c r="AC2355" s="74"/>
      <c r="AD2355" s="77"/>
      <c r="AE2355" s="77"/>
      <c r="AF2355" s="77"/>
      <c r="AG2355" s="77"/>
      <c r="AH2355" s="77"/>
      <c r="AI2355" s="68"/>
      <c r="AJ2355" s="213">
        <v>2.0829999999999999E-4</v>
      </c>
      <c r="AK2355" s="213">
        <v>1.724</v>
      </c>
      <c r="AL2355" s="213">
        <v>2</v>
      </c>
      <c r="AM2355" s="213">
        <v>4.6182900000000003E-4</v>
      </c>
      <c r="AN2355" s="74"/>
      <c r="AO2355" s="73"/>
      <c r="AP2355" s="73"/>
      <c r="AQ2355" s="73"/>
      <c r="AR2355" s="73"/>
      <c r="AS2355" s="73"/>
      <c r="AT2355" s="74"/>
      <c r="AU2355" s="47"/>
      <c r="AV2355" s="48"/>
    </row>
    <row r="2356" spans="1:48" ht="12.75" customHeight="1" x14ac:dyDescent="0.25">
      <c r="A2356" s="72" t="s">
        <v>20</v>
      </c>
      <c r="B2356" s="43" t="s">
        <v>2240</v>
      </c>
      <c r="C2356" s="44" t="s">
        <v>2514</v>
      </c>
      <c r="D2356" s="45">
        <f>MROUND(MID($C2356,6,3)/Basis!$E$3,0.5)</f>
        <v>19.5</v>
      </c>
      <c r="E2356" s="45">
        <f>MROUND(MID($C2356,9,3)/Basis!$E$3,0.5)</f>
        <v>15.5</v>
      </c>
      <c r="F2356" s="124" t="s">
        <v>2947</v>
      </c>
      <c r="G2356" s="45">
        <f>ROUND((ROUNDDOWN($F2356/5,0)*5+1.8)/Basis!$E$3,1)</f>
        <v>6.6</v>
      </c>
      <c r="H2356" s="120">
        <f>ROUND($P2356*Basis!$E$2*((TaH-TrH)/LN(1/µ)/Basis!$E$7)^$N2356*$AA$4*Glycol,0)</f>
        <v>1597</v>
      </c>
      <c r="I2356" s="83">
        <f>ROUND(H2356/(MID($C2356,9,3)/Basis!$E$3/Basis!$E$9)*Basis!$E$11,0)</f>
        <v>1217</v>
      </c>
      <c r="J2356" s="123">
        <f>IF(Basis!$E$1=1,ROUND(H2356/((TaH-TrH)*1.163)/3600,3),ROUND(H2356/(500*(TaH-TrH)),2))</f>
        <v>0.16</v>
      </c>
      <c r="K2356" s="84"/>
      <c r="L2356" s="177">
        <f>CHOOSE(Basis!$E$1,((AJ2356*(J2356*3600/Basis!$E$5)^AK2356*(((MID(C2356,9,3)*10)-144)/1000)*AL2356+AM2356*(J2356*3600/Basis!$E$5)^2)*0.0098)/Basis!$E$10,((AJ2356*(J2356/Basis!$E$5)^AK2356*(((MID(C2356,9,3)*10)-144)/1000)*AL2356+AM2356*(J2356/Basis!$E$5)^2)*0.0098)/Basis!$E$10)</f>
        <v>6.3556961219432342E-3</v>
      </c>
      <c r="M2356" s="85"/>
      <c r="N2356" s="109">
        <v>1.464</v>
      </c>
      <c r="O2356" s="68"/>
      <c r="P2356" s="67">
        <v>759</v>
      </c>
      <c r="Q2356" s="68"/>
      <c r="R2356" s="69"/>
      <c r="S2356" s="69"/>
      <c r="T2356" s="69"/>
      <c r="U2356" s="69"/>
      <c r="V2356" s="69"/>
      <c r="W2356" s="68"/>
      <c r="X2356" s="70"/>
      <c r="Y2356" s="70"/>
      <c r="Z2356" s="70"/>
      <c r="AA2356" s="70"/>
      <c r="AB2356" s="70"/>
      <c r="AC2356" s="68"/>
      <c r="AD2356" s="71"/>
      <c r="AE2356" s="71"/>
      <c r="AF2356" s="71"/>
      <c r="AG2356" s="71"/>
      <c r="AH2356" s="71"/>
      <c r="AI2356" s="68"/>
      <c r="AJ2356" s="214">
        <v>2.0829999999999999E-4</v>
      </c>
      <c r="AK2356" s="214">
        <v>1.724</v>
      </c>
      <c r="AL2356" s="214">
        <v>4</v>
      </c>
      <c r="AM2356" s="214">
        <v>1.392796E-3</v>
      </c>
      <c r="AN2356" s="68"/>
      <c r="AO2356" s="67"/>
      <c r="AP2356" s="67"/>
      <c r="AQ2356" s="67"/>
      <c r="AR2356" s="67"/>
      <c r="AS2356" s="67"/>
      <c r="AT2356" s="68"/>
      <c r="AU2356" s="49"/>
      <c r="AV2356" s="50"/>
    </row>
    <row r="2357" spans="1:48" ht="12.75" customHeight="1" x14ac:dyDescent="0.25">
      <c r="A2357" s="72" t="s">
        <v>20</v>
      </c>
      <c r="B2357" s="43" t="s">
        <v>2240</v>
      </c>
      <c r="C2357" s="44" t="s">
        <v>2515</v>
      </c>
      <c r="D2357" s="45">
        <f>MROUND(MID($C2357,6,3)/Basis!$E$3,0.5)</f>
        <v>19.5</v>
      </c>
      <c r="E2357" s="45">
        <f>MROUND(MID($C2357,9,3)/Basis!$E$3,0.5)</f>
        <v>15.5</v>
      </c>
      <c r="F2357" s="124" t="s">
        <v>2945</v>
      </c>
      <c r="G2357" s="45">
        <f>ROUND((ROUNDDOWN($F2357/5,0)*5+1.8)/Basis!$E$3,1)</f>
        <v>8.6</v>
      </c>
      <c r="H2357" s="120">
        <f>ROUND($P2357*Basis!$E$2*((TaH-TrH)/LN(1/µ)/Basis!$E$7)^$N2357*$AA$4*Glycol,0)</f>
        <v>2104</v>
      </c>
      <c r="I2357" s="83">
        <f>ROUND(H2357/(MID($C2357,9,3)/Basis!$E$3/Basis!$E$9)*Basis!$E$11,0)</f>
        <v>1603</v>
      </c>
      <c r="J2357" s="123">
        <f>IF(Basis!$E$1=1,ROUND(H2357/((TaH-TrH)*1.163)/3600,3),ROUND(H2357/(500*(TaH-TrH)),2))</f>
        <v>0.21</v>
      </c>
      <c r="K2357" s="84"/>
      <c r="L2357" s="177">
        <f>CHOOSE(Basis!$E$1,((AJ2357*(J2357*3600/Basis!$E$5)^AK2357*(((MID(C2357,9,3)*10)-144)/1000)*AL2357+AM2357*(J2357*3600/Basis!$E$5)^2)*0.0098)/Basis!$E$10,((AJ2357*(J2357/Basis!$E$5)^AK2357*(((MID(C2357,9,3)*10)-144)/1000)*AL2357+AM2357*(J2357/Basis!$E$5)^2)*0.0098)/Basis!$E$10)</f>
        <v>2.9672518510823862E-3</v>
      </c>
      <c r="M2357" s="85"/>
      <c r="N2357" s="110">
        <v>1.373</v>
      </c>
      <c r="O2357" s="74"/>
      <c r="P2357" s="73">
        <v>970</v>
      </c>
      <c r="Q2357" s="74"/>
      <c r="R2357" s="75"/>
      <c r="S2357" s="75"/>
      <c r="T2357" s="75"/>
      <c r="U2357" s="75"/>
      <c r="V2357" s="75"/>
      <c r="W2357" s="74"/>
      <c r="X2357" s="76"/>
      <c r="Y2357" s="76"/>
      <c r="Z2357" s="76"/>
      <c r="AA2357" s="76"/>
      <c r="AB2357" s="76"/>
      <c r="AC2357" s="74"/>
      <c r="AD2357" s="77"/>
      <c r="AE2357" s="77"/>
      <c r="AF2357" s="77"/>
      <c r="AG2357" s="77"/>
      <c r="AH2357" s="77"/>
      <c r="AI2357" s="68"/>
      <c r="AJ2357" s="214">
        <v>1.2760000000000001E-4</v>
      </c>
      <c r="AK2357" s="214">
        <v>1.7219</v>
      </c>
      <c r="AL2357" s="214">
        <v>2</v>
      </c>
      <c r="AM2357" s="214">
        <v>3.76611E-4</v>
      </c>
      <c r="AN2357" s="74"/>
      <c r="AO2357" s="73"/>
      <c r="AP2357" s="73"/>
      <c r="AQ2357" s="73"/>
      <c r="AR2357" s="73"/>
      <c r="AS2357" s="73"/>
      <c r="AT2357" s="74"/>
      <c r="AU2357" s="47"/>
      <c r="AV2357" s="48"/>
    </row>
    <row r="2358" spans="1:48" ht="12.75" customHeight="1" x14ac:dyDescent="0.25">
      <c r="A2358" s="72" t="s">
        <v>20</v>
      </c>
      <c r="B2358" s="43" t="s">
        <v>2240</v>
      </c>
      <c r="C2358" s="44" t="s">
        <v>2516</v>
      </c>
      <c r="D2358" s="45">
        <f>MROUND(MID($C2358,6,3)/Basis!$E$3,0.5)</f>
        <v>19.5</v>
      </c>
      <c r="E2358" s="45">
        <f>MROUND(MID($C2358,9,3)/Basis!$E$3,0.5)</f>
        <v>15.5</v>
      </c>
      <c r="F2358" s="124" t="s">
        <v>2948</v>
      </c>
      <c r="G2358" s="45">
        <f>ROUND((ROUNDDOWN($F2358/5,0)*5+1.8)/Basis!$E$3,1)</f>
        <v>8.6</v>
      </c>
      <c r="H2358" s="120">
        <f>ROUND($P2358*Basis!$E$2*((TaH-TrH)/LN(1/µ)/Basis!$E$7)^$N2358*$AA$4*Glycol,0)</f>
        <v>2159</v>
      </c>
      <c r="I2358" s="83">
        <f>ROUND(H2358/(MID($C2358,9,3)/Basis!$E$3/Basis!$E$9)*Basis!$E$11,0)</f>
        <v>1645</v>
      </c>
      <c r="J2358" s="123">
        <f>IF(Basis!$E$1=1,ROUND(H2358/((TaH-TrH)*1.163)/3600,3),ROUND(H2358/(500*(TaH-TrH)),2))</f>
        <v>0.22</v>
      </c>
      <c r="K2358" s="84"/>
      <c r="L2358" s="177">
        <f>CHOOSE(Basis!$E$1,((AJ2358*(J2358*3600/Basis!$E$5)^AK2358*(((MID(C2358,9,3)*10)-144)/1000)*AL2358+AM2358*(J2358*3600/Basis!$E$5)^2)*0.0098)/Basis!$E$10,((AJ2358*(J2358/Basis!$E$5)^AK2358*(((MID(C2358,9,3)*10)-144)/1000)*AL2358+AM2358*(J2358/Basis!$E$5)^2)*0.0098)/Basis!$E$10)</f>
        <v>4.5571919898640548E-3</v>
      </c>
      <c r="M2358" s="85"/>
      <c r="N2358" s="109">
        <v>1.4850000000000001</v>
      </c>
      <c r="O2358" s="68"/>
      <c r="P2358" s="67">
        <v>1033</v>
      </c>
      <c r="Q2358" s="68"/>
      <c r="R2358" s="69"/>
      <c r="S2358" s="69"/>
      <c r="T2358" s="69"/>
      <c r="U2358" s="69"/>
      <c r="V2358" s="69"/>
      <c r="W2358" s="68"/>
      <c r="X2358" s="70"/>
      <c r="Y2358" s="70"/>
      <c r="Z2358" s="70"/>
      <c r="AA2358" s="70"/>
      <c r="AB2358" s="70"/>
      <c r="AC2358" s="68"/>
      <c r="AD2358" s="71"/>
      <c r="AE2358" s="71"/>
      <c r="AF2358" s="71"/>
      <c r="AG2358" s="71"/>
      <c r="AH2358" s="71"/>
      <c r="AI2358" s="68"/>
      <c r="AJ2358" s="214">
        <v>1.2760000000000001E-4</v>
      </c>
      <c r="AK2358" s="214">
        <v>1.7219</v>
      </c>
      <c r="AL2358" s="214">
        <v>4</v>
      </c>
      <c r="AM2358" s="214">
        <v>5.1420100000000005E-4</v>
      </c>
      <c r="AN2358" s="68"/>
      <c r="AO2358" s="67"/>
      <c r="AP2358" s="67"/>
      <c r="AQ2358" s="67"/>
      <c r="AR2358" s="67"/>
      <c r="AS2358" s="67"/>
      <c r="AT2358" s="68"/>
      <c r="AU2358" s="49"/>
      <c r="AV2358" s="50"/>
    </row>
    <row r="2359" spans="1:48" ht="12.75" customHeight="1" x14ac:dyDescent="0.25">
      <c r="A2359" s="72" t="s">
        <v>20</v>
      </c>
      <c r="B2359" s="43" t="s">
        <v>2240</v>
      </c>
      <c r="C2359" s="44" t="s">
        <v>2517</v>
      </c>
      <c r="D2359" s="45">
        <f>MROUND(MID($C2359,6,3)/Basis!$E$3,0.5)</f>
        <v>19.5</v>
      </c>
      <c r="E2359" s="45">
        <f>MROUND(MID($C2359,9,3)/Basis!$E$3,0.5)</f>
        <v>19.5</v>
      </c>
      <c r="F2359" s="124" t="s">
        <v>2943</v>
      </c>
      <c r="G2359" s="45">
        <f>ROUND((ROUNDDOWN($F2359/5,0)*5+1.8)/Basis!$E$3,1)</f>
        <v>4.5999999999999996</v>
      </c>
      <c r="H2359" s="120">
        <f>ROUND($P2359*Basis!$E$2*((TaH-TrH)/LN(1/µ)/Basis!$E$7)^$N2359*$AA$4*Glycol,0)</f>
        <v>1162</v>
      </c>
      <c r="I2359" s="83">
        <f>ROUND(H2359/(MID($C2359,9,3)/Basis!$E$3/Basis!$E$9)*Basis!$E$11,0)</f>
        <v>708</v>
      </c>
      <c r="J2359" s="123">
        <f>IF(Basis!$E$1=1,ROUND(H2359/((TaH-TrH)*1.163)/3600,3),ROUND(H2359/(500*(TaH-TrH)),2))</f>
        <v>0.12</v>
      </c>
      <c r="K2359" s="84"/>
      <c r="L2359" s="177">
        <f>CHOOSE(Basis!$E$1,((AJ2359*(J2359*3600/Basis!$E$5)^AK2359*(((MID(C2359,9,3)*10)-144)/1000)*AL2359+AM2359*(J2359*3600/Basis!$E$5)^2)*0.0098)/Basis!$E$10,((AJ2359*(J2359/Basis!$E$5)^AK2359*(((MID(C2359,9,3)*10)-144)/1000)*AL2359+AM2359*(J2359/Basis!$E$5)^2)*0.0098)/Basis!$E$10)</f>
        <v>1.177724754177181E-3</v>
      </c>
      <c r="M2359" s="85"/>
      <c r="N2359" s="110">
        <v>1.385</v>
      </c>
      <c r="O2359" s="74"/>
      <c r="P2359" s="73">
        <v>538</v>
      </c>
      <c r="Q2359" s="74"/>
      <c r="R2359" s="75"/>
      <c r="S2359" s="75"/>
      <c r="T2359" s="75"/>
      <c r="U2359" s="75"/>
      <c r="V2359" s="75"/>
      <c r="W2359" s="74"/>
      <c r="X2359" s="76"/>
      <c r="Y2359" s="76"/>
      <c r="Z2359" s="76"/>
      <c r="AA2359" s="76"/>
      <c r="AB2359" s="76"/>
      <c r="AC2359" s="74"/>
      <c r="AD2359" s="77"/>
      <c r="AE2359" s="77"/>
      <c r="AF2359" s="77"/>
      <c r="AG2359" s="77"/>
      <c r="AH2359" s="77"/>
      <c r="AI2359" s="68"/>
      <c r="AJ2359" s="213">
        <v>3.9689999999999994E-4</v>
      </c>
      <c r="AK2359" s="213">
        <v>1.7345999999999999</v>
      </c>
      <c r="AL2359" s="213">
        <v>2</v>
      </c>
      <c r="AM2359" s="213">
        <v>3.6734700000000002E-4</v>
      </c>
      <c r="AN2359" s="74"/>
      <c r="AO2359" s="73"/>
      <c r="AP2359" s="73"/>
      <c r="AQ2359" s="73"/>
      <c r="AR2359" s="73"/>
      <c r="AS2359" s="73"/>
      <c r="AT2359" s="74"/>
      <c r="AU2359" s="47"/>
      <c r="AV2359" s="48"/>
    </row>
    <row r="2360" spans="1:48" ht="12.75" customHeight="1" x14ac:dyDescent="0.25">
      <c r="A2360" s="72" t="s">
        <v>20</v>
      </c>
      <c r="B2360" s="43" t="s">
        <v>2240</v>
      </c>
      <c r="C2360" s="44" t="s">
        <v>2518</v>
      </c>
      <c r="D2360" s="45">
        <f>MROUND(MID($C2360,6,3)/Basis!$E$3,0.5)</f>
        <v>19.5</v>
      </c>
      <c r="E2360" s="45">
        <f>MROUND(MID($C2360,9,3)/Basis!$E$3,0.5)</f>
        <v>19.5</v>
      </c>
      <c r="F2360" s="124" t="s">
        <v>2946</v>
      </c>
      <c r="G2360" s="45">
        <f>ROUND((ROUNDDOWN($F2360/5,0)*5+1.8)/Basis!$E$3,1)</f>
        <v>4.5999999999999996</v>
      </c>
      <c r="H2360" s="120">
        <f>ROUND($P2360*Basis!$E$2*((TaH-TrH)/LN(1/µ)/Basis!$E$7)^$N2360*$AA$4*Glycol,0)</f>
        <v>1471</v>
      </c>
      <c r="I2360" s="83">
        <f>ROUND(H2360/(MID($C2360,9,3)/Basis!$E$3/Basis!$E$9)*Basis!$E$11,0)</f>
        <v>897</v>
      </c>
      <c r="J2360" s="123">
        <f>IF(Basis!$E$1=1,ROUND(H2360/((TaH-TrH)*1.163)/3600,3),ROUND(H2360/(500*(TaH-TrH)),2))</f>
        <v>0.15</v>
      </c>
      <c r="K2360" s="84"/>
      <c r="L2360" s="177">
        <f>CHOOSE(Basis!$E$1,((AJ2360*(J2360*3600/Basis!$E$5)^AK2360*(((MID(C2360,9,3)*10)-144)/1000)*AL2360+AM2360*(J2360*3600/Basis!$E$5)^2)*0.0098)/Basis!$E$10,((AJ2360*(J2360/Basis!$E$5)^AK2360*(((MID(C2360,9,3)*10)-144)/1000)*AL2360+AM2360*(J2360/Basis!$E$5)^2)*0.0098)/Basis!$E$10)</f>
        <v>3.0203346348982953E-3</v>
      </c>
      <c r="M2360" s="85"/>
      <c r="N2360" s="109">
        <v>1.4379999999999999</v>
      </c>
      <c r="O2360" s="68"/>
      <c r="P2360" s="67">
        <v>693</v>
      </c>
      <c r="Q2360" s="68"/>
      <c r="R2360" s="69"/>
      <c r="S2360" s="69"/>
      <c r="T2360" s="69"/>
      <c r="U2360" s="69"/>
      <c r="V2360" s="69"/>
      <c r="W2360" s="68"/>
      <c r="X2360" s="70"/>
      <c r="Y2360" s="70"/>
      <c r="Z2360" s="70"/>
      <c r="AA2360" s="70"/>
      <c r="AB2360" s="70"/>
      <c r="AC2360" s="68"/>
      <c r="AD2360" s="71"/>
      <c r="AE2360" s="71"/>
      <c r="AF2360" s="71"/>
      <c r="AG2360" s="71"/>
      <c r="AH2360" s="71"/>
      <c r="AI2360" s="68"/>
      <c r="AJ2360" s="214">
        <v>3.9689999999999994E-4</v>
      </c>
      <c r="AK2360" s="214">
        <v>1.7345999999999999</v>
      </c>
      <c r="AL2360" s="214">
        <v>4</v>
      </c>
      <c r="AM2360" s="214">
        <v>5.7428799999999995E-4</v>
      </c>
      <c r="AN2360" s="68"/>
      <c r="AO2360" s="67"/>
      <c r="AP2360" s="67"/>
      <c r="AQ2360" s="67"/>
      <c r="AR2360" s="67"/>
      <c r="AS2360" s="67"/>
      <c r="AT2360" s="68"/>
      <c r="AU2360" s="49"/>
      <c r="AV2360" s="50"/>
    </row>
    <row r="2361" spans="1:48" ht="12.75" customHeight="1" x14ac:dyDescent="0.25">
      <c r="A2361" s="72" t="s">
        <v>20</v>
      </c>
      <c r="B2361" s="43" t="s">
        <v>2240</v>
      </c>
      <c r="C2361" s="44" t="s">
        <v>2519</v>
      </c>
      <c r="D2361" s="45">
        <f>MROUND(MID($C2361,6,3)/Basis!$E$3,0.5)</f>
        <v>19.5</v>
      </c>
      <c r="E2361" s="45">
        <f>MROUND(MID($C2361,9,3)/Basis!$E$3,0.5)</f>
        <v>19.5</v>
      </c>
      <c r="F2361" s="124" t="s">
        <v>2944</v>
      </c>
      <c r="G2361" s="45">
        <f>ROUND((ROUNDDOWN($F2361/5,0)*5+1.8)/Basis!$E$3,1)</f>
        <v>6.6</v>
      </c>
      <c r="H2361" s="120">
        <f>ROUND($P2361*Basis!$E$2*((TaH-TrH)/LN(1/µ)/Basis!$E$7)^$N2361*$AA$4*Glycol,0)</f>
        <v>1880</v>
      </c>
      <c r="I2361" s="83">
        <f>ROUND(H2361/(MID($C2361,9,3)/Basis!$E$3/Basis!$E$9)*Basis!$E$11,0)</f>
        <v>1146</v>
      </c>
      <c r="J2361" s="123">
        <f>IF(Basis!$E$1=1,ROUND(H2361/((TaH-TrH)*1.163)/3600,3),ROUND(H2361/(500*(TaH-TrH)),2))</f>
        <v>0.19</v>
      </c>
      <c r="K2361" s="84"/>
      <c r="L2361" s="177">
        <f>CHOOSE(Basis!$E$1,((AJ2361*(J2361*3600/Basis!$E$5)^AK2361*(((MID(C2361,9,3)*10)-144)/1000)*AL2361+AM2361*(J2361*3600/Basis!$E$5)^2)*0.0098)/Basis!$E$10,((AJ2361*(J2361/Basis!$E$5)^AK2361*(((MID(C2361,9,3)*10)-144)/1000)*AL2361+AM2361*(J2361/Basis!$E$5)^2)*0.0098)/Basis!$E$10)</f>
        <v>3.1315584148762171E-3</v>
      </c>
      <c r="M2361" s="85"/>
      <c r="N2361" s="110">
        <v>1.373</v>
      </c>
      <c r="O2361" s="74"/>
      <c r="P2361" s="73">
        <v>867</v>
      </c>
      <c r="Q2361" s="74"/>
      <c r="R2361" s="75"/>
      <c r="S2361" s="75"/>
      <c r="T2361" s="75"/>
      <c r="U2361" s="75"/>
      <c r="V2361" s="75"/>
      <c r="W2361" s="74"/>
      <c r="X2361" s="76"/>
      <c r="Y2361" s="76"/>
      <c r="Z2361" s="76"/>
      <c r="AA2361" s="76"/>
      <c r="AB2361" s="76"/>
      <c r="AC2361" s="74"/>
      <c r="AD2361" s="77"/>
      <c r="AE2361" s="77"/>
      <c r="AF2361" s="77"/>
      <c r="AG2361" s="77"/>
      <c r="AH2361" s="77"/>
      <c r="AI2361" s="68"/>
      <c r="AJ2361" s="213">
        <v>2.0829999999999999E-4</v>
      </c>
      <c r="AK2361" s="213">
        <v>1.724</v>
      </c>
      <c r="AL2361" s="213">
        <v>2</v>
      </c>
      <c r="AM2361" s="213">
        <v>4.6182900000000003E-4</v>
      </c>
      <c r="AN2361" s="74"/>
      <c r="AO2361" s="73"/>
      <c r="AP2361" s="73"/>
      <c r="AQ2361" s="73"/>
      <c r="AR2361" s="73"/>
      <c r="AS2361" s="73"/>
      <c r="AT2361" s="74"/>
      <c r="AU2361" s="47"/>
      <c r="AV2361" s="48"/>
    </row>
    <row r="2362" spans="1:48" ht="12.75" customHeight="1" x14ac:dyDescent="0.25">
      <c r="A2362" s="72" t="s">
        <v>20</v>
      </c>
      <c r="B2362" s="43" t="s">
        <v>2240</v>
      </c>
      <c r="C2362" s="44" t="s">
        <v>2520</v>
      </c>
      <c r="D2362" s="45">
        <f>MROUND(MID($C2362,6,3)/Basis!$E$3,0.5)</f>
        <v>19.5</v>
      </c>
      <c r="E2362" s="45">
        <f>MROUND(MID($C2362,9,3)/Basis!$E$3,0.5)</f>
        <v>19.5</v>
      </c>
      <c r="F2362" s="124" t="s">
        <v>2947</v>
      </c>
      <c r="G2362" s="45">
        <f>ROUND((ROUNDDOWN($F2362/5,0)*5+1.8)/Basis!$E$3,1)</f>
        <v>6.6</v>
      </c>
      <c r="H2362" s="120">
        <f>ROUND($P2362*Basis!$E$2*((TaH-TrH)/LN(1/µ)/Basis!$E$7)^$N2362*$AA$4*Glycol,0)</f>
        <v>1997</v>
      </c>
      <c r="I2362" s="83">
        <f>ROUND(H2362/(MID($C2362,9,3)/Basis!$E$3/Basis!$E$9)*Basis!$E$11,0)</f>
        <v>1217</v>
      </c>
      <c r="J2362" s="123">
        <f>IF(Basis!$E$1=1,ROUND(H2362/((TaH-TrH)*1.163)/3600,3),ROUND(H2362/(500*(TaH-TrH)),2))</f>
        <v>0.2</v>
      </c>
      <c r="K2362" s="84"/>
      <c r="L2362" s="177">
        <f>CHOOSE(Basis!$E$1,((AJ2362*(J2362*3600/Basis!$E$5)^AK2362*(((MID(C2362,9,3)*10)-144)/1000)*AL2362+AM2362*(J2362*3600/Basis!$E$5)^2)*0.0098)/Basis!$E$10,((AJ2362*(J2362/Basis!$E$5)^AK2362*(((MID(C2362,9,3)*10)-144)/1000)*AL2362+AM2362*(J2362/Basis!$E$5)^2)*0.0098)/Basis!$E$10)</f>
        <v>1.0094970154423176E-2</v>
      </c>
      <c r="M2362" s="85"/>
      <c r="N2362" s="109">
        <v>1.464</v>
      </c>
      <c r="O2362" s="68"/>
      <c r="P2362" s="67">
        <v>949</v>
      </c>
      <c r="Q2362" s="68"/>
      <c r="R2362" s="69"/>
      <c r="S2362" s="69"/>
      <c r="T2362" s="69"/>
      <c r="U2362" s="69"/>
      <c r="V2362" s="69"/>
      <c r="W2362" s="68"/>
      <c r="X2362" s="70"/>
      <c r="Y2362" s="70"/>
      <c r="Z2362" s="70"/>
      <c r="AA2362" s="70"/>
      <c r="AB2362" s="70"/>
      <c r="AC2362" s="68"/>
      <c r="AD2362" s="71"/>
      <c r="AE2362" s="71"/>
      <c r="AF2362" s="71"/>
      <c r="AG2362" s="71"/>
      <c r="AH2362" s="71"/>
      <c r="AI2362" s="68"/>
      <c r="AJ2362" s="214">
        <v>2.0829999999999999E-4</v>
      </c>
      <c r="AK2362" s="214">
        <v>1.724</v>
      </c>
      <c r="AL2362" s="214">
        <v>4</v>
      </c>
      <c r="AM2362" s="214">
        <v>1.392796E-3</v>
      </c>
      <c r="AN2362" s="68"/>
      <c r="AO2362" s="67"/>
      <c r="AP2362" s="67"/>
      <c r="AQ2362" s="67"/>
      <c r="AR2362" s="67"/>
      <c r="AS2362" s="67"/>
      <c r="AT2362" s="68"/>
      <c r="AU2362" s="49"/>
      <c r="AV2362" s="50"/>
    </row>
    <row r="2363" spans="1:48" ht="12.75" customHeight="1" x14ac:dyDescent="0.25">
      <c r="A2363" s="72" t="s">
        <v>20</v>
      </c>
      <c r="B2363" s="43" t="s">
        <v>2240</v>
      </c>
      <c r="C2363" s="44" t="s">
        <v>2521</v>
      </c>
      <c r="D2363" s="45">
        <f>MROUND(MID($C2363,6,3)/Basis!$E$3,0.5)</f>
        <v>19.5</v>
      </c>
      <c r="E2363" s="45">
        <f>MROUND(MID($C2363,9,3)/Basis!$E$3,0.5)</f>
        <v>19.5</v>
      </c>
      <c r="F2363" s="124" t="s">
        <v>2945</v>
      </c>
      <c r="G2363" s="45">
        <f>ROUND((ROUNDDOWN($F2363/5,0)*5+1.8)/Basis!$E$3,1)</f>
        <v>8.6</v>
      </c>
      <c r="H2363" s="120">
        <f>ROUND($P2363*Basis!$E$2*((TaH-TrH)/LN(1/µ)/Basis!$E$7)^$N2363*$AA$4*Glycol,0)</f>
        <v>2631</v>
      </c>
      <c r="I2363" s="83">
        <f>ROUND(H2363/(MID($C2363,9,3)/Basis!$E$3/Basis!$E$9)*Basis!$E$11,0)</f>
        <v>1604</v>
      </c>
      <c r="J2363" s="123">
        <f>IF(Basis!$E$1=1,ROUND(H2363/((TaH-TrH)*1.163)/3600,3),ROUND(H2363/(500*(TaH-TrH)),2))</f>
        <v>0.26</v>
      </c>
      <c r="K2363" s="84"/>
      <c r="L2363" s="177">
        <f>CHOOSE(Basis!$E$1,((AJ2363*(J2363*3600/Basis!$E$5)^AK2363*(((MID(C2363,9,3)*10)-144)/1000)*AL2363+AM2363*(J2363*3600/Basis!$E$5)^2)*0.0098)/Basis!$E$10,((AJ2363*(J2363/Basis!$E$5)^AK2363*(((MID(C2363,9,3)*10)-144)/1000)*AL2363+AM2363*(J2363/Basis!$E$5)^2)*0.0098)/Basis!$E$10)</f>
        <v>4.6273795118290505E-3</v>
      </c>
      <c r="M2363" s="85"/>
      <c r="N2363" s="110">
        <v>1.373</v>
      </c>
      <c r="O2363" s="74"/>
      <c r="P2363" s="73">
        <v>1213</v>
      </c>
      <c r="Q2363" s="74"/>
      <c r="R2363" s="75"/>
      <c r="S2363" s="75"/>
      <c r="T2363" s="75"/>
      <c r="U2363" s="75"/>
      <c r="V2363" s="75"/>
      <c r="W2363" s="74"/>
      <c r="X2363" s="76"/>
      <c r="Y2363" s="76"/>
      <c r="Z2363" s="76"/>
      <c r="AA2363" s="76"/>
      <c r="AB2363" s="76"/>
      <c r="AC2363" s="74"/>
      <c r="AD2363" s="77"/>
      <c r="AE2363" s="77"/>
      <c r="AF2363" s="77"/>
      <c r="AG2363" s="77"/>
      <c r="AH2363" s="77"/>
      <c r="AI2363" s="68"/>
      <c r="AJ2363" s="214">
        <v>1.2760000000000001E-4</v>
      </c>
      <c r="AK2363" s="214">
        <v>1.7219</v>
      </c>
      <c r="AL2363" s="214">
        <v>2</v>
      </c>
      <c r="AM2363" s="214">
        <v>3.76611E-4</v>
      </c>
      <c r="AN2363" s="74"/>
      <c r="AO2363" s="73"/>
      <c r="AP2363" s="73"/>
      <c r="AQ2363" s="73"/>
      <c r="AR2363" s="73"/>
      <c r="AS2363" s="73"/>
      <c r="AT2363" s="74"/>
      <c r="AU2363" s="47"/>
      <c r="AV2363" s="48"/>
    </row>
    <row r="2364" spans="1:48" ht="12.75" customHeight="1" x14ac:dyDescent="0.25">
      <c r="A2364" s="72" t="s">
        <v>20</v>
      </c>
      <c r="B2364" s="43" t="s">
        <v>2240</v>
      </c>
      <c r="C2364" s="44" t="s">
        <v>2522</v>
      </c>
      <c r="D2364" s="45">
        <f>MROUND(MID($C2364,6,3)/Basis!$E$3,0.5)</f>
        <v>19.5</v>
      </c>
      <c r="E2364" s="45">
        <f>MROUND(MID($C2364,9,3)/Basis!$E$3,0.5)</f>
        <v>19.5</v>
      </c>
      <c r="F2364" s="124" t="s">
        <v>2948</v>
      </c>
      <c r="G2364" s="45">
        <f>ROUND((ROUNDDOWN($F2364/5,0)*5+1.8)/Basis!$E$3,1)</f>
        <v>8.6</v>
      </c>
      <c r="H2364" s="120">
        <f>ROUND($P2364*Basis!$E$2*((TaH-TrH)/LN(1/µ)/Basis!$E$7)^$N2364*$AA$4*Glycol,0)</f>
        <v>2698</v>
      </c>
      <c r="I2364" s="83">
        <f>ROUND(H2364/(MID($C2364,9,3)/Basis!$E$3/Basis!$E$9)*Basis!$E$11,0)</f>
        <v>1645</v>
      </c>
      <c r="J2364" s="123">
        <f>IF(Basis!$E$1=1,ROUND(H2364/((TaH-TrH)*1.163)/3600,3),ROUND(H2364/(500*(TaH-TrH)),2))</f>
        <v>0.27</v>
      </c>
      <c r="K2364" s="84"/>
      <c r="L2364" s="177">
        <f>CHOOSE(Basis!$E$1,((AJ2364*(J2364*3600/Basis!$E$5)^AK2364*(((MID(C2364,9,3)*10)-144)/1000)*AL2364+AM2364*(J2364*3600/Basis!$E$5)^2)*0.0098)/Basis!$E$10,((AJ2364*(J2364/Basis!$E$5)^AK2364*(((MID(C2364,9,3)*10)-144)/1000)*AL2364+AM2364*(J2364/Basis!$E$5)^2)*0.0098)/Basis!$E$10)</f>
        <v>7.0338370333079383E-3</v>
      </c>
      <c r="M2364" s="85"/>
      <c r="N2364" s="109">
        <v>1.4850000000000001</v>
      </c>
      <c r="O2364" s="68"/>
      <c r="P2364" s="67">
        <v>1291</v>
      </c>
      <c r="Q2364" s="68"/>
      <c r="R2364" s="69"/>
      <c r="S2364" s="69"/>
      <c r="T2364" s="69"/>
      <c r="U2364" s="69"/>
      <c r="V2364" s="69"/>
      <c r="W2364" s="68"/>
      <c r="X2364" s="70"/>
      <c r="Y2364" s="70"/>
      <c r="Z2364" s="70"/>
      <c r="AA2364" s="70"/>
      <c r="AB2364" s="70"/>
      <c r="AC2364" s="68"/>
      <c r="AD2364" s="71"/>
      <c r="AE2364" s="71"/>
      <c r="AF2364" s="71"/>
      <c r="AG2364" s="71"/>
      <c r="AH2364" s="71"/>
      <c r="AI2364" s="68"/>
      <c r="AJ2364" s="214">
        <v>1.2760000000000001E-4</v>
      </c>
      <c r="AK2364" s="214">
        <v>1.7219</v>
      </c>
      <c r="AL2364" s="214">
        <v>4</v>
      </c>
      <c r="AM2364" s="214">
        <v>5.1420100000000005E-4</v>
      </c>
      <c r="AN2364" s="68"/>
      <c r="AO2364" s="67"/>
      <c r="AP2364" s="67"/>
      <c r="AQ2364" s="67"/>
      <c r="AR2364" s="67"/>
      <c r="AS2364" s="67"/>
      <c r="AT2364" s="68"/>
      <c r="AU2364" s="49"/>
      <c r="AV2364" s="50"/>
    </row>
    <row r="2365" spans="1:48" ht="12.75" customHeight="1" x14ac:dyDescent="0.25">
      <c r="A2365" s="72" t="s">
        <v>20</v>
      </c>
      <c r="B2365" s="43" t="s">
        <v>2240</v>
      </c>
      <c r="C2365" s="44" t="s">
        <v>2523</v>
      </c>
      <c r="D2365" s="45">
        <f>MROUND(MID($C2365,6,3)/Basis!$E$3,0.5)</f>
        <v>19.5</v>
      </c>
      <c r="E2365" s="45">
        <f>MROUND(MID($C2365,9,3)/Basis!$E$3,0.5)</f>
        <v>23.5</v>
      </c>
      <c r="F2365" s="124" t="s">
        <v>2943</v>
      </c>
      <c r="G2365" s="45">
        <f>ROUND((ROUNDDOWN($F2365/5,0)*5+1.8)/Basis!$E$3,1)</f>
        <v>4.5999999999999996</v>
      </c>
      <c r="H2365" s="120">
        <f>ROUND($P2365*Basis!$E$2*((TaH-TrH)/LN(1/µ)/Basis!$E$7)^$N2365*$AA$4*Glycol,0)</f>
        <v>1396</v>
      </c>
      <c r="I2365" s="83">
        <f>ROUND(H2365/(MID($C2365,9,3)/Basis!$E$3/Basis!$E$9)*Basis!$E$11,0)</f>
        <v>709</v>
      </c>
      <c r="J2365" s="123">
        <f>IF(Basis!$E$1=1,ROUND(H2365/((TaH-TrH)*1.163)/3600,3),ROUND(H2365/(500*(TaH-TrH)),2))</f>
        <v>0.14000000000000001</v>
      </c>
      <c r="K2365" s="84"/>
      <c r="L2365" s="177">
        <f>CHOOSE(Basis!$E$1,((AJ2365*(J2365*3600/Basis!$E$5)^AK2365*(((MID(C2365,9,3)*10)-144)/1000)*AL2365+AM2365*(J2365*3600/Basis!$E$5)^2)*0.0098)/Basis!$E$10,((AJ2365*(J2365/Basis!$E$5)^AK2365*(((MID(C2365,9,3)*10)-144)/1000)*AL2365+AM2365*(J2365/Basis!$E$5)^2)*0.0098)/Basis!$E$10)</f>
        <v>1.6922160915461598E-3</v>
      </c>
      <c r="M2365" s="85"/>
      <c r="N2365" s="110">
        <v>1.385</v>
      </c>
      <c r="O2365" s="74"/>
      <c r="P2365" s="73">
        <v>646</v>
      </c>
      <c r="Q2365" s="74"/>
      <c r="R2365" s="75"/>
      <c r="S2365" s="75"/>
      <c r="T2365" s="75"/>
      <c r="U2365" s="75"/>
      <c r="V2365" s="75"/>
      <c r="W2365" s="74"/>
      <c r="X2365" s="76"/>
      <c r="Y2365" s="76"/>
      <c r="Z2365" s="76"/>
      <c r="AA2365" s="76"/>
      <c r="AB2365" s="76"/>
      <c r="AC2365" s="74"/>
      <c r="AD2365" s="77"/>
      <c r="AE2365" s="77"/>
      <c r="AF2365" s="77"/>
      <c r="AG2365" s="77"/>
      <c r="AH2365" s="77"/>
      <c r="AI2365" s="68"/>
      <c r="AJ2365" s="213">
        <v>3.9689999999999994E-4</v>
      </c>
      <c r="AK2365" s="213">
        <v>1.7345999999999999</v>
      </c>
      <c r="AL2365" s="213">
        <v>2</v>
      </c>
      <c r="AM2365" s="213">
        <v>3.6734700000000002E-4</v>
      </c>
      <c r="AN2365" s="74"/>
      <c r="AO2365" s="73"/>
      <c r="AP2365" s="73"/>
      <c r="AQ2365" s="73"/>
      <c r="AR2365" s="73"/>
      <c r="AS2365" s="73"/>
      <c r="AT2365" s="74"/>
      <c r="AU2365" s="47"/>
      <c r="AV2365" s="48"/>
    </row>
    <row r="2366" spans="1:48" ht="12.75" customHeight="1" x14ac:dyDescent="0.25">
      <c r="A2366" s="72" t="s">
        <v>20</v>
      </c>
      <c r="B2366" s="43" t="s">
        <v>2240</v>
      </c>
      <c r="C2366" s="44" t="s">
        <v>2524</v>
      </c>
      <c r="D2366" s="45">
        <f>MROUND(MID($C2366,6,3)/Basis!$E$3,0.5)</f>
        <v>19.5</v>
      </c>
      <c r="E2366" s="45">
        <f>MROUND(MID($C2366,9,3)/Basis!$E$3,0.5)</f>
        <v>23.5</v>
      </c>
      <c r="F2366" s="124" t="s">
        <v>2946</v>
      </c>
      <c r="G2366" s="45">
        <f>ROUND((ROUNDDOWN($F2366/5,0)*5+1.8)/Basis!$E$3,1)</f>
        <v>4.5999999999999996</v>
      </c>
      <c r="H2366" s="120">
        <f>ROUND($P2366*Basis!$E$2*((TaH-TrH)/LN(1/µ)/Basis!$E$7)^$N2366*$AA$4*Glycol,0)</f>
        <v>1766</v>
      </c>
      <c r="I2366" s="83">
        <f>ROUND(H2366/(MID($C2366,9,3)/Basis!$E$3/Basis!$E$9)*Basis!$E$11,0)</f>
        <v>897</v>
      </c>
      <c r="J2366" s="123">
        <f>IF(Basis!$E$1=1,ROUND(H2366/((TaH-TrH)*1.163)/3600,3),ROUND(H2366/(500*(TaH-TrH)),2))</f>
        <v>0.18</v>
      </c>
      <c r="K2366" s="84"/>
      <c r="L2366" s="177">
        <f>CHOOSE(Basis!$E$1,((AJ2366*(J2366*3600/Basis!$E$5)^AK2366*(((MID(C2366,9,3)*10)-144)/1000)*AL2366+AM2366*(J2366*3600/Basis!$E$5)^2)*0.0098)/Basis!$E$10,((AJ2366*(J2366/Basis!$E$5)^AK2366*(((MID(C2366,9,3)*10)-144)/1000)*AL2366+AM2366*(J2366/Basis!$E$5)^2)*0.0098)/Basis!$E$10)</f>
        <v>4.6161462096240054E-3</v>
      </c>
      <c r="M2366" s="85"/>
      <c r="N2366" s="109">
        <v>1.4379999999999999</v>
      </c>
      <c r="O2366" s="68"/>
      <c r="P2366" s="67">
        <v>832</v>
      </c>
      <c r="Q2366" s="68"/>
      <c r="R2366" s="69"/>
      <c r="S2366" s="69"/>
      <c r="T2366" s="69"/>
      <c r="U2366" s="69"/>
      <c r="V2366" s="69"/>
      <c r="W2366" s="68"/>
      <c r="X2366" s="70"/>
      <c r="Y2366" s="70"/>
      <c r="Z2366" s="70"/>
      <c r="AA2366" s="70"/>
      <c r="AB2366" s="70"/>
      <c r="AC2366" s="68"/>
      <c r="AD2366" s="71"/>
      <c r="AE2366" s="71"/>
      <c r="AF2366" s="71"/>
      <c r="AG2366" s="71"/>
      <c r="AH2366" s="71"/>
      <c r="AI2366" s="68"/>
      <c r="AJ2366" s="214">
        <v>3.9689999999999994E-4</v>
      </c>
      <c r="AK2366" s="214">
        <v>1.7345999999999999</v>
      </c>
      <c r="AL2366" s="214">
        <v>4</v>
      </c>
      <c r="AM2366" s="214">
        <v>5.7428799999999995E-4</v>
      </c>
      <c r="AN2366" s="68"/>
      <c r="AO2366" s="67"/>
      <c r="AP2366" s="67"/>
      <c r="AQ2366" s="67"/>
      <c r="AR2366" s="67"/>
      <c r="AS2366" s="67"/>
      <c r="AT2366" s="68"/>
      <c r="AU2366" s="49"/>
      <c r="AV2366" s="50"/>
    </row>
    <row r="2367" spans="1:48" ht="12.75" customHeight="1" x14ac:dyDescent="0.25">
      <c r="A2367" s="72" t="s">
        <v>20</v>
      </c>
      <c r="B2367" s="43" t="s">
        <v>2240</v>
      </c>
      <c r="C2367" s="44" t="s">
        <v>2525</v>
      </c>
      <c r="D2367" s="45">
        <f>MROUND(MID($C2367,6,3)/Basis!$E$3,0.5)</f>
        <v>19.5</v>
      </c>
      <c r="E2367" s="45">
        <f>MROUND(MID($C2367,9,3)/Basis!$E$3,0.5)</f>
        <v>23.5</v>
      </c>
      <c r="F2367" s="124" t="s">
        <v>2944</v>
      </c>
      <c r="G2367" s="45">
        <f>ROUND((ROUNDDOWN($F2367/5,0)*5+1.8)/Basis!$E$3,1)</f>
        <v>6.6</v>
      </c>
      <c r="H2367" s="120">
        <f>ROUND($P2367*Basis!$E$2*((TaH-TrH)/LN(1/µ)/Basis!$E$7)^$N2367*$AA$4*Glycol,0)</f>
        <v>2256</v>
      </c>
      <c r="I2367" s="83">
        <f>ROUND(H2367/(MID($C2367,9,3)/Basis!$E$3/Basis!$E$9)*Basis!$E$11,0)</f>
        <v>1146</v>
      </c>
      <c r="J2367" s="123">
        <f>IF(Basis!$E$1=1,ROUND(H2367/((TaH-TrH)*1.163)/3600,3),ROUND(H2367/(500*(TaH-TrH)),2))</f>
        <v>0.23</v>
      </c>
      <c r="K2367" s="84"/>
      <c r="L2367" s="177">
        <f>CHOOSE(Basis!$E$1,((AJ2367*(J2367*3600/Basis!$E$5)^AK2367*(((MID(C2367,9,3)*10)-144)/1000)*AL2367+AM2367*(J2367*3600/Basis!$E$5)^2)*0.0098)/Basis!$E$10,((AJ2367*(J2367/Basis!$E$5)^AK2367*(((MID(C2367,9,3)*10)-144)/1000)*AL2367+AM2367*(J2367/Basis!$E$5)^2)*0.0098)/Basis!$E$10)</f>
        <v>4.6896095866809625E-3</v>
      </c>
      <c r="M2367" s="85"/>
      <c r="N2367" s="109">
        <v>1.373</v>
      </c>
      <c r="O2367" s="68"/>
      <c r="P2367" s="67">
        <v>1040</v>
      </c>
      <c r="Q2367" s="68"/>
      <c r="R2367" s="69"/>
      <c r="S2367" s="69"/>
      <c r="T2367" s="69"/>
      <c r="U2367" s="69"/>
      <c r="V2367" s="69"/>
      <c r="W2367" s="68"/>
      <c r="X2367" s="70"/>
      <c r="Y2367" s="70"/>
      <c r="Z2367" s="70"/>
      <c r="AA2367" s="70"/>
      <c r="AB2367" s="70"/>
      <c r="AC2367" s="68"/>
      <c r="AD2367" s="71"/>
      <c r="AE2367" s="71"/>
      <c r="AF2367" s="71"/>
      <c r="AG2367" s="71"/>
      <c r="AH2367" s="71"/>
      <c r="AI2367" s="68"/>
      <c r="AJ2367" s="214">
        <v>2.0829999999999999E-4</v>
      </c>
      <c r="AK2367" s="214">
        <v>1.724</v>
      </c>
      <c r="AL2367" s="214">
        <v>2</v>
      </c>
      <c r="AM2367" s="214">
        <v>4.6182900000000003E-4</v>
      </c>
      <c r="AN2367" s="68"/>
      <c r="AO2367" s="67"/>
      <c r="AP2367" s="67"/>
      <c r="AQ2367" s="67"/>
      <c r="AR2367" s="67"/>
      <c r="AS2367" s="67"/>
      <c r="AT2367" s="68"/>
      <c r="AU2367" s="49"/>
      <c r="AV2367" s="50"/>
    </row>
    <row r="2368" spans="1:48" ht="12.75" customHeight="1" x14ac:dyDescent="0.25">
      <c r="A2368" s="72" t="s">
        <v>20</v>
      </c>
      <c r="B2368" s="43" t="s">
        <v>2240</v>
      </c>
      <c r="C2368" s="44" t="s">
        <v>2526</v>
      </c>
      <c r="D2368" s="45">
        <f>MROUND(MID($C2368,6,3)/Basis!$E$3,0.5)</f>
        <v>19.5</v>
      </c>
      <c r="E2368" s="45">
        <f>MROUND(MID($C2368,9,3)/Basis!$E$3,0.5)</f>
        <v>23.5</v>
      </c>
      <c r="F2368" s="124" t="s">
        <v>2947</v>
      </c>
      <c r="G2368" s="45">
        <f>ROUND((ROUNDDOWN($F2368/5,0)*5+1.8)/Basis!$E$3,1)</f>
        <v>6.6</v>
      </c>
      <c r="H2368" s="120">
        <f>ROUND($P2368*Basis!$E$2*((TaH-TrH)/LN(1/µ)/Basis!$E$7)^$N2368*$AA$4*Glycol,0)</f>
        <v>2397</v>
      </c>
      <c r="I2368" s="83">
        <f>ROUND(H2368/(MID($C2368,9,3)/Basis!$E$3/Basis!$E$9)*Basis!$E$11,0)</f>
        <v>1218</v>
      </c>
      <c r="J2368" s="123">
        <f>IF(Basis!$E$1=1,ROUND(H2368/((TaH-TrH)*1.163)/3600,3),ROUND(H2368/(500*(TaH-TrH)),2))</f>
        <v>0.24</v>
      </c>
      <c r="K2368" s="84"/>
      <c r="L2368" s="177">
        <f>CHOOSE(Basis!$E$1,((AJ2368*(J2368*3600/Basis!$E$5)^AK2368*(((MID(C2368,9,3)*10)-144)/1000)*AL2368+AM2368*(J2368*3600/Basis!$E$5)^2)*0.0098)/Basis!$E$10,((AJ2368*(J2368/Basis!$E$5)^AK2368*(((MID(C2368,9,3)*10)-144)/1000)*AL2368+AM2368*(J2368/Basis!$E$5)^2)*0.0098)/Basis!$E$10)</f>
        <v>1.4755927550914144E-2</v>
      </c>
      <c r="M2368" s="85"/>
      <c r="N2368" s="110">
        <v>1.464</v>
      </c>
      <c r="O2368" s="74"/>
      <c r="P2368" s="73">
        <v>1139</v>
      </c>
      <c r="Q2368" s="74"/>
      <c r="R2368" s="75"/>
      <c r="S2368" s="75"/>
      <c r="T2368" s="75"/>
      <c r="U2368" s="75"/>
      <c r="V2368" s="75"/>
      <c r="W2368" s="74"/>
      <c r="X2368" s="76"/>
      <c r="Y2368" s="76"/>
      <c r="Z2368" s="76"/>
      <c r="AA2368" s="76"/>
      <c r="AB2368" s="76"/>
      <c r="AC2368" s="74"/>
      <c r="AD2368" s="77"/>
      <c r="AE2368" s="77"/>
      <c r="AF2368" s="77"/>
      <c r="AG2368" s="77"/>
      <c r="AH2368" s="77"/>
      <c r="AI2368" s="68"/>
      <c r="AJ2368" s="213">
        <v>2.0829999999999999E-4</v>
      </c>
      <c r="AK2368" s="213">
        <v>1.724</v>
      </c>
      <c r="AL2368" s="213">
        <v>4</v>
      </c>
      <c r="AM2368" s="213">
        <v>1.392796E-3</v>
      </c>
      <c r="AN2368" s="74"/>
      <c r="AO2368" s="73"/>
      <c r="AP2368" s="73"/>
      <c r="AQ2368" s="73"/>
      <c r="AR2368" s="73"/>
      <c r="AS2368" s="73"/>
      <c r="AT2368" s="74"/>
      <c r="AU2368" s="47"/>
      <c r="AV2368" s="48"/>
    </row>
    <row r="2369" spans="1:48" ht="12.75" customHeight="1" x14ac:dyDescent="0.25">
      <c r="A2369" s="72" t="s">
        <v>20</v>
      </c>
      <c r="B2369" s="43" t="s">
        <v>2240</v>
      </c>
      <c r="C2369" s="44" t="s">
        <v>2527</v>
      </c>
      <c r="D2369" s="45">
        <f>MROUND(MID($C2369,6,3)/Basis!$E$3,0.5)</f>
        <v>19.5</v>
      </c>
      <c r="E2369" s="45">
        <f>MROUND(MID($C2369,9,3)/Basis!$E$3,0.5)</f>
        <v>23.5</v>
      </c>
      <c r="F2369" s="124" t="s">
        <v>2945</v>
      </c>
      <c r="G2369" s="45">
        <f>ROUND((ROUNDDOWN($F2369/5,0)*5+1.8)/Basis!$E$3,1)</f>
        <v>8.6</v>
      </c>
      <c r="H2369" s="120">
        <f>ROUND($P2369*Basis!$E$2*((TaH-TrH)/LN(1/µ)/Basis!$E$7)^$N2369*$AA$4*Glycol,0)</f>
        <v>3156</v>
      </c>
      <c r="I2369" s="83">
        <f>ROUND(H2369/(MID($C2369,9,3)/Basis!$E$3/Basis!$E$9)*Basis!$E$11,0)</f>
        <v>1603</v>
      </c>
      <c r="J2369" s="123">
        <f>IF(Basis!$E$1=1,ROUND(H2369/((TaH-TrH)*1.163)/3600,3),ROUND(H2369/(500*(TaH-TrH)),2))</f>
        <v>0.32</v>
      </c>
      <c r="K2369" s="84"/>
      <c r="L2369" s="177">
        <f>CHOOSE(Basis!$E$1,((AJ2369*(J2369*3600/Basis!$E$5)^AK2369*(((MID(C2369,9,3)*10)-144)/1000)*AL2369+AM2369*(J2369*3600/Basis!$E$5)^2)*0.0098)/Basis!$E$10,((AJ2369*(J2369/Basis!$E$5)^AK2369*(((MID(C2369,9,3)*10)-144)/1000)*AL2369+AM2369*(J2369/Basis!$E$5)^2)*0.0098)/Basis!$E$10)</f>
        <v>7.1150325886397423E-3</v>
      </c>
      <c r="M2369" s="85"/>
      <c r="N2369" s="110">
        <v>1.373</v>
      </c>
      <c r="O2369" s="74"/>
      <c r="P2369" s="73">
        <v>1455</v>
      </c>
      <c r="Q2369" s="74"/>
      <c r="R2369" s="75"/>
      <c r="S2369" s="75"/>
      <c r="T2369" s="75"/>
      <c r="U2369" s="75"/>
      <c r="V2369" s="75"/>
      <c r="W2369" s="74"/>
      <c r="X2369" s="76"/>
      <c r="Y2369" s="76"/>
      <c r="Z2369" s="76"/>
      <c r="AA2369" s="76"/>
      <c r="AB2369" s="76"/>
      <c r="AC2369" s="74"/>
      <c r="AD2369" s="77"/>
      <c r="AE2369" s="77"/>
      <c r="AF2369" s="77"/>
      <c r="AG2369" s="77"/>
      <c r="AH2369" s="77"/>
      <c r="AI2369" s="68"/>
      <c r="AJ2369" s="214">
        <v>1.2760000000000001E-4</v>
      </c>
      <c r="AK2369" s="214">
        <v>1.7219</v>
      </c>
      <c r="AL2369" s="214">
        <v>2</v>
      </c>
      <c r="AM2369" s="214">
        <v>3.76611E-4</v>
      </c>
      <c r="AN2369" s="74"/>
      <c r="AO2369" s="73"/>
      <c r="AP2369" s="73"/>
      <c r="AQ2369" s="73"/>
      <c r="AR2369" s="73"/>
      <c r="AS2369" s="73"/>
      <c r="AT2369" s="74"/>
      <c r="AU2369" s="47"/>
      <c r="AV2369" s="48"/>
    </row>
    <row r="2370" spans="1:48" ht="12.75" customHeight="1" x14ac:dyDescent="0.25">
      <c r="A2370" s="72" t="s">
        <v>20</v>
      </c>
      <c r="B2370" s="43" t="s">
        <v>2240</v>
      </c>
      <c r="C2370" s="44" t="s">
        <v>2528</v>
      </c>
      <c r="D2370" s="45">
        <f>MROUND(MID($C2370,6,3)/Basis!$E$3,0.5)</f>
        <v>19.5</v>
      </c>
      <c r="E2370" s="45">
        <f>MROUND(MID($C2370,9,3)/Basis!$E$3,0.5)</f>
        <v>23.5</v>
      </c>
      <c r="F2370" s="124" t="s">
        <v>2948</v>
      </c>
      <c r="G2370" s="45">
        <f>ROUND((ROUNDDOWN($F2370/5,0)*5+1.8)/Basis!$E$3,1)</f>
        <v>8.6</v>
      </c>
      <c r="H2370" s="120">
        <f>ROUND($P2370*Basis!$E$2*((TaH-TrH)/LN(1/µ)/Basis!$E$7)^$N2370*$AA$4*Glycol,0)</f>
        <v>3238</v>
      </c>
      <c r="I2370" s="83">
        <f>ROUND(H2370/(MID($C2370,9,3)/Basis!$E$3/Basis!$E$9)*Basis!$E$11,0)</f>
        <v>1645</v>
      </c>
      <c r="J2370" s="123">
        <f>IF(Basis!$E$1=1,ROUND(H2370/((TaH-TrH)*1.163)/3600,3),ROUND(H2370/(500*(TaH-TrH)),2))</f>
        <v>0.32</v>
      </c>
      <c r="K2370" s="84"/>
      <c r="L2370" s="177">
        <f>CHOOSE(Basis!$E$1,((AJ2370*(J2370*3600/Basis!$E$5)^AK2370*(((MID(C2370,9,3)*10)-144)/1000)*AL2370+AM2370*(J2370*3600/Basis!$E$5)^2)*0.0098)/Basis!$E$10,((AJ2370*(J2370/Basis!$E$5)^AK2370*(((MID(C2370,9,3)*10)-144)/1000)*AL2370+AM2370*(J2370/Basis!$E$5)^2)*0.0098)/Basis!$E$10)</f>
        <v>1.0101739286302699E-2</v>
      </c>
      <c r="M2370" s="85"/>
      <c r="N2370" s="109">
        <v>1.4850000000000001</v>
      </c>
      <c r="O2370" s="68"/>
      <c r="P2370" s="67">
        <v>1549</v>
      </c>
      <c r="Q2370" s="68"/>
      <c r="R2370" s="69"/>
      <c r="S2370" s="69"/>
      <c r="T2370" s="69"/>
      <c r="U2370" s="69"/>
      <c r="V2370" s="69"/>
      <c r="W2370" s="68"/>
      <c r="X2370" s="70"/>
      <c r="Y2370" s="70"/>
      <c r="Z2370" s="70"/>
      <c r="AA2370" s="70"/>
      <c r="AB2370" s="70"/>
      <c r="AC2370" s="68"/>
      <c r="AD2370" s="71"/>
      <c r="AE2370" s="71"/>
      <c r="AF2370" s="71"/>
      <c r="AG2370" s="71"/>
      <c r="AH2370" s="71"/>
      <c r="AI2370" s="68"/>
      <c r="AJ2370" s="214">
        <v>1.2760000000000001E-4</v>
      </c>
      <c r="AK2370" s="214">
        <v>1.7219</v>
      </c>
      <c r="AL2370" s="214">
        <v>4</v>
      </c>
      <c r="AM2370" s="214">
        <v>5.1420100000000005E-4</v>
      </c>
      <c r="AN2370" s="68"/>
      <c r="AO2370" s="67"/>
      <c r="AP2370" s="67"/>
      <c r="AQ2370" s="67"/>
      <c r="AR2370" s="67"/>
      <c r="AS2370" s="67"/>
      <c r="AT2370" s="68"/>
      <c r="AU2370" s="49"/>
      <c r="AV2370" s="50"/>
    </row>
    <row r="2371" spans="1:48" ht="12.75" customHeight="1" x14ac:dyDescent="0.25">
      <c r="A2371" s="72" t="s">
        <v>20</v>
      </c>
      <c r="B2371" s="43" t="s">
        <v>2240</v>
      </c>
      <c r="C2371" s="44" t="s">
        <v>2529</v>
      </c>
      <c r="D2371" s="45">
        <f>MROUND(MID($C2371,6,3)/Basis!$E$3,0.5)</f>
        <v>19.5</v>
      </c>
      <c r="E2371" s="45">
        <f>MROUND(MID($C2371,9,3)/Basis!$E$3,0.5)</f>
        <v>27.5</v>
      </c>
      <c r="F2371" s="124" t="s">
        <v>2943</v>
      </c>
      <c r="G2371" s="45">
        <f>ROUND((ROUNDDOWN($F2371/5,0)*5+1.8)/Basis!$E$3,1)</f>
        <v>4.5999999999999996</v>
      </c>
      <c r="H2371" s="120">
        <f>ROUND($P2371*Basis!$E$2*((TaH-TrH)/LN(1/µ)/Basis!$E$7)^$N2371*$AA$4*Glycol,0)</f>
        <v>1627</v>
      </c>
      <c r="I2371" s="83">
        <f>ROUND(H2371/(MID($C2371,9,3)/Basis!$E$3/Basis!$E$9)*Basis!$E$11,0)</f>
        <v>708</v>
      </c>
      <c r="J2371" s="123">
        <f>IF(Basis!$E$1=1,ROUND(H2371/((TaH-TrH)*1.163)/3600,3),ROUND(H2371/(500*(TaH-TrH)),2))</f>
        <v>0.16</v>
      </c>
      <c r="K2371" s="84"/>
      <c r="L2371" s="177">
        <f>CHOOSE(Basis!$E$1,((AJ2371*(J2371*3600/Basis!$E$5)^AK2371*(((MID(C2371,9,3)*10)-144)/1000)*AL2371+AM2371*(J2371*3600/Basis!$E$5)^2)*0.0098)/Basis!$E$10,((AJ2371*(J2371/Basis!$E$5)^AK2371*(((MID(C2371,9,3)*10)-144)/1000)*AL2371+AM2371*(J2371/Basis!$E$5)^2)*0.0098)/Basis!$E$10)</f>
        <v>2.3206016653743865E-3</v>
      </c>
      <c r="M2371" s="85"/>
      <c r="N2371" s="109">
        <v>1.385</v>
      </c>
      <c r="O2371" s="68"/>
      <c r="P2371" s="67">
        <v>753</v>
      </c>
      <c r="Q2371" s="68"/>
      <c r="R2371" s="69"/>
      <c r="S2371" s="69"/>
      <c r="T2371" s="69"/>
      <c r="U2371" s="69"/>
      <c r="V2371" s="69"/>
      <c r="W2371" s="68"/>
      <c r="X2371" s="70"/>
      <c r="Y2371" s="70"/>
      <c r="Z2371" s="70"/>
      <c r="AA2371" s="70"/>
      <c r="AB2371" s="70"/>
      <c r="AC2371" s="68"/>
      <c r="AD2371" s="71"/>
      <c r="AE2371" s="71"/>
      <c r="AF2371" s="71"/>
      <c r="AG2371" s="71"/>
      <c r="AH2371" s="71"/>
      <c r="AI2371" s="68"/>
      <c r="AJ2371" s="214">
        <v>3.9689999999999994E-4</v>
      </c>
      <c r="AK2371" s="214">
        <v>1.7345999999999999</v>
      </c>
      <c r="AL2371" s="214">
        <v>2</v>
      </c>
      <c r="AM2371" s="214">
        <v>3.6734700000000002E-4</v>
      </c>
      <c r="AN2371" s="68"/>
      <c r="AO2371" s="67"/>
      <c r="AP2371" s="67"/>
      <c r="AQ2371" s="67"/>
      <c r="AR2371" s="67"/>
      <c r="AS2371" s="67"/>
      <c r="AT2371" s="68"/>
      <c r="AU2371" s="49"/>
      <c r="AV2371" s="50"/>
    </row>
    <row r="2372" spans="1:48" ht="12.75" customHeight="1" x14ac:dyDescent="0.25">
      <c r="A2372" s="72" t="s">
        <v>20</v>
      </c>
      <c r="B2372" s="43" t="s">
        <v>2240</v>
      </c>
      <c r="C2372" s="44" t="s">
        <v>2530</v>
      </c>
      <c r="D2372" s="45">
        <f>MROUND(MID($C2372,6,3)/Basis!$E$3,0.5)</f>
        <v>19.5</v>
      </c>
      <c r="E2372" s="45">
        <f>MROUND(MID($C2372,9,3)/Basis!$E$3,0.5)</f>
        <v>27.5</v>
      </c>
      <c r="F2372" s="124" t="s">
        <v>2946</v>
      </c>
      <c r="G2372" s="45">
        <f>ROUND((ROUNDDOWN($F2372/5,0)*5+1.8)/Basis!$E$3,1)</f>
        <v>4.5999999999999996</v>
      </c>
      <c r="H2372" s="120">
        <f>ROUND($P2372*Basis!$E$2*((TaH-TrH)/LN(1/µ)/Basis!$E$7)^$N2372*$AA$4*Glycol,0)</f>
        <v>2059</v>
      </c>
      <c r="I2372" s="83">
        <f>ROUND(H2372/(MID($C2372,9,3)/Basis!$E$3/Basis!$E$9)*Basis!$E$11,0)</f>
        <v>897</v>
      </c>
      <c r="J2372" s="123">
        <f>IF(Basis!$E$1=1,ROUND(H2372/((TaH-TrH)*1.163)/3600,3),ROUND(H2372/(500*(TaH-TrH)),2))</f>
        <v>0.21</v>
      </c>
      <c r="K2372" s="84"/>
      <c r="L2372" s="177">
        <f>CHOOSE(Basis!$E$1,((AJ2372*(J2372*3600/Basis!$E$5)^AK2372*(((MID(C2372,9,3)*10)-144)/1000)*AL2372+AM2372*(J2372*3600/Basis!$E$5)^2)*0.0098)/Basis!$E$10,((AJ2372*(J2372/Basis!$E$5)^AK2372*(((MID(C2372,9,3)*10)-144)/1000)*AL2372+AM2372*(J2372/Basis!$E$5)^2)*0.0098)/Basis!$E$10)</f>
        <v>6.6258622373469422E-3</v>
      </c>
      <c r="M2372" s="85"/>
      <c r="N2372" s="110">
        <v>1.4379999999999999</v>
      </c>
      <c r="O2372" s="74"/>
      <c r="P2372" s="73">
        <v>970</v>
      </c>
      <c r="Q2372" s="74"/>
      <c r="R2372" s="75"/>
      <c r="S2372" s="75"/>
      <c r="T2372" s="75"/>
      <c r="U2372" s="75"/>
      <c r="V2372" s="75"/>
      <c r="W2372" s="74"/>
      <c r="X2372" s="76"/>
      <c r="Y2372" s="76"/>
      <c r="Z2372" s="76"/>
      <c r="AA2372" s="76"/>
      <c r="AB2372" s="76"/>
      <c r="AC2372" s="74"/>
      <c r="AD2372" s="77"/>
      <c r="AE2372" s="77"/>
      <c r="AF2372" s="77"/>
      <c r="AG2372" s="77"/>
      <c r="AH2372" s="77"/>
      <c r="AI2372" s="68"/>
      <c r="AJ2372" s="213">
        <v>3.9689999999999994E-4</v>
      </c>
      <c r="AK2372" s="213">
        <v>1.7345999999999999</v>
      </c>
      <c r="AL2372" s="213">
        <v>4</v>
      </c>
      <c r="AM2372" s="213">
        <v>5.7428799999999995E-4</v>
      </c>
      <c r="AN2372" s="74"/>
      <c r="AO2372" s="73"/>
      <c r="AP2372" s="73"/>
      <c r="AQ2372" s="73"/>
      <c r="AR2372" s="73"/>
      <c r="AS2372" s="73"/>
      <c r="AT2372" s="74"/>
      <c r="AU2372" s="47"/>
      <c r="AV2372" s="48"/>
    </row>
    <row r="2373" spans="1:48" ht="12.75" customHeight="1" x14ac:dyDescent="0.25">
      <c r="A2373" s="72" t="s">
        <v>20</v>
      </c>
      <c r="B2373" s="43" t="s">
        <v>2240</v>
      </c>
      <c r="C2373" s="44" t="s">
        <v>2531</v>
      </c>
      <c r="D2373" s="45">
        <f>MROUND(MID($C2373,6,3)/Basis!$E$3,0.5)</f>
        <v>19.5</v>
      </c>
      <c r="E2373" s="45">
        <f>MROUND(MID($C2373,9,3)/Basis!$E$3,0.5)</f>
        <v>27.5</v>
      </c>
      <c r="F2373" s="124" t="s">
        <v>2944</v>
      </c>
      <c r="G2373" s="45">
        <f>ROUND((ROUNDDOWN($F2373/5,0)*5+1.8)/Basis!$E$3,1)</f>
        <v>6.6</v>
      </c>
      <c r="H2373" s="120">
        <f>ROUND($P2373*Basis!$E$2*((TaH-TrH)/LN(1/µ)/Basis!$E$7)^$N2373*$AA$4*Glycol,0)</f>
        <v>2633</v>
      </c>
      <c r="I2373" s="83">
        <f>ROUND(H2373/(MID($C2373,9,3)/Basis!$E$3/Basis!$E$9)*Basis!$E$11,0)</f>
        <v>1146</v>
      </c>
      <c r="J2373" s="123">
        <f>IF(Basis!$E$1=1,ROUND(H2373/((TaH-TrH)*1.163)/3600,3),ROUND(H2373/(500*(TaH-TrH)),2))</f>
        <v>0.26</v>
      </c>
      <c r="K2373" s="84"/>
      <c r="L2373" s="177">
        <f>CHOOSE(Basis!$E$1,((AJ2373*(J2373*3600/Basis!$E$5)^AK2373*(((MID(C2373,9,3)*10)-144)/1000)*AL2373+AM2373*(J2373*3600/Basis!$E$5)^2)*0.0098)/Basis!$E$10,((AJ2373*(J2373/Basis!$E$5)^AK2373*(((MID(C2373,9,3)*10)-144)/1000)*AL2373+AM2373*(J2373/Basis!$E$5)^2)*0.0098)/Basis!$E$10)</f>
        <v>6.122699488726722E-3</v>
      </c>
      <c r="M2373" s="85"/>
      <c r="N2373" s="110">
        <v>1.373</v>
      </c>
      <c r="O2373" s="74"/>
      <c r="P2373" s="73">
        <v>1214</v>
      </c>
      <c r="Q2373" s="74"/>
      <c r="R2373" s="75"/>
      <c r="S2373" s="75"/>
      <c r="T2373" s="75"/>
      <c r="U2373" s="75"/>
      <c r="V2373" s="75"/>
      <c r="W2373" s="74"/>
      <c r="X2373" s="76"/>
      <c r="Y2373" s="76"/>
      <c r="Z2373" s="76"/>
      <c r="AA2373" s="76"/>
      <c r="AB2373" s="76"/>
      <c r="AC2373" s="74"/>
      <c r="AD2373" s="77"/>
      <c r="AE2373" s="77"/>
      <c r="AF2373" s="77"/>
      <c r="AG2373" s="77"/>
      <c r="AH2373" s="77"/>
      <c r="AI2373" s="68"/>
      <c r="AJ2373" s="213">
        <v>2.0829999999999999E-4</v>
      </c>
      <c r="AK2373" s="213">
        <v>1.724</v>
      </c>
      <c r="AL2373" s="213">
        <v>2</v>
      </c>
      <c r="AM2373" s="213">
        <v>4.6182900000000003E-4</v>
      </c>
      <c r="AN2373" s="74"/>
      <c r="AO2373" s="73"/>
      <c r="AP2373" s="73"/>
      <c r="AQ2373" s="73"/>
      <c r="AR2373" s="73"/>
      <c r="AS2373" s="73"/>
      <c r="AT2373" s="74"/>
      <c r="AU2373" s="47"/>
      <c r="AV2373" s="48"/>
    </row>
    <row r="2374" spans="1:48" ht="12.75" customHeight="1" x14ac:dyDescent="0.25">
      <c r="A2374" s="72" t="s">
        <v>20</v>
      </c>
      <c r="B2374" s="43" t="s">
        <v>2240</v>
      </c>
      <c r="C2374" s="44" t="s">
        <v>2532</v>
      </c>
      <c r="D2374" s="45">
        <f>MROUND(MID($C2374,6,3)/Basis!$E$3,0.5)</f>
        <v>19.5</v>
      </c>
      <c r="E2374" s="45">
        <f>MROUND(MID($C2374,9,3)/Basis!$E$3,0.5)</f>
        <v>27.5</v>
      </c>
      <c r="F2374" s="124" t="s">
        <v>2947</v>
      </c>
      <c r="G2374" s="45">
        <f>ROUND((ROUNDDOWN($F2374/5,0)*5+1.8)/Basis!$E$3,1)</f>
        <v>6.6</v>
      </c>
      <c r="H2374" s="120">
        <f>ROUND($P2374*Basis!$E$2*((TaH-TrH)/LN(1/µ)/Basis!$E$7)^$N2374*$AA$4*Glycol,0)</f>
        <v>2797</v>
      </c>
      <c r="I2374" s="83">
        <f>ROUND(H2374/(MID($C2374,9,3)/Basis!$E$3/Basis!$E$9)*Basis!$E$11,0)</f>
        <v>1218</v>
      </c>
      <c r="J2374" s="123">
        <f>IF(Basis!$E$1=1,ROUND(H2374/((TaH-TrH)*1.163)/3600,3),ROUND(H2374/(500*(TaH-TrH)),2))</f>
        <v>0.28000000000000003</v>
      </c>
      <c r="K2374" s="84"/>
      <c r="L2374" s="177">
        <f>CHOOSE(Basis!$E$1,((AJ2374*(J2374*3600/Basis!$E$5)^AK2374*(((MID(C2374,9,3)*10)-144)/1000)*AL2374+AM2374*(J2374*3600/Basis!$E$5)^2)*0.0098)/Basis!$E$10,((AJ2374*(J2374/Basis!$E$5)^AK2374*(((MID(C2374,9,3)*10)-144)/1000)*AL2374+AM2374*(J2374/Basis!$E$5)^2)*0.0098)/Basis!$E$10)</f>
        <v>2.0365279207537831E-2</v>
      </c>
      <c r="M2374" s="85"/>
      <c r="N2374" s="109">
        <v>1.464</v>
      </c>
      <c r="O2374" s="68"/>
      <c r="P2374" s="67">
        <v>1329</v>
      </c>
      <c r="Q2374" s="68"/>
      <c r="R2374" s="69"/>
      <c r="S2374" s="69"/>
      <c r="T2374" s="69"/>
      <c r="U2374" s="69"/>
      <c r="V2374" s="69"/>
      <c r="W2374" s="68"/>
      <c r="X2374" s="70"/>
      <c r="Y2374" s="70"/>
      <c r="Z2374" s="70"/>
      <c r="AA2374" s="70"/>
      <c r="AB2374" s="70"/>
      <c r="AC2374" s="68"/>
      <c r="AD2374" s="71"/>
      <c r="AE2374" s="71"/>
      <c r="AF2374" s="71"/>
      <c r="AG2374" s="71"/>
      <c r="AH2374" s="71"/>
      <c r="AI2374" s="68"/>
      <c r="AJ2374" s="214">
        <v>2.0829999999999999E-4</v>
      </c>
      <c r="AK2374" s="214">
        <v>1.724</v>
      </c>
      <c r="AL2374" s="214">
        <v>4</v>
      </c>
      <c r="AM2374" s="214">
        <v>1.392796E-3</v>
      </c>
      <c r="AN2374" s="68"/>
      <c r="AO2374" s="67"/>
      <c r="AP2374" s="67"/>
      <c r="AQ2374" s="67"/>
      <c r="AR2374" s="67"/>
      <c r="AS2374" s="67"/>
      <c r="AT2374" s="68"/>
      <c r="AU2374" s="49"/>
      <c r="AV2374" s="50"/>
    </row>
    <row r="2375" spans="1:48" ht="12.75" customHeight="1" x14ac:dyDescent="0.25">
      <c r="A2375" s="72" t="s">
        <v>20</v>
      </c>
      <c r="B2375" s="43" t="s">
        <v>2240</v>
      </c>
      <c r="C2375" s="44" t="s">
        <v>2533</v>
      </c>
      <c r="D2375" s="45">
        <f>MROUND(MID($C2375,6,3)/Basis!$E$3,0.5)</f>
        <v>19.5</v>
      </c>
      <c r="E2375" s="45">
        <f>MROUND(MID($C2375,9,3)/Basis!$E$3,0.5)</f>
        <v>27.5</v>
      </c>
      <c r="F2375" s="124" t="s">
        <v>2945</v>
      </c>
      <c r="G2375" s="45">
        <f>ROUND((ROUNDDOWN($F2375/5,0)*5+1.8)/Basis!$E$3,1)</f>
        <v>8.6</v>
      </c>
      <c r="H2375" s="120">
        <f>ROUND($P2375*Basis!$E$2*((TaH-TrH)/LN(1/µ)/Basis!$E$7)^$N2375*$AA$4*Glycol,0)</f>
        <v>3683</v>
      </c>
      <c r="I2375" s="83">
        <f>ROUND(H2375/(MID($C2375,9,3)/Basis!$E$3/Basis!$E$9)*Basis!$E$11,0)</f>
        <v>1604</v>
      </c>
      <c r="J2375" s="123">
        <f>IF(Basis!$E$1=1,ROUND(H2375/((TaH-TrH)*1.163)/3600,3),ROUND(H2375/(500*(TaH-TrH)),2))</f>
        <v>0.37</v>
      </c>
      <c r="K2375" s="84"/>
      <c r="L2375" s="177">
        <f>CHOOSE(Basis!$E$1,((AJ2375*(J2375*3600/Basis!$E$5)^AK2375*(((MID(C2375,9,3)*10)-144)/1000)*AL2375+AM2375*(J2375*3600/Basis!$E$5)^2)*0.0098)/Basis!$E$10,((AJ2375*(J2375/Basis!$E$5)^AK2375*(((MID(C2375,9,3)*10)-144)/1000)*AL2375+AM2375*(J2375/Basis!$E$5)^2)*0.0098)/Basis!$E$10)</f>
        <v>9.6517445856657263E-3</v>
      </c>
      <c r="M2375" s="85"/>
      <c r="N2375" s="109">
        <v>1.373</v>
      </c>
      <c r="O2375" s="68"/>
      <c r="P2375" s="67">
        <v>1698</v>
      </c>
      <c r="Q2375" s="68"/>
      <c r="R2375" s="69"/>
      <c r="S2375" s="69"/>
      <c r="T2375" s="69"/>
      <c r="U2375" s="69"/>
      <c r="V2375" s="69"/>
      <c r="W2375" s="68"/>
      <c r="X2375" s="70"/>
      <c r="Y2375" s="70"/>
      <c r="Z2375" s="70"/>
      <c r="AA2375" s="70"/>
      <c r="AB2375" s="70"/>
      <c r="AC2375" s="68"/>
      <c r="AD2375" s="71"/>
      <c r="AE2375" s="71"/>
      <c r="AF2375" s="71"/>
      <c r="AG2375" s="71"/>
      <c r="AH2375" s="71"/>
      <c r="AI2375" s="68"/>
      <c r="AJ2375" s="214">
        <v>1.2760000000000001E-4</v>
      </c>
      <c r="AK2375" s="214">
        <v>1.7219</v>
      </c>
      <c r="AL2375" s="214">
        <v>2</v>
      </c>
      <c r="AM2375" s="214">
        <v>3.76611E-4</v>
      </c>
      <c r="AN2375" s="68"/>
      <c r="AO2375" s="67"/>
      <c r="AP2375" s="67"/>
      <c r="AQ2375" s="67"/>
      <c r="AR2375" s="67"/>
      <c r="AS2375" s="67"/>
      <c r="AT2375" s="68"/>
      <c r="AU2375" s="49"/>
      <c r="AV2375" s="50"/>
    </row>
    <row r="2376" spans="1:48" ht="12.75" customHeight="1" x14ac:dyDescent="0.25">
      <c r="A2376" s="72" t="s">
        <v>20</v>
      </c>
      <c r="B2376" s="43" t="s">
        <v>2240</v>
      </c>
      <c r="C2376" s="44" t="s">
        <v>2534</v>
      </c>
      <c r="D2376" s="45">
        <f>MROUND(MID($C2376,6,3)/Basis!$E$3,0.5)</f>
        <v>19.5</v>
      </c>
      <c r="E2376" s="45">
        <f>MROUND(MID($C2376,9,3)/Basis!$E$3,0.5)</f>
        <v>27.5</v>
      </c>
      <c r="F2376" s="124" t="s">
        <v>2948</v>
      </c>
      <c r="G2376" s="45">
        <f>ROUND((ROUNDDOWN($F2376/5,0)*5+1.8)/Basis!$E$3,1)</f>
        <v>8.6</v>
      </c>
      <c r="H2376" s="120">
        <f>ROUND($P2376*Basis!$E$2*((TaH-TrH)/LN(1/µ)/Basis!$E$7)^$N2376*$AA$4*Glycol,0)</f>
        <v>3777</v>
      </c>
      <c r="I2376" s="83">
        <f>ROUND(H2376/(MID($C2376,9,3)/Basis!$E$3/Basis!$E$9)*Basis!$E$11,0)</f>
        <v>1645</v>
      </c>
      <c r="J2376" s="123">
        <f>IF(Basis!$E$1=1,ROUND(H2376/((TaH-TrH)*1.163)/3600,3),ROUND(H2376/(500*(TaH-TrH)),2))</f>
        <v>0.38</v>
      </c>
      <c r="K2376" s="84"/>
      <c r="L2376" s="177">
        <f>CHOOSE(Basis!$E$1,((AJ2376*(J2376*3600/Basis!$E$5)^AK2376*(((MID(C2376,9,3)*10)-144)/1000)*AL2376+AM2376*(J2376*3600/Basis!$E$5)^2)*0.0098)/Basis!$E$10,((AJ2376*(J2376/Basis!$E$5)^AK2376*(((MID(C2376,9,3)*10)-144)/1000)*AL2376+AM2376*(J2376/Basis!$E$5)^2)*0.0098)/Basis!$E$10)</f>
        <v>1.4524543753618762E-2</v>
      </c>
      <c r="M2376" s="85"/>
      <c r="N2376" s="110">
        <v>1.4850000000000001</v>
      </c>
      <c r="O2376" s="74"/>
      <c r="P2376" s="73">
        <v>1807</v>
      </c>
      <c r="Q2376" s="74"/>
      <c r="R2376" s="75"/>
      <c r="S2376" s="75"/>
      <c r="T2376" s="75"/>
      <c r="U2376" s="75"/>
      <c r="V2376" s="75"/>
      <c r="W2376" s="74"/>
      <c r="X2376" s="76"/>
      <c r="Y2376" s="76"/>
      <c r="Z2376" s="76"/>
      <c r="AA2376" s="76"/>
      <c r="AB2376" s="76"/>
      <c r="AC2376" s="74"/>
      <c r="AD2376" s="77"/>
      <c r="AE2376" s="77"/>
      <c r="AF2376" s="77"/>
      <c r="AG2376" s="77"/>
      <c r="AH2376" s="77"/>
      <c r="AI2376" s="68"/>
      <c r="AJ2376" s="213">
        <v>1.2760000000000001E-4</v>
      </c>
      <c r="AK2376" s="213">
        <v>1.7219</v>
      </c>
      <c r="AL2376" s="213">
        <v>4</v>
      </c>
      <c r="AM2376" s="213">
        <v>5.1420100000000005E-4</v>
      </c>
      <c r="AN2376" s="74"/>
      <c r="AO2376" s="73"/>
      <c r="AP2376" s="73"/>
      <c r="AQ2376" s="73"/>
      <c r="AR2376" s="73"/>
      <c r="AS2376" s="73"/>
      <c r="AT2376" s="74"/>
      <c r="AU2376" s="47"/>
      <c r="AV2376" s="48"/>
    </row>
    <row r="2377" spans="1:48" ht="12.75" customHeight="1" x14ac:dyDescent="0.25">
      <c r="A2377" s="72" t="s">
        <v>20</v>
      </c>
      <c r="B2377" s="43" t="s">
        <v>2240</v>
      </c>
      <c r="C2377" s="44" t="s">
        <v>2535</v>
      </c>
      <c r="D2377" s="45">
        <f>MROUND(MID($C2377,6,3)/Basis!$E$3,0.5)</f>
        <v>19.5</v>
      </c>
      <c r="E2377" s="45">
        <f>MROUND(MID($C2377,9,3)/Basis!$E$3,0.5)</f>
        <v>31.5</v>
      </c>
      <c r="F2377" s="124" t="s">
        <v>2943</v>
      </c>
      <c r="G2377" s="45">
        <f>ROUND((ROUNDDOWN($F2377/5,0)*5+1.8)/Basis!$E$3,1)</f>
        <v>4.5999999999999996</v>
      </c>
      <c r="H2377" s="120">
        <f>ROUND($P2377*Basis!$E$2*((TaH-TrH)/LN(1/µ)/Basis!$E$7)^$N2377*$AA$4*Glycol,0)</f>
        <v>1860</v>
      </c>
      <c r="I2377" s="83">
        <f>ROUND(H2377/(MID($C2377,9,3)/Basis!$E$3/Basis!$E$9)*Basis!$E$11,0)</f>
        <v>709</v>
      </c>
      <c r="J2377" s="123">
        <f>IF(Basis!$E$1=1,ROUND(H2377/((TaH-TrH)*1.163)/3600,3),ROUND(H2377/(500*(TaH-TrH)),2))</f>
        <v>0.19</v>
      </c>
      <c r="K2377" s="84"/>
      <c r="L2377" s="177">
        <f>CHOOSE(Basis!$E$1,((AJ2377*(J2377*3600/Basis!$E$5)^AK2377*(((MID(C2377,9,3)*10)-144)/1000)*AL2377+AM2377*(J2377*3600/Basis!$E$5)^2)*0.0098)/Basis!$E$10,((AJ2377*(J2377/Basis!$E$5)^AK2377*(((MID(C2377,9,3)*10)-144)/1000)*AL2377+AM2377*(J2377/Basis!$E$5)^2)*0.0098)/Basis!$E$10)</f>
        <v>3.404198837016622E-3</v>
      </c>
      <c r="M2377" s="85"/>
      <c r="N2377" s="110">
        <v>1.385</v>
      </c>
      <c r="O2377" s="74"/>
      <c r="P2377" s="73">
        <v>861</v>
      </c>
      <c r="Q2377" s="74"/>
      <c r="R2377" s="75"/>
      <c r="S2377" s="75"/>
      <c r="T2377" s="75"/>
      <c r="U2377" s="75"/>
      <c r="V2377" s="75"/>
      <c r="W2377" s="74"/>
      <c r="X2377" s="76"/>
      <c r="Y2377" s="76"/>
      <c r="Z2377" s="76"/>
      <c r="AA2377" s="76"/>
      <c r="AB2377" s="76"/>
      <c r="AC2377" s="74"/>
      <c r="AD2377" s="77"/>
      <c r="AE2377" s="77"/>
      <c r="AF2377" s="77"/>
      <c r="AG2377" s="77"/>
      <c r="AH2377" s="77"/>
      <c r="AI2377" s="68"/>
      <c r="AJ2377" s="213">
        <v>3.9689999999999994E-4</v>
      </c>
      <c r="AK2377" s="213">
        <v>1.7345999999999999</v>
      </c>
      <c r="AL2377" s="213">
        <v>2</v>
      </c>
      <c r="AM2377" s="213">
        <v>3.6734700000000002E-4</v>
      </c>
      <c r="AN2377" s="74"/>
      <c r="AO2377" s="73"/>
      <c r="AP2377" s="73"/>
      <c r="AQ2377" s="73"/>
      <c r="AR2377" s="73"/>
      <c r="AS2377" s="73"/>
      <c r="AT2377" s="74"/>
      <c r="AU2377" s="47"/>
      <c r="AV2377" s="48"/>
    </row>
    <row r="2378" spans="1:48" ht="12.75" customHeight="1" x14ac:dyDescent="0.25">
      <c r="A2378" s="72" t="s">
        <v>20</v>
      </c>
      <c r="B2378" s="43" t="s">
        <v>2240</v>
      </c>
      <c r="C2378" s="44" t="s">
        <v>2536</v>
      </c>
      <c r="D2378" s="45">
        <f>MROUND(MID($C2378,6,3)/Basis!$E$3,0.5)</f>
        <v>19.5</v>
      </c>
      <c r="E2378" s="45">
        <f>MROUND(MID($C2378,9,3)/Basis!$E$3,0.5)</f>
        <v>31.5</v>
      </c>
      <c r="F2378" s="124" t="s">
        <v>2946</v>
      </c>
      <c r="G2378" s="45">
        <f>ROUND((ROUNDDOWN($F2378/5,0)*5+1.8)/Basis!$E$3,1)</f>
        <v>4.5999999999999996</v>
      </c>
      <c r="H2378" s="120">
        <f>ROUND($P2378*Basis!$E$2*((TaH-TrH)/LN(1/µ)/Basis!$E$7)^$N2378*$AA$4*Glycol,0)</f>
        <v>2354</v>
      </c>
      <c r="I2378" s="83">
        <f>ROUND(H2378/(MID($C2378,9,3)/Basis!$E$3/Basis!$E$9)*Basis!$E$11,0)</f>
        <v>897</v>
      </c>
      <c r="J2378" s="123">
        <f>IF(Basis!$E$1=1,ROUND(H2378/((TaH-TrH)*1.163)/3600,3),ROUND(H2378/(500*(TaH-TrH)),2))</f>
        <v>0.24</v>
      </c>
      <c r="K2378" s="84"/>
      <c r="L2378" s="177">
        <f>CHOOSE(Basis!$E$1,((AJ2378*(J2378*3600/Basis!$E$5)^AK2378*(((MID(C2378,9,3)*10)-144)/1000)*AL2378+AM2378*(J2378*3600/Basis!$E$5)^2)*0.0098)/Basis!$E$10,((AJ2378*(J2378/Basis!$E$5)^AK2378*(((MID(C2378,9,3)*10)-144)/1000)*AL2378+AM2378*(J2378/Basis!$E$5)^2)*0.0098)/Basis!$E$10)</f>
        <v>9.0808867386825715E-3</v>
      </c>
      <c r="M2378" s="85"/>
      <c r="N2378" s="109">
        <v>1.4379999999999999</v>
      </c>
      <c r="O2378" s="68"/>
      <c r="P2378" s="67">
        <v>1109</v>
      </c>
      <c r="Q2378" s="68"/>
      <c r="R2378" s="69"/>
      <c r="S2378" s="69"/>
      <c r="T2378" s="69"/>
      <c r="U2378" s="69"/>
      <c r="V2378" s="69"/>
      <c r="W2378" s="68"/>
      <c r="X2378" s="70"/>
      <c r="Y2378" s="70"/>
      <c r="Z2378" s="70"/>
      <c r="AA2378" s="70"/>
      <c r="AB2378" s="70"/>
      <c r="AC2378" s="68"/>
      <c r="AD2378" s="71"/>
      <c r="AE2378" s="71"/>
      <c r="AF2378" s="71"/>
      <c r="AG2378" s="71"/>
      <c r="AH2378" s="71"/>
      <c r="AI2378" s="68"/>
      <c r="AJ2378" s="214">
        <v>3.9689999999999994E-4</v>
      </c>
      <c r="AK2378" s="214">
        <v>1.7345999999999999</v>
      </c>
      <c r="AL2378" s="214">
        <v>4</v>
      </c>
      <c r="AM2378" s="214">
        <v>5.7428799999999995E-4</v>
      </c>
      <c r="AN2378" s="68"/>
      <c r="AO2378" s="67"/>
      <c r="AP2378" s="67"/>
      <c r="AQ2378" s="67"/>
      <c r="AR2378" s="67"/>
      <c r="AS2378" s="67"/>
      <c r="AT2378" s="68"/>
      <c r="AU2378" s="49"/>
      <c r="AV2378" s="50"/>
    </row>
    <row r="2379" spans="1:48" ht="12.75" customHeight="1" x14ac:dyDescent="0.25">
      <c r="A2379" s="72" t="s">
        <v>20</v>
      </c>
      <c r="B2379" s="43" t="s">
        <v>2240</v>
      </c>
      <c r="C2379" s="44" t="s">
        <v>2537</v>
      </c>
      <c r="D2379" s="45">
        <f>MROUND(MID($C2379,6,3)/Basis!$E$3,0.5)</f>
        <v>19.5</v>
      </c>
      <c r="E2379" s="45">
        <f>MROUND(MID($C2379,9,3)/Basis!$E$3,0.5)</f>
        <v>31.5</v>
      </c>
      <c r="F2379" s="124" t="s">
        <v>2944</v>
      </c>
      <c r="G2379" s="45">
        <f>ROUND((ROUNDDOWN($F2379/5,0)*5+1.8)/Basis!$E$3,1)</f>
        <v>6.6</v>
      </c>
      <c r="H2379" s="120">
        <f>ROUND($P2379*Basis!$E$2*((TaH-TrH)/LN(1/µ)/Basis!$E$7)^$N2379*$AA$4*Glycol,0)</f>
        <v>3008</v>
      </c>
      <c r="I2379" s="83">
        <f>ROUND(H2379/(MID($C2379,9,3)/Basis!$E$3/Basis!$E$9)*Basis!$E$11,0)</f>
        <v>1146</v>
      </c>
      <c r="J2379" s="123">
        <f>IF(Basis!$E$1=1,ROUND(H2379/((TaH-TrH)*1.163)/3600,3),ROUND(H2379/(500*(TaH-TrH)),2))</f>
        <v>0.3</v>
      </c>
      <c r="K2379" s="84"/>
      <c r="L2379" s="177">
        <f>CHOOSE(Basis!$E$1,((AJ2379*(J2379*3600/Basis!$E$5)^AK2379*(((MID(C2379,9,3)*10)-144)/1000)*AL2379+AM2379*(J2379*3600/Basis!$E$5)^2)*0.0098)/Basis!$E$10,((AJ2379*(J2379/Basis!$E$5)^AK2379*(((MID(C2379,9,3)*10)-144)/1000)*AL2379+AM2379*(J2379/Basis!$E$5)^2)*0.0098)/Basis!$E$10)</f>
        <v>8.304580842692727E-3</v>
      </c>
      <c r="M2379" s="85"/>
      <c r="N2379" s="109">
        <v>1.373</v>
      </c>
      <c r="O2379" s="68"/>
      <c r="P2379" s="67">
        <v>1387</v>
      </c>
      <c r="Q2379" s="68"/>
      <c r="R2379" s="69"/>
      <c r="S2379" s="69"/>
      <c r="T2379" s="69"/>
      <c r="U2379" s="69"/>
      <c r="V2379" s="69"/>
      <c r="W2379" s="68"/>
      <c r="X2379" s="70"/>
      <c r="Y2379" s="70"/>
      <c r="Z2379" s="70"/>
      <c r="AA2379" s="70"/>
      <c r="AB2379" s="70"/>
      <c r="AC2379" s="68"/>
      <c r="AD2379" s="71"/>
      <c r="AE2379" s="71"/>
      <c r="AF2379" s="71"/>
      <c r="AG2379" s="71"/>
      <c r="AH2379" s="71"/>
      <c r="AI2379" s="68"/>
      <c r="AJ2379" s="214">
        <v>2.0829999999999999E-4</v>
      </c>
      <c r="AK2379" s="214">
        <v>1.724</v>
      </c>
      <c r="AL2379" s="214">
        <v>2</v>
      </c>
      <c r="AM2379" s="214">
        <v>4.6182900000000003E-4</v>
      </c>
      <c r="AN2379" s="68"/>
      <c r="AO2379" s="67"/>
      <c r="AP2379" s="67"/>
      <c r="AQ2379" s="67"/>
      <c r="AR2379" s="67"/>
      <c r="AS2379" s="67"/>
      <c r="AT2379" s="68"/>
      <c r="AU2379" s="49"/>
      <c r="AV2379" s="50"/>
    </row>
    <row r="2380" spans="1:48" ht="12.75" customHeight="1" x14ac:dyDescent="0.25">
      <c r="A2380" s="72" t="s">
        <v>20</v>
      </c>
      <c r="B2380" s="43" t="s">
        <v>2240</v>
      </c>
      <c r="C2380" s="44" t="s">
        <v>2538</v>
      </c>
      <c r="D2380" s="45">
        <f>MROUND(MID($C2380,6,3)/Basis!$E$3,0.5)</f>
        <v>19.5</v>
      </c>
      <c r="E2380" s="45">
        <f>MROUND(MID($C2380,9,3)/Basis!$E$3,0.5)</f>
        <v>31.5</v>
      </c>
      <c r="F2380" s="124" t="s">
        <v>2947</v>
      </c>
      <c r="G2380" s="45">
        <f>ROUND((ROUNDDOWN($F2380/5,0)*5+1.8)/Basis!$E$3,1)</f>
        <v>6.6</v>
      </c>
      <c r="H2380" s="120">
        <f>ROUND($P2380*Basis!$E$2*((TaH-TrH)/LN(1/µ)/Basis!$E$7)^$N2380*$AA$4*Glycol,0)</f>
        <v>3195</v>
      </c>
      <c r="I2380" s="83">
        <f>ROUND(H2380/(MID($C2380,9,3)/Basis!$E$3/Basis!$E$9)*Basis!$E$11,0)</f>
        <v>1217</v>
      </c>
      <c r="J2380" s="123">
        <f>IF(Basis!$E$1=1,ROUND(H2380/((TaH-TrH)*1.163)/3600,3),ROUND(H2380/(500*(TaH-TrH)),2))</f>
        <v>0.32</v>
      </c>
      <c r="K2380" s="84"/>
      <c r="L2380" s="177">
        <f>CHOOSE(Basis!$E$1,((AJ2380*(J2380*3600/Basis!$E$5)^AK2380*(((MID(C2380,9,3)*10)-144)/1000)*AL2380+AM2380*(J2380*3600/Basis!$E$5)^2)*0.0098)/Basis!$E$10,((AJ2380*(J2380/Basis!$E$5)^AK2380*(((MID(C2380,9,3)*10)-144)/1000)*AL2380+AM2380*(J2380/Basis!$E$5)^2)*0.0098)/Basis!$E$10)</f>
        <v>2.6948417466216731E-2</v>
      </c>
      <c r="M2380" s="85"/>
      <c r="N2380" s="110">
        <v>1.464</v>
      </c>
      <c r="O2380" s="74"/>
      <c r="P2380" s="73">
        <v>1518</v>
      </c>
      <c r="Q2380" s="74"/>
      <c r="R2380" s="75"/>
      <c r="S2380" s="75"/>
      <c r="T2380" s="75"/>
      <c r="U2380" s="75"/>
      <c r="V2380" s="75"/>
      <c r="W2380" s="74"/>
      <c r="X2380" s="76"/>
      <c r="Y2380" s="76"/>
      <c r="Z2380" s="76"/>
      <c r="AA2380" s="76"/>
      <c r="AB2380" s="76"/>
      <c r="AC2380" s="74"/>
      <c r="AD2380" s="77"/>
      <c r="AE2380" s="77"/>
      <c r="AF2380" s="77"/>
      <c r="AG2380" s="77"/>
      <c r="AH2380" s="77"/>
      <c r="AI2380" s="68"/>
      <c r="AJ2380" s="213">
        <v>2.0829999999999999E-4</v>
      </c>
      <c r="AK2380" s="213">
        <v>1.724</v>
      </c>
      <c r="AL2380" s="213">
        <v>4</v>
      </c>
      <c r="AM2380" s="213">
        <v>1.392796E-3</v>
      </c>
      <c r="AN2380" s="74"/>
      <c r="AO2380" s="73"/>
      <c r="AP2380" s="73"/>
      <c r="AQ2380" s="73"/>
      <c r="AR2380" s="73"/>
      <c r="AS2380" s="73"/>
      <c r="AT2380" s="74"/>
      <c r="AU2380" s="47"/>
      <c r="AV2380" s="48"/>
    </row>
    <row r="2381" spans="1:48" ht="12.75" customHeight="1" x14ac:dyDescent="0.25">
      <c r="A2381" s="72" t="s">
        <v>20</v>
      </c>
      <c r="B2381" s="43" t="s">
        <v>2240</v>
      </c>
      <c r="C2381" s="44" t="s">
        <v>2539</v>
      </c>
      <c r="D2381" s="45">
        <f>MROUND(MID($C2381,6,3)/Basis!$E$3,0.5)</f>
        <v>19.5</v>
      </c>
      <c r="E2381" s="45">
        <f>MROUND(MID($C2381,9,3)/Basis!$E$3,0.5)</f>
        <v>31.5</v>
      </c>
      <c r="F2381" s="124" t="s">
        <v>2945</v>
      </c>
      <c r="G2381" s="45">
        <f>ROUND((ROUNDDOWN($F2381/5,0)*5+1.8)/Basis!$E$3,1)</f>
        <v>8.6</v>
      </c>
      <c r="H2381" s="120">
        <f>ROUND($P2381*Basis!$E$2*((TaH-TrH)/LN(1/µ)/Basis!$E$7)^$N2381*$AA$4*Glycol,0)</f>
        <v>4208</v>
      </c>
      <c r="I2381" s="83">
        <f>ROUND(H2381/(MID($C2381,9,3)/Basis!$E$3/Basis!$E$9)*Basis!$E$11,0)</f>
        <v>1603</v>
      </c>
      <c r="J2381" s="123">
        <f>IF(Basis!$E$1=1,ROUND(H2381/((TaH-TrH)*1.163)/3600,3),ROUND(H2381/(500*(TaH-TrH)),2))</f>
        <v>0.42</v>
      </c>
      <c r="K2381" s="84"/>
      <c r="L2381" s="177">
        <f>CHOOSE(Basis!$E$1,((AJ2381*(J2381*3600/Basis!$E$5)^AK2381*(((MID(C2381,9,3)*10)-144)/1000)*AL2381+AM2381*(J2381*3600/Basis!$E$5)^2)*0.0098)/Basis!$E$10,((AJ2381*(J2381/Basis!$E$5)^AK2381*(((MID(C2381,9,3)*10)-144)/1000)*AL2381+AM2381*(J2381/Basis!$E$5)^2)*0.0098)/Basis!$E$10)</f>
        <v>1.2607694752682985E-2</v>
      </c>
      <c r="M2381" s="85"/>
      <c r="N2381" s="110">
        <v>1.373</v>
      </c>
      <c r="O2381" s="74"/>
      <c r="P2381" s="73">
        <v>1940</v>
      </c>
      <c r="Q2381" s="74"/>
      <c r="R2381" s="75"/>
      <c r="S2381" s="75"/>
      <c r="T2381" s="75"/>
      <c r="U2381" s="75"/>
      <c r="V2381" s="75"/>
      <c r="W2381" s="74"/>
      <c r="X2381" s="76"/>
      <c r="Y2381" s="76"/>
      <c r="Z2381" s="76"/>
      <c r="AA2381" s="76"/>
      <c r="AB2381" s="76"/>
      <c r="AC2381" s="74"/>
      <c r="AD2381" s="77"/>
      <c r="AE2381" s="77"/>
      <c r="AF2381" s="77"/>
      <c r="AG2381" s="77"/>
      <c r="AH2381" s="77"/>
      <c r="AI2381" s="68"/>
      <c r="AJ2381" s="214">
        <v>1.2760000000000001E-4</v>
      </c>
      <c r="AK2381" s="214">
        <v>1.7219</v>
      </c>
      <c r="AL2381" s="214">
        <v>2</v>
      </c>
      <c r="AM2381" s="214">
        <v>3.76611E-4</v>
      </c>
      <c r="AN2381" s="74"/>
      <c r="AO2381" s="73"/>
      <c r="AP2381" s="73"/>
      <c r="AQ2381" s="73"/>
      <c r="AR2381" s="73"/>
      <c r="AS2381" s="73"/>
      <c r="AT2381" s="74"/>
      <c r="AU2381" s="47"/>
      <c r="AV2381" s="48"/>
    </row>
    <row r="2382" spans="1:48" ht="12.75" customHeight="1" x14ac:dyDescent="0.25">
      <c r="A2382" s="72" t="s">
        <v>20</v>
      </c>
      <c r="B2382" s="43" t="s">
        <v>2240</v>
      </c>
      <c r="C2382" s="44" t="s">
        <v>2540</v>
      </c>
      <c r="D2382" s="45">
        <f>MROUND(MID($C2382,6,3)/Basis!$E$3,0.5)</f>
        <v>19.5</v>
      </c>
      <c r="E2382" s="45">
        <f>MROUND(MID($C2382,9,3)/Basis!$E$3,0.5)</f>
        <v>31.5</v>
      </c>
      <c r="F2382" s="124" t="s">
        <v>2948</v>
      </c>
      <c r="G2382" s="45">
        <f>ROUND((ROUNDDOWN($F2382/5,0)*5+1.8)/Basis!$E$3,1)</f>
        <v>8.6</v>
      </c>
      <c r="H2382" s="120">
        <f>ROUND($P2382*Basis!$E$2*((TaH-TrH)/LN(1/µ)/Basis!$E$7)^$N2382*$AA$4*Glycol,0)</f>
        <v>4318</v>
      </c>
      <c r="I2382" s="83">
        <f>ROUND(H2382/(MID($C2382,9,3)/Basis!$E$3/Basis!$E$9)*Basis!$E$11,0)</f>
        <v>1645</v>
      </c>
      <c r="J2382" s="123">
        <f>IF(Basis!$E$1=1,ROUND(H2382/((TaH-TrH)*1.163)/3600,3),ROUND(H2382/(500*(TaH-TrH)),2))</f>
        <v>0.43</v>
      </c>
      <c r="K2382" s="84"/>
      <c r="L2382" s="177">
        <f>CHOOSE(Basis!$E$1,((AJ2382*(J2382*3600/Basis!$E$5)^AK2382*(((MID(C2382,9,3)*10)-144)/1000)*AL2382+AM2382*(J2382*3600/Basis!$E$5)^2)*0.0098)/Basis!$E$10,((AJ2382*(J2382/Basis!$E$5)^AK2382*(((MID(C2382,9,3)*10)-144)/1000)*AL2382+AM2382*(J2382/Basis!$E$5)^2)*0.0098)/Basis!$E$10)</f>
        <v>1.8956873544516892E-2</v>
      </c>
      <c r="M2382" s="85"/>
      <c r="N2382" s="109">
        <v>1.4850000000000001</v>
      </c>
      <c r="O2382" s="68"/>
      <c r="P2382" s="67">
        <v>2066</v>
      </c>
      <c r="Q2382" s="68"/>
      <c r="R2382" s="69"/>
      <c r="S2382" s="69"/>
      <c r="T2382" s="69"/>
      <c r="U2382" s="69"/>
      <c r="V2382" s="69"/>
      <c r="W2382" s="68"/>
      <c r="X2382" s="70"/>
      <c r="Y2382" s="70"/>
      <c r="Z2382" s="70"/>
      <c r="AA2382" s="70"/>
      <c r="AB2382" s="70"/>
      <c r="AC2382" s="68"/>
      <c r="AD2382" s="71"/>
      <c r="AE2382" s="71"/>
      <c r="AF2382" s="71"/>
      <c r="AG2382" s="71"/>
      <c r="AH2382" s="71"/>
      <c r="AI2382" s="68"/>
      <c r="AJ2382" s="214">
        <v>1.2760000000000001E-4</v>
      </c>
      <c r="AK2382" s="214">
        <v>1.7219</v>
      </c>
      <c r="AL2382" s="214">
        <v>4</v>
      </c>
      <c r="AM2382" s="214">
        <v>5.1420100000000005E-4</v>
      </c>
      <c r="AN2382" s="68"/>
      <c r="AO2382" s="67"/>
      <c r="AP2382" s="67"/>
      <c r="AQ2382" s="67"/>
      <c r="AR2382" s="67"/>
      <c r="AS2382" s="67"/>
      <c r="AT2382" s="68"/>
      <c r="AU2382" s="49"/>
      <c r="AV2382" s="50"/>
    </row>
    <row r="2383" spans="1:48" ht="12.75" customHeight="1" x14ac:dyDescent="0.25">
      <c r="A2383" s="72" t="s">
        <v>20</v>
      </c>
      <c r="B2383" s="43" t="s">
        <v>2240</v>
      </c>
      <c r="C2383" s="44" t="s">
        <v>2541</v>
      </c>
      <c r="D2383" s="45">
        <f>MROUND(MID($C2383,6,3)/Basis!$E$3,0.5)</f>
        <v>19.5</v>
      </c>
      <c r="E2383" s="45">
        <f>MROUND(MID($C2383,9,3)/Basis!$E$3,0.5)</f>
        <v>35.5</v>
      </c>
      <c r="F2383" s="124" t="s">
        <v>2943</v>
      </c>
      <c r="G2383" s="45">
        <f>ROUND((ROUNDDOWN($F2383/5,0)*5+1.8)/Basis!$E$3,1)</f>
        <v>4.5999999999999996</v>
      </c>
      <c r="H2383" s="120">
        <f>ROUND($P2383*Basis!$E$2*((TaH-TrH)/LN(1/µ)/Basis!$E$7)^$N2383*$AA$4*Glycol,0)</f>
        <v>2091</v>
      </c>
      <c r="I2383" s="83">
        <f>ROUND(H2383/(MID($C2383,9,3)/Basis!$E$3/Basis!$E$9)*Basis!$E$11,0)</f>
        <v>708</v>
      </c>
      <c r="J2383" s="123">
        <f>IF(Basis!$E$1=1,ROUND(H2383/((TaH-TrH)*1.163)/3600,3),ROUND(H2383/(500*(TaH-TrH)),2))</f>
        <v>0.21</v>
      </c>
      <c r="K2383" s="84"/>
      <c r="L2383" s="177">
        <f>CHOOSE(Basis!$E$1,((AJ2383*(J2383*3600/Basis!$E$5)^AK2383*(((MID(C2383,9,3)*10)-144)/1000)*AL2383+AM2383*(J2383*3600/Basis!$E$5)^2)*0.0098)/Basis!$E$10,((AJ2383*(J2383/Basis!$E$5)^AK2383*(((MID(C2383,9,3)*10)-144)/1000)*AL2383+AM2383*(J2383/Basis!$E$5)^2)*0.0098)/Basis!$E$10)</f>
        <v>4.3329096846455228E-3</v>
      </c>
      <c r="M2383" s="85"/>
      <c r="N2383" s="109">
        <v>1.385</v>
      </c>
      <c r="O2383" s="68"/>
      <c r="P2383" s="67">
        <v>968</v>
      </c>
      <c r="Q2383" s="68"/>
      <c r="R2383" s="69"/>
      <c r="S2383" s="69"/>
      <c r="T2383" s="69"/>
      <c r="U2383" s="69"/>
      <c r="V2383" s="69"/>
      <c r="W2383" s="68"/>
      <c r="X2383" s="70"/>
      <c r="Y2383" s="70"/>
      <c r="Z2383" s="70"/>
      <c r="AA2383" s="70"/>
      <c r="AB2383" s="70"/>
      <c r="AC2383" s="68"/>
      <c r="AD2383" s="71"/>
      <c r="AE2383" s="71"/>
      <c r="AF2383" s="71"/>
      <c r="AG2383" s="71"/>
      <c r="AH2383" s="71"/>
      <c r="AI2383" s="68"/>
      <c r="AJ2383" s="214">
        <v>3.9689999999999994E-4</v>
      </c>
      <c r="AK2383" s="214">
        <v>1.7345999999999999</v>
      </c>
      <c r="AL2383" s="214">
        <v>2</v>
      </c>
      <c r="AM2383" s="214">
        <v>3.6734700000000002E-4</v>
      </c>
      <c r="AN2383" s="68"/>
      <c r="AO2383" s="67"/>
      <c r="AP2383" s="67"/>
      <c r="AQ2383" s="67"/>
      <c r="AR2383" s="67"/>
      <c r="AS2383" s="67"/>
      <c r="AT2383" s="68"/>
      <c r="AU2383" s="49"/>
      <c r="AV2383" s="50"/>
    </row>
    <row r="2384" spans="1:48" ht="12.75" customHeight="1" x14ac:dyDescent="0.25">
      <c r="A2384" s="72" t="s">
        <v>20</v>
      </c>
      <c r="B2384" s="43" t="s">
        <v>2240</v>
      </c>
      <c r="C2384" s="44" t="s">
        <v>2542</v>
      </c>
      <c r="D2384" s="45">
        <f>MROUND(MID($C2384,6,3)/Basis!$E$3,0.5)</f>
        <v>19.5</v>
      </c>
      <c r="E2384" s="45">
        <f>MROUND(MID($C2384,9,3)/Basis!$E$3,0.5)</f>
        <v>35.5</v>
      </c>
      <c r="F2384" s="124" t="s">
        <v>2946</v>
      </c>
      <c r="G2384" s="45">
        <f>ROUND((ROUNDDOWN($F2384/5,0)*5+1.8)/Basis!$E$3,1)</f>
        <v>4.5999999999999996</v>
      </c>
      <c r="H2384" s="120">
        <f>ROUND($P2384*Basis!$E$2*((TaH-TrH)/LN(1/µ)/Basis!$E$7)^$N2384*$AA$4*Glycol,0)</f>
        <v>2647</v>
      </c>
      <c r="I2384" s="83">
        <f>ROUND(H2384/(MID($C2384,9,3)/Basis!$E$3/Basis!$E$9)*Basis!$E$11,0)</f>
        <v>896</v>
      </c>
      <c r="J2384" s="123">
        <f>IF(Basis!$E$1=1,ROUND(H2384/((TaH-TrH)*1.163)/3600,3),ROUND(H2384/(500*(TaH-TrH)),2))</f>
        <v>0.26</v>
      </c>
      <c r="K2384" s="84"/>
      <c r="L2384" s="177">
        <f>CHOOSE(Basis!$E$1,((AJ2384*(J2384*3600/Basis!$E$5)^AK2384*(((MID(C2384,9,3)*10)-144)/1000)*AL2384+AM2384*(J2384*3600/Basis!$E$5)^2)*0.0098)/Basis!$E$10,((AJ2384*(J2384/Basis!$E$5)^AK2384*(((MID(C2384,9,3)*10)-144)/1000)*AL2384+AM2384*(J2384/Basis!$E$5)^2)*0.0098)/Basis!$E$10)</f>
        <v>1.1184311409155216E-2</v>
      </c>
      <c r="M2384" s="85"/>
      <c r="N2384" s="110">
        <v>1.4379999999999999</v>
      </c>
      <c r="O2384" s="74"/>
      <c r="P2384" s="73">
        <v>1247</v>
      </c>
      <c r="Q2384" s="74"/>
      <c r="R2384" s="75"/>
      <c r="S2384" s="75"/>
      <c r="T2384" s="75"/>
      <c r="U2384" s="75"/>
      <c r="V2384" s="75"/>
      <c r="W2384" s="74"/>
      <c r="X2384" s="76"/>
      <c r="Y2384" s="76"/>
      <c r="Z2384" s="76"/>
      <c r="AA2384" s="76"/>
      <c r="AB2384" s="76"/>
      <c r="AC2384" s="74"/>
      <c r="AD2384" s="77"/>
      <c r="AE2384" s="77"/>
      <c r="AF2384" s="77"/>
      <c r="AG2384" s="77"/>
      <c r="AH2384" s="77"/>
      <c r="AI2384" s="68"/>
      <c r="AJ2384" s="213">
        <v>3.9689999999999994E-4</v>
      </c>
      <c r="AK2384" s="213">
        <v>1.7345999999999999</v>
      </c>
      <c r="AL2384" s="213">
        <v>4</v>
      </c>
      <c r="AM2384" s="213">
        <v>5.7428799999999995E-4</v>
      </c>
      <c r="AN2384" s="74"/>
      <c r="AO2384" s="73"/>
      <c r="AP2384" s="73"/>
      <c r="AQ2384" s="73"/>
      <c r="AR2384" s="73"/>
      <c r="AS2384" s="73"/>
      <c r="AT2384" s="74"/>
      <c r="AU2384" s="47"/>
      <c r="AV2384" s="48"/>
    </row>
    <row r="2385" spans="1:48" ht="12.75" customHeight="1" x14ac:dyDescent="0.25">
      <c r="A2385" s="72" t="s">
        <v>20</v>
      </c>
      <c r="B2385" s="43" t="s">
        <v>2240</v>
      </c>
      <c r="C2385" s="44" t="s">
        <v>2543</v>
      </c>
      <c r="D2385" s="45">
        <f>MROUND(MID($C2385,6,3)/Basis!$E$3,0.5)</f>
        <v>19.5</v>
      </c>
      <c r="E2385" s="45">
        <f>MROUND(MID($C2385,9,3)/Basis!$E$3,0.5)</f>
        <v>35.5</v>
      </c>
      <c r="F2385" s="124" t="s">
        <v>2944</v>
      </c>
      <c r="G2385" s="45">
        <f>ROUND((ROUNDDOWN($F2385/5,0)*5+1.8)/Basis!$E$3,1)</f>
        <v>6.6</v>
      </c>
      <c r="H2385" s="120">
        <f>ROUND($P2385*Basis!$E$2*((TaH-TrH)/LN(1/µ)/Basis!$E$7)^$N2385*$AA$4*Glycol,0)</f>
        <v>3386</v>
      </c>
      <c r="I2385" s="83">
        <f>ROUND(H2385/(MID($C2385,9,3)/Basis!$E$3/Basis!$E$9)*Basis!$E$11,0)</f>
        <v>1147</v>
      </c>
      <c r="J2385" s="123">
        <f>IF(Basis!$E$1=1,ROUND(H2385/((TaH-TrH)*1.163)/3600,3),ROUND(H2385/(500*(TaH-TrH)),2))</f>
        <v>0.34</v>
      </c>
      <c r="K2385" s="84"/>
      <c r="L2385" s="177">
        <f>CHOOSE(Basis!$E$1,((AJ2385*(J2385*3600/Basis!$E$5)^AK2385*(((MID(C2385,9,3)*10)-144)/1000)*AL2385+AM2385*(J2385*3600/Basis!$E$5)^2)*0.0098)/Basis!$E$10,((AJ2385*(J2385/Basis!$E$5)^AK2385*(((MID(C2385,9,3)*10)-144)/1000)*AL2385+AM2385*(J2385/Basis!$E$5)^2)*0.0098)/Basis!$E$10)</f>
        <v>1.085508029368876E-2</v>
      </c>
      <c r="M2385" s="85"/>
      <c r="N2385" s="110">
        <v>1.373</v>
      </c>
      <c r="O2385" s="74"/>
      <c r="P2385" s="73">
        <v>1561</v>
      </c>
      <c r="Q2385" s="74"/>
      <c r="R2385" s="75"/>
      <c r="S2385" s="75"/>
      <c r="T2385" s="75"/>
      <c r="U2385" s="75"/>
      <c r="V2385" s="75"/>
      <c r="W2385" s="74"/>
      <c r="X2385" s="76"/>
      <c r="Y2385" s="76"/>
      <c r="Z2385" s="76"/>
      <c r="AA2385" s="76"/>
      <c r="AB2385" s="76"/>
      <c r="AC2385" s="74"/>
      <c r="AD2385" s="77"/>
      <c r="AE2385" s="77"/>
      <c r="AF2385" s="77"/>
      <c r="AG2385" s="77"/>
      <c r="AH2385" s="77"/>
      <c r="AI2385" s="68"/>
      <c r="AJ2385" s="213">
        <v>2.0829999999999999E-4</v>
      </c>
      <c r="AK2385" s="213">
        <v>1.724</v>
      </c>
      <c r="AL2385" s="213">
        <v>2</v>
      </c>
      <c r="AM2385" s="213">
        <v>4.6182900000000003E-4</v>
      </c>
      <c r="AN2385" s="74"/>
      <c r="AO2385" s="73"/>
      <c r="AP2385" s="73"/>
      <c r="AQ2385" s="73"/>
      <c r="AR2385" s="73"/>
      <c r="AS2385" s="73"/>
      <c r="AT2385" s="74"/>
      <c r="AU2385" s="47"/>
      <c r="AV2385" s="48"/>
    </row>
    <row r="2386" spans="1:48" ht="12.75" customHeight="1" x14ac:dyDescent="0.25">
      <c r="A2386" s="72" t="s">
        <v>20</v>
      </c>
      <c r="B2386" s="43" t="s">
        <v>2240</v>
      </c>
      <c r="C2386" s="44" t="s">
        <v>2544</v>
      </c>
      <c r="D2386" s="45">
        <f>MROUND(MID($C2386,6,3)/Basis!$E$3,0.5)</f>
        <v>19.5</v>
      </c>
      <c r="E2386" s="45">
        <f>MROUND(MID($C2386,9,3)/Basis!$E$3,0.5)</f>
        <v>35.5</v>
      </c>
      <c r="F2386" s="124" t="s">
        <v>2947</v>
      </c>
      <c r="G2386" s="45">
        <f>ROUND((ROUNDDOWN($F2386/5,0)*5+1.8)/Basis!$E$3,1)</f>
        <v>6.6</v>
      </c>
      <c r="H2386" s="120">
        <f>ROUND($P2386*Basis!$E$2*((TaH-TrH)/LN(1/µ)/Basis!$E$7)^$N2386*$AA$4*Glycol,0)</f>
        <v>3595</v>
      </c>
      <c r="I2386" s="83">
        <f>ROUND(H2386/(MID($C2386,9,3)/Basis!$E$3/Basis!$E$9)*Basis!$E$11,0)</f>
        <v>1218</v>
      </c>
      <c r="J2386" s="123">
        <f>IF(Basis!$E$1=1,ROUND(H2386/((TaH-TrH)*1.163)/3600,3),ROUND(H2386/(500*(TaH-TrH)),2))</f>
        <v>0.36</v>
      </c>
      <c r="K2386" s="84"/>
      <c r="L2386" s="177">
        <f>CHOOSE(Basis!$E$1,((AJ2386*(J2386*3600/Basis!$E$5)^AK2386*(((MID(C2386,9,3)*10)-144)/1000)*AL2386+AM2386*(J2386*3600/Basis!$E$5)^2)*0.0098)/Basis!$E$10,((AJ2386*(J2386/Basis!$E$5)^AK2386*(((MID(C2386,9,3)*10)-144)/1000)*AL2386+AM2386*(J2386/Basis!$E$5)^2)*0.0098)/Basis!$E$10)</f>
        <v>3.4529672023749736E-2</v>
      </c>
      <c r="M2386" s="85"/>
      <c r="N2386" s="109">
        <v>1.464</v>
      </c>
      <c r="O2386" s="68"/>
      <c r="P2386" s="67">
        <v>1708</v>
      </c>
      <c r="Q2386" s="68"/>
      <c r="R2386" s="69"/>
      <c r="S2386" s="69"/>
      <c r="T2386" s="69"/>
      <c r="U2386" s="69"/>
      <c r="V2386" s="69"/>
      <c r="W2386" s="68"/>
      <c r="X2386" s="70"/>
      <c r="Y2386" s="70"/>
      <c r="Z2386" s="70"/>
      <c r="AA2386" s="70"/>
      <c r="AB2386" s="70"/>
      <c r="AC2386" s="68"/>
      <c r="AD2386" s="71"/>
      <c r="AE2386" s="71"/>
      <c r="AF2386" s="71"/>
      <c r="AG2386" s="71"/>
      <c r="AH2386" s="71"/>
      <c r="AI2386" s="68"/>
      <c r="AJ2386" s="214">
        <v>2.0829999999999999E-4</v>
      </c>
      <c r="AK2386" s="214">
        <v>1.724</v>
      </c>
      <c r="AL2386" s="214">
        <v>4</v>
      </c>
      <c r="AM2386" s="214">
        <v>1.392796E-3</v>
      </c>
      <c r="AN2386" s="68"/>
      <c r="AO2386" s="67"/>
      <c r="AP2386" s="67"/>
      <c r="AQ2386" s="67"/>
      <c r="AR2386" s="67"/>
      <c r="AS2386" s="67"/>
      <c r="AT2386" s="68"/>
      <c r="AU2386" s="49"/>
      <c r="AV2386" s="50"/>
    </row>
    <row r="2387" spans="1:48" ht="12.75" customHeight="1" x14ac:dyDescent="0.25">
      <c r="A2387" s="72" t="s">
        <v>20</v>
      </c>
      <c r="B2387" s="43" t="s">
        <v>2240</v>
      </c>
      <c r="C2387" s="44" t="s">
        <v>2545</v>
      </c>
      <c r="D2387" s="45">
        <f>MROUND(MID($C2387,6,3)/Basis!$E$3,0.5)</f>
        <v>19.5</v>
      </c>
      <c r="E2387" s="45">
        <f>MROUND(MID($C2387,9,3)/Basis!$E$3,0.5)</f>
        <v>35.5</v>
      </c>
      <c r="F2387" s="124" t="s">
        <v>2945</v>
      </c>
      <c r="G2387" s="45">
        <f>ROUND((ROUNDDOWN($F2387/5,0)*5+1.8)/Basis!$E$3,1)</f>
        <v>8.6</v>
      </c>
      <c r="H2387" s="120">
        <f>ROUND($P2387*Basis!$E$2*((TaH-TrH)/LN(1/µ)/Basis!$E$7)^$N2387*$AA$4*Glycol,0)</f>
        <v>4735</v>
      </c>
      <c r="I2387" s="83">
        <f>ROUND(H2387/(MID($C2387,9,3)/Basis!$E$3/Basis!$E$9)*Basis!$E$11,0)</f>
        <v>1604</v>
      </c>
      <c r="J2387" s="123">
        <f>IF(Basis!$E$1=1,ROUND(H2387/((TaH-TrH)*1.163)/3600,3),ROUND(H2387/(500*(TaH-TrH)),2))</f>
        <v>0.47</v>
      </c>
      <c r="K2387" s="84"/>
      <c r="L2387" s="177">
        <f>CHOOSE(Basis!$E$1,((AJ2387*(J2387*3600/Basis!$E$5)^AK2387*(((MID(C2387,9,3)*10)-144)/1000)*AL2387+AM2387*(J2387*3600/Basis!$E$5)^2)*0.0098)/Basis!$E$10,((AJ2387*(J2387/Basis!$E$5)^AK2387*(((MID(C2387,9,3)*10)-144)/1000)*AL2387+AM2387*(J2387/Basis!$E$5)^2)*0.0098)/Basis!$E$10)</f>
        <v>1.5993566399738358E-2</v>
      </c>
      <c r="M2387" s="85"/>
      <c r="N2387" s="109">
        <v>1.373</v>
      </c>
      <c r="O2387" s="68"/>
      <c r="P2387" s="67">
        <v>2183</v>
      </c>
      <c r="Q2387" s="68"/>
      <c r="R2387" s="69"/>
      <c r="S2387" s="69"/>
      <c r="T2387" s="69"/>
      <c r="U2387" s="69"/>
      <c r="V2387" s="69"/>
      <c r="W2387" s="68"/>
      <c r="X2387" s="70"/>
      <c r="Y2387" s="70"/>
      <c r="Z2387" s="70"/>
      <c r="AA2387" s="70"/>
      <c r="AB2387" s="70"/>
      <c r="AC2387" s="68"/>
      <c r="AD2387" s="71"/>
      <c r="AE2387" s="71"/>
      <c r="AF2387" s="71"/>
      <c r="AG2387" s="71"/>
      <c r="AH2387" s="71"/>
      <c r="AI2387" s="68"/>
      <c r="AJ2387" s="214">
        <v>1.2760000000000001E-4</v>
      </c>
      <c r="AK2387" s="214">
        <v>1.7219</v>
      </c>
      <c r="AL2387" s="214">
        <v>2</v>
      </c>
      <c r="AM2387" s="214">
        <v>3.76611E-4</v>
      </c>
      <c r="AN2387" s="68"/>
      <c r="AO2387" s="67"/>
      <c r="AP2387" s="67"/>
      <c r="AQ2387" s="67"/>
      <c r="AR2387" s="67"/>
      <c r="AS2387" s="67"/>
      <c r="AT2387" s="68"/>
      <c r="AU2387" s="49"/>
      <c r="AV2387" s="50"/>
    </row>
    <row r="2388" spans="1:48" ht="12.75" customHeight="1" x14ac:dyDescent="0.25">
      <c r="A2388" s="72" t="s">
        <v>20</v>
      </c>
      <c r="B2388" s="43" t="s">
        <v>2240</v>
      </c>
      <c r="C2388" s="44" t="s">
        <v>2546</v>
      </c>
      <c r="D2388" s="45">
        <f>MROUND(MID($C2388,6,3)/Basis!$E$3,0.5)</f>
        <v>19.5</v>
      </c>
      <c r="E2388" s="45">
        <f>MROUND(MID($C2388,9,3)/Basis!$E$3,0.5)</f>
        <v>35.5</v>
      </c>
      <c r="F2388" s="124" t="s">
        <v>2948</v>
      </c>
      <c r="G2388" s="45">
        <f>ROUND((ROUNDDOWN($F2388/5,0)*5+1.8)/Basis!$E$3,1)</f>
        <v>8.6</v>
      </c>
      <c r="H2388" s="120">
        <f>ROUND($P2388*Basis!$E$2*((TaH-TrH)/LN(1/µ)/Basis!$E$7)^$N2388*$AA$4*Glycol,0)</f>
        <v>4857</v>
      </c>
      <c r="I2388" s="83">
        <f>ROUND(H2388/(MID($C2388,9,3)/Basis!$E$3/Basis!$E$9)*Basis!$E$11,0)</f>
        <v>1645</v>
      </c>
      <c r="J2388" s="123">
        <f>IF(Basis!$E$1=1,ROUND(H2388/((TaH-TrH)*1.163)/3600,3),ROUND(H2388/(500*(TaH-TrH)),2))</f>
        <v>0.49</v>
      </c>
      <c r="K2388" s="84"/>
      <c r="L2388" s="177">
        <f>CHOOSE(Basis!$E$1,((AJ2388*(J2388*3600/Basis!$E$5)^AK2388*(((MID(C2388,9,3)*10)-144)/1000)*AL2388+AM2388*(J2388*3600/Basis!$E$5)^2)*0.0098)/Basis!$E$10,((AJ2388*(J2388/Basis!$E$5)^AK2388*(((MID(C2388,9,3)*10)-144)/1000)*AL2388+AM2388*(J2388/Basis!$E$5)^2)*0.0098)/Basis!$E$10)</f>
        <v>2.5038441421889414E-2</v>
      </c>
      <c r="M2388" s="85"/>
      <c r="N2388" s="110">
        <v>1.4850000000000001</v>
      </c>
      <c r="O2388" s="74"/>
      <c r="P2388" s="73">
        <v>2324</v>
      </c>
      <c r="Q2388" s="74"/>
      <c r="R2388" s="75"/>
      <c r="S2388" s="75"/>
      <c r="T2388" s="75"/>
      <c r="U2388" s="75"/>
      <c r="V2388" s="75"/>
      <c r="W2388" s="74"/>
      <c r="X2388" s="76"/>
      <c r="Y2388" s="76"/>
      <c r="Z2388" s="76"/>
      <c r="AA2388" s="76"/>
      <c r="AB2388" s="76"/>
      <c r="AC2388" s="74"/>
      <c r="AD2388" s="77"/>
      <c r="AE2388" s="77"/>
      <c r="AF2388" s="77"/>
      <c r="AG2388" s="77"/>
      <c r="AH2388" s="77"/>
      <c r="AI2388" s="68"/>
      <c r="AJ2388" s="213">
        <v>1.2760000000000001E-4</v>
      </c>
      <c r="AK2388" s="213">
        <v>1.7219</v>
      </c>
      <c r="AL2388" s="213">
        <v>4</v>
      </c>
      <c r="AM2388" s="213">
        <v>5.1420100000000005E-4</v>
      </c>
      <c r="AN2388" s="74"/>
      <c r="AO2388" s="73"/>
      <c r="AP2388" s="73"/>
      <c r="AQ2388" s="73"/>
      <c r="AR2388" s="73"/>
      <c r="AS2388" s="73"/>
      <c r="AT2388" s="74"/>
      <c r="AU2388" s="47"/>
      <c r="AV2388" s="48"/>
    </row>
    <row r="2389" spans="1:48" ht="12.75" customHeight="1" x14ac:dyDescent="0.25">
      <c r="A2389" s="72" t="s">
        <v>20</v>
      </c>
      <c r="B2389" s="43" t="s">
        <v>2240</v>
      </c>
      <c r="C2389" s="44" t="s">
        <v>2547</v>
      </c>
      <c r="D2389" s="45">
        <f>MROUND(MID($C2389,6,3)/Basis!$E$3,0.5)</f>
        <v>19.5</v>
      </c>
      <c r="E2389" s="45">
        <f>MROUND(MID($C2389,9,3)/Basis!$E$3,0.5)</f>
        <v>39.5</v>
      </c>
      <c r="F2389" s="124" t="s">
        <v>2943</v>
      </c>
      <c r="G2389" s="45">
        <f>ROUND((ROUNDDOWN($F2389/5,0)*5+1.8)/Basis!$E$3,1)</f>
        <v>4.5999999999999996</v>
      </c>
      <c r="H2389" s="120">
        <f>ROUND($P2389*Basis!$E$2*((TaH-TrH)/LN(1/µ)/Basis!$E$7)^$N2389*$AA$4*Glycol,0)</f>
        <v>2324</v>
      </c>
      <c r="I2389" s="83">
        <f>ROUND(H2389/(MID($C2389,9,3)/Basis!$E$3/Basis!$E$9)*Basis!$E$11,0)</f>
        <v>708</v>
      </c>
      <c r="J2389" s="123">
        <f>IF(Basis!$E$1=1,ROUND(H2389/((TaH-TrH)*1.163)/3600,3),ROUND(H2389/(500*(TaH-TrH)),2))</f>
        <v>0.23</v>
      </c>
      <c r="K2389" s="84"/>
      <c r="L2389" s="177">
        <f>CHOOSE(Basis!$E$1,((AJ2389*(J2389*3600/Basis!$E$5)^AK2389*(((MID(C2389,9,3)*10)-144)/1000)*AL2389+AM2389*(J2389*3600/Basis!$E$5)^2)*0.0098)/Basis!$E$10,((AJ2389*(J2389/Basis!$E$5)^AK2389*(((MID(C2389,9,3)*10)-144)/1000)*AL2389+AM2389*(J2389/Basis!$E$5)^2)*0.0098)/Basis!$E$10)</f>
        <v>5.3996163181241211E-3</v>
      </c>
      <c r="M2389" s="85"/>
      <c r="N2389" s="110">
        <v>1.385</v>
      </c>
      <c r="O2389" s="74"/>
      <c r="P2389" s="73">
        <v>1076</v>
      </c>
      <c r="Q2389" s="74"/>
      <c r="R2389" s="75"/>
      <c r="S2389" s="75"/>
      <c r="T2389" s="75"/>
      <c r="U2389" s="75"/>
      <c r="V2389" s="75"/>
      <c r="W2389" s="74"/>
      <c r="X2389" s="76"/>
      <c r="Y2389" s="76"/>
      <c r="Z2389" s="76"/>
      <c r="AA2389" s="76"/>
      <c r="AB2389" s="76"/>
      <c r="AC2389" s="74"/>
      <c r="AD2389" s="77"/>
      <c r="AE2389" s="77"/>
      <c r="AF2389" s="77"/>
      <c r="AG2389" s="77"/>
      <c r="AH2389" s="77"/>
      <c r="AI2389" s="68"/>
      <c r="AJ2389" s="213">
        <v>3.9689999999999994E-4</v>
      </c>
      <c r="AK2389" s="213">
        <v>1.7345999999999999</v>
      </c>
      <c r="AL2389" s="213">
        <v>2</v>
      </c>
      <c r="AM2389" s="213">
        <v>3.6734700000000002E-4</v>
      </c>
      <c r="AN2389" s="74"/>
      <c r="AO2389" s="73"/>
      <c r="AP2389" s="73"/>
      <c r="AQ2389" s="73"/>
      <c r="AR2389" s="73"/>
      <c r="AS2389" s="73"/>
      <c r="AT2389" s="74"/>
      <c r="AU2389" s="47"/>
      <c r="AV2389" s="48"/>
    </row>
    <row r="2390" spans="1:48" ht="12.75" customHeight="1" x14ac:dyDescent="0.25">
      <c r="A2390" s="72" t="s">
        <v>20</v>
      </c>
      <c r="B2390" s="43" t="s">
        <v>2240</v>
      </c>
      <c r="C2390" s="44" t="s">
        <v>2548</v>
      </c>
      <c r="D2390" s="45">
        <f>MROUND(MID($C2390,6,3)/Basis!$E$3,0.5)</f>
        <v>19.5</v>
      </c>
      <c r="E2390" s="45">
        <f>MROUND(MID($C2390,9,3)/Basis!$E$3,0.5)</f>
        <v>39.5</v>
      </c>
      <c r="F2390" s="124" t="s">
        <v>2946</v>
      </c>
      <c r="G2390" s="45">
        <f>ROUND((ROUNDDOWN($F2390/5,0)*5+1.8)/Basis!$E$3,1)</f>
        <v>4.5999999999999996</v>
      </c>
      <c r="H2390" s="120">
        <f>ROUND($P2390*Basis!$E$2*((TaH-TrH)/LN(1/µ)/Basis!$E$7)^$N2390*$AA$4*Glycol,0)</f>
        <v>2942</v>
      </c>
      <c r="I2390" s="83">
        <f>ROUND(H2390/(MID($C2390,9,3)/Basis!$E$3/Basis!$E$9)*Basis!$E$11,0)</f>
        <v>897</v>
      </c>
      <c r="J2390" s="123">
        <f>IF(Basis!$E$1=1,ROUND(H2390/((TaH-TrH)*1.163)/3600,3),ROUND(H2390/(500*(TaH-TrH)),2))</f>
        <v>0.28999999999999998</v>
      </c>
      <c r="K2390" s="84"/>
      <c r="L2390" s="177">
        <f>CHOOSE(Basis!$E$1,((AJ2390*(J2390*3600/Basis!$E$5)^AK2390*(((MID(C2390,9,3)*10)-144)/1000)*AL2390+AM2390*(J2390*3600/Basis!$E$5)^2)*0.0098)/Basis!$E$10,((AJ2390*(J2390/Basis!$E$5)^AK2390*(((MID(C2390,9,3)*10)-144)/1000)*AL2390+AM2390*(J2390/Basis!$E$5)^2)*0.0098)/Basis!$E$10)</f>
        <v>1.4490597095091937E-2</v>
      </c>
      <c r="M2390" s="85"/>
      <c r="N2390" s="109">
        <v>1.4379999999999999</v>
      </c>
      <c r="O2390" s="68"/>
      <c r="P2390" s="67">
        <v>1386</v>
      </c>
      <c r="Q2390" s="68"/>
      <c r="R2390" s="69"/>
      <c r="S2390" s="69"/>
      <c r="T2390" s="69"/>
      <c r="U2390" s="69"/>
      <c r="V2390" s="69"/>
      <c r="W2390" s="68"/>
      <c r="X2390" s="70"/>
      <c r="Y2390" s="70"/>
      <c r="Z2390" s="70"/>
      <c r="AA2390" s="70"/>
      <c r="AB2390" s="70"/>
      <c r="AC2390" s="68"/>
      <c r="AD2390" s="71"/>
      <c r="AE2390" s="71"/>
      <c r="AF2390" s="71"/>
      <c r="AG2390" s="71"/>
      <c r="AH2390" s="71"/>
      <c r="AI2390" s="68"/>
      <c r="AJ2390" s="214">
        <v>3.9689999999999994E-4</v>
      </c>
      <c r="AK2390" s="214">
        <v>1.7345999999999999</v>
      </c>
      <c r="AL2390" s="214">
        <v>4</v>
      </c>
      <c r="AM2390" s="214">
        <v>5.7428799999999995E-4</v>
      </c>
      <c r="AN2390" s="68"/>
      <c r="AO2390" s="67"/>
      <c r="AP2390" s="67"/>
      <c r="AQ2390" s="67"/>
      <c r="AR2390" s="67"/>
      <c r="AS2390" s="67"/>
      <c r="AT2390" s="68"/>
      <c r="AU2390" s="49"/>
      <c r="AV2390" s="50"/>
    </row>
    <row r="2391" spans="1:48" ht="12.75" customHeight="1" x14ac:dyDescent="0.25">
      <c r="A2391" s="72" t="s">
        <v>20</v>
      </c>
      <c r="B2391" s="43" t="s">
        <v>2240</v>
      </c>
      <c r="C2391" s="44" t="s">
        <v>2549</v>
      </c>
      <c r="D2391" s="45">
        <f>MROUND(MID($C2391,6,3)/Basis!$E$3,0.5)</f>
        <v>19.5</v>
      </c>
      <c r="E2391" s="45">
        <f>MROUND(MID($C2391,9,3)/Basis!$E$3,0.5)</f>
        <v>39.5</v>
      </c>
      <c r="F2391" s="124" t="s">
        <v>2944</v>
      </c>
      <c r="G2391" s="45">
        <f>ROUND((ROUNDDOWN($F2391/5,0)*5+1.8)/Basis!$E$3,1)</f>
        <v>6.6</v>
      </c>
      <c r="H2391" s="120">
        <f>ROUND($P2391*Basis!$E$2*((TaH-TrH)/LN(1/µ)/Basis!$E$7)^$N2391*$AA$4*Glycol,0)</f>
        <v>3761</v>
      </c>
      <c r="I2391" s="83">
        <f>ROUND(H2391/(MID($C2391,9,3)/Basis!$E$3/Basis!$E$9)*Basis!$E$11,0)</f>
        <v>1146</v>
      </c>
      <c r="J2391" s="123">
        <f>IF(Basis!$E$1=1,ROUND(H2391/((TaH-TrH)*1.163)/3600,3),ROUND(H2391/(500*(TaH-TrH)),2))</f>
        <v>0.38</v>
      </c>
      <c r="K2391" s="84"/>
      <c r="L2391" s="177">
        <f>CHOOSE(Basis!$E$1,((AJ2391*(J2391*3600/Basis!$E$5)^AK2391*(((MID(C2391,9,3)*10)-144)/1000)*AL2391+AM2391*(J2391*3600/Basis!$E$5)^2)*0.0098)/Basis!$E$10,((AJ2391*(J2391/Basis!$E$5)^AK2391*(((MID(C2391,9,3)*10)-144)/1000)*AL2391+AM2391*(J2391/Basis!$E$5)^2)*0.0098)/Basis!$E$10)</f>
        <v>1.3786057701373792E-2</v>
      </c>
      <c r="M2391" s="85"/>
      <c r="N2391" s="109">
        <v>1.373</v>
      </c>
      <c r="O2391" s="68"/>
      <c r="P2391" s="67">
        <v>1734</v>
      </c>
      <c r="Q2391" s="68"/>
      <c r="R2391" s="69"/>
      <c r="S2391" s="69"/>
      <c r="T2391" s="69"/>
      <c r="U2391" s="69"/>
      <c r="V2391" s="69"/>
      <c r="W2391" s="68"/>
      <c r="X2391" s="70"/>
      <c r="Y2391" s="70"/>
      <c r="Z2391" s="70"/>
      <c r="AA2391" s="70"/>
      <c r="AB2391" s="70"/>
      <c r="AC2391" s="68"/>
      <c r="AD2391" s="71"/>
      <c r="AE2391" s="71"/>
      <c r="AF2391" s="71"/>
      <c r="AG2391" s="71"/>
      <c r="AH2391" s="71"/>
      <c r="AI2391" s="68"/>
      <c r="AJ2391" s="214">
        <v>2.0829999999999999E-4</v>
      </c>
      <c r="AK2391" s="214">
        <v>1.724</v>
      </c>
      <c r="AL2391" s="214">
        <v>2</v>
      </c>
      <c r="AM2391" s="214">
        <v>4.6182900000000003E-4</v>
      </c>
      <c r="AN2391" s="68"/>
      <c r="AO2391" s="67"/>
      <c r="AP2391" s="67"/>
      <c r="AQ2391" s="67"/>
      <c r="AR2391" s="67"/>
      <c r="AS2391" s="67"/>
      <c r="AT2391" s="68"/>
      <c r="AU2391" s="49"/>
      <c r="AV2391" s="50"/>
    </row>
    <row r="2392" spans="1:48" ht="12.75" customHeight="1" x14ac:dyDescent="0.25">
      <c r="A2392" s="72" t="s">
        <v>20</v>
      </c>
      <c r="B2392" s="43" t="s">
        <v>2240</v>
      </c>
      <c r="C2392" s="44" t="s">
        <v>2550</v>
      </c>
      <c r="D2392" s="45">
        <f>MROUND(MID($C2392,6,3)/Basis!$E$3,0.5)</f>
        <v>19.5</v>
      </c>
      <c r="E2392" s="45">
        <f>MROUND(MID($C2392,9,3)/Basis!$E$3,0.5)</f>
        <v>39.5</v>
      </c>
      <c r="F2392" s="124" t="s">
        <v>2947</v>
      </c>
      <c r="G2392" s="45">
        <f>ROUND((ROUNDDOWN($F2392/5,0)*5+1.8)/Basis!$E$3,1)</f>
        <v>6.6</v>
      </c>
      <c r="H2392" s="120">
        <f>ROUND($P2392*Basis!$E$2*((TaH-TrH)/LN(1/µ)/Basis!$E$7)^$N2392*$AA$4*Glycol,0)</f>
        <v>3995</v>
      </c>
      <c r="I2392" s="83">
        <f>ROUND(H2392/(MID($C2392,9,3)/Basis!$E$3/Basis!$E$9)*Basis!$E$11,0)</f>
        <v>1218</v>
      </c>
      <c r="J2392" s="123">
        <f>IF(Basis!$E$1=1,ROUND(H2392/((TaH-TrH)*1.163)/3600,3),ROUND(H2392/(500*(TaH-TrH)),2))</f>
        <v>0.4</v>
      </c>
      <c r="K2392" s="84"/>
      <c r="L2392" s="177">
        <f>CHOOSE(Basis!$E$1,((AJ2392*(J2392*3600/Basis!$E$5)^AK2392*(((MID(C2392,9,3)*10)-144)/1000)*AL2392+AM2392*(J2392*3600/Basis!$E$5)^2)*0.0098)/Basis!$E$10,((AJ2392*(J2392/Basis!$E$5)^AK2392*(((MID(C2392,9,3)*10)-144)/1000)*AL2392+AM2392*(J2392/Basis!$E$5)^2)*0.0098)/Basis!$E$10)</f>
        <v>4.3132488772067358E-2</v>
      </c>
      <c r="M2392" s="85"/>
      <c r="N2392" s="110">
        <v>1.464</v>
      </c>
      <c r="O2392" s="74"/>
      <c r="P2392" s="73">
        <v>1898</v>
      </c>
      <c r="Q2392" s="74"/>
      <c r="R2392" s="75"/>
      <c r="S2392" s="75"/>
      <c r="T2392" s="75"/>
      <c r="U2392" s="75"/>
      <c r="V2392" s="75"/>
      <c r="W2392" s="74"/>
      <c r="X2392" s="76"/>
      <c r="Y2392" s="76"/>
      <c r="Z2392" s="76"/>
      <c r="AA2392" s="76"/>
      <c r="AB2392" s="76"/>
      <c r="AC2392" s="74"/>
      <c r="AD2392" s="77"/>
      <c r="AE2392" s="77"/>
      <c r="AF2392" s="77"/>
      <c r="AG2392" s="77"/>
      <c r="AH2392" s="77"/>
      <c r="AI2392" s="68"/>
      <c r="AJ2392" s="213">
        <v>2.0829999999999999E-4</v>
      </c>
      <c r="AK2392" s="213">
        <v>1.724</v>
      </c>
      <c r="AL2392" s="213">
        <v>4</v>
      </c>
      <c r="AM2392" s="213">
        <v>1.392796E-3</v>
      </c>
      <c r="AN2392" s="74"/>
      <c r="AO2392" s="73"/>
      <c r="AP2392" s="73"/>
      <c r="AQ2392" s="73"/>
      <c r="AR2392" s="73"/>
      <c r="AS2392" s="73"/>
      <c r="AT2392" s="74"/>
      <c r="AU2392" s="47"/>
      <c r="AV2392" s="48"/>
    </row>
    <row r="2393" spans="1:48" ht="12.75" customHeight="1" x14ac:dyDescent="0.25">
      <c r="A2393" s="72" t="s">
        <v>20</v>
      </c>
      <c r="B2393" s="43" t="s">
        <v>2240</v>
      </c>
      <c r="C2393" s="44" t="s">
        <v>2551</v>
      </c>
      <c r="D2393" s="45">
        <f>MROUND(MID($C2393,6,3)/Basis!$E$3,0.5)</f>
        <v>19.5</v>
      </c>
      <c r="E2393" s="45">
        <f>MROUND(MID($C2393,9,3)/Basis!$E$3,0.5)</f>
        <v>39.5</v>
      </c>
      <c r="F2393" s="124" t="s">
        <v>2945</v>
      </c>
      <c r="G2393" s="45">
        <f>ROUND((ROUNDDOWN($F2393/5,0)*5+1.8)/Basis!$E$3,1)</f>
        <v>8.6</v>
      </c>
      <c r="H2393" s="120">
        <f>ROUND($P2393*Basis!$E$2*((TaH-TrH)/LN(1/µ)/Basis!$E$7)^$N2393*$AA$4*Glycol,0)</f>
        <v>5259</v>
      </c>
      <c r="I2393" s="83">
        <f>ROUND(H2393/(MID($C2393,9,3)/Basis!$E$3/Basis!$E$9)*Basis!$E$11,0)</f>
        <v>1603</v>
      </c>
      <c r="J2393" s="123">
        <f>IF(Basis!$E$1=1,ROUND(H2393/((TaH-TrH)*1.163)/3600,3),ROUND(H2393/(500*(TaH-TrH)),2))</f>
        <v>0.53</v>
      </c>
      <c r="K2393" s="84"/>
      <c r="L2393" s="177">
        <f>CHOOSE(Basis!$E$1,((AJ2393*(J2393*3600/Basis!$E$5)^AK2393*(((MID(C2393,9,3)*10)-144)/1000)*AL2393+AM2393*(J2393*3600/Basis!$E$5)^2)*0.0098)/Basis!$E$10,((AJ2393*(J2393/Basis!$E$5)^AK2393*(((MID(C2393,9,3)*10)-144)/1000)*AL2393+AM2393*(J2393/Basis!$E$5)^2)*0.0098)/Basis!$E$10)</f>
        <v>2.0574783929454853E-2</v>
      </c>
      <c r="M2393" s="85"/>
      <c r="N2393" s="110">
        <v>1.373</v>
      </c>
      <c r="O2393" s="74"/>
      <c r="P2393" s="73">
        <v>2425</v>
      </c>
      <c r="Q2393" s="74"/>
      <c r="R2393" s="75"/>
      <c r="S2393" s="75"/>
      <c r="T2393" s="75"/>
      <c r="U2393" s="75"/>
      <c r="V2393" s="75"/>
      <c r="W2393" s="74"/>
      <c r="X2393" s="76"/>
      <c r="Y2393" s="76"/>
      <c r="Z2393" s="76"/>
      <c r="AA2393" s="76"/>
      <c r="AB2393" s="76"/>
      <c r="AC2393" s="74"/>
      <c r="AD2393" s="77"/>
      <c r="AE2393" s="77"/>
      <c r="AF2393" s="77"/>
      <c r="AG2393" s="77"/>
      <c r="AH2393" s="77"/>
      <c r="AI2393" s="68"/>
      <c r="AJ2393" s="214">
        <v>1.2760000000000001E-4</v>
      </c>
      <c r="AK2393" s="214">
        <v>1.7219</v>
      </c>
      <c r="AL2393" s="214">
        <v>2</v>
      </c>
      <c r="AM2393" s="214">
        <v>3.76611E-4</v>
      </c>
      <c r="AN2393" s="74"/>
      <c r="AO2393" s="73"/>
      <c r="AP2393" s="73"/>
      <c r="AQ2393" s="73"/>
      <c r="AR2393" s="73"/>
      <c r="AS2393" s="73"/>
      <c r="AT2393" s="74"/>
      <c r="AU2393" s="47"/>
      <c r="AV2393" s="48"/>
    </row>
    <row r="2394" spans="1:48" ht="12.75" customHeight="1" x14ac:dyDescent="0.25">
      <c r="A2394" s="72" t="s">
        <v>20</v>
      </c>
      <c r="B2394" s="43" t="s">
        <v>2240</v>
      </c>
      <c r="C2394" s="44" t="s">
        <v>2552</v>
      </c>
      <c r="D2394" s="45">
        <f>MROUND(MID($C2394,6,3)/Basis!$E$3,0.5)</f>
        <v>19.5</v>
      </c>
      <c r="E2394" s="45">
        <f>MROUND(MID($C2394,9,3)/Basis!$E$3,0.5)</f>
        <v>39.5</v>
      </c>
      <c r="F2394" s="124" t="s">
        <v>2948</v>
      </c>
      <c r="G2394" s="45">
        <f>ROUND((ROUNDDOWN($F2394/5,0)*5+1.8)/Basis!$E$3,1)</f>
        <v>8.6</v>
      </c>
      <c r="H2394" s="120">
        <f>ROUND($P2394*Basis!$E$2*((TaH-TrH)/LN(1/µ)/Basis!$E$7)^$N2394*$AA$4*Glycol,0)</f>
        <v>5397</v>
      </c>
      <c r="I2394" s="83">
        <f>ROUND(H2394/(MID($C2394,9,3)/Basis!$E$3/Basis!$E$9)*Basis!$E$11,0)</f>
        <v>1645</v>
      </c>
      <c r="J2394" s="123">
        <f>IF(Basis!$E$1=1,ROUND(H2394/((TaH-TrH)*1.163)/3600,3),ROUND(H2394/(500*(TaH-TrH)),2))</f>
        <v>0.54</v>
      </c>
      <c r="K2394" s="84"/>
      <c r="L2394" s="177">
        <f>CHOOSE(Basis!$E$1,((AJ2394*(J2394*3600/Basis!$E$5)^AK2394*(((MID(C2394,9,3)*10)-144)/1000)*AL2394+AM2394*(J2394*3600/Basis!$E$5)^2)*0.0098)/Basis!$E$10,((AJ2394*(J2394/Basis!$E$5)^AK2394*(((MID(C2394,9,3)*10)-144)/1000)*AL2394+AM2394*(J2394/Basis!$E$5)^2)*0.0098)/Basis!$E$10)</f>
        <v>3.093157793527427E-2</v>
      </c>
      <c r="M2394" s="85"/>
      <c r="N2394" s="109">
        <v>1.4850000000000001</v>
      </c>
      <c r="O2394" s="68"/>
      <c r="P2394" s="67">
        <v>2582</v>
      </c>
      <c r="Q2394" s="68"/>
      <c r="R2394" s="69"/>
      <c r="S2394" s="69"/>
      <c r="T2394" s="69"/>
      <c r="U2394" s="69"/>
      <c r="V2394" s="69"/>
      <c r="W2394" s="68"/>
      <c r="X2394" s="70"/>
      <c r="Y2394" s="70"/>
      <c r="Z2394" s="70"/>
      <c r="AA2394" s="70"/>
      <c r="AB2394" s="70"/>
      <c r="AC2394" s="68"/>
      <c r="AD2394" s="71"/>
      <c r="AE2394" s="71"/>
      <c r="AF2394" s="71"/>
      <c r="AG2394" s="71"/>
      <c r="AH2394" s="71"/>
      <c r="AI2394" s="68"/>
      <c r="AJ2394" s="214">
        <v>1.2760000000000001E-4</v>
      </c>
      <c r="AK2394" s="214">
        <v>1.7219</v>
      </c>
      <c r="AL2394" s="214">
        <v>4</v>
      </c>
      <c r="AM2394" s="214">
        <v>5.1420100000000005E-4</v>
      </c>
      <c r="AN2394" s="68"/>
      <c r="AO2394" s="67"/>
      <c r="AP2394" s="67"/>
      <c r="AQ2394" s="67"/>
      <c r="AR2394" s="67"/>
      <c r="AS2394" s="67"/>
      <c r="AT2394" s="68"/>
      <c r="AU2394" s="49"/>
      <c r="AV2394" s="50"/>
    </row>
    <row r="2395" spans="1:48" ht="12.75" customHeight="1" x14ac:dyDescent="0.25">
      <c r="A2395" s="72" t="s">
        <v>20</v>
      </c>
      <c r="B2395" s="43" t="s">
        <v>2240</v>
      </c>
      <c r="C2395" s="44" t="s">
        <v>2553</v>
      </c>
      <c r="D2395" s="45">
        <f>MROUND(MID($C2395,6,3)/Basis!$E$3,0.5)</f>
        <v>19.5</v>
      </c>
      <c r="E2395" s="45">
        <f>MROUND(MID($C2395,9,3)/Basis!$E$3,0.5)</f>
        <v>43.5</v>
      </c>
      <c r="F2395" s="124" t="s">
        <v>2943</v>
      </c>
      <c r="G2395" s="45">
        <f>ROUND((ROUNDDOWN($F2395/5,0)*5+1.8)/Basis!$E$3,1)</f>
        <v>4.5999999999999996</v>
      </c>
      <c r="H2395" s="120">
        <f>ROUND($P2395*Basis!$E$2*((TaH-TrH)/LN(1/µ)/Basis!$E$7)^$N2395*$AA$4*Glycol,0)</f>
        <v>2558</v>
      </c>
      <c r="I2395" s="83">
        <f>ROUND(H2395/(MID($C2395,9,3)/Basis!$E$3/Basis!$E$9)*Basis!$E$11,0)</f>
        <v>709</v>
      </c>
      <c r="J2395" s="123">
        <f>IF(Basis!$E$1=1,ROUND(H2395/((TaH-TrH)*1.163)/3600,3),ROUND(H2395/(500*(TaH-TrH)),2))</f>
        <v>0.26</v>
      </c>
      <c r="K2395" s="84"/>
      <c r="L2395" s="177">
        <f>CHOOSE(Basis!$E$1,((AJ2395*(J2395*3600/Basis!$E$5)^AK2395*(((MID(C2395,9,3)*10)-144)/1000)*AL2395+AM2395*(J2395*3600/Basis!$E$5)^2)*0.0098)/Basis!$E$10,((AJ2395*(J2395/Basis!$E$5)^AK2395*(((MID(C2395,9,3)*10)-144)/1000)*AL2395+AM2395*(J2395/Basis!$E$5)^2)*0.0098)/Basis!$E$10)</f>
        <v>7.1198952148428278E-3</v>
      </c>
      <c r="M2395" s="85"/>
      <c r="N2395" s="109">
        <v>1.385</v>
      </c>
      <c r="O2395" s="68"/>
      <c r="P2395" s="67">
        <v>1184</v>
      </c>
      <c r="Q2395" s="68"/>
      <c r="R2395" s="69"/>
      <c r="S2395" s="69"/>
      <c r="T2395" s="69"/>
      <c r="U2395" s="69"/>
      <c r="V2395" s="69"/>
      <c r="W2395" s="68"/>
      <c r="X2395" s="70"/>
      <c r="Y2395" s="70"/>
      <c r="Z2395" s="70"/>
      <c r="AA2395" s="70"/>
      <c r="AB2395" s="70"/>
      <c r="AC2395" s="68"/>
      <c r="AD2395" s="71"/>
      <c r="AE2395" s="71"/>
      <c r="AF2395" s="71"/>
      <c r="AG2395" s="71"/>
      <c r="AH2395" s="71"/>
      <c r="AI2395" s="68"/>
      <c r="AJ2395" s="214">
        <v>3.9689999999999994E-4</v>
      </c>
      <c r="AK2395" s="214">
        <v>1.7345999999999999</v>
      </c>
      <c r="AL2395" s="214">
        <v>2</v>
      </c>
      <c r="AM2395" s="214">
        <v>3.6734700000000002E-4</v>
      </c>
      <c r="AN2395" s="68"/>
      <c r="AO2395" s="67"/>
      <c r="AP2395" s="67"/>
      <c r="AQ2395" s="67"/>
      <c r="AR2395" s="67"/>
      <c r="AS2395" s="67"/>
      <c r="AT2395" s="68"/>
      <c r="AU2395" s="49"/>
      <c r="AV2395" s="50"/>
    </row>
    <row r="2396" spans="1:48" ht="12.75" customHeight="1" x14ac:dyDescent="0.25">
      <c r="A2396" s="72" t="s">
        <v>20</v>
      </c>
      <c r="B2396" s="43" t="s">
        <v>2240</v>
      </c>
      <c r="C2396" s="44" t="s">
        <v>2554</v>
      </c>
      <c r="D2396" s="45">
        <f>MROUND(MID($C2396,6,3)/Basis!$E$3,0.5)</f>
        <v>19.5</v>
      </c>
      <c r="E2396" s="45">
        <f>MROUND(MID($C2396,9,3)/Basis!$E$3,0.5)</f>
        <v>43.5</v>
      </c>
      <c r="F2396" s="124" t="s">
        <v>2946</v>
      </c>
      <c r="G2396" s="45">
        <f>ROUND((ROUNDDOWN($F2396/5,0)*5+1.8)/Basis!$E$3,1)</f>
        <v>4.5999999999999996</v>
      </c>
      <c r="H2396" s="120">
        <f>ROUND($P2396*Basis!$E$2*((TaH-TrH)/LN(1/µ)/Basis!$E$7)^$N2396*$AA$4*Glycol,0)</f>
        <v>3237</v>
      </c>
      <c r="I2396" s="83">
        <f>ROUND(H2396/(MID($C2396,9,3)/Basis!$E$3/Basis!$E$9)*Basis!$E$11,0)</f>
        <v>897</v>
      </c>
      <c r="J2396" s="123">
        <f>IF(Basis!$E$1=1,ROUND(H2396/((TaH-TrH)*1.163)/3600,3),ROUND(H2396/(500*(TaH-TrH)),2))</f>
        <v>0.32</v>
      </c>
      <c r="K2396" s="84"/>
      <c r="L2396" s="177">
        <f>CHOOSE(Basis!$E$1,((AJ2396*(J2396*3600/Basis!$E$5)^AK2396*(((MID(C2396,9,3)*10)-144)/1000)*AL2396+AM2396*(J2396*3600/Basis!$E$5)^2)*0.0098)/Basis!$E$10,((AJ2396*(J2396/Basis!$E$5)^AK2396*(((MID(C2396,9,3)*10)-144)/1000)*AL2396+AM2396*(J2396/Basis!$E$5)^2)*0.0098)/Basis!$E$10)</f>
        <v>1.8323670985918562E-2</v>
      </c>
      <c r="M2396" s="85"/>
      <c r="N2396" s="110">
        <v>1.4379999999999999</v>
      </c>
      <c r="O2396" s="74"/>
      <c r="P2396" s="73">
        <v>1525</v>
      </c>
      <c r="Q2396" s="74"/>
      <c r="R2396" s="75"/>
      <c r="S2396" s="75"/>
      <c r="T2396" s="75"/>
      <c r="U2396" s="75"/>
      <c r="V2396" s="75"/>
      <c r="W2396" s="74"/>
      <c r="X2396" s="76"/>
      <c r="Y2396" s="76"/>
      <c r="Z2396" s="76"/>
      <c r="AA2396" s="76"/>
      <c r="AB2396" s="76"/>
      <c r="AC2396" s="74"/>
      <c r="AD2396" s="77"/>
      <c r="AE2396" s="77"/>
      <c r="AF2396" s="77"/>
      <c r="AG2396" s="77"/>
      <c r="AH2396" s="77"/>
      <c r="AI2396" s="68"/>
      <c r="AJ2396" s="213">
        <v>3.9689999999999994E-4</v>
      </c>
      <c r="AK2396" s="213">
        <v>1.7345999999999999</v>
      </c>
      <c r="AL2396" s="213">
        <v>4</v>
      </c>
      <c r="AM2396" s="213">
        <v>5.7428799999999995E-4</v>
      </c>
      <c r="AN2396" s="74"/>
      <c r="AO2396" s="73"/>
      <c r="AP2396" s="73"/>
      <c r="AQ2396" s="73"/>
      <c r="AR2396" s="73"/>
      <c r="AS2396" s="73"/>
      <c r="AT2396" s="74"/>
      <c r="AU2396" s="47"/>
      <c r="AV2396" s="48"/>
    </row>
    <row r="2397" spans="1:48" ht="12.75" customHeight="1" x14ac:dyDescent="0.25">
      <c r="A2397" s="72" t="s">
        <v>20</v>
      </c>
      <c r="B2397" s="43" t="s">
        <v>2240</v>
      </c>
      <c r="C2397" s="44" t="s">
        <v>2555</v>
      </c>
      <c r="D2397" s="45">
        <f>MROUND(MID($C2397,6,3)/Basis!$E$3,0.5)</f>
        <v>19.5</v>
      </c>
      <c r="E2397" s="45">
        <f>MROUND(MID($C2397,9,3)/Basis!$E$3,0.5)</f>
        <v>43.5</v>
      </c>
      <c r="F2397" s="124" t="s">
        <v>2944</v>
      </c>
      <c r="G2397" s="45">
        <f>ROUND((ROUNDDOWN($F2397/5,0)*5+1.8)/Basis!$E$3,1)</f>
        <v>6.6</v>
      </c>
      <c r="H2397" s="120">
        <f>ROUND($P2397*Basis!$E$2*((TaH-TrH)/LN(1/µ)/Basis!$E$7)^$N2397*$AA$4*Glycol,0)</f>
        <v>4136</v>
      </c>
      <c r="I2397" s="83">
        <f>ROUND(H2397/(MID($C2397,9,3)/Basis!$E$3/Basis!$E$9)*Basis!$E$11,0)</f>
        <v>1146</v>
      </c>
      <c r="J2397" s="123">
        <f>IF(Basis!$E$1=1,ROUND(H2397/((TaH-TrH)*1.163)/3600,3),ROUND(H2397/(500*(TaH-TrH)),2))</f>
        <v>0.41</v>
      </c>
      <c r="K2397" s="84"/>
      <c r="L2397" s="177">
        <f>CHOOSE(Basis!$E$1,((AJ2397*(J2397*3600/Basis!$E$5)^AK2397*(((MID(C2397,9,3)*10)-144)/1000)*AL2397+AM2397*(J2397*3600/Basis!$E$5)^2)*0.0098)/Basis!$E$10,((AJ2397*(J2397/Basis!$E$5)^AK2397*(((MID(C2397,9,3)*10)-144)/1000)*AL2397+AM2397*(J2397/Basis!$E$5)^2)*0.0098)/Basis!$E$10)</f>
        <v>1.6325379935801403E-2</v>
      </c>
      <c r="M2397" s="85"/>
      <c r="N2397" s="110">
        <v>1.373</v>
      </c>
      <c r="O2397" s="74"/>
      <c r="P2397" s="73">
        <v>1907</v>
      </c>
      <c r="Q2397" s="74"/>
      <c r="R2397" s="75"/>
      <c r="S2397" s="75"/>
      <c r="T2397" s="75"/>
      <c r="U2397" s="75"/>
      <c r="V2397" s="75"/>
      <c r="W2397" s="74"/>
      <c r="X2397" s="76"/>
      <c r="Y2397" s="76"/>
      <c r="Z2397" s="76"/>
      <c r="AA2397" s="76"/>
      <c r="AB2397" s="76"/>
      <c r="AC2397" s="74"/>
      <c r="AD2397" s="77"/>
      <c r="AE2397" s="77"/>
      <c r="AF2397" s="77"/>
      <c r="AG2397" s="77"/>
      <c r="AH2397" s="77"/>
      <c r="AI2397" s="68"/>
      <c r="AJ2397" s="213">
        <v>2.0829999999999999E-4</v>
      </c>
      <c r="AK2397" s="213">
        <v>1.724</v>
      </c>
      <c r="AL2397" s="213">
        <v>2</v>
      </c>
      <c r="AM2397" s="213">
        <v>4.6182900000000003E-4</v>
      </c>
      <c r="AN2397" s="74"/>
      <c r="AO2397" s="73"/>
      <c r="AP2397" s="73"/>
      <c r="AQ2397" s="73"/>
      <c r="AR2397" s="73"/>
      <c r="AS2397" s="73"/>
      <c r="AT2397" s="74"/>
      <c r="AU2397" s="47"/>
      <c r="AV2397" s="48"/>
    </row>
    <row r="2398" spans="1:48" ht="12.75" customHeight="1" x14ac:dyDescent="0.25">
      <c r="A2398" s="72" t="s">
        <v>20</v>
      </c>
      <c r="B2398" s="43" t="s">
        <v>2240</v>
      </c>
      <c r="C2398" s="44" t="s">
        <v>2556</v>
      </c>
      <c r="D2398" s="45">
        <f>MROUND(MID($C2398,6,3)/Basis!$E$3,0.5)</f>
        <v>19.5</v>
      </c>
      <c r="E2398" s="45">
        <f>MROUND(MID($C2398,9,3)/Basis!$E$3,0.5)</f>
        <v>43.5</v>
      </c>
      <c r="F2398" s="124" t="s">
        <v>2947</v>
      </c>
      <c r="G2398" s="45">
        <f>ROUND((ROUNDDOWN($F2398/5,0)*5+1.8)/Basis!$E$3,1)</f>
        <v>6.6</v>
      </c>
      <c r="H2398" s="120">
        <f>ROUND($P2398*Basis!$E$2*((TaH-TrH)/LN(1/µ)/Basis!$E$7)^$N2398*$AA$4*Glycol,0)</f>
        <v>4395</v>
      </c>
      <c r="I2398" s="83">
        <f>ROUND(H2398/(MID($C2398,9,3)/Basis!$E$3/Basis!$E$9)*Basis!$E$11,0)</f>
        <v>1218</v>
      </c>
      <c r="J2398" s="123">
        <f>IF(Basis!$E$1=1,ROUND(H2398/((TaH-TrH)*1.163)/3600,3),ROUND(H2398/(500*(TaH-TrH)),2))</f>
        <v>0.44</v>
      </c>
      <c r="K2398" s="84"/>
      <c r="L2398" s="177">
        <f>CHOOSE(Basis!$E$1,((AJ2398*(J2398*3600/Basis!$E$5)^AK2398*(((MID(C2398,9,3)*10)-144)/1000)*AL2398+AM2398*(J2398*3600/Basis!$E$5)^2)*0.0098)/Basis!$E$10,((AJ2398*(J2398/Basis!$E$5)^AK2398*(((MID(C2398,9,3)*10)-144)/1000)*AL2398+AM2398*(J2398/Basis!$E$5)^2)*0.0098)/Basis!$E$10)</f>
        <v>5.2779561130916697E-2</v>
      </c>
      <c r="M2398" s="85"/>
      <c r="N2398" s="109">
        <v>1.464</v>
      </c>
      <c r="O2398" s="68"/>
      <c r="P2398" s="67">
        <v>2088</v>
      </c>
      <c r="Q2398" s="68"/>
      <c r="R2398" s="69"/>
      <c r="S2398" s="69"/>
      <c r="T2398" s="69"/>
      <c r="U2398" s="69"/>
      <c r="V2398" s="69"/>
      <c r="W2398" s="68"/>
      <c r="X2398" s="70"/>
      <c r="Y2398" s="70"/>
      <c r="Z2398" s="70"/>
      <c r="AA2398" s="70"/>
      <c r="AB2398" s="70"/>
      <c r="AC2398" s="68"/>
      <c r="AD2398" s="71"/>
      <c r="AE2398" s="71"/>
      <c r="AF2398" s="71"/>
      <c r="AG2398" s="71"/>
      <c r="AH2398" s="71"/>
      <c r="AI2398" s="68"/>
      <c r="AJ2398" s="214">
        <v>2.0829999999999999E-4</v>
      </c>
      <c r="AK2398" s="214">
        <v>1.724</v>
      </c>
      <c r="AL2398" s="214">
        <v>4</v>
      </c>
      <c r="AM2398" s="214">
        <v>1.392796E-3</v>
      </c>
      <c r="AN2398" s="68"/>
      <c r="AO2398" s="67"/>
      <c r="AP2398" s="67"/>
      <c r="AQ2398" s="67"/>
      <c r="AR2398" s="67"/>
      <c r="AS2398" s="67"/>
      <c r="AT2398" s="68"/>
      <c r="AU2398" s="49"/>
      <c r="AV2398" s="50"/>
    </row>
    <row r="2399" spans="1:48" ht="12.75" customHeight="1" x14ac:dyDescent="0.25">
      <c r="A2399" s="72" t="s">
        <v>20</v>
      </c>
      <c r="B2399" s="43" t="s">
        <v>2240</v>
      </c>
      <c r="C2399" s="44" t="s">
        <v>2557</v>
      </c>
      <c r="D2399" s="45">
        <f>MROUND(MID($C2399,6,3)/Basis!$E$3,0.5)</f>
        <v>19.5</v>
      </c>
      <c r="E2399" s="45">
        <f>MROUND(MID($C2399,9,3)/Basis!$E$3,0.5)</f>
        <v>43.5</v>
      </c>
      <c r="F2399" s="124" t="s">
        <v>2945</v>
      </c>
      <c r="G2399" s="45">
        <f>ROUND((ROUNDDOWN($F2399/5,0)*5+1.8)/Basis!$E$3,1)</f>
        <v>8.6</v>
      </c>
      <c r="H2399" s="120">
        <f>ROUND($P2399*Basis!$E$2*((TaH-TrH)/LN(1/µ)/Basis!$E$7)^$N2399*$AA$4*Glycol,0)</f>
        <v>5786</v>
      </c>
      <c r="I2399" s="83">
        <f>ROUND(H2399/(MID($C2399,9,3)/Basis!$E$3/Basis!$E$9)*Basis!$E$11,0)</f>
        <v>1603</v>
      </c>
      <c r="J2399" s="123">
        <f>IF(Basis!$E$1=1,ROUND(H2399/((TaH-TrH)*1.163)/3600,3),ROUND(H2399/(500*(TaH-TrH)),2))</f>
        <v>0.57999999999999996</v>
      </c>
      <c r="K2399" s="84"/>
      <c r="L2399" s="177">
        <f>CHOOSE(Basis!$E$1,((AJ2399*(J2399*3600/Basis!$E$5)^AK2399*(((MID(C2399,9,3)*10)-144)/1000)*AL2399+AM2399*(J2399*3600/Basis!$E$5)^2)*0.0098)/Basis!$E$10,((AJ2399*(J2399/Basis!$E$5)^AK2399*(((MID(C2399,9,3)*10)-144)/1000)*AL2399+AM2399*(J2399/Basis!$E$5)^2)*0.0098)/Basis!$E$10)</f>
        <v>2.4931592627257033E-2</v>
      </c>
      <c r="M2399" s="85"/>
      <c r="N2399" s="109">
        <v>1.373</v>
      </c>
      <c r="O2399" s="68"/>
      <c r="P2399" s="67">
        <v>2668</v>
      </c>
      <c r="Q2399" s="68"/>
      <c r="R2399" s="69"/>
      <c r="S2399" s="69"/>
      <c r="T2399" s="69"/>
      <c r="U2399" s="69"/>
      <c r="V2399" s="69"/>
      <c r="W2399" s="68"/>
      <c r="X2399" s="70"/>
      <c r="Y2399" s="70"/>
      <c r="Z2399" s="70"/>
      <c r="AA2399" s="70"/>
      <c r="AB2399" s="70"/>
      <c r="AC2399" s="68"/>
      <c r="AD2399" s="71"/>
      <c r="AE2399" s="71"/>
      <c r="AF2399" s="71"/>
      <c r="AG2399" s="71"/>
      <c r="AH2399" s="71"/>
      <c r="AI2399" s="68"/>
      <c r="AJ2399" s="214">
        <v>1.2760000000000001E-4</v>
      </c>
      <c r="AK2399" s="214">
        <v>1.7219</v>
      </c>
      <c r="AL2399" s="214">
        <v>2</v>
      </c>
      <c r="AM2399" s="214">
        <v>3.76611E-4</v>
      </c>
      <c r="AN2399" s="68"/>
      <c r="AO2399" s="67"/>
      <c r="AP2399" s="67"/>
      <c r="AQ2399" s="67"/>
      <c r="AR2399" s="67"/>
      <c r="AS2399" s="67"/>
      <c r="AT2399" s="68"/>
      <c r="AU2399" s="49"/>
      <c r="AV2399" s="50"/>
    </row>
    <row r="2400" spans="1:48" ht="12.75" customHeight="1" x14ac:dyDescent="0.25">
      <c r="A2400" s="72" t="s">
        <v>20</v>
      </c>
      <c r="B2400" s="43" t="s">
        <v>2240</v>
      </c>
      <c r="C2400" s="44" t="s">
        <v>2558</v>
      </c>
      <c r="D2400" s="45">
        <f>MROUND(MID($C2400,6,3)/Basis!$E$3,0.5)</f>
        <v>19.5</v>
      </c>
      <c r="E2400" s="45">
        <f>MROUND(MID($C2400,9,3)/Basis!$E$3,0.5)</f>
        <v>43.5</v>
      </c>
      <c r="F2400" s="124" t="s">
        <v>2948</v>
      </c>
      <c r="G2400" s="45">
        <f>ROUND((ROUNDDOWN($F2400/5,0)*5+1.8)/Basis!$E$3,1)</f>
        <v>8.6</v>
      </c>
      <c r="H2400" s="120">
        <f>ROUND($P2400*Basis!$E$2*((TaH-TrH)/LN(1/µ)/Basis!$E$7)^$N2400*$AA$4*Glycol,0)</f>
        <v>5936</v>
      </c>
      <c r="I2400" s="83">
        <f>ROUND(H2400/(MID($C2400,9,3)/Basis!$E$3/Basis!$E$9)*Basis!$E$11,0)</f>
        <v>1645</v>
      </c>
      <c r="J2400" s="123">
        <f>IF(Basis!$E$1=1,ROUND(H2400/((TaH-TrH)*1.163)/3600,3),ROUND(H2400/(500*(TaH-TrH)),2))</f>
        <v>0.59</v>
      </c>
      <c r="K2400" s="84"/>
      <c r="L2400" s="177">
        <f>CHOOSE(Basis!$E$1,((AJ2400*(J2400*3600/Basis!$E$5)^AK2400*(((MID(C2400,9,3)*10)-144)/1000)*AL2400+AM2400*(J2400*3600/Basis!$E$5)^2)*0.0098)/Basis!$E$10,((AJ2400*(J2400/Basis!$E$5)^AK2400*(((MID(C2400,9,3)*10)-144)/1000)*AL2400+AM2400*(J2400/Basis!$E$5)^2)*0.0098)/Basis!$E$10)</f>
        <v>3.7528572486834083E-2</v>
      </c>
      <c r="M2400" s="85"/>
      <c r="N2400" s="110">
        <v>1.4850000000000001</v>
      </c>
      <c r="O2400" s="74"/>
      <c r="P2400" s="73">
        <v>2840</v>
      </c>
      <c r="Q2400" s="74"/>
      <c r="R2400" s="75"/>
      <c r="S2400" s="75"/>
      <c r="T2400" s="75"/>
      <c r="U2400" s="75"/>
      <c r="V2400" s="75"/>
      <c r="W2400" s="74"/>
      <c r="X2400" s="76"/>
      <c r="Y2400" s="76"/>
      <c r="Z2400" s="76"/>
      <c r="AA2400" s="76"/>
      <c r="AB2400" s="76"/>
      <c r="AC2400" s="74"/>
      <c r="AD2400" s="77"/>
      <c r="AE2400" s="77"/>
      <c r="AF2400" s="77"/>
      <c r="AG2400" s="77"/>
      <c r="AH2400" s="77"/>
      <c r="AI2400" s="68"/>
      <c r="AJ2400" s="213">
        <v>1.2760000000000001E-4</v>
      </c>
      <c r="AK2400" s="213">
        <v>1.7219</v>
      </c>
      <c r="AL2400" s="213">
        <v>4</v>
      </c>
      <c r="AM2400" s="213">
        <v>5.1420100000000005E-4</v>
      </c>
      <c r="AN2400" s="74"/>
      <c r="AO2400" s="73"/>
      <c r="AP2400" s="73"/>
      <c r="AQ2400" s="73"/>
      <c r="AR2400" s="73"/>
      <c r="AS2400" s="73"/>
      <c r="AT2400" s="74"/>
      <c r="AU2400" s="47"/>
      <c r="AV2400" s="48"/>
    </row>
    <row r="2401" spans="1:48" ht="12.75" customHeight="1" x14ac:dyDescent="0.25">
      <c r="A2401" s="72" t="s">
        <v>20</v>
      </c>
      <c r="B2401" s="43" t="s">
        <v>2240</v>
      </c>
      <c r="C2401" s="44" t="s">
        <v>2559</v>
      </c>
      <c r="D2401" s="45">
        <f>MROUND(MID($C2401,6,3)/Basis!$E$3,0.5)</f>
        <v>19.5</v>
      </c>
      <c r="E2401" s="45">
        <f>MROUND(MID($C2401,9,3)/Basis!$E$3,0.5)</f>
        <v>47</v>
      </c>
      <c r="F2401" s="124" t="s">
        <v>2943</v>
      </c>
      <c r="G2401" s="45">
        <f>ROUND((ROUNDDOWN($F2401/5,0)*5+1.8)/Basis!$E$3,1)</f>
        <v>4.5999999999999996</v>
      </c>
      <c r="H2401" s="120">
        <f>ROUND($P2401*Basis!$E$2*((TaH-TrH)/LN(1/µ)/Basis!$E$7)^$N2401*$AA$4*Glycol,0)</f>
        <v>2789</v>
      </c>
      <c r="I2401" s="83">
        <f>ROUND(H2401/(MID($C2401,9,3)/Basis!$E$3/Basis!$E$9)*Basis!$E$11,0)</f>
        <v>708</v>
      </c>
      <c r="J2401" s="123">
        <f>IF(Basis!$E$1=1,ROUND(H2401/((TaH-TrH)*1.163)/3600,3),ROUND(H2401/(500*(TaH-TrH)),2))</f>
        <v>0.28000000000000003</v>
      </c>
      <c r="K2401" s="84"/>
      <c r="L2401" s="177">
        <f>CHOOSE(Basis!$E$1,((AJ2401*(J2401*3600/Basis!$E$5)^AK2401*(((MID(C2401,9,3)*10)-144)/1000)*AL2401+AM2401*(J2401*3600/Basis!$E$5)^2)*0.0098)/Basis!$E$10,((AJ2401*(J2401/Basis!$E$5)^AK2401*(((MID(C2401,9,3)*10)-144)/1000)*AL2401+AM2401*(J2401/Basis!$E$5)^2)*0.0098)/Basis!$E$10)</f>
        <v>8.5398710994788306E-3</v>
      </c>
      <c r="M2401" s="85"/>
      <c r="N2401" s="110">
        <v>1.385</v>
      </c>
      <c r="O2401" s="74"/>
      <c r="P2401" s="73">
        <v>1291</v>
      </c>
      <c r="Q2401" s="74"/>
      <c r="R2401" s="75"/>
      <c r="S2401" s="75"/>
      <c r="T2401" s="75"/>
      <c r="U2401" s="75"/>
      <c r="V2401" s="75"/>
      <c r="W2401" s="74"/>
      <c r="X2401" s="76"/>
      <c r="Y2401" s="76"/>
      <c r="Z2401" s="76"/>
      <c r="AA2401" s="76"/>
      <c r="AB2401" s="76"/>
      <c r="AC2401" s="74"/>
      <c r="AD2401" s="77"/>
      <c r="AE2401" s="77"/>
      <c r="AF2401" s="77"/>
      <c r="AG2401" s="77"/>
      <c r="AH2401" s="77"/>
      <c r="AI2401" s="68"/>
      <c r="AJ2401" s="213">
        <v>3.9689999999999994E-4</v>
      </c>
      <c r="AK2401" s="213">
        <v>1.7345999999999999</v>
      </c>
      <c r="AL2401" s="213">
        <v>2</v>
      </c>
      <c r="AM2401" s="213">
        <v>3.6734700000000002E-4</v>
      </c>
      <c r="AN2401" s="74"/>
      <c r="AO2401" s="73"/>
      <c r="AP2401" s="73"/>
      <c r="AQ2401" s="73"/>
      <c r="AR2401" s="73"/>
      <c r="AS2401" s="73"/>
      <c r="AT2401" s="74"/>
      <c r="AU2401" s="47"/>
      <c r="AV2401" s="48"/>
    </row>
    <row r="2402" spans="1:48" ht="12.75" customHeight="1" x14ac:dyDescent="0.25">
      <c r="A2402" s="72" t="s">
        <v>20</v>
      </c>
      <c r="B2402" s="43" t="s">
        <v>2240</v>
      </c>
      <c r="C2402" s="44" t="s">
        <v>2560</v>
      </c>
      <c r="D2402" s="45">
        <f>MROUND(MID($C2402,6,3)/Basis!$E$3,0.5)</f>
        <v>19.5</v>
      </c>
      <c r="E2402" s="45">
        <f>MROUND(MID($C2402,9,3)/Basis!$E$3,0.5)</f>
        <v>47</v>
      </c>
      <c r="F2402" s="124" t="s">
        <v>2946</v>
      </c>
      <c r="G2402" s="45">
        <f>ROUND((ROUNDDOWN($F2402/5,0)*5+1.8)/Basis!$E$3,1)</f>
        <v>4.5999999999999996</v>
      </c>
      <c r="H2402" s="120">
        <f>ROUND($P2402*Basis!$E$2*((TaH-TrH)/LN(1/µ)/Basis!$E$7)^$N2402*$AA$4*Glycol,0)</f>
        <v>3530</v>
      </c>
      <c r="I2402" s="83">
        <f>ROUND(H2402/(MID($C2402,9,3)/Basis!$E$3/Basis!$E$9)*Basis!$E$11,0)</f>
        <v>897</v>
      </c>
      <c r="J2402" s="123">
        <f>IF(Basis!$E$1=1,ROUND(H2402/((TaH-TrH)*1.163)/3600,3),ROUND(H2402/(500*(TaH-TrH)),2))</f>
        <v>0.35</v>
      </c>
      <c r="K2402" s="84"/>
      <c r="L2402" s="177">
        <f>CHOOSE(Basis!$E$1,((AJ2402*(J2402*3600/Basis!$E$5)^AK2402*(((MID(C2402,9,3)*10)-144)/1000)*AL2402+AM2402*(J2402*3600/Basis!$E$5)^2)*0.0098)/Basis!$E$10,((AJ2402*(J2402/Basis!$E$5)^AK2402*(((MID(C2402,9,3)*10)-144)/1000)*AL2402+AM2402*(J2402/Basis!$E$5)^2)*0.0098)/Basis!$E$10)</f>
        <v>2.2711103185008207E-2</v>
      </c>
      <c r="M2402" s="85"/>
      <c r="N2402" s="109">
        <v>1.4379999999999999</v>
      </c>
      <c r="O2402" s="68"/>
      <c r="P2402" s="67">
        <v>1663</v>
      </c>
      <c r="Q2402" s="68"/>
      <c r="R2402" s="69"/>
      <c r="S2402" s="69"/>
      <c r="T2402" s="69"/>
      <c r="U2402" s="69"/>
      <c r="V2402" s="69"/>
      <c r="W2402" s="68"/>
      <c r="X2402" s="70"/>
      <c r="Y2402" s="70"/>
      <c r="Z2402" s="70"/>
      <c r="AA2402" s="70"/>
      <c r="AB2402" s="70"/>
      <c r="AC2402" s="68"/>
      <c r="AD2402" s="71"/>
      <c r="AE2402" s="71"/>
      <c r="AF2402" s="71"/>
      <c r="AG2402" s="71"/>
      <c r="AH2402" s="71"/>
      <c r="AI2402" s="68"/>
      <c r="AJ2402" s="214">
        <v>3.9689999999999994E-4</v>
      </c>
      <c r="AK2402" s="214">
        <v>1.7345999999999999</v>
      </c>
      <c r="AL2402" s="214">
        <v>4</v>
      </c>
      <c r="AM2402" s="214">
        <v>5.7428799999999995E-4</v>
      </c>
      <c r="AN2402" s="68"/>
      <c r="AO2402" s="67"/>
      <c r="AP2402" s="67"/>
      <c r="AQ2402" s="67"/>
      <c r="AR2402" s="67"/>
      <c r="AS2402" s="67"/>
      <c r="AT2402" s="68"/>
      <c r="AU2402" s="49"/>
      <c r="AV2402" s="50"/>
    </row>
    <row r="2403" spans="1:48" ht="12.75" customHeight="1" x14ac:dyDescent="0.25">
      <c r="A2403" s="72" t="s">
        <v>20</v>
      </c>
      <c r="B2403" s="43" t="s">
        <v>2240</v>
      </c>
      <c r="C2403" s="44" t="s">
        <v>2561</v>
      </c>
      <c r="D2403" s="45">
        <f>MROUND(MID($C2403,6,3)/Basis!$E$3,0.5)</f>
        <v>19.5</v>
      </c>
      <c r="E2403" s="45">
        <f>MROUND(MID($C2403,9,3)/Basis!$E$3,0.5)</f>
        <v>47</v>
      </c>
      <c r="F2403" s="124" t="s">
        <v>2944</v>
      </c>
      <c r="G2403" s="45">
        <f>ROUND((ROUNDDOWN($F2403/5,0)*5+1.8)/Basis!$E$3,1)</f>
        <v>6.6</v>
      </c>
      <c r="H2403" s="120">
        <f>ROUND($P2403*Basis!$E$2*((TaH-TrH)/LN(1/µ)/Basis!$E$7)^$N2403*$AA$4*Glycol,0)</f>
        <v>4513</v>
      </c>
      <c r="I2403" s="83">
        <f>ROUND(H2403/(MID($C2403,9,3)/Basis!$E$3/Basis!$E$9)*Basis!$E$11,0)</f>
        <v>1146</v>
      </c>
      <c r="J2403" s="123">
        <f>IF(Basis!$E$1=1,ROUND(H2403/((TaH-TrH)*1.163)/3600,3),ROUND(H2403/(500*(TaH-TrH)),2))</f>
        <v>0.45</v>
      </c>
      <c r="K2403" s="84"/>
      <c r="L2403" s="177">
        <f>CHOOSE(Basis!$E$1,((AJ2403*(J2403*3600/Basis!$E$5)^AK2403*(((MID(C2403,9,3)*10)-144)/1000)*AL2403+AM2403*(J2403*3600/Basis!$E$5)^2)*0.0098)/Basis!$E$10,((AJ2403*(J2403/Basis!$E$5)^AK2403*(((MID(C2403,9,3)*10)-144)/1000)*AL2403+AM2403*(J2403/Basis!$E$5)^2)*0.0098)/Basis!$E$10)</f>
        <v>1.9964279531181142E-2</v>
      </c>
      <c r="M2403" s="85"/>
      <c r="N2403" s="109">
        <v>1.373</v>
      </c>
      <c r="O2403" s="68"/>
      <c r="P2403" s="67">
        <v>2081</v>
      </c>
      <c r="Q2403" s="68"/>
      <c r="R2403" s="69"/>
      <c r="S2403" s="69"/>
      <c r="T2403" s="69"/>
      <c r="U2403" s="69"/>
      <c r="V2403" s="69"/>
      <c r="W2403" s="68"/>
      <c r="X2403" s="70"/>
      <c r="Y2403" s="70"/>
      <c r="Z2403" s="70"/>
      <c r="AA2403" s="70"/>
      <c r="AB2403" s="70"/>
      <c r="AC2403" s="68"/>
      <c r="AD2403" s="71"/>
      <c r="AE2403" s="71"/>
      <c r="AF2403" s="71"/>
      <c r="AG2403" s="71"/>
      <c r="AH2403" s="71"/>
      <c r="AI2403" s="68"/>
      <c r="AJ2403" s="214">
        <v>2.0829999999999999E-4</v>
      </c>
      <c r="AK2403" s="214">
        <v>1.724</v>
      </c>
      <c r="AL2403" s="214">
        <v>2</v>
      </c>
      <c r="AM2403" s="214">
        <v>4.6182900000000003E-4</v>
      </c>
      <c r="AN2403" s="68"/>
      <c r="AO2403" s="67"/>
      <c r="AP2403" s="67"/>
      <c r="AQ2403" s="67"/>
      <c r="AR2403" s="67"/>
      <c r="AS2403" s="67"/>
      <c r="AT2403" s="68"/>
      <c r="AU2403" s="49"/>
      <c r="AV2403" s="50"/>
    </row>
    <row r="2404" spans="1:48" ht="12.75" customHeight="1" x14ac:dyDescent="0.25">
      <c r="A2404" s="72" t="s">
        <v>20</v>
      </c>
      <c r="B2404" s="43" t="s">
        <v>2240</v>
      </c>
      <c r="C2404" s="44" t="s">
        <v>2562</v>
      </c>
      <c r="D2404" s="45">
        <f>MROUND(MID($C2404,6,3)/Basis!$E$3,0.5)</f>
        <v>19.5</v>
      </c>
      <c r="E2404" s="45">
        <f>MROUND(MID($C2404,9,3)/Basis!$E$3,0.5)</f>
        <v>47</v>
      </c>
      <c r="F2404" s="124" t="s">
        <v>2947</v>
      </c>
      <c r="G2404" s="45">
        <f>ROUND((ROUNDDOWN($F2404/5,0)*5+1.8)/Basis!$E$3,1)</f>
        <v>6.6</v>
      </c>
      <c r="H2404" s="120">
        <f>ROUND($P2404*Basis!$E$2*((TaH-TrH)/LN(1/µ)/Basis!$E$7)^$N2404*$AA$4*Glycol,0)</f>
        <v>4794</v>
      </c>
      <c r="I2404" s="83">
        <f>ROUND(H2404/(MID($C2404,9,3)/Basis!$E$3/Basis!$E$9)*Basis!$E$11,0)</f>
        <v>1218</v>
      </c>
      <c r="J2404" s="123">
        <f>IF(Basis!$E$1=1,ROUND(H2404/((TaH-TrH)*1.163)/3600,3),ROUND(H2404/(500*(TaH-TrH)),2))</f>
        <v>0.48</v>
      </c>
      <c r="K2404" s="84"/>
      <c r="L2404" s="177">
        <f>CHOOSE(Basis!$E$1,((AJ2404*(J2404*3600/Basis!$E$5)^AK2404*(((MID(C2404,9,3)*10)-144)/1000)*AL2404+AM2404*(J2404*3600/Basis!$E$5)^2)*0.0098)/Basis!$E$10,((AJ2404*(J2404/Basis!$E$5)^AK2404*(((MID(C2404,9,3)*10)-144)/1000)*AL2404+AM2404*(J2404/Basis!$E$5)^2)*0.0098)/Basis!$E$10)</f>
        <v>6.3492930163076236E-2</v>
      </c>
      <c r="M2404" s="85"/>
      <c r="N2404" s="110">
        <v>1.464</v>
      </c>
      <c r="O2404" s="74"/>
      <c r="P2404" s="73">
        <v>2278</v>
      </c>
      <c r="Q2404" s="74"/>
      <c r="R2404" s="75"/>
      <c r="S2404" s="75"/>
      <c r="T2404" s="75"/>
      <c r="U2404" s="75"/>
      <c r="V2404" s="75"/>
      <c r="W2404" s="74"/>
      <c r="X2404" s="76"/>
      <c r="Y2404" s="76"/>
      <c r="Z2404" s="76"/>
      <c r="AA2404" s="76"/>
      <c r="AB2404" s="76"/>
      <c r="AC2404" s="74"/>
      <c r="AD2404" s="77"/>
      <c r="AE2404" s="77"/>
      <c r="AF2404" s="77"/>
      <c r="AG2404" s="77"/>
      <c r="AH2404" s="77"/>
      <c r="AI2404" s="68"/>
      <c r="AJ2404" s="213">
        <v>2.0829999999999999E-4</v>
      </c>
      <c r="AK2404" s="213">
        <v>1.724</v>
      </c>
      <c r="AL2404" s="213">
        <v>4</v>
      </c>
      <c r="AM2404" s="213">
        <v>1.392796E-3</v>
      </c>
      <c r="AN2404" s="74"/>
      <c r="AO2404" s="73"/>
      <c r="AP2404" s="73"/>
      <c r="AQ2404" s="73"/>
      <c r="AR2404" s="73"/>
      <c r="AS2404" s="73"/>
      <c r="AT2404" s="74"/>
      <c r="AU2404" s="47"/>
      <c r="AV2404" s="48"/>
    </row>
    <row r="2405" spans="1:48" ht="12.75" customHeight="1" x14ac:dyDescent="0.25">
      <c r="A2405" s="72" t="s">
        <v>20</v>
      </c>
      <c r="B2405" s="43" t="s">
        <v>2240</v>
      </c>
      <c r="C2405" s="44" t="s">
        <v>2563</v>
      </c>
      <c r="D2405" s="45">
        <f>MROUND(MID($C2405,6,3)/Basis!$E$3,0.5)</f>
        <v>19.5</v>
      </c>
      <c r="E2405" s="45">
        <f>MROUND(MID($C2405,9,3)/Basis!$E$3,0.5)</f>
        <v>47</v>
      </c>
      <c r="F2405" s="124" t="s">
        <v>2945</v>
      </c>
      <c r="G2405" s="45">
        <f>ROUND((ROUNDDOWN($F2405/5,0)*5+1.8)/Basis!$E$3,1)</f>
        <v>8.6</v>
      </c>
      <c r="H2405" s="120">
        <f>ROUND($P2405*Basis!$E$2*((TaH-TrH)/LN(1/µ)/Basis!$E$7)^$N2405*$AA$4*Glycol,0)</f>
        <v>6311</v>
      </c>
      <c r="I2405" s="83">
        <f>ROUND(H2405/(MID($C2405,9,3)/Basis!$E$3/Basis!$E$9)*Basis!$E$11,0)</f>
        <v>1603</v>
      </c>
      <c r="J2405" s="123">
        <f>IF(Basis!$E$1=1,ROUND(H2405/((TaH-TrH)*1.163)/3600,3),ROUND(H2405/(500*(TaH-TrH)),2))</f>
        <v>0.63</v>
      </c>
      <c r="K2405" s="84"/>
      <c r="L2405" s="177">
        <f>CHOOSE(Basis!$E$1,((AJ2405*(J2405*3600/Basis!$E$5)^AK2405*(((MID(C2405,9,3)*10)-144)/1000)*AL2405+AM2405*(J2405*3600/Basis!$E$5)^2)*0.0098)/Basis!$E$10,((AJ2405*(J2405/Basis!$E$5)^AK2405*(((MID(C2405,9,3)*10)-144)/1000)*AL2405+AM2405*(J2405/Basis!$E$5)^2)*0.0098)/Basis!$E$10)</f>
        <v>2.9749535014537223E-2</v>
      </c>
      <c r="M2405" s="85"/>
      <c r="N2405" s="110">
        <v>1.373</v>
      </c>
      <c r="O2405" s="74"/>
      <c r="P2405" s="73">
        <v>2910</v>
      </c>
      <c r="Q2405" s="74"/>
      <c r="R2405" s="75"/>
      <c r="S2405" s="75"/>
      <c r="T2405" s="75"/>
      <c r="U2405" s="75"/>
      <c r="V2405" s="75"/>
      <c r="W2405" s="74"/>
      <c r="X2405" s="76"/>
      <c r="Y2405" s="76"/>
      <c r="Z2405" s="76"/>
      <c r="AA2405" s="76"/>
      <c r="AB2405" s="76"/>
      <c r="AC2405" s="74"/>
      <c r="AD2405" s="77"/>
      <c r="AE2405" s="77"/>
      <c r="AF2405" s="77"/>
      <c r="AG2405" s="77"/>
      <c r="AH2405" s="77"/>
      <c r="AI2405" s="68"/>
      <c r="AJ2405" s="214">
        <v>1.2760000000000001E-4</v>
      </c>
      <c r="AK2405" s="214">
        <v>1.7219</v>
      </c>
      <c r="AL2405" s="214">
        <v>2</v>
      </c>
      <c r="AM2405" s="214">
        <v>3.76611E-4</v>
      </c>
      <c r="AN2405" s="74"/>
      <c r="AO2405" s="73"/>
      <c r="AP2405" s="73"/>
      <c r="AQ2405" s="73"/>
      <c r="AR2405" s="73"/>
      <c r="AS2405" s="73"/>
      <c r="AT2405" s="74"/>
      <c r="AU2405" s="47"/>
      <c r="AV2405" s="48"/>
    </row>
    <row r="2406" spans="1:48" ht="12.75" customHeight="1" x14ac:dyDescent="0.25">
      <c r="A2406" s="72" t="s">
        <v>20</v>
      </c>
      <c r="B2406" s="43" t="s">
        <v>2240</v>
      </c>
      <c r="C2406" s="44" t="s">
        <v>2564</v>
      </c>
      <c r="D2406" s="45">
        <f>MROUND(MID($C2406,6,3)/Basis!$E$3,0.5)</f>
        <v>19.5</v>
      </c>
      <c r="E2406" s="45">
        <f>MROUND(MID($C2406,9,3)/Basis!$E$3,0.5)</f>
        <v>47</v>
      </c>
      <c r="F2406" s="124" t="s">
        <v>2948</v>
      </c>
      <c r="G2406" s="45">
        <f>ROUND((ROUNDDOWN($F2406/5,0)*5+1.8)/Basis!$E$3,1)</f>
        <v>8.6</v>
      </c>
      <c r="H2406" s="120">
        <f>ROUND($P2406*Basis!$E$2*((TaH-TrH)/LN(1/µ)/Basis!$E$7)^$N2406*$AA$4*Glycol,0)</f>
        <v>6475</v>
      </c>
      <c r="I2406" s="83">
        <f>ROUND(H2406/(MID($C2406,9,3)/Basis!$E$3/Basis!$E$9)*Basis!$E$11,0)</f>
        <v>1645</v>
      </c>
      <c r="J2406" s="123">
        <f>IF(Basis!$E$1=1,ROUND(H2406/((TaH-TrH)*1.163)/3600,3),ROUND(H2406/(500*(TaH-TrH)),2))</f>
        <v>0.65</v>
      </c>
      <c r="K2406" s="84"/>
      <c r="L2406" s="177">
        <f>CHOOSE(Basis!$E$1,((AJ2406*(J2406*3600/Basis!$E$5)^AK2406*(((MID(C2406,9,3)*10)-144)/1000)*AL2406+AM2406*(J2406*3600/Basis!$E$5)^2)*0.0098)/Basis!$E$10,((AJ2406*(J2406/Basis!$E$5)^AK2406*(((MID(C2406,9,3)*10)-144)/1000)*AL2406+AM2406*(J2406/Basis!$E$5)^2)*0.0098)/Basis!$E$10)</f>
        <v>4.621978374522745E-2</v>
      </c>
      <c r="M2406" s="85"/>
      <c r="N2406" s="109">
        <v>1.4850000000000001</v>
      </c>
      <c r="O2406" s="68"/>
      <c r="P2406" s="67">
        <v>3098</v>
      </c>
      <c r="Q2406" s="68"/>
      <c r="R2406" s="69"/>
      <c r="S2406" s="69"/>
      <c r="T2406" s="69"/>
      <c r="U2406" s="69"/>
      <c r="V2406" s="69"/>
      <c r="W2406" s="68"/>
      <c r="X2406" s="70"/>
      <c r="Y2406" s="70"/>
      <c r="Z2406" s="70"/>
      <c r="AA2406" s="70"/>
      <c r="AB2406" s="70"/>
      <c r="AC2406" s="68"/>
      <c r="AD2406" s="71"/>
      <c r="AE2406" s="71"/>
      <c r="AF2406" s="71"/>
      <c r="AG2406" s="71"/>
      <c r="AH2406" s="71"/>
      <c r="AI2406" s="68"/>
      <c r="AJ2406" s="214">
        <v>1.2760000000000001E-4</v>
      </c>
      <c r="AK2406" s="214">
        <v>1.7219</v>
      </c>
      <c r="AL2406" s="214">
        <v>4</v>
      </c>
      <c r="AM2406" s="214">
        <v>5.1420100000000005E-4</v>
      </c>
      <c r="AN2406" s="68"/>
      <c r="AO2406" s="67"/>
      <c r="AP2406" s="67"/>
      <c r="AQ2406" s="67"/>
      <c r="AR2406" s="67"/>
      <c r="AS2406" s="67"/>
      <c r="AT2406" s="68"/>
      <c r="AU2406" s="49"/>
      <c r="AV2406" s="50"/>
    </row>
    <row r="2407" spans="1:48" ht="12.75" customHeight="1" x14ac:dyDescent="0.25">
      <c r="A2407" s="72" t="s">
        <v>20</v>
      </c>
      <c r="B2407" s="43" t="s">
        <v>2240</v>
      </c>
      <c r="C2407" s="44" t="s">
        <v>2565</v>
      </c>
      <c r="D2407" s="45">
        <f>MROUND(MID($C2407,6,3)/Basis!$E$3,0.5)</f>
        <v>19.5</v>
      </c>
      <c r="E2407" s="45">
        <f>MROUND(MID($C2407,9,3)/Basis!$E$3,0.5)</f>
        <v>55</v>
      </c>
      <c r="F2407" s="124" t="s">
        <v>2943</v>
      </c>
      <c r="G2407" s="45">
        <f>ROUND((ROUNDDOWN($F2407/5,0)*5+1.8)/Basis!$E$3,1)</f>
        <v>4.5999999999999996</v>
      </c>
      <c r="H2407" s="120">
        <f>ROUND($P2407*Basis!$E$2*((TaH-TrH)/LN(1/µ)/Basis!$E$7)^$N2407*$AA$4*Glycol,0)</f>
        <v>3253</v>
      </c>
      <c r="I2407" s="83">
        <f>ROUND(H2407/(MID($C2407,9,3)/Basis!$E$3/Basis!$E$9)*Basis!$E$11,0)</f>
        <v>708</v>
      </c>
      <c r="J2407" s="123">
        <f>IF(Basis!$E$1=1,ROUND(H2407/((TaH-TrH)*1.163)/3600,3),ROUND(H2407/(500*(TaH-TrH)),2))</f>
        <v>0.33</v>
      </c>
      <c r="K2407" s="84"/>
      <c r="L2407" s="177">
        <f>CHOOSE(Basis!$E$1,((AJ2407*(J2407*3600/Basis!$E$5)^AK2407*(((MID(C2407,9,3)*10)-144)/1000)*AL2407+AM2407*(J2407*3600/Basis!$E$5)^2)*0.0098)/Basis!$E$10,((AJ2407*(J2407/Basis!$E$5)^AK2407*(((MID(C2407,9,3)*10)-144)/1000)*AL2407+AM2407*(J2407/Basis!$E$5)^2)*0.0098)/Basis!$E$10)</f>
        <v>1.2571256736469315E-2</v>
      </c>
      <c r="M2407" s="85"/>
      <c r="N2407" s="109">
        <v>1.385</v>
      </c>
      <c r="O2407" s="68"/>
      <c r="P2407" s="67">
        <v>1506</v>
      </c>
      <c r="Q2407" s="68"/>
      <c r="R2407" s="69"/>
      <c r="S2407" s="69"/>
      <c r="T2407" s="69"/>
      <c r="U2407" s="69"/>
      <c r="V2407" s="69"/>
      <c r="W2407" s="68"/>
      <c r="X2407" s="70"/>
      <c r="Y2407" s="70"/>
      <c r="Z2407" s="70"/>
      <c r="AA2407" s="70"/>
      <c r="AB2407" s="70"/>
      <c r="AC2407" s="68"/>
      <c r="AD2407" s="71"/>
      <c r="AE2407" s="71"/>
      <c r="AF2407" s="71"/>
      <c r="AG2407" s="71"/>
      <c r="AH2407" s="71"/>
      <c r="AI2407" s="68"/>
      <c r="AJ2407" s="214">
        <v>3.9689999999999994E-4</v>
      </c>
      <c r="AK2407" s="214">
        <v>1.7345999999999999</v>
      </c>
      <c r="AL2407" s="214">
        <v>2</v>
      </c>
      <c r="AM2407" s="214">
        <v>3.6734700000000002E-4</v>
      </c>
      <c r="AN2407" s="68"/>
      <c r="AO2407" s="67"/>
      <c r="AP2407" s="67"/>
      <c r="AQ2407" s="67"/>
      <c r="AR2407" s="67"/>
      <c r="AS2407" s="67"/>
      <c r="AT2407" s="68"/>
      <c r="AU2407" s="49"/>
      <c r="AV2407" s="50"/>
    </row>
    <row r="2408" spans="1:48" ht="12.75" customHeight="1" x14ac:dyDescent="0.25">
      <c r="A2408" s="72" t="s">
        <v>20</v>
      </c>
      <c r="B2408" s="43" t="s">
        <v>2240</v>
      </c>
      <c r="C2408" s="44" t="s">
        <v>2566</v>
      </c>
      <c r="D2408" s="45">
        <f>MROUND(MID($C2408,6,3)/Basis!$E$3,0.5)</f>
        <v>19.5</v>
      </c>
      <c r="E2408" s="45">
        <f>MROUND(MID($C2408,9,3)/Basis!$E$3,0.5)</f>
        <v>55</v>
      </c>
      <c r="F2408" s="124" t="s">
        <v>2946</v>
      </c>
      <c r="G2408" s="45">
        <f>ROUND((ROUNDDOWN($F2408/5,0)*5+1.8)/Basis!$E$3,1)</f>
        <v>4.5999999999999996</v>
      </c>
      <c r="H2408" s="120">
        <f>ROUND($P2408*Basis!$E$2*((TaH-TrH)/LN(1/µ)/Basis!$E$7)^$N2408*$AA$4*Glycol,0)</f>
        <v>4118</v>
      </c>
      <c r="I2408" s="83">
        <f>ROUND(H2408/(MID($C2408,9,3)/Basis!$E$3/Basis!$E$9)*Basis!$E$11,0)</f>
        <v>897</v>
      </c>
      <c r="J2408" s="123">
        <f>IF(Basis!$E$1=1,ROUND(H2408/((TaH-TrH)*1.163)/3600,3),ROUND(H2408/(500*(TaH-TrH)),2))</f>
        <v>0.41</v>
      </c>
      <c r="K2408" s="84"/>
      <c r="L2408" s="177">
        <f>CHOOSE(Basis!$E$1,((AJ2408*(J2408*3600/Basis!$E$5)^AK2408*(((MID(C2408,9,3)*10)-144)/1000)*AL2408+AM2408*(J2408*3600/Basis!$E$5)^2)*0.0098)/Basis!$E$10,((AJ2408*(J2408/Basis!$E$5)^AK2408*(((MID(C2408,9,3)*10)-144)/1000)*AL2408+AM2408*(J2408/Basis!$E$5)^2)*0.0098)/Basis!$E$10)</f>
        <v>3.3255875116116919E-2</v>
      </c>
      <c r="M2408" s="85"/>
      <c r="N2408" s="110">
        <v>1.4379999999999999</v>
      </c>
      <c r="O2408" s="74"/>
      <c r="P2408" s="73">
        <v>1940</v>
      </c>
      <c r="Q2408" s="74"/>
      <c r="R2408" s="75"/>
      <c r="S2408" s="75"/>
      <c r="T2408" s="75"/>
      <c r="U2408" s="75"/>
      <c r="V2408" s="75"/>
      <c r="W2408" s="74"/>
      <c r="X2408" s="76"/>
      <c r="Y2408" s="76"/>
      <c r="Z2408" s="76"/>
      <c r="AA2408" s="76"/>
      <c r="AB2408" s="76"/>
      <c r="AC2408" s="74"/>
      <c r="AD2408" s="77"/>
      <c r="AE2408" s="77"/>
      <c r="AF2408" s="77"/>
      <c r="AG2408" s="77"/>
      <c r="AH2408" s="77"/>
      <c r="AI2408" s="68"/>
      <c r="AJ2408" s="213">
        <v>3.9689999999999994E-4</v>
      </c>
      <c r="AK2408" s="213">
        <v>1.7345999999999999</v>
      </c>
      <c r="AL2408" s="213">
        <v>4</v>
      </c>
      <c r="AM2408" s="213">
        <v>5.7428799999999995E-4</v>
      </c>
      <c r="AN2408" s="74"/>
      <c r="AO2408" s="73"/>
      <c r="AP2408" s="73"/>
      <c r="AQ2408" s="73"/>
      <c r="AR2408" s="73"/>
      <c r="AS2408" s="73"/>
      <c r="AT2408" s="74"/>
      <c r="AU2408" s="47"/>
      <c r="AV2408" s="48"/>
    </row>
    <row r="2409" spans="1:48" ht="12.75" customHeight="1" x14ac:dyDescent="0.25">
      <c r="A2409" s="72" t="s">
        <v>20</v>
      </c>
      <c r="B2409" s="43" t="s">
        <v>2240</v>
      </c>
      <c r="C2409" s="44" t="s">
        <v>2567</v>
      </c>
      <c r="D2409" s="45">
        <f>MROUND(MID($C2409,6,3)/Basis!$E$3,0.5)</f>
        <v>19.5</v>
      </c>
      <c r="E2409" s="45">
        <f>MROUND(MID($C2409,9,3)/Basis!$E$3,0.5)</f>
        <v>55</v>
      </c>
      <c r="F2409" s="124" t="s">
        <v>2944</v>
      </c>
      <c r="G2409" s="45">
        <f>ROUND((ROUNDDOWN($F2409/5,0)*5+1.8)/Basis!$E$3,1)</f>
        <v>6.6</v>
      </c>
      <c r="H2409" s="120">
        <f>ROUND($P2409*Basis!$E$2*((TaH-TrH)/LN(1/µ)/Basis!$E$7)^$N2409*$AA$4*Glycol,0)</f>
        <v>5266</v>
      </c>
      <c r="I2409" s="83">
        <f>ROUND(H2409/(MID($C2409,9,3)/Basis!$E$3/Basis!$E$9)*Basis!$E$11,0)</f>
        <v>1146</v>
      </c>
      <c r="J2409" s="123">
        <f>IF(Basis!$E$1=1,ROUND(H2409/((TaH-TrH)*1.163)/3600,3),ROUND(H2409/(500*(TaH-TrH)),2))</f>
        <v>0.53</v>
      </c>
      <c r="K2409" s="84"/>
      <c r="L2409" s="177">
        <f>CHOOSE(Basis!$E$1,((AJ2409*(J2409*3600/Basis!$E$5)^AK2409*(((MID(C2409,9,3)*10)-144)/1000)*AL2409+AM2409*(J2409*3600/Basis!$E$5)^2)*0.0098)/Basis!$E$10,((AJ2409*(J2409/Basis!$E$5)^AK2409*(((MID(C2409,9,3)*10)-144)/1000)*AL2409+AM2409*(J2409/Basis!$E$5)^2)*0.0098)/Basis!$E$10)</f>
        <v>2.8489234615429151E-2</v>
      </c>
      <c r="M2409" s="85"/>
      <c r="N2409" s="110">
        <v>1.373</v>
      </c>
      <c r="O2409" s="74"/>
      <c r="P2409" s="73">
        <v>2428</v>
      </c>
      <c r="Q2409" s="74"/>
      <c r="R2409" s="75"/>
      <c r="S2409" s="75"/>
      <c r="T2409" s="75"/>
      <c r="U2409" s="75"/>
      <c r="V2409" s="75"/>
      <c r="W2409" s="74"/>
      <c r="X2409" s="76"/>
      <c r="Y2409" s="76"/>
      <c r="Z2409" s="76"/>
      <c r="AA2409" s="76"/>
      <c r="AB2409" s="76"/>
      <c r="AC2409" s="74"/>
      <c r="AD2409" s="77"/>
      <c r="AE2409" s="77"/>
      <c r="AF2409" s="77"/>
      <c r="AG2409" s="77"/>
      <c r="AH2409" s="77"/>
      <c r="AI2409" s="68"/>
      <c r="AJ2409" s="213">
        <v>2.0829999999999999E-4</v>
      </c>
      <c r="AK2409" s="213">
        <v>1.724</v>
      </c>
      <c r="AL2409" s="213">
        <v>2</v>
      </c>
      <c r="AM2409" s="213">
        <v>4.6182900000000003E-4</v>
      </c>
      <c r="AN2409" s="74"/>
      <c r="AO2409" s="73"/>
      <c r="AP2409" s="73"/>
      <c r="AQ2409" s="73"/>
      <c r="AR2409" s="73"/>
      <c r="AS2409" s="73"/>
      <c r="AT2409" s="74"/>
      <c r="AU2409" s="47"/>
      <c r="AV2409" s="48"/>
    </row>
    <row r="2410" spans="1:48" ht="12.75" customHeight="1" x14ac:dyDescent="0.25">
      <c r="A2410" s="72" t="s">
        <v>20</v>
      </c>
      <c r="B2410" s="43" t="s">
        <v>2240</v>
      </c>
      <c r="C2410" s="44" t="s">
        <v>2568</v>
      </c>
      <c r="D2410" s="45">
        <f>MROUND(MID($C2410,6,3)/Basis!$E$3,0.5)</f>
        <v>19.5</v>
      </c>
      <c r="E2410" s="45">
        <f>MROUND(MID($C2410,9,3)/Basis!$E$3,0.5)</f>
        <v>55</v>
      </c>
      <c r="F2410" s="124" t="s">
        <v>2947</v>
      </c>
      <c r="G2410" s="45">
        <f>ROUND((ROUNDDOWN($F2410/5,0)*5+1.8)/Basis!$E$3,1)</f>
        <v>6.6</v>
      </c>
      <c r="H2410" s="120">
        <f>ROUND($P2410*Basis!$E$2*((TaH-TrH)/LN(1/µ)/Basis!$E$7)^$N2410*$AA$4*Glycol,0)</f>
        <v>5592</v>
      </c>
      <c r="I2410" s="83">
        <f>ROUND(H2410/(MID($C2410,9,3)/Basis!$E$3/Basis!$E$9)*Basis!$E$11,0)</f>
        <v>1217</v>
      </c>
      <c r="J2410" s="123">
        <f>IF(Basis!$E$1=1,ROUND(H2410/((TaH-TrH)*1.163)/3600,3),ROUND(H2410/(500*(TaH-TrH)),2))</f>
        <v>0.56000000000000005</v>
      </c>
      <c r="K2410" s="84"/>
      <c r="L2410" s="177">
        <f>CHOOSE(Basis!$E$1,((AJ2410*(J2410*3600/Basis!$E$5)^AK2410*(((MID(C2410,9,3)*10)-144)/1000)*AL2410+AM2410*(J2410*3600/Basis!$E$5)^2)*0.0098)/Basis!$E$10,((AJ2410*(J2410/Basis!$E$5)^AK2410*(((MID(C2410,9,3)*10)-144)/1000)*AL2410+AM2410*(J2410/Basis!$E$5)^2)*0.0098)/Basis!$E$10)</f>
        <v>8.8203916750662359E-2</v>
      </c>
      <c r="M2410" s="85"/>
      <c r="N2410" s="109">
        <v>1.464</v>
      </c>
      <c r="O2410" s="68"/>
      <c r="P2410" s="67">
        <v>2657</v>
      </c>
      <c r="Q2410" s="68"/>
      <c r="R2410" s="69"/>
      <c r="S2410" s="69"/>
      <c r="T2410" s="69"/>
      <c r="U2410" s="69"/>
      <c r="V2410" s="69"/>
      <c r="W2410" s="68"/>
      <c r="X2410" s="70"/>
      <c r="Y2410" s="70"/>
      <c r="Z2410" s="70"/>
      <c r="AA2410" s="70"/>
      <c r="AB2410" s="70"/>
      <c r="AC2410" s="68"/>
      <c r="AD2410" s="71"/>
      <c r="AE2410" s="71"/>
      <c r="AF2410" s="71"/>
      <c r="AG2410" s="71"/>
      <c r="AH2410" s="71"/>
      <c r="AI2410" s="68"/>
      <c r="AJ2410" s="214">
        <v>2.0829999999999999E-4</v>
      </c>
      <c r="AK2410" s="214">
        <v>1.724</v>
      </c>
      <c r="AL2410" s="214">
        <v>4</v>
      </c>
      <c r="AM2410" s="214">
        <v>1.392796E-3</v>
      </c>
      <c r="AN2410" s="68"/>
      <c r="AO2410" s="67"/>
      <c r="AP2410" s="67"/>
      <c r="AQ2410" s="67"/>
      <c r="AR2410" s="67"/>
      <c r="AS2410" s="67"/>
      <c r="AT2410" s="68"/>
      <c r="AU2410" s="49"/>
      <c r="AV2410" s="50"/>
    </row>
    <row r="2411" spans="1:48" ht="12.75" customHeight="1" x14ac:dyDescent="0.25">
      <c r="A2411" s="72" t="s">
        <v>20</v>
      </c>
      <c r="B2411" s="43" t="s">
        <v>2240</v>
      </c>
      <c r="C2411" s="44" t="s">
        <v>2569</v>
      </c>
      <c r="D2411" s="45">
        <f>MROUND(MID($C2411,6,3)/Basis!$E$3,0.5)</f>
        <v>19.5</v>
      </c>
      <c r="E2411" s="45">
        <f>MROUND(MID($C2411,9,3)/Basis!$E$3,0.5)</f>
        <v>55</v>
      </c>
      <c r="F2411" s="124" t="s">
        <v>2945</v>
      </c>
      <c r="G2411" s="45">
        <f>ROUND((ROUNDDOWN($F2411/5,0)*5+1.8)/Basis!$E$3,1)</f>
        <v>8.6</v>
      </c>
      <c r="H2411" s="120">
        <f>ROUND($P2411*Basis!$E$2*((TaH-TrH)/LN(1/µ)/Basis!$E$7)^$N2411*$AA$4*Glycol,0)</f>
        <v>7363</v>
      </c>
      <c r="I2411" s="83">
        <f>ROUND(H2411/(MID($C2411,9,3)/Basis!$E$3/Basis!$E$9)*Basis!$E$11,0)</f>
        <v>1603</v>
      </c>
      <c r="J2411" s="123">
        <f>IF(Basis!$E$1=1,ROUND(H2411/((TaH-TrH)*1.163)/3600,3),ROUND(H2411/(500*(TaH-TrH)),2))</f>
        <v>0.74</v>
      </c>
      <c r="K2411" s="84"/>
      <c r="L2411" s="177">
        <f>CHOOSE(Basis!$E$1,((AJ2411*(J2411*3600/Basis!$E$5)^AK2411*(((MID(C2411,9,3)*10)-144)/1000)*AL2411+AM2411*(J2411*3600/Basis!$E$5)^2)*0.0098)/Basis!$E$10,((AJ2411*(J2411/Basis!$E$5)^AK2411*(((MID(C2411,9,3)*10)-144)/1000)*AL2411+AM2411*(J2411/Basis!$E$5)^2)*0.0098)/Basis!$E$10)</f>
        <v>4.190494357011549E-2</v>
      </c>
      <c r="M2411" s="85"/>
      <c r="N2411" s="109">
        <v>1.373</v>
      </c>
      <c r="O2411" s="68"/>
      <c r="P2411" s="67">
        <v>3395</v>
      </c>
      <c r="Q2411" s="68"/>
      <c r="R2411" s="69"/>
      <c r="S2411" s="69"/>
      <c r="T2411" s="69"/>
      <c r="U2411" s="69"/>
      <c r="V2411" s="69"/>
      <c r="W2411" s="68"/>
      <c r="X2411" s="70"/>
      <c r="Y2411" s="70"/>
      <c r="Z2411" s="70"/>
      <c r="AA2411" s="70"/>
      <c r="AB2411" s="70"/>
      <c r="AC2411" s="68"/>
      <c r="AD2411" s="71"/>
      <c r="AE2411" s="71"/>
      <c r="AF2411" s="71"/>
      <c r="AG2411" s="71"/>
      <c r="AH2411" s="71"/>
      <c r="AI2411" s="68"/>
      <c r="AJ2411" s="214">
        <v>1.2760000000000001E-4</v>
      </c>
      <c r="AK2411" s="214">
        <v>1.7219</v>
      </c>
      <c r="AL2411" s="214">
        <v>2</v>
      </c>
      <c r="AM2411" s="214">
        <v>3.76611E-4</v>
      </c>
      <c r="AN2411" s="68"/>
      <c r="AO2411" s="67"/>
      <c r="AP2411" s="67"/>
      <c r="AQ2411" s="67"/>
      <c r="AR2411" s="67"/>
      <c r="AS2411" s="67"/>
      <c r="AT2411" s="68"/>
      <c r="AU2411" s="49"/>
      <c r="AV2411" s="50"/>
    </row>
    <row r="2412" spans="1:48" ht="12.75" customHeight="1" x14ac:dyDescent="0.25">
      <c r="A2412" s="72" t="s">
        <v>20</v>
      </c>
      <c r="B2412" s="43" t="s">
        <v>2240</v>
      </c>
      <c r="C2412" s="44" t="s">
        <v>2570</v>
      </c>
      <c r="D2412" s="45">
        <f>MROUND(MID($C2412,6,3)/Basis!$E$3,0.5)</f>
        <v>19.5</v>
      </c>
      <c r="E2412" s="45">
        <f>MROUND(MID($C2412,9,3)/Basis!$E$3,0.5)</f>
        <v>55</v>
      </c>
      <c r="F2412" s="124" t="s">
        <v>2948</v>
      </c>
      <c r="G2412" s="45">
        <f>ROUND((ROUNDDOWN($F2412/5,0)*5+1.8)/Basis!$E$3,1)</f>
        <v>8.6</v>
      </c>
      <c r="H2412" s="120">
        <f>ROUND($P2412*Basis!$E$2*((TaH-TrH)/LN(1/µ)/Basis!$E$7)^$N2412*$AA$4*Glycol,0)</f>
        <v>7556</v>
      </c>
      <c r="I2412" s="83">
        <f>ROUND(H2412/(MID($C2412,9,3)/Basis!$E$3/Basis!$E$9)*Basis!$E$11,0)</f>
        <v>1645</v>
      </c>
      <c r="J2412" s="123">
        <f>IF(Basis!$E$1=1,ROUND(H2412/((TaH-TrH)*1.163)/3600,3),ROUND(H2412/(500*(TaH-TrH)),2))</f>
        <v>0.76</v>
      </c>
      <c r="K2412" s="84"/>
      <c r="L2412" s="177">
        <f>CHOOSE(Basis!$E$1,((AJ2412*(J2412*3600/Basis!$E$5)^AK2412*(((MID(C2412,9,3)*10)-144)/1000)*AL2412+AM2412*(J2412*3600/Basis!$E$5)^2)*0.0098)/Basis!$E$10,((AJ2412*(J2412/Basis!$E$5)^AK2412*(((MID(C2412,9,3)*10)-144)/1000)*AL2412+AM2412*(J2412/Basis!$E$5)^2)*0.0098)/Basis!$E$10)</f>
        <v>6.5004052895369688E-2</v>
      </c>
      <c r="M2412" s="85"/>
      <c r="N2412" s="110">
        <v>1.4850000000000001</v>
      </c>
      <c r="O2412" s="74"/>
      <c r="P2412" s="73">
        <v>3615</v>
      </c>
      <c r="Q2412" s="74"/>
      <c r="R2412" s="75"/>
      <c r="S2412" s="75"/>
      <c r="T2412" s="75"/>
      <c r="U2412" s="75"/>
      <c r="V2412" s="75"/>
      <c r="W2412" s="74"/>
      <c r="X2412" s="76"/>
      <c r="Y2412" s="76"/>
      <c r="Z2412" s="76"/>
      <c r="AA2412" s="76"/>
      <c r="AB2412" s="76"/>
      <c r="AC2412" s="74"/>
      <c r="AD2412" s="77"/>
      <c r="AE2412" s="77"/>
      <c r="AF2412" s="77"/>
      <c r="AG2412" s="77"/>
      <c r="AH2412" s="77"/>
      <c r="AI2412" s="68"/>
      <c r="AJ2412" s="213">
        <v>1.2760000000000001E-4</v>
      </c>
      <c r="AK2412" s="213">
        <v>1.7219</v>
      </c>
      <c r="AL2412" s="213">
        <v>4</v>
      </c>
      <c r="AM2412" s="213">
        <v>5.1420100000000005E-4</v>
      </c>
      <c r="AN2412" s="74"/>
      <c r="AO2412" s="73"/>
      <c r="AP2412" s="73"/>
      <c r="AQ2412" s="73"/>
      <c r="AR2412" s="73"/>
      <c r="AS2412" s="73"/>
      <c r="AT2412" s="74"/>
      <c r="AU2412" s="47"/>
      <c r="AV2412" s="48"/>
    </row>
    <row r="2413" spans="1:48" ht="12.75" customHeight="1" x14ac:dyDescent="0.25">
      <c r="A2413" s="72" t="s">
        <v>20</v>
      </c>
      <c r="B2413" s="43" t="s">
        <v>2240</v>
      </c>
      <c r="C2413" s="44" t="s">
        <v>2571</v>
      </c>
      <c r="D2413" s="45">
        <f>MROUND(MID($C2413,6,3)/Basis!$E$3,0.5)</f>
        <v>19.5</v>
      </c>
      <c r="E2413" s="45">
        <f>MROUND(MID($C2413,9,3)/Basis!$E$3,0.5)</f>
        <v>63</v>
      </c>
      <c r="F2413" s="124" t="s">
        <v>2943</v>
      </c>
      <c r="G2413" s="45">
        <f>ROUND((ROUNDDOWN($F2413/5,0)*5+1.8)/Basis!$E$3,1)</f>
        <v>4.5999999999999996</v>
      </c>
      <c r="H2413" s="120">
        <f>ROUND($P2413*Basis!$E$2*((TaH-TrH)/LN(1/µ)/Basis!$E$7)^$N2413*$AA$4*Glycol,0)</f>
        <v>3720</v>
      </c>
      <c r="I2413" s="83">
        <f>ROUND(H2413/(MID($C2413,9,3)/Basis!$E$3/Basis!$E$9)*Basis!$E$11,0)</f>
        <v>709</v>
      </c>
      <c r="J2413" s="123">
        <f>IF(Basis!$E$1=1,ROUND(H2413/((TaH-TrH)*1.163)/3600,3),ROUND(H2413/(500*(TaH-TrH)),2))</f>
        <v>0.37</v>
      </c>
      <c r="K2413" s="84"/>
      <c r="L2413" s="177">
        <f>CHOOSE(Basis!$E$1,((AJ2413*(J2413*3600/Basis!$E$5)^AK2413*(((MID(C2413,9,3)*10)-144)/1000)*AL2413+AM2413*(J2413*3600/Basis!$E$5)^2)*0.0098)/Basis!$E$10,((AJ2413*(J2413/Basis!$E$5)^AK2413*(((MID(C2413,9,3)*10)-144)/1000)*AL2413+AM2413*(J2413/Basis!$E$5)^2)*0.0098)/Basis!$E$10)</f>
        <v>1.6715495784043289E-2</v>
      </c>
      <c r="M2413" s="85"/>
      <c r="N2413" s="110">
        <v>1.385</v>
      </c>
      <c r="O2413" s="74"/>
      <c r="P2413" s="73">
        <v>1722</v>
      </c>
      <c r="Q2413" s="74"/>
      <c r="R2413" s="75"/>
      <c r="S2413" s="75"/>
      <c r="T2413" s="75"/>
      <c r="U2413" s="75"/>
      <c r="V2413" s="75"/>
      <c r="W2413" s="74"/>
      <c r="X2413" s="76"/>
      <c r="Y2413" s="76"/>
      <c r="Z2413" s="76"/>
      <c r="AA2413" s="76"/>
      <c r="AB2413" s="76"/>
      <c r="AC2413" s="74"/>
      <c r="AD2413" s="77"/>
      <c r="AE2413" s="77"/>
      <c r="AF2413" s="77"/>
      <c r="AG2413" s="77"/>
      <c r="AH2413" s="77"/>
      <c r="AI2413" s="68"/>
      <c r="AJ2413" s="213">
        <v>3.9689999999999994E-4</v>
      </c>
      <c r="AK2413" s="213">
        <v>1.7345999999999999</v>
      </c>
      <c r="AL2413" s="213">
        <v>2</v>
      </c>
      <c r="AM2413" s="213">
        <v>3.6734700000000002E-4</v>
      </c>
      <c r="AN2413" s="74"/>
      <c r="AO2413" s="73"/>
      <c r="AP2413" s="73"/>
      <c r="AQ2413" s="73"/>
      <c r="AR2413" s="73"/>
      <c r="AS2413" s="73"/>
      <c r="AT2413" s="74"/>
      <c r="AU2413" s="47"/>
      <c r="AV2413" s="48"/>
    </row>
    <row r="2414" spans="1:48" ht="12.75" customHeight="1" x14ac:dyDescent="0.25">
      <c r="A2414" s="72" t="s">
        <v>20</v>
      </c>
      <c r="B2414" s="43" t="s">
        <v>2240</v>
      </c>
      <c r="C2414" s="44" t="s">
        <v>2572</v>
      </c>
      <c r="D2414" s="45">
        <f>MROUND(MID($C2414,6,3)/Basis!$E$3,0.5)</f>
        <v>19.5</v>
      </c>
      <c r="E2414" s="45">
        <f>MROUND(MID($C2414,9,3)/Basis!$E$3,0.5)</f>
        <v>63</v>
      </c>
      <c r="F2414" s="124" t="s">
        <v>2946</v>
      </c>
      <c r="G2414" s="45">
        <f>ROUND((ROUNDDOWN($F2414/5,0)*5+1.8)/Basis!$E$3,1)</f>
        <v>4.5999999999999996</v>
      </c>
      <c r="H2414" s="120">
        <f>ROUND($P2414*Basis!$E$2*((TaH-TrH)/LN(1/µ)/Basis!$E$7)^$N2414*$AA$4*Glycol,0)</f>
        <v>4708</v>
      </c>
      <c r="I2414" s="83">
        <f>ROUND(H2414/(MID($C2414,9,3)/Basis!$E$3/Basis!$E$9)*Basis!$E$11,0)</f>
        <v>897</v>
      </c>
      <c r="J2414" s="123">
        <f>IF(Basis!$E$1=1,ROUND(H2414/((TaH-TrH)*1.163)/3600,3),ROUND(H2414/(500*(TaH-TrH)),2))</f>
        <v>0.47</v>
      </c>
      <c r="K2414" s="84"/>
      <c r="L2414" s="177">
        <f>CHOOSE(Basis!$E$1,((AJ2414*(J2414*3600/Basis!$E$5)^AK2414*(((MID(C2414,9,3)*10)-144)/1000)*AL2414+AM2414*(J2414*3600/Basis!$E$5)^2)*0.0098)/Basis!$E$10,((AJ2414*(J2414/Basis!$E$5)^AK2414*(((MID(C2414,9,3)*10)-144)/1000)*AL2414+AM2414*(J2414/Basis!$E$5)^2)*0.0098)/Basis!$E$10)</f>
        <v>4.6332684983701501E-2</v>
      </c>
      <c r="M2414" s="85"/>
      <c r="N2414" s="109">
        <v>1.4379999999999999</v>
      </c>
      <c r="O2414" s="68"/>
      <c r="P2414" s="67">
        <v>2218</v>
      </c>
      <c r="Q2414" s="68"/>
      <c r="R2414" s="69"/>
      <c r="S2414" s="69"/>
      <c r="T2414" s="69"/>
      <c r="U2414" s="69"/>
      <c r="V2414" s="69"/>
      <c r="W2414" s="68"/>
      <c r="X2414" s="70"/>
      <c r="Y2414" s="70"/>
      <c r="Z2414" s="70"/>
      <c r="AA2414" s="70"/>
      <c r="AB2414" s="70"/>
      <c r="AC2414" s="68"/>
      <c r="AD2414" s="71"/>
      <c r="AE2414" s="71"/>
      <c r="AF2414" s="71"/>
      <c r="AG2414" s="71"/>
      <c r="AH2414" s="71"/>
      <c r="AI2414" s="68"/>
      <c r="AJ2414" s="214">
        <v>3.9689999999999994E-4</v>
      </c>
      <c r="AK2414" s="214">
        <v>1.7345999999999999</v>
      </c>
      <c r="AL2414" s="214">
        <v>4</v>
      </c>
      <c r="AM2414" s="214">
        <v>5.7428799999999995E-4</v>
      </c>
      <c r="AN2414" s="68"/>
      <c r="AO2414" s="67"/>
      <c r="AP2414" s="67"/>
      <c r="AQ2414" s="67"/>
      <c r="AR2414" s="67"/>
      <c r="AS2414" s="67"/>
      <c r="AT2414" s="68"/>
      <c r="AU2414" s="49"/>
      <c r="AV2414" s="50"/>
    </row>
    <row r="2415" spans="1:48" ht="12.75" customHeight="1" x14ac:dyDescent="0.25">
      <c r="A2415" s="72" t="s">
        <v>20</v>
      </c>
      <c r="B2415" s="43" t="s">
        <v>2240</v>
      </c>
      <c r="C2415" s="44" t="s">
        <v>2573</v>
      </c>
      <c r="D2415" s="45">
        <f>MROUND(MID($C2415,6,3)/Basis!$E$3,0.5)</f>
        <v>19.5</v>
      </c>
      <c r="E2415" s="45">
        <f>MROUND(MID($C2415,9,3)/Basis!$E$3,0.5)</f>
        <v>63</v>
      </c>
      <c r="F2415" s="124" t="s">
        <v>2944</v>
      </c>
      <c r="G2415" s="45">
        <f>ROUND((ROUNDDOWN($F2415/5,0)*5+1.8)/Basis!$E$3,1)</f>
        <v>6.6</v>
      </c>
      <c r="H2415" s="120">
        <f>ROUND($P2415*Basis!$E$2*((TaH-TrH)/LN(1/µ)/Basis!$E$7)^$N2415*$AA$4*Glycol,0)</f>
        <v>6016</v>
      </c>
      <c r="I2415" s="83">
        <f>ROUND(H2415/(MID($C2415,9,3)/Basis!$E$3/Basis!$E$9)*Basis!$E$11,0)</f>
        <v>1146</v>
      </c>
      <c r="J2415" s="123">
        <f>IF(Basis!$E$1=1,ROUND(H2415/((TaH-TrH)*1.163)/3600,3),ROUND(H2415/(500*(TaH-TrH)),2))</f>
        <v>0.6</v>
      </c>
      <c r="K2415" s="84"/>
      <c r="L2415" s="177">
        <f>CHOOSE(Basis!$E$1,((AJ2415*(J2415*3600/Basis!$E$5)^AK2415*(((MID(C2415,9,3)*10)-144)/1000)*AL2415+AM2415*(J2415*3600/Basis!$E$5)^2)*0.0098)/Basis!$E$10,((AJ2415*(J2415/Basis!$E$5)^AK2415*(((MID(C2415,9,3)*10)-144)/1000)*AL2415+AM2415*(J2415/Basis!$E$5)^2)*0.0098)/Basis!$E$10)</f>
        <v>3.7529754792229086E-2</v>
      </c>
      <c r="M2415" s="85"/>
      <c r="N2415" s="109">
        <v>1.373</v>
      </c>
      <c r="O2415" s="68"/>
      <c r="P2415" s="67">
        <v>2774</v>
      </c>
      <c r="Q2415" s="68"/>
      <c r="R2415" s="69"/>
      <c r="S2415" s="69"/>
      <c r="T2415" s="69"/>
      <c r="U2415" s="69"/>
      <c r="V2415" s="69"/>
      <c r="W2415" s="68"/>
      <c r="X2415" s="70"/>
      <c r="Y2415" s="70"/>
      <c r="Z2415" s="70"/>
      <c r="AA2415" s="70"/>
      <c r="AB2415" s="70"/>
      <c r="AC2415" s="68"/>
      <c r="AD2415" s="71"/>
      <c r="AE2415" s="71"/>
      <c r="AF2415" s="71"/>
      <c r="AG2415" s="71"/>
      <c r="AH2415" s="71"/>
      <c r="AI2415" s="68"/>
      <c r="AJ2415" s="214">
        <v>2.0829999999999999E-4</v>
      </c>
      <c r="AK2415" s="214">
        <v>1.724</v>
      </c>
      <c r="AL2415" s="214">
        <v>2</v>
      </c>
      <c r="AM2415" s="214">
        <v>4.6182900000000003E-4</v>
      </c>
      <c r="AN2415" s="68"/>
      <c r="AO2415" s="67"/>
      <c r="AP2415" s="67"/>
      <c r="AQ2415" s="67"/>
      <c r="AR2415" s="67"/>
      <c r="AS2415" s="67"/>
      <c r="AT2415" s="68"/>
      <c r="AU2415" s="49"/>
      <c r="AV2415" s="50"/>
    </row>
    <row r="2416" spans="1:48" ht="12.75" customHeight="1" x14ac:dyDescent="0.25">
      <c r="A2416" s="72" t="s">
        <v>20</v>
      </c>
      <c r="B2416" s="43" t="s">
        <v>2240</v>
      </c>
      <c r="C2416" s="44" t="s">
        <v>2574</v>
      </c>
      <c r="D2416" s="45">
        <f>MROUND(MID($C2416,6,3)/Basis!$E$3,0.5)</f>
        <v>19.5</v>
      </c>
      <c r="E2416" s="45">
        <f>MROUND(MID($C2416,9,3)/Basis!$E$3,0.5)</f>
        <v>63</v>
      </c>
      <c r="F2416" s="124" t="s">
        <v>2947</v>
      </c>
      <c r="G2416" s="45">
        <f>ROUND((ROUNDDOWN($F2416/5,0)*5+1.8)/Basis!$E$3,1)</f>
        <v>6.6</v>
      </c>
      <c r="H2416" s="120">
        <f>ROUND($P2416*Basis!$E$2*((TaH-TrH)/LN(1/µ)/Basis!$E$7)^$N2416*$AA$4*Glycol,0)</f>
        <v>6392</v>
      </c>
      <c r="I2416" s="83">
        <f>ROUND(H2416/(MID($C2416,9,3)/Basis!$E$3/Basis!$E$9)*Basis!$E$11,0)</f>
        <v>1218</v>
      </c>
      <c r="J2416" s="123">
        <f>IF(Basis!$E$1=1,ROUND(H2416/((TaH-TrH)*1.163)/3600,3),ROUND(H2416/(500*(TaH-TrH)),2))</f>
        <v>0.64</v>
      </c>
      <c r="K2416" s="84"/>
      <c r="L2416" s="177">
        <f>CHOOSE(Basis!$E$1,((AJ2416*(J2416*3600/Basis!$E$5)^AK2416*(((MID(C2416,9,3)*10)-144)/1000)*AL2416+AM2416*(J2416*3600/Basis!$E$5)^2)*0.0098)/Basis!$E$10,((AJ2416*(J2416/Basis!$E$5)^AK2416*(((MID(C2416,9,3)*10)-144)/1000)*AL2416+AM2416*(J2416/Basis!$E$5)^2)*0.0098)/Basis!$E$10)</f>
        <v>0.11743136085730375</v>
      </c>
      <c r="M2416" s="85"/>
      <c r="N2416" s="110">
        <v>1.464</v>
      </c>
      <c r="O2416" s="74"/>
      <c r="P2416" s="73">
        <v>3037</v>
      </c>
      <c r="Q2416" s="74"/>
      <c r="R2416" s="75"/>
      <c r="S2416" s="75"/>
      <c r="T2416" s="75"/>
      <c r="U2416" s="75"/>
      <c r="V2416" s="75"/>
      <c r="W2416" s="74"/>
      <c r="X2416" s="76"/>
      <c r="Y2416" s="76"/>
      <c r="Z2416" s="76"/>
      <c r="AA2416" s="76"/>
      <c r="AB2416" s="76"/>
      <c r="AC2416" s="74"/>
      <c r="AD2416" s="77"/>
      <c r="AE2416" s="77"/>
      <c r="AF2416" s="77"/>
      <c r="AG2416" s="77"/>
      <c r="AH2416" s="77"/>
      <c r="AI2416" s="68"/>
      <c r="AJ2416" s="213">
        <v>2.0829999999999999E-4</v>
      </c>
      <c r="AK2416" s="213">
        <v>1.724</v>
      </c>
      <c r="AL2416" s="213">
        <v>4</v>
      </c>
      <c r="AM2416" s="213">
        <v>1.392796E-3</v>
      </c>
      <c r="AN2416" s="74"/>
      <c r="AO2416" s="73"/>
      <c r="AP2416" s="73"/>
      <c r="AQ2416" s="73"/>
      <c r="AR2416" s="73"/>
      <c r="AS2416" s="73"/>
      <c r="AT2416" s="74"/>
      <c r="AU2416" s="47"/>
      <c r="AV2416" s="48"/>
    </row>
    <row r="2417" spans="1:48" ht="12.75" customHeight="1" x14ac:dyDescent="0.25">
      <c r="A2417" s="72" t="s">
        <v>20</v>
      </c>
      <c r="B2417" s="43" t="s">
        <v>2240</v>
      </c>
      <c r="C2417" s="44" t="s">
        <v>2575</v>
      </c>
      <c r="D2417" s="45">
        <f>MROUND(MID($C2417,6,3)/Basis!$E$3,0.5)</f>
        <v>19.5</v>
      </c>
      <c r="E2417" s="45">
        <f>MROUND(MID($C2417,9,3)/Basis!$E$3,0.5)</f>
        <v>63</v>
      </c>
      <c r="F2417" s="124" t="s">
        <v>2945</v>
      </c>
      <c r="G2417" s="45">
        <f>ROUND((ROUNDDOWN($F2417/5,0)*5+1.8)/Basis!$E$3,1)</f>
        <v>8.6</v>
      </c>
      <c r="H2417" s="120">
        <f>ROUND($P2417*Basis!$E$2*((TaH-TrH)/LN(1/µ)/Basis!$E$7)^$N2417*$AA$4*Glycol,0)</f>
        <v>8415</v>
      </c>
      <c r="I2417" s="83">
        <f>ROUND(H2417/(MID($C2417,9,3)/Basis!$E$3/Basis!$E$9)*Basis!$E$11,0)</f>
        <v>1603</v>
      </c>
      <c r="J2417" s="123">
        <f>IF(Basis!$E$1=1,ROUND(H2417/((TaH-TrH)*1.163)/3600,3),ROUND(H2417/(500*(TaH-TrH)),2))</f>
        <v>0.84</v>
      </c>
      <c r="K2417" s="84"/>
      <c r="L2417" s="177">
        <f>CHOOSE(Basis!$E$1,((AJ2417*(J2417*3600/Basis!$E$5)^AK2417*(((MID(C2417,9,3)*10)-144)/1000)*AL2417+AM2417*(J2417*3600/Basis!$E$5)^2)*0.0098)/Basis!$E$10,((AJ2417*(J2417/Basis!$E$5)^AK2417*(((MID(C2417,9,3)*10)-144)/1000)*AL2417+AM2417*(J2417/Basis!$E$5)^2)*0.0098)/Basis!$E$10)</f>
        <v>5.5088338720495358E-2</v>
      </c>
      <c r="M2417" s="85"/>
      <c r="N2417" s="110">
        <v>1.373</v>
      </c>
      <c r="O2417" s="74"/>
      <c r="P2417" s="73">
        <v>3880</v>
      </c>
      <c r="Q2417" s="74"/>
      <c r="R2417" s="75"/>
      <c r="S2417" s="75"/>
      <c r="T2417" s="75"/>
      <c r="U2417" s="75"/>
      <c r="V2417" s="75"/>
      <c r="W2417" s="74"/>
      <c r="X2417" s="76"/>
      <c r="Y2417" s="76"/>
      <c r="Z2417" s="76"/>
      <c r="AA2417" s="76"/>
      <c r="AB2417" s="76"/>
      <c r="AC2417" s="74"/>
      <c r="AD2417" s="77"/>
      <c r="AE2417" s="77"/>
      <c r="AF2417" s="77"/>
      <c r="AG2417" s="77"/>
      <c r="AH2417" s="77"/>
      <c r="AI2417" s="68"/>
      <c r="AJ2417" s="214">
        <v>1.2760000000000001E-4</v>
      </c>
      <c r="AK2417" s="214">
        <v>1.7219</v>
      </c>
      <c r="AL2417" s="214">
        <v>2</v>
      </c>
      <c r="AM2417" s="214">
        <v>3.76611E-4</v>
      </c>
      <c r="AN2417" s="74"/>
      <c r="AO2417" s="73"/>
      <c r="AP2417" s="73"/>
      <c r="AQ2417" s="73"/>
      <c r="AR2417" s="73"/>
      <c r="AS2417" s="73"/>
      <c r="AT2417" s="74"/>
      <c r="AU2417" s="47"/>
      <c r="AV2417" s="48"/>
    </row>
    <row r="2418" spans="1:48" ht="12.75" customHeight="1" x14ac:dyDescent="0.25">
      <c r="A2418" s="72" t="s">
        <v>20</v>
      </c>
      <c r="B2418" s="43" t="s">
        <v>2240</v>
      </c>
      <c r="C2418" s="44" t="s">
        <v>2576</v>
      </c>
      <c r="D2418" s="45">
        <f>MROUND(MID($C2418,6,3)/Basis!$E$3,0.5)</f>
        <v>19.5</v>
      </c>
      <c r="E2418" s="45">
        <f>MROUND(MID($C2418,9,3)/Basis!$E$3,0.5)</f>
        <v>63</v>
      </c>
      <c r="F2418" s="124" t="s">
        <v>2948</v>
      </c>
      <c r="G2418" s="45">
        <f>ROUND((ROUNDDOWN($F2418/5,0)*5+1.8)/Basis!$E$3,1)</f>
        <v>8.6</v>
      </c>
      <c r="H2418" s="120">
        <f>ROUND($P2418*Basis!$E$2*((TaH-TrH)/LN(1/µ)/Basis!$E$7)^$N2418*$AA$4*Glycol,0)</f>
        <v>8634</v>
      </c>
      <c r="I2418" s="83">
        <f>ROUND(H2418/(MID($C2418,9,3)/Basis!$E$3/Basis!$E$9)*Basis!$E$11,0)</f>
        <v>1645</v>
      </c>
      <c r="J2418" s="123">
        <f>IF(Basis!$E$1=1,ROUND(H2418/((TaH-TrH)*1.163)/3600,3),ROUND(H2418/(500*(TaH-TrH)),2))</f>
        <v>0.86</v>
      </c>
      <c r="K2418" s="84"/>
      <c r="L2418" s="177">
        <f>CHOOSE(Basis!$E$1,((AJ2418*(J2418*3600/Basis!$E$5)^AK2418*(((MID(C2418,9,3)*10)-144)/1000)*AL2418+AM2418*(J2418*3600/Basis!$E$5)^2)*0.0098)/Basis!$E$10,((AJ2418*(J2418/Basis!$E$5)^AK2418*(((MID(C2418,9,3)*10)-144)/1000)*AL2418+AM2418*(J2418/Basis!$E$5)^2)*0.0098)/Basis!$E$10)</f>
        <v>8.55277861726806E-2</v>
      </c>
      <c r="M2418" s="85"/>
      <c r="N2418" s="109">
        <v>1.4850000000000001</v>
      </c>
      <c r="O2418" s="68"/>
      <c r="P2418" s="67">
        <v>4131</v>
      </c>
      <c r="Q2418" s="68"/>
      <c r="R2418" s="69"/>
      <c r="S2418" s="69"/>
      <c r="T2418" s="69"/>
      <c r="U2418" s="69"/>
      <c r="V2418" s="69"/>
      <c r="W2418" s="68"/>
      <c r="X2418" s="70"/>
      <c r="Y2418" s="70"/>
      <c r="Z2418" s="70"/>
      <c r="AA2418" s="70"/>
      <c r="AB2418" s="70"/>
      <c r="AC2418" s="68"/>
      <c r="AD2418" s="71"/>
      <c r="AE2418" s="71"/>
      <c r="AF2418" s="71"/>
      <c r="AG2418" s="71"/>
      <c r="AH2418" s="71"/>
      <c r="AI2418" s="68"/>
      <c r="AJ2418" s="214">
        <v>1.2760000000000001E-4</v>
      </c>
      <c r="AK2418" s="214">
        <v>1.7219</v>
      </c>
      <c r="AL2418" s="214">
        <v>4</v>
      </c>
      <c r="AM2418" s="214">
        <v>5.1420100000000005E-4</v>
      </c>
      <c r="AN2418" s="68"/>
      <c r="AO2418" s="67"/>
      <c r="AP2418" s="67"/>
      <c r="AQ2418" s="67"/>
      <c r="AR2418" s="67"/>
      <c r="AS2418" s="67"/>
      <c r="AT2418" s="68"/>
      <c r="AU2418" s="49"/>
      <c r="AV2418" s="50"/>
    </row>
    <row r="2419" spans="1:48" ht="12.75" customHeight="1" x14ac:dyDescent="0.25">
      <c r="A2419" s="72" t="s">
        <v>20</v>
      </c>
      <c r="B2419" s="43" t="s">
        <v>2240</v>
      </c>
      <c r="C2419" s="44" t="s">
        <v>2577</v>
      </c>
      <c r="D2419" s="45">
        <f>MROUND(MID($C2419,6,3)/Basis!$E$3,0.5)</f>
        <v>19.5</v>
      </c>
      <c r="E2419" s="45">
        <f>MROUND(MID($C2419,9,3)/Basis!$E$3,0.5)</f>
        <v>71</v>
      </c>
      <c r="F2419" s="124" t="s">
        <v>2943</v>
      </c>
      <c r="G2419" s="45">
        <f>ROUND((ROUNDDOWN($F2419/5,0)*5+1.8)/Basis!$E$3,1)</f>
        <v>4.5999999999999996</v>
      </c>
      <c r="H2419" s="120">
        <f>ROUND($P2419*Basis!$E$2*((TaH-TrH)/LN(1/µ)/Basis!$E$7)^$N2419*$AA$4*Glycol,0)</f>
        <v>4184</v>
      </c>
      <c r="I2419" s="83">
        <f>ROUND(H2419/(MID($C2419,9,3)/Basis!$E$3/Basis!$E$9)*Basis!$E$11,0)</f>
        <v>708</v>
      </c>
      <c r="J2419" s="123">
        <f>IF(Basis!$E$1=1,ROUND(H2419/((TaH-TrH)*1.163)/3600,3),ROUND(H2419/(500*(TaH-TrH)),2))</f>
        <v>0.42</v>
      </c>
      <c r="K2419" s="84"/>
      <c r="L2419" s="177">
        <f>CHOOSE(Basis!$E$1,((AJ2419*(J2419*3600/Basis!$E$5)^AK2419*(((MID(C2419,9,3)*10)-144)/1000)*AL2419+AM2419*(J2419*3600/Basis!$E$5)^2)*0.0098)/Basis!$E$10,((AJ2419*(J2419/Basis!$E$5)^AK2419*(((MID(C2419,9,3)*10)-144)/1000)*AL2419+AM2419*(J2419/Basis!$E$5)^2)*0.0098)/Basis!$E$10)</f>
        <v>2.2596533401072642E-2</v>
      </c>
      <c r="M2419" s="85"/>
      <c r="N2419" s="109">
        <v>1.385</v>
      </c>
      <c r="O2419" s="68"/>
      <c r="P2419" s="67">
        <v>1937</v>
      </c>
      <c r="Q2419" s="68"/>
      <c r="R2419" s="69"/>
      <c r="S2419" s="69"/>
      <c r="T2419" s="69"/>
      <c r="U2419" s="69"/>
      <c r="V2419" s="69"/>
      <c r="W2419" s="68"/>
      <c r="X2419" s="70"/>
      <c r="Y2419" s="70"/>
      <c r="Z2419" s="70"/>
      <c r="AA2419" s="70"/>
      <c r="AB2419" s="70"/>
      <c r="AC2419" s="68"/>
      <c r="AD2419" s="71"/>
      <c r="AE2419" s="71"/>
      <c r="AF2419" s="71"/>
      <c r="AG2419" s="71"/>
      <c r="AH2419" s="71"/>
      <c r="AI2419" s="68"/>
      <c r="AJ2419" s="214">
        <v>3.9689999999999994E-4</v>
      </c>
      <c r="AK2419" s="214">
        <v>1.7345999999999999</v>
      </c>
      <c r="AL2419" s="214">
        <v>2</v>
      </c>
      <c r="AM2419" s="214">
        <v>3.6734700000000002E-4</v>
      </c>
      <c r="AN2419" s="68"/>
      <c r="AO2419" s="67"/>
      <c r="AP2419" s="67"/>
      <c r="AQ2419" s="67"/>
      <c r="AR2419" s="67"/>
      <c r="AS2419" s="67"/>
      <c r="AT2419" s="68"/>
      <c r="AU2419" s="49"/>
      <c r="AV2419" s="50"/>
    </row>
    <row r="2420" spans="1:48" ht="12.75" customHeight="1" x14ac:dyDescent="0.25">
      <c r="A2420" s="72" t="s">
        <v>20</v>
      </c>
      <c r="B2420" s="43" t="s">
        <v>2240</v>
      </c>
      <c r="C2420" s="44" t="s">
        <v>2578</v>
      </c>
      <c r="D2420" s="45">
        <f>MROUND(MID($C2420,6,3)/Basis!$E$3,0.5)</f>
        <v>19.5</v>
      </c>
      <c r="E2420" s="45">
        <f>MROUND(MID($C2420,9,3)/Basis!$E$3,0.5)</f>
        <v>71</v>
      </c>
      <c r="F2420" s="124" t="s">
        <v>2946</v>
      </c>
      <c r="G2420" s="45">
        <f>ROUND((ROUNDDOWN($F2420/5,0)*5+1.8)/Basis!$E$3,1)</f>
        <v>4.5999999999999996</v>
      </c>
      <c r="H2420" s="120">
        <f>ROUND($P2420*Basis!$E$2*((TaH-TrH)/LN(1/µ)/Basis!$E$7)^$N2420*$AA$4*Glycol,0)</f>
        <v>5296</v>
      </c>
      <c r="I2420" s="83">
        <f>ROUND(H2420/(MID($C2420,9,3)/Basis!$E$3/Basis!$E$9)*Basis!$E$11,0)</f>
        <v>897</v>
      </c>
      <c r="J2420" s="123">
        <f>IF(Basis!$E$1=1,ROUND(H2420/((TaH-TrH)*1.163)/3600,3),ROUND(H2420/(500*(TaH-TrH)),2))</f>
        <v>0.53</v>
      </c>
      <c r="K2420" s="84"/>
      <c r="L2420" s="177">
        <f>CHOOSE(Basis!$E$1,((AJ2420*(J2420*3600/Basis!$E$5)^AK2420*(((MID(C2420,9,3)*10)-144)/1000)*AL2420+AM2420*(J2420*3600/Basis!$E$5)^2)*0.0098)/Basis!$E$10,((AJ2420*(J2420/Basis!$E$5)^AK2420*(((MID(C2420,9,3)*10)-144)/1000)*AL2420+AM2420*(J2420/Basis!$E$5)^2)*0.0098)/Basis!$E$10)</f>
        <v>6.2141088074176155E-2</v>
      </c>
      <c r="M2420" s="85"/>
      <c r="N2420" s="110">
        <v>1.4379999999999999</v>
      </c>
      <c r="O2420" s="74"/>
      <c r="P2420" s="73">
        <v>2495</v>
      </c>
      <c r="Q2420" s="74"/>
      <c r="R2420" s="75"/>
      <c r="S2420" s="75"/>
      <c r="T2420" s="75"/>
      <c r="U2420" s="75"/>
      <c r="V2420" s="75"/>
      <c r="W2420" s="74"/>
      <c r="X2420" s="76"/>
      <c r="Y2420" s="76"/>
      <c r="Z2420" s="76"/>
      <c r="AA2420" s="76"/>
      <c r="AB2420" s="76"/>
      <c r="AC2420" s="74"/>
      <c r="AD2420" s="77"/>
      <c r="AE2420" s="77"/>
      <c r="AF2420" s="77"/>
      <c r="AG2420" s="77"/>
      <c r="AH2420" s="77"/>
      <c r="AI2420" s="68"/>
      <c r="AJ2420" s="213">
        <v>3.9689999999999994E-4</v>
      </c>
      <c r="AK2420" s="213">
        <v>1.7345999999999999</v>
      </c>
      <c r="AL2420" s="213">
        <v>4</v>
      </c>
      <c r="AM2420" s="213">
        <v>5.7428799999999995E-4</v>
      </c>
      <c r="AN2420" s="74"/>
      <c r="AO2420" s="73"/>
      <c r="AP2420" s="73"/>
      <c r="AQ2420" s="73"/>
      <c r="AR2420" s="73"/>
      <c r="AS2420" s="73"/>
      <c r="AT2420" s="74"/>
      <c r="AU2420" s="47"/>
      <c r="AV2420" s="48"/>
    </row>
    <row r="2421" spans="1:48" ht="12.75" customHeight="1" x14ac:dyDescent="0.25">
      <c r="A2421" s="72" t="s">
        <v>20</v>
      </c>
      <c r="B2421" s="43" t="s">
        <v>2240</v>
      </c>
      <c r="C2421" s="44" t="s">
        <v>2579</v>
      </c>
      <c r="D2421" s="45">
        <f>MROUND(MID($C2421,6,3)/Basis!$E$3,0.5)</f>
        <v>19.5</v>
      </c>
      <c r="E2421" s="45">
        <f>MROUND(MID($C2421,9,3)/Basis!$E$3,0.5)</f>
        <v>71</v>
      </c>
      <c r="F2421" s="124" t="s">
        <v>2944</v>
      </c>
      <c r="G2421" s="45">
        <f>ROUND((ROUNDDOWN($F2421/5,0)*5+1.8)/Basis!$E$3,1)</f>
        <v>6.6</v>
      </c>
      <c r="H2421" s="120">
        <f>ROUND($P2421*Basis!$E$2*((TaH-TrH)/LN(1/µ)/Basis!$E$7)^$N2421*$AA$4*Glycol,0)</f>
        <v>6769</v>
      </c>
      <c r="I2421" s="83">
        <f>ROUND(H2421/(MID($C2421,9,3)/Basis!$E$3/Basis!$E$9)*Basis!$E$11,0)</f>
        <v>1146</v>
      </c>
      <c r="J2421" s="123">
        <f>IF(Basis!$E$1=1,ROUND(H2421/((TaH-TrH)*1.163)/3600,3),ROUND(H2421/(500*(TaH-TrH)),2))</f>
        <v>0.68</v>
      </c>
      <c r="K2421" s="84"/>
      <c r="L2421" s="177">
        <f>CHOOSE(Basis!$E$1,((AJ2421*(J2421*3600/Basis!$E$5)^AK2421*(((MID(C2421,9,3)*10)-144)/1000)*AL2421+AM2421*(J2421*3600/Basis!$E$5)^2)*0.0098)/Basis!$E$10,((AJ2421*(J2421/Basis!$E$5)^AK2421*(((MID(C2421,9,3)*10)-144)/1000)*AL2421+AM2421*(J2421/Basis!$E$5)^2)*0.0098)/Basis!$E$10)</f>
        <v>4.9408115967079523E-2</v>
      </c>
      <c r="M2421" s="85"/>
      <c r="N2421" s="110">
        <v>1.373</v>
      </c>
      <c r="O2421" s="74"/>
      <c r="P2421" s="73">
        <v>3121</v>
      </c>
      <c r="Q2421" s="74"/>
      <c r="R2421" s="75"/>
      <c r="S2421" s="75"/>
      <c r="T2421" s="75"/>
      <c r="U2421" s="75"/>
      <c r="V2421" s="75"/>
      <c r="W2421" s="74"/>
      <c r="X2421" s="76"/>
      <c r="Y2421" s="76"/>
      <c r="Z2421" s="76"/>
      <c r="AA2421" s="76"/>
      <c r="AB2421" s="76"/>
      <c r="AC2421" s="74"/>
      <c r="AD2421" s="77"/>
      <c r="AE2421" s="77"/>
      <c r="AF2421" s="77"/>
      <c r="AG2421" s="77"/>
      <c r="AH2421" s="77"/>
      <c r="AI2421" s="68"/>
      <c r="AJ2421" s="213">
        <v>2.0829999999999999E-4</v>
      </c>
      <c r="AK2421" s="213">
        <v>1.724</v>
      </c>
      <c r="AL2421" s="213">
        <v>2</v>
      </c>
      <c r="AM2421" s="213">
        <v>4.6182900000000003E-4</v>
      </c>
      <c r="AN2421" s="74"/>
      <c r="AO2421" s="73"/>
      <c r="AP2421" s="73"/>
      <c r="AQ2421" s="73"/>
      <c r="AR2421" s="73"/>
      <c r="AS2421" s="73"/>
      <c r="AT2421" s="74"/>
      <c r="AU2421" s="47"/>
      <c r="AV2421" s="48"/>
    </row>
    <row r="2422" spans="1:48" ht="12.75" customHeight="1" x14ac:dyDescent="0.25">
      <c r="A2422" s="72" t="s">
        <v>20</v>
      </c>
      <c r="B2422" s="43" t="s">
        <v>2240</v>
      </c>
      <c r="C2422" s="44" t="s">
        <v>2580</v>
      </c>
      <c r="D2422" s="45">
        <f>MROUND(MID($C2422,6,3)/Basis!$E$3,0.5)</f>
        <v>19.5</v>
      </c>
      <c r="E2422" s="45">
        <f>MROUND(MID($C2422,9,3)/Basis!$E$3,0.5)</f>
        <v>71</v>
      </c>
      <c r="F2422" s="124" t="s">
        <v>2947</v>
      </c>
      <c r="G2422" s="45">
        <f>ROUND((ROUNDDOWN($F2422/5,0)*5+1.8)/Basis!$E$3,1)</f>
        <v>6.6</v>
      </c>
      <c r="H2422" s="120">
        <f>ROUND($P2422*Basis!$E$2*((TaH-TrH)/LN(1/µ)/Basis!$E$7)^$N2422*$AA$4*Glycol,0)</f>
        <v>7190</v>
      </c>
      <c r="I2422" s="83">
        <f>ROUND(H2422/(MID($C2422,9,3)/Basis!$E$3/Basis!$E$9)*Basis!$E$11,0)</f>
        <v>1218</v>
      </c>
      <c r="J2422" s="123">
        <f>IF(Basis!$E$1=1,ROUND(H2422/((TaH-TrH)*1.163)/3600,3),ROUND(H2422/(500*(TaH-TrH)),2))</f>
        <v>0.72</v>
      </c>
      <c r="K2422" s="84"/>
      <c r="L2422" s="177">
        <f>CHOOSE(Basis!$E$1,((AJ2422*(J2422*3600/Basis!$E$5)^AK2422*(((MID(C2422,9,3)*10)-144)/1000)*AL2422+AM2422*(J2422*3600/Basis!$E$5)^2)*0.0098)/Basis!$E$10,((AJ2422*(J2422/Basis!$E$5)^AK2422*(((MID(C2422,9,3)*10)-144)/1000)*AL2422+AM2422*(J2422/Basis!$E$5)^2)*0.0098)/Basis!$E$10)</f>
        <v>0.15133446693227892</v>
      </c>
      <c r="M2422" s="85"/>
      <c r="N2422" s="109">
        <v>1.464</v>
      </c>
      <c r="O2422" s="68"/>
      <c r="P2422" s="67">
        <v>3416</v>
      </c>
      <c r="Q2422" s="68"/>
      <c r="R2422" s="69"/>
      <c r="S2422" s="69"/>
      <c r="T2422" s="69"/>
      <c r="U2422" s="69"/>
      <c r="V2422" s="69"/>
      <c r="W2422" s="68"/>
      <c r="X2422" s="70"/>
      <c r="Y2422" s="70"/>
      <c r="Z2422" s="70"/>
      <c r="AA2422" s="70"/>
      <c r="AB2422" s="70"/>
      <c r="AC2422" s="68"/>
      <c r="AD2422" s="71"/>
      <c r="AE2422" s="71"/>
      <c r="AF2422" s="71"/>
      <c r="AG2422" s="71"/>
      <c r="AH2422" s="71"/>
      <c r="AI2422" s="68"/>
      <c r="AJ2422" s="214">
        <v>2.0829999999999999E-4</v>
      </c>
      <c r="AK2422" s="214">
        <v>1.724</v>
      </c>
      <c r="AL2422" s="214">
        <v>4</v>
      </c>
      <c r="AM2422" s="214">
        <v>1.392796E-3</v>
      </c>
      <c r="AN2422" s="68"/>
      <c r="AO2422" s="67"/>
      <c r="AP2422" s="67"/>
      <c r="AQ2422" s="67"/>
      <c r="AR2422" s="67"/>
      <c r="AS2422" s="67"/>
      <c r="AT2422" s="68"/>
      <c r="AU2422" s="49"/>
      <c r="AV2422" s="50"/>
    </row>
    <row r="2423" spans="1:48" ht="12.75" customHeight="1" x14ac:dyDescent="0.25">
      <c r="A2423" s="72" t="s">
        <v>20</v>
      </c>
      <c r="B2423" s="43" t="s">
        <v>2240</v>
      </c>
      <c r="C2423" s="44" t="s">
        <v>2581</v>
      </c>
      <c r="D2423" s="45">
        <f>MROUND(MID($C2423,6,3)/Basis!$E$3,0.5)</f>
        <v>19.5</v>
      </c>
      <c r="E2423" s="45">
        <f>MROUND(MID($C2423,9,3)/Basis!$E$3,0.5)</f>
        <v>71</v>
      </c>
      <c r="F2423" s="124" t="s">
        <v>2945</v>
      </c>
      <c r="G2423" s="45">
        <f>ROUND((ROUNDDOWN($F2423/5,0)*5+1.8)/Basis!$E$3,1)</f>
        <v>8.6</v>
      </c>
      <c r="H2423" s="120">
        <f>ROUND($P2423*Basis!$E$2*((TaH-TrH)/LN(1/µ)/Basis!$E$7)^$N2423*$AA$4*Glycol,0)</f>
        <v>9467</v>
      </c>
      <c r="I2423" s="83">
        <f>ROUND(H2423/(MID($C2423,9,3)/Basis!$E$3/Basis!$E$9)*Basis!$E$11,0)</f>
        <v>1603</v>
      </c>
      <c r="J2423" s="123">
        <f>IF(Basis!$E$1=1,ROUND(H2423/((TaH-TrH)*1.163)/3600,3),ROUND(H2423/(500*(TaH-TrH)),2))</f>
        <v>0.95</v>
      </c>
      <c r="K2423" s="84"/>
      <c r="L2423" s="177">
        <f>CHOOSE(Basis!$E$1,((AJ2423*(J2423*3600/Basis!$E$5)^AK2423*(((MID(C2423,9,3)*10)-144)/1000)*AL2423+AM2423*(J2423*3600/Basis!$E$5)^2)*0.0098)/Basis!$E$10,((AJ2423*(J2423/Basis!$E$5)^AK2423*(((MID(C2423,9,3)*10)-144)/1000)*AL2423+AM2423*(J2423/Basis!$E$5)^2)*0.0098)/Basis!$E$10)</f>
        <v>7.176220730168556E-2</v>
      </c>
      <c r="M2423" s="85"/>
      <c r="N2423" s="109">
        <v>1.373</v>
      </c>
      <c r="O2423" s="68"/>
      <c r="P2423" s="67">
        <v>4365</v>
      </c>
      <c r="Q2423" s="68"/>
      <c r="R2423" s="69"/>
      <c r="S2423" s="69"/>
      <c r="T2423" s="69"/>
      <c r="U2423" s="69"/>
      <c r="V2423" s="69"/>
      <c r="W2423" s="68"/>
      <c r="X2423" s="70"/>
      <c r="Y2423" s="70"/>
      <c r="Z2423" s="70"/>
      <c r="AA2423" s="70"/>
      <c r="AB2423" s="70"/>
      <c r="AC2423" s="68"/>
      <c r="AD2423" s="71"/>
      <c r="AE2423" s="71"/>
      <c r="AF2423" s="71"/>
      <c r="AG2423" s="71"/>
      <c r="AH2423" s="71"/>
      <c r="AI2423" s="68"/>
      <c r="AJ2423" s="214">
        <v>1.2760000000000001E-4</v>
      </c>
      <c r="AK2423" s="214">
        <v>1.7219</v>
      </c>
      <c r="AL2423" s="214">
        <v>2</v>
      </c>
      <c r="AM2423" s="214">
        <v>3.76611E-4</v>
      </c>
      <c r="AN2423" s="68"/>
      <c r="AO2423" s="67"/>
      <c r="AP2423" s="67"/>
      <c r="AQ2423" s="67"/>
      <c r="AR2423" s="67"/>
      <c r="AS2423" s="67"/>
      <c r="AT2423" s="68"/>
      <c r="AU2423" s="49"/>
      <c r="AV2423" s="50"/>
    </row>
    <row r="2424" spans="1:48" ht="12.75" customHeight="1" x14ac:dyDescent="0.25">
      <c r="A2424" s="72" t="s">
        <v>20</v>
      </c>
      <c r="B2424" s="43" t="s">
        <v>2240</v>
      </c>
      <c r="C2424" s="44" t="s">
        <v>2582</v>
      </c>
      <c r="D2424" s="45">
        <f>MROUND(MID($C2424,6,3)/Basis!$E$3,0.5)</f>
        <v>19.5</v>
      </c>
      <c r="E2424" s="45">
        <f>MROUND(MID($C2424,9,3)/Basis!$E$3,0.5)</f>
        <v>71</v>
      </c>
      <c r="F2424" s="124" t="s">
        <v>2948</v>
      </c>
      <c r="G2424" s="45">
        <f>ROUND((ROUNDDOWN($F2424/5,0)*5+1.8)/Basis!$E$3,1)</f>
        <v>8.6</v>
      </c>
      <c r="H2424" s="120">
        <f>ROUND($P2424*Basis!$E$2*((TaH-TrH)/LN(1/µ)/Basis!$E$7)^$N2424*$AA$4*Glycol,0)</f>
        <v>9715</v>
      </c>
      <c r="I2424" s="83">
        <f>ROUND(H2424/(MID($C2424,9,3)/Basis!$E$3/Basis!$E$9)*Basis!$E$11,0)</f>
        <v>1645</v>
      </c>
      <c r="J2424" s="123">
        <f>IF(Basis!$E$1=1,ROUND(H2424/((TaH-TrH)*1.163)/3600,3),ROUND(H2424/(500*(TaH-TrH)),2))</f>
        <v>0.97</v>
      </c>
      <c r="K2424" s="84"/>
      <c r="L2424" s="177">
        <f>CHOOSE(Basis!$E$1,((AJ2424*(J2424*3600/Basis!$E$5)^AK2424*(((MID(C2424,9,3)*10)-144)/1000)*AL2424+AM2424*(J2424*3600/Basis!$E$5)^2)*0.0098)/Basis!$E$10,((AJ2424*(J2424/Basis!$E$5)^AK2424*(((MID(C2424,9,3)*10)-144)/1000)*AL2424+AM2424*(J2424/Basis!$E$5)^2)*0.0098)/Basis!$E$10)</f>
        <v>0.11152427718998699</v>
      </c>
      <c r="M2424" s="85"/>
      <c r="N2424" s="110">
        <v>1.4850000000000001</v>
      </c>
      <c r="O2424" s="74"/>
      <c r="P2424" s="73">
        <v>4648</v>
      </c>
      <c r="Q2424" s="74"/>
      <c r="R2424" s="75"/>
      <c r="S2424" s="75"/>
      <c r="T2424" s="75"/>
      <c r="U2424" s="75"/>
      <c r="V2424" s="75"/>
      <c r="W2424" s="74"/>
      <c r="X2424" s="76"/>
      <c r="Y2424" s="76"/>
      <c r="Z2424" s="76"/>
      <c r="AA2424" s="76"/>
      <c r="AB2424" s="76"/>
      <c r="AC2424" s="74"/>
      <c r="AD2424" s="77"/>
      <c r="AE2424" s="77"/>
      <c r="AF2424" s="77"/>
      <c r="AG2424" s="77"/>
      <c r="AH2424" s="77"/>
      <c r="AI2424" s="68"/>
      <c r="AJ2424" s="213">
        <v>1.2760000000000001E-4</v>
      </c>
      <c r="AK2424" s="213">
        <v>1.7219</v>
      </c>
      <c r="AL2424" s="213">
        <v>4</v>
      </c>
      <c r="AM2424" s="213">
        <v>5.1420100000000005E-4</v>
      </c>
      <c r="AN2424" s="74"/>
      <c r="AO2424" s="73"/>
      <c r="AP2424" s="73"/>
      <c r="AQ2424" s="73"/>
      <c r="AR2424" s="73"/>
      <c r="AS2424" s="73"/>
      <c r="AT2424" s="74"/>
      <c r="AU2424" s="47"/>
      <c r="AV2424" s="48"/>
    </row>
    <row r="2425" spans="1:48" ht="12.75" customHeight="1" x14ac:dyDescent="0.25">
      <c r="A2425" s="72" t="s">
        <v>20</v>
      </c>
      <c r="B2425" s="43" t="s">
        <v>2240</v>
      </c>
      <c r="C2425" s="44" t="s">
        <v>2583</v>
      </c>
      <c r="D2425" s="45">
        <f>MROUND(MID($C2425,6,3)/Basis!$E$3,0.5)</f>
        <v>19.5</v>
      </c>
      <c r="E2425" s="45">
        <f>MROUND(MID($C2425,9,3)/Basis!$E$3,0.5)</f>
        <v>78.5</v>
      </c>
      <c r="F2425" s="124" t="s">
        <v>2943</v>
      </c>
      <c r="G2425" s="45">
        <f>ROUND((ROUNDDOWN($F2425/5,0)*5+1.8)/Basis!$E$3,1)</f>
        <v>4.5999999999999996</v>
      </c>
      <c r="H2425" s="120">
        <f>ROUND($P2425*Basis!$E$2*((TaH-TrH)/LN(1/µ)/Basis!$E$7)^$N2425*$AA$4*Glycol,0)</f>
        <v>4649</v>
      </c>
      <c r="I2425" s="83">
        <f>ROUND(H2425/(MID($C2425,9,3)/Basis!$E$3/Basis!$E$9)*Basis!$E$11,0)</f>
        <v>709</v>
      </c>
      <c r="J2425" s="123">
        <f>IF(Basis!$E$1=1,ROUND(H2425/((TaH-TrH)*1.163)/3600,3),ROUND(H2425/(500*(TaH-TrH)),2))</f>
        <v>0.46</v>
      </c>
      <c r="K2425" s="84"/>
      <c r="L2425" s="177">
        <f>CHOOSE(Basis!$E$1,((AJ2425*(J2425*3600/Basis!$E$5)^AK2425*(((MID(C2425,9,3)*10)-144)/1000)*AL2425+AM2425*(J2425*3600/Basis!$E$5)^2)*0.0098)/Basis!$E$10,((AJ2425*(J2425/Basis!$E$5)^AK2425*(((MID(C2425,9,3)*10)-144)/1000)*AL2425+AM2425*(J2425/Basis!$E$5)^2)*0.0098)/Basis!$E$10)</f>
        <v>2.8421620075424408E-2</v>
      </c>
      <c r="M2425" s="85"/>
      <c r="N2425" s="110">
        <v>1.385</v>
      </c>
      <c r="O2425" s="74"/>
      <c r="P2425" s="73">
        <v>2152</v>
      </c>
      <c r="Q2425" s="74"/>
      <c r="R2425" s="75"/>
      <c r="S2425" s="75"/>
      <c r="T2425" s="75"/>
      <c r="U2425" s="75"/>
      <c r="V2425" s="75"/>
      <c r="W2425" s="74"/>
      <c r="X2425" s="76"/>
      <c r="Y2425" s="76"/>
      <c r="Z2425" s="76"/>
      <c r="AA2425" s="76"/>
      <c r="AB2425" s="76"/>
      <c r="AC2425" s="74"/>
      <c r="AD2425" s="77"/>
      <c r="AE2425" s="77"/>
      <c r="AF2425" s="77"/>
      <c r="AG2425" s="77"/>
      <c r="AH2425" s="77"/>
      <c r="AI2425" s="68"/>
      <c r="AJ2425" s="213">
        <v>3.9689999999999994E-4</v>
      </c>
      <c r="AK2425" s="213">
        <v>1.7345999999999999</v>
      </c>
      <c r="AL2425" s="213">
        <v>2</v>
      </c>
      <c r="AM2425" s="213">
        <v>3.6734700000000002E-4</v>
      </c>
      <c r="AN2425" s="74"/>
      <c r="AO2425" s="73"/>
      <c r="AP2425" s="73"/>
      <c r="AQ2425" s="73"/>
      <c r="AR2425" s="73"/>
      <c r="AS2425" s="73"/>
      <c r="AT2425" s="74"/>
      <c r="AU2425" s="47"/>
      <c r="AV2425" s="48"/>
    </row>
    <row r="2426" spans="1:48" ht="12.75" customHeight="1" x14ac:dyDescent="0.25">
      <c r="A2426" s="72" t="s">
        <v>20</v>
      </c>
      <c r="B2426" s="43" t="s">
        <v>2240</v>
      </c>
      <c r="C2426" s="44" t="s">
        <v>2584</v>
      </c>
      <c r="D2426" s="45">
        <f>MROUND(MID($C2426,6,3)/Basis!$E$3,0.5)</f>
        <v>19.5</v>
      </c>
      <c r="E2426" s="45">
        <f>MROUND(MID($C2426,9,3)/Basis!$E$3,0.5)</f>
        <v>78.5</v>
      </c>
      <c r="F2426" s="124" t="s">
        <v>2946</v>
      </c>
      <c r="G2426" s="45">
        <f>ROUND((ROUNDDOWN($F2426/5,0)*5+1.8)/Basis!$E$3,1)</f>
        <v>4.5999999999999996</v>
      </c>
      <c r="H2426" s="120">
        <f>ROUND($P2426*Basis!$E$2*((TaH-TrH)/LN(1/µ)/Basis!$E$7)^$N2426*$AA$4*Glycol,0)</f>
        <v>5884</v>
      </c>
      <c r="I2426" s="83">
        <f>ROUND(H2426/(MID($C2426,9,3)/Basis!$E$3/Basis!$E$9)*Basis!$E$11,0)</f>
        <v>897</v>
      </c>
      <c r="J2426" s="123">
        <f>IF(Basis!$E$1=1,ROUND(H2426/((TaH-TrH)*1.163)/3600,3),ROUND(H2426/(500*(TaH-TrH)),2))</f>
        <v>0.59</v>
      </c>
      <c r="K2426" s="84"/>
      <c r="L2426" s="177">
        <f>CHOOSE(Basis!$E$1,((AJ2426*(J2426*3600/Basis!$E$5)^AK2426*(((MID(C2426,9,3)*10)-144)/1000)*AL2426+AM2426*(J2426*3600/Basis!$E$5)^2)*0.0098)/Basis!$E$10,((AJ2426*(J2426/Basis!$E$5)^AK2426*(((MID(C2426,9,3)*10)-144)/1000)*AL2426+AM2426*(J2426/Basis!$E$5)^2)*0.0098)/Basis!$E$10)</f>
        <v>8.087377759912287E-2</v>
      </c>
      <c r="M2426" s="85"/>
      <c r="N2426" s="109">
        <v>1.4379999999999999</v>
      </c>
      <c r="O2426" s="68"/>
      <c r="P2426" s="67">
        <v>2772</v>
      </c>
      <c r="Q2426" s="68"/>
      <c r="R2426" s="69"/>
      <c r="S2426" s="69"/>
      <c r="T2426" s="69"/>
      <c r="U2426" s="69"/>
      <c r="V2426" s="69"/>
      <c r="W2426" s="68"/>
      <c r="X2426" s="70"/>
      <c r="Y2426" s="70"/>
      <c r="Z2426" s="70"/>
      <c r="AA2426" s="70"/>
      <c r="AB2426" s="70"/>
      <c r="AC2426" s="68"/>
      <c r="AD2426" s="71"/>
      <c r="AE2426" s="71"/>
      <c r="AF2426" s="71"/>
      <c r="AG2426" s="71"/>
      <c r="AH2426" s="71"/>
      <c r="AI2426" s="68"/>
      <c r="AJ2426" s="214">
        <v>3.9689999999999994E-4</v>
      </c>
      <c r="AK2426" s="214">
        <v>1.7345999999999999</v>
      </c>
      <c r="AL2426" s="214">
        <v>4</v>
      </c>
      <c r="AM2426" s="214">
        <v>5.7428799999999995E-4</v>
      </c>
      <c r="AN2426" s="68"/>
      <c r="AO2426" s="67"/>
      <c r="AP2426" s="67"/>
      <c r="AQ2426" s="67"/>
      <c r="AR2426" s="67"/>
      <c r="AS2426" s="67"/>
      <c r="AT2426" s="68"/>
      <c r="AU2426" s="49"/>
      <c r="AV2426" s="50"/>
    </row>
    <row r="2427" spans="1:48" ht="12.75" customHeight="1" x14ac:dyDescent="0.25">
      <c r="A2427" s="72" t="s">
        <v>20</v>
      </c>
      <c r="B2427" s="43" t="s">
        <v>2240</v>
      </c>
      <c r="C2427" s="44" t="s">
        <v>2585</v>
      </c>
      <c r="D2427" s="45">
        <f>MROUND(MID($C2427,6,3)/Basis!$E$3,0.5)</f>
        <v>19.5</v>
      </c>
      <c r="E2427" s="45">
        <f>MROUND(MID($C2427,9,3)/Basis!$E$3,0.5)</f>
        <v>78.5</v>
      </c>
      <c r="F2427" s="124" t="s">
        <v>2944</v>
      </c>
      <c r="G2427" s="45">
        <f>ROUND((ROUNDDOWN($F2427/5,0)*5+1.8)/Basis!$E$3,1)</f>
        <v>6.6</v>
      </c>
      <c r="H2427" s="120">
        <f>ROUND($P2427*Basis!$E$2*((TaH-TrH)/LN(1/µ)/Basis!$E$7)^$N2427*$AA$4*Glycol,0)</f>
        <v>7521</v>
      </c>
      <c r="I2427" s="83">
        <f>ROUND(H2427/(MID($C2427,9,3)/Basis!$E$3/Basis!$E$9)*Basis!$E$11,0)</f>
        <v>1146</v>
      </c>
      <c r="J2427" s="123">
        <f>IF(Basis!$E$1=1,ROUND(H2427/((TaH-TrH)*1.163)/3600,3),ROUND(H2427/(500*(TaH-TrH)),2))</f>
        <v>0.75</v>
      </c>
      <c r="K2427" s="84"/>
      <c r="L2427" s="177">
        <f>CHOOSE(Basis!$E$1,((AJ2427*(J2427*3600/Basis!$E$5)^AK2427*(((MID(C2427,9,3)*10)-144)/1000)*AL2427+AM2427*(J2427*3600/Basis!$E$5)^2)*0.0098)/Basis!$E$10,((AJ2427*(J2427/Basis!$E$5)^AK2427*(((MID(C2427,9,3)*10)-144)/1000)*AL2427+AM2427*(J2427/Basis!$E$5)^2)*0.0098)/Basis!$E$10)</f>
        <v>6.1583958819513666E-2</v>
      </c>
      <c r="M2427" s="85"/>
      <c r="N2427" s="109">
        <v>1.373</v>
      </c>
      <c r="O2427" s="68"/>
      <c r="P2427" s="67">
        <v>3468</v>
      </c>
      <c r="Q2427" s="68"/>
      <c r="R2427" s="69"/>
      <c r="S2427" s="69"/>
      <c r="T2427" s="69"/>
      <c r="U2427" s="69"/>
      <c r="V2427" s="69"/>
      <c r="W2427" s="68"/>
      <c r="X2427" s="70"/>
      <c r="Y2427" s="70"/>
      <c r="Z2427" s="70"/>
      <c r="AA2427" s="70"/>
      <c r="AB2427" s="70"/>
      <c r="AC2427" s="68"/>
      <c r="AD2427" s="71"/>
      <c r="AE2427" s="71"/>
      <c r="AF2427" s="71"/>
      <c r="AG2427" s="71"/>
      <c r="AH2427" s="71"/>
      <c r="AI2427" s="68"/>
      <c r="AJ2427" s="214">
        <v>2.0829999999999999E-4</v>
      </c>
      <c r="AK2427" s="214">
        <v>1.724</v>
      </c>
      <c r="AL2427" s="214">
        <v>2</v>
      </c>
      <c r="AM2427" s="214">
        <v>4.6182900000000003E-4</v>
      </c>
      <c r="AN2427" s="68"/>
      <c r="AO2427" s="67"/>
      <c r="AP2427" s="67"/>
      <c r="AQ2427" s="67"/>
      <c r="AR2427" s="67"/>
      <c r="AS2427" s="67"/>
      <c r="AT2427" s="68"/>
      <c r="AU2427" s="49"/>
      <c r="AV2427" s="50"/>
    </row>
    <row r="2428" spans="1:48" ht="12.75" customHeight="1" x14ac:dyDescent="0.25">
      <c r="A2428" s="72" t="s">
        <v>20</v>
      </c>
      <c r="B2428" s="43" t="s">
        <v>2240</v>
      </c>
      <c r="C2428" s="44" t="s">
        <v>2586</v>
      </c>
      <c r="D2428" s="45">
        <f>MROUND(MID($C2428,6,3)/Basis!$E$3,0.5)</f>
        <v>19.5</v>
      </c>
      <c r="E2428" s="45">
        <f>MROUND(MID($C2428,9,3)/Basis!$E$3,0.5)</f>
        <v>78.5</v>
      </c>
      <c r="F2428" s="124" t="s">
        <v>2947</v>
      </c>
      <c r="G2428" s="45">
        <f>ROUND((ROUNDDOWN($F2428/5,0)*5+1.8)/Basis!$E$3,1)</f>
        <v>6.6</v>
      </c>
      <c r="H2428" s="120">
        <f>ROUND($P2428*Basis!$E$2*((TaH-TrH)/LN(1/µ)/Basis!$E$7)^$N2428*$AA$4*Glycol,0)</f>
        <v>7989</v>
      </c>
      <c r="I2428" s="83">
        <f>ROUND(H2428/(MID($C2428,9,3)/Basis!$E$3/Basis!$E$9)*Basis!$E$11,0)</f>
        <v>1218</v>
      </c>
      <c r="J2428" s="123">
        <f>IF(Basis!$E$1=1,ROUND(H2428/((TaH-TrH)*1.163)/3600,3),ROUND(H2428/(500*(TaH-TrH)),2))</f>
        <v>0.8</v>
      </c>
      <c r="K2428" s="84"/>
      <c r="L2428" s="177">
        <f>CHOOSE(Basis!$E$1,((AJ2428*(J2428*3600/Basis!$E$5)^AK2428*(((MID(C2428,9,3)*10)-144)/1000)*AL2428+AM2428*(J2428*3600/Basis!$E$5)^2)*0.0098)/Basis!$E$10,((AJ2428*(J2428/Basis!$E$5)^AK2428*(((MID(C2428,9,3)*10)-144)/1000)*AL2428+AM2428*(J2428/Basis!$E$5)^2)*0.0098)/Basis!$E$10)</f>
        <v>0.19006682968623015</v>
      </c>
      <c r="M2428" s="85"/>
      <c r="N2428" s="110">
        <v>1.464</v>
      </c>
      <c r="O2428" s="74"/>
      <c r="P2428" s="73">
        <v>3796</v>
      </c>
      <c r="Q2428" s="74"/>
      <c r="R2428" s="75"/>
      <c r="S2428" s="75"/>
      <c r="T2428" s="75"/>
      <c r="U2428" s="75"/>
      <c r="V2428" s="75"/>
      <c r="W2428" s="74"/>
      <c r="X2428" s="76"/>
      <c r="Y2428" s="76"/>
      <c r="Z2428" s="76"/>
      <c r="AA2428" s="76"/>
      <c r="AB2428" s="76"/>
      <c r="AC2428" s="74"/>
      <c r="AD2428" s="77"/>
      <c r="AE2428" s="77"/>
      <c r="AF2428" s="77"/>
      <c r="AG2428" s="77"/>
      <c r="AH2428" s="77"/>
      <c r="AI2428" s="68"/>
      <c r="AJ2428" s="213">
        <v>2.0829999999999999E-4</v>
      </c>
      <c r="AK2428" s="213">
        <v>1.724</v>
      </c>
      <c r="AL2428" s="213">
        <v>4</v>
      </c>
      <c r="AM2428" s="213">
        <v>1.392796E-3</v>
      </c>
      <c r="AN2428" s="74"/>
      <c r="AO2428" s="73"/>
      <c r="AP2428" s="73"/>
      <c r="AQ2428" s="73"/>
      <c r="AR2428" s="73"/>
      <c r="AS2428" s="73"/>
      <c r="AT2428" s="74"/>
      <c r="AU2428" s="47"/>
      <c r="AV2428" s="48"/>
    </row>
    <row r="2429" spans="1:48" ht="12.75" customHeight="1" x14ac:dyDescent="0.25">
      <c r="A2429" s="72" t="s">
        <v>20</v>
      </c>
      <c r="B2429" s="43" t="s">
        <v>2240</v>
      </c>
      <c r="C2429" s="44" t="s">
        <v>2587</v>
      </c>
      <c r="D2429" s="45">
        <f>MROUND(MID($C2429,6,3)/Basis!$E$3,0.5)</f>
        <v>19.5</v>
      </c>
      <c r="E2429" s="45">
        <f>MROUND(MID($C2429,9,3)/Basis!$E$3,0.5)</f>
        <v>78.5</v>
      </c>
      <c r="F2429" s="124" t="s">
        <v>2945</v>
      </c>
      <c r="G2429" s="45">
        <f>ROUND((ROUNDDOWN($F2429/5,0)*5+1.8)/Basis!$E$3,1)</f>
        <v>8.6</v>
      </c>
      <c r="H2429" s="120">
        <f>ROUND($P2429*Basis!$E$2*((TaH-TrH)/LN(1/µ)/Basis!$E$7)^$N2429*$AA$4*Glycol,0)</f>
        <v>10519</v>
      </c>
      <c r="I2429" s="83">
        <f>ROUND(H2429/(MID($C2429,9,3)/Basis!$E$3/Basis!$E$9)*Basis!$E$11,0)</f>
        <v>1603</v>
      </c>
      <c r="J2429" s="123">
        <f>IF(Basis!$E$1=1,ROUND(H2429/((TaH-TrH)*1.163)/3600,3),ROUND(H2429/(500*(TaH-TrH)),2))</f>
        <v>1.05</v>
      </c>
      <c r="K2429" s="84"/>
      <c r="L2429" s="177">
        <f>CHOOSE(Basis!$E$1,((AJ2429*(J2429*3600/Basis!$E$5)^AK2429*(((MID(C2429,9,3)*10)-144)/1000)*AL2429+AM2429*(J2429*3600/Basis!$E$5)^2)*0.0098)/Basis!$E$10,((AJ2429*(J2429/Basis!$E$5)^AK2429*(((MID(C2429,9,3)*10)-144)/1000)*AL2429+AM2429*(J2429/Basis!$E$5)^2)*0.0098)/Basis!$E$10)</f>
        <v>8.9252134968730135E-2</v>
      </c>
      <c r="M2429" s="85"/>
      <c r="N2429" s="110">
        <v>1.373</v>
      </c>
      <c r="O2429" s="74"/>
      <c r="P2429" s="73">
        <v>4850</v>
      </c>
      <c r="Q2429" s="74"/>
      <c r="R2429" s="75"/>
      <c r="S2429" s="75"/>
      <c r="T2429" s="75"/>
      <c r="U2429" s="75"/>
      <c r="V2429" s="75"/>
      <c r="W2429" s="74"/>
      <c r="X2429" s="76"/>
      <c r="Y2429" s="76"/>
      <c r="Z2429" s="76"/>
      <c r="AA2429" s="76"/>
      <c r="AB2429" s="76"/>
      <c r="AC2429" s="74"/>
      <c r="AD2429" s="77"/>
      <c r="AE2429" s="77"/>
      <c r="AF2429" s="77"/>
      <c r="AG2429" s="77"/>
      <c r="AH2429" s="77"/>
      <c r="AI2429" s="68"/>
      <c r="AJ2429" s="214">
        <v>1.2760000000000001E-4</v>
      </c>
      <c r="AK2429" s="214">
        <v>1.7219</v>
      </c>
      <c r="AL2429" s="214">
        <v>2</v>
      </c>
      <c r="AM2429" s="214">
        <v>3.76611E-4</v>
      </c>
      <c r="AN2429" s="74"/>
      <c r="AO2429" s="73"/>
      <c r="AP2429" s="73"/>
      <c r="AQ2429" s="73"/>
      <c r="AR2429" s="73"/>
      <c r="AS2429" s="73"/>
      <c r="AT2429" s="74"/>
      <c r="AU2429" s="47"/>
      <c r="AV2429" s="48"/>
    </row>
    <row r="2430" spans="1:48" ht="12.75" customHeight="1" x14ac:dyDescent="0.25">
      <c r="A2430" s="72" t="s">
        <v>20</v>
      </c>
      <c r="B2430" s="43" t="s">
        <v>2240</v>
      </c>
      <c r="C2430" s="44" t="s">
        <v>2588</v>
      </c>
      <c r="D2430" s="45">
        <f>MROUND(MID($C2430,6,3)/Basis!$E$3,0.5)</f>
        <v>19.5</v>
      </c>
      <c r="E2430" s="45">
        <f>MROUND(MID($C2430,9,3)/Basis!$E$3,0.5)</f>
        <v>78.5</v>
      </c>
      <c r="F2430" s="124" t="s">
        <v>2948</v>
      </c>
      <c r="G2430" s="45">
        <f>ROUND((ROUNDDOWN($F2430/5,0)*5+1.8)/Basis!$E$3,1)</f>
        <v>8.6</v>
      </c>
      <c r="H2430" s="120">
        <f>ROUND($P2430*Basis!$E$2*((TaH-TrH)/LN(1/µ)/Basis!$E$7)^$N2430*$AA$4*Glycol,0)</f>
        <v>10793</v>
      </c>
      <c r="I2430" s="83">
        <f>ROUND(H2430/(MID($C2430,9,3)/Basis!$E$3/Basis!$E$9)*Basis!$E$11,0)</f>
        <v>1645</v>
      </c>
      <c r="J2430" s="123">
        <f>IF(Basis!$E$1=1,ROUND(H2430/((TaH-TrH)*1.163)/3600,3),ROUND(H2430/(500*(TaH-TrH)),2))</f>
        <v>1.08</v>
      </c>
      <c r="K2430" s="84"/>
      <c r="L2430" s="177">
        <f>CHOOSE(Basis!$E$1,((AJ2430*(J2430*3600/Basis!$E$5)^AK2430*(((MID(C2430,9,3)*10)-144)/1000)*AL2430+AM2430*(J2430*3600/Basis!$E$5)^2)*0.0098)/Basis!$E$10,((AJ2430*(J2430/Basis!$E$5)^AK2430*(((MID(C2430,9,3)*10)-144)/1000)*AL2430+AM2430*(J2430/Basis!$E$5)^2)*0.0098)/Basis!$E$10)</f>
        <v>0.14150869106102881</v>
      </c>
      <c r="M2430" s="85"/>
      <c r="N2430" s="109">
        <v>1.4850000000000001</v>
      </c>
      <c r="O2430" s="68"/>
      <c r="P2430" s="67">
        <v>5164</v>
      </c>
      <c r="Q2430" s="68"/>
      <c r="R2430" s="69"/>
      <c r="S2430" s="69"/>
      <c r="T2430" s="69"/>
      <c r="U2430" s="69"/>
      <c r="V2430" s="69"/>
      <c r="W2430" s="68"/>
      <c r="X2430" s="70"/>
      <c r="Y2430" s="70"/>
      <c r="Z2430" s="70"/>
      <c r="AA2430" s="70"/>
      <c r="AB2430" s="70"/>
      <c r="AC2430" s="68"/>
      <c r="AD2430" s="71"/>
      <c r="AE2430" s="71"/>
      <c r="AF2430" s="71"/>
      <c r="AG2430" s="71"/>
      <c r="AH2430" s="71"/>
      <c r="AI2430" s="68"/>
      <c r="AJ2430" s="214">
        <v>1.2760000000000001E-4</v>
      </c>
      <c r="AK2430" s="214">
        <v>1.7219</v>
      </c>
      <c r="AL2430" s="214">
        <v>4</v>
      </c>
      <c r="AM2430" s="214">
        <v>5.1420100000000005E-4</v>
      </c>
      <c r="AN2430" s="68"/>
      <c r="AO2430" s="67"/>
      <c r="AP2430" s="67"/>
      <c r="AQ2430" s="67"/>
      <c r="AR2430" s="67"/>
      <c r="AS2430" s="67"/>
      <c r="AT2430" s="68"/>
      <c r="AU2430" s="49"/>
      <c r="AV2430" s="50"/>
    </row>
    <row r="2431" spans="1:48" ht="12.75" customHeight="1" x14ac:dyDescent="0.25">
      <c r="A2431" s="72" t="s">
        <v>20</v>
      </c>
      <c r="B2431" s="43" t="s">
        <v>2240</v>
      </c>
      <c r="C2431" s="44" t="s">
        <v>2589</v>
      </c>
      <c r="D2431" s="45">
        <f>MROUND(MID($C2431,6,3)/Basis!$E$3,0.5)</f>
        <v>19.5</v>
      </c>
      <c r="E2431" s="45">
        <f>MROUND(MID($C2431,9,3)/Basis!$E$3,0.5)</f>
        <v>86.5</v>
      </c>
      <c r="F2431" s="124" t="s">
        <v>2943</v>
      </c>
      <c r="G2431" s="45">
        <f>ROUND((ROUNDDOWN($F2431/5,0)*5+1.8)/Basis!$E$3,1)</f>
        <v>4.5999999999999996</v>
      </c>
      <c r="H2431" s="120">
        <f>ROUND($P2431*Basis!$E$2*((TaH-TrH)/LN(1/µ)/Basis!$E$7)^$N2431*$AA$4*Glycol,0)</f>
        <v>5113</v>
      </c>
      <c r="I2431" s="83">
        <f>ROUND(H2431/(MID($C2431,9,3)/Basis!$E$3/Basis!$E$9)*Basis!$E$11,0)</f>
        <v>708</v>
      </c>
      <c r="J2431" s="123">
        <f>IF(Basis!$E$1=1,ROUND(H2431/((TaH-TrH)*1.163)/3600,3),ROUND(H2431/(500*(TaH-TrH)),2))</f>
        <v>0.51</v>
      </c>
      <c r="K2431" s="84"/>
      <c r="L2431" s="177">
        <f>CHOOSE(Basis!$E$1,((AJ2431*(J2431*3600/Basis!$E$5)^AK2431*(((MID(C2431,9,3)*10)-144)/1000)*AL2431+AM2431*(J2431*3600/Basis!$E$5)^2)*0.0098)/Basis!$E$10,((AJ2431*(J2431/Basis!$E$5)^AK2431*(((MID(C2431,9,3)*10)-144)/1000)*AL2431+AM2431*(J2431/Basis!$E$5)^2)*0.0098)/Basis!$E$10)</f>
        <v>3.6400875355354453E-2</v>
      </c>
      <c r="M2431" s="85"/>
      <c r="N2431" s="109">
        <v>1.385</v>
      </c>
      <c r="O2431" s="68"/>
      <c r="P2431" s="67">
        <v>2367</v>
      </c>
      <c r="Q2431" s="68"/>
      <c r="R2431" s="69"/>
      <c r="S2431" s="69"/>
      <c r="T2431" s="69"/>
      <c r="U2431" s="69"/>
      <c r="V2431" s="69"/>
      <c r="W2431" s="68"/>
      <c r="X2431" s="70"/>
      <c r="Y2431" s="70"/>
      <c r="Z2431" s="70"/>
      <c r="AA2431" s="70"/>
      <c r="AB2431" s="70"/>
      <c r="AC2431" s="68"/>
      <c r="AD2431" s="71"/>
      <c r="AE2431" s="71"/>
      <c r="AF2431" s="71"/>
      <c r="AG2431" s="71"/>
      <c r="AH2431" s="71"/>
      <c r="AI2431" s="68"/>
      <c r="AJ2431" s="214">
        <v>3.9689999999999994E-4</v>
      </c>
      <c r="AK2431" s="214">
        <v>1.7345999999999999</v>
      </c>
      <c r="AL2431" s="214">
        <v>2</v>
      </c>
      <c r="AM2431" s="214">
        <v>3.6734700000000002E-4</v>
      </c>
      <c r="AN2431" s="68"/>
      <c r="AO2431" s="67"/>
      <c r="AP2431" s="67"/>
      <c r="AQ2431" s="67"/>
      <c r="AR2431" s="67"/>
      <c r="AS2431" s="67"/>
      <c r="AT2431" s="68"/>
      <c r="AU2431" s="49"/>
      <c r="AV2431" s="50"/>
    </row>
    <row r="2432" spans="1:48" ht="12.75" customHeight="1" x14ac:dyDescent="0.25">
      <c r="A2432" s="72" t="s">
        <v>20</v>
      </c>
      <c r="B2432" s="43" t="s">
        <v>2240</v>
      </c>
      <c r="C2432" s="44" t="s">
        <v>2590</v>
      </c>
      <c r="D2432" s="45">
        <f>MROUND(MID($C2432,6,3)/Basis!$E$3,0.5)</f>
        <v>19.5</v>
      </c>
      <c r="E2432" s="45">
        <f>MROUND(MID($C2432,9,3)/Basis!$E$3,0.5)</f>
        <v>86.5</v>
      </c>
      <c r="F2432" s="124" t="s">
        <v>2946</v>
      </c>
      <c r="G2432" s="45">
        <f>ROUND((ROUNDDOWN($F2432/5,0)*5+1.8)/Basis!$E$3,1)</f>
        <v>4.5999999999999996</v>
      </c>
      <c r="H2432" s="120">
        <f>ROUND($P2432*Basis!$E$2*((TaH-TrH)/LN(1/µ)/Basis!$E$7)^$N2432*$AA$4*Glycol,0)</f>
        <v>6472</v>
      </c>
      <c r="I2432" s="83">
        <f>ROUND(H2432/(MID($C2432,9,3)/Basis!$E$3/Basis!$E$9)*Basis!$E$11,0)</f>
        <v>897</v>
      </c>
      <c r="J2432" s="123">
        <f>IF(Basis!$E$1=1,ROUND(H2432/((TaH-TrH)*1.163)/3600,3),ROUND(H2432/(500*(TaH-TrH)),2))</f>
        <v>0.65</v>
      </c>
      <c r="K2432" s="84"/>
      <c r="L2432" s="177">
        <f>CHOOSE(Basis!$E$1,((AJ2432*(J2432*3600/Basis!$E$5)^AK2432*(((MID(C2432,9,3)*10)-144)/1000)*AL2432+AM2432*(J2432*3600/Basis!$E$5)^2)*0.0098)/Basis!$E$10,((AJ2432*(J2432/Basis!$E$5)^AK2432*(((MID(C2432,9,3)*10)-144)/1000)*AL2432+AM2432*(J2432/Basis!$E$5)^2)*0.0098)/Basis!$E$10)</f>
        <v>0.10271758433855374</v>
      </c>
      <c r="M2432" s="85"/>
      <c r="N2432" s="110">
        <v>1.4379999999999999</v>
      </c>
      <c r="O2432" s="74"/>
      <c r="P2432" s="73">
        <v>3049</v>
      </c>
      <c r="Q2432" s="74"/>
      <c r="R2432" s="75"/>
      <c r="S2432" s="75"/>
      <c r="T2432" s="75"/>
      <c r="U2432" s="75"/>
      <c r="V2432" s="75"/>
      <c r="W2432" s="74"/>
      <c r="X2432" s="76"/>
      <c r="Y2432" s="76"/>
      <c r="Z2432" s="76"/>
      <c r="AA2432" s="76"/>
      <c r="AB2432" s="76"/>
      <c r="AC2432" s="74"/>
      <c r="AD2432" s="77"/>
      <c r="AE2432" s="77"/>
      <c r="AF2432" s="77"/>
      <c r="AG2432" s="77"/>
      <c r="AH2432" s="77"/>
      <c r="AI2432" s="68"/>
      <c r="AJ2432" s="213">
        <v>3.9689999999999994E-4</v>
      </c>
      <c r="AK2432" s="213">
        <v>1.7345999999999999</v>
      </c>
      <c r="AL2432" s="213">
        <v>4</v>
      </c>
      <c r="AM2432" s="213">
        <v>5.7428799999999995E-4</v>
      </c>
      <c r="AN2432" s="74"/>
      <c r="AO2432" s="73"/>
      <c r="AP2432" s="73"/>
      <c r="AQ2432" s="73"/>
      <c r="AR2432" s="73"/>
      <c r="AS2432" s="73"/>
      <c r="AT2432" s="74"/>
      <c r="AU2432" s="47"/>
      <c r="AV2432" s="48"/>
    </row>
    <row r="2433" spans="1:48" ht="12.75" customHeight="1" x14ac:dyDescent="0.25">
      <c r="A2433" s="72" t="s">
        <v>20</v>
      </c>
      <c r="B2433" s="43" t="s">
        <v>2240</v>
      </c>
      <c r="C2433" s="44" t="s">
        <v>2591</v>
      </c>
      <c r="D2433" s="45">
        <f>MROUND(MID($C2433,6,3)/Basis!$E$3,0.5)</f>
        <v>19.5</v>
      </c>
      <c r="E2433" s="45">
        <f>MROUND(MID($C2433,9,3)/Basis!$E$3,0.5)</f>
        <v>86.5</v>
      </c>
      <c r="F2433" s="124" t="s">
        <v>2944</v>
      </c>
      <c r="G2433" s="45">
        <f>ROUND((ROUNDDOWN($F2433/5,0)*5+1.8)/Basis!$E$3,1)</f>
        <v>6.6</v>
      </c>
      <c r="H2433" s="120">
        <f>ROUND($P2433*Basis!$E$2*((TaH-TrH)/LN(1/µ)/Basis!$E$7)^$N2433*$AA$4*Glycol,0)</f>
        <v>8274</v>
      </c>
      <c r="I2433" s="83">
        <f>ROUND(H2433/(MID($C2433,9,3)/Basis!$E$3/Basis!$E$9)*Basis!$E$11,0)</f>
        <v>1146</v>
      </c>
      <c r="J2433" s="123">
        <f>IF(Basis!$E$1=1,ROUND(H2433/((TaH-TrH)*1.163)/3600,3),ROUND(H2433/(500*(TaH-TrH)),2))</f>
        <v>0.83</v>
      </c>
      <c r="K2433" s="84"/>
      <c r="L2433" s="177">
        <f>CHOOSE(Basis!$E$1,((AJ2433*(J2433*3600/Basis!$E$5)^AK2433*(((MID(C2433,9,3)*10)-144)/1000)*AL2433+AM2433*(J2433*3600/Basis!$E$5)^2)*0.0098)/Basis!$E$10,((AJ2433*(J2433/Basis!$E$5)^AK2433*(((MID(C2433,9,3)*10)-144)/1000)*AL2433+AM2433*(J2433/Basis!$E$5)^2)*0.0098)/Basis!$E$10)</f>
        <v>7.710240082934039E-2</v>
      </c>
      <c r="M2433" s="85"/>
      <c r="N2433" s="110">
        <v>1.373</v>
      </c>
      <c r="O2433" s="74"/>
      <c r="P2433" s="73">
        <v>3815</v>
      </c>
      <c r="Q2433" s="74"/>
      <c r="R2433" s="75"/>
      <c r="S2433" s="75"/>
      <c r="T2433" s="75"/>
      <c r="U2433" s="75"/>
      <c r="V2433" s="75"/>
      <c r="W2433" s="74"/>
      <c r="X2433" s="76"/>
      <c r="Y2433" s="76"/>
      <c r="Z2433" s="76"/>
      <c r="AA2433" s="76"/>
      <c r="AB2433" s="76"/>
      <c r="AC2433" s="74"/>
      <c r="AD2433" s="77"/>
      <c r="AE2433" s="77"/>
      <c r="AF2433" s="77"/>
      <c r="AG2433" s="77"/>
      <c r="AH2433" s="77"/>
      <c r="AI2433" s="68"/>
      <c r="AJ2433" s="213">
        <v>2.0829999999999999E-4</v>
      </c>
      <c r="AK2433" s="213">
        <v>1.724</v>
      </c>
      <c r="AL2433" s="213">
        <v>2</v>
      </c>
      <c r="AM2433" s="213">
        <v>4.6182900000000003E-4</v>
      </c>
      <c r="AN2433" s="74"/>
      <c r="AO2433" s="73"/>
      <c r="AP2433" s="73"/>
      <c r="AQ2433" s="73"/>
      <c r="AR2433" s="73"/>
      <c r="AS2433" s="73"/>
      <c r="AT2433" s="74"/>
      <c r="AU2433" s="47"/>
      <c r="AV2433" s="48"/>
    </row>
    <row r="2434" spans="1:48" ht="12.75" customHeight="1" x14ac:dyDescent="0.25">
      <c r="A2434" s="72" t="s">
        <v>20</v>
      </c>
      <c r="B2434" s="43" t="s">
        <v>2240</v>
      </c>
      <c r="C2434" s="44" t="s">
        <v>2592</v>
      </c>
      <c r="D2434" s="45">
        <f>MROUND(MID($C2434,6,3)/Basis!$E$3,0.5)</f>
        <v>19.5</v>
      </c>
      <c r="E2434" s="45">
        <f>MROUND(MID($C2434,9,3)/Basis!$E$3,0.5)</f>
        <v>86.5</v>
      </c>
      <c r="F2434" s="124" t="s">
        <v>2947</v>
      </c>
      <c r="G2434" s="45">
        <f>ROUND((ROUNDDOWN($F2434/5,0)*5+1.8)/Basis!$E$3,1)</f>
        <v>6.6</v>
      </c>
      <c r="H2434" s="120">
        <f>ROUND($P2434*Basis!$E$2*((TaH-TrH)/LN(1/µ)/Basis!$E$7)^$N2434*$AA$4*Glycol,0)</f>
        <v>8789</v>
      </c>
      <c r="I2434" s="83">
        <f>ROUND(H2434/(MID($C2434,9,3)/Basis!$E$3/Basis!$E$9)*Basis!$E$11,0)</f>
        <v>1218</v>
      </c>
      <c r="J2434" s="123">
        <f>IF(Basis!$E$1=1,ROUND(H2434/((TaH-TrH)*1.163)/3600,3),ROUND(H2434/(500*(TaH-TrH)),2))</f>
        <v>0.88</v>
      </c>
      <c r="K2434" s="84"/>
      <c r="L2434" s="177">
        <f>CHOOSE(Basis!$E$1,((AJ2434*(J2434*3600/Basis!$E$5)^AK2434*(((MID(C2434,9,3)*10)-144)/1000)*AL2434+AM2434*(J2434*3600/Basis!$E$5)^2)*0.0098)/Basis!$E$10,((AJ2434*(J2434/Basis!$E$5)^AK2434*(((MID(C2434,9,3)*10)-144)/1000)*AL2434+AM2434*(J2434/Basis!$E$5)^2)*0.0098)/Basis!$E$10)</f>
        <v>0.23377724708746453</v>
      </c>
      <c r="M2434" s="85"/>
      <c r="N2434" s="109">
        <v>1.464</v>
      </c>
      <c r="O2434" s="68"/>
      <c r="P2434" s="67">
        <v>4176</v>
      </c>
      <c r="Q2434" s="68"/>
      <c r="R2434" s="69"/>
      <c r="S2434" s="69"/>
      <c r="T2434" s="69"/>
      <c r="U2434" s="69"/>
      <c r="V2434" s="69"/>
      <c r="W2434" s="68"/>
      <c r="X2434" s="70"/>
      <c r="Y2434" s="70"/>
      <c r="Z2434" s="70"/>
      <c r="AA2434" s="70"/>
      <c r="AB2434" s="70"/>
      <c r="AC2434" s="68"/>
      <c r="AD2434" s="71"/>
      <c r="AE2434" s="71"/>
      <c r="AF2434" s="71"/>
      <c r="AG2434" s="71"/>
      <c r="AH2434" s="71"/>
      <c r="AI2434" s="68"/>
      <c r="AJ2434" s="214">
        <v>2.0829999999999999E-4</v>
      </c>
      <c r="AK2434" s="214">
        <v>1.724</v>
      </c>
      <c r="AL2434" s="214">
        <v>4</v>
      </c>
      <c r="AM2434" s="214">
        <v>1.392796E-3</v>
      </c>
      <c r="AN2434" s="68"/>
      <c r="AO2434" s="67"/>
      <c r="AP2434" s="67"/>
      <c r="AQ2434" s="67"/>
      <c r="AR2434" s="67"/>
      <c r="AS2434" s="67"/>
      <c r="AT2434" s="68"/>
      <c r="AU2434" s="49"/>
      <c r="AV2434" s="50"/>
    </row>
    <row r="2435" spans="1:48" ht="12.75" customHeight="1" x14ac:dyDescent="0.25">
      <c r="A2435" s="72" t="s">
        <v>20</v>
      </c>
      <c r="B2435" s="43" t="s">
        <v>2240</v>
      </c>
      <c r="C2435" s="44" t="s">
        <v>2593</v>
      </c>
      <c r="D2435" s="45">
        <f>MROUND(MID($C2435,6,3)/Basis!$E$3,0.5)</f>
        <v>19.5</v>
      </c>
      <c r="E2435" s="45">
        <f>MROUND(MID($C2435,9,3)/Basis!$E$3,0.5)</f>
        <v>86.5</v>
      </c>
      <c r="F2435" s="124" t="s">
        <v>2945</v>
      </c>
      <c r="G2435" s="45">
        <f>ROUND((ROUNDDOWN($F2435/5,0)*5+1.8)/Basis!$E$3,1)</f>
        <v>8.6</v>
      </c>
      <c r="H2435" s="120">
        <f>ROUND($P2435*Basis!$E$2*((TaH-TrH)/LN(1/µ)/Basis!$E$7)^$N2435*$AA$4*Glycol,0)</f>
        <v>11571</v>
      </c>
      <c r="I2435" s="83">
        <f>ROUND(H2435/(MID($C2435,9,3)/Basis!$E$3/Basis!$E$9)*Basis!$E$11,0)</f>
        <v>1603</v>
      </c>
      <c r="J2435" s="123">
        <f>IF(Basis!$E$1=1,ROUND(H2435/((TaH-TrH)*1.163)/3600,3),ROUND(H2435/(500*(TaH-TrH)),2))</f>
        <v>1.1599999999999999</v>
      </c>
      <c r="K2435" s="84"/>
      <c r="L2435" s="177">
        <f>CHOOSE(Basis!$E$1,((AJ2435*(J2435*3600/Basis!$E$5)^AK2435*(((MID(C2435,9,3)*10)-144)/1000)*AL2435+AM2435*(J2435*3600/Basis!$E$5)^2)*0.0098)/Basis!$E$10,((AJ2435*(J2435/Basis!$E$5)^AK2435*(((MID(C2435,9,3)*10)-144)/1000)*AL2435+AM2435*(J2435/Basis!$E$5)^2)*0.0098)/Basis!$E$10)</f>
        <v>0.11074963722301349</v>
      </c>
      <c r="M2435" s="85"/>
      <c r="N2435" s="109">
        <v>1.373</v>
      </c>
      <c r="O2435" s="68"/>
      <c r="P2435" s="67">
        <v>5335</v>
      </c>
      <c r="Q2435" s="68"/>
      <c r="R2435" s="69"/>
      <c r="S2435" s="69"/>
      <c r="T2435" s="69"/>
      <c r="U2435" s="69"/>
      <c r="V2435" s="69"/>
      <c r="W2435" s="68"/>
      <c r="X2435" s="70"/>
      <c r="Y2435" s="70"/>
      <c r="Z2435" s="70"/>
      <c r="AA2435" s="70"/>
      <c r="AB2435" s="70"/>
      <c r="AC2435" s="68"/>
      <c r="AD2435" s="71"/>
      <c r="AE2435" s="71"/>
      <c r="AF2435" s="71"/>
      <c r="AG2435" s="71"/>
      <c r="AH2435" s="71"/>
      <c r="AI2435" s="68"/>
      <c r="AJ2435" s="214">
        <v>1.2760000000000001E-4</v>
      </c>
      <c r="AK2435" s="214">
        <v>1.7219</v>
      </c>
      <c r="AL2435" s="214">
        <v>2</v>
      </c>
      <c r="AM2435" s="214">
        <v>3.76611E-4</v>
      </c>
      <c r="AN2435" s="68"/>
      <c r="AO2435" s="67"/>
      <c r="AP2435" s="67"/>
      <c r="AQ2435" s="67"/>
      <c r="AR2435" s="67"/>
      <c r="AS2435" s="67"/>
      <c r="AT2435" s="68"/>
      <c r="AU2435" s="49"/>
      <c r="AV2435" s="50"/>
    </row>
    <row r="2436" spans="1:48" ht="12.75" customHeight="1" x14ac:dyDescent="0.25">
      <c r="A2436" s="72" t="s">
        <v>20</v>
      </c>
      <c r="B2436" s="43" t="s">
        <v>2240</v>
      </c>
      <c r="C2436" s="44" t="s">
        <v>2594</v>
      </c>
      <c r="D2436" s="45">
        <f>MROUND(MID($C2436,6,3)/Basis!$E$3,0.5)</f>
        <v>19.5</v>
      </c>
      <c r="E2436" s="45">
        <f>MROUND(MID($C2436,9,3)/Basis!$E$3,0.5)</f>
        <v>86.5</v>
      </c>
      <c r="F2436" s="124" t="s">
        <v>2948</v>
      </c>
      <c r="G2436" s="45">
        <f>ROUND((ROUNDDOWN($F2436/5,0)*5+1.8)/Basis!$E$3,1)</f>
        <v>8.6</v>
      </c>
      <c r="H2436" s="120">
        <f>ROUND($P2436*Basis!$E$2*((TaH-TrH)/LN(1/µ)/Basis!$E$7)^$N2436*$AA$4*Glycol,0)</f>
        <v>11872</v>
      </c>
      <c r="I2436" s="83">
        <f>ROUND(H2436/(MID($C2436,9,3)/Basis!$E$3/Basis!$E$9)*Basis!$E$11,0)</f>
        <v>1645</v>
      </c>
      <c r="J2436" s="123">
        <f>IF(Basis!$E$1=1,ROUND(H2436/((TaH-TrH)*1.163)/3600,3),ROUND(H2436/(500*(TaH-TrH)),2))</f>
        <v>1.19</v>
      </c>
      <c r="K2436" s="84"/>
      <c r="L2436" s="177">
        <f>CHOOSE(Basis!$E$1,((AJ2436*(J2436*3600/Basis!$E$5)^AK2436*(((MID(C2436,9,3)*10)-144)/1000)*AL2436+AM2436*(J2436*3600/Basis!$E$5)^2)*0.0098)/Basis!$E$10,((AJ2436*(J2436/Basis!$E$5)^AK2436*(((MID(C2436,9,3)*10)-144)/1000)*AL2436+AM2436*(J2436/Basis!$E$5)^2)*0.0098)/Basis!$E$10)</f>
        <v>0.17563685856570818</v>
      </c>
      <c r="M2436" s="85"/>
      <c r="N2436" s="110">
        <v>1.4850000000000001</v>
      </c>
      <c r="O2436" s="74"/>
      <c r="P2436" s="73">
        <v>5680</v>
      </c>
      <c r="Q2436" s="74"/>
      <c r="R2436" s="75"/>
      <c r="S2436" s="75"/>
      <c r="T2436" s="75"/>
      <c r="U2436" s="75"/>
      <c r="V2436" s="75"/>
      <c r="W2436" s="74"/>
      <c r="X2436" s="76"/>
      <c r="Y2436" s="76"/>
      <c r="Z2436" s="76"/>
      <c r="AA2436" s="76"/>
      <c r="AB2436" s="76"/>
      <c r="AC2436" s="74"/>
      <c r="AD2436" s="77"/>
      <c r="AE2436" s="77"/>
      <c r="AF2436" s="77"/>
      <c r="AG2436" s="77"/>
      <c r="AH2436" s="77"/>
      <c r="AI2436" s="68"/>
      <c r="AJ2436" s="213">
        <v>1.2760000000000001E-4</v>
      </c>
      <c r="AK2436" s="213">
        <v>1.7219</v>
      </c>
      <c r="AL2436" s="213">
        <v>4</v>
      </c>
      <c r="AM2436" s="213">
        <v>5.1420100000000005E-4</v>
      </c>
      <c r="AN2436" s="74"/>
      <c r="AO2436" s="73"/>
      <c r="AP2436" s="73"/>
      <c r="AQ2436" s="73"/>
      <c r="AR2436" s="73"/>
      <c r="AS2436" s="73"/>
      <c r="AT2436" s="74"/>
      <c r="AU2436" s="47"/>
      <c r="AV2436" s="48"/>
    </row>
    <row r="2437" spans="1:48" ht="12.75" customHeight="1" x14ac:dyDescent="0.25">
      <c r="A2437" s="72" t="s">
        <v>20</v>
      </c>
      <c r="B2437" s="43" t="s">
        <v>2240</v>
      </c>
      <c r="C2437" s="44" t="s">
        <v>2595</v>
      </c>
      <c r="D2437" s="45">
        <f>MROUND(MID($C2437,6,3)/Basis!$E$3,0.5)</f>
        <v>19.5</v>
      </c>
      <c r="E2437" s="45">
        <f>MROUND(MID($C2437,9,3)/Basis!$E$3,0.5)</f>
        <v>94.5</v>
      </c>
      <c r="F2437" s="124" t="s">
        <v>2943</v>
      </c>
      <c r="G2437" s="45">
        <f>ROUND((ROUNDDOWN($F2437/5,0)*5+1.8)/Basis!$E$3,1)</f>
        <v>4.5999999999999996</v>
      </c>
      <c r="H2437" s="120">
        <f>ROUND($P2437*Basis!$E$2*((TaH-TrH)/LN(1/µ)/Basis!$E$7)^$N2437*$AA$4*Glycol,0)</f>
        <v>5578</v>
      </c>
      <c r="I2437" s="83">
        <f>ROUND(H2437/(MID($C2437,9,3)/Basis!$E$3/Basis!$E$9)*Basis!$E$11,0)</f>
        <v>708</v>
      </c>
      <c r="J2437" s="123">
        <f>IF(Basis!$E$1=1,ROUND(H2437/((TaH-TrH)*1.163)/3600,3),ROUND(H2437/(500*(TaH-TrH)),2))</f>
        <v>0.56000000000000005</v>
      </c>
      <c r="K2437" s="84"/>
      <c r="L2437" s="177">
        <f>CHOOSE(Basis!$E$1,((AJ2437*(J2437*3600/Basis!$E$5)^AK2437*(((MID(C2437,9,3)*10)-144)/1000)*AL2437+AM2437*(J2437*3600/Basis!$E$5)^2)*0.0098)/Basis!$E$10,((AJ2437*(J2437/Basis!$E$5)^AK2437*(((MID(C2437,9,3)*10)-144)/1000)*AL2437+AM2437*(J2437/Basis!$E$5)^2)*0.0098)/Basis!$E$10)</f>
        <v>4.5609367140711739E-2</v>
      </c>
      <c r="M2437" s="85"/>
      <c r="N2437" s="110">
        <v>1.385</v>
      </c>
      <c r="O2437" s="74"/>
      <c r="P2437" s="73">
        <v>2582</v>
      </c>
      <c r="Q2437" s="74"/>
      <c r="R2437" s="75"/>
      <c r="S2437" s="75"/>
      <c r="T2437" s="75"/>
      <c r="U2437" s="75"/>
      <c r="V2437" s="75"/>
      <c r="W2437" s="74"/>
      <c r="X2437" s="76"/>
      <c r="Y2437" s="76"/>
      <c r="Z2437" s="76"/>
      <c r="AA2437" s="76"/>
      <c r="AB2437" s="76"/>
      <c r="AC2437" s="74"/>
      <c r="AD2437" s="77"/>
      <c r="AE2437" s="77"/>
      <c r="AF2437" s="77"/>
      <c r="AG2437" s="77"/>
      <c r="AH2437" s="77"/>
      <c r="AI2437" s="68"/>
      <c r="AJ2437" s="213">
        <v>3.9689999999999994E-4</v>
      </c>
      <c r="AK2437" s="213">
        <v>1.7345999999999999</v>
      </c>
      <c r="AL2437" s="213">
        <v>2</v>
      </c>
      <c r="AM2437" s="213">
        <v>3.6734700000000002E-4</v>
      </c>
      <c r="AN2437" s="74"/>
      <c r="AO2437" s="73"/>
      <c r="AP2437" s="73"/>
      <c r="AQ2437" s="73"/>
      <c r="AR2437" s="73"/>
      <c r="AS2437" s="73"/>
      <c r="AT2437" s="74"/>
      <c r="AU2437" s="47"/>
      <c r="AV2437" s="48"/>
    </row>
    <row r="2438" spans="1:48" ht="12.75" customHeight="1" x14ac:dyDescent="0.25">
      <c r="A2438" s="72" t="s">
        <v>20</v>
      </c>
      <c r="B2438" s="43" t="s">
        <v>2240</v>
      </c>
      <c r="C2438" s="44" t="s">
        <v>2596</v>
      </c>
      <c r="D2438" s="45">
        <f>MROUND(MID($C2438,6,3)/Basis!$E$3,0.5)</f>
        <v>19.5</v>
      </c>
      <c r="E2438" s="45">
        <f>MROUND(MID($C2438,9,3)/Basis!$E$3,0.5)</f>
        <v>94.5</v>
      </c>
      <c r="F2438" s="124" t="s">
        <v>2946</v>
      </c>
      <c r="G2438" s="45">
        <f>ROUND((ROUNDDOWN($F2438/5,0)*5+1.8)/Basis!$E$3,1)</f>
        <v>4.5999999999999996</v>
      </c>
      <c r="H2438" s="120">
        <f>ROUND($P2438*Basis!$E$2*((TaH-TrH)/LN(1/µ)/Basis!$E$7)^$N2438*$AA$4*Glycol,0)</f>
        <v>7060</v>
      </c>
      <c r="I2438" s="83">
        <f>ROUND(H2438/(MID($C2438,9,3)/Basis!$E$3/Basis!$E$9)*Basis!$E$11,0)</f>
        <v>897</v>
      </c>
      <c r="J2438" s="123">
        <f>IF(Basis!$E$1=1,ROUND(H2438/((TaH-TrH)*1.163)/3600,3),ROUND(H2438/(500*(TaH-TrH)),2))</f>
        <v>0.71</v>
      </c>
      <c r="K2438" s="84"/>
      <c r="L2438" s="177">
        <f>CHOOSE(Basis!$E$1,((AJ2438*(J2438*3600/Basis!$E$5)^AK2438*(((MID(C2438,9,3)*10)-144)/1000)*AL2438+AM2438*(J2438*3600/Basis!$E$5)^2)*0.0098)/Basis!$E$10,((AJ2438*(J2438/Basis!$E$5)^AK2438*(((MID(C2438,9,3)*10)-144)/1000)*AL2438+AM2438*(J2438/Basis!$E$5)^2)*0.0098)/Basis!$E$10)</f>
        <v>0.12785424179982532</v>
      </c>
      <c r="M2438" s="85"/>
      <c r="N2438" s="109">
        <v>1.4379999999999999</v>
      </c>
      <c r="O2438" s="68"/>
      <c r="P2438" s="67">
        <v>3326</v>
      </c>
      <c r="Q2438" s="68"/>
      <c r="R2438" s="69"/>
      <c r="S2438" s="69"/>
      <c r="T2438" s="69"/>
      <c r="U2438" s="69"/>
      <c r="V2438" s="69"/>
      <c r="W2438" s="68"/>
      <c r="X2438" s="70"/>
      <c r="Y2438" s="70"/>
      <c r="Z2438" s="70"/>
      <c r="AA2438" s="70"/>
      <c r="AB2438" s="70"/>
      <c r="AC2438" s="68"/>
      <c r="AD2438" s="71"/>
      <c r="AE2438" s="71"/>
      <c r="AF2438" s="71"/>
      <c r="AG2438" s="71"/>
      <c r="AH2438" s="71"/>
      <c r="AI2438" s="68"/>
      <c r="AJ2438" s="214">
        <v>3.9689999999999994E-4</v>
      </c>
      <c r="AK2438" s="214">
        <v>1.7345999999999999</v>
      </c>
      <c r="AL2438" s="214">
        <v>4</v>
      </c>
      <c r="AM2438" s="214">
        <v>5.7428799999999995E-4</v>
      </c>
      <c r="AN2438" s="68"/>
      <c r="AO2438" s="67"/>
      <c r="AP2438" s="67"/>
      <c r="AQ2438" s="67"/>
      <c r="AR2438" s="67"/>
      <c r="AS2438" s="67"/>
      <c r="AT2438" s="68"/>
      <c r="AU2438" s="49"/>
      <c r="AV2438" s="50"/>
    </row>
    <row r="2439" spans="1:48" ht="12.75" customHeight="1" x14ac:dyDescent="0.25">
      <c r="A2439" s="72" t="s">
        <v>20</v>
      </c>
      <c r="B2439" s="43" t="s">
        <v>2240</v>
      </c>
      <c r="C2439" s="44" t="s">
        <v>2597</v>
      </c>
      <c r="D2439" s="45">
        <f>MROUND(MID($C2439,6,3)/Basis!$E$3,0.5)</f>
        <v>19.5</v>
      </c>
      <c r="E2439" s="45">
        <f>MROUND(MID($C2439,9,3)/Basis!$E$3,0.5)</f>
        <v>94.5</v>
      </c>
      <c r="F2439" s="124" t="s">
        <v>2944</v>
      </c>
      <c r="G2439" s="45">
        <f>ROUND((ROUNDDOWN($F2439/5,0)*5+1.8)/Basis!$E$3,1)</f>
        <v>6.6</v>
      </c>
      <c r="H2439" s="120">
        <f>ROUND($P2439*Basis!$E$2*((TaH-TrH)/LN(1/µ)/Basis!$E$7)^$N2439*$AA$4*Glycol,0)</f>
        <v>9027</v>
      </c>
      <c r="I2439" s="83">
        <f>ROUND(H2439/(MID($C2439,9,3)/Basis!$E$3/Basis!$E$9)*Basis!$E$11,0)</f>
        <v>1146</v>
      </c>
      <c r="J2439" s="123">
        <f>IF(Basis!$E$1=1,ROUND(H2439/((TaH-TrH)*1.163)/3600,3),ROUND(H2439/(500*(TaH-TrH)),2))</f>
        <v>0.9</v>
      </c>
      <c r="K2439" s="84"/>
      <c r="L2439" s="177">
        <f>CHOOSE(Basis!$E$1,((AJ2439*(J2439*3600/Basis!$E$5)^AK2439*(((MID(C2439,9,3)*10)-144)/1000)*AL2439+AM2439*(J2439*3600/Basis!$E$5)^2)*0.0098)/Basis!$E$10,((AJ2439*(J2439/Basis!$E$5)^AK2439*(((MID(C2439,9,3)*10)-144)/1000)*AL2439+AM2439*(J2439/Basis!$E$5)^2)*0.0098)/Basis!$E$10)</f>
        <v>9.2668637111770535E-2</v>
      </c>
      <c r="M2439" s="85"/>
      <c r="N2439" s="109">
        <v>1.373</v>
      </c>
      <c r="O2439" s="68"/>
      <c r="P2439" s="67">
        <v>4162</v>
      </c>
      <c r="Q2439" s="68"/>
      <c r="R2439" s="69"/>
      <c r="S2439" s="69"/>
      <c r="T2439" s="69"/>
      <c r="U2439" s="69"/>
      <c r="V2439" s="69"/>
      <c r="W2439" s="68"/>
      <c r="X2439" s="70"/>
      <c r="Y2439" s="70"/>
      <c r="Z2439" s="70"/>
      <c r="AA2439" s="70"/>
      <c r="AB2439" s="70"/>
      <c r="AC2439" s="68"/>
      <c r="AD2439" s="71"/>
      <c r="AE2439" s="71"/>
      <c r="AF2439" s="71"/>
      <c r="AG2439" s="71"/>
      <c r="AH2439" s="71"/>
      <c r="AI2439" s="68"/>
      <c r="AJ2439" s="214">
        <v>2.0829999999999999E-4</v>
      </c>
      <c r="AK2439" s="214">
        <v>1.724</v>
      </c>
      <c r="AL2439" s="214">
        <v>2</v>
      </c>
      <c r="AM2439" s="214">
        <v>4.6182900000000003E-4</v>
      </c>
      <c r="AN2439" s="68"/>
      <c r="AO2439" s="67"/>
      <c r="AP2439" s="67"/>
      <c r="AQ2439" s="67"/>
      <c r="AR2439" s="67"/>
      <c r="AS2439" s="67"/>
      <c r="AT2439" s="68"/>
      <c r="AU2439" s="49"/>
      <c r="AV2439" s="50"/>
    </row>
    <row r="2440" spans="1:48" ht="12.75" customHeight="1" x14ac:dyDescent="0.25">
      <c r="A2440" s="72" t="s">
        <v>20</v>
      </c>
      <c r="B2440" s="43" t="s">
        <v>2240</v>
      </c>
      <c r="C2440" s="44" t="s">
        <v>2598</v>
      </c>
      <c r="D2440" s="45">
        <f>MROUND(MID($C2440,6,3)/Basis!$E$3,0.5)</f>
        <v>19.5</v>
      </c>
      <c r="E2440" s="45">
        <f>MROUND(MID($C2440,9,3)/Basis!$E$3,0.5)</f>
        <v>94.5</v>
      </c>
      <c r="F2440" s="124" t="s">
        <v>2947</v>
      </c>
      <c r="G2440" s="45">
        <f>ROUND((ROUNDDOWN($F2440/5,0)*5+1.8)/Basis!$E$3,1)</f>
        <v>6.6</v>
      </c>
      <c r="H2440" s="120">
        <f>ROUND($P2440*Basis!$E$2*((TaH-TrH)/LN(1/µ)/Basis!$E$7)^$N2440*$AA$4*Glycol,0)</f>
        <v>9587</v>
      </c>
      <c r="I2440" s="83">
        <f>ROUND(H2440/(MID($C2440,9,3)/Basis!$E$3/Basis!$E$9)*Basis!$E$11,0)</f>
        <v>1218</v>
      </c>
      <c r="J2440" s="123">
        <f>IF(Basis!$E$1=1,ROUND(H2440/((TaH-TrH)*1.163)/3600,3),ROUND(H2440/(500*(TaH-TrH)),2))</f>
        <v>0.96</v>
      </c>
      <c r="K2440" s="84"/>
      <c r="L2440" s="177">
        <f>CHOOSE(Basis!$E$1,((AJ2440*(J2440*3600/Basis!$E$5)^AK2440*(((MID(C2440,9,3)*10)-144)/1000)*AL2440+AM2440*(J2440*3600/Basis!$E$5)^2)*0.0098)/Basis!$E$10,((AJ2440*(J2440/Basis!$E$5)^AK2440*(((MID(C2440,9,3)*10)-144)/1000)*AL2440+AM2440*(J2440/Basis!$E$5)^2)*0.0098)/Basis!$E$10)</f>
        <v>0.2826103441327466</v>
      </c>
      <c r="M2440" s="85"/>
      <c r="N2440" s="110">
        <v>1.464</v>
      </c>
      <c r="O2440" s="74"/>
      <c r="P2440" s="73">
        <v>4555</v>
      </c>
      <c r="Q2440" s="74"/>
      <c r="R2440" s="75"/>
      <c r="S2440" s="75"/>
      <c r="T2440" s="75"/>
      <c r="U2440" s="75"/>
      <c r="V2440" s="75"/>
      <c r="W2440" s="74"/>
      <c r="X2440" s="76"/>
      <c r="Y2440" s="76"/>
      <c r="Z2440" s="76"/>
      <c r="AA2440" s="76"/>
      <c r="AB2440" s="76"/>
      <c r="AC2440" s="74"/>
      <c r="AD2440" s="77"/>
      <c r="AE2440" s="77"/>
      <c r="AF2440" s="77"/>
      <c r="AG2440" s="77"/>
      <c r="AH2440" s="77"/>
      <c r="AI2440" s="68"/>
      <c r="AJ2440" s="213">
        <v>2.0829999999999999E-4</v>
      </c>
      <c r="AK2440" s="213">
        <v>1.724</v>
      </c>
      <c r="AL2440" s="213">
        <v>4</v>
      </c>
      <c r="AM2440" s="213">
        <v>1.392796E-3</v>
      </c>
      <c r="AN2440" s="74"/>
      <c r="AO2440" s="73"/>
      <c r="AP2440" s="73"/>
      <c r="AQ2440" s="73"/>
      <c r="AR2440" s="73"/>
      <c r="AS2440" s="73"/>
      <c r="AT2440" s="74"/>
      <c r="AU2440" s="47"/>
      <c r="AV2440" s="48"/>
    </row>
    <row r="2441" spans="1:48" ht="12.75" customHeight="1" x14ac:dyDescent="0.25">
      <c r="A2441" s="72" t="s">
        <v>20</v>
      </c>
      <c r="B2441" s="43" t="s">
        <v>2240</v>
      </c>
      <c r="C2441" s="44" t="s">
        <v>2599</v>
      </c>
      <c r="D2441" s="45">
        <f>MROUND(MID($C2441,6,3)/Basis!$E$3,0.5)</f>
        <v>19.5</v>
      </c>
      <c r="E2441" s="45">
        <f>MROUND(MID($C2441,9,3)/Basis!$E$3,0.5)</f>
        <v>94.5</v>
      </c>
      <c r="F2441" s="124" t="s">
        <v>2945</v>
      </c>
      <c r="G2441" s="45">
        <f>ROUND((ROUNDDOWN($F2441/5,0)*5+1.8)/Basis!$E$3,1)</f>
        <v>8.6</v>
      </c>
      <c r="H2441" s="120">
        <f>ROUND($P2441*Basis!$E$2*((TaH-TrH)/LN(1/µ)/Basis!$E$7)^$N2441*$AA$4*Glycol,0)</f>
        <v>12623</v>
      </c>
      <c r="I2441" s="83">
        <f>ROUND(H2441/(MID($C2441,9,3)/Basis!$E$3/Basis!$E$9)*Basis!$E$11,0)</f>
        <v>1603</v>
      </c>
      <c r="J2441" s="123">
        <f>IF(Basis!$E$1=1,ROUND(H2441/((TaH-TrH)*1.163)/3600,3),ROUND(H2441/(500*(TaH-TrH)),2))</f>
        <v>1.26</v>
      </c>
      <c r="K2441" s="84"/>
      <c r="L2441" s="177">
        <f>CHOOSE(Basis!$E$1,((AJ2441*(J2441*3600/Basis!$E$5)^AK2441*(((MID(C2441,9,3)*10)-144)/1000)*AL2441+AM2441*(J2441*3600/Basis!$E$5)^2)*0.0098)/Basis!$E$10,((AJ2441*(J2441/Basis!$E$5)^AK2441*(((MID(C2441,9,3)*10)-144)/1000)*AL2441+AM2441*(J2441/Basis!$E$5)^2)*0.0098)/Basis!$E$10)</f>
        <v>0.13282423173561977</v>
      </c>
      <c r="M2441" s="85"/>
      <c r="N2441" s="110">
        <v>1.373</v>
      </c>
      <c r="O2441" s="74"/>
      <c r="P2441" s="73">
        <v>5820</v>
      </c>
      <c r="Q2441" s="74"/>
      <c r="R2441" s="75"/>
      <c r="S2441" s="75"/>
      <c r="T2441" s="75"/>
      <c r="U2441" s="75"/>
      <c r="V2441" s="75"/>
      <c r="W2441" s="74"/>
      <c r="X2441" s="76"/>
      <c r="Y2441" s="76"/>
      <c r="Z2441" s="76"/>
      <c r="AA2441" s="76"/>
      <c r="AB2441" s="76"/>
      <c r="AC2441" s="74"/>
      <c r="AD2441" s="77"/>
      <c r="AE2441" s="77"/>
      <c r="AF2441" s="77"/>
      <c r="AG2441" s="77"/>
      <c r="AH2441" s="77"/>
      <c r="AI2441" s="68"/>
      <c r="AJ2441" s="214">
        <v>1.2760000000000001E-4</v>
      </c>
      <c r="AK2441" s="214">
        <v>1.7219</v>
      </c>
      <c r="AL2441" s="214">
        <v>2</v>
      </c>
      <c r="AM2441" s="214">
        <v>3.76611E-4</v>
      </c>
      <c r="AN2441" s="74"/>
      <c r="AO2441" s="73"/>
      <c r="AP2441" s="73"/>
      <c r="AQ2441" s="73"/>
      <c r="AR2441" s="73"/>
      <c r="AS2441" s="73"/>
      <c r="AT2441" s="74"/>
      <c r="AU2441" s="47"/>
      <c r="AV2441" s="48"/>
    </row>
    <row r="2442" spans="1:48" ht="12.75" customHeight="1" x14ac:dyDescent="0.25">
      <c r="A2442" s="72" t="s">
        <v>20</v>
      </c>
      <c r="B2442" s="43" t="s">
        <v>2240</v>
      </c>
      <c r="C2442" s="44" t="s">
        <v>2600</v>
      </c>
      <c r="D2442" s="45">
        <f>MROUND(MID($C2442,6,3)/Basis!$E$3,0.5)</f>
        <v>19.5</v>
      </c>
      <c r="E2442" s="45">
        <f>MROUND(MID($C2442,9,3)/Basis!$E$3,0.5)</f>
        <v>94.5</v>
      </c>
      <c r="F2442" s="124" t="s">
        <v>2948</v>
      </c>
      <c r="G2442" s="45">
        <f>ROUND((ROUNDDOWN($F2442/5,0)*5+1.8)/Basis!$E$3,1)</f>
        <v>8.6</v>
      </c>
      <c r="H2442" s="120">
        <f>ROUND($P2442*Basis!$E$2*((TaH-TrH)/LN(1/µ)/Basis!$E$7)^$N2442*$AA$4*Glycol,0)</f>
        <v>12952</v>
      </c>
      <c r="I2442" s="83">
        <f>ROUND(H2442/(MID($C2442,9,3)/Basis!$E$3/Basis!$E$9)*Basis!$E$11,0)</f>
        <v>1645</v>
      </c>
      <c r="J2442" s="123">
        <f>IF(Basis!$E$1=1,ROUND(H2442/((TaH-TrH)*1.163)/3600,3),ROUND(H2442/(500*(TaH-TrH)),2))</f>
        <v>1.3</v>
      </c>
      <c r="K2442" s="84"/>
      <c r="L2442" s="177">
        <f>CHOOSE(Basis!$E$1,((AJ2442*(J2442*3600/Basis!$E$5)^AK2442*(((MID(C2442,9,3)*10)-144)/1000)*AL2442+AM2442*(J2442*3600/Basis!$E$5)^2)*0.0098)/Basis!$E$10,((AJ2442*(J2442/Basis!$E$5)^AK2442*(((MID(C2442,9,3)*10)-144)/1000)*AL2442+AM2442*(J2442/Basis!$E$5)^2)*0.0098)/Basis!$E$10)</f>
        <v>0.21406015339317858</v>
      </c>
      <c r="M2442" s="85"/>
      <c r="N2442" s="109">
        <v>1.4850000000000001</v>
      </c>
      <c r="O2442" s="68"/>
      <c r="P2442" s="67">
        <v>6197</v>
      </c>
      <c r="Q2442" s="68"/>
      <c r="R2442" s="69"/>
      <c r="S2442" s="69"/>
      <c r="T2442" s="69"/>
      <c r="U2442" s="69"/>
      <c r="V2442" s="69"/>
      <c r="W2442" s="68"/>
      <c r="X2442" s="70"/>
      <c r="Y2442" s="70"/>
      <c r="Z2442" s="70"/>
      <c r="AA2442" s="70"/>
      <c r="AB2442" s="70"/>
      <c r="AC2442" s="68"/>
      <c r="AD2442" s="71"/>
      <c r="AE2442" s="71"/>
      <c r="AF2442" s="71"/>
      <c r="AG2442" s="71"/>
      <c r="AH2442" s="71"/>
      <c r="AI2442" s="68"/>
      <c r="AJ2442" s="214">
        <v>1.2760000000000001E-4</v>
      </c>
      <c r="AK2442" s="214">
        <v>1.7219</v>
      </c>
      <c r="AL2442" s="214">
        <v>4</v>
      </c>
      <c r="AM2442" s="214">
        <v>5.1420100000000005E-4</v>
      </c>
      <c r="AN2442" s="68"/>
      <c r="AO2442" s="67"/>
      <c r="AP2442" s="67"/>
      <c r="AQ2442" s="67"/>
      <c r="AR2442" s="67"/>
      <c r="AS2442" s="67"/>
      <c r="AT2442" s="68"/>
      <c r="AU2442" s="49"/>
      <c r="AV2442" s="50"/>
    </row>
    <row r="2443" spans="1:48" ht="12.75" customHeight="1" x14ac:dyDescent="0.25">
      <c r="A2443" s="72" t="s">
        <v>20</v>
      </c>
      <c r="B2443" s="43" t="s">
        <v>2240</v>
      </c>
      <c r="C2443" s="44" t="s">
        <v>2601</v>
      </c>
      <c r="D2443" s="45">
        <f>MROUND(MID($C2443,6,3)/Basis!$E$3,0.5)</f>
        <v>19.5</v>
      </c>
      <c r="E2443" s="45">
        <f>MROUND(MID($C2443,9,3)/Basis!$E$3,0.5)</f>
        <v>102.5</v>
      </c>
      <c r="F2443" s="124" t="s">
        <v>2943</v>
      </c>
      <c r="G2443" s="45">
        <f>ROUND((ROUNDDOWN($F2443/5,0)*5+1.8)/Basis!$E$3,1)</f>
        <v>4.5999999999999996</v>
      </c>
      <c r="H2443" s="120">
        <f>ROUND($P2443*Basis!$E$2*((TaH-TrH)/LN(1/µ)/Basis!$E$7)^$N2443*$AA$4*Glycol,0)</f>
        <v>6044</v>
      </c>
      <c r="I2443" s="83">
        <f>ROUND(H2443/(MID($C2443,9,3)/Basis!$E$3/Basis!$E$9)*Basis!$E$11,0)</f>
        <v>709</v>
      </c>
      <c r="J2443" s="123">
        <f>IF(Basis!$E$1=1,ROUND(H2443/((TaH-TrH)*1.163)/3600,3),ROUND(H2443/(500*(TaH-TrH)),2))</f>
        <v>0.6</v>
      </c>
      <c r="K2443" s="84"/>
      <c r="L2443" s="177">
        <f>CHOOSE(Basis!$E$1,((AJ2443*(J2443*3600/Basis!$E$5)^AK2443*(((MID(C2443,9,3)*10)-144)/1000)*AL2443+AM2443*(J2443*3600/Basis!$E$5)^2)*0.0098)/Basis!$E$10,((AJ2443*(J2443/Basis!$E$5)^AK2443*(((MID(C2443,9,3)*10)-144)/1000)*AL2443+AM2443*(J2443/Basis!$E$5)^2)*0.0098)/Basis!$E$10)</f>
        <v>5.4428266568016227E-2</v>
      </c>
      <c r="M2443" s="85"/>
      <c r="N2443" s="109">
        <v>1.385</v>
      </c>
      <c r="O2443" s="68"/>
      <c r="P2443" s="67">
        <v>2798</v>
      </c>
      <c r="Q2443" s="68"/>
      <c r="R2443" s="69"/>
      <c r="S2443" s="69"/>
      <c r="T2443" s="69"/>
      <c r="U2443" s="69"/>
      <c r="V2443" s="69"/>
      <c r="W2443" s="68"/>
      <c r="X2443" s="70"/>
      <c r="Y2443" s="70"/>
      <c r="Z2443" s="70"/>
      <c r="AA2443" s="70"/>
      <c r="AB2443" s="70"/>
      <c r="AC2443" s="68"/>
      <c r="AD2443" s="71"/>
      <c r="AE2443" s="71"/>
      <c r="AF2443" s="71"/>
      <c r="AG2443" s="71"/>
      <c r="AH2443" s="71"/>
      <c r="AI2443" s="68"/>
      <c r="AJ2443" s="214">
        <v>3.9689999999999994E-4</v>
      </c>
      <c r="AK2443" s="214">
        <v>1.7345999999999999</v>
      </c>
      <c r="AL2443" s="214">
        <v>2</v>
      </c>
      <c r="AM2443" s="214">
        <v>3.6734700000000002E-4</v>
      </c>
      <c r="AN2443" s="68"/>
      <c r="AO2443" s="67"/>
      <c r="AP2443" s="67"/>
      <c r="AQ2443" s="67"/>
      <c r="AR2443" s="67"/>
      <c r="AS2443" s="67"/>
      <c r="AT2443" s="68"/>
      <c r="AU2443" s="49"/>
      <c r="AV2443" s="50"/>
    </row>
    <row r="2444" spans="1:48" ht="12.75" customHeight="1" x14ac:dyDescent="0.25">
      <c r="A2444" s="72" t="s">
        <v>20</v>
      </c>
      <c r="B2444" s="43" t="s">
        <v>2240</v>
      </c>
      <c r="C2444" s="44" t="s">
        <v>2602</v>
      </c>
      <c r="D2444" s="45">
        <f>MROUND(MID($C2444,6,3)/Basis!$E$3,0.5)</f>
        <v>19.5</v>
      </c>
      <c r="E2444" s="45">
        <f>MROUND(MID($C2444,9,3)/Basis!$E$3,0.5)</f>
        <v>102.5</v>
      </c>
      <c r="F2444" s="124" t="s">
        <v>2946</v>
      </c>
      <c r="G2444" s="45">
        <f>ROUND((ROUNDDOWN($F2444/5,0)*5+1.8)/Basis!$E$3,1)</f>
        <v>4.5999999999999996</v>
      </c>
      <c r="H2444" s="120">
        <f>ROUND($P2444*Basis!$E$2*((TaH-TrH)/LN(1/µ)/Basis!$E$7)^$N2444*$AA$4*Glycol,0)</f>
        <v>7651</v>
      </c>
      <c r="I2444" s="83">
        <f>ROUND(H2444/(MID($C2444,9,3)/Basis!$E$3/Basis!$E$9)*Basis!$E$11,0)</f>
        <v>897</v>
      </c>
      <c r="J2444" s="123">
        <f>IF(Basis!$E$1=1,ROUND(H2444/((TaH-TrH)*1.163)/3600,3),ROUND(H2444/(500*(TaH-TrH)),2))</f>
        <v>0.77</v>
      </c>
      <c r="K2444" s="84"/>
      <c r="L2444" s="177">
        <f>CHOOSE(Basis!$E$1,((AJ2444*(J2444*3600/Basis!$E$5)^AK2444*(((MID(C2444,9,3)*10)-144)/1000)*AL2444+AM2444*(J2444*3600/Basis!$E$5)^2)*0.0098)/Basis!$E$10,((AJ2444*(J2444/Basis!$E$5)^AK2444*(((MID(C2444,9,3)*10)-144)/1000)*AL2444+AM2444*(J2444/Basis!$E$5)^2)*0.0098)/Basis!$E$10)</f>
        <v>0.15646098891120069</v>
      </c>
      <c r="M2444" s="85"/>
      <c r="N2444" s="110">
        <v>1.4379999999999999</v>
      </c>
      <c r="O2444" s="74"/>
      <c r="P2444" s="73">
        <v>3604</v>
      </c>
      <c r="Q2444" s="74"/>
      <c r="R2444" s="75"/>
      <c r="S2444" s="75"/>
      <c r="T2444" s="75"/>
      <c r="U2444" s="75"/>
      <c r="V2444" s="75"/>
      <c r="W2444" s="74"/>
      <c r="X2444" s="76"/>
      <c r="Y2444" s="76"/>
      <c r="Z2444" s="76"/>
      <c r="AA2444" s="76"/>
      <c r="AB2444" s="76"/>
      <c r="AC2444" s="74"/>
      <c r="AD2444" s="77"/>
      <c r="AE2444" s="77"/>
      <c r="AF2444" s="77"/>
      <c r="AG2444" s="77"/>
      <c r="AH2444" s="77"/>
      <c r="AI2444" s="68"/>
      <c r="AJ2444" s="213">
        <v>3.9689999999999994E-4</v>
      </c>
      <c r="AK2444" s="213">
        <v>1.7345999999999999</v>
      </c>
      <c r="AL2444" s="213">
        <v>4</v>
      </c>
      <c r="AM2444" s="213">
        <v>5.7428799999999995E-4</v>
      </c>
      <c r="AN2444" s="74"/>
      <c r="AO2444" s="73"/>
      <c r="AP2444" s="73"/>
      <c r="AQ2444" s="73"/>
      <c r="AR2444" s="73"/>
      <c r="AS2444" s="73"/>
      <c r="AT2444" s="74"/>
      <c r="AU2444" s="47"/>
      <c r="AV2444" s="48"/>
    </row>
    <row r="2445" spans="1:48" ht="12.75" customHeight="1" x14ac:dyDescent="0.25">
      <c r="A2445" s="72" t="s">
        <v>20</v>
      </c>
      <c r="B2445" s="43" t="s">
        <v>2240</v>
      </c>
      <c r="C2445" s="44" t="s">
        <v>2603</v>
      </c>
      <c r="D2445" s="45">
        <f>MROUND(MID($C2445,6,3)/Basis!$E$3,0.5)</f>
        <v>19.5</v>
      </c>
      <c r="E2445" s="45">
        <f>MROUND(MID($C2445,9,3)/Basis!$E$3,0.5)</f>
        <v>102.5</v>
      </c>
      <c r="F2445" s="124" t="s">
        <v>2944</v>
      </c>
      <c r="G2445" s="45">
        <f>ROUND((ROUNDDOWN($F2445/5,0)*5+1.8)/Basis!$E$3,1)</f>
        <v>6.6</v>
      </c>
      <c r="H2445" s="120">
        <f>ROUND($P2445*Basis!$E$2*((TaH-TrH)/LN(1/µ)/Basis!$E$7)^$N2445*$AA$4*Glycol,0)</f>
        <v>9777</v>
      </c>
      <c r="I2445" s="83">
        <f>ROUND(H2445/(MID($C2445,9,3)/Basis!$E$3/Basis!$E$9)*Basis!$E$11,0)</f>
        <v>1146</v>
      </c>
      <c r="J2445" s="123">
        <f>IF(Basis!$E$1=1,ROUND(H2445/((TaH-TrH)*1.163)/3600,3),ROUND(H2445/(500*(TaH-TrH)),2))</f>
        <v>0.98</v>
      </c>
      <c r="K2445" s="84"/>
      <c r="L2445" s="177">
        <f>CHOOSE(Basis!$E$1,((AJ2445*(J2445*3600/Basis!$E$5)^AK2445*(((MID(C2445,9,3)*10)-144)/1000)*AL2445+AM2445*(J2445*3600/Basis!$E$5)^2)*0.0098)/Basis!$E$10,((AJ2445*(J2445/Basis!$E$5)^AK2445*(((MID(C2445,9,3)*10)-144)/1000)*AL2445+AM2445*(J2445/Basis!$E$5)^2)*0.0098)/Basis!$E$10)</f>
        <v>0.11209699301970286</v>
      </c>
      <c r="M2445" s="85"/>
      <c r="N2445" s="110">
        <v>1.373</v>
      </c>
      <c r="O2445" s="74"/>
      <c r="P2445" s="73">
        <v>4508</v>
      </c>
      <c r="Q2445" s="74"/>
      <c r="R2445" s="75"/>
      <c r="S2445" s="75"/>
      <c r="T2445" s="75"/>
      <c r="U2445" s="75"/>
      <c r="V2445" s="75"/>
      <c r="W2445" s="74"/>
      <c r="X2445" s="76"/>
      <c r="Y2445" s="76"/>
      <c r="Z2445" s="76"/>
      <c r="AA2445" s="76"/>
      <c r="AB2445" s="76"/>
      <c r="AC2445" s="74"/>
      <c r="AD2445" s="77"/>
      <c r="AE2445" s="77"/>
      <c r="AF2445" s="77"/>
      <c r="AG2445" s="77"/>
      <c r="AH2445" s="77"/>
      <c r="AI2445" s="68"/>
      <c r="AJ2445" s="213">
        <v>2.0829999999999999E-4</v>
      </c>
      <c r="AK2445" s="213">
        <v>1.724</v>
      </c>
      <c r="AL2445" s="213">
        <v>2</v>
      </c>
      <c r="AM2445" s="213">
        <v>4.6182900000000003E-4</v>
      </c>
      <c r="AN2445" s="74"/>
      <c r="AO2445" s="73"/>
      <c r="AP2445" s="73"/>
      <c r="AQ2445" s="73"/>
      <c r="AR2445" s="73"/>
      <c r="AS2445" s="73"/>
      <c r="AT2445" s="74"/>
      <c r="AU2445" s="47"/>
      <c r="AV2445" s="48"/>
    </row>
    <row r="2446" spans="1:48" ht="12.75" customHeight="1" x14ac:dyDescent="0.25">
      <c r="A2446" s="72" t="s">
        <v>20</v>
      </c>
      <c r="B2446" s="43" t="s">
        <v>2240</v>
      </c>
      <c r="C2446" s="44" t="s">
        <v>2604</v>
      </c>
      <c r="D2446" s="45">
        <f>MROUND(MID($C2446,6,3)/Basis!$E$3,0.5)</f>
        <v>19.5</v>
      </c>
      <c r="E2446" s="45">
        <f>MROUND(MID($C2446,9,3)/Basis!$E$3,0.5)</f>
        <v>102.5</v>
      </c>
      <c r="F2446" s="124" t="s">
        <v>2947</v>
      </c>
      <c r="G2446" s="45">
        <f>ROUND((ROUNDDOWN($F2446/5,0)*5+1.8)/Basis!$E$3,1)</f>
        <v>6.6</v>
      </c>
      <c r="H2446" s="120">
        <f>ROUND($P2446*Basis!$E$2*((TaH-TrH)/LN(1/µ)/Basis!$E$7)^$N2446*$AA$4*Glycol,0)</f>
        <v>10386</v>
      </c>
      <c r="I2446" s="83">
        <f>ROUND(H2446/(MID($C2446,9,3)/Basis!$E$3/Basis!$E$9)*Basis!$E$11,0)</f>
        <v>1218</v>
      </c>
      <c r="J2446" s="123">
        <f>IF(Basis!$E$1=1,ROUND(H2446/((TaH-TrH)*1.163)/3600,3),ROUND(H2446/(500*(TaH-TrH)),2))</f>
        <v>1.04</v>
      </c>
      <c r="K2446" s="84"/>
      <c r="L2446" s="177">
        <f>CHOOSE(Basis!$E$1,((AJ2446*(J2446*3600/Basis!$E$5)^AK2446*(((MID(C2446,9,3)*10)-144)/1000)*AL2446+AM2446*(J2446*3600/Basis!$E$5)^2)*0.0098)/Basis!$E$10,((AJ2446*(J2446/Basis!$E$5)^AK2446*(((MID(C2446,9,3)*10)-144)/1000)*AL2446+AM2446*(J2446/Basis!$E$5)^2)*0.0098)/Basis!$E$10)</f>
        <v>0.33670706503069842</v>
      </c>
      <c r="M2446" s="85"/>
      <c r="N2446" s="109">
        <v>1.464</v>
      </c>
      <c r="O2446" s="68"/>
      <c r="P2446" s="67">
        <v>4935</v>
      </c>
      <c r="Q2446" s="68"/>
      <c r="R2446" s="69"/>
      <c r="S2446" s="69"/>
      <c r="T2446" s="69"/>
      <c r="U2446" s="69"/>
      <c r="V2446" s="69"/>
      <c r="W2446" s="68"/>
      <c r="X2446" s="70"/>
      <c r="Y2446" s="70"/>
      <c r="Z2446" s="70"/>
      <c r="AA2446" s="70"/>
      <c r="AB2446" s="70"/>
      <c r="AC2446" s="68"/>
      <c r="AD2446" s="71"/>
      <c r="AE2446" s="71"/>
      <c r="AF2446" s="71"/>
      <c r="AG2446" s="71"/>
      <c r="AH2446" s="71"/>
      <c r="AI2446" s="68"/>
      <c r="AJ2446" s="214">
        <v>2.0829999999999999E-4</v>
      </c>
      <c r="AK2446" s="214">
        <v>1.724</v>
      </c>
      <c r="AL2446" s="214">
        <v>4</v>
      </c>
      <c r="AM2446" s="214">
        <v>1.392796E-3</v>
      </c>
      <c r="AN2446" s="68"/>
      <c r="AO2446" s="67"/>
      <c r="AP2446" s="67"/>
      <c r="AQ2446" s="67"/>
      <c r="AR2446" s="67"/>
      <c r="AS2446" s="67"/>
      <c r="AT2446" s="68"/>
      <c r="AU2446" s="49"/>
      <c r="AV2446" s="50"/>
    </row>
    <row r="2447" spans="1:48" ht="12.75" customHeight="1" x14ac:dyDescent="0.25">
      <c r="A2447" s="72" t="s">
        <v>20</v>
      </c>
      <c r="B2447" s="43" t="s">
        <v>2240</v>
      </c>
      <c r="C2447" s="44" t="s">
        <v>2605</v>
      </c>
      <c r="D2447" s="45">
        <f>MROUND(MID($C2447,6,3)/Basis!$E$3,0.5)</f>
        <v>19.5</v>
      </c>
      <c r="E2447" s="45">
        <f>MROUND(MID($C2447,9,3)/Basis!$E$3,0.5)</f>
        <v>102.5</v>
      </c>
      <c r="F2447" s="124" t="s">
        <v>2945</v>
      </c>
      <c r="G2447" s="45">
        <f>ROUND((ROUNDDOWN($F2447/5,0)*5+1.8)/Basis!$E$3,1)</f>
        <v>8.6</v>
      </c>
      <c r="H2447" s="120">
        <f>ROUND($P2447*Basis!$E$2*((TaH-TrH)/LN(1/µ)/Basis!$E$7)^$N2447*$AA$4*Glycol,0)</f>
        <v>13674</v>
      </c>
      <c r="I2447" s="83">
        <f>ROUND(H2447/(MID($C2447,9,3)/Basis!$E$3/Basis!$E$9)*Basis!$E$11,0)</f>
        <v>1603</v>
      </c>
      <c r="J2447" s="123">
        <f>IF(Basis!$E$1=1,ROUND(H2447/((TaH-TrH)*1.163)/3600,3),ROUND(H2447/(500*(TaH-TrH)),2))</f>
        <v>1.37</v>
      </c>
      <c r="K2447" s="84"/>
      <c r="L2447" s="177">
        <f>CHOOSE(Basis!$E$1,((AJ2447*(J2447*3600/Basis!$E$5)^AK2447*(((MID(C2447,9,3)*10)-144)/1000)*AL2447+AM2447*(J2447*3600/Basis!$E$5)^2)*0.0098)/Basis!$E$10,((AJ2447*(J2447/Basis!$E$5)^AK2447*(((MID(C2447,9,3)*10)-144)/1000)*AL2447+AM2447*(J2447/Basis!$E$5)^2)*0.0098)/Basis!$E$10)</f>
        <v>0.15943247155741183</v>
      </c>
      <c r="M2447" s="85"/>
      <c r="N2447" s="109">
        <v>1.373</v>
      </c>
      <c r="O2447" s="68"/>
      <c r="P2447" s="67">
        <v>6305</v>
      </c>
      <c r="Q2447" s="68"/>
      <c r="R2447" s="69"/>
      <c r="S2447" s="69"/>
      <c r="T2447" s="69"/>
      <c r="U2447" s="69"/>
      <c r="V2447" s="69"/>
      <c r="W2447" s="68"/>
      <c r="X2447" s="70"/>
      <c r="Y2447" s="70"/>
      <c r="Z2447" s="70"/>
      <c r="AA2447" s="70"/>
      <c r="AB2447" s="70"/>
      <c r="AC2447" s="68"/>
      <c r="AD2447" s="71"/>
      <c r="AE2447" s="71"/>
      <c r="AF2447" s="71"/>
      <c r="AG2447" s="71"/>
      <c r="AH2447" s="71"/>
      <c r="AI2447" s="68"/>
      <c r="AJ2447" s="214">
        <v>1.2760000000000001E-4</v>
      </c>
      <c r="AK2447" s="214">
        <v>1.7219</v>
      </c>
      <c r="AL2447" s="214">
        <v>2</v>
      </c>
      <c r="AM2447" s="214">
        <v>3.76611E-4</v>
      </c>
      <c r="AN2447" s="68"/>
      <c r="AO2447" s="67"/>
      <c r="AP2447" s="67"/>
      <c r="AQ2447" s="67"/>
      <c r="AR2447" s="67"/>
      <c r="AS2447" s="67"/>
      <c r="AT2447" s="68"/>
      <c r="AU2447" s="49"/>
      <c r="AV2447" s="50"/>
    </row>
    <row r="2448" spans="1:48" ht="12.75" customHeight="1" x14ac:dyDescent="0.25">
      <c r="A2448" s="72" t="s">
        <v>20</v>
      </c>
      <c r="B2448" s="43" t="s">
        <v>2240</v>
      </c>
      <c r="C2448" s="44" t="s">
        <v>2606</v>
      </c>
      <c r="D2448" s="45">
        <f>MROUND(MID($C2448,6,3)/Basis!$E$3,0.5)</f>
        <v>19.5</v>
      </c>
      <c r="E2448" s="45">
        <f>MROUND(MID($C2448,9,3)/Basis!$E$3,0.5)</f>
        <v>102.5</v>
      </c>
      <c r="F2448" s="124" t="s">
        <v>2948</v>
      </c>
      <c r="G2448" s="45">
        <f>ROUND((ROUNDDOWN($F2448/5,0)*5+1.8)/Basis!$E$3,1)</f>
        <v>8.6</v>
      </c>
      <c r="H2448" s="120">
        <f>ROUND($P2448*Basis!$E$2*((TaH-TrH)/LN(1/µ)/Basis!$E$7)^$N2448*$AA$4*Glycol,0)</f>
        <v>14031</v>
      </c>
      <c r="I2448" s="83">
        <f>ROUND(H2448/(MID($C2448,9,3)/Basis!$E$3/Basis!$E$9)*Basis!$E$11,0)</f>
        <v>1645</v>
      </c>
      <c r="J2448" s="123">
        <f>IF(Basis!$E$1=1,ROUND(H2448/((TaH-TrH)*1.163)/3600,3),ROUND(H2448/(500*(TaH-TrH)),2))</f>
        <v>1.4</v>
      </c>
      <c r="K2448" s="84"/>
      <c r="L2448" s="177">
        <f>CHOOSE(Basis!$E$1,((AJ2448*(J2448*3600/Basis!$E$5)^AK2448*(((MID(C2448,9,3)*10)-144)/1000)*AL2448+AM2448*(J2448*3600/Basis!$E$5)^2)*0.0098)/Basis!$E$10,((AJ2448*(J2448/Basis!$E$5)^AK2448*(((MID(C2448,9,3)*10)-144)/1000)*AL2448+AM2448*(J2448/Basis!$E$5)^2)*0.0098)/Basis!$E$10)</f>
        <v>0.25345965806792919</v>
      </c>
      <c r="M2448" s="85"/>
      <c r="N2448" s="110">
        <v>1.4850000000000001</v>
      </c>
      <c r="O2448" s="74"/>
      <c r="P2448" s="73">
        <v>6713</v>
      </c>
      <c r="Q2448" s="74"/>
      <c r="R2448" s="75"/>
      <c r="S2448" s="75"/>
      <c r="T2448" s="75"/>
      <c r="U2448" s="75"/>
      <c r="V2448" s="75"/>
      <c r="W2448" s="74"/>
      <c r="X2448" s="76"/>
      <c r="Y2448" s="76"/>
      <c r="Z2448" s="76"/>
      <c r="AA2448" s="76"/>
      <c r="AB2448" s="76"/>
      <c r="AC2448" s="74"/>
      <c r="AD2448" s="77"/>
      <c r="AE2448" s="77"/>
      <c r="AF2448" s="77"/>
      <c r="AG2448" s="77"/>
      <c r="AH2448" s="77"/>
      <c r="AI2448" s="68"/>
      <c r="AJ2448" s="213">
        <v>1.2760000000000001E-4</v>
      </c>
      <c r="AK2448" s="213">
        <v>1.7219</v>
      </c>
      <c r="AL2448" s="213">
        <v>4</v>
      </c>
      <c r="AM2448" s="213">
        <v>5.1420100000000005E-4</v>
      </c>
      <c r="AN2448" s="74"/>
      <c r="AO2448" s="73"/>
      <c r="AP2448" s="73"/>
      <c r="AQ2448" s="73"/>
      <c r="AR2448" s="73"/>
      <c r="AS2448" s="73"/>
      <c r="AT2448" s="74"/>
      <c r="AU2448" s="47"/>
      <c r="AV2448" s="48"/>
    </row>
    <row r="2449" spans="1:48" ht="12.75" customHeight="1" x14ac:dyDescent="0.25">
      <c r="A2449" s="72" t="s">
        <v>20</v>
      </c>
      <c r="B2449" s="43" t="s">
        <v>2240</v>
      </c>
      <c r="C2449" s="44" t="s">
        <v>2607</v>
      </c>
      <c r="D2449" s="45">
        <f>MROUND(MID($C2449,6,3)/Basis!$E$3,0.5)</f>
        <v>19.5</v>
      </c>
      <c r="E2449" s="45">
        <f>MROUND(MID($C2449,9,3)/Basis!$E$3,0.5)</f>
        <v>110</v>
      </c>
      <c r="F2449" s="124" t="s">
        <v>2943</v>
      </c>
      <c r="G2449" s="45">
        <f>ROUND((ROUNDDOWN($F2449/5,0)*5+1.8)/Basis!$E$3,1)</f>
        <v>4.5999999999999996</v>
      </c>
      <c r="H2449" s="120">
        <f>ROUND($P2449*Basis!$E$2*((TaH-TrH)/LN(1/µ)/Basis!$E$7)^$N2449*$AA$4*Glycol,0)</f>
        <v>6509</v>
      </c>
      <c r="I2449" s="83">
        <f>ROUND(H2449/(MID($C2449,9,3)/Basis!$E$3/Basis!$E$9)*Basis!$E$11,0)</f>
        <v>709</v>
      </c>
      <c r="J2449" s="123">
        <f>IF(Basis!$E$1=1,ROUND(H2449/((TaH-TrH)*1.163)/3600,3),ROUND(H2449/(500*(TaH-TrH)),2))</f>
        <v>0.65</v>
      </c>
      <c r="K2449" s="84"/>
      <c r="L2449" s="177">
        <f>CHOOSE(Basis!$E$1,((AJ2449*(J2449*3600/Basis!$E$5)^AK2449*(((MID(C2449,9,3)*10)-144)/1000)*AL2449+AM2449*(J2449*3600/Basis!$E$5)^2)*0.0098)/Basis!$E$10,((AJ2449*(J2449/Basis!$E$5)^AK2449*(((MID(C2449,9,3)*10)-144)/1000)*AL2449+AM2449*(J2449/Basis!$E$5)^2)*0.0098)/Basis!$E$10)</f>
        <v>6.609065502110871E-2</v>
      </c>
      <c r="M2449" s="85"/>
      <c r="N2449" s="110">
        <v>1.385</v>
      </c>
      <c r="O2449" s="74"/>
      <c r="P2449" s="73">
        <v>3013</v>
      </c>
      <c r="Q2449" s="74"/>
      <c r="R2449" s="75"/>
      <c r="S2449" s="75"/>
      <c r="T2449" s="75"/>
      <c r="U2449" s="75"/>
      <c r="V2449" s="75"/>
      <c r="W2449" s="74"/>
      <c r="X2449" s="76"/>
      <c r="Y2449" s="76"/>
      <c r="Z2449" s="76"/>
      <c r="AA2449" s="76"/>
      <c r="AB2449" s="76"/>
      <c r="AC2449" s="74"/>
      <c r="AD2449" s="77"/>
      <c r="AE2449" s="77"/>
      <c r="AF2449" s="77"/>
      <c r="AG2449" s="77"/>
      <c r="AH2449" s="77"/>
      <c r="AI2449" s="68"/>
      <c r="AJ2449" s="213">
        <v>3.9689999999999994E-4</v>
      </c>
      <c r="AK2449" s="213">
        <v>1.7345999999999999</v>
      </c>
      <c r="AL2449" s="213">
        <v>2</v>
      </c>
      <c r="AM2449" s="213">
        <v>3.6734700000000002E-4</v>
      </c>
      <c r="AN2449" s="74"/>
      <c r="AO2449" s="73"/>
      <c r="AP2449" s="73"/>
      <c r="AQ2449" s="73"/>
      <c r="AR2449" s="73"/>
      <c r="AS2449" s="73"/>
      <c r="AT2449" s="74"/>
      <c r="AU2449" s="47"/>
      <c r="AV2449" s="48"/>
    </row>
    <row r="2450" spans="1:48" ht="12.75" customHeight="1" x14ac:dyDescent="0.25">
      <c r="A2450" s="72" t="s">
        <v>20</v>
      </c>
      <c r="B2450" s="43" t="s">
        <v>2240</v>
      </c>
      <c r="C2450" s="44" t="s">
        <v>2608</v>
      </c>
      <c r="D2450" s="45">
        <f>MROUND(MID($C2450,6,3)/Basis!$E$3,0.5)</f>
        <v>19.5</v>
      </c>
      <c r="E2450" s="45">
        <f>MROUND(MID($C2450,9,3)/Basis!$E$3,0.5)</f>
        <v>110</v>
      </c>
      <c r="F2450" s="124" t="s">
        <v>2946</v>
      </c>
      <c r="G2450" s="45">
        <f>ROUND((ROUNDDOWN($F2450/5,0)*5+1.8)/Basis!$E$3,1)</f>
        <v>4.5999999999999996</v>
      </c>
      <c r="H2450" s="120">
        <f>ROUND($P2450*Basis!$E$2*((TaH-TrH)/LN(1/µ)/Basis!$E$7)^$N2450*$AA$4*Glycol,0)</f>
        <v>8239</v>
      </c>
      <c r="I2450" s="83">
        <f>ROUND(H2450/(MID($C2450,9,3)/Basis!$E$3/Basis!$E$9)*Basis!$E$11,0)</f>
        <v>897</v>
      </c>
      <c r="J2450" s="123">
        <f>IF(Basis!$E$1=1,ROUND(H2450/((TaH-TrH)*1.163)/3600,3),ROUND(H2450/(500*(TaH-TrH)),2))</f>
        <v>0.82</v>
      </c>
      <c r="K2450" s="84"/>
      <c r="L2450" s="177">
        <f>CHOOSE(Basis!$E$1,((AJ2450*(J2450*3600/Basis!$E$5)^AK2450*(((MID(C2450,9,3)*10)-144)/1000)*AL2450+AM2450*(J2450*3600/Basis!$E$5)^2)*0.0098)/Basis!$E$10,((AJ2450*(J2450/Basis!$E$5)^AK2450*(((MID(C2450,9,3)*10)-144)/1000)*AL2450+AM2450*(J2450/Basis!$E$5)^2)*0.0098)/Basis!$E$10)</f>
        <v>0.18457482532087124</v>
      </c>
      <c r="M2450" s="85"/>
      <c r="N2450" s="109">
        <v>1.4379999999999999</v>
      </c>
      <c r="O2450" s="68"/>
      <c r="P2450" s="67">
        <v>3881</v>
      </c>
      <c r="Q2450" s="68"/>
      <c r="R2450" s="69"/>
      <c r="S2450" s="69"/>
      <c r="T2450" s="69"/>
      <c r="U2450" s="69"/>
      <c r="V2450" s="69"/>
      <c r="W2450" s="68"/>
      <c r="X2450" s="70"/>
      <c r="Y2450" s="70"/>
      <c r="Z2450" s="70"/>
      <c r="AA2450" s="70"/>
      <c r="AB2450" s="70"/>
      <c r="AC2450" s="68"/>
      <c r="AD2450" s="71"/>
      <c r="AE2450" s="71"/>
      <c r="AF2450" s="71"/>
      <c r="AG2450" s="71"/>
      <c r="AH2450" s="71"/>
      <c r="AI2450" s="68"/>
      <c r="AJ2450" s="214">
        <v>3.9689999999999994E-4</v>
      </c>
      <c r="AK2450" s="214">
        <v>1.7345999999999999</v>
      </c>
      <c r="AL2450" s="214">
        <v>4</v>
      </c>
      <c r="AM2450" s="214">
        <v>5.7428799999999995E-4</v>
      </c>
      <c r="AN2450" s="68"/>
      <c r="AO2450" s="67"/>
      <c r="AP2450" s="67"/>
      <c r="AQ2450" s="67"/>
      <c r="AR2450" s="67"/>
      <c r="AS2450" s="67"/>
      <c r="AT2450" s="68"/>
      <c r="AU2450" s="49"/>
      <c r="AV2450" s="50"/>
    </row>
    <row r="2451" spans="1:48" ht="12.75" customHeight="1" x14ac:dyDescent="0.25">
      <c r="A2451" s="72" t="s">
        <v>20</v>
      </c>
      <c r="B2451" s="43" t="s">
        <v>2240</v>
      </c>
      <c r="C2451" s="44" t="s">
        <v>2609</v>
      </c>
      <c r="D2451" s="45">
        <f>MROUND(MID($C2451,6,3)/Basis!$E$3,0.5)</f>
        <v>19.5</v>
      </c>
      <c r="E2451" s="45">
        <f>MROUND(MID($C2451,9,3)/Basis!$E$3,0.5)</f>
        <v>110</v>
      </c>
      <c r="F2451" s="124" t="s">
        <v>2944</v>
      </c>
      <c r="G2451" s="45">
        <f>ROUND((ROUNDDOWN($F2451/5,0)*5+1.8)/Basis!$E$3,1)</f>
        <v>6.6</v>
      </c>
      <c r="H2451" s="120">
        <f>ROUND($P2451*Basis!$E$2*((TaH-TrH)/LN(1/µ)/Basis!$E$7)^$N2451*$AA$4*Glycol,0)</f>
        <v>10530</v>
      </c>
      <c r="I2451" s="83">
        <f>ROUND(H2451/(MID($C2451,9,3)/Basis!$E$3/Basis!$E$9)*Basis!$E$11,0)</f>
        <v>1146</v>
      </c>
      <c r="J2451" s="123">
        <f>IF(Basis!$E$1=1,ROUND(H2451/((TaH-TrH)*1.163)/3600,3),ROUND(H2451/(500*(TaH-TrH)),2))</f>
        <v>1.05</v>
      </c>
      <c r="K2451" s="84"/>
      <c r="L2451" s="177">
        <f>CHOOSE(Basis!$E$1,((AJ2451*(J2451*3600/Basis!$E$5)^AK2451*(((MID(C2451,9,3)*10)-144)/1000)*AL2451+AM2451*(J2451*3600/Basis!$E$5)^2)*0.0098)/Basis!$E$10,((AJ2451*(J2451/Basis!$E$5)^AK2451*(((MID(C2451,9,3)*10)-144)/1000)*AL2451+AM2451*(J2451/Basis!$E$5)^2)*0.0098)/Basis!$E$10)</f>
        <v>0.13129518631210635</v>
      </c>
      <c r="M2451" s="85"/>
      <c r="N2451" s="109">
        <v>1.373</v>
      </c>
      <c r="O2451" s="68"/>
      <c r="P2451" s="67">
        <v>4855</v>
      </c>
      <c r="Q2451" s="68"/>
      <c r="R2451" s="69"/>
      <c r="S2451" s="69"/>
      <c r="T2451" s="69"/>
      <c r="U2451" s="69"/>
      <c r="V2451" s="69"/>
      <c r="W2451" s="68"/>
      <c r="X2451" s="70"/>
      <c r="Y2451" s="70"/>
      <c r="Z2451" s="70"/>
      <c r="AA2451" s="70"/>
      <c r="AB2451" s="70"/>
      <c r="AC2451" s="68"/>
      <c r="AD2451" s="71"/>
      <c r="AE2451" s="71"/>
      <c r="AF2451" s="71"/>
      <c r="AG2451" s="71"/>
      <c r="AH2451" s="71"/>
      <c r="AI2451" s="68"/>
      <c r="AJ2451" s="214">
        <v>2.0829999999999999E-4</v>
      </c>
      <c r="AK2451" s="214">
        <v>1.724</v>
      </c>
      <c r="AL2451" s="214">
        <v>2</v>
      </c>
      <c r="AM2451" s="214">
        <v>4.6182900000000003E-4</v>
      </c>
      <c r="AN2451" s="68"/>
      <c r="AO2451" s="67"/>
      <c r="AP2451" s="67"/>
      <c r="AQ2451" s="67"/>
      <c r="AR2451" s="67"/>
      <c r="AS2451" s="67"/>
      <c r="AT2451" s="68"/>
      <c r="AU2451" s="49"/>
      <c r="AV2451" s="50"/>
    </row>
    <row r="2452" spans="1:48" ht="12.75" customHeight="1" x14ac:dyDescent="0.25">
      <c r="A2452" s="72" t="s">
        <v>20</v>
      </c>
      <c r="B2452" s="43" t="s">
        <v>2240</v>
      </c>
      <c r="C2452" s="44" t="s">
        <v>2610</v>
      </c>
      <c r="D2452" s="45">
        <f>MROUND(MID($C2452,6,3)/Basis!$E$3,0.5)</f>
        <v>19.5</v>
      </c>
      <c r="E2452" s="45">
        <f>MROUND(MID($C2452,9,3)/Basis!$E$3,0.5)</f>
        <v>110</v>
      </c>
      <c r="F2452" s="124" t="s">
        <v>2947</v>
      </c>
      <c r="G2452" s="45">
        <f>ROUND((ROUNDDOWN($F2452/5,0)*5+1.8)/Basis!$E$3,1)</f>
        <v>6.6</v>
      </c>
      <c r="H2452" s="120">
        <f>ROUND($P2452*Basis!$E$2*((TaH-TrH)/LN(1/µ)/Basis!$E$7)^$N2452*$AA$4*Glycol,0)</f>
        <v>11184</v>
      </c>
      <c r="I2452" s="83">
        <f>ROUND(H2452/(MID($C2452,9,3)/Basis!$E$3/Basis!$E$9)*Basis!$E$11,0)</f>
        <v>1217</v>
      </c>
      <c r="J2452" s="123">
        <f>IF(Basis!$E$1=1,ROUND(H2452/((TaH-TrH)*1.163)/3600,3),ROUND(H2452/(500*(TaH-TrH)),2))</f>
        <v>1.1200000000000001</v>
      </c>
      <c r="K2452" s="84"/>
      <c r="L2452" s="177">
        <f>CHOOSE(Basis!$E$1,((AJ2452*(J2452*3600/Basis!$E$5)^AK2452*(((MID(C2452,9,3)*10)-144)/1000)*AL2452+AM2452*(J2452*3600/Basis!$E$5)^2)*0.0098)/Basis!$E$10,((AJ2452*(J2452/Basis!$E$5)^AK2452*(((MID(C2452,9,3)*10)-144)/1000)*AL2452+AM2452*(J2452/Basis!$E$5)^2)*0.0098)/Basis!$E$10)</f>
        <v>0.39620507043076358</v>
      </c>
      <c r="M2452" s="85"/>
      <c r="N2452" s="110">
        <v>1.464</v>
      </c>
      <c r="O2452" s="74"/>
      <c r="P2452" s="73">
        <v>5314</v>
      </c>
      <c r="Q2452" s="74"/>
      <c r="R2452" s="75"/>
      <c r="S2452" s="75"/>
      <c r="T2452" s="75"/>
      <c r="U2452" s="75"/>
      <c r="V2452" s="75"/>
      <c r="W2452" s="74"/>
      <c r="X2452" s="76"/>
      <c r="Y2452" s="76"/>
      <c r="Z2452" s="76"/>
      <c r="AA2452" s="76"/>
      <c r="AB2452" s="76"/>
      <c r="AC2452" s="74"/>
      <c r="AD2452" s="77"/>
      <c r="AE2452" s="77"/>
      <c r="AF2452" s="77"/>
      <c r="AG2452" s="77"/>
      <c r="AH2452" s="77"/>
      <c r="AI2452" s="68"/>
      <c r="AJ2452" s="213">
        <v>2.0829999999999999E-4</v>
      </c>
      <c r="AK2452" s="213">
        <v>1.724</v>
      </c>
      <c r="AL2452" s="213">
        <v>4</v>
      </c>
      <c r="AM2452" s="213">
        <v>1.392796E-3</v>
      </c>
      <c r="AN2452" s="74"/>
      <c r="AO2452" s="73"/>
      <c r="AP2452" s="73"/>
      <c r="AQ2452" s="73"/>
      <c r="AR2452" s="73"/>
      <c r="AS2452" s="73"/>
      <c r="AT2452" s="74"/>
      <c r="AU2452" s="47"/>
      <c r="AV2452" s="48"/>
    </row>
    <row r="2453" spans="1:48" ht="12.75" customHeight="1" x14ac:dyDescent="0.25">
      <c r="A2453" s="72" t="s">
        <v>20</v>
      </c>
      <c r="B2453" s="43" t="s">
        <v>2240</v>
      </c>
      <c r="C2453" s="44" t="s">
        <v>2611</v>
      </c>
      <c r="D2453" s="45">
        <f>MROUND(MID($C2453,6,3)/Basis!$E$3,0.5)</f>
        <v>19.5</v>
      </c>
      <c r="E2453" s="45">
        <f>MROUND(MID($C2453,9,3)/Basis!$E$3,0.5)</f>
        <v>110</v>
      </c>
      <c r="F2453" s="124" t="s">
        <v>2945</v>
      </c>
      <c r="G2453" s="45">
        <f>ROUND((ROUNDDOWN($F2453/5,0)*5+1.8)/Basis!$E$3,1)</f>
        <v>8.6</v>
      </c>
      <c r="H2453" s="120">
        <f>ROUND($P2453*Basis!$E$2*((TaH-TrH)/LN(1/µ)/Basis!$E$7)^$N2453*$AA$4*Glycol,0)</f>
        <v>14726</v>
      </c>
      <c r="I2453" s="83">
        <f>ROUND(H2453/(MID($C2453,9,3)/Basis!$E$3/Basis!$E$9)*Basis!$E$11,0)</f>
        <v>1603</v>
      </c>
      <c r="J2453" s="123">
        <f>IF(Basis!$E$1=1,ROUND(H2453/((TaH-TrH)*1.163)/3600,3),ROUND(H2453/(500*(TaH-TrH)),2))</f>
        <v>1.47</v>
      </c>
      <c r="K2453" s="84"/>
      <c r="L2453" s="177">
        <f>CHOOSE(Basis!$E$1,((AJ2453*(J2453*3600/Basis!$E$5)^AK2453*(((MID(C2453,9,3)*10)-144)/1000)*AL2453+AM2453*(J2453*3600/Basis!$E$5)^2)*0.0098)/Basis!$E$10,((AJ2453*(J2453/Basis!$E$5)^AK2453*(((MID(C2453,9,3)*10)-144)/1000)*AL2453+AM2453*(J2453/Basis!$E$5)^2)*0.0098)/Basis!$E$10)</f>
        <v>0.18635501696180629</v>
      </c>
      <c r="M2453" s="85"/>
      <c r="N2453" s="110">
        <v>1.373</v>
      </c>
      <c r="O2453" s="74"/>
      <c r="P2453" s="73">
        <v>6790</v>
      </c>
      <c r="Q2453" s="74"/>
      <c r="R2453" s="75"/>
      <c r="S2453" s="75"/>
      <c r="T2453" s="75"/>
      <c r="U2453" s="75"/>
      <c r="V2453" s="75"/>
      <c r="W2453" s="74"/>
      <c r="X2453" s="76"/>
      <c r="Y2453" s="76"/>
      <c r="Z2453" s="76"/>
      <c r="AA2453" s="76"/>
      <c r="AB2453" s="76"/>
      <c r="AC2453" s="74"/>
      <c r="AD2453" s="77"/>
      <c r="AE2453" s="77"/>
      <c r="AF2453" s="77"/>
      <c r="AG2453" s="77"/>
      <c r="AH2453" s="77"/>
      <c r="AI2453" s="68"/>
      <c r="AJ2453" s="214">
        <v>1.2760000000000001E-4</v>
      </c>
      <c r="AK2453" s="214">
        <v>1.7219</v>
      </c>
      <c r="AL2453" s="214">
        <v>2</v>
      </c>
      <c r="AM2453" s="214">
        <v>3.76611E-4</v>
      </c>
      <c r="AN2453" s="74"/>
      <c r="AO2453" s="73"/>
      <c r="AP2453" s="73"/>
      <c r="AQ2453" s="73"/>
      <c r="AR2453" s="73"/>
      <c r="AS2453" s="73"/>
      <c r="AT2453" s="74"/>
      <c r="AU2453" s="47"/>
      <c r="AV2453" s="48"/>
    </row>
    <row r="2454" spans="1:48" ht="12.75" customHeight="1" x14ac:dyDescent="0.25">
      <c r="A2454" s="72" t="s">
        <v>20</v>
      </c>
      <c r="B2454" s="43" t="s">
        <v>2240</v>
      </c>
      <c r="C2454" s="44" t="s">
        <v>2612</v>
      </c>
      <c r="D2454" s="45">
        <f>MROUND(MID($C2454,6,3)/Basis!$E$3,0.5)</f>
        <v>19.5</v>
      </c>
      <c r="E2454" s="45">
        <f>MROUND(MID($C2454,9,3)/Basis!$E$3,0.5)</f>
        <v>110</v>
      </c>
      <c r="F2454" s="124" t="s">
        <v>2948</v>
      </c>
      <c r="G2454" s="45">
        <f>ROUND((ROUNDDOWN($F2454/5,0)*5+1.8)/Basis!$E$3,1)</f>
        <v>8.6</v>
      </c>
      <c r="H2454" s="120">
        <f>ROUND($P2454*Basis!$E$2*((TaH-TrH)/LN(1/µ)/Basis!$E$7)^$N2454*$AA$4*Glycol,0)</f>
        <v>15112</v>
      </c>
      <c r="I2454" s="83">
        <f>ROUND(H2454/(MID($C2454,9,3)/Basis!$E$3/Basis!$E$9)*Basis!$E$11,0)</f>
        <v>1645</v>
      </c>
      <c r="J2454" s="123">
        <f>IF(Basis!$E$1=1,ROUND(H2454/((TaH-TrH)*1.163)/3600,3),ROUND(H2454/(500*(TaH-TrH)),2))</f>
        <v>1.51</v>
      </c>
      <c r="K2454" s="84"/>
      <c r="L2454" s="177">
        <f>CHOOSE(Basis!$E$1,((AJ2454*(J2454*3600/Basis!$E$5)^AK2454*(((MID(C2454,9,3)*10)-144)/1000)*AL2454+AM2454*(J2454*3600/Basis!$E$5)^2)*0.0098)/Basis!$E$10,((AJ2454*(J2454/Basis!$E$5)^AK2454*(((MID(C2454,9,3)*10)-144)/1000)*AL2454+AM2454*(J2454/Basis!$E$5)^2)*0.0098)/Basis!$E$10)</f>
        <v>0.30057519157632989</v>
      </c>
      <c r="M2454" s="85"/>
      <c r="N2454" s="109">
        <v>1.4850000000000001</v>
      </c>
      <c r="O2454" s="68"/>
      <c r="P2454" s="67">
        <v>7230</v>
      </c>
      <c r="Q2454" s="68"/>
      <c r="R2454" s="69"/>
      <c r="S2454" s="69"/>
      <c r="T2454" s="69"/>
      <c r="U2454" s="69"/>
      <c r="V2454" s="69"/>
      <c r="W2454" s="68"/>
      <c r="X2454" s="70"/>
      <c r="Y2454" s="70"/>
      <c r="Z2454" s="70"/>
      <c r="AA2454" s="70"/>
      <c r="AB2454" s="70"/>
      <c r="AC2454" s="68"/>
      <c r="AD2454" s="71"/>
      <c r="AE2454" s="71"/>
      <c r="AF2454" s="71"/>
      <c r="AG2454" s="71"/>
      <c r="AH2454" s="71"/>
      <c r="AI2454" s="68"/>
      <c r="AJ2454" s="214">
        <v>1.2760000000000001E-4</v>
      </c>
      <c r="AK2454" s="214">
        <v>1.7219</v>
      </c>
      <c r="AL2454" s="214">
        <v>4</v>
      </c>
      <c r="AM2454" s="214">
        <v>5.1420100000000005E-4</v>
      </c>
      <c r="AN2454" s="68"/>
      <c r="AO2454" s="67"/>
      <c r="AP2454" s="67"/>
      <c r="AQ2454" s="67"/>
      <c r="AR2454" s="67"/>
      <c r="AS2454" s="67"/>
      <c r="AT2454" s="68"/>
      <c r="AU2454" s="49"/>
      <c r="AV2454" s="50"/>
    </row>
    <row r="2455" spans="1:48" ht="12.75" customHeight="1" x14ac:dyDescent="0.25">
      <c r="A2455" s="72" t="s">
        <v>20</v>
      </c>
      <c r="B2455" s="43" t="s">
        <v>2240</v>
      </c>
      <c r="C2455" s="44" t="s">
        <v>2613</v>
      </c>
      <c r="D2455" s="45">
        <f>MROUND(MID($C2455,6,3)/Basis!$E$3,0.5)</f>
        <v>19.5</v>
      </c>
      <c r="E2455" s="45">
        <f>MROUND(MID($C2455,9,3)/Basis!$E$3,0.5)</f>
        <v>118</v>
      </c>
      <c r="F2455" s="124" t="s">
        <v>2943</v>
      </c>
      <c r="G2455" s="45">
        <f>ROUND((ROUNDDOWN($F2455/5,0)*5+1.8)/Basis!$E$3,1)</f>
        <v>4.5999999999999996</v>
      </c>
      <c r="H2455" s="120">
        <f>ROUND($P2455*Basis!$E$2*((TaH-TrH)/LN(1/µ)/Basis!$E$7)^$N2455*$AA$4*Glycol,0)</f>
        <v>6973</v>
      </c>
      <c r="I2455" s="83">
        <f>ROUND(H2455/(MID($C2455,9,3)/Basis!$E$3/Basis!$E$9)*Basis!$E$11,0)</f>
        <v>708</v>
      </c>
      <c r="J2455" s="123">
        <f>IF(Basis!$E$1=1,ROUND(H2455/((TaH-TrH)*1.163)/3600,3),ROUND(H2455/(500*(TaH-TrH)),2))</f>
        <v>0.7</v>
      </c>
      <c r="K2455" s="84"/>
      <c r="L2455" s="177">
        <f>CHOOSE(Basis!$E$1,((AJ2455*(J2455*3600/Basis!$E$5)^AK2455*(((MID(C2455,9,3)*10)-144)/1000)*AL2455+AM2455*(J2455*3600/Basis!$E$5)^2)*0.0098)/Basis!$E$10,((AJ2455*(J2455/Basis!$E$5)^AK2455*(((MID(C2455,9,3)*10)-144)/1000)*AL2455+AM2455*(J2455/Basis!$E$5)^2)*0.0098)/Basis!$E$10)</f>
        <v>7.9165714019809083E-2</v>
      </c>
      <c r="M2455" s="85"/>
      <c r="N2455" s="109">
        <v>1.385</v>
      </c>
      <c r="O2455" s="68"/>
      <c r="P2455" s="67">
        <v>3228</v>
      </c>
      <c r="Q2455" s="68"/>
      <c r="R2455" s="69"/>
      <c r="S2455" s="69"/>
      <c r="T2455" s="69"/>
      <c r="U2455" s="69"/>
      <c r="V2455" s="69"/>
      <c r="W2455" s="68"/>
      <c r="X2455" s="70"/>
      <c r="Y2455" s="70"/>
      <c r="Z2455" s="70"/>
      <c r="AA2455" s="70"/>
      <c r="AB2455" s="70"/>
      <c r="AC2455" s="68"/>
      <c r="AD2455" s="71"/>
      <c r="AE2455" s="71"/>
      <c r="AF2455" s="71"/>
      <c r="AG2455" s="71"/>
      <c r="AH2455" s="71"/>
      <c r="AI2455" s="68"/>
      <c r="AJ2455" s="214">
        <v>3.9689999999999994E-4</v>
      </c>
      <c r="AK2455" s="214">
        <v>1.7345999999999999</v>
      </c>
      <c r="AL2455" s="214">
        <v>2</v>
      </c>
      <c r="AM2455" s="214">
        <v>3.6734700000000002E-4</v>
      </c>
      <c r="AN2455" s="68"/>
      <c r="AO2455" s="67"/>
      <c r="AP2455" s="67"/>
      <c r="AQ2455" s="67"/>
      <c r="AR2455" s="67"/>
      <c r="AS2455" s="67"/>
      <c r="AT2455" s="68"/>
      <c r="AU2455" s="49"/>
      <c r="AV2455" s="50"/>
    </row>
    <row r="2456" spans="1:48" ht="12.75" customHeight="1" x14ac:dyDescent="0.25">
      <c r="A2456" s="72" t="s">
        <v>20</v>
      </c>
      <c r="B2456" s="43" t="s">
        <v>2240</v>
      </c>
      <c r="C2456" s="44" t="s">
        <v>2614</v>
      </c>
      <c r="D2456" s="45">
        <f>MROUND(MID($C2456,6,3)/Basis!$E$3,0.5)</f>
        <v>19.5</v>
      </c>
      <c r="E2456" s="45">
        <f>MROUND(MID($C2456,9,3)/Basis!$E$3,0.5)</f>
        <v>118</v>
      </c>
      <c r="F2456" s="124" t="s">
        <v>2946</v>
      </c>
      <c r="G2456" s="45">
        <f>ROUND((ROUNDDOWN($F2456/5,0)*5+1.8)/Basis!$E$3,1)</f>
        <v>4.5999999999999996</v>
      </c>
      <c r="H2456" s="120">
        <f>ROUND($P2456*Basis!$E$2*((TaH-TrH)/LN(1/µ)/Basis!$E$7)^$N2456*$AA$4*Glycol,0)</f>
        <v>8827</v>
      </c>
      <c r="I2456" s="83">
        <f>ROUND(H2456/(MID($C2456,9,3)/Basis!$E$3/Basis!$E$9)*Basis!$E$11,0)</f>
        <v>897</v>
      </c>
      <c r="J2456" s="123">
        <f>IF(Basis!$E$1=1,ROUND(H2456/((TaH-TrH)*1.163)/3600,3),ROUND(H2456/(500*(TaH-TrH)),2))</f>
        <v>0.88</v>
      </c>
      <c r="K2456" s="84"/>
      <c r="L2456" s="177">
        <f>CHOOSE(Basis!$E$1,((AJ2456*(J2456*3600/Basis!$E$5)^AK2456*(((MID(C2456,9,3)*10)-144)/1000)*AL2456+AM2456*(J2456*3600/Basis!$E$5)^2)*0.0098)/Basis!$E$10,((AJ2456*(J2456/Basis!$E$5)^AK2456*(((MID(C2456,9,3)*10)-144)/1000)*AL2456+AM2456*(J2456/Basis!$E$5)^2)*0.0098)/Basis!$E$10)</f>
        <v>0.22018604668985189</v>
      </c>
      <c r="M2456" s="85"/>
      <c r="N2456" s="110">
        <v>1.4379999999999999</v>
      </c>
      <c r="O2456" s="74"/>
      <c r="P2456" s="73">
        <v>4158</v>
      </c>
      <c r="Q2456" s="74"/>
      <c r="R2456" s="75"/>
      <c r="S2456" s="75"/>
      <c r="T2456" s="75"/>
      <c r="U2456" s="75"/>
      <c r="V2456" s="75"/>
      <c r="W2456" s="74"/>
      <c r="X2456" s="76"/>
      <c r="Y2456" s="76"/>
      <c r="Z2456" s="76"/>
      <c r="AA2456" s="76"/>
      <c r="AB2456" s="76"/>
      <c r="AC2456" s="74"/>
      <c r="AD2456" s="77"/>
      <c r="AE2456" s="77"/>
      <c r="AF2456" s="77"/>
      <c r="AG2456" s="77"/>
      <c r="AH2456" s="77"/>
      <c r="AI2456" s="68"/>
      <c r="AJ2456" s="213">
        <v>3.9689999999999994E-4</v>
      </c>
      <c r="AK2456" s="213">
        <v>1.7345999999999999</v>
      </c>
      <c r="AL2456" s="213">
        <v>4</v>
      </c>
      <c r="AM2456" s="213">
        <v>5.7428799999999995E-4</v>
      </c>
      <c r="AN2456" s="74"/>
      <c r="AO2456" s="73"/>
      <c r="AP2456" s="73"/>
      <c r="AQ2456" s="73"/>
      <c r="AR2456" s="73"/>
      <c r="AS2456" s="73"/>
      <c r="AT2456" s="74"/>
      <c r="AU2456" s="47"/>
      <c r="AV2456" s="48"/>
    </row>
    <row r="2457" spans="1:48" ht="12.75" customHeight="1" x14ac:dyDescent="0.25">
      <c r="A2457" s="72" t="s">
        <v>20</v>
      </c>
      <c r="B2457" s="43" t="s">
        <v>2240</v>
      </c>
      <c r="C2457" s="44" t="s">
        <v>2615</v>
      </c>
      <c r="D2457" s="45">
        <f>MROUND(MID($C2457,6,3)/Basis!$E$3,0.5)</f>
        <v>19.5</v>
      </c>
      <c r="E2457" s="45">
        <f>MROUND(MID($C2457,9,3)/Basis!$E$3,0.5)</f>
        <v>118</v>
      </c>
      <c r="F2457" s="124" t="s">
        <v>2944</v>
      </c>
      <c r="G2457" s="45">
        <f>ROUND((ROUNDDOWN($F2457/5,0)*5+1.8)/Basis!$E$3,1)</f>
        <v>6.6</v>
      </c>
      <c r="H2457" s="120">
        <f>ROUND($P2457*Basis!$E$2*((TaH-TrH)/LN(1/µ)/Basis!$E$7)^$N2457*$AA$4*Glycol,0)</f>
        <v>11282</v>
      </c>
      <c r="I2457" s="83">
        <f>ROUND(H2457/(MID($C2457,9,3)/Basis!$E$3/Basis!$E$9)*Basis!$E$11,0)</f>
        <v>1146</v>
      </c>
      <c r="J2457" s="123">
        <f>IF(Basis!$E$1=1,ROUND(H2457/((TaH-TrH)*1.163)/3600,3),ROUND(H2457/(500*(TaH-TrH)),2))</f>
        <v>1.1299999999999999</v>
      </c>
      <c r="K2457" s="84"/>
      <c r="L2457" s="177">
        <f>CHOOSE(Basis!$E$1,((AJ2457*(J2457*3600/Basis!$E$5)^AK2457*(((MID(C2457,9,3)*10)-144)/1000)*AL2457+AM2457*(J2457*3600/Basis!$E$5)^2)*0.0098)/Basis!$E$10,((AJ2457*(J2457/Basis!$E$5)^AK2457*(((MID(C2457,9,3)*10)-144)/1000)*AL2457+AM2457*(J2457/Basis!$E$5)^2)*0.0098)/Basis!$E$10)</f>
        <v>0.15489024652923833</v>
      </c>
      <c r="M2457" s="85"/>
      <c r="N2457" s="110">
        <v>1.373</v>
      </c>
      <c r="O2457" s="74"/>
      <c r="P2457" s="73">
        <v>5202</v>
      </c>
      <c r="Q2457" s="74"/>
      <c r="R2457" s="75"/>
      <c r="S2457" s="75"/>
      <c r="T2457" s="75"/>
      <c r="U2457" s="75"/>
      <c r="V2457" s="75"/>
      <c r="W2457" s="74"/>
      <c r="X2457" s="76"/>
      <c r="Y2457" s="76"/>
      <c r="Z2457" s="76"/>
      <c r="AA2457" s="76"/>
      <c r="AB2457" s="76"/>
      <c r="AC2457" s="74"/>
      <c r="AD2457" s="77"/>
      <c r="AE2457" s="77"/>
      <c r="AF2457" s="77"/>
      <c r="AG2457" s="77"/>
      <c r="AH2457" s="77"/>
      <c r="AI2457" s="68"/>
      <c r="AJ2457" s="213">
        <v>2.0829999999999999E-4</v>
      </c>
      <c r="AK2457" s="213">
        <v>1.724</v>
      </c>
      <c r="AL2457" s="213">
        <v>2</v>
      </c>
      <c r="AM2457" s="213">
        <v>4.6182900000000003E-4</v>
      </c>
      <c r="AN2457" s="74"/>
      <c r="AO2457" s="73"/>
      <c r="AP2457" s="73"/>
      <c r="AQ2457" s="73"/>
      <c r="AR2457" s="73"/>
      <c r="AS2457" s="73"/>
      <c r="AT2457" s="74"/>
      <c r="AU2457" s="47"/>
      <c r="AV2457" s="48"/>
    </row>
    <row r="2458" spans="1:48" ht="12.75" customHeight="1" x14ac:dyDescent="0.25">
      <c r="A2458" s="72" t="s">
        <v>20</v>
      </c>
      <c r="B2458" s="43" t="s">
        <v>2240</v>
      </c>
      <c r="C2458" s="44" t="s">
        <v>2616</v>
      </c>
      <c r="D2458" s="45">
        <f>MROUND(MID($C2458,6,3)/Basis!$E$3,0.5)</f>
        <v>19.5</v>
      </c>
      <c r="E2458" s="45">
        <f>MROUND(MID($C2458,9,3)/Basis!$E$3,0.5)</f>
        <v>118</v>
      </c>
      <c r="F2458" s="124" t="s">
        <v>2947</v>
      </c>
      <c r="G2458" s="45">
        <f>ROUND((ROUNDDOWN($F2458/5,0)*5+1.8)/Basis!$E$3,1)</f>
        <v>6.6</v>
      </c>
      <c r="H2458" s="120">
        <f>ROUND($P2458*Basis!$E$2*((TaH-TrH)/LN(1/µ)/Basis!$E$7)^$N2458*$AA$4*Glycol,0)</f>
        <v>11984</v>
      </c>
      <c r="I2458" s="83">
        <f>ROUND(H2458/(MID($C2458,9,3)/Basis!$E$3/Basis!$E$9)*Basis!$E$11,0)</f>
        <v>1218</v>
      </c>
      <c r="J2458" s="123">
        <f>IF(Basis!$E$1=1,ROUND(H2458/((TaH-TrH)*1.163)/3600,3),ROUND(H2458/(500*(TaH-TrH)),2))</f>
        <v>1.2</v>
      </c>
      <c r="K2458" s="84"/>
      <c r="L2458" s="177">
        <f>CHOOSE(Basis!$E$1,((AJ2458*(J2458*3600/Basis!$E$5)^AK2458*(((MID(C2458,9,3)*10)-144)/1000)*AL2458+AM2458*(J2458*3600/Basis!$E$5)^2)*0.0098)/Basis!$E$10,((AJ2458*(J2458/Basis!$E$5)^AK2458*(((MID(C2458,9,3)*10)-144)/1000)*AL2458+AM2458*(J2458/Basis!$E$5)^2)*0.0098)/Basis!$E$10)</f>
        <v>0.46123906404270754</v>
      </c>
      <c r="M2458" s="85"/>
      <c r="N2458" s="109">
        <v>1.464</v>
      </c>
      <c r="O2458" s="68"/>
      <c r="P2458" s="67">
        <v>5694</v>
      </c>
      <c r="Q2458" s="68"/>
      <c r="R2458" s="69"/>
      <c r="S2458" s="69"/>
      <c r="T2458" s="69"/>
      <c r="U2458" s="69"/>
      <c r="V2458" s="69"/>
      <c r="W2458" s="68"/>
      <c r="X2458" s="70"/>
      <c r="Y2458" s="70"/>
      <c r="Z2458" s="70"/>
      <c r="AA2458" s="70"/>
      <c r="AB2458" s="70"/>
      <c r="AC2458" s="68"/>
      <c r="AD2458" s="71"/>
      <c r="AE2458" s="71"/>
      <c r="AF2458" s="71"/>
      <c r="AG2458" s="71"/>
      <c r="AH2458" s="71"/>
      <c r="AI2458" s="68"/>
      <c r="AJ2458" s="214">
        <v>2.0829999999999999E-4</v>
      </c>
      <c r="AK2458" s="214">
        <v>1.724</v>
      </c>
      <c r="AL2458" s="214">
        <v>4</v>
      </c>
      <c r="AM2458" s="214">
        <v>1.392796E-3</v>
      </c>
      <c r="AN2458" s="68"/>
      <c r="AO2458" s="67"/>
      <c r="AP2458" s="67"/>
      <c r="AQ2458" s="67"/>
      <c r="AR2458" s="67"/>
      <c r="AS2458" s="67"/>
      <c r="AT2458" s="68"/>
      <c r="AU2458" s="49"/>
      <c r="AV2458" s="50"/>
    </row>
    <row r="2459" spans="1:48" ht="12.75" customHeight="1" x14ac:dyDescent="0.25">
      <c r="A2459" s="72" t="s">
        <v>20</v>
      </c>
      <c r="B2459" s="43" t="s">
        <v>2240</v>
      </c>
      <c r="C2459" s="44" t="s">
        <v>2617</v>
      </c>
      <c r="D2459" s="45">
        <f>MROUND(MID($C2459,6,3)/Basis!$E$3,0.5)</f>
        <v>19.5</v>
      </c>
      <c r="E2459" s="45">
        <f>MROUND(MID($C2459,9,3)/Basis!$E$3,0.5)</f>
        <v>118</v>
      </c>
      <c r="F2459" s="124" t="s">
        <v>2945</v>
      </c>
      <c r="G2459" s="45">
        <f>ROUND((ROUNDDOWN($F2459/5,0)*5+1.8)/Basis!$E$3,1)</f>
        <v>8.6</v>
      </c>
      <c r="H2459" s="120">
        <f>ROUND($P2459*Basis!$E$2*((TaH-TrH)/LN(1/µ)/Basis!$E$7)^$N2459*$AA$4*Glycol,0)</f>
        <v>15778</v>
      </c>
      <c r="I2459" s="83">
        <f>ROUND(H2459/(MID($C2459,9,3)/Basis!$E$3/Basis!$E$9)*Basis!$E$11,0)</f>
        <v>1603</v>
      </c>
      <c r="J2459" s="123">
        <f>IF(Basis!$E$1=1,ROUND(H2459/((TaH-TrH)*1.163)/3600,3),ROUND(H2459/(500*(TaH-TrH)),2))</f>
        <v>1.58</v>
      </c>
      <c r="K2459" s="84"/>
      <c r="L2459" s="177">
        <f>CHOOSE(Basis!$E$1,((AJ2459*(J2459*3600/Basis!$E$5)^AK2459*(((MID(C2459,9,3)*10)-144)/1000)*AL2459+AM2459*(J2459*3600/Basis!$E$5)^2)*0.0098)/Basis!$E$10,((AJ2459*(J2459/Basis!$E$5)^AK2459*(((MID(C2459,9,3)*10)-144)/1000)*AL2459+AM2459*(J2459/Basis!$E$5)^2)*0.0098)/Basis!$E$10)</f>
        <v>0.21834711215546868</v>
      </c>
      <c r="M2459" s="85"/>
      <c r="N2459" s="109">
        <v>1.373</v>
      </c>
      <c r="O2459" s="68"/>
      <c r="P2459" s="67">
        <v>7275</v>
      </c>
      <c r="Q2459" s="68"/>
      <c r="R2459" s="69"/>
      <c r="S2459" s="69"/>
      <c r="T2459" s="69"/>
      <c r="U2459" s="69"/>
      <c r="V2459" s="69"/>
      <c r="W2459" s="68"/>
      <c r="X2459" s="70"/>
      <c r="Y2459" s="70"/>
      <c r="Z2459" s="70"/>
      <c r="AA2459" s="70"/>
      <c r="AB2459" s="70"/>
      <c r="AC2459" s="68"/>
      <c r="AD2459" s="71"/>
      <c r="AE2459" s="71"/>
      <c r="AF2459" s="71"/>
      <c r="AG2459" s="71"/>
      <c r="AH2459" s="71"/>
      <c r="AI2459" s="68"/>
      <c r="AJ2459" s="214">
        <v>1.2760000000000001E-4</v>
      </c>
      <c r="AK2459" s="214">
        <v>1.7219</v>
      </c>
      <c r="AL2459" s="214">
        <v>2</v>
      </c>
      <c r="AM2459" s="214">
        <v>3.76611E-4</v>
      </c>
      <c r="AN2459" s="68"/>
      <c r="AO2459" s="67"/>
      <c r="AP2459" s="67"/>
      <c r="AQ2459" s="67"/>
      <c r="AR2459" s="67"/>
      <c r="AS2459" s="67"/>
      <c r="AT2459" s="68"/>
      <c r="AU2459" s="49"/>
      <c r="AV2459" s="50"/>
    </row>
    <row r="2460" spans="1:48" ht="12.75" customHeight="1" x14ac:dyDescent="0.25">
      <c r="A2460" s="72" t="s">
        <v>20</v>
      </c>
      <c r="B2460" s="43" t="s">
        <v>2240</v>
      </c>
      <c r="C2460" s="44" t="s">
        <v>2618</v>
      </c>
      <c r="D2460" s="45">
        <f>MROUND(MID($C2460,6,3)/Basis!$E$3,0.5)</f>
        <v>19.5</v>
      </c>
      <c r="E2460" s="45">
        <f>MROUND(MID($C2460,9,3)/Basis!$E$3,0.5)</f>
        <v>118</v>
      </c>
      <c r="F2460" s="124" t="s">
        <v>2948</v>
      </c>
      <c r="G2460" s="45">
        <f>ROUND((ROUNDDOWN($F2460/5,0)*5+1.8)/Basis!$E$3,1)</f>
        <v>8.6</v>
      </c>
      <c r="H2460" s="120">
        <f>ROUND($P2460*Basis!$E$2*((TaH-TrH)/LN(1/µ)/Basis!$E$7)^$N2460*$AA$4*Glycol,0)</f>
        <v>16190</v>
      </c>
      <c r="I2460" s="83">
        <f>ROUND(H2460/(MID($C2460,9,3)/Basis!$E$3/Basis!$E$9)*Basis!$E$11,0)</f>
        <v>1645</v>
      </c>
      <c r="J2460" s="123">
        <f>IF(Basis!$E$1=1,ROUND(H2460/((TaH-TrH)*1.163)/3600,3),ROUND(H2460/(500*(TaH-TrH)),2))</f>
        <v>1.62</v>
      </c>
      <c r="K2460" s="84"/>
      <c r="L2460" s="177">
        <f>CHOOSE(Basis!$E$1,((AJ2460*(J2460*3600/Basis!$E$5)^AK2460*(((MID(C2460,9,3)*10)-144)/1000)*AL2460+AM2460*(J2460*3600/Basis!$E$5)^2)*0.0098)/Basis!$E$10,((AJ2460*(J2460/Basis!$E$5)^AK2460*(((MID(C2460,9,3)*10)-144)/1000)*AL2460+AM2460*(J2460/Basis!$E$5)^2)*0.0098)/Basis!$E$10)</f>
        <v>0.35241002840734614</v>
      </c>
      <c r="M2460" s="85"/>
      <c r="N2460" s="110">
        <v>1.4850000000000001</v>
      </c>
      <c r="O2460" s="74"/>
      <c r="P2460" s="73">
        <v>7746</v>
      </c>
      <c r="Q2460" s="74"/>
      <c r="R2460" s="75"/>
      <c r="S2460" s="75"/>
      <c r="T2460" s="75"/>
      <c r="U2460" s="75"/>
      <c r="V2460" s="75"/>
      <c r="W2460" s="74"/>
      <c r="X2460" s="76"/>
      <c r="Y2460" s="76"/>
      <c r="Z2460" s="76"/>
      <c r="AA2460" s="76"/>
      <c r="AB2460" s="76"/>
      <c r="AC2460" s="74"/>
      <c r="AD2460" s="77"/>
      <c r="AE2460" s="77"/>
      <c r="AF2460" s="77"/>
      <c r="AG2460" s="77"/>
      <c r="AH2460" s="77"/>
      <c r="AI2460" s="68"/>
      <c r="AJ2460" s="213">
        <v>1.2760000000000001E-4</v>
      </c>
      <c r="AK2460" s="213">
        <v>1.7219</v>
      </c>
      <c r="AL2460" s="213">
        <v>4</v>
      </c>
      <c r="AM2460" s="213">
        <v>5.1420100000000005E-4</v>
      </c>
      <c r="AN2460" s="74"/>
      <c r="AO2460" s="73"/>
      <c r="AP2460" s="73"/>
      <c r="AQ2460" s="73"/>
      <c r="AR2460" s="73"/>
      <c r="AS2460" s="73"/>
      <c r="AT2460" s="74"/>
      <c r="AU2460" s="47"/>
      <c r="AV2460" s="48"/>
    </row>
    <row r="2461" spans="1:48" ht="12.75" customHeight="1" x14ac:dyDescent="0.25">
      <c r="A2461" s="72" t="s">
        <v>20</v>
      </c>
      <c r="B2461" s="43" t="s">
        <v>2240</v>
      </c>
      <c r="C2461" s="44" t="s">
        <v>2619</v>
      </c>
      <c r="D2461" s="45">
        <f>MROUND(MID($C2461,6,3)/Basis!$E$3,0.5)</f>
        <v>23.5</v>
      </c>
      <c r="E2461" s="45">
        <f>MROUND(MID($C2461,9,3)/Basis!$E$3,0.5)</f>
        <v>15.5</v>
      </c>
      <c r="F2461" s="124" t="s">
        <v>2943</v>
      </c>
      <c r="G2461" s="45">
        <f>ROUND((ROUNDDOWN($F2461/5,0)*5+1.8)/Basis!$E$3,1)</f>
        <v>4.5999999999999996</v>
      </c>
      <c r="H2461" s="120">
        <f>ROUND($P2461*Basis!$E$2*((TaH-TrH)/LN(1/µ)/Basis!$E$7)^$N2461*$AA$4*Glycol,0)</f>
        <v>1014</v>
      </c>
      <c r="I2461" s="83">
        <f>ROUND(H2461/(MID($C2461,9,3)/Basis!$E$3/Basis!$E$9)*Basis!$E$11,0)</f>
        <v>773</v>
      </c>
      <c r="J2461" s="123">
        <f>IF(Basis!$E$1=1,ROUND(H2461/((TaH-TrH)*1.163)/3600,3),ROUND(H2461/(500*(TaH-TrH)),2))</f>
        <v>0.1</v>
      </c>
      <c r="K2461" s="84"/>
      <c r="L2461" s="177">
        <f>CHOOSE(Basis!$E$1,((AJ2461*(J2461*3600/Basis!$E$5)^AK2461*(((MID(C2461,9,3)*10)-144)/1000)*AL2461+AM2461*(J2461*3600/Basis!$E$5)^2)*0.0098)/Basis!$E$10,((AJ2461*(J2461/Basis!$E$5)^AK2461*(((MID(C2461,9,3)*10)-144)/1000)*AL2461+AM2461*(J2461/Basis!$E$5)^2)*0.0098)/Basis!$E$10)</f>
        <v>7.6924166468171412E-4</v>
      </c>
      <c r="M2461" s="85"/>
      <c r="N2461" s="110">
        <v>1.3759999999999999</v>
      </c>
      <c r="O2461" s="74"/>
      <c r="P2461" s="73">
        <v>468</v>
      </c>
      <c r="Q2461" s="74"/>
      <c r="R2461" s="75"/>
      <c r="S2461" s="75"/>
      <c r="T2461" s="75"/>
      <c r="U2461" s="75"/>
      <c r="V2461" s="75"/>
      <c r="W2461" s="74"/>
      <c r="X2461" s="76"/>
      <c r="Y2461" s="76"/>
      <c r="Z2461" s="76"/>
      <c r="AA2461" s="76"/>
      <c r="AB2461" s="76"/>
      <c r="AC2461" s="74"/>
      <c r="AD2461" s="77"/>
      <c r="AE2461" s="77"/>
      <c r="AF2461" s="77"/>
      <c r="AG2461" s="77"/>
      <c r="AH2461" s="77"/>
      <c r="AI2461" s="68"/>
      <c r="AJ2461" s="213">
        <v>3.9689999999999994E-4</v>
      </c>
      <c r="AK2461" s="213">
        <v>1.7345999999999999</v>
      </c>
      <c r="AL2461" s="213">
        <v>2</v>
      </c>
      <c r="AM2461" s="213">
        <v>3.6734700000000002E-4</v>
      </c>
      <c r="AN2461" s="74"/>
      <c r="AO2461" s="73"/>
      <c r="AP2461" s="73"/>
      <c r="AQ2461" s="73"/>
      <c r="AR2461" s="73"/>
      <c r="AS2461" s="73"/>
      <c r="AT2461" s="74"/>
      <c r="AU2461" s="47"/>
      <c r="AV2461" s="48"/>
    </row>
    <row r="2462" spans="1:48" ht="12.75" customHeight="1" x14ac:dyDescent="0.25">
      <c r="A2462" s="72" t="s">
        <v>20</v>
      </c>
      <c r="B2462" s="43" t="s">
        <v>2240</v>
      </c>
      <c r="C2462" s="44" t="s">
        <v>2620</v>
      </c>
      <c r="D2462" s="45">
        <f>MROUND(MID($C2462,6,3)/Basis!$E$3,0.5)</f>
        <v>23.5</v>
      </c>
      <c r="E2462" s="45">
        <f>MROUND(MID($C2462,9,3)/Basis!$E$3,0.5)</f>
        <v>15.5</v>
      </c>
      <c r="F2462" s="124" t="s">
        <v>2946</v>
      </c>
      <c r="G2462" s="45">
        <f>ROUND((ROUNDDOWN($F2462/5,0)*5+1.8)/Basis!$E$3,1)</f>
        <v>4.5999999999999996</v>
      </c>
      <c r="H2462" s="120">
        <f>ROUND($P2462*Basis!$E$2*((TaH-TrH)/LN(1/µ)/Basis!$E$7)^$N2462*$AA$4*Glycol,0)</f>
        <v>1270</v>
      </c>
      <c r="I2462" s="83">
        <f>ROUND(H2462/(MID($C2462,9,3)/Basis!$E$3/Basis!$E$9)*Basis!$E$11,0)</f>
        <v>968</v>
      </c>
      <c r="J2462" s="123">
        <f>IF(Basis!$E$1=1,ROUND(H2462/((TaH-TrH)*1.163)/3600,3),ROUND(H2462/(500*(TaH-TrH)),2))</f>
        <v>0.13</v>
      </c>
      <c r="K2462" s="84"/>
      <c r="L2462" s="177">
        <f>CHOOSE(Basis!$E$1,((AJ2462*(J2462*3600/Basis!$E$5)^AK2462*(((MID(C2462,9,3)*10)-144)/1000)*AL2462+AM2462*(J2462*3600/Basis!$E$5)^2)*0.0098)/Basis!$E$10,((AJ2462*(J2462/Basis!$E$5)^AK2462*(((MID(C2462,9,3)*10)-144)/1000)*AL2462+AM2462*(J2462/Basis!$E$5)^2)*0.0098)/Basis!$E$10)</f>
        <v>2.1087760791049666E-3</v>
      </c>
      <c r="M2462" s="85"/>
      <c r="N2462" s="109">
        <v>1.4370000000000001</v>
      </c>
      <c r="O2462" s="68"/>
      <c r="P2462" s="67">
        <v>598</v>
      </c>
      <c r="Q2462" s="68"/>
      <c r="R2462" s="69"/>
      <c r="S2462" s="69"/>
      <c r="T2462" s="69"/>
      <c r="U2462" s="69"/>
      <c r="V2462" s="69"/>
      <c r="W2462" s="68"/>
      <c r="X2462" s="70"/>
      <c r="Y2462" s="70"/>
      <c r="Z2462" s="70"/>
      <c r="AA2462" s="70"/>
      <c r="AB2462" s="70"/>
      <c r="AC2462" s="68"/>
      <c r="AD2462" s="71"/>
      <c r="AE2462" s="71"/>
      <c r="AF2462" s="71"/>
      <c r="AG2462" s="71"/>
      <c r="AH2462" s="71"/>
      <c r="AI2462" s="68"/>
      <c r="AJ2462" s="214">
        <v>3.9689999999999994E-4</v>
      </c>
      <c r="AK2462" s="214">
        <v>1.7345999999999999</v>
      </c>
      <c r="AL2462" s="214">
        <v>4</v>
      </c>
      <c r="AM2462" s="214">
        <v>5.7428799999999995E-4</v>
      </c>
      <c r="AN2462" s="68"/>
      <c r="AO2462" s="67"/>
      <c r="AP2462" s="67"/>
      <c r="AQ2462" s="67"/>
      <c r="AR2462" s="67"/>
      <c r="AS2462" s="67"/>
      <c r="AT2462" s="68"/>
      <c r="AU2462" s="49"/>
      <c r="AV2462" s="50"/>
    </row>
    <row r="2463" spans="1:48" ht="12.75" customHeight="1" x14ac:dyDescent="0.25">
      <c r="A2463" s="72" t="s">
        <v>20</v>
      </c>
      <c r="B2463" s="43" t="s">
        <v>2240</v>
      </c>
      <c r="C2463" s="44" t="s">
        <v>2621</v>
      </c>
      <c r="D2463" s="45">
        <f>MROUND(MID($C2463,6,3)/Basis!$E$3,0.5)</f>
        <v>23.5</v>
      </c>
      <c r="E2463" s="45">
        <f>MROUND(MID($C2463,9,3)/Basis!$E$3,0.5)</f>
        <v>15.5</v>
      </c>
      <c r="F2463" s="124" t="s">
        <v>2944</v>
      </c>
      <c r="G2463" s="45">
        <f>ROUND((ROUNDDOWN($F2463/5,0)*5+1.8)/Basis!$E$3,1)</f>
        <v>6.6</v>
      </c>
      <c r="H2463" s="120">
        <f>ROUND($P2463*Basis!$E$2*((TaH-TrH)/LN(1/µ)/Basis!$E$7)^$N2463*$AA$4*Glycol,0)</f>
        <v>1624</v>
      </c>
      <c r="I2463" s="83">
        <f>ROUND(H2463/(MID($C2463,9,3)/Basis!$E$3/Basis!$E$9)*Basis!$E$11,0)</f>
        <v>1237</v>
      </c>
      <c r="J2463" s="123">
        <f>IF(Basis!$E$1=1,ROUND(H2463/((TaH-TrH)*1.163)/3600,3),ROUND(H2463/(500*(TaH-TrH)),2))</f>
        <v>0.16</v>
      </c>
      <c r="K2463" s="84"/>
      <c r="L2463" s="177">
        <f>CHOOSE(Basis!$E$1,((AJ2463*(J2463*3600/Basis!$E$5)^AK2463*(((MID(C2463,9,3)*10)-144)/1000)*AL2463+AM2463*(J2463*3600/Basis!$E$5)^2)*0.0098)/Basis!$E$10,((AJ2463*(J2463/Basis!$E$5)^AK2463*(((MID(C2463,9,3)*10)-144)/1000)*AL2463+AM2463*(J2463/Basis!$E$5)^2)*0.0098)/Basis!$E$10)</f>
        <v>2.1649901155185668E-3</v>
      </c>
      <c r="M2463" s="85"/>
      <c r="N2463" s="110">
        <v>1.361</v>
      </c>
      <c r="O2463" s="74"/>
      <c r="P2463" s="73">
        <v>746</v>
      </c>
      <c r="Q2463" s="74"/>
      <c r="R2463" s="75"/>
      <c r="S2463" s="75"/>
      <c r="T2463" s="75"/>
      <c r="U2463" s="75"/>
      <c r="V2463" s="75"/>
      <c r="W2463" s="74"/>
      <c r="X2463" s="76"/>
      <c r="Y2463" s="76"/>
      <c r="Z2463" s="76"/>
      <c r="AA2463" s="76"/>
      <c r="AB2463" s="76"/>
      <c r="AC2463" s="74"/>
      <c r="AD2463" s="77"/>
      <c r="AE2463" s="77"/>
      <c r="AF2463" s="77"/>
      <c r="AG2463" s="77"/>
      <c r="AH2463" s="77"/>
      <c r="AI2463" s="68"/>
      <c r="AJ2463" s="213">
        <v>2.0829999999999999E-4</v>
      </c>
      <c r="AK2463" s="213">
        <v>1.724</v>
      </c>
      <c r="AL2463" s="213">
        <v>2</v>
      </c>
      <c r="AM2463" s="213">
        <v>4.6182900000000003E-4</v>
      </c>
      <c r="AN2463" s="74"/>
      <c r="AO2463" s="73"/>
      <c r="AP2463" s="73"/>
      <c r="AQ2463" s="73"/>
      <c r="AR2463" s="73"/>
      <c r="AS2463" s="73"/>
      <c r="AT2463" s="74"/>
      <c r="AU2463" s="47"/>
      <c r="AV2463" s="48"/>
    </row>
    <row r="2464" spans="1:48" ht="12.75" customHeight="1" x14ac:dyDescent="0.25">
      <c r="A2464" s="72" t="s">
        <v>20</v>
      </c>
      <c r="B2464" s="43" t="s">
        <v>2240</v>
      </c>
      <c r="C2464" s="44" t="s">
        <v>2622</v>
      </c>
      <c r="D2464" s="45">
        <f>MROUND(MID($C2464,6,3)/Basis!$E$3,0.5)</f>
        <v>23.5</v>
      </c>
      <c r="E2464" s="45">
        <f>MROUND(MID($C2464,9,3)/Basis!$E$3,0.5)</f>
        <v>15.5</v>
      </c>
      <c r="F2464" s="124" t="s">
        <v>2947</v>
      </c>
      <c r="G2464" s="45">
        <f>ROUND((ROUNDDOWN($F2464/5,0)*5+1.8)/Basis!$E$3,1)</f>
        <v>6.6</v>
      </c>
      <c r="H2464" s="120">
        <f>ROUND($P2464*Basis!$E$2*((TaH-TrH)/LN(1/µ)/Basis!$E$7)^$N2464*$AA$4*Glycol,0)</f>
        <v>1753</v>
      </c>
      <c r="I2464" s="83">
        <f>ROUND(H2464/(MID($C2464,9,3)/Basis!$E$3/Basis!$E$9)*Basis!$E$11,0)</f>
        <v>1336</v>
      </c>
      <c r="J2464" s="123">
        <f>IF(Basis!$E$1=1,ROUND(H2464/((TaH-TrH)*1.163)/3600,3),ROUND(H2464/(500*(TaH-TrH)),2))</f>
        <v>0.18</v>
      </c>
      <c r="K2464" s="84"/>
      <c r="L2464" s="177">
        <f>CHOOSE(Basis!$E$1,((AJ2464*(J2464*3600/Basis!$E$5)^AK2464*(((MID(C2464,9,3)*10)-144)/1000)*AL2464+AM2464*(J2464*3600/Basis!$E$5)^2)*0.0098)/Basis!$E$10,((AJ2464*(J2464/Basis!$E$5)^AK2464*(((MID(C2464,9,3)*10)-144)/1000)*AL2464+AM2464*(J2464/Basis!$E$5)^2)*0.0098)/Basis!$E$10)</f>
        <v>8.0300966484345999E-3</v>
      </c>
      <c r="M2464" s="85"/>
      <c r="N2464" s="109">
        <v>1.468</v>
      </c>
      <c r="O2464" s="68"/>
      <c r="P2464" s="67">
        <v>834</v>
      </c>
      <c r="Q2464" s="68"/>
      <c r="R2464" s="69"/>
      <c r="S2464" s="69"/>
      <c r="T2464" s="69"/>
      <c r="U2464" s="69"/>
      <c r="V2464" s="69"/>
      <c r="W2464" s="68"/>
      <c r="X2464" s="70"/>
      <c r="Y2464" s="70"/>
      <c r="Z2464" s="70"/>
      <c r="AA2464" s="70"/>
      <c r="AB2464" s="70"/>
      <c r="AC2464" s="68"/>
      <c r="AD2464" s="71"/>
      <c r="AE2464" s="71"/>
      <c r="AF2464" s="71"/>
      <c r="AG2464" s="71"/>
      <c r="AH2464" s="71"/>
      <c r="AI2464" s="68"/>
      <c r="AJ2464" s="214">
        <v>2.0829999999999999E-4</v>
      </c>
      <c r="AK2464" s="214">
        <v>1.724</v>
      </c>
      <c r="AL2464" s="214">
        <v>4</v>
      </c>
      <c r="AM2464" s="214">
        <v>1.392796E-3</v>
      </c>
      <c r="AN2464" s="68"/>
      <c r="AO2464" s="67"/>
      <c r="AP2464" s="67"/>
      <c r="AQ2464" s="67"/>
      <c r="AR2464" s="67"/>
      <c r="AS2464" s="67"/>
      <c r="AT2464" s="68"/>
      <c r="AU2464" s="49"/>
      <c r="AV2464" s="50"/>
    </row>
    <row r="2465" spans="1:48" ht="12.75" customHeight="1" x14ac:dyDescent="0.25">
      <c r="A2465" s="72" t="s">
        <v>20</v>
      </c>
      <c r="B2465" s="43" t="s">
        <v>2240</v>
      </c>
      <c r="C2465" s="44" t="s">
        <v>2623</v>
      </c>
      <c r="D2465" s="45">
        <f>MROUND(MID($C2465,6,3)/Basis!$E$3,0.5)</f>
        <v>23.5</v>
      </c>
      <c r="E2465" s="45">
        <f>MROUND(MID($C2465,9,3)/Basis!$E$3,0.5)</f>
        <v>15.5</v>
      </c>
      <c r="F2465" s="124" t="s">
        <v>2945</v>
      </c>
      <c r="G2465" s="45">
        <f>ROUND((ROUNDDOWN($F2465/5,0)*5+1.8)/Basis!$E$3,1)</f>
        <v>8.6</v>
      </c>
      <c r="H2465" s="120">
        <f>ROUND($P2465*Basis!$E$2*((TaH-TrH)/LN(1/µ)/Basis!$E$7)^$N2465*$AA$4*Glycol,0)</f>
        <v>2271</v>
      </c>
      <c r="I2465" s="83">
        <f>ROUND(H2465/(MID($C2465,9,3)/Basis!$E$3/Basis!$E$9)*Basis!$E$11,0)</f>
        <v>1731</v>
      </c>
      <c r="J2465" s="123">
        <f>IF(Basis!$E$1=1,ROUND(H2465/((TaH-TrH)*1.163)/3600,3),ROUND(H2465/(500*(TaH-TrH)),2))</f>
        <v>0.23</v>
      </c>
      <c r="K2465" s="84"/>
      <c r="L2465" s="177">
        <f>CHOOSE(Basis!$E$1,((AJ2465*(J2465*3600/Basis!$E$5)^AK2465*(((MID(C2465,9,3)*10)-144)/1000)*AL2465+AM2465*(J2465*3600/Basis!$E$5)^2)*0.0098)/Basis!$E$10,((AJ2465*(J2465/Basis!$E$5)^AK2465*(((MID(C2465,9,3)*10)-144)/1000)*AL2465+AM2465*(J2465/Basis!$E$5)^2)*0.0098)/Basis!$E$10)</f>
        <v>3.5543853752678677E-3</v>
      </c>
      <c r="M2465" s="85"/>
      <c r="N2465" s="110">
        <v>1.361</v>
      </c>
      <c r="O2465" s="74"/>
      <c r="P2465" s="73">
        <v>1043</v>
      </c>
      <c r="Q2465" s="74"/>
      <c r="R2465" s="75"/>
      <c r="S2465" s="75"/>
      <c r="T2465" s="75"/>
      <c r="U2465" s="75"/>
      <c r="V2465" s="75"/>
      <c r="W2465" s="74"/>
      <c r="X2465" s="76"/>
      <c r="Y2465" s="76"/>
      <c r="Z2465" s="76"/>
      <c r="AA2465" s="76"/>
      <c r="AB2465" s="76"/>
      <c r="AC2465" s="74"/>
      <c r="AD2465" s="77"/>
      <c r="AE2465" s="77"/>
      <c r="AF2465" s="77"/>
      <c r="AG2465" s="77"/>
      <c r="AH2465" s="77"/>
      <c r="AI2465" s="68"/>
      <c r="AJ2465" s="214">
        <v>1.2760000000000001E-4</v>
      </c>
      <c r="AK2465" s="214">
        <v>1.7219</v>
      </c>
      <c r="AL2465" s="214">
        <v>2</v>
      </c>
      <c r="AM2465" s="214">
        <v>3.76611E-4</v>
      </c>
      <c r="AN2465" s="74"/>
      <c r="AO2465" s="73"/>
      <c r="AP2465" s="73"/>
      <c r="AQ2465" s="73"/>
      <c r="AR2465" s="73"/>
      <c r="AS2465" s="73"/>
      <c r="AT2465" s="74"/>
      <c r="AU2465" s="47"/>
      <c r="AV2465" s="48"/>
    </row>
    <row r="2466" spans="1:48" ht="12.75" customHeight="1" x14ac:dyDescent="0.25">
      <c r="A2466" s="72" t="s">
        <v>20</v>
      </c>
      <c r="B2466" s="43" t="s">
        <v>2240</v>
      </c>
      <c r="C2466" s="44" t="s">
        <v>2624</v>
      </c>
      <c r="D2466" s="45">
        <f>MROUND(MID($C2466,6,3)/Basis!$E$3,0.5)</f>
        <v>23.5</v>
      </c>
      <c r="E2466" s="45">
        <f>MROUND(MID($C2466,9,3)/Basis!$E$3,0.5)</f>
        <v>15.5</v>
      </c>
      <c r="F2466" s="124" t="s">
        <v>2948</v>
      </c>
      <c r="G2466" s="45">
        <f>ROUND((ROUNDDOWN($F2466/5,0)*5+1.8)/Basis!$E$3,1)</f>
        <v>8.6</v>
      </c>
      <c r="H2466" s="120">
        <f>ROUND($P2466*Basis!$E$2*((TaH-TrH)/LN(1/µ)/Basis!$E$7)^$N2466*$AA$4*Glycol,0)</f>
        <v>2404</v>
      </c>
      <c r="I2466" s="83">
        <f>ROUND(H2466/(MID($C2466,9,3)/Basis!$E$3/Basis!$E$9)*Basis!$E$11,0)</f>
        <v>1832</v>
      </c>
      <c r="J2466" s="123">
        <f>IF(Basis!$E$1=1,ROUND(H2466/((TaH-TrH)*1.163)/3600,3),ROUND(H2466/(500*(TaH-TrH)),2))</f>
        <v>0.24</v>
      </c>
      <c r="K2466" s="84"/>
      <c r="L2466" s="177">
        <f>CHOOSE(Basis!$E$1,((AJ2466*(J2466*3600/Basis!$E$5)^AK2466*(((MID(C2466,9,3)*10)-144)/1000)*AL2466+AM2466*(J2466*3600/Basis!$E$5)^2)*0.0098)/Basis!$E$10,((AJ2466*(J2466/Basis!$E$5)^AK2466*(((MID(C2466,9,3)*10)-144)/1000)*AL2466+AM2466*(J2466/Basis!$E$5)^2)*0.0098)/Basis!$E$10)</f>
        <v>5.4132082200726147E-3</v>
      </c>
      <c r="M2466" s="85"/>
      <c r="N2466" s="109">
        <v>1.4930000000000001</v>
      </c>
      <c r="O2466" s="68"/>
      <c r="P2466" s="67">
        <v>1153</v>
      </c>
      <c r="Q2466" s="68"/>
      <c r="R2466" s="69"/>
      <c r="S2466" s="69"/>
      <c r="T2466" s="69"/>
      <c r="U2466" s="69"/>
      <c r="V2466" s="69"/>
      <c r="W2466" s="68"/>
      <c r="X2466" s="70"/>
      <c r="Y2466" s="70"/>
      <c r="Z2466" s="70"/>
      <c r="AA2466" s="70"/>
      <c r="AB2466" s="70"/>
      <c r="AC2466" s="68"/>
      <c r="AD2466" s="71"/>
      <c r="AE2466" s="71"/>
      <c r="AF2466" s="71"/>
      <c r="AG2466" s="71"/>
      <c r="AH2466" s="71"/>
      <c r="AI2466" s="68"/>
      <c r="AJ2466" s="214">
        <v>1.2760000000000001E-4</v>
      </c>
      <c r="AK2466" s="214">
        <v>1.7219</v>
      </c>
      <c r="AL2466" s="214">
        <v>4</v>
      </c>
      <c r="AM2466" s="214">
        <v>5.1420100000000005E-4</v>
      </c>
      <c r="AN2466" s="68"/>
      <c r="AO2466" s="67"/>
      <c r="AP2466" s="67"/>
      <c r="AQ2466" s="67"/>
      <c r="AR2466" s="67"/>
      <c r="AS2466" s="67"/>
      <c r="AT2466" s="68"/>
      <c r="AU2466" s="49"/>
      <c r="AV2466" s="50"/>
    </row>
    <row r="2467" spans="1:48" ht="12.75" customHeight="1" x14ac:dyDescent="0.25">
      <c r="A2467" s="72" t="s">
        <v>20</v>
      </c>
      <c r="B2467" s="43" t="s">
        <v>2240</v>
      </c>
      <c r="C2467" s="44" t="s">
        <v>2625</v>
      </c>
      <c r="D2467" s="45">
        <f>MROUND(MID($C2467,6,3)/Basis!$E$3,0.5)</f>
        <v>23.5</v>
      </c>
      <c r="E2467" s="45">
        <f>MROUND(MID($C2467,9,3)/Basis!$E$3,0.5)</f>
        <v>19.5</v>
      </c>
      <c r="F2467" s="124" t="s">
        <v>2943</v>
      </c>
      <c r="G2467" s="45">
        <f>ROUND((ROUNDDOWN($F2467/5,0)*5+1.8)/Basis!$E$3,1)</f>
        <v>4.5999999999999996</v>
      </c>
      <c r="H2467" s="120">
        <f>ROUND($P2467*Basis!$E$2*((TaH-TrH)/LN(1/µ)/Basis!$E$7)^$N2467*$AA$4*Glycol,0)</f>
        <v>1268</v>
      </c>
      <c r="I2467" s="83">
        <f>ROUND(H2467/(MID($C2467,9,3)/Basis!$E$3/Basis!$E$9)*Basis!$E$11,0)</f>
        <v>773</v>
      </c>
      <c r="J2467" s="123">
        <f>IF(Basis!$E$1=1,ROUND(H2467/((TaH-TrH)*1.163)/3600,3),ROUND(H2467/(500*(TaH-TrH)),2))</f>
        <v>0.13</v>
      </c>
      <c r="K2467" s="84"/>
      <c r="L2467" s="177">
        <f>CHOOSE(Basis!$E$1,((AJ2467*(J2467*3600/Basis!$E$5)^AK2467*(((MID(C2467,9,3)*10)-144)/1000)*AL2467+AM2467*(J2467*3600/Basis!$E$5)^2)*0.0098)/Basis!$E$10,((AJ2467*(J2467/Basis!$E$5)^AK2467*(((MID(C2467,9,3)*10)-144)/1000)*AL2467+AM2467*(J2467/Basis!$E$5)^2)*0.0098)/Basis!$E$10)</f>
        <v>1.3751481461631344E-3</v>
      </c>
      <c r="M2467" s="85"/>
      <c r="N2467" s="110">
        <v>1.3759999999999999</v>
      </c>
      <c r="O2467" s="74"/>
      <c r="P2467" s="73">
        <v>585</v>
      </c>
      <c r="Q2467" s="74"/>
      <c r="R2467" s="75"/>
      <c r="S2467" s="75"/>
      <c r="T2467" s="75"/>
      <c r="U2467" s="75"/>
      <c r="V2467" s="75"/>
      <c r="W2467" s="74"/>
      <c r="X2467" s="76"/>
      <c r="Y2467" s="76"/>
      <c r="Z2467" s="76"/>
      <c r="AA2467" s="76"/>
      <c r="AB2467" s="76"/>
      <c r="AC2467" s="74"/>
      <c r="AD2467" s="77"/>
      <c r="AE2467" s="77"/>
      <c r="AF2467" s="77"/>
      <c r="AG2467" s="77"/>
      <c r="AH2467" s="77"/>
      <c r="AI2467" s="68"/>
      <c r="AJ2467" s="213">
        <v>3.9689999999999994E-4</v>
      </c>
      <c r="AK2467" s="213">
        <v>1.7345999999999999</v>
      </c>
      <c r="AL2467" s="213">
        <v>2</v>
      </c>
      <c r="AM2467" s="213">
        <v>3.6734700000000002E-4</v>
      </c>
      <c r="AN2467" s="74"/>
      <c r="AO2467" s="73"/>
      <c r="AP2467" s="73"/>
      <c r="AQ2467" s="73"/>
      <c r="AR2467" s="73"/>
      <c r="AS2467" s="73"/>
      <c r="AT2467" s="74"/>
      <c r="AU2467" s="47"/>
      <c r="AV2467" s="48"/>
    </row>
    <row r="2468" spans="1:48" ht="12.75" customHeight="1" x14ac:dyDescent="0.25">
      <c r="A2468" s="72" t="s">
        <v>20</v>
      </c>
      <c r="B2468" s="43" t="s">
        <v>2240</v>
      </c>
      <c r="C2468" s="44" t="s">
        <v>2626</v>
      </c>
      <c r="D2468" s="45">
        <f>MROUND(MID($C2468,6,3)/Basis!$E$3,0.5)</f>
        <v>23.5</v>
      </c>
      <c r="E2468" s="45">
        <f>MROUND(MID($C2468,9,3)/Basis!$E$3,0.5)</f>
        <v>19.5</v>
      </c>
      <c r="F2468" s="124" t="s">
        <v>2946</v>
      </c>
      <c r="G2468" s="45">
        <f>ROUND((ROUNDDOWN($F2468/5,0)*5+1.8)/Basis!$E$3,1)</f>
        <v>4.5999999999999996</v>
      </c>
      <c r="H2468" s="120">
        <f>ROUND($P2468*Basis!$E$2*((TaH-TrH)/LN(1/µ)/Basis!$E$7)^$N2468*$AA$4*Glycol,0)</f>
        <v>1586</v>
      </c>
      <c r="I2468" s="83">
        <f>ROUND(H2468/(MID($C2468,9,3)/Basis!$E$3/Basis!$E$9)*Basis!$E$11,0)</f>
        <v>967</v>
      </c>
      <c r="J2468" s="123">
        <f>IF(Basis!$E$1=1,ROUND(H2468/((TaH-TrH)*1.163)/3600,3),ROUND(H2468/(500*(TaH-TrH)),2))</f>
        <v>0.16</v>
      </c>
      <c r="K2468" s="84"/>
      <c r="L2468" s="177">
        <f>CHOOSE(Basis!$E$1,((AJ2468*(J2468*3600/Basis!$E$5)^AK2468*(((MID(C2468,9,3)*10)-144)/1000)*AL2468+AM2468*(J2468*3600/Basis!$E$5)^2)*0.0098)/Basis!$E$10,((AJ2468*(J2468/Basis!$E$5)^AK2468*(((MID(C2468,9,3)*10)-144)/1000)*AL2468+AM2468*(J2468/Basis!$E$5)^2)*0.0098)/Basis!$E$10)</f>
        <v>3.4202219579976324E-3</v>
      </c>
      <c r="M2468" s="85"/>
      <c r="N2468" s="109">
        <v>1.4370000000000001</v>
      </c>
      <c r="O2468" s="68"/>
      <c r="P2468" s="67">
        <v>747</v>
      </c>
      <c r="Q2468" s="68"/>
      <c r="R2468" s="69"/>
      <c r="S2468" s="69"/>
      <c r="T2468" s="69"/>
      <c r="U2468" s="69"/>
      <c r="V2468" s="69"/>
      <c r="W2468" s="68"/>
      <c r="X2468" s="70"/>
      <c r="Y2468" s="70"/>
      <c r="Z2468" s="70"/>
      <c r="AA2468" s="70"/>
      <c r="AB2468" s="70"/>
      <c r="AC2468" s="68"/>
      <c r="AD2468" s="71"/>
      <c r="AE2468" s="71"/>
      <c r="AF2468" s="71"/>
      <c r="AG2468" s="71"/>
      <c r="AH2468" s="71"/>
      <c r="AI2468" s="68"/>
      <c r="AJ2468" s="214">
        <v>3.9689999999999994E-4</v>
      </c>
      <c r="AK2468" s="214">
        <v>1.7345999999999999</v>
      </c>
      <c r="AL2468" s="214">
        <v>4</v>
      </c>
      <c r="AM2468" s="214">
        <v>5.7428799999999995E-4</v>
      </c>
      <c r="AN2468" s="68"/>
      <c r="AO2468" s="67"/>
      <c r="AP2468" s="67"/>
      <c r="AQ2468" s="67"/>
      <c r="AR2468" s="67"/>
      <c r="AS2468" s="67"/>
      <c r="AT2468" s="68"/>
      <c r="AU2468" s="49"/>
      <c r="AV2468" s="50"/>
    </row>
    <row r="2469" spans="1:48" ht="12.75" customHeight="1" x14ac:dyDescent="0.25">
      <c r="A2469" s="72" t="s">
        <v>20</v>
      </c>
      <c r="B2469" s="43" t="s">
        <v>2240</v>
      </c>
      <c r="C2469" s="44" t="s">
        <v>2627</v>
      </c>
      <c r="D2469" s="45">
        <f>MROUND(MID($C2469,6,3)/Basis!$E$3,0.5)</f>
        <v>23.5</v>
      </c>
      <c r="E2469" s="45">
        <f>MROUND(MID($C2469,9,3)/Basis!$E$3,0.5)</f>
        <v>19.5</v>
      </c>
      <c r="F2469" s="124" t="s">
        <v>2944</v>
      </c>
      <c r="G2469" s="45">
        <f>ROUND((ROUNDDOWN($F2469/5,0)*5+1.8)/Basis!$E$3,1)</f>
        <v>6.6</v>
      </c>
      <c r="H2469" s="120">
        <f>ROUND($P2469*Basis!$E$2*((TaH-TrH)/LN(1/µ)/Basis!$E$7)^$N2469*$AA$4*Glycol,0)</f>
        <v>2032</v>
      </c>
      <c r="I2469" s="83">
        <f>ROUND(H2469/(MID($C2469,9,3)/Basis!$E$3/Basis!$E$9)*Basis!$E$11,0)</f>
        <v>1239</v>
      </c>
      <c r="J2469" s="123">
        <f>IF(Basis!$E$1=1,ROUND(H2469/((TaH-TrH)*1.163)/3600,3),ROUND(H2469/(500*(TaH-TrH)),2))</f>
        <v>0.2</v>
      </c>
      <c r="K2469" s="84"/>
      <c r="L2469" s="177">
        <f>CHOOSE(Basis!$E$1,((AJ2469*(J2469*3600/Basis!$E$5)^AK2469*(((MID(C2469,9,3)*10)-144)/1000)*AL2469+AM2469*(J2469*3600/Basis!$E$5)^2)*0.0098)/Basis!$E$10,((AJ2469*(J2469/Basis!$E$5)^AK2469*(((MID(C2469,9,3)*10)-144)/1000)*AL2469+AM2469*(J2469/Basis!$E$5)^2)*0.0098)/Basis!$E$10)</f>
        <v>3.4648945374411966E-3</v>
      </c>
      <c r="M2469" s="85"/>
      <c r="N2469" s="110">
        <v>1.361</v>
      </c>
      <c r="O2469" s="74"/>
      <c r="P2469" s="73">
        <v>933</v>
      </c>
      <c r="Q2469" s="74"/>
      <c r="R2469" s="75"/>
      <c r="S2469" s="75"/>
      <c r="T2469" s="75"/>
      <c r="U2469" s="75"/>
      <c r="V2469" s="75"/>
      <c r="W2469" s="74"/>
      <c r="X2469" s="76"/>
      <c r="Y2469" s="76"/>
      <c r="Z2469" s="76"/>
      <c r="AA2469" s="76"/>
      <c r="AB2469" s="76"/>
      <c r="AC2469" s="74"/>
      <c r="AD2469" s="77"/>
      <c r="AE2469" s="77"/>
      <c r="AF2469" s="77"/>
      <c r="AG2469" s="77"/>
      <c r="AH2469" s="77"/>
      <c r="AI2469" s="68"/>
      <c r="AJ2469" s="213">
        <v>2.0829999999999999E-4</v>
      </c>
      <c r="AK2469" s="213">
        <v>1.724</v>
      </c>
      <c r="AL2469" s="213">
        <v>2</v>
      </c>
      <c r="AM2469" s="213">
        <v>4.6182900000000003E-4</v>
      </c>
      <c r="AN2469" s="74"/>
      <c r="AO2469" s="73"/>
      <c r="AP2469" s="73"/>
      <c r="AQ2469" s="73"/>
      <c r="AR2469" s="73"/>
      <c r="AS2469" s="73"/>
      <c r="AT2469" s="74"/>
      <c r="AU2469" s="47"/>
      <c r="AV2469" s="48"/>
    </row>
    <row r="2470" spans="1:48" ht="12.75" customHeight="1" x14ac:dyDescent="0.25">
      <c r="A2470" s="72" t="s">
        <v>20</v>
      </c>
      <c r="B2470" s="43" t="s">
        <v>2240</v>
      </c>
      <c r="C2470" s="44" t="s">
        <v>2628</v>
      </c>
      <c r="D2470" s="45">
        <f>MROUND(MID($C2470,6,3)/Basis!$E$3,0.5)</f>
        <v>23.5</v>
      </c>
      <c r="E2470" s="45">
        <f>MROUND(MID($C2470,9,3)/Basis!$E$3,0.5)</f>
        <v>19.5</v>
      </c>
      <c r="F2470" s="124" t="s">
        <v>2947</v>
      </c>
      <c r="G2470" s="45">
        <f>ROUND((ROUNDDOWN($F2470/5,0)*5+1.8)/Basis!$E$3,1)</f>
        <v>6.6</v>
      </c>
      <c r="H2470" s="120">
        <f>ROUND($P2470*Basis!$E$2*((TaH-TrH)/LN(1/µ)/Basis!$E$7)^$N2470*$AA$4*Glycol,0)</f>
        <v>2190</v>
      </c>
      <c r="I2470" s="83">
        <f>ROUND(H2470/(MID($C2470,9,3)/Basis!$E$3/Basis!$E$9)*Basis!$E$11,0)</f>
        <v>1335</v>
      </c>
      <c r="J2470" s="123">
        <f>IF(Basis!$E$1=1,ROUND(H2470/((TaH-TrH)*1.163)/3600,3),ROUND(H2470/(500*(TaH-TrH)),2))</f>
        <v>0.22</v>
      </c>
      <c r="K2470" s="84"/>
      <c r="L2470" s="177">
        <f>CHOOSE(Basis!$E$1,((AJ2470*(J2470*3600/Basis!$E$5)^AK2470*(((MID(C2470,9,3)*10)-144)/1000)*AL2470+AM2470*(J2470*3600/Basis!$E$5)^2)*0.0098)/Basis!$E$10,((AJ2470*(J2470/Basis!$E$5)^AK2470*(((MID(C2470,9,3)*10)-144)/1000)*AL2470+AM2470*(J2470/Basis!$E$5)^2)*0.0098)/Basis!$E$10)</f>
        <v>1.2192984744889406E-2</v>
      </c>
      <c r="M2470" s="85"/>
      <c r="N2470" s="109">
        <v>1.468</v>
      </c>
      <c r="O2470" s="68"/>
      <c r="P2470" s="67">
        <v>1042</v>
      </c>
      <c r="Q2470" s="68"/>
      <c r="R2470" s="69"/>
      <c r="S2470" s="69"/>
      <c r="T2470" s="69"/>
      <c r="U2470" s="69"/>
      <c r="V2470" s="69"/>
      <c r="W2470" s="68"/>
      <c r="X2470" s="70"/>
      <c r="Y2470" s="70"/>
      <c r="Z2470" s="70"/>
      <c r="AA2470" s="70"/>
      <c r="AB2470" s="70"/>
      <c r="AC2470" s="68"/>
      <c r="AD2470" s="71"/>
      <c r="AE2470" s="71"/>
      <c r="AF2470" s="71"/>
      <c r="AG2470" s="71"/>
      <c r="AH2470" s="71"/>
      <c r="AI2470" s="68"/>
      <c r="AJ2470" s="214">
        <v>2.0829999999999999E-4</v>
      </c>
      <c r="AK2470" s="214">
        <v>1.724</v>
      </c>
      <c r="AL2470" s="214">
        <v>4</v>
      </c>
      <c r="AM2470" s="214">
        <v>1.392796E-3</v>
      </c>
      <c r="AN2470" s="68"/>
      <c r="AO2470" s="67"/>
      <c r="AP2470" s="67"/>
      <c r="AQ2470" s="67"/>
      <c r="AR2470" s="67"/>
      <c r="AS2470" s="67"/>
      <c r="AT2470" s="68"/>
      <c r="AU2470" s="49"/>
      <c r="AV2470" s="50"/>
    </row>
    <row r="2471" spans="1:48" ht="12.75" customHeight="1" x14ac:dyDescent="0.25">
      <c r="A2471" s="72" t="s">
        <v>20</v>
      </c>
      <c r="B2471" s="43" t="s">
        <v>2240</v>
      </c>
      <c r="C2471" s="44" t="s">
        <v>2629</v>
      </c>
      <c r="D2471" s="45">
        <f>MROUND(MID($C2471,6,3)/Basis!$E$3,0.5)</f>
        <v>23.5</v>
      </c>
      <c r="E2471" s="45">
        <f>MROUND(MID($C2471,9,3)/Basis!$E$3,0.5)</f>
        <v>19.5</v>
      </c>
      <c r="F2471" s="124" t="s">
        <v>2945</v>
      </c>
      <c r="G2471" s="45">
        <f>ROUND((ROUNDDOWN($F2471/5,0)*5+1.8)/Basis!$E$3,1)</f>
        <v>8.6</v>
      </c>
      <c r="H2471" s="120">
        <f>ROUND($P2471*Basis!$E$2*((TaH-TrH)/LN(1/µ)/Basis!$E$7)^$N2471*$AA$4*Glycol,0)</f>
        <v>2839</v>
      </c>
      <c r="I2471" s="83">
        <f>ROUND(H2471/(MID($C2471,9,3)/Basis!$E$3/Basis!$E$9)*Basis!$E$11,0)</f>
        <v>1731</v>
      </c>
      <c r="J2471" s="123">
        <f>IF(Basis!$E$1=1,ROUND(H2471/((TaH-TrH)*1.163)/3600,3),ROUND(H2471/(500*(TaH-TrH)),2))</f>
        <v>0.28000000000000003</v>
      </c>
      <c r="K2471" s="84"/>
      <c r="L2471" s="177">
        <f>CHOOSE(Basis!$E$1,((AJ2471*(J2471*3600/Basis!$E$5)^AK2471*(((MID(C2471,9,3)*10)-144)/1000)*AL2471+AM2471*(J2471*3600/Basis!$E$5)^2)*0.0098)/Basis!$E$10,((AJ2471*(J2471/Basis!$E$5)^AK2471*(((MID(C2471,9,3)*10)-144)/1000)*AL2471+AM2471*(J2471/Basis!$E$5)^2)*0.0098)/Basis!$E$10)</f>
        <v>5.3587817435254374E-3</v>
      </c>
      <c r="M2471" s="85"/>
      <c r="N2471" s="110">
        <v>1.361</v>
      </c>
      <c r="O2471" s="74"/>
      <c r="P2471" s="73">
        <v>1304</v>
      </c>
      <c r="Q2471" s="74"/>
      <c r="R2471" s="75"/>
      <c r="S2471" s="75"/>
      <c r="T2471" s="75"/>
      <c r="U2471" s="75"/>
      <c r="V2471" s="75"/>
      <c r="W2471" s="74"/>
      <c r="X2471" s="76"/>
      <c r="Y2471" s="76"/>
      <c r="Z2471" s="76"/>
      <c r="AA2471" s="76"/>
      <c r="AB2471" s="76"/>
      <c r="AC2471" s="74"/>
      <c r="AD2471" s="77"/>
      <c r="AE2471" s="77"/>
      <c r="AF2471" s="77"/>
      <c r="AG2471" s="77"/>
      <c r="AH2471" s="77"/>
      <c r="AI2471" s="68"/>
      <c r="AJ2471" s="214">
        <v>1.2760000000000001E-4</v>
      </c>
      <c r="AK2471" s="214">
        <v>1.7219</v>
      </c>
      <c r="AL2471" s="214">
        <v>2</v>
      </c>
      <c r="AM2471" s="214">
        <v>3.76611E-4</v>
      </c>
      <c r="AN2471" s="74"/>
      <c r="AO2471" s="73"/>
      <c r="AP2471" s="73"/>
      <c r="AQ2471" s="73"/>
      <c r="AR2471" s="73"/>
      <c r="AS2471" s="73"/>
      <c r="AT2471" s="74"/>
      <c r="AU2471" s="47"/>
      <c r="AV2471" s="48"/>
    </row>
    <row r="2472" spans="1:48" ht="12.75" customHeight="1" x14ac:dyDescent="0.25">
      <c r="A2472" s="72" t="s">
        <v>20</v>
      </c>
      <c r="B2472" s="43" t="s">
        <v>2240</v>
      </c>
      <c r="C2472" s="44" t="s">
        <v>2630</v>
      </c>
      <c r="D2472" s="45">
        <f>MROUND(MID($C2472,6,3)/Basis!$E$3,0.5)</f>
        <v>23.5</v>
      </c>
      <c r="E2472" s="45">
        <f>MROUND(MID($C2472,9,3)/Basis!$E$3,0.5)</f>
        <v>19.5</v>
      </c>
      <c r="F2472" s="124" t="s">
        <v>2948</v>
      </c>
      <c r="G2472" s="45">
        <f>ROUND((ROUNDDOWN($F2472/5,0)*5+1.8)/Basis!$E$3,1)</f>
        <v>8.6</v>
      </c>
      <c r="H2472" s="120">
        <f>ROUND($P2472*Basis!$E$2*((TaH-TrH)/LN(1/µ)/Basis!$E$7)^$N2472*$AA$4*Glycol,0)</f>
        <v>3004</v>
      </c>
      <c r="I2472" s="83">
        <f>ROUND(H2472/(MID($C2472,9,3)/Basis!$E$3/Basis!$E$9)*Basis!$E$11,0)</f>
        <v>1831</v>
      </c>
      <c r="J2472" s="123">
        <f>IF(Basis!$E$1=1,ROUND(H2472/((TaH-TrH)*1.163)/3600,3),ROUND(H2472/(500*(TaH-TrH)),2))</f>
        <v>0.3</v>
      </c>
      <c r="K2472" s="84"/>
      <c r="L2472" s="177">
        <f>CHOOSE(Basis!$E$1,((AJ2472*(J2472*3600/Basis!$E$5)^AK2472*(((MID(C2472,9,3)*10)-144)/1000)*AL2472+AM2472*(J2472*3600/Basis!$E$5)^2)*0.0098)/Basis!$E$10,((AJ2472*(J2472/Basis!$E$5)^AK2472*(((MID(C2472,9,3)*10)-144)/1000)*AL2472+AM2472*(J2472/Basis!$E$5)^2)*0.0098)/Basis!$E$10)</f>
        <v>8.6583959653483058E-3</v>
      </c>
      <c r="M2472" s="85"/>
      <c r="N2472" s="109">
        <v>1.4930000000000001</v>
      </c>
      <c r="O2472" s="68"/>
      <c r="P2472" s="67">
        <v>1441</v>
      </c>
      <c r="Q2472" s="68"/>
      <c r="R2472" s="69"/>
      <c r="S2472" s="69"/>
      <c r="T2472" s="69"/>
      <c r="U2472" s="69"/>
      <c r="V2472" s="69"/>
      <c r="W2472" s="68"/>
      <c r="X2472" s="70"/>
      <c r="Y2472" s="70"/>
      <c r="Z2472" s="70"/>
      <c r="AA2472" s="70"/>
      <c r="AB2472" s="70"/>
      <c r="AC2472" s="68"/>
      <c r="AD2472" s="71"/>
      <c r="AE2472" s="71"/>
      <c r="AF2472" s="71"/>
      <c r="AG2472" s="71"/>
      <c r="AH2472" s="71"/>
      <c r="AI2472" s="68"/>
      <c r="AJ2472" s="214">
        <v>1.2760000000000001E-4</v>
      </c>
      <c r="AK2472" s="214">
        <v>1.7219</v>
      </c>
      <c r="AL2472" s="214">
        <v>4</v>
      </c>
      <c r="AM2472" s="214">
        <v>5.1420100000000005E-4</v>
      </c>
      <c r="AN2472" s="68"/>
      <c r="AO2472" s="67"/>
      <c r="AP2472" s="67"/>
      <c r="AQ2472" s="67"/>
      <c r="AR2472" s="67"/>
      <c r="AS2472" s="67"/>
      <c r="AT2472" s="68"/>
      <c r="AU2472" s="49"/>
      <c r="AV2472" s="50"/>
    </row>
    <row r="2473" spans="1:48" ht="12.75" customHeight="1" x14ac:dyDescent="0.25">
      <c r="A2473" s="72" t="s">
        <v>20</v>
      </c>
      <c r="B2473" s="43" t="s">
        <v>2240</v>
      </c>
      <c r="C2473" s="44" t="s">
        <v>2631</v>
      </c>
      <c r="D2473" s="45">
        <f>MROUND(MID($C2473,6,3)/Basis!$E$3,0.5)</f>
        <v>23.5</v>
      </c>
      <c r="E2473" s="45">
        <f>MROUND(MID($C2473,9,3)/Basis!$E$3,0.5)</f>
        <v>23.5</v>
      </c>
      <c r="F2473" s="124" t="s">
        <v>2943</v>
      </c>
      <c r="G2473" s="45">
        <f>ROUND((ROUNDDOWN($F2473/5,0)*5+1.8)/Basis!$E$3,1)</f>
        <v>4.5999999999999996</v>
      </c>
      <c r="H2473" s="120">
        <f>ROUND($P2473*Basis!$E$2*((TaH-TrH)/LN(1/µ)/Basis!$E$7)^$N2473*$AA$4*Glycol,0)</f>
        <v>1521</v>
      </c>
      <c r="I2473" s="83">
        <f>ROUND(H2473/(MID($C2473,9,3)/Basis!$E$3/Basis!$E$9)*Basis!$E$11,0)</f>
        <v>773</v>
      </c>
      <c r="J2473" s="123">
        <f>IF(Basis!$E$1=1,ROUND(H2473/((TaH-TrH)*1.163)/3600,3),ROUND(H2473/(500*(TaH-TrH)),2))</f>
        <v>0.15</v>
      </c>
      <c r="K2473" s="84"/>
      <c r="L2473" s="177">
        <f>CHOOSE(Basis!$E$1,((AJ2473*(J2473*3600/Basis!$E$5)^AK2473*(((MID(C2473,9,3)*10)-144)/1000)*AL2473+AM2473*(J2473*3600/Basis!$E$5)^2)*0.0098)/Basis!$E$10,((AJ2473*(J2473/Basis!$E$5)^AK2473*(((MID(C2473,9,3)*10)-144)/1000)*AL2473+AM2473*(J2473/Basis!$E$5)^2)*0.0098)/Basis!$E$10)</f>
        <v>1.9326432401609091E-3</v>
      </c>
      <c r="M2473" s="85"/>
      <c r="N2473" s="110">
        <v>1.3759999999999999</v>
      </c>
      <c r="O2473" s="74"/>
      <c r="P2473" s="73">
        <v>702</v>
      </c>
      <c r="Q2473" s="74"/>
      <c r="R2473" s="75"/>
      <c r="S2473" s="75"/>
      <c r="T2473" s="75"/>
      <c r="U2473" s="75"/>
      <c r="V2473" s="75"/>
      <c r="W2473" s="74"/>
      <c r="X2473" s="76"/>
      <c r="Y2473" s="76"/>
      <c r="Z2473" s="76"/>
      <c r="AA2473" s="76"/>
      <c r="AB2473" s="76"/>
      <c r="AC2473" s="74"/>
      <c r="AD2473" s="77"/>
      <c r="AE2473" s="77"/>
      <c r="AF2473" s="77"/>
      <c r="AG2473" s="77"/>
      <c r="AH2473" s="77"/>
      <c r="AI2473" s="68"/>
      <c r="AJ2473" s="213">
        <v>3.9689999999999994E-4</v>
      </c>
      <c r="AK2473" s="213">
        <v>1.7345999999999999</v>
      </c>
      <c r="AL2473" s="213">
        <v>2</v>
      </c>
      <c r="AM2473" s="213">
        <v>3.6734700000000002E-4</v>
      </c>
      <c r="AN2473" s="74"/>
      <c r="AO2473" s="73"/>
      <c r="AP2473" s="73"/>
      <c r="AQ2473" s="73"/>
      <c r="AR2473" s="73"/>
      <c r="AS2473" s="73"/>
      <c r="AT2473" s="74"/>
      <c r="AU2473" s="47"/>
      <c r="AV2473" s="48"/>
    </row>
    <row r="2474" spans="1:48" ht="12.75" customHeight="1" x14ac:dyDescent="0.25">
      <c r="A2474" s="72" t="s">
        <v>20</v>
      </c>
      <c r="B2474" s="43" t="s">
        <v>2240</v>
      </c>
      <c r="C2474" s="44" t="s">
        <v>2632</v>
      </c>
      <c r="D2474" s="45">
        <f>MROUND(MID($C2474,6,3)/Basis!$E$3,0.5)</f>
        <v>23.5</v>
      </c>
      <c r="E2474" s="45">
        <f>MROUND(MID($C2474,9,3)/Basis!$E$3,0.5)</f>
        <v>23.5</v>
      </c>
      <c r="F2474" s="124" t="s">
        <v>2946</v>
      </c>
      <c r="G2474" s="45">
        <f>ROUND((ROUNDDOWN($F2474/5,0)*5+1.8)/Basis!$E$3,1)</f>
        <v>4.5999999999999996</v>
      </c>
      <c r="H2474" s="120">
        <f>ROUND($P2474*Basis!$E$2*((TaH-TrH)/LN(1/µ)/Basis!$E$7)^$N2474*$AA$4*Glycol,0)</f>
        <v>1903</v>
      </c>
      <c r="I2474" s="83">
        <f>ROUND(H2474/(MID($C2474,9,3)/Basis!$E$3/Basis!$E$9)*Basis!$E$11,0)</f>
        <v>967</v>
      </c>
      <c r="J2474" s="123">
        <f>IF(Basis!$E$1=1,ROUND(H2474/((TaH-TrH)*1.163)/3600,3),ROUND(H2474/(500*(TaH-TrH)),2))</f>
        <v>0.19</v>
      </c>
      <c r="K2474" s="84"/>
      <c r="L2474" s="177">
        <f>CHOOSE(Basis!$E$1,((AJ2474*(J2474*3600/Basis!$E$5)^AK2474*(((MID(C2474,9,3)*10)-144)/1000)*AL2474+AM2474*(J2474*3600/Basis!$E$5)^2)*0.0098)/Basis!$E$10,((AJ2474*(J2474/Basis!$E$5)^AK2474*(((MID(C2474,9,3)*10)-144)/1000)*AL2474+AM2474*(J2474/Basis!$E$5)^2)*0.0098)/Basis!$E$10)</f>
        <v>5.1198415492145254E-3</v>
      </c>
      <c r="M2474" s="85"/>
      <c r="N2474" s="109">
        <v>1.4370000000000001</v>
      </c>
      <c r="O2474" s="68"/>
      <c r="P2474" s="67">
        <v>896</v>
      </c>
      <c r="Q2474" s="68"/>
      <c r="R2474" s="69"/>
      <c r="S2474" s="69"/>
      <c r="T2474" s="69"/>
      <c r="U2474" s="69"/>
      <c r="V2474" s="69"/>
      <c r="W2474" s="68"/>
      <c r="X2474" s="70"/>
      <c r="Y2474" s="70"/>
      <c r="Z2474" s="70"/>
      <c r="AA2474" s="70"/>
      <c r="AB2474" s="70"/>
      <c r="AC2474" s="68"/>
      <c r="AD2474" s="71"/>
      <c r="AE2474" s="71"/>
      <c r="AF2474" s="71"/>
      <c r="AG2474" s="71"/>
      <c r="AH2474" s="71"/>
      <c r="AI2474" s="68"/>
      <c r="AJ2474" s="214">
        <v>3.9689999999999994E-4</v>
      </c>
      <c r="AK2474" s="214">
        <v>1.7345999999999999</v>
      </c>
      <c r="AL2474" s="214">
        <v>4</v>
      </c>
      <c r="AM2474" s="214">
        <v>5.7428799999999995E-4</v>
      </c>
      <c r="AN2474" s="68"/>
      <c r="AO2474" s="67"/>
      <c r="AP2474" s="67"/>
      <c r="AQ2474" s="67"/>
      <c r="AR2474" s="67"/>
      <c r="AS2474" s="67"/>
      <c r="AT2474" s="68"/>
      <c r="AU2474" s="49"/>
      <c r="AV2474" s="50"/>
    </row>
    <row r="2475" spans="1:48" ht="12.75" customHeight="1" x14ac:dyDescent="0.25">
      <c r="A2475" s="72" t="s">
        <v>20</v>
      </c>
      <c r="B2475" s="43" t="s">
        <v>2240</v>
      </c>
      <c r="C2475" s="44" t="s">
        <v>2633</v>
      </c>
      <c r="D2475" s="45">
        <f>MROUND(MID($C2475,6,3)/Basis!$E$3,0.5)</f>
        <v>23.5</v>
      </c>
      <c r="E2475" s="45">
        <f>MROUND(MID($C2475,9,3)/Basis!$E$3,0.5)</f>
        <v>23.5</v>
      </c>
      <c r="F2475" s="124" t="s">
        <v>2944</v>
      </c>
      <c r="G2475" s="45">
        <f>ROUND((ROUNDDOWN($F2475/5,0)*5+1.8)/Basis!$E$3,1)</f>
        <v>6.6</v>
      </c>
      <c r="H2475" s="120">
        <f>ROUND($P2475*Basis!$E$2*((TaH-TrH)/LN(1/µ)/Basis!$E$7)^$N2475*$AA$4*Glycol,0)</f>
        <v>2439</v>
      </c>
      <c r="I2475" s="83">
        <f>ROUND(H2475/(MID($C2475,9,3)/Basis!$E$3/Basis!$E$9)*Basis!$E$11,0)</f>
        <v>1239</v>
      </c>
      <c r="J2475" s="123">
        <f>IF(Basis!$E$1=1,ROUND(H2475/((TaH-TrH)*1.163)/3600,3),ROUND(H2475/(500*(TaH-TrH)),2))</f>
        <v>0.24</v>
      </c>
      <c r="K2475" s="84"/>
      <c r="L2475" s="177">
        <f>CHOOSE(Basis!$E$1,((AJ2475*(J2475*3600/Basis!$E$5)^AK2475*(((MID(C2475,9,3)*10)-144)/1000)*AL2475+AM2475*(J2475*3600/Basis!$E$5)^2)*0.0098)/Basis!$E$10,((AJ2475*(J2475/Basis!$E$5)^AK2475*(((MID(C2475,9,3)*10)-144)/1000)*AL2475+AM2475*(J2475/Basis!$E$5)^2)*0.0098)/Basis!$E$10)</f>
        <v>5.0990333981877104E-3</v>
      </c>
      <c r="M2475" s="85"/>
      <c r="N2475" s="109">
        <v>1.361</v>
      </c>
      <c r="O2475" s="68"/>
      <c r="P2475" s="67">
        <v>1120</v>
      </c>
      <c r="Q2475" s="68"/>
      <c r="R2475" s="69"/>
      <c r="S2475" s="69"/>
      <c r="T2475" s="69"/>
      <c r="U2475" s="69"/>
      <c r="V2475" s="69"/>
      <c r="W2475" s="68"/>
      <c r="X2475" s="70"/>
      <c r="Y2475" s="70"/>
      <c r="Z2475" s="70"/>
      <c r="AA2475" s="70"/>
      <c r="AB2475" s="70"/>
      <c r="AC2475" s="68"/>
      <c r="AD2475" s="71"/>
      <c r="AE2475" s="71"/>
      <c r="AF2475" s="71"/>
      <c r="AG2475" s="71"/>
      <c r="AH2475" s="71"/>
      <c r="AI2475" s="68"/>
      <c r="AJ2475" s="214">
        <v>2.0829999999999999E-4</v>
      </c>
      <c r="AK2475" s="214">
        <v>1.724</v>
      </c>
      <c r="AL2475" s="214">
        <v>2</v>
      </c>
      <c r="AM2475" s="214">
        <v>4.6182900000000003E-4</v>
      </c>
      <c r="AN2475" s="68"/>
      <c r="AO2475" s="67"/>
      <c r="AP2475" s="67"/>
      <c r="AQ2475" s="67"/>
      <c r="AR2475" s="67"/>
      <c r="AS2475" s="67"/>
      <c r="AT2475" s="68"/>
      <c r="AU2475" s="49"/>
      <c r="AV2475" s="50"/>
    </row>
    <row r="2476" spans="1:48" ht="12.75" customHeight="1" x14ac:dyDescent="0.25">
      <c r="A2476" s="72" t="s">
        <v>20</v>
      </c>
      <c r="B2476" s="43" t="s">
        <v>2240</v>
      </c>
      <c r="C2476" s="44" t="s">
        <v>2634</v>
      </c>
      <c r="D2476" s="45">
        <f>MROUND(MID($C2476,6,3)/Basis!$E$3,0.5)</f>
        <v>23.5</v>
      </c>
      <c r="E2476" s="45">
        <f>MROUND(MID($C2476,9,3)/Basis!$E$3,0.5)</f>
        <v>23.5</v>
      </c>
      <c r="F2476" s="124" t="s">
        <v>2947</v>
      </c>
      <c r="G2476" s="45">
        <f>ROUND((ROUNDDOWN($F2476/5,0)*5+1.8)/Basis!$E$3,1)</f>
        <v>6.6</v>
      </c>
      <c r="H2476" s="120">
        <f>ROUND($P2476*Basis!$E$2*((TaH-TrH)/LN(1/µ)/Basis!$E$7)^$N2476*$AA$4*Glycol,0)</f>
        <v>2627</v>
      </c>
      <c r="I2476" s="83">
        <f>ROUND(H2476/(MID($C2476,9,3)/Basis!$E$3/Basis!$E$9)*Basis!$E$11,0)</f>
        <v>1335</v>
      </c>
      <c r="J2476" s="123">
        <f>IF(Basis!$E$1=1,ROUND(H2476/((TaH-TrH)*1.163)/3600,3),ROUND(H2476/(500*(TaH-TrH)),2))</f>
        <v>0.26</v>
      </c>
      <c r="K2476" s="84"/>
      <c r="L2476" s="177">
        <f>CHOOSE(Basis!$E$1,((AJ2476*(J2476*3600/Basis!$E$5)^AK2476*(((MID(C2476,9,3)*10)-144)/1000)*AL2476+AM2476*(J2476*3600/Basis!$E$5)^2)*0.0098)/Basis!$E$10,((AJ2476*(J2476/Basis!$E$5)^AK2476*(((MID(C2476,9,3)*10)-144)/1000)*AL2476+AM2476*(J2476/Basis!$E$5)^2)*0.0098)/Basis!$E$10)</f>
        <v>1.72863242909597E-2</v>
      </c>
      <c r="M2476" s="85"/>
      <c r="N2476" s="110">
        <v>1.468</v>
      </c>
      <c r="O2476" s="74"/>
      <c r="P2476" s="73">
        <v>1250</v>
      </c>
      <c r="Q2476" s="74"/>
      <c r="R2476" s="75"/>
      <c r="S2476" s="75"/>
      <c r="T2476" s="75"/>
      <c r="U2476" s="75"/>
      <c r="V2476" s="75"/>
      <c r="W2476" s="74"/>
      <c r="X2476" s="76"/>
      <c r="Y2476" s="76"/>
      <c r="Z2476" s="76"/>
      <c r="AA2476" s="76"/>
      <c r="AB2476" s="76"/>
      <c r="AC2476" s="74"/>
      <c r="AD2476" s="77"/>
      <c r="AE2476" s="77"/>
      <c r="AF2476" s="77"/>
      <c r="AG2476" s="77"/>
      <c r="AH2476" s="77"/>
      <c r="AI2476" s="68"/>
      <c r="AJ2476" s="213">
        <v>2.0829999999999999E-4</v>
      </c>
      <c r="AK2476" s="213">
        <v>1.724</v>
      </c>
      <c r="AL2476" s="213">
        <v>4</v>
      </c>
      <c r="AM2476" s="213">
        <v>1.392796E-3</v>
      </c>
      <c r="AN2476" s="74"/>
      <c r="AO2476" s="73"/>
      <c r="AP2476" s="73"/>
      <c r="AQ2476" s="73"/>
      <c r="AR2476" s="73"/>
      <c r="AS2476" s="73"/>
      <c r="AT2476" s="74"/>
      <c r="AU2476" s="47"/>
      <c r="AV2476" s="48"/>
    </row>
    <row r="2477" spans="1:48" ht="12.75" customHeight="1" x14ac:dyDescent="0.25">
      <c r="A2477" s="72" t="s">
        <v>20</v>
      </c>
      <c r="B2477" s="43" t="s">
        <v>2240</v>
      </c>
      <c r="C2477" s="44" t="s">
        <v>2635</v>
      </c>
      <c r="D2477" s="45">
        <f>MROUND(MID($C2477,6,3)/Basis!$E$3,0.5)</f>
        <v>23.5</v>
      </c>
      <c r="E2477" s="45">
        <f>MROUND(MID($C2477,9,3)/Basis!$E$3,0.5)</f>
        <v>23.5</v>
      </c>
      <c r="F2477" s="124" t="s">
        <v>2945</v>
      </c>
      <c r="G2477" s="45">
        <f>ROUND((ROUNDDOWN($F2477/5,0)*5+1.8)/Basis!$E$3,1)</f>
        <v>8.6</v>
      </c>
      <c r="H2477" s="120">
        <f>ROUND($P2477*Basis!$E$2*((TaH-TrH)/LN(1/µ)/Basis!$E$7)^$N2477*$AA$4*Glycol,0)</f>
        <v>3408</v>
      </c>
      <c r="I2477" s="83">
        <f>ROUND(H2477/(MID($C2477,9,3)/Basis!$E$3/Basis!$E$9)*Basis!$E$11,0)</f>
        <v>1731</v>
      </c>
      <c r="J2477" s="123">
        <f>IF(Basis!$E$1=1,ROUND(H2477/((TaH-TrH)*1.163)/3600,3),ROUND(H2477/(500*(TaH-TrH)),2))</f>
        <v>0.34</v>
      </c>
      <c r="K2477" s="84"/>
      <c r="L2477" s="177">
        <f>CHOOSE(Basis!$E$1,((AJ2477*(J2477*3600/Basis!$E$5)^AK2477*(((MID(C2477,9,3)*10)-144)/1000)*AL2477+AM2477*(J2477*3600/Basis!$E$5)^2)*0.0098)/Basis!$E$10,((AJ2477*(J2477/Basis!$E$5)^AK2477*(((MID(C2477,9,3)*10)-144)/1000)*AL2477+AM2477*(J2477/Basis!$E$5)^2)*0.0098)/Basis!$E$10)</f>
        <v>8.0206866875451154E-3</v>
      </c>
      <c r="M2477" s="85"/>
      <c r="N2477" s="110">
        <v>1.361</v>
      </c>
      <c r="O2477" s="74"/>
      <c r="P2477" s="73">
        <v>1565</v>
      </c>
      <c r="Q2477" s="74"/>
      <c r="R2477" s="75"/>
      <c r="S2477" s="75"/>
      <c r="T2477" s="75"/>
      <c r="U2477" s="75"/>
      <c r="V2477" s="75"/>
      <c r="W2477" s="74"/>
      <c r="X2477" s="76"/>
      <c r="Y2477" s="76"/>
      <c r="Z2477" s="76"/>
      <c r="AA2477" s="76"/>
      <c r="AB2477" s="76"/>
      <c r="AC2477" s="74"/>
      <c r="AD2477" s="77"/>
      <c r="AE2477" s="77"/>
      <c r="AF2477" s="77"/>
      <c r="AG2477" s="77"/>
      <c r="AH2477" s="77"/>
      <c r="AI2477" s="68"/>
      <c r="AJ2477" s="214">
        <v>1.2760000000000001E-4</v>
      </c>
      <c r="AK2477" s="214">
        <v>1.7219</v>
      </c>
      <c r="AL2477" s="214">
        <v>2</v>
      </c>
      <c r="AM2477" s="214">
        <v>3.76611E-4</v>
      </c>
      <c r="AN2477" s="74"/>
      <c r="AO2477" s="73"/>
      <c r="AP2477" s="73"/>
      <c r="AQ2477" s="73"/>
      <c r="AR2477" s="73"/>
      <c r="AS2477" s="73"/>
      <c r="AT2477" s="74"/>
      <c r="AU2477" s="47"/>
      <c r="AV2477" s="48"/>
    </row>
    <row r="2478" spans="1:48" ht="12.75" customHeight="1" x14ac:dyDescent="0.25">
      <c r="A2478" s="72" t="s">
        <v>20</v>
      </c>
      <c r="B2478" s="43" t="s">
        <v>2240</v>
      </c>
      <c r="C2478" s="44" t="s">
        <v>2636</v>
      </c>
      <c r="D2478" s="45">
        <f>MROUND(MID($C2478,6,3)/Basis!$E$3,0.5)</f>
        <v>23.5</v>
      </c>
      <c r="E2478" s="45">
        <f>MROUND(MID($C2478,9,3)/Basis!$E$3,0.5)</f>
        <v>23.5</v>
      </c>
      <c r="F2478" s="124" t="s">
        <v>2948</v>
      </c>
      <c r="G2478" s="45">
        <f>ROUND((ROUNDDOWN($F2478/5,0)*5+1.8)/Basis!$E$3,1)</f>
        <v>8.6</v>
      </c>
      <c r="H2478" s="120">
        <f>ROUND($P2478*Basis!$E$2*((TaH-TrH)/LN(1/µ)/Basis!$E$7)^$N2478*$AA$4*Glycol,0)</f>
        <v>3604</v>
      </c>
      <c r="I2478" s="83">
        <f>ROUND(H2478/(MID($C2478,9,3)/Basis!$E$3/Basis!$E$9)*Basis!$E$11,0)</f>
        <v>1831</v>
      </c>
      <c r="J2478" s="123">
        <f>IF(Basis!$E$1=1,ROUND(H2478/((TaH-TrH)*1.163)/3600,3),ROUND(H2478/(500*(TaH-TrH)),2))</f>
        <v>0.36</v>
      </c>
      <c r="K2478" s="84"/>
      <c r="L2478" s="177">
        <f>CHOOSE(Basis!$E$1,((AJ2478*(J2478*3600/Basis!$E$5)^AK2478*(((MID(C2478,9,3)*10)-144)/1000)*AL2478+AM2478*(J2478*3600/Basis!$E$5)^2)*0.0098)/Basis!$E$10,((AJ2478*(J2478/Basis!$E$5)^AK2478*(((MID(C2478,9,3)*10)-144)/1000)*AL2478+AM2478*(J2478/Basis!$E$5)^2)*0.0098)/Basis!$E$10)</f>
        <v>1.273523398314217E-2</v>
      </c>
      <c r="M2478" s="85"/>
      <c r="N2478" s="109">
        <v>1.4930000000000001</v>
      </c>
      <c r="O2478" s="68"/>
      <c r="P2478" s="67">
        <v>1729</v>
      </c>
      <c r="Q2478" s="68"/>
      <c r="R2478" s="69"/>
      <c r="S2478" s="69"/>
      <c r="T2478" s="69"/>
      <c r="U2478" s="69"/>
      <c r="V2478" s="69"/>
      <c r="W2478" s="68"/>
      <c r="X2478" s="70"/>
      <c r="Y2478" s="70"/>
      <c r="Z2478" s="70"/>
      <c r="AA2478" s="70"/>
      <c r="AB2478" s="70"/>
      <c r="AC2478" s="68"/>
      <c r="AD2478" s="71"/>
      <c r="AE2478" s="71"/>
      <c r="AF2478" s="71"/>
      <c r="AG2478" s="71"/>
      <c r="AH2478" s="71"/>
      <c r="AI2478" s="68"/>
      <c r="AJ2478" s="214">
        <v>1.2760000000000001E-4</v>
      </c>
      <c r="AK2478" s="214">
        <v>1.7219</v>
      </c>
      <c r="AL2478" s="214">
        <v>4</v>
      </c>
      <c r="AM2478" s="214">
        <v>5.1420100000000005E-4</v>
      </c>
      <c r="AN2478" s="68"/>
      <c r="AO2478" s="67"/>
      <c r="AP2478" s="67"/>
      <c r="AQ2478" s="67"/>
      <c r="AR2478" s="67"/>
      <c r="AS2478" s="67"/>
      <c r="AT2478" s="68"/>
      <c r="AU2478" s="49"/>
      <c r="AV2478" s="50"/>
    </row>
    <row r="2479" spans="1:48" ht="12.75" customHeight="1" x14ac:dyDescent="0.25">
      <c r="A2479" s="72" t="s">
        <v>20</v>
      </c>
      <c r="B2479" s="43" t="s">
        <v>2240</v>
      </c>
      <c r="C2479" s="44" t="s">
        <v>2637</v>
      </c>
      <c r="D2479" s="45">
        <f>MROUND(MID($C2479,6,3)/Basis!$E$3,0.5)</f>
        <v>23.5</v>
      </c>
      <c r="E2479" s="45">
        <f>MROUND(MID($C2479,9,3)/Basis!$E$3,0.5)</f>
        <v>27.5</v>
      </c>
      <c r="F2479" s="124" t="s">
        <v>2943</v>
      </c>
      <c r="G2479" s="45">
        <f>ROUND((ROUNDDOWN($F2479/5,0)*5+1.8)/Basis!$E$3,1)</f>
        <v>4.5999999999999996</v>
      </c>
      <c r="H2479" s="120">
        <f>ROUND($P2479*Basis!$E$2*((TaH-TrH)/LN(1/µ)/Basis!$E$7)^$N2479*$AA$4*Glycol,0)</f>
        <v>1775</v>
      </c>
      <c r="I2479" s="83">
        <f>ROUND(H2479/(MID($C2479,9,3)/Basis!$E$3/Basis!$E$9)*Basis!$E$11,0)</f>
        <v>773</v>
      </c>
      <c r="J2479" s="123">
        <f>IF(Basis!$E$1=1,ROUND(H2479/((TaH-TrH)*1.163)/3600,3),ROUND(H2479/(500*(TaH-TrH)),2))</f>
        <v>0.18</v>
      </c>
      <c r="K2479" s="84"/>
      <c r="L2479" s="177">
        <f>CHOOSE(Basis!$E$1,((AJ2479*(J2479*3600/Basis!$E$5)^AK2479*(((MID(C2479,9,3)*10)-144)/1000)*AL2479+AM2479*(J2479*3600/Basis!$E$5)^2)*0.0098)/Basis!$E$10,((AJ2479*(J2479/Basis!$E$5)^AK2479*(((MID(C2479,9,3)*10)-144)/1000)*AL2479+AM2479*(J2479/Basis!$E$5)^2)*0.0098)/Basis!$E$10)</f>
        <v>2.9084053126863948E-3</v>
      </c>
      <c r="M2479" s="85"/>
      <c r="N2479" s="109">
        <v>1.3759999999999999</v>
      </c>
      <c r="O2479" s="68"/>
      <c r="P2479" s="67">
        <v>819</v>
      </c>
      <c r="Q2479" s="68"/>
      <c r="R2479" s="69"/>
      <c r="S2479" s="69"/>
      <c r="T2479" s="69"/>
      <c r="U2479" s="69"/>
      <c r="V2479" s="69"/>
      <c r="W2479" s="68"/>
      <c r="X2479" s="70"/>
      <c r="Y2479" s="70"/>
      <c r="Z2479" s="70"/>
      <c r="AA2479" s="70"/>
      <c r="AB2479" s="70"/>
      <c r="AC2479" s="68"/>
      <c r="AD2479" s="71"/>
      <c r="AE2479" s="71"/>
      <c r="AF2479" s="71"/>
      <c r="AG2479" s="71"/>
      <c r="AH2479" s="71"/>
      <c r="AI2479" s="68"/>
      <c r="AJ2479" s="214">
        <v>3.9689999999999994E-4</v>
      </c>
      <c r="AK2479" s="214">
        <v>1.7345999999999999</v>
      </c>
      <c r="AL2479" s="214">
        <v>2</v>
      </c>
      <c r="AM2479" s="214">
        <v>3.6734700000000002E-4</v>
      </c>
      <c r="AN2479" s="68"/>
      <c r="AO2479" s="67"/>
      <c r="AP2479" s="67"/>
      <c r="AQ2479" s="67"/>
      <c r="AR2479" s="67"/>
      <c r="AS2479" s="67"/>
      <c r="AT2479" s="68"/>
      <c r="AU2479" s="49"/>
      <c r="AV2479" s="50"/>
    </row>
    <row r="2480" spans="1:48" ht="12.75" customHeight="1" x14ac:dyDescent="0.25">
      <c r="A2480" s="72" t="s">
        <v>20</v>
      </c>
      <c r="B2480" s="43" t="s">
        <v>2240</v>
      </c>
      <c r="C2480" s="44" t="s">
        <v>2638</v>
      </c>
      <c r="D2480" s="45">
        <f>MROUND(MID($C2480,6,3)/Basis!$E$3,0.5)</f>
        <v>23.5</v>
      </c>
      <c r="E2480" s="45">
        <f>MROUND(MID($C2480,9,3)/Basis!$E$3,0.5)</f>
        <v>27.5</v>
      </c>
      <c r="F2480" s="124" t="s">
        <v>2946</v>
      </c>
      <c r="G2480" s="45">
        <f>ROUND((ROUNDDOWN($F2480/5,0)*5+1.8)/Basis!$E$3,1)</f>
        <v>4.5999999999999996</v>
      </c>
      <c r="H2480" s="120">
        <f>ROUND($P2480*Basis!$E$2*((TaH-TrH)/LN(1/µ)/Basis!$E$7)^$N2480*$AA$4*Glycol,0)</f>
        <v>2221</v>
      </c>
      <c r="I2480" s="83">
        <f>ROUND(H2480/(MID($C2480,9,3)/Basis!$E$3/Basis!$E$9)*Basis!$E$11,0)</f>
        <v>967</v>
      </c>
      <c r="J2480" s="123">
        <f>IF(Basis!$E$1=1,ROUND(H2480/((TaH-TrH)*1.163)/3600,3),ROUND(H2480/(500*(TaH-TrH)),2))</f>
        <v>0.22</v>
      </c>
      <c r="K2480" s="84"/>
      <c r="L2480" s="177">
        <f>CHOOSE(Basis!$E$1,((AJ2480*(J2480*3600/Basis!$E$5)^AK2480*(((MID(C2480,9,3)*10)-144)/1000)*AL2480+AM2480*(J2480*3600/Basis!$E$5)^2)*0.0098)/Basis!$E$10,((AJ2480*(J2480/Basis!$E$5)^AK2480*(((MID(C2480,9,3)*10)-144)/1000)*AL2480+AM2480*(J2480/Basis!$E$5)^2)*0.0098)/Basis!$E$10)</f>
        <v>7.2402187115997302E-3</v>
      </c>
      <c r="M2480" s="85"/>
      <c r="N2480" s="110">
        <v>1.4370000000000001</v>
      </c>
      <c r="O2480" s="74"/>
      <c r="P2480" s="73">
        <v>1046</v>
      </c>
      <c r="Q2480" s="74"/>
      <c r="R2480" s="75"/>
      <c r="S2480" s="75"/>
      <c r="T2480" s="75"/>
      <c r="U2480" s="75"/>
      <c r="V2480" s="75"/>
      <c r="W2480" s="74"/>
      <c r="X2480" s="76"/>
      <c r="Y2480" s="76"/>
      <c r="Z2480" s="76"/>
      <c r="AA2480" s="76"/>
      <c r="AB2480" s="76"/>
      <c r="AC2480" s="74"/>
      <c r="AD2480" s="77"/>
      <c r="AE2480" s="77"/>
      <c r="AF2480" s="77"/>
      <c r="AG2480" s="77"/>
      <c r="AH2480" s="77"/>
      <c r="AI2480" s="68"/>
      <c r="AJ2480" s="213">
        <v>3.9689999999999994E-4</v>
      </c>
      <c r="AK2480" s="213">
        <v>1.7345999999999999</v>
      </c>
      <c r="AL2480" s="213">
        <v>4</v>
      </c>
      <c r="AM2480" s="213">
        <v>5.7428799999999995E-4</v>
      </c>
      <c r="AN2480" s="74"/>
      <c r="AO2480" s="73"/>
      <c r="AP2480" s="73"/>
      <c r="AQ2480" s="73"/>
      <c r="AR2480" s="73"/>
      <c r="AS2480" s="73"/>
      <c r="AT2480" s="74"/>
      <c r="AU2480" s="47"/>
      <c r="AV2480" s="48"/>
    </row>
    <row r="2481" spans="1:48" ht="12.75" customHeight="1" x14ac:dyDescent="0.25">
      <c r="A2481" s="72" t="s">
        <v>20</v>
      </c>
      <c r="B2481" s="43" t="s">
        <v>2240</v>
      </c>
      <c r="C2481" s="44" t="s">
        <v>2639</v>
      </c>
      <c r="D2481" s="45">
        <f>MROUND(MID($C2481,6,3)/Basis!$E$3,0.5)</f>
        <v>23.5</v>
      </c>
      <c r="E2481" s="45">
        <f>MROUND(MID($C2481,9,3)/Basis!$E$3,0.5)</f>
        <v>27.5</v>
      </c>
      <c r="F2481" s="124" t="s">
        <v>2944</v>
      </c>
      <c r="G2481" s="45">
        <f>ROUND((ROUNDDOWN($F2481/5,0)*5+1.8)/Basis!$E$3,1)</f>
        <v>6.6</v>
      </c>
      <c r="H2481" s="120">
        <f>ROUND($P2481*Basis!$E$2*((TaH-TrH)/LN(1/µ)/Basis!$E$7)^$N2481*$AA$4*Glycol,0)</f>
        <v>2844</v>
      </c>
      <c r="I2481" s="83">
        <f>ROUND(H2481/(MID($C2481,9,3)/Basis!$E$3/Basis!$E$9)*Basis!$E$11,0)</f>
        <v>1238</v>
      </c>
      <c r="J2481" s="123">
        <f>IF(Basis!$E$1=1,ROUND(H2481/((TaH-TrH)*1.163)/3600,3),ROUND(H2481/(500*(TaH-TrH)),2))</f>
        <v>0.28000000000000003</v>
      </c>
      <c r="K2481" s="84"/>
      <c r="L2481" s="177">
        <f>CHOOSE(Basis!$E$1,((AJ2481*(J2481*3600/Basis!$E$5)^AK2481*(((MID(C2481,9,3)*10)-144)/1000)*AL2481+AM2481*(J2481*3600/Basis!$E$5)^2)*0.0098)/Basis!$E$10,((AJ2481*(J2481/Basis!$E$5)^AK2481*(((MID(C2481,9,3)*10)-144)/1000)*AL2481+AM2481*(J2481/Basis!$E$5)^2)*0.0098)/Basis!$E$10)</f>
        <v>7.0807621458189489E-3</v>
      </c>
      <c r="M2481" s="85"/>
      <c r="N2481" s="110">
        <v>1.361</v>
      </c>
      <c r="O2481" s="74"/>
      <c r="P2481" s="73">
        <v>1306</v>
      </c>
      <c r="Q2481" s="74"/>
      <c r="R2481" s="75"/>
      <c r="S2481" s="75"/>
      <c r="T2481" s="75"/>
      <c r="U2481" s="75"/>
      <c r="V2481" s="75"/>
      <c r="W2481" s="74"/>
      <c r="X2481" s="76"/>
      <c r="Y2481" s="76"/>
      <c r="Z2481" s="76"/>
      <c r="AA2481" s="76"/>
      <c r="AB2481" s="76"/>
      <c r="AC2481" s="74"/>
      <c r="AD2481" s="77"/>
      <c r="AE2481" s="77"/>
      <c r="AF2481" s="77"/>
      <c r="AG2481" s="77"/>
      <c r="AH2481" s="77"/>
      <c r="AI2481" s="68"/>
      <c r="AJ2481" s="213">
        <v>2.0829999999999999E-4</v>
      </c>
      <c r="AK2481" s="213">
        <v>1.724</v>
      </c>
      <c r="AL2481" s="213">
        <v>2</v>
      </c>
      <c r="AM2481" s="213">
        <v>4.6182900000000003E-4</v>
      </c>
      <c r="AN2481" s="74"/>
      <c r="AO2481" s="73"/>
      <c r="AP2481" s="73"/>
      <c r="AQ2481" s="73"/>
      <c r="AR2481" s="73"/>
      <c r="AS2481" s="73"/>
      <c r="AT2481" s="74"/>
      <c r="AU2481" s="47"/>
      <c r="AV2481" s="48"/>
    </row>
    <row r="2482" spans="1:48" ht="12.75" customHeight="1" x14ac:dyDescent="0.25">
      <c r="A2482" s="72" t="s">
        <v>20</v>
      </c>
      <c r="B2482" s="43" t="s">
        <v>2240</v>
      </c>
      <c r="C2482" s="44" t="s">
        <v>2640</v>
      </c>
      <c r="D2482" s="45">
        <f>MROUND(MID($C2482,6,3)/Basis!$E$3,0.5)</f>
        <v>23.5</v>
      </c>
      <c r="E2482" s="45">
        <f>MROUND(MID($C2482,9,3)/Basis!$E$3,0.5)</f>
        <v>27.5</v>
      </c>
      <c r="F2482" s="124" t="s">
        <v>2947</v>
      </c>
      <c r="G2482" s="45">
        <f>ROUND((ROUNDDOWN($F2482/5,0)*5+1.8)/Basis!$E$3,1)</f>
        <v>6.6</v>
      </c>
      <c r="H2482" s="120">
        <f>ROUND($P2482*Basis!$E$2*((TaH-TrH)/LN(1/µ)/Basis!$E$7)^$N2482*$AA$4*Glycol,0)</f>
        <v>3067</v>
      </c>
      <c r="I2482" s="83">
        <f>ROUND(H2482/(MID($C2482,9,3)/Basis!$E$3/Basis!$E$9)*Basis!$E$11,0)</f>
        <v>1335</v>
      </c>
      <c r="J2482" s="123">
        <f>IF(Basis!$E$1=1,ROUND(H2482/((TaH-TrH)*1.163)/3600,3),ROUND(H2482/(500*(TaH-TrH)),2))</f>
        <v>0.31</v>
      </c>
      <c r="K2482" s="84"/>
      <c r="L2482" s="177">
        <f>CHOOSE(Basis!$E$1,((AJ2482*(J2482*3600/Basis!$E$5)^AK2482*(((MID(C2482,9,3)*10)-144)/1000)*AL2482+AM2482*(J2482*3600/Basis!$E$5)^2)*0.0098)/Basis!$E$10,((AJ2482*(J2482/Basis!$E$5)^AK2482*(((MID(C2482,9,3)*10)-144)/1000)*AL2482+AM2482*(J2482/Basis!$E$5)^2)*0.0098)/Basis!$E$10)</f>
        <v>2.4896931366321488E-2</v>
      </c>
      <c r="M2482" s="85"/>
      <c r="N2482" s="109">
        <v>1.468</v>
      </c>
      <c r="O2482" s="68"/>
      <c r="P2482" s="67">
        <v>1459</v>
      </c>
      <c r="Q2482" s="68"/>
      <c r="R2482" s="69"/>
      <c r="S2482" s="69"/>
      <c r="T2482" s="69"/>
      <c r="U2482" s="69"/>
      <c r="V2482" s="69"/>
      <c r="W2482" s="68"/>
      <c r="X2482" s="70"/>
      <c r="Y2482" s="70"/>
      <c r="Z2482" s="70"/>
      <c r="AA2482" s="70"/>
      <c r="AB2482" s="70"/>
      <c r="AC2482" s="68"/>
      <c r="AD2482" s="71"/>
      <c r="AE2482" s="71"/>
      <c r="AF2482" s="71"/>
      <c r="AG2482" s="71"/>
      <c r="AH2482" s="71"/>
      <c r="AI2482" s="68"/>
      <c r="AJ2482" s="214">
        <v>2.0829999999999999E-4</v>
      </c>
      <c r="AK2482" s="214">
        <v>1.724</v>
      </c>
      <c r="AL2482" s="214">
        <v>4</v>
      </c>
      <c r="AM2482" s="214">
        <v>1.392796E-3</v>
      </c>
      <c r="AN2482" s="68"/>
      <c r="AO2482" s="67"/>
      <c r="AP2482" s="67"/>
      <c r="AQ2482" s="67"/>
      <c r="AR2482" s="67"/>
      <c r="AS2482" s="67"/>
      <c r="AT2482" s="68"/>
      <c r="AU2482" s="49"/>
      <c r="AV2482" s="50"/>
    </row>
    <row r="2483" spans="1:48" ht="12.75" customHeight="1" x14ac:dyDescent="0.25">
      <c r="A2483" s="72" t="s">
        <v>20</v>
      </c>
      <c r="B2483" s="43" t="s">
        <v>2240</v>
      </c>
      <c r="C2483" s="44" t="s">
        <v>2641</v>
      </c>
      <c r="D2483" s="45">
        <f>MROUND(MID($C2483,6,3)/Basis!$E$3,0.5)</f>
        <v>23.5</v>
      </c>
      <c r="E2483" s="45">
        <f>MROUND(MID($C2483,9,3)/Basis!$E$3,0.5)</f>
        <v>27.5</v>
      </c>
      <c r="F2483" s="124" t="s">
        <v>2945</v>
      </c>
      <c r="G2483" s="45">
        <f>ROUND((ROUNDDOWN($F2483/5,0)*5+1.8)/Basis!$E$3,1)</f>
        <v>8.6</v>
      </c>
      <c r="H2483" s="120">
        <f>ROUND($P2483*Basis!$E$2*((TaH-TrH)/LN(1/µ)/Basis!$E$7)^$N2483*$AA$4*Glycol,0)</f>
        <v>3976</v>
      </c>
      <c r="I2483" s="83">
        <f>ROUND(H2483/(MID($C2483,9,3)/Basis!$E$3/Basis!$E$9)*Basis!$E$11,0)</f>
        <v>1731</v>
      </c>
      <c r="J2483" s="123">
        <f>IF(Basis!$E$1=1,ROUND(H2483/((TaH-TrH)*1.163)/3600,3),ROUND(H2483/(500*(TaH-TrH)),2))</f>
        <v>0.4</v>
      </c>
      <c r="K2483" s="84"/>
      <c r="L2483" s="177">
        <f>CHOOSE(Basis!$E$1,((AJ2483*(J2483*3600/Basis!$E$5)^AK2483*(((MID(C2483,9,3)*10)-144)/1000)*AL2483+AM2483*(J2483*3600/Basis!$E$5)^2)*0.0098)/Basis!$E$10,((AJ2483*(J2483/Basis!$E$5)^AK2483*(((MID(C2483,9,3)*10)-144)/1000)*AL2483+AM2483*(J2483/Basis!$E$5)^2)*0.0098)/Basis!$E$10)</f>
        <v>1.1256394325247748E-2</v>
      </c>
      <c r="M2483" s="85"/>
      <c r="N2483" s="109">
        <v>1.361</v>
      </c>
      <c r="O2483" s="68"/>
      <c r="P2483" s="67">
        <v>1826</v>
      </c>
      <c r="Q2483" s="68"/>
      <c r="R2483" s="69"/>
      <c r="S2483" s="69"/>
      <c r="T2483" s="69"/>
      <c r="U2483" s="69"/>
      <c r="V2483" s="69"/>
      <c r="W2483" s="68"/>
      <c r="X2483" s="70"/>
      <c r="Y2483" s="70"/>
      <c r="Z2483" s="70"/>
      <c r="AA2483" s="70"/>
      <c r="AB2483" s="70"/>
      <c r="AC2483" s="68"/>
      <c r="AD2483" s="71"/>
      <c r="AE2483" s="71"/>
      <c r="AF2483" s="71"/>
      <c r="AG2483" s="71"/>
      <c r="AH2483" s="71"/>
      <c r="AI2483" s="68"/>
      <c r="AJ2483" s="214">
        <v>1.2760000000000001E-4</v>
      </c>
      <c r="AK2483" s="214">
        <v>1.7219</v>
      </c>
      <c r="AL2483" s="214">
        <v>2</v>
      </c>
      <c r="AM2483" s="214">
        <v>3.76611E-4</v>
      </c>
      <c r="AN2483" s="68"/>
      <c r="AO2483" s="67"/>
      <c r="AP2483" s="67"/>
      <c r="AQ2483" s="67"/>
      <c r="AR2483" s="67"/>
      <c r="AS2483" s="67"/>
      <c r="AT2483" s="68"/>
      <c r="AU2483" s="49"/>
      <c r="AV2483" s="50"/>
    </row>
    <row r="2484" spans="1:48" ht="12.75" customHeight="1" x14ac:dyDescent="0.25">
      <c r="A2484" s="72" t="s">
        <v>20</v>
      </c>
      <c r="B2484" s="43" t="s">
        <v>2240</v>
      </c>
      <c r="C2484" s="44" t="s">
        <v>2642</v>
      </c>
      <c r="D2484" s="45">
        <f>MROUND(MID($C2484,6,3)/Basis!$E$3,0.5)</f>
        <v>23.5</v>
      </c>
      <c r="E2484" s="45">
        <f>MROUND(MID($C2484,9,3)/Basis!$E$3,0.5)</f>
        <v>27.5</v>
      </c>
      <c r="F2484" s="124" t="s">
        <v>2948</v>
      </c>
      <c r="G2484" s="45">
        <f>ROUND((ROUNDDOWN($F2484/5,0)*5+1.8)/Basis!$E$3,1)</f>
        <v>8.6</v>
      </c>
      <c r="H2484" s="120">
        <f>ROUND($P2484*Basis!$E$2*((TaH-TrH)/LN(1/µ)/Basis!$E$7)^$N2484*$AA$4*Glycol,0)</f>
        <v>4205</v>
      </c>
      <c r="I2484" s="83">
        <f>ROUND(H2484/(MID($C2484,9,3)/Basis!$E$3/Basis!$E$9)*Basis!$E$11,0)</f>
        <v>1831</v>
      </c>
      <c r="J2484" s="123">
        <f>IF(Basis!$E$1=1,ROUND(H2484/((TaH-TrH)*1.163)/3600,3),ROUND(H2484/(500*(TaH-TrH)),2))</f>
        <v>0.42</v>
      </c>
      <c r="K2484" s="84"/>
      <c r="L2484" s="177">
        <f>CHOOSE(Basis!$E$1,((AJ2484*(J2484*3600/Basis!$E$5)^AK2484*(((MID(C2484,9,3)*10)-144)/1000)*AL2484+AM2484*(J2484*3600/Basis!$E$5)^2)*0.0098)/Basis!$E$10,((AJ2484*(J2484/Basis!$E$5)^AK2484*(((MID(C2484,9,3)*10)-144)/1000)*AL2484+AM2484*(J2484/Basis!$E$5)^2)*0.0098)/Basis!$E$10)</f>
        <v>1.7676191327484606E-2</v>
      </c>
      <c r="M2484" s="85"/>
      <c r="N2484" s="110">
        <v>1.4930000000000001</v>
      </c>
      <c r="O2484" s="74"/>
      <c r="P2484" s="73">
        <v>2017</v>
      </c>
      <c r="Q2484" s="74"/>
      <c r="R2484" s="75"/>
      <c r="S2484" s="75"/>
      <c r="T2484" s="75"/>
      <c r="U2484" s="75"/>
      <c r="V2484" s="75"/>
      <c r="W2484" s="74"/>
      <c r="X2484" s="76"/>
      <c r="Y2484" s="76"/>
      <c r="Z2484" s="76"/>
      <c r="AA2484" s="76"/>
      <c r="AB2484" s="76"/>
      <c r="AC2484" s="74"/>
      <c r="AD2484" s="77"/>
      <c r="AE2484" s="77"/>
      <c r="AF2484" s="77"/>
      <c r="AG2484" s="77"/>
      <c r="AH2484" s="77"/>
      <c r="AI2484" s="68"/>
      <c r="AJ2484" s="213">
        <v>1.2760000000000001E-4</v>
      </c>
      <c r="AK2484" s="213">
        <v>1.7219</v>
      </c>
      <c r="AL2484" s="213">
        <v>4</v>
      </c>
      <c r="AM2484" s="213">
        <v>5.1420100000000005E-4</v>
      </c>
      <c r="AN2484" s="74"/>
      <c r="AO2484" s="73"/>
      <c r="AP2484" s="73"/>
      <c r="AQ2484" s="73"/>
      <c r="AR2484" s="73"/>
      <c r="AS2484" s="73"/>
      <c r="AT2484" s="74"/>
      <c r="AU2484" s="47"/>
      <c r="AV2484" s="48"/>
    </row>
    <row r="2485" spans="1:48" ht="12.75" customHeight="1" x14ac:dyDescent="0.25">
      <c r="A2485" s="72" t="s">
        <v>20</v>
      </c>
      <c r="B2485" s="43" t="s">
        <v>2240</v>
      </c>
      <c r="C2485" s="44" t="s">
        <v>2643</v>
      </c>
      <c r="D2485" s="45">
        <f>MROUND(MID($C2485,6,3)/Basis!$E$3,0.5)</f>
        <v>23.5</v>
      </c>
      <c r="E2485" s="45">
        <f>MROUND(MID($C2485,9,3)/Basis!$E$3,0.5)</f>
        <v>31.5</v>
      </c>
      <c r="F2485" s="124" t="s">
        <v>2943</v>
      </c>
      <c r="G2485" s="45">
        <f>ROUND((ROUNDDOWN($F2485/5,0)*5+1.8)/Basis!$E$3,1)</f>
        <v>4.5999999999999996</v>
      </c>
      <c r="H2485" s="120">
        <f>ROUND($P2485*Basis!$E$2*((TaH-TrH)/LN(1/µ)/Basis!$E$7)^$N2485*$AA$4*Glycol,0)</f>
        <v>2028</v>
      </c>
      <c r="I2485" s="83">
        <f>ROUND(H2485/(MID($C2485,9,3)/Basis!$E$3/Basis!$E$9)*Basis!$E$11,0)</f>
        <v>773</v>
      </c>
      <c r="J2485" s="123">
        <f>IF(Basis!$E$1=1,ROUND(H2485/((TaH-TrH)*1.163)/3600,3),ROUND(H2485/(500*(TaH-TrH)),2))</f>
        <v>0.2</v>
      </c>
      <c r="K2485" s="84"/>
      <c r="L2485" s="177">
        <f>CHOOSE(Basis!$E$1,((AJ2485*(J2485*3600/Basis!$E$5)^AK2485*(((MID(C2485,9,3)*10)-144)/1000)*AL2485+AM2485*(J2485*3600/Basis!$E$5)^2)*0.0098)/Basis!$E$10,((AJ2485*(J2485/Basis!$E$5)^AK2485*(((MID(C2485,9,3)*10)-144)/1000)*AL2485+AM2485*(J2485/Basis!$E$5)^2)*0.0098)/Basis!$E$10)</f>
        <v>3.7544754076980656E-3</v>
      </c>
      <c r="M2485" s="85"/>
      <c r="N2485" s="110">
        <v>1.3759999999999999</v>
      </c>
      <c r="O2485" s="74"/>
      <c r="P2485" s="73">
        <v>936</v>
      </c>
      <c r="Q2485" s="74"/>
      <c r="R2485" s="75"/>
      <c r="S2485" s="75"/>
      <c r="T2485" s="75"/>
      <c r="U2485" s="75"/>
      <c r="V2485" s="75"/>
      <c r="W2485" s="74"/>
      <c r="X2485" s="76"/>
      <c r="Y2485" s="76"/>
      <c r="Z2485" s="76"/>
      <c r="AA2485" s="76"/>
      <c r="AB2485" s="76"/>
      <c r="AC2485" s="74"/>
      <c r="AD2485" s="77"/>
      <c r="AE2485" s="77"/>
      <c r="AF2485" s="77"/>
      <c r="AG2485" s="77"/>
      <c r="AH2485" s="77"/>
      <c r="AI2485" s="68"/>
      <c r="AJ2485" s="213">
        <v>3.9689999999999994E-4</v>
      </c>
      <c r="AK2485" s="213">
        <v>1.7345999999999999</v>
      </c>
      <c r="AL2485" s="213">
        <v>2</v>
      </c>
      <c r="AM2485" s="213">
        <v>3.6734700000000002E-4</v>
      </c>
      <c r="AN2485" s="74"/>
      <c r="AO2485" s="73"/>
      <c r="AP2485" s="73"/>
      <c r="AQ2485" s="73"/>
      <c r="AR2485" s="73"/>
      <c r="AS2485" s="73"/>
      <c r="AT2485" s="74"/>
      <c r="AU2485" s="47"/>
      <c r="AV2485" s="48"/>
    </row>
    <row r="2486" spans="1:48" ht="12.75" customHeight="1" x14ac:dyDescent="0.25">
      <c r="A2486" s="72" t="s">
        <v>20</v>
      </c>
      <c r="B2486" s="43" t="s">
        <v>2240</v>
      </c>
      <c r="C2486" s="44" t="s">
        <v>2644</v>
      </c>
      <c r="D2486" s="45">
        <f>MROUND(MID($C2486,6,3)/Basis!$E$3,0.5)</f>
        <v>23.5</v>
      </c>
      <c r="E2486" s="45">
        <f>MROUND(MID($C2486,9,3)/Basis!$E$3,0.5)</f>
        <v>31.5</v>
      </c>
      <c r="F2486" s="124" t="s">
        <v>2946</v>
      </c>
      <c r="G2486" s="45">
        <f>ROUND((ROUNDDOWN($F2486/5,0)*5+1.8)/Basis!$E$3,1)</f>
        <v>4.5999999999999996</v>
      </c>
      <c r="H2486" s="120">
        <f>ROUND($P2486*Basis!$E$2*((TaH-TrH)/LN(1/µ)/Basis!$E$7)^$N2486*$AA$4*Glycol,0)</f>
        <v>2538</v>
      </c>
      <c r="I2486" s="83">
        <f>ROUND(H2486/(MID($C2486,9,3)/Basis!$E$3/Basis!$E$9)*Basis!$E$11,0)</f>
        <v>967</v>
      </c>
      <c r="J2486" s="123">
        <f>IF(Basis!$E$1=1,ROUND(H2486/((TaH-TrH)*1.163)/3600,3),ROUND(H2486/(500*(TaH-TrH)),2))</f>
        <v>0.25</v>
      </c>
      <c r="K2486" s="84"/>
      <c r="L2486" s="177">
        <f>CHOOSE(Basis!$E$1,((AJ2486*(J2486*3600/Basis!$E$5)^AK2486*(((MID(C2486,9,3)*10)-144)/1000)*AL2486+AM2486*(J2486*3600/Basis!$E$5)^2)*0.0098)/Basis!$E$10,((AJ2486*(J2486/Basis!$E$5)^AK2486*(((MID(C2486,9,3)*10)-144)/1000)*AL2486+AM2486*(J2486/Basis!$E$5)^2)*0.0098)/Basis!$E$10)</f>
        <v>9.81245248736674E-3</v>
      </c>
      <c r="M2486" s="85"/>
      <c r="N2486" s="109">
        <v>1.4370000000000001</v>
      </c>
      <c r="O2486" s="68"/>
      <c r="P2486" s="67">
        <v>1195</v>
      </c>
      <c r="Q2486" s="68"/>
      <c r="R2486" s="69"/>
      <c r="S2486" s="69"/>
      <c r="T2486" s="69"/>
      <c r="U2486" s="69"/>
      <c r="V2486" s="69"/>
      <c r="W2486" s="68"/>
      <c r="X2486" s="70"/>
      <c r="Y2486" s="70"/>
      <c r="Z2486" s="70"/>
      <c r="AA2486" s="70"/>
      <c r="AB2486" s="70"/>
      <c r="AC2486" s="68"/>
      <c r="AD2486" s="71"/>
      <c r="AE2486" s="71"/>
      <c r="AF2486" s="71"/>
      <c r="AG2486" s="71"/>
      <c r="AH2486" s="71"/>
      <c r="AI2486" s="68"/>
      <c r="AJ2486" s="214">
        <v>3.9689999999999994E-4</v>
      </c>
      <c r="AK2486" s="214">
        <v>1.7345999999999999</v>
      </c>
      <c r="AL2486" s="214">
        <v>4</v>
      </c>
      <c r="AM2486" s="214">
        <v>5.7428799999999995E-4</v>
      </c>
      <c r="AN2486" s="68"/>
      <c r="AO2486" s="67"/>
      <c r="AP2486" s="67"/>
      <c r="AQ2486" s="67"/>
      <c r="AR2486" s="67"/>
      <c r="AS2486" s="67"/>
      <c r="AT2486" s="68"/>
      <c r="AU2486" s="49"/>
      <c r="AV2486" s="50"/>
    </row>
    <row r="2487" spans="1:48" ht="12.75" customHeight="1" x14ac:dyDescent="0.25">
      <c r="A2487" s="72" t="s">
        <v>20</v>
      </c>
      <c r="B2487" s="43" t="s">
        <v>2240</v>
      </c>
      <c r="C2487" s="44" t="s">
        <v>2645</v>
      </c>
      <c r="D2487" s="45">
        <f>MROUND(MID($C2487,6,3)/Basis!$E$3,0.5)</f>
        <v>23.5</v>
      </c>
      <c r="E2487" s="45">
        <f>MROUND(MID($C2487,9,3)/Basis!$E$3,0.5)</f>
        <v>31.5</v>
      </c>
      <c r="F2487" s="124" t="s">
        <v>2944</v>
      </c>
      <c r="G2487" s="45">
        <f>ROUND((ROUNDDOWN($F2487/5,0)*5+1.8)/Basis!$E$3,1)</f>
        <v>6.6</v>
      </c>
      <c r="H2487" s="120">
        <f>ROUND($P2487*Basis!$E$2*((TaH-TrH)/LN(1/µ)/Basis!$E$7)^$N2487*$AA$4*Glycol,0)</f>
        <v>3251</v>
      </c>
      <c r="I2487" s="83">
        <f>ROUND(H2487/(MID($C2487,9,3)/Basis!$E$3/Basis!$E$9)*Basis!$E$11,0)</f>
        <v>1239</v>
      </c>
      <c r="J2487" s="123">
        <f>IF(Basis!$E$1=1,ROUND(H2487/((TaH-TrH)*1.163)/3600,3),ROUND(H2487/(500*(TaH-TrH)),2))</f>
        <v>0.33</v>
      </c>
      <c r="K2487" s="84"/>
      <c r="L2487" s="177">
        <f>CHOOSE(Basis!$E$1,((AJ2487*(J2487*3600/Basis!$E$5)^AK2487*(((MID(C2487,9,3)*10)-144)/1000)*AL2487+AM2487*(J2487*3600/Basis!$E$5)^2)*0.0098)/Basis!$E$10,((AJ2487*(J2487/Basis!$E$5)^AK2487*(((MID(C2487,9,3)*10)-144)/1000)*AL2487+AM2487*(J2487/Basis!$E$5)^2)*0.0098)/Basis!$E$10)</f>
        <v>1.000789597708975E-2</v>
      </c>
      <c r="M2487" s="85"/>
      <c r="N2487" s="109">
        <v>1.361</v>
      </c>
      <c r="O2487" s="68"/>
      <c r="P2487" s="67">
        <v>1493</v>
      </c>
      <c r="Q2487" s="68"/>
      <c r="R2487" s="69"/>
      <c r="S2487" s="69"/>
      <c r="T2487" s="69"/>
      <c r="U2487" s="69"/>
      <c r="V2487" s="69"/>
      <c r="W2487" s="68"/>
      <c r="X2487" s="70"/>
      <c r="Y2487" s="70"/>
      <c r="Z2487" s="70"/>
      <c r="AA2487" s="70"/>
      <c r="AB2487" s="70"/>
      <c r="AC2487" s="68"/>
      <c r="AD2487" s="71"/>
      <c r="AE2487" s="71"/>
      <c r="AF2487" s="71"/>
      <c r="AG2487" s="71"/>
      <c r="AH2487" s="71"/>
      <c r="AI2487" s="68"/>
      <c r="AJ2487" s="214">
        <v>2.0829999999999999E-4</v>
      </c>
      <c r="AK2487" s="214">
        <v>1.724</v>
      </c>
      <c r="AL2487" s="214">
        <v>2</v>
      </c>
      <c r="AM2487" s="214">
        <v>4.6182900000000003E-4</v>
      </c>
      <c r="AN2487" s="68"/>
      <c r="AO2487" s="67"/>
      <c r="AP2487" s="67"/>
      <c r="AQ2487" s="67"/>
      <c r="AR2487" s="67"/>
      <c r="AS2487" s="67"/>
      <c r="AT2487" s="68"/>
      <c r="AU2487" s="49"/>
      <c r="AV2487" s="50"/>
    </row>
    <row r="2488" spans="1:48" ht="12.75" customHeight="1" x14ac:dyDescent="0.25">
      <c r="A2488" s="72" t="s">
        <v>20</v>
      </c>
      <c r="B2488" s="43" t="s">
        <v>2240</v>
      </c>
      <c r="C2488" s="44" t="s">
        <v>2646</v>
      </c>
      <c r="D2488" s="45">
        <f>MROUND(MID($C2488,6,3)/Basis!$E$3,0.5)</f>
        <v>23.5</v>
      </c>
      <c r="E2488" s="45">
        <f>MROUND(MID($C2488,9,3)/Basis!$E$3,0.5)</f>
        <v>31.5</v>
      </c>
      <c r="F2488" s="124" t="s">
        <v>2947</v>
      </c>
      <c r="G2488" s="45">
        <f>ROUND((ROUNDDOWN($F2488/5,0)*5+1.8)/Basis!$E$3,1)</f>
        <v>6.6</v>
      </c>
      <c r="H2488" s="120">
        <f>ROUND($P2488*Basis!$E$2*((TaH-TrH)/LN(1/µ)/Basis!$E$7)^$N2488*$AA$4*Glycol,0)</f>
        <v>3504</v>
      </c>
      <c r="I2488" s="83">
        <f>ROUND(H2488/(MID($C2488,9,3)/Basis!$E$3/Basis!$E$9)*Basis!$E$11,0)</f>
        <v>1335</v>
      </c>
      <c r="J2488" s="123">
        <f>IF(Basis!$E$1=1,ROUND(H2488/((TaH-TrH)*1.163)/3600,3),ROUND(H2488/(500*(TaH-TrH)),2))</f>
        <v>0.35</v>
      </c>
      <c r="K2488" s="84"/>
      <c r="L2488" s="177">
        <f>CHOOSE(Basis!$E$1,((AJ2488*(J2488*3600/Basis!$E$5)^AK2488*(((MID(C2488,9,3)*10)-144)/1000)*AL2488+AM2488*(J2488*3600/Basis!$E$5)^2)*0.0098)/Basis!$E$10,((AJ2488*(J2488/Basis!$E$5)^AK2488*(((MID(C2488,9,3)*10)-144)/1000)*AL2488+AM2488*(J2488/Basis!$E$5)^2)*0.0098)/Basis!$E$10)</f>
        <v>3.2153569807214781E-2</v>
      </c>
      <c r="M2488" s="85"/>
      <c r="N2488" s="110">
        <v>1.468</v>
      </c>
      <c r="O2488" s="74"/>
      <c r="P2488" s="73">
        <v>1667</v>
      </c>
      <c r="Q2488" s="74"/>
      <c r="R2488" s="75"/>
      <c r="S2488" s="75"/>
      <c r="T2488" s="75"/>
      <c r="U2488" s="75"/>
      <c r="V2488" s="75"/>
      <c r="W2488" s="74"/>
      <c r="X2488" s="76"/>
      <c r="Y2488" s="76"/>
      <c r="Z2488" s="76"/>
      <c r="AA2488" s="76"/>
      <c r="AB2488" s="76"/>
      <c r="AC2488" s="74"/>
      <c r="AD2488" s="77"/>
      <c r="AE2488" s="77"/>
      <c r="AF2488" s="77"/>
      <c r="AG2488" s="77"/>
      <c r="AH2488" s="77"/>
      <c r="AI2488" s="68"/>
      <c r="AJ2488" s="213">
        <v>2.0829999999999999E-4</v>
      </c>
      <c r="AK2488" s="213">
        <v>1.724</v>
      </c>
      <c r="AL2488" s="213">
        <v>4</v>
      </c>
      <c r="AM2488" s="213">
        <v>1.392796E-3</v>
      </c>
      <c r="AN2488" s="74"/>
      <c r="AO2488" s="73"/>
      <c r="AP2488" s="73"/>
      <c r="AQ2488" s="73"/>
      <c r="AR2488" s="73"/>
      <c r="AS2488" s="73"/>
      <c r="AT2488" s="74"/>
      <c r="AU2488" s="47"/>
      <c r="AV2488" s="48"/>
    </row>
    <row r="2489" spans="1:48" ht="12.75" customHeight="1" x14ac:dyDescent="0.25">
      <c r="A2489" s="72" t="s">
        <v>20</v>
      </c>
      <c r="B2489" s="43" t="s">
        <v>2240</v>
      </c>
      <c r="C2489" s="44" t="s">
        <v>2647</v>
      </c>
      <c r="D2489" s="45">
        <f>MROUND(MID($C2489,6,3)/Basis!$E$3,0.5)</f>
        <v>23.5</v>
      </c>
      <c r="E2489" s="45">
        <f>MROUND(MID($C2489,9,3)/Basis!$E$3,0.5)</f>
        <v>31.5</v>
      </c>
      <c r="F2489" s="124" t="s">
        <v>2945</v>
      </c>
      <c r="G2489" s="45">
        <f>ROUND((ROUNDDOWN($F2489/5,0)*5+1.8)/Basis!$E$3,1)</f>
        <v>8.6</v>
      </c>
      <c r="H2489" s="120">
        <f>ROUND($P2489*Basis!$E$2*((TaH-TrH)/LN(1/µ)/Basis!$E$7)^$N2489*$AA$4*Glycol,0)</f>
        <v>4542</v>
      </c>
      <c r="I2489" s="83">
        <f>ROUND(H2489/(MID($C2489,9,3)/Basis!$E$3/Basis!$E$9)*Basis!$E$11,0)</f>
        <v>1731</v>
      </c>
      <c r="J2489" s="123">
        <f>IF(Basis!$E$1=1,ROUND(H2489/((TaH-TrH)*1.163)/3600,3),ROUND(H2489/(500*(TaH-TrH)),2))</f>
        <v>0.45</v>
      </c>
      <c r="K2489" s="84"/>
      <c r="L2489" s="177">
        <f>CHOOSE(Basis!$E$1,((AJ2489*(J2489*3600/Basis!$E$5)^AK2489*(((MID(C2489,9,3)*10)-144)/1000)*AL2489+AM2489*(J2489*3600/Basis!$E$5)^2)*0.0098)/Basis!$E$10,((AJ2489*(J2489/Basis!$E$5)^AK2489*(((MID(C2489,9,3)*10)-144)/1000)*AL2489+AM2489*(J2489/Basis!$E$5)^2)*0.0098)/Basis!$E$10)</f>
        <v>1.4442527963100462E-2</v>
      </c>
      <c r="M2489" s="85"/>
      <c r="N2489" s="110">
        <v>1.361</v>
      </c>
      <c r="O2489" s="74"/>
      <c r="P2489" s="73">
        <v>2086</v>
      </c>
      <c r="Q2489" s="74"/>
      <c r="R2489" s="75"/>
      <c r="S2489" s="75"/>
      <c r="T2489" s="75"/>
      <c r="U2489" s="75"/>
      <c r="V2489" s="75"/>
      <c r="W2489" s="74"/>
      <c r="X2489" s="76"/>
      <c r="Y2489" s="76"/>
      <c r="Z2489" s="76"/>
      <c r="AA2489" s="76"/>
      <c r="AB2489" s="76"/>
      <c r="AC2489" s="74"/>
      <c r="AD2489" s="77"/>
      <c r="AE2489" s="77"/>
      <c r="AF2489" s="77"/>
      <c r="AG2489" s="77"/>
      <c r="AH2489" s="77"/>
      <c r="AI2489" s="68"/>
      <c r="AJ2489" s="214">
        <v>1.2760000000000001E-4</v>
      </c>
      <c r="AK2489" s="214">
        <v>1.7219</v>
      </c>
      <c r="AL2489" s="214">
        <v>2</v>
      </c>
      <c r="AM2489" s="214">
        <v>3.76611E-4</v>
      </c>
      <c r="AN2489" s="74"/>
      <c r="AO2489" s="73"/>
      <c r="AP2489" s="73"/>
      <c r="AQ2489" s="73"/>
      <c r="AR2489" s="73"/>
      <c r="AS2489" s="73"/>
      <c r="AT2489" s="74"/>
      <c r="AU2489" s="47"/>
      <c r="AV2489" s="48"/>
    </row>
    <row r="2490" spans="1:48" ht="12.75" customHeight="1" x14ac:dyDescent="0.25">
      <c r="A2490" s="72" t="s">
        <v>20</v>
      </c>
      <c r="B2490" s="43" t="s">
        <v>2240</v>
      </c>
      <c r="C2490" s="44" t="s">
        <v>2648</v>
      </c>
      <c r="D2490" s="45">
        <f>MROUND(MID($C2490,6,3)/Basis!$E$3,0.5)</f>
        <v>23.5</v>
      </c>
      <c r="E2490" s="45">
        <f>MROUND(MID($C2490,9,3)/Basis!$E$3,0.5)</f>
        <v>31.5</v>
      </c>
      <c r="F2490" s="124" t="s">
        <v>2948</v>
      </c>
      <c r="G2490" s="45">
        <f>ROUND((ROUNDDOWN($F2490/5,0)*5+1.8)/Basis!$E$3,1)</f>
        <v>8.6</v>
      </c>
      <c r="H2490" s="120">
        <f>ROUND($P2490*Basis!$E$2*((TaH-TrH)/LN(1/µ)/Basis!$E$7)^$N2490*$AA$4*Glycol,0)</f>
        <v>4807</v>
      </c>
      <c r="I2490" s="83">
        <f>ROUND(H2490/(MID($C2490,9,3)/Basis!$E$3/Basis!$E$9)*Basis!$E$11,0)</f>
        <v>1831</v>
      </c>
      <c r="J2490" s="123">
        <f>IF(Basis!$E$1=1,ROUND(H2490/((TaH-TrH)*1.163)/3600,3),ROUND(H2490/(500*(TaH-TrH)),2))</f>
        <v>0.48</v>
      </c>
      <c r="K2490" s="84"/>
      <c r="L2490" s="177">
        <f>CHOOSE(Basis!$E$1,((AJ2490*(J2490*3600/Basis!$E$5)^AK2490*(((MID(C2490,9,3)*10)-144)/1000)*AL2490+AM2490*(J2490*3600/Basis!$E$5)^2)*0.0098)/Basis!$E$10,((AJ2490*(J2490/Basis!$E$5)^AK2490*(((MID(C2490,9,3)*10)-144)/1000)*AL2490+AM2490*(J2490/Basis!$E$5)^2)*0.0098)/Basis!$E$10)</f>
        <v>2.3512122265976123E-2</v>
      </c>
      <c r="M2490" s="85"/>
      <c r="N2490" s="109">
        <v>1.4930000000000001</v>
      </c>
      <c r="O2490" s="68"/>
      <c r="P2490" s="67">
        <v>2306</v>
      </c>
      <c r="Q2490" s="68"/>
      <c r="R2490" s="69"/>
      <c r="S2490" s="69"/>
      <c r="T2490" s="69"/>
      <c r="U2490" s="69"/>
      <c r="V2490" s="69"/>
      <c r="W2490" s="68"/>
      <c r="X2490" s="70"/>
      <c r="Y2490" s="70"/>
      <c r="Z2490" s="70"/>
      <c r="AA2490" s="70"/>
      <c r="AB2490" s="70"/>
      <c r="AC2490" s="68"/>
      <c r="AD2490" s="71"/>
      <c r="AE2490" s="71"/>
      <c r="AF2490" s="71"/>
      <c r="AG2490" s="71"/>
      <c r="AH2490" s="71"/>
      <c r="AI2490" s="68"/>
      <c r="AJ2490" s="214">
        <v>1.2760000000000001E-4</v>
      </c>
      <c r="AK2490" s="214">
        <v>1.7219</v>
      </c>
      <c r="AL2490" s="214">
        <v>4</v>
      </c>
      <c r="AM2490" s="214">
        <v>5.1420100000000005E-4</v>
      </c>
      <c r="AN2490" s="68"/>
      <c r="AO2490" s="67"/>
      <c r="AP2490" s="67"/>
      <c r="AQ2490" s="67"/>
      <c r="AR2490" s="67"/>
      <c r="AS2490" s="67"/>
      <c r="AT2490" s="68"/>
      <c r="AU2490" s="49"/>
      <c r="AV2490" s="50"/>
    </row>
    <row r="2491" spans="1:48" ht="12.75" customHeight="1" x14ac:dyDescent="0.25">
      <c r="A2491" s="72" t="s">
        <v>20</v>
      </c>
      <c r="B2491" s="43" t="s">
        <v>2240</v>
      </c>
      <c r="C2491" s="44" t="s">
        <v>2649</v>
      </c>
      <c r="D2491" s="45">
        <f>MROUND(MID($C2491,6,3)/Basis!$E$3,0.5)</f>
        <v>23.5</v>
      </c>
      <c r="E2491" s="45">
        <f>MROUND(MID($C2491,9,3)/Basis!$E$3,0.5)</f>
        <v>35.5</v>
      </c>
      <c r="F2491" s="124" t="s">
        <v>2943</v>
      </c>
      <c r="G2491" s="45">
        <f>ROUND((ROUNDDOWN($F2491/5,0)*5+1.8)/Basis!$E$3,1)</f>
        <v>4.5999999999999996</v>
      </c>
      <c r="H2491" s="120">
        <f>ROUND($P2491*Basis!$E$2*((TaH-TrH)/LN(1/µ)/Basis!$E$7)^$N2491*$AA$4*Glycol,0)</f>
        <v>2282</v>
      </c>
      <c r="I2491" s="83">
        <f>ROUND(H2491/(MID($C2491,9,3)/Basis!$E$3/Basis!$E$9)*Basis!$E$11,0)</f>
        <v>773</v>
      </c>
      <c r="J2491" s="123">
        <f>IF(Basis!$E$1=1,ROUND(H2491/((TaH-TrH)*1.163)/3600,3),ROUND(H2491/(500*(TaH-TrH)),2))</f>
        <v>0.23</v>
      </c>
      <c r="K2491" s="84"/>
      <c r="L2491" s="177">
        <f>CHOOSE(Basis!$E$1,((AJ2491*(J2491*3600/Basis!$E$5)^AK2491*(((MID(C2491,9,3)*10)-144)/1000)*AL2491+AM2491*(J2491*3600/Basis!$E$5)^2)*0.0098)/Basis!$E$10,((AJ2491*(J2491/Basis!$E$5)^AK2491*(((MID(C2491,9,3)*10)-144)/1000)*AL2491+AM2491*(J2491/Basis!$E$5)^2)*0.0098)/Basis!$E$10)</f>
        <v>5.1517297141907307E-3</v>
      </c>
      <c r="M2491" s="85"/>
      <c r="N2491" s="109">
        <v>1.3759999999999999</v>
      </c>
      <c r="O2491" s="68"/>
      <c r="P2491" s="67">
        <v>1053</v>
      </c>
      <c r="Q2491" s="68"/>
      <c r="R2491" s="69"/>
      <c r="S2491" s="69"/>
      <c r="T2491" s="69"/>
      <c r="U2491" s="69"/>
      <c r="V2491" s="69"/>
      <c r="W2491" s="68"/>
      <c r="X2491" s="70"/>
      <c r="Y2491" s="70"/>
      <c r="Z2491" s="70"/>
      <c r="AA2491" s="70"/>
      <c r="AB2491" s="70"/>
      <c r="AC2491" s="68"/>
      <c r="AD2491" s="71"/>
      <c r="AE2491" s="71"/>
      <c r="AF2491" s="71"/>
      <c r="AG2491" s="71"/>
      <c r="AH2491" s="71"/>
      <c r="AI2491" s="68"/>
      <c r="AJ2491" s="214">
        <v>3.9689999999999994E-4</v>
      </c>
      <c r="AK2491" s="214">
        <v>1.7345999999999999</v>
      </c>
      <c r="AL2491" s="214">
        <v>2</v>
      </c>
      <c r="AM2491" s="214">
        <v>3.6734700000000002E-4</v>
      </c>
      <c r="AN2491" s="68"/>
      <c r="AO2491" s="67"/>
      <c r="AP2491" s="67"/>
      <c r="AQ2491" s="67"/>
      <c r="AR2491" s="67"/>
      <c r="AS2491" s="67"/>
      <c r="AT2491" s="68"/>
      <c r="AU2491" s="49"/>
      <c r="AV2491" s="50"/>
    </row>
    <row r="2492" spans="1:48" ht="12.75" customHeight="1" x14ac:dyDescent="0.25">
      <c r="A2492" s="72" t="s">
        <v>20</v>
      </c>
      <c r="B2492" s="43" t="s">
        <v>2240</v>
      </c>
      <c r="C2492" s="44" t="s">
        <v>2650</v>
      </c>
      <c r="D2492" s="45">
        <f>MROUND(MID($C2492,6,3)/Basis!$E$3,0.5)</f>
        <v>23.5</v>
      </c>
      <c r="E2492" s="45">
        <f>MROUND(MID($C2492,9,3)/Basis!$E$3,0.5)</f>
        <v>35.5</v>
      </c>
      <c r="F2492" s="124" t="s">
        <v>2946</v>
      </c>
      <c r="G2492" s="45">
        <f>ROUND((ROUNDDOWN($F2492/5,0)*5+1.8)/Basis!$E$3,1)</f>
        <v>4.5999999999999996</v>
      </c>
      <c r="H2492" s="120">
        <f>ROUND($P2492*Basis!$E$2*((TaH-TrH)/LN(1/µ)/Basis!$E$7)^$N2492*$AA$4*Glycol,0)</f>
        <v>2856</v>
      </c>
      <c r="I2492" s="83">
        <f>ROUND(H2492/(MID($C2492,9,3)/Basis!$E$3/Basis!$E$9)*Basis!$E$11,0)</f>
        <v>967</v>
      </c>
      <c r="J2492" s="123">
        <f>IF(Basis!$E$1=1,ROUND(H2492/((TaH-TrH)*1.163)/3600,3),ROUND(H2492/(500*(TaH-TrH)),2))</f>
        <v>0.28999999999999998</v>
      </c>
      <c r="K2492" s="84"/>
      <c r="L2492" s="177">
        <f>CHOOSE(Basis!$E$1,((AJ2492*(J2492*3600/Basis!$E$5)^AK2492*(((MID(C2492,9,3)*10)-144)/1000)*AL2492+AM2492*(J2492*3600/Basis!$E$5)^2)*0.0098)/Basis!$E$10,((AJ2492*(J2492/Basis!$E$5)^AK2492*(((MID(C2492,9,3)*10)-144)/1000)*AL2492+AM2492*(J2492/Basis!$E$5)^2)*0.0098)/Basis!$E$10)</f>
        <v>1.3749448113625719E-2</v>
      </c>
      <c r="M2492" s="85"/>
      <c r="N2492" s="110">
        <v>1.4370000000000001</v>
      </c>
      <c r="O2492" s="74"/>
      <c r="P2492" s="73">
        <v>1345</v>
      </c>
      <c r="Q2492" s="74"/>
      <c r="R2492" s="75"/>
      <c r="S2492" s="75"/>
      <c r="T2492" s="75"/>
      <c r="U2492" s="75"/>
      <c r="V2492" s="75"/>
      <c r="W2492" s="74"/>
      <c r="X2492" s="76"/>
      <c r="Y2492" s="76"/>
      <c r="Z2492" s="76"/>
      <c r="AA2492" s="76"/>
      <c r="AB2492" s="76"/>
      <c r="AC2492" s="74"/>
      <c r="AD2492" s="77"/>
      <c r="AE2492" s="77"/>
      <c r="AF2492" s="77"/>
      <c r="AG2492" s="77"/>
      <c r="AH2492" s="77"/>
      <c r="AI2492" s="68"/>
      <c r="AJ2492" s="213">
        <v>3.9689999999999994E-4</v>
      </c>
      <c r="AK2492" s="213">
        <v>1.7345999999999999</v>
      </c>
      <c r="AL2492" s="213">
        <v>4</v>
      </c>
      <c r="AM2492" s="213">
        <v>5.7428799999999995E-4</v>
      </c>
      <c r="AN2492" s="74"/>
      <c r="AO2492" s="73"/>
      <c r="AP2492" s="73"/>
      <c r="AQ2492" s="73"/>
      <c r="AR2492" s="73"/>
      <c r="AS2492" s="73"/>
      <c r="AT2492" s="74"/>
      <c r="AU2492" s="47"/>
      <c r="AV2492" s="48"/>
    </row>
    <row r="2493" spans="1:48" ht="12.75" customHeight="1" x14ac:dyDescent="0.25">
      <c r="A2493" s="72" t="s">
        <v>20</v>
      </c>
      <c r="B2493" s="43" t="s">
        <v>2240</v>
      </c>
      <c r="C2493" s="44" t="s">
        <v>2651</v>
      </c>
      <c r="D2493" s="45">
        <f>MROUND(MID($C2493,6,3)/Basis!$E$3,0.5)</f>
        <v>23.5</v>
      </c>
      <c r="E2493" s="45">
        <f>MROUND(MID($C2493,9,3)/Basis!$E$3,0.5)</f>
        <v>35.5</v>
      </c>
      <c r="F2493" s="124" t="s">
        <v>2944</v>
      </c>
      <c r="G2493" s="45">
        <f>ROUND((ROUNDDOWN($F2493/5,0)*5+1.8)/Basis!$E$3,1)</f>
        <v>6.6</v>
      </c>
      <c r="H2493" s="120">
        <f>ROUND($P2493*Basis!$E$2*((TaH-TrH)/LN(1/µ)/Basis!$E$7)^$N2493*$AA$4*Glycol,0)</f>
        <v>3656</v>
      </c>
      <c r="I2493" s="83">
        <f>ROUND(H2493/(MID($C2493,9,3)/Basis!$E$3/Basis!$E$9)*Basis!$E$11,0)</f>
        <v>1238</v>
      </c>
      <c r="J2493" s="123">
        <f>IF(Basis!$E$1=1,ROUND(H2493/((TaH-TrH)*1.163)/3600,3),ROUND(H2493/(500*(TaH-TrH)),2))</f>
        <v>0.37</v>
      </c>
      <c r="K2493" s="84"/>
      <c r="L2493" s="177">
        <f>CHOOSE(Basis!$E$1,((AJ2493*(J2493*3600/Basis!$E$5)^AK2493*(((MID(C2493,9,3)*10)-144)/1000)*AL2493+AM2493*(J2493*3600/Basis!$E$5)^2)*0.0098)/Basis!$E$10,((AJ2493*(J2493/Basis!$E$5)^AK2493*(((MID(C2493,9,3)*10)-144)/1000)*AL2493+AM2493*(J2493/Basis!$E$5)^2)*0.0098)/Basis!$E$10)</f>
        <v>1.2804650329036861E-2</v>
      </c>
      <c r="M2493" s="85"/>
      <c r="N2493" s="110">
        <v>1.361</v>
      </c>
      <c r="O2493" s="74"/>
      <c r="P2493" s="73">
        <v>1679</v>
      </c>
      <c r="Q2493" s="74"/>
      <c r="R2493" s="75"/>
      <c r="S2493" s="75"/>
      <c r="T2493" s="75"/>
      <c r="U2493" s="75"/>
      <c r="V2493" s="75"/>
      <c r="W2493" s="74"/>
      <c r="X2493" s="76"/>
      <c r="Y2493" s="76"/>
      <c r="Z2493" s="76"/>
      <c r="AA2493" s="76"/>
      <c r="AB2493" s="76"/>
      <c r="AC2493" s="74"/>
      <c r="AD2493" s="77"/>
      <c r="AE2493" s="77"/>
      <c r="AF2493" s="77"/>
      <c r="AG2493" s="77"/>
      <c r="AH2493" s="77"/>
      <c r="AI2493" s="68"/>
      <c r="AJ2493" s="213">
        <v>2.0829999999999999E-4</v>
      </c>
      <c r="AK2493" s="213">
        <v>1.724</v>
      </c>
      <c r="AL2493" s="213">
        <v>2</v>
      </c>
      <c r="AM2493" s="213">
        <v>4.6182900000000003E-4</v>
      </c>
      <c r="AN2493" s="74"/>
      <c r="AO2493" s="73"/>
      <c r="AP2493" s="73"/>
      <c r="AQ2493" s="73"/>
      <c r="AR2493" s="73"/>
      <c r="AS2493" s="73"/>
      <c r="AT2493" s="74"/>
      <c r="AU2493" s="47"/>
      <c r="AV2493" s="48"/>
    </row>
    <row r="2494" spans="1:48" ht="12.75" customHeight="1" x14ac:dyDescent="0.25">
      <c r="A2494" s="72" t="s">
        <v>20</v>
      </c>
      <c r="B2494" s="43" t="s">
        <v>2240</v>
      </c>
      <c r="C2494" s="44" t="s">
        <v>2652</v>
      </c>
      <c r="D2494" s="45">
        <f>MROUND(MID($C2494,6,3)/Basis!$E$3,0.5)</f>
        <v>23.5</v>
      </c>
      <c r="E2494" s="45">
        <f>MROUND(MID($C2494,9,3)/Basis!$E$3,0.5)</f>
        <v>35.5</v>
      </c>
      <c r="F2494" s="124" t="s">
        <v>2947</v>
      </c>
      <c r="G2494" s="45">
        <f>ROUND((ROUNDDOWN($F2494/5,0)*5+1.8)/Basis!$E$3,1)</f>
        <v>6.6</v>
      </c>
      <c r="H2494" s="120">
        <f>ROUND($P2494*Basis!$E$2*((TaH-TrH)/LN(1/µ)/Basis!$E$7)^$N2494*$AA$4*Glycol,0)</f>
        <v>3943</v>
      </c>
      <c r="I2494" s="83">
        <f>ROUND(H2494/(MID($C2494,9,3)/Basis!$E$3/Basis!$E$9)*Basis!$E$11,0)</f>
        <v>1335</v>
      </c>
      <c r="J2494" s="123">
        <f>IF(Basis!$E$1=1,ROUND(H2494/((TaH-TrH)*1.163)/3600,3),ROUND(H2494/(500*(TaH-TrH)),2))</f>
        <v>0.39</v>
      </c>
      <c r="K2494" s="84"/>
      <c r="L2494" s="177">
        <f>CHOOSE(Basis!$E$1,((AJ2494*(J2494*3600/Basis!$E$5)^AK2494*(((MID(C2494,9,3)*10)-144)/1000)*AL2494+AM2494*(J2494*3600/Basis!$E$5)^2)*0.0098)/Basis!$E$10,((AJ2494*(J2494/Basis!$E$5)^AK2494*(((MID(C2494,9,3)*10)-144)/1000)*AL2494+AM2494*(J2494/Basis!$E$5)^2)*0.0098)/Basis!$E$10)</f>
        <v>4.0419690064040358E-2</v>
      </c>
      <c r="M2494" s="85"/>
      <c r="N2494" s="109">
        <v>1.468</v>
      </c>
      <c r="O2494" s="68"/>
      <c r="P2494" s="67">
        <v>1876</v>
      </c>
      <c r="Q2494" s="68"/>
      <c r="R2494" s="69"/>
      <c r="S2494" s="69"/>
      <c r="T2494" s="69"/>
      <c r="U2494" s="69"/>
      <c r="V2494" s="69"/>
      <c r="W2494" s="68"/>
      <c r="X2494" s="70"/>
      <c r="Y2494" s="70"/>
      <c r="Z2494" s="70"/>
      <c r="AA2494" s="70"/>
      <c r="AB2494" s="70"/>
      <c r="AC2494" s="68"/>
      <c r="AD2494" s="71"/>
      <c r="AE2494" s="71"/>
      <c r="AF2494" s="71"/>
      <c r="AG2494" s="71"/>
      <c r="AH2494" s="71"/>
      <c r="AI2494" s="68"/>
      <c r="AJ2494" s="214">
        <v>2.0829999999999999E-4</v>
      </c>
      <c r="AK2494" s="214">
        <v>1.724</v>
      </c>
      <c r="AL2494" s="214">
        <v>4</v>
      </c>
      <c r="AM2494" s="214">
        <v>1.392796E-3</v>
      </c>
      <c r="AN2494" s="68"/>
      <c r="AO2494" s="67"/>
      <c r="AP2494" s="67"/>
      <c r="AQ2494" s="67"/>
      <c r="AR2494" s="67"/>
      <c r="AS2494" s="67"/>
      <c r="AT2494" s="68"/>
      <c r="AU2494" s="49"/>
      <c r="AV2494" s="50"/>
    </row>
    <row r="2495" spans="1:48" ht="12.75" customHeight="1" x14ac:dyDescent="0.25">
      <c r="A2495" s="72" t="s">
        <v>20</v>
      </c>
      <c r="B2495" s="43" t="s">
        <v>2240</v>
      </c>
      <c r="C2495" s="44" t="s">
        <v>2653</v>
      </c>
      <c r="D2495" s="45">
        <f>MROUND(MID($C2495,6,3)/Basis!$E$3,0.5)</f>
        <v>23.5</v>
      </c>
      <c r="E2495" s="45">
        <f>MROUND(MID($C2495,9,3)/Basis!$E$3,0.5)</f>
        <v>35.5</v>
      </c>
      <c r="F2495" s="124" t="s">
        <v>2945</v>
      </c>
      <c r="G2495" s="45">
        <f>ROUND((ROUNDDOWN($F2495/5,0)*5+1.8)/Basis!$E$3,1)</f>
        <v>8.6</v>
      </c>
      <c r="H2495" s="120">
        <f>ROUND($P2495*Basis!$E$2*((TaH-TrH)/LN(1/µ)/Basis!$E$7)^$N2495*$AA$4*Glycol,0)</f>
        <v>5110</v>
      </c>
      <c r="I2495" s="83">
        <f>ROUND(H2495/(MID($C2495,9,3)/Basis!$E$3/Basis!$E$9)*Basis!$E$11,0)</f>
        <v>1731</v>
      </c>
      <c r="J2495" s="123">
        <f>IF(Basis!$E$1=1,ROUND(H2495/((TaH-TrH)*1.163)/3600,3),ROUND(H2495/(500*(TaH-TrH)),2))</f>
        <v>0.51</v>
      </c>
      <c r="K2495" s="84"/>
      <c r="L2495" s="177">
        <f>CHOOSE(Basis!$E$1,((AJ2495*(J2495*3600/Basis!$E$5)^AK2495*(((MID(C2495,9,3)*10)-144)/1000)*AL2495+AM2495*(J2495*3600/Basis!$E$5)^2)*0.0098)/Basis!$E$10,((AJ2495*(J2495/Basis!$E$5)^AK2495*(((MID(C2495,9,3)*10)-144)/1000)*AL2495+AM2495*(J2495/Basis!$E$5)^2)*0.0098)/Basis!$E$10)</f>
        <v>1.8779852843296748E-2</v>
      </c>
      <c r="M2495" s="85"/>
      <c r="N2495" s="109">
        <v>1.361</v>
      </c>
      <c r="O2495" s="68"/>
      <c r="P2495" s="67">
        <v>2347</v>
      </c>
      <c r="Q2495" s="68"/>
      <c r="R2495" s="69"/>
      <c r="S2495" s="69"/>
      <c r="T2495" s="69"/>
      <c r="U2495" s="69"/>
      <c r="V2495" s="69"/>
      <c r="W2495" s="68"/>
      <c r="X2495" s="70"/>
      <c r="Y2495" s="70"/>
      <c r="Z2495" s="70"/>
      <c r="AA2495" s="70"/>
      <c r="AB2495" s="70"/>
      <c r="AC2495" s="68"/>
      <c r="AD2495" s="71"/>
      <c r="AE2495" s="71"/>
      <c r="AF2495" s="71"/>
      <c r="AG2495" s="71"/>
      <c r="AH2495" s="71"/>
      <c r="AI2495" s="68"/>
      <c r="AJ2495" s="214">
        <v>1.2760000000000001E-4</v>
      </c>
      <c r="AK2495" s="214">
        <v>1.7219</v>
      </c>
      <c r="AL2495" s="214">
        <v>2</v>
      </c>
      <c r="AM2495" s="214">
        <v>3.76611E-4</v>
      </c>
      <c r="AN2495" s="68"/>
      <c r="AO2495" s="67"/>
      <c r="AP2495" s="67"/>
      <c r="AQ2495" s="67"/>
      <c r="AR2495" s="67"/>
      <c r="AS2495" s="67"/>
      <c r="AT2495" s="68"/>
      <c r="AU2495" s="49"/>
      <c r="AV2495" s="50"/>
    </row>
    <row r="2496" spans="1:48" ht="12.75" customHeight="1" x14ac:dyDescent="0.25">
      <c r="A2496" s="72" t="s">
        <v>20</v>
      </c>
      <c r="B2496" s="43" t="s">
        <v>2240</v>
      </c>
      <c r="C2496" s="44" t="s">
        <v>2654</v>
      </c>
      <c r="D2496" s="45">
        <f>MROUND(MID($C2496,6,3)/Basis!$E$3,0.5)</f>
        <v>23.5</v>
      </c>
      <c r="E2496" s="45">
        <f>MROUND(MID($C2496,9,3)/Basis!$E$3,0.5)</f>
        <v>35.5</v>
      </c>
      <c r="F2496" s="124" t="s">
        <v>2948</v>
      </c>
      <c r="G2496" s="45">
        <f>ROUND((ROUNDDOWN($F2496/5,0)*5+1.8)/Basis!$E$3,1)</f>
        <v>8.6</v>
      </c>
      <c r="H2496" s="120">
        <f>ROUND($P2496*Basis!$E$2*((TaH-TrH)/LN(1/µ)/Basis!$E$7)^$N2496*$AA$4*Glycol,0)</f>
        <v>5407</v>
      </c>
      <c r="I2496" s="83">
        <f>ROUND(H2496/(MID($C2496,9,3)/Basis!$E$3/Basis!$E$9)*Basis!$E$11,0)</f>
        <v>1831</v>
      </c>
      <c r="J2496" s="123">
        <f>IF(Basis!$E$1=1,ROUND(H2496/((TaH-TrH)*1.163)/3600,3),ROUND(H2496/(500*(TaH-TrH)),2))</f>
        <v>0.54</v>
      </c>
      <c r="K2496" s="84"/>
      <c r="L2496" s="177">
        <f>CHOOSE(Basis!$E$1,((AJ2496*(J2496*3600/Basis!$E$5)^AK2496*(((MID(C2496,9,3)*10)-144)/1000)*AL2496+AM2496*(J2496*3600/Basis!$E$5)^2)*0.0098)/Basis!$E$10,((AJ2496*(J2496/Basis!$E$5)^AK2496*(((MID(C2496,9,3)*10)-144)/1000)*AL2496+AM2496*(J2496/Basis!$E$5)^2)*0.0098)/Basis!$E$10)</f>
        <v>3.027258016102307E-2</v>
      </c>
      <c r="M2496" s="85"/>
      <c r="N2496" s="110">
        <v>1.4930000000000001</v>
      </c>
      <c r="O2496" s="74"/>
      <c r="P2496" s="73">
        <v>2594</v>
      </c>
      <c r="Q2496" s="74"/>
      <c r="R2496" s="75"/>
      <c r="S2496" s="75"/>
      <c r="T2496" s="75"/>
      <c r="U2496" s="75"/>
      <c r="V2496" s="75"/>
      <c r="W2496" s="74"/>
      <c r="X2496" s="76"/>
      <c r="Y2496" s="76"/>
      <c r="Z2496" s="76"/>
      <c r="AA2496" s="76"/>
      <c r="AB2496" s="76"/>
      <c r="AC2496" s="74"/>
      <c r="AD2496" s="77"/>
      <c r="AE2496" s="77"/>
      <c r="AF2496" s="77"/>
      <c r="AG2496" s="77"/>
      <c r="AH2496" s="77"/>
      <c r="AI2496" s="68"/>
      <c r="AJ2496" s="213">
        <v>1.2760000000000001E-4</v>
      </c>
      <c r="AK2496" s="213">
        <v>1.7219</v>
      </c>
      <c r="AL2496" s="213">
        <v>4</v>
      </c>
      <c r="AM2496" s="213">
        <v>5.1420100000000005E-4</v>
      </c>
      <c r="AN2496" s="74"/>
      <c r="AO2496" s="73"/>
      <c r="AP2496" s="73"/>
      <c r="AQ2496" s="73"/>
      <c r="AR2496" s="73"/>
      <c r="AS2496" s="73"/>
      <c r="AT2496" s="74"/>
      <c r="AU2496" s="47"/>
      <c r="AV2496" s="48"/>
    </row>
    <row r="2497" spans="1:48" ht="12.75" customHeight="1" x14ac:dyDescent="0.25">
      <c r="A2497" s="72" t="s">
        <v>20</v>
      </c>
      <c r="B2497" s="43" t="s">
        <v>2240</v>
      </c>
      <c r="C2497" s="44" t="s">
        <v>2655</v>
      </c>
      <c r="D2497" s="45">
        <f>MROUND(MID($C2497,6,3)/Basis!$E$3,0.5)</f>
        <v>23.5</v>
      </c>
      <c r="E2497" s="45">
        <f>MROUND(MID($C2497,9,3)/Basis!$E$3,0.5)</f>
        <v>39.5</v>
      </c>
      <c r="F2497" s="124" t="s">
        <v>2943</v>
      </c>
      <c r="G2497" s="45">
        <f>ROUND((ROUNDDOWN($F2497/5,0)*5+1.8)/Basis!$E$3,1)</f>
        <v>4.5999999999999996</v>
      </c>
      <c r="H2497" s="120">
        <f>ROUND($P2497*Basis!$E$2*((TaH-TrH)/LN(1/µ)/Basis!$E$7)^$N2497*$AA$4*Glycol,0)</f>
        <v>2535</v>
      </c>
      <c r="I2497" s="83">
        <f>ROUND(H2497/(MID($C2497,9,3)/Basis!$E$3/Basis!$E$9)*Basis!$E$11,0)</f>
        <v>773</v>
      </c>
      <c r="J2497" s="123">
        <f>IF(Basis!$E$1=1,ROUND(H2497/((TaH-TrH)*1.163)/3600,3),ROUND(H2497/(500*(TaH-TrH)),2))</f>
        <v>0.25</v>
      </c>
      <c r="K2497" s="84"/>
      <c r="L2497" s="177">
        <f>CHOOSE(Basis!$E$1,((AJ2497*(J2497*3600/Basis!$E$5)^AK2497*(((MID(C2497,9,3)*10)-144)/1000)*AL2497+AM2497*(J2497*3600/Basis!$E$5)^2)*0.0098)/Basis!$E$10,((AJ2497*(J2497/Basis!$E$5)^AK2497*(((MID(C2497,9,3)*10)-144)/1000)*AL2497+AM2497*(J2497/Basis!$E$5)^2)*0.0098)/Basis!$E$10)</f>
        <v>6.3246400317573575E-3</v>
      </c>
      <c r="M2497" s="85"/>
      <c r="N2497" s="110">
        <v>1.3759999999999999</v>
      </c>
      <c r="O2497" s="74"/>
      <c r="P2497" s="73">
        <v>1170</v>
      </c>
      <c r="Q2497" s="74"/>
      <c r="R2497" s="75"/>
      <c r="S2497" s="75"/>
      <c r="T2497" s="75"/>
      <c r="U2497" s="75"/>
      <c r="V2497" s="75"/>
      <c r="W2497" s="74"/>
      <c r="X2497" s="76"/>
      <c r="Y2497" s="76"/>
      <c r="Z2497" s="76"/>
      <c r="AA2497" s="76"/>
      <c r="AB2497" s="76"/>
      <c r="AC2497" s="74"/>
      <c r="AD2497" s="77"/>
      <c r="AE2497" s="77"/>
      <c r="AF2497" s="77"/>
      <c r="AG2497" s="77"/>
      <c r="AH2497" s="77"/>
      <c r="AI2497" s="68"/>
      <c r="AJ2497" s="213">
        <v>3.9689999999999994E-4</v>
      </c>
      <c r="AK2497" s="213">
        <v>1.7345999999999999</v>
      </c>
      <c r="AL2497" s="213">
        <v>2</v>
      </c>
      <c r="AM2497" s="213">
        <v>3.6734700000000002E-4</v>
      </c>
      <c r="AN2497" s="74"/>
      <c r="AO2497" s="73"/>
      <c r="AP2497" s="73"/>
      <c r="AQ2497" s="73"/>
      <c r="AR2497" s="73"/>
      <c r="AS2497" s="73"/>
      <c r="AT2497" s="74"/>
      <c r="AU2497" s="47"/>
      <c r="AV2497" s="48"/>
    </row>
    <row r="2498" spans="1:48" ht="12.75" customHeight="1" x14ac:dyDescent="0.25">
      <c r="A2498" s="72" t="s">
        <v>20</v>
      </c>
      <c r="B2498" s="43" t="s">
        <v>2240</v>
      </c>
      <c r="C2498" s="44" t="s">
        <v>2656</v>
      </c>
      <c r="D2498" s="45">
        <f>MROUND(MID($C2498,6,3)/Basis!$E$3,0.5)</f>
        <v>23.5</v>
      </c>
      <c r="E2498" s="45">
        <f>MROUND(MID($C2498,9,3)/Basis!$E$3,0.5)</f>
        <v>39.5</v>
      </c>
      <c r="F2498" s="124" t="s">
        <v>2946</v>
      </c>
      <c r="G2498" s="45">
        <f>ROUND((ROUNDDOWN($F2498/5,0)*5+1.8)/Basis!$E$3,1)</f>
        <v>4.5999999999999996</v>
      </c>
      <c r="H2498" s="120">
        <f>ROUND($P2498*Basis!$E$2*((TaH-TrH)/LN(1/µ)/Basis!$E$7)^$N2498*$AA$4*Glycol,0)</f>
        <v>3173</v>
      </c>
      <c r="I2498" s="83">
        <f>ROUND(H2498/(MID($C2498,9,3)/Basis!$E$3/Basis!$E$9)*Basis!$E$11,0)</f>
        <v>967</v>
      </c>
      <c r="J2498" s="123">
        <f>IF(Basis!$E$1=1,ROUND(H2498/((TaH-TrH)*1.163)/3600,3),ROUND(H2498/(500*(TaH-TrH)),2))</f>
        <v>0.32</v>
      </c>
      <c r="K2498" s="84"/>
      <c r="L2498" s="177">
        <f>CHOOSE(Basis!$E$1,((AJ2498*(J2498*3600/Basis!$E$5)^AK2498*(((MID(C2498,9,3)*10)-144)/1000)*AL2498+AM2498*(J2498*3600/Basis!$E$5)^2)*0.0098)/Basis!$E$10,((AJ2498*(J2498/Basis!$E$5)^AK2498*(((MID(C2498,9,3)*10)-144)/1000)*AL2498+AM2498*(J2498/Basis!$E$5)^2)*0.0098)/Basis!$E$10)</f>
        <v>1.744452074115533E-2</v>
      </c>
      <c r="M2498" s="85"/>
      <c r="N2498" s="109">
        <v>1.4370000000000001</v>
      </c>
      <c r="O2498" s="68"/>
      <c r="P2498" s="67">
        <v>1494</v>
      </c>
      <c r="Q2498" s="68"/>
      <c r="R2498" s="69"/>
      <c r="S2498" s="69"/>
      <c r="T2498" s="69"/>
      <c r="U2498" s="69"/>
      <c r="V2498" s="69"/>
      <c r="W2498" s="68"/>
      <c r="X2498" s="70"/>
      <c r="Y2498" s="70"/>
      <c r="Z2498" s="70"/>
      <c r="AA2498" s="70"/>
      <c r="AB2498" s="70"/>
      <c r="AC2498" s="68"/>
      <c r="AD2498" s="71"/>
      <c r="AE2498" s="71"/>
      <c r="AF2498" s="71"/>
      <c r="AG2498" s="71"/>
      <c r="AH2498" s="71"/>
      <c r="AI2498" s="68"/>
      <c r="AJ2498" s="214">
        <v>3.9689999999999994E-4</v>
      </c>
      <c r="AK2498" s="214">
        <v>1.7345999999999999</v>
      </c>
      <c r="AL2498" s="214">
        <v>4</v>
      </c>
      <c r="AM2498" s="214">
        <v>5.7428799999999995E-4</v>
      </c>
      <c r="AN2498" s="68"/>
      <c r="AO2498" s="67"/>
      <c r="AP2498" s="67"/>
      <c r="AQ2498" s="67"/>
      <c r="AR2498" s="67"/>
      <c r="AS2498" s="67"/>
      <c r="AT2498" s="68"/>
      <c r="AU2498" s="49"/>
      <c r="AV2498" s="50"/>
    </row>
    <row r="2499" spans="1:48" ht="12.75" customHeight="1" x14ac:dyDescent="0.25">
      <c r="A2499" s="72" t="s">
        <v>20</v>
      </c>
      <c r="B2499" s="43" t="s">
        <v>2240</v>
      </c>
      <c r="C2499" s="44" t="s">
        <v>2657</v>
      </c>
      <c r="D2499" s="45">
        <f>MROUND(MID($C2499,6,3)/Basis!$E$3,0.5)</f>
        <v>23.5</v>
      </c>
      <c r="E2499" s="45">
        <f>MROUND(MID($C2499,9,3)/Basis!$E$3,0.5)</f>
        <v>39.5</v>
      </c>
      <c r="F2499" s="124" t="s">
        <v>2944</v>
      </c>
      <c r="G2499" s="45">
        <f>ROUND((ROUNDDOWN($F2499/5,0)*5+1.8)/Basis!$E$3,1)</f>
        <v>6.6</v>
      </c>
      <c r="H2499" s="120">
        <f>ROUND($P2499*Basis!$E$2*((TaH-TrH)/LN(1/µ)/Basis!$E$7)^$N2499*$AA$4*Glycol,0)</f>
        <v>4063</v>
      </c>
      <c r="I2499" s="83">
        <f>ROUND(H2499/(MID($C2499,9,3)/Basis!$E$3/Basis!$E$9)*Basis!$E$11,0)</f>
        <v>1238</v>
      </c>
      <c r="J2499" s="123">
        <f>IF(Basis!$E$1=1,ROUND(H2499/((TaH-TrH)*1.163)/3600,3),ROUND(H2499/(500*(TaH-TrH)),2))</f>
        <v>0.41</v>
      </c>
      <c r="K2499" s="84"/>
      <c r="L2499" s="177">
        <f>CHOOSE(Basis!$E$1,((AJ2499*(J2499*3600/Basis!$E$5)^AK2499*(((MID(C2499,9,3)*10)-144)/1000)*AL2499+AM2499*(J2499*3600/Basis!$E$5)^2)*0.0098)/Basis!$E$10,((AJ2499*(J2499/Basis!$E$5)^AK2499*(((MID(C2499,9,3)*10)-144)/1000)*AL2499+AM2499*(J2499/Basis!$E$5)^2)*0.0098)/Basis!$E$10)</f>
        <v>1.5987415322753579E-2</v>
      </c>
      <c r="M2499" s="85"/>
      <c r="N2499" s="109">
        <v>1.361</v>
      </c>
      <c r="O2499" s="68"/>
      <c r="P2499" s="67">
        <v>1866</v>
      </c>
      <c r="Q2499" s="68"/>
      <c r="R2499" s="69"/>
      <c r="S2499" s="69"/>
      <c r="T2499" s="69"/>
      <c r="U2499" s="69"/>
      <c r="V2499" s="69"/>
      <c r="W2499" s="68"/>
      <c r="X2499" s="70"/>
      <c r="Y2499" s="70"/>
      <c r="Z2499" s="70"/>
      <c r="AA2499" s="70"/>
      <c r="AB2499" s="70"/>
      <c r="AC2499" s="68"/>
      <c r="AD2499" s="71"/>
      <c r="AE2499" s="71"/>
      <c r="AF2499" s="71"/>
      <c r="AG2499" s="71"/>
      <c r="AH2499" s="71"/>
      <c r="AI2499" s="68"/>
      <c r="AJ2499" s="214">
        <v>2.0829999999999999E-4</v>
      </c>
      <c r="AK2499" s="214">
        <v>1.724</v>
      </c>
      <c r="AL2499" s="214">
        <v>2</v>
      </c>
      <c r="AM2499" s="214">
        <v>4.6182900000000003E-4</v>
      </c>
      <c r="AN2499" s="68"/>
      <c r="AO2499" s="67"/>
      <c r="AP2499" s="67"/>
      <c r="AQ2499" s="67"/>
      <c r="AR2499" s="67"/>
      <c r="AS2499" s="67"/>
      <c r="AT2499" s="68"/>
      <c r="AU2499" s="49"/>
      <c r="AV2499" s="50"/>
    </row>
    <row r="2500" spans="1:48" ht="12.75" customHeight="1" x14ac:dyDescent="0.25">
      <c r="A2500" s="72" t="s">
        <v>20</v>
      </c>
      <c r="B2500" s="43" t="s">
        <v>2240</v>
      </c>
      <c r="C2500" s="44" t="s">
        <v>2658</v>
      </c>
      <c r="D2500" s="45">
        <f>MROUND(MID($C2500,6,3)/Basis!$E$3,0.5)</f>
        <v>23.5</v>
      </c>
      <c r="E2500" s="45">
        <f>MROUND(MID($C2500,9,3)/Basis!$E$3,0.5)</f>
        <v>39.5</v>
      </c>
      <c r="F2500" s="124" t="s">
        <v>2947</v>
      </c>
      <c r="G2500" s="45">
        <f>ROUND((ROUNDDOWN($F2500/5,0)*5+1.8)/Basis!$E$3,1)</f>
        <v>6.6</v>
      </c>
      <c r="H2500" s="120">
        <f>ROUND($P2500*Basis!$E$2*((TaH-TrH)/LN(1/µ)/Basis!$E$7)^$N2500*$AA$4*Glycol,0)</f>
        <v>4380</v>
      </c>
      <c r="I2500" s="83">
        <f>ROUND(H2500/(MID($C2500,9,3)/Basis!$E$3/Basis!$E$9)*Basis!$E$11,0)</f>
        <v>1335</v>
      </c>
      <c r="J2500" s="123">
        <f>IF(Basis!$E$1=1,ROUND(H2500/((TaH-TrH)*1.163)/3600,3),ROUND(H2500/(500*(TaH-TrH)),2))</f>
        <v>0.44</v>
      </c>
      <c r="K2500" s="84"/>
      <c r="L2500" s="177">
        <f>CHOOSE(Basis!$E$1,((AJ2500*(J2500*3600/Basis!$E$5)^AK2500*(((MID(C2500,9,3)*10)-144)/1000)*AL2500+AM2500*(J2500*3600/Basis!$E$5)^2)*0.0098)/Basis!$E$10,((AJ2500*(J2500/Basis!$E$5)^AK2500*(((MID(C2500,9,3)*10)-144)/1000)*AL2500+AM2500*(J2500/Basis!$E$5)^2)*0.0098)/Basis!$E$10)</f>
        <v>5.2016122256833275E-2</v>
      </c>
      <c r="M2500" s="85"/>
      <c r="N2500" s="110">
        <v>1.468</v>
      </c>
      <c r="O2500" s="74"/>
      <c r="P2500" s="73">
        <v>2084</v>
      </c>
      <c r="Q2500" s="74"/>
      <c r="R2500" s="75"/>
      <c r="S2500" s="75"/>
      <c r="T2500" s="75"/>
      <c r="U2500" s="75"/>
      <c r="V2500" s="75"/>
      <c r="W2500" s="74"/>
      <c r="X2500" s="76"/>
      <c r="Y2500" s="76"/>
      <c r="Z2500" s="76"/>
      <c r="AA2500" s="76"/>
      <c r="AB2500" s="76"/>
      <c r="AC2500" s="74"/>
      <c r="AD2500" s="77"/>
      <c r="AE2500" s="77"/>
      <c r="AF2500" s="77"/>
      <c r="AG2500" s="77"/>
      <c r="AH2500" s="77"/>
      <c r="AI2500" s="68"/>
      <c r="AJ2500" s="213">
        <v>2.0829999999999999E-4</v>
      </c>
      <c r="AK2500" s="213">
        <v>1.724</v>
      </c>
      <c r="AL2500" s="213">
        <v>4</v>
      </c>
      <c r="AM2500" s="213">
        <v>1.392796E-3</v>
      </c>
      <c r="AN2500" s="74"/>
      <c r="AO2500" s="73"/>
      <c r="AP2500" s="73"/>
      <c r="AQ2500" s="73"/>
      <c r="AR2500" s="73"/>
      <c r="AS2500" s="73"/>
      <c r="AT2500" s="74"/>
      <c r="AU2500" s="47"/>
      <c r="AV2500" s="48"/>
    </row>
    <row r="2501" spans="1:48" ht="12.75" customHeight="1" x14ac:dyDescent="0.25">
      <c r="A2501" s="72" t="s">
        <v>20</v>
      </c>
      <c r="B2501" s="43" t="s">
        <v>2240</v>
      </c>
      <c r="C2501" s="44" t="s">
        <v>2659</v>
      </c>
      <c r="D2501" s="45">
        <f>MROUND(MID($C2501,6,3)/Basis!$E$3,0.5)</f>
        <v>23.5</v>
      </c>
      <c r="E2501" s="45">
        <f>MROUND(MID($C2501,9,3)/Basis!$E$3,0.5)</f>
        <v>39.5</v>
      </c>
      <c r="F2501" s="124" t="s">
        <v>2945</v>
      </c>
      <c r="G2501" s="45">
        <f>ROUND((ROUNDDOWN($F2501/5,0)*5+1.8)/Basis!$E$3,1)</f>
        <v>8.6</v>
      </c>
      <c r="H2501" s="120">
        <f>ROUND($P2501*Basis!$E$2*((TaH-TrH)/LN(1/µ)/Basis!$E$7)^$N2501*$AA$4*Glycol,0)</f>
        <v>5679</v>
      </c>
      <c r="I2501" s="83">
        <f>ROUND(H2501/(MID($C2501,9,3)/Basis!$E$3/Basis!$E$9)*Basis!$E$11,0)</f>
        <v>1731</v>
      </c>
      <c r="J2501" s="123">
        <f>IF(Basis!$E$1=1,ROUND(H2501/((TaH-TrH)*1.163)/3600,3),ROUND(H2501/(500*(TaH-TrH)),2))</f>
        <v>0.56999999999999995</v>
      </c>
      <c r="K2501" s="84"/>
      <c r="L2501" s="177">
        <f>CHOOSE(Basis!$E$1,((AJ2501*(J2501*3600/Basis!$E$5)^AK2501*(((MID(C2501,9,3)*10)-144)/1000)*AL2501+AM2501*(J2501*3600/Basis!$E$5)^2)*0.0098)/Basis!$E$10,((AJ2501*(J2501/Basis!$E$5)^AK2501*(((MID(C2501,9,3)*10)-144)/1000)*AL2501+AM2501*(J2501/Basis!$E$5)^2)*0.0098)/Basis!$E$10)</f>
        <v>2.3734327463232046E-2</v>
      </c>
      <c r="M2501" s="85"/>
      <c r="N2501" s="110">
        <v>1.361</v>
      </c>
      <c r="O2501" s="74"/>
      <c r="P2501" s="73">
        <v>2608</v>
      </c>
      <c r="Q2501" s="74"/>
      <c r="R2501" s="75"/>
      <c r="S2501" s="75"/>
      <c r="T2501" s="75"/>
      <c r="U2501" s="75"/>
      <c r="V2501" s="75"/>
      <c r="W2501" s="74"/>
      <c r="X2501" s="76"/>
      <c r="Y2501" s="76"/>
      <c r="Z2501" s="76"/>
      <c r="AA2501" s="76"/>
      <c r="AB2501" s="76"/>
      <c r="AC2501" s="74"/>
      <c r="AD2501" s="77"/>
      <c r="AE2501" s="77"/>
      <c r="AF2501" s="77"/>
      <c r="AG2501" s="77"/>
      <c r="AH2501" s="77"/>
      <c r="AI2501" s="68"/>
      <c r="AJ2501" s="214">
        <v>1.2760000000000001E-4</v>
      </c>
      <c r="AK2501" s="214">
        <v>1.7219</v>
      </c>
      <c r="AL2501" s="214">
        <v>2</v>
      </c>
      <c r="AM2501" s="214">
        <v>3.76611E-4</v>
      </c>
      <c r="AN2501" s="74"/>
      <c r="AO2501" s="73"/>
      <c r="AP2501" s="73"/>
      <c r="AQ2501" s="73"/>
      <c r="AR2501" s="73"/>
      <c r="AS2501" s="73"/>
      <c r="AT2501" s="74"/>
      <c r="AU2501" s="47"/>
      <c r="AV2501" s="48"/>
    </row>
    <row r="2502" spans="1:48" ht="12.75" customHeight="1" x14ac:dyDescent="0.25">
      <c r="A2502" s="72" t="s">
        <v>20</v>
      </c>
      <c r="B2502" s="43" t="s">
        <v>2240</v>
      </c>
      <c r="C2502" s="44" t="s">
        <v>2660</v>
      </c>
      <c r="D2502" s="45">
        <f>MROUND(MID($C2502,6,3)/Basis!$E$3,0.5)</f>
        <v>23.5</v>
      </c>
      <c r="E2502" s="45">
        <f>MROUND(MID($C2502,9,3)/Basis!$E$3,0.5)</f>
        <v>39.5</v>
      </c>
      <c r="F2502" s="124" t="s">
        <v>2948</v>
      </c>
      <c r="G2502" s="45">
        <f>ROUND((ROUNDDOWN($F2502/5,0)*5+1.8)/Basis!$E$3,1)</f>
        <v>8.6</v>
      </c>
      <c r="H2502" s="120">
        <f>ROUND($P2502*Basis!$E$2*((TaH-TrH)/LN(1/µ)/Basis!$E$7)^$N2502*$AA$4*Glycol,0)</f>
        <v>6008</v>
      </c>
      <c r="I2502" s="83">
        <f>ROUND(H2502/(MID($C2502,9,3)/Basis!$E$3/Basis!$E$9)*Basis!$E$11,0)</f>
        <v>1831</v>
      </c>
      <c r="J2502" s="123">
        <f>IF(Basis!$E$1=1,ROUND(H2502/((TaH-TrH)*1.163)/3600,3),ROUND(H2502/(500*(TaH-TrH)),2))</f>
        <v>0.6</v>
      </c>
      <c r="K2502" s="84"/>
      <c r="L2502" s="177">
        <f>CHOOSE(Basis!$E$1,((AJ2502*(J2502*3600/Basis!$E$5)^AK2502*(((MID(C2502,9,3)*10)-144)/1000)*AL2502+AM2502*(J2502*3600/Basis!$E$5)^2)*0.0098)/Basis!$E$10,((AJ2502*(J2502/Basis!$E$5)^AK2502*(((MID(C2502,9,3)*10)-144)/1000)*AL2502+AM2502*(J2502/Basis!$E$5)^2)*0.0098)/Basis!$E$10)</f>
        <v>3.7986036746706475E-2</v>
      </c>
      <c r="M2502" s="85"/>
      <c r="N2502" s="109">
        <v>1.4930000000000001</v>
      </c>
      <c r="O2502" s="68"/>
      <c r="P2502" s="67">
        <v>2882</v>
      </c>
      <c r="Q2502" s="68"/>
      <c r="R2502" s="69"/>
      <c r="S2502" s="69"/>
      <c r="T2502" s="69"/>
      <c r="U2502" s="69"/>
      <c r="V2502" s="69"/>
      <c r="W2502" s="68"/>
      <c r="X2502" s="70"/>
      <c r="Y2502" s="70"/>
      <c r="Z2502" s="70"/>
      <c r="AA2502" s="70"/>
      <c r="AB2502" s="70"/>
      <c r="AC2502" s="68"/>
      <c r="AD2502" s="71"/>
      <c r="AE2502" s="71"/>
      <c r="AF2502" s="71"/>
      <c r="AG2502" s="71"/>
      <c r="AH2502" s="71"/>
      <c r="AI2502" s="68"/>
      <c r="AJ2502" s="214">
        <v>1.2760000000000001E-4</v>
      </c>
      <c r="AK2502" s="214">
        <v>1.7219</v>
      </c>
      <c r="AL2502" s="214">
        <v>4</v>
      </c>
      <c r="AM2502" s="214">
        <v>5.1420100000000005E-4</v>
      </c>
      <c r="AN2502" s="68"/>
      <c r="AO2502" s="67"/>
      <c r="AP2502" s="67"/>
      <c r="AQ2502" s="67"/>
      <c r="AR2502" s="67"/>
      <c r="AS2502" s="67"/>
      <c r="AT2502" s="68"/>
      <c r="AU2502" s="49"/>
      <c r="AV2502" s="50"/>
    </row>
    <row r="2503" spans="1:48" ht="12.75" customHeight="1" x14ac:dyDescent="0.25">
      <c r="A2503" s="72" t="s">
        <v>20</v>
      </c>
      <c r="B2503" s="43" t="s">
        <v>2240</v>
      </c>
      <c r="C2503" s="44" t="s">
        <v>2661</v>
      </c>
      <c r="D2503" s="45">
        <f>MROUND(MID($C2503,6,3)/Basis!$E$3,0.5)</f>
        <v>23.5</v>
      </c>
      <c r="E2503" s="45">
        <f>MROUND(MID($C2503,9,3)/Basis!$E$3,0.5)</f>
        <v>43.5</v>
      </c>
      <c r="F2503" s="124" t="s">
        <v>2943</v>
      </c>
      <c r="G2503" s="45">
        <f>ROUND((ROUNDDOWN($F2503/5,0)*5+1.8)/Basis!$E$3,1)</f>
        <v>4.5999999999999996</v>
      </c>
      <c r="H2503" s="120">
        <f>ROUND($P2503*Basis!$E$2*((TaH-TrH)/LN(1/µ)/Basis!$E$7)^$N2503*$AA$4*Glycol,0)</f>
        <v>2789</v>
      </c>
      <c r="I2503" s="83">
        <f>ROUND(H2503/(MID($C2503,9,3)/Basis!$E$3/Basis!$E$9)*Basis!$E$11,0)</f>
        <v>773</v>
      </c>
      <c r="J2503" s="123">
        <f>IF(Basis!$E$1=1,ROUND(H2503/((TaH-TrH)*1.163)/3600,3),ROUND(H2503/(500*(TaH-TrH)),2))</f>
        <v>0.28000000000000003</v>
      </c>
      <c r="K2503" s="84"/>
      <c r="L2503" s="177">
        <f>CHOOSE(Basis!$E$1,((AJ2503*(J2503*3600/Basis!$E$5)^AK2503*(((MID(C2503,9,3)*10)-144)/1000)*AL2503+AM2503*(J2503*3600/Basis!$E$5)^2)*0.0098)/Basis!$E$10,((AJ2503*(J2503/Basis!$E$5)^AK2503*(((MID(C2503,9,3)*10)-144)/1000)*AL2503+AM2503*(J2503/Basis!$E$5)^2)*0.0098)/Basis!$E$10)</f>
        <v>8.1911804716726256E-3</v>
      </c>
      <c r="M2503" s="85"/>
      <c r="N2503" s="109">
        <v>1.3759999999999999</v>
      </c>
      <c r="O2503" s="68"/>
      <c r="P2503" s="67">
        <v>1287</v>
      </c>
      <c r="Q2503" s="68"/>
      <c r="R2503" s="69"/>
      <c r="S2503" s="69"/>
      <c r="T2503" s="69"/>
      <c r="U2503" s="69"/>
      <c r="V2503" s="69"/>
      <c r="W2503" s="68"/>
      <c r="X2503" s="70"/>
      <c r="Y2503" s="70"/>
      <c r="Z2503" s="70"/>
      <c r="AA2503" s="70"/>
      <c r="AB2503" s="70"/>
      <c r="AC2503" s="68"/>
      <c r="AD2503" s="71"/>
      <c r="AE2503" s="71"/>
      <c r="AF2503" s="71"/>
      <c r="AG2503" s="71"/>
      <c r="AH2503" s="71"/>
      <c r="AI2503" s="68"/>
      <c r="AJ2503" s="214">
        <v>3.9689999999999994E-4</v>
      </c>
      <c r="AK2503" s="214">
        <v>1.7345999999999999</v>
      </c>
      <c r="AL2503" s="214">
        <v>2</v>
      </c>
      <c r="AM2503" s="214">
        <v>3.6734700000000002E-4</v>
      </c>
      <c r="AN2503" s="68"/>
      <c r="AO2503" s="67"/>
      <c r="AP2503" s="67"/>
      <c r="AQ2503" s="67"/>
      <c r="AR2503" s="67"/>
      <c r="AS2503" s="67"/>
      <c r="AT2503" s="68"/>
      <c r="AU2503" s="49"/>
      <c r="AV2503" s="50"/>
    </row>
    <row r="2504" spans="1:48" ht="12.75" customHeight="1" x14ac:dyDescent="0.25">
      <c r="A2504" s="72" t="s">
        <v>20</v>
      </c>
      <c r="B2504" s="43" t="s">
        <v>2240</v>
      </c>
      <c r="C2504" s="44" t="s">
        <v>2662</v>
      </c>
      <c r="D2504" s="45">
        <f>MROUND(MID($C2504,6,3)/Basis!$E$3,0.5)</f>
        <v>23.5</v>
      </c>
      <c r="E2504" s="45">
        <f>MROUND(MID($C2504,9,3)/Basis!$E$3,0.5)</f>
        <v>43.5</v>
      </c>
      <c r="F2504" s="124" t="s">
        <v>2946</v>
      </c>
      <c r="G2504" s="45">
        <f>ROUND((ROUNDDOWN($F2504/5,0)*5+1.8)/Basis!$E$3,1)</f>
        <v>4.5999999999999996</v>
      </c>
      <c r="H2504" s="120">
        <f>ROUND($P2504*Basis!$E$2*((TaH-TrH)/LN(1/µ)/Basis!$E$7)^$N2504*$AA$4*Glycol,0)</f>
        <v>3489</v>
      </c>
      <c r="I2504" s="83">
        <f>ROUND(H2504/(MID($C2504,9,3)/Basis!$E$3/Basis!$E$9)*Basis!$E$11,0)</f>
        <v>967</v>
      </c>
      <c r="J2504" s="123">
        <f>IF(Basis!$E$1=1,ROUND(H2504/((TaH-TrH)*1.163)/3600,3),ROUND(H2504/(500*(TaH-TrH)),2))</f>
        <v>0.35</v>
      </c>
      <c r="K2504" s="84"/>
      <c r="L2504" s="177">
        <f>CHOOSE(Basis!$E$1,((AJ2504*(J2504*3600/Basis!$E$5)^AK2504*(((MID(C2504,9,3)*10)-144)/1000)*AL2504+AM2504*(J2504*3600/Basis!$E$5)^2)*0.0098)/Basis!$E$10,((AJ2504*(J2504/Basis!$E$5)^AK2504*(((MID(C2504,9,3)*10)-144)/1000)*AL2504+AM2504*(J2504/Basis!$E$5)^2)*0.0098)/Basis!$E$10)</f>
        <v>2.1684103338509737E-2</v>
      </c>
      <c r="M2504" s="85"/>
      <c r="N2504" s="110">
        <v>1.4370000000000001</v>
      </c>
      <c r="O2504" s="74"/>
      <c r="P2504" s="73">
        <v>1643</v>
      </c>
      <c r="Q2504" s="74"/>
      <c r="R2504" s="75"/>
      <c r="S2504" s="75"/>
      <c r="T2504" s="75"/>
      <c r="U2504" s="75"/>
      <c r="V2504" s="75"/>
      <c r="W2504" s="74"/>
      <c r="X2504" s="76"/>
      <c r="Y2504" s="76"/>
      <c r="Z2504" s="76"/>
      <c r="AA2504" s="76"/>
      <c r="AB2504" s="76"/>
      <c r="AC2504" s="74"/>
      <c r="AD2504" s="77"/>
      <c r="AE2504" s="77"/>
      <c r="AF2504" s="77"/>
      <c r="AG2504" s="77"/>
      <c r="AH2504" s="77"/>
      <c r="AI2504" s="68"/>
      <c r="AJ2504" s="213">
        <v>3.9689999999999994E-4</v>
      </c>
      <c r="AK2504" s="213">
        <v>1.7345999999999999</v>
      </c>
      <c r="AL2504" s="213">
        <v>4</v>
      </c>
      <c r="AM2504" s="213">
        <v>5.7428799999999995E-4</v>
      </c>
      <c r="AN2504" s="74"/>
      <c r="AO2504" s="73"/>
      <c r="AP2504" s="73"/>
      <c r="AQ2504" s="73"/>
      <c r="AR2504" s="73"/>
      <c r="AS2504" s="73"/>
      <c r="AT2504" s="74"/>
      <c r="AU2504" s="47"/>
      <c r="AV2504" s="48"/>
    </row>
    <row r="2505" spans="1:48" ht="12.75" customHeight="1" x14ac:dyDescent="0.25">
      <c r="A2505" s="72" t="s">
        <v>20</v>
      </c>
      <c r="B2505" s="43" t="s">
        <v>2240</v>
      </c>
      <c r="C2505" s="44" t="s">
        <v>2663</v>
      </c>
      <c r="D2505" s="45">
        <f>MROUND(MID($C2505,6,3)/Basis!$E$3,0.5)</f>
        <v>23.5</v>
      </c>
      <c r="E2505" s="45">
        <f>MROUND(MID($C2505,9,3)/Basis!$E$3,0.5)</f>
        <v>43.5</v>
      </c>
      <c r="F2505" s="124" t="s">
        <v>2944</v>
      </c>
      <c r="G2505" s="45">
        <f>ROUND((ROUNDDOWN($F2505/5,0)*5+1.8)/Basis!$E$3,1)</f>
        <v>6.6</v>
      </c>
      <c r="H2505" s="120">
        <f>ROUND($P2505*Basis!$E$2*((TaH-TrH)/LN(1/µ)/Basis!$E$7)^$N2505*$AA$4*Glycol,0)</f>
        <v>4470</v>
      </c>
      <c r="I2505" s="83">
        <f>ROUND(H2505/(MID($C2505,9,3)/Basis!$E$3/Basis!$E$9)*Basis!$E$11,0)</f>
        <v>1239</v>
      </c>
      <c r="J2505" s="123">
        <f>IF(Basis!$E$1=1,ROUND(H2505/((TaH-TrH)*1.163)/3600,3),ROUND(H2505/(500*(TaH-TrH)),2))</f>
        <v>0.45</v>
      </c>
      <c r="K2505" s="84"/>
      <c r="L2505" s="177">
        <f>CHOOSE(Basis!$E$1,((AJ2505*(J2505*3600/Basis!$E$5)^AK2505*(((MID(C2505,9,3)*10)-144)/1000)*AL2505+AM2505*(J2505*3600/Basis!$E$5)^2)*0.0098)/Basis!$E$10,((AJ2505*(J2505/Basis!$E$5)^AK2505*(((MID(C2505,9,3)*10)-144)/1000)*AL2505+AM2505*(J2505/Basis!$E$5)^2)*0.0098)/Basis!$E$10)</f>
        <v>1.95674808371143E-2</v>
      </c>
      <c r="M2505" s="85"/>
      <c r="N2505" s="110">
        <v>1.361</v>
      </c>
      <c r="O2505" s="74"/>
      <c r="P2505" s="73">
        <v>2053</v>
      </c>
      <c r="Q2505" s="74"/>
      <c r="R2505" s="75"/>
      <c r="S2505" s="75"/>
      <c r="T2505" s="75"/>
      <c r="U2505" s="75"/>
      <c r="V2505" s="75"/>
      <c r="W2505" s="74"/>
      <c r="X2505" s="76"/>
      <c r="Y2505" s="76"/>
      <c r="Z2505" s="76"/>
      <c r="AA2505" s="76"/>
      <c r="AB2505" s="76"/>
      <c r="AC2505" s="74"/>
      <c r="AD2505" s="77"/>
      <c r="AE2505" s="77"/>
      <c r="AF2505" s="77"/>
      <c r="AG2505" s="77"/>
      <c r="AH2505" s="77"/>
      <c r="AI2505" s="68"/>
      <c r="AJ2505" s="213">
        <v>2.0829999999999999E-4</v>
      </c>
      <c r="AK2505" s="213">
        <v>1.724</v>
      </c>
      <c r="AL2505" s="213">
        <v>2</v>
      </c>
      <c r="AM2505" s="213">
        <v>4.6182900000000003E-4</v>
      </c>
      <c r="AN2505" s="74"/>
      <c r="AO2505" s="73"/>
      <c r="AP2505" s="73"/>
      <c r="AQ2505" s="73"/>
      <c r="AR2505" s="73"/>
      <c r="AS2505" s="73"/>
      <c r="AT2505" s="74"/>
      <c r="AU2505" s="47"/>
      <c r="AV2505" s="48"/>
    </row>
    <row r="2506" spans="1:48" ht="12.75" customHeight="1" x14ac:dyDescent="0.25">
      <c r="A2506" s="72" t="s">
        <v>20</v>
      </c>
      <c r="B2506" s="43" t="s">
        <v>2240</v>
      </c>
      <c r="C2506" s="44" t="s">
        <v>2664</v>
      </c>
      <c r="D2506" s="45">
        <f>MROUND(MID($C2506,6,3)/Basis!$E$3,0.5)</f>
        <v>23.5</v>
      </c>
      <c r="E2506" s="45">
        <f>MROUND(MID($C2506,9,3)/Basis!$E$3,0.5)</f>
        <v>43.5</v>
      </c>
      <c r="F2506" s="124" t="s">
        <v>2947</v>
      </c>
      <c r="G2506" s="45">
        <f>ROUND((ROUNDDOWN($F2506/5,0)*5+1.8)/Basis!$E$3,1)</f>
        <v>6.6</v>
      </c>
      <c r="H2506" s="120">
        <f>ROUND($P2506*Basis!$E$2*((TaH-TrH)/LN(1/µ)/Basis!$E$7)^$N2506*$AA$4*Glycol,0)</f>
        <v>4818</v>
      </c>
      <c r="I2506" s="83">
        <f>ROUND(H2506/(MID($C2506,9,3)/Basis!$E$3/Basis!$E$9)*Basis!$E$11,0)</f>
        <v>1335</v>
      </c>
      <c r="J2506" s="123">
        <f>IF(Basis!$E$1=1,ROUND(H2506/((TaH-TrH)*1.163)/3600,3),ROUND(H2506/(500*(TaH-TrH)),2))</f>
        <v>0.48</v>
      </c>
      <c r="K2506" s="84"/>
      <c r="L2506" s="177">
        <f>CHOOSE(Basis!$E$1,((AJ2506*(J2506*3600/Basis!$E$5)^AK2506*(((MID(C2506,9,3)*10)-144)/1000)*AL2506+AM2506*(J2506*3600/Basis!$E$5)^2)*0.0098)/Basis!$E$10,((AJ2506*(J2506/Basis!$E$5)^AK2506*(((MID(C2506,9,3)*10)-144)/1000)*AL2506+AM2506*(J2506/Basis!$E$5)^2)*0.0098)/Basis!$E$10)</f>
        <v>6.2605933983434961E-2</v>
      </c>
      <c r="M2506" s="85"/>
      <c r="N2506" s="109">
        <v>1.468</v>
      </c>
      <c r="O2506" s="68"/>
      <c r="P2506" s="67">
        <v>2292</v>
      </c>
      <c r="Q2506" s="68"/>
      <c r="R2506" s="69"/>
      <c r="S2506" s="69"/>
      <c r="T2506" s="69"/>
      <c r="U2506" s="69"/>
      <c r="V2506" s="69"/>
      <c r="W2506" s="68"/>
      <c r="X2506" s="70"/>
      <c r="Y2506" s="70"/>
      <c r="Z2506" s="70"/>
      <c r="AA2506" s="70"/>
      <c r="AB2506" s="70"/>
      <c r="AC2506" s="68"/>
      <c r="AD2506" s="71"/>
      <c r="AE2506" s="71"/>
      <c r="AF2506" s="71"/>
      <c r="AG2506" s="71"/>
      <c r="AH2506" s="71"/>
      <c r="AI2506" s="68"/>
      <c r="AJ2506" s="214">
        <v>2.0829999999999999E-4</v>
      </c>
      <c r="AK2506" s="214">
        <v>1.724</v>
      </c>
      <c r="AL2506" s="214">
        <v>4</v>
      </c>
      <c r="AM2506" s="214">
        <v>1.392796E-3</v>
      </c>
      <c r="AN2506" s="68"/>
      <c r="AO2506" s="67"/>
      <c r="AP2506" s="67"/>
      <c r="AQ2506" s="67"/>
      <c r="AR2506" s="67"/>
      <c r="AS2506" s="67"/>
      <c r="AT2506" s="68"/>
      <c r="AU2506" s="49"/>
      <c r="AV2506" s="50"/>
    </row>
    <row r="2507" spans="1:48" ht="12.75" customHeight="1" x14ac:dyDescent="0.25">
      <c r="A2507" s="72" t="s">
        <v>20</v>
      </c>
      <c r="B2507" s="43" t="s">
        <v>2240</v>
      </c>
      <c r="C2507" s="44" t="s">
        <v>2665</v>
      </c>
      <c r="D2507" s="45">
        <f>MROUND(MID($C2507,6,3)/Basis!$E$3,0.5)</f>
        <v>23.5</v>
      </c>
      <c r="E2507" s="45">
        <f>MROUND(MID($C2507,9,3)/Basis!$E$3,0.5)</f>
        <v>43.5</v>
      </c>
      <c r="F2507" s="124" t="s">
        <v>2945</v>
      </c>
      <c r="G2507" s="45">
        <f>ROUND((ROUNDDOWN($F2507/5,0)*5+1.8)/Basis!$E$3,1)</f>
        <v>8.6</v>
      </c>
      <c r="H2507" s="120">
        <f>ROUND($P2507*Basis!$E$2*((TaH-TrH)/LN(1/µ)/Basis!$E$7)^$N2507*$AA$4*Glycol,0)</f>
        <v>6247</v>
      </c>
      <c r="I2507" s="83">
        <f>ROUND(H2507/(MID($C2507,9,3)/Basis!$E$3/Basis!$E$9)*Basis!$E$11,0)</f>
        <v>1731</v>
      </c>
      <c r="J2507" s="123">
        <f>IF(Basis!$E$1=1,ROUND(H2507/((TaH-TrH)*1.163)/3600,3),ROUND(H2507/(500*(TaH-TrH)),2))</f>
        <v>0.62</v>
      </c>
      <c r="K2507" s="84"/>
      <c r="L2507" s="177">
        <f>CHOOSE(Basis!$E$1,((AJ2507*(J2507*3600/Basis!$E$5)^AK2507*(((MID(C2507,9,3)*10)-144)/1000)*AL2507+AM2507*(J2507*3600/Basis!$E$5)^2)*0.0098)/Basis!$E$10,((AJ2507*(J2507/Basis!$E$5)^AK2507*(((MID(C2507,9,3)*10)-144)/1000)*AL2507+AM2507*(J2507/Basis!$E$5)^2)*0.0098)/Basis!$E$10)</f>
        <v>2.8414209391808411E-2</v>
      </c>
      <c r="M2507" s="85"/>
      <c r="N2507" s="109">
        <v>1.361</v>
      </c>
      <c r="O2507" s="68"/>
      <c r="P2507" s="67">
        <v>2869</v>
      </c>
      <c r="Q2507" s="68"/>
      <c r="R2507" s="69"/>
      <c r="S2507" s="69"/>
      <c r="T2507" s="69"/>
      <c r="U2507" s="69"/>
      <c r="V2507" s="69"/>
      <c r="W2507" s="68"/>
      <c r="X2507" s="70"/>
      <c r="Y2507" s="70"/>
      <c r="Z2507" s="70"/>
      <c r="AA2507" s="70"/>
      <c r="AB2507" s="70"/>
      <c r="AC2507" s="68"/>
      <c r="AD2507" s="71"/>
      <c r="AE2507" s="71"/>
      <c r="AF2507" s="71"/>
      <c r="AG2507" s="71"/>
      <c r="AH2507" s="71"/>
      <c r="AI2507" s="68"/>
      <c r="AJ2507" s="214">
        <v>1.2760000000000001E-4</v>
      </c>
      <c r="AK2507" s="214">
        <v>1.7219</v>
      </c>
      <c r="AL2507" s="214">
        <v>2</v>
      </c>
      <c r="AM2507" s="214">
        <v>3.76611E-4</v>
      </c>
      <c r="AN2507" s="68"/>
      <c r="AO2507" s="67"/>
      <c r="AP2507" s="67"/>
      <c r="AQ2507" s="67"/>
      <c r="AR2507" s="67"/>
      <c r="AS2507" s="67"/>
      <c r="AT2507" s="68"/>
      <c r="AU2507" s="49"/>
      <c r="AV2507" s="50"/>
    </row>
    <row r="2508" spans="1:48" ht="12.75" customHeight="1" x14ac:dyDescent="0.25">
      <c r="A2508" s="72" t="s">
        <v>20</v>
      </c>
      <c r="B2508" s="43" t="s">
        <v>2240</v>
      </c>
      <c r="C2508" s="44" t="s">
        <v>2666</v>
      </c>
      <c r="D2508" s="45">
        <f>MROUND(MID($C2508,6,3)/Basis!$E$3,0.5)</f>
        <v>23.5</v>
      </c>
      <c r="E2508" s="45">
        <f>MROUND(MID($C2508,9,3)/Basis!$E$3,0.5)</f>
        <v>43.5</v>
      </c>
      <c r="F2508" s="124" t="s">
        <v>2948</v>
      </c>
      <c r="G2508" s="45">
        <f>ROUND((ROUNDDOWN($F2508/5,0)*5+1.8)/Basis!$E$3,1)</f>
        <v>8.6</v>
      </c>
      <c r="H2508" s="120">
        <f>ROUND($P2508*Basis!$E$2*((TaH-TrH)/LN(1/µ)/Basis!$E$7)^$N2508*$AA$4*Glycol,0)</f>
        <v>6608</v>
      </c>
      <c r="I2508" s="83">
        <f>ROUND(H2508/(MID($C2508,9,3)/Basis!$E$3/Basis!$E$9)*Basis!$E$11,0)</f>
        <v>1831</v>
      </c>
      <c r="J2508" s="123">
        <f>IF(Basis!$E$1=1,ROUND(H2508/((TaH-TrH)*1.163)/3600,3),ROUND(H2508/(500*(TaH-TrH)),2))</f>
        <v>0.66</v>
      </c>
      <c r="K2508" s="84"/>
      <c r="L2508" s="177">
        <f>CHOOSE(Basis!$E$1,((AJ2508*(J2508*3600/Basis!$E$5)^AK2508*(((MID(C2508,9,3)*10)-144)/1000)*AL2508+AM2508*(J2508*3600/Basis!$E$5)^2)*0.0098)/Basis!$E$10,((AJ2508*(J2508/Basis!$E$5)^AK2508*(((MID(C2508,9,3)*10)-144)/1000)*AL2508+AM2508*(J2508/Basis!$E$5)^2)*0.0098)/Basis!$E$10)</f>
        <v>4.6680043108190357E-2</v>
      </c>
      <c r="M2508" s="85"/>
      <c r="N2508" s="110">
        <v>1.4930000000000001</v>
      </c>
      <c r="O2508" s="74"/>
      <c r="P2508" s="73">
        <v>3170</v>
      </c>
      <c r="Q2508" s="74"/>
      <c r="R2508" s="75"/>
      <c r="S2508" s="75"/>
      <c r="T2508" s="75"/>
      <c r="U2508" s="75"/>
      <c r="V2508" s="75"/>
      <c r="W2508" s="74"/>
      <c r="X2508" s="76"/>
      <c r="Y2508" s="76"/>
      <c r="Z2508" s="76"/>
      <c r="AA2508" s="76"/>
      <c r="AB2508" s="76"/>
      <c r="AC2508" s="74"/>
      <c r="AD2508" s="77"/>
      <c r="AE2508" s="77"/>
      <c r="AF2508" s="77"/>
      <c r="AG2508" s="77"/>
      <c r="AH2508" s="77"/>
      <c r="AI2508" s="68"/>
      <c r="AJ2508" s="213">
        <v>1.2760000000000001E-4</v>
      </c>
      <c r="AK2508" s="213">
        <v>1.7219</v>
      </c>
      <c r="AL2508" s="213">
        <v>4</v>
      </c>
      <c r="AM2508" s="213">
        <v>5.1420100000000005E-4</v>
      </c>
      <c r="AN2508" s="74"/>
      <c r="AO2508" s="73"/>
      <c r="AP2508" s="73"/>
      <c r="AQ2508" s="73"/>
      <c r="AR2508" s="73"/>
      <c r="AS2508" s="73"/>
      <c r="AT2508" s="74"/>
      <c r="AU2508" s="47"/>
      <c r="AV2508" s="48"/>
    </row>
    <row r="2509" spans="1:48" ht="12.75" customHeight="1" x14ac:dyDescent="0.25">
      <c r="A2509" s="72" t="s">
        <v>20</v>
      </c>
      <c r="B2509" s="43" t="s">
        <v>2240</v>
      </c>
      <c r="C2509" s="44" t="s">
        <v>2667</v>
      </c>
      <c r="D2509" s="45">
        <f>MROUND(MID($C2509,6,3)/Basis!$E$3,0.5)</f>
        <v>23.5</v>
      </c>
      <c r="E2509" s="45">
        <f>MROUND(MID($C2509,9,3)/Basis!$E$3,0.5)</f>
        <v>47</v>
      </c>
      <c r="F2509" s="124" t="s">
        <v>2943</v>
      </c>
      <c r="G2509" s="45">
        <f>ROUND((ROUNDDOWN($F2509/5,0)*5+1.8)/Basis!$E$3,1)</f>
        <v>4.5999999999999996</v>
      </c>
      <c r="H2509" s="120">
        <f>ROUND($P2509*Basis!$E$2*((TaH-TrH)/LN(1/µ)/Basis!$E$7)^$N2509*$AA$4*Glycol,0)</f>
        <v>3042</v>
      </c>
      <c r="I2509" s="83">
        <f>ROUND(H2509/(MID($C2509,9,3)/Basis!$E$3/Basis!$E$9)*Basis!$E$11,0)</f>
        <v>773</v>
      </c>
      <c r="J2509" s="123">
        <f>IF(Basis!$E$1=1,ROUND(H2509/((TaH-TrH)*1.163)/3600,3),ROUND(H2509/(500*(TaH-TrH)),2))</f>
        <v>0.3</v>
      </c>
      <c r="K2509" s="84"/>
      <c r="L2509" s="177">
        <f>CHOOSE(Basis!$E$1,((AJ2509*(J2509*3600/Basis!$E$5)^AK2509*(((MID(C2509,9,3)*10)-144)/1000)*AL2509+AM2509*(J2509*3600/Basis!$E$5)^2)*0.0098)/Basis!$E$10,((AJ2509*(J2509/Basis!$E$5)^AK2509*(((MID(C2509,9,3)*10)-144)/1000)*AL2509+AM2509*(J2509/Basis!$E$5)^2)*0.0098)/Basis!$E$10)</f>
        <v>9.726728690164296E-3</v>
      </c>
      <c r="M2509" s="85"/>
      <c r="N2509" s="110">
        <v>1.3759999999999999</v>
      </c>
      <c r="O2509" s="74"/>
      <c r="P2509" s="73">
        <v>1404</v>
      </c>
      <c r="Q2509" s="74"/>
      <c r="R2509" s="75"/>
      <c r="S2509" s="75"/>
      <c r="T2509" s="75"/>
      <c r="U2509" s="75"/>
      <c r="V2509" s="75"/>
      <c r="W2509" s="74"/>
      <c r="X2509" s="76"/>
      <c r="Y2509" s="76"/>
      <c r="Z2509" s="76"/>
      <c r="AA2509" s="76"/>
      <c r="AB2509" s="76"/>
      <c r="AC2509" s="74"/>
      <c r="AD2509" s="77"/>
      <c r="AE2509" s="77"/>
      <c r="AF2509" s="77"/>
      <c r="AG2509" s="77"/>
      <c r="AH2509" s="77"/>
      <c r="AI2509" s="68"/>
      <c r="AJ2509" s="213">
        <v>3.9689999999999994E-4</v>
      </c>
      <c r="AK2509" s="213">
        <v>1.7345999999999999</v>
      </c>
      <c r="AL2509" s="213">
        <v>2</v>
      </c>
      <c r="AM2509" s="213">
        <v>3.6734700000000002E-4</v>
      </c>
      <c r="AN2509" s="74"/>
      <c r="AO2509" s="73"/>
      <c r="AP2509" s="73"/>
      <c r="AQ2509" s="73"/>
      <c r="AR2509" s="73"/>
      <c r="AS2509" s="73"/>
      <c r="AT2509" s="74"/>
      <c r="AU2509" s="47"/>
      <c r="AV2509" s="48"/>
    </row>
    <row r="2510" spans="1:48" ht="12.75" customHeight="1" x14ac:dyDescent="0.25">
      <c r="A2510" s="72" t="s">
        <v>20</v>
      </c>
      <c r="B2510" s="43" t="s">
        <v>2240</v>
      </c>
      <c r="C2510" s="44" t="s">
        <v>2668</v>
      </c>
      <c r="D2510" s="45">
        <f>MROUND(MID($C2510,6,3)/Basis!$E$3,0.5)</f>
        <v>23.5</v>
      </c>
      <c r="E2510" s="45">
        <f>MROUND(MID($C2510,9,3)/Basis!$E$3,0.5)</f>
        <v>47</v>
      </c>
      <c r="F2510" s="124" t="s">
        <v>2946</v>
      </c>
      <c r="G2510" s="45">
        <f>ROUND((ROUNDDOWN($F2510/5,0)*5+1.8)/Basis!$E$3,1)</f>
        <v>4.5999999999999996</v>
      </c>
      <c r="H2510" s="120">
        <f>ROUND($P2510*Basis!$E$2*((TaH-TrH)/LN(1/µ)/Basis!$E$7)^$N2510*$AA$4*Glycol,0)</f>
        <v>3807</v>
      </c>
      <c r="I2510" s="83">
        <f>ROUND(H2510/(MID($C2510,9,3)/Basis!$E$3/Basis!$E$9)*Basis!$E$11,0)</f>
        <v>967</v>
      </c>
      <c r="J2510" s="123">
        <f>IF(Basis!$E$1=1,ROUND(H2510/((TaH-TrH)*1.163)/3600,3),ROUND(H2510/(500*(TaH-TrH)),2))</f>
        <v>0.38</v>
      </c>
      <c r="K2510" s="84"/>
      <c r="L2510" s="177">
        <f>CHOOSE(Basis!$E$1,((AJ2510*(J2510*3600/Basis!$E$5)^AK2510*(((MID(C2510,9,3)*10)-144)/1000)*AL2510+AM2510*(J2510*3600/Basis!$E$5)^2)*0.0098)/Basis!$E$10,((AJ2510*(J2510/Basis!$E$5)^AK2510*(((MID(C2510,9,3)*10)-144)/1000)*AL2510+AM2510*(J2510/Basis!$E$5)^2)*0.0098)/Basis!$E$10)</f>
        <v>2.6495292585474475E-2</v>
      </c>
      <c r="M2510" s="85"/>
      <c r="N2510" s="109">
        <v>1.4370000000000001</v>
      </c>
      <c r="O2510" s="68"/>
      <c r="P2510" s="67">
        <v>1793</v>
      </c>
      <c r="Q2510" s="68"/>
      <c r="R2510" s="69"/>
      <c r="S2510" s="69"/>
      <c r="T2510" s="69"/>
      <c r="U2510" s="69"/>
      <c r="V2510" s="69"/>
      <c r="W2510" s="68"/>
      <c r="X2510" s="70"/>
      <c r="Y2510" s="70"/>
      <c r="Z2510" s="70"/>
      <c r="AA2510" s="70"/>
      <c r="AB2510" s="70"/>
      <c r="AC2510" s="68"/>
      <c r="AD2510" s="71"/>
      <c r="AE2510" s="71"/>
      <c r="AF2510" s="71"/>
      <c r="AG2510" s="71"/>
      <c r="AH2510" s="71"/>
      <c r="AI2510" s="68"/>
      <c r="AJ2510" s="214">
        <v>3.9689999999999994E-4</v>
      </c>
      <c r="AK2510" s="214">
        <v>1.7345999999999999</v>
      </c>
      <c r="AL2510" s="214">
        <v>4</v>
      </c>
      <c r="AM2510" s="214">
        <v>5.7428799999999995E-4</v>
      </c>
      <c r="AN2510" s="68"/>
      <c r="AO2510" s="67"/>
      <c r="AP2510" s="67"/>
      <c r="AQ2510" s="67"/>
      <c r="AR2510" s="67"/>
      <c r="AS2510" s="67"/>
      <c r="AT2510" s="68"/>
      <c r="AU2510" s="49"/>
      <c r="AV2510" s="50"/>
    </row>
    <row r="2511" spans="1:48" ht="12.75" customHeight="1" x14ac:dyDescent="0.25">
      <c r="A2511" s="72" t="s">
        <v>20</v>
      </c>
      <c r="B2511" s="43" t="s">
        <v>2240</v>
      </c>
      <c r="C2511" s="44" t="s">
        <v>2669</v>
      </c>
      <c r="D2511" s="45">
        <f>MROUND(MID($C2511,6,3)/Basis!$E$3,0.5)</f>
        <v>23.5</v>
      </c>
      <c r="E2511" s="45">
        <f>MROUND(MID($C2511,9,3)/Basis!$E$3,0.5)</f>
        <v>47</v>
      </c>
      <c r="F2511" s="124" t="s">
        <v>2944</v>
      </c>
      <c r="G2511" s="45">
        <f>ROUND((ROUNDDOWN($F2511/5,0)*5+1.8)/Basis!$E$3,1)</f>
        <v>6.6</v>
      </c>
      <c r="H2511" s="120">
        <f>ROUND($P2511*Basis!$E$2*((TaH-TrH)/LN(1/µ)/Basis!$E$7)^$N2511*$AA$4*Glycol,0)</f>
        <v>4875</v>
      </c>
      <c r="I2511" s="83">
        <f>ROUND(H2511/(MID($C2511,9,3)/Basis!$E$3/Basis!$E$9)*Basis!$E$11,0)</f>
        <v>1238</v>
      </c>
      <c r="J2511" s="123">
        <f>IF(Basis!$E$1=1,ROUND(H2511/((TaH-TrH)*1.163)/3600,3),ROUND(H2511/(500*(TaH-TrH)),2))</f>
        <v>0.49</v>
      </c>
      <c r="K2511" s="84"/>
      <c r="L2511" s="177">
        <f>CHOOSE(Basis!$E$1,((AJ2511*(J2511*3600/Basis!$E$5)^AK2511*(((MID(C2511,9,3)*10)-144)/1000)*AL2511+AM2511*(J2511*3600/Basis!$E$5)^2)*0.0098)/Basis!$E$10,((AJ2511*(J2511/Basis!$E$5)^AK2511*(((MID(C2511,9,3)*10)-144)/1000)*AL2511+AM2511*(J2511/Basis!$E$5)^2)*0.0098)/Basis!$E$10)</f>
        <v>2.3555817857033562E-2</v>
      </c>
      <c r="M2511" s="85"/>
      <c r="N2511" s="109">
        <v>1.361</v>
      </c>
      <c r="O2511" s="68"/>
      <c r="P2511" s="67">
        <v>2239</v>
      </c>
      <c r="Q2511" s="68"/>
      <c r="R2511" s="69"/>
      <c r="S2511" s="69"/>
      <c r="T2511" s="69"/>
      <c r="U2511" s="69"/>
      <c r="V2511" s="69"/>
      <c r="W2511" s="68"/>
      <c r="X2511" s="70"/>
      <c r="Y2511" s="70"/>
      <c r="Z2511" s="70"/>
      <c r="AA2511" s="70"/>
      <c r="AB2511" s="70"/>
      <c r="AC2511" s="68"/>
      <c r="AD2511" s="71"/>
      <c r="AE2511" s="71"/>
      <c r="AF2511" s="71"/>
      <c r="AG2511" s="71"/>
      <c r="AH2511" s="71"/>
      <c r="AI2511" s="68"/>
      <c r="AJ2511" s="214">
        <v>2.0829999999999999E-4</v>
      </c>
      <c r="AK2511" s="214">
        <v>1.724</v>
      </c>
      <c r="AL2511" s="214">
        <v>2</v>
      </c>
      <c r="AM2511" s="214">
        <v>4.6182900000000003E-4</v>
      </c>
      <c r="AN2511" s="68"/>
      <c r="AO2511" s="67"/>
      <c r="AP2511" s="67"/>
      <c r="AQ2511" s="67"/>
      <c r="AR2511" s="67"/>
      <c r="AS2511" s="67"/>
      <c r="AT2511" s="68"/>
      <c r="AU2511" s="49"/>
      <c r="AV2511" s="50"/>
    </row>
    <row r="2512" spans="1:48" ht="12.75" customHeight="1" x14ac:dyDescent="0.25">
      <c r="A2512" s="72" t="s">
        <v>20</v>
      </c>
      <c r="B2512" s="43" t="s">
        <v>2240</v>
      </c>
      <c r="C2512" s="44" t="s">
        <v>2670</v>
      </c>
      <c r="D2512" s="45">
        <f>MROUND(MID($C2512,6,3)/Basis!$E$3,0.5)</f>
        <v>23.5</v>
      </c>
      <c r="E2512" s="45">
        <f>MROUND(MID($C2512,9,3)/Basis!$E$3,0.5)</f>
        <v>47</v>
      </c>
      <c r="F2512" s="124" t="s">
        <v>2947</v>
      </c>
      <c r="G2512" s="45">
        <f>ROUND((ROUNDDOWN($F2512/5,0)*5+1.8)/Basis!$E$3,1)</f>
        <v>6.6</v>
      </c>
      <c r="H2512" s="120">
        <f>ROUND($P2512*Basis!$E$2*((TaH-TrH)/LN(1/µ)/Basis!$E$7)^$N2512*$AA$4*Glycol,0)</f>
        <v>5257</v>
      </c>
      <c r="I2512" s="83">
        <f>ROUND(H2512/(MID($C2512,9,3)/Basis!$E$3/Basis!$E$9)*Basis!$E$11,0)</f>
        <v>1335</v>
      </c>
      <c r="J2512" s="123">
        <f>IF(Basis!$E$1=1,ROUND(H2512/((TaH-TrH)*1.163)/3600,3),ROUND(H2512/(500*(TaH-TrH)),2))</f>
        <v>0.53</v>
      </c>
      <c r="K2512" s="84"/>
      <c r="L2512" s="177">
        <f>CHOOSE(Basis!$E$1,((AJ2512*(J2512*3600/Basis!$E$5)^AK2512*(((MID(C2512,9,3)*10)-144)/1000)*AL2512+AM2512*(J2512*3600/Basis!$E$5)^2)*0.0098)/Basis!$E$10,((AJ2512*(J2512/Basis!$E$5)^AK2512*(((MID(C2512,9,3)*10)-144)/1000)*AL2512+AM2512*(J2512/Basis!$E$5)^2)*0.0098)/Basis!$E$10)</f>
        <v>7.7101479912659435E-2</v>
      </c>
      <c r="M2512" s="85"/>
      <c r="N2512" s="110">
        <v>1.468</v>
      </c>
      <c r="O2512" s="74"/>
      <c r="P2512" s="73">
        <v>2501</v>
      </c>
      <c r="Q2512" s="74"/>
      <c r="R2512" s="75"/>
      <c r="S2512" s="75"/>
      <c r="T2512" s="75"/>
      <c r="U2512" s="75"/>
      <c r="V2512" s="75"/>
      <c r="W2512" s="74"/>
      <c r="X2512" s="76"/>
      <c r="Y2512" s="76"/>
      <c r="Z2512" s="76"/>
      <c r="AA2512" s="76"/>
      <c r="AB2512" s="76"/>
      <c r="AC2512" s="74"/>
      <c r="AD2512" s="77"/>
      <c r="AE2512" s="77"/>
      <c r="AF2512" s="77"/>
      <c r="AG2512" s="77"/>
      <c r="AH2512" s="77"/>
      <c r="AI2512" s="68"/>
      <c r="AJ2512" s="213">
        <v>2.0829999999999999E-4</v>
      </c>
      <c r="AK2512" s="213">
        <v>1.724</v>
      </c>
      <c r="AL2512" s="213">
        <v>4</v>
      </c>
      <c r="AM2512" s="213">
        <v>1.392796E-3</v>
      </c>
      <c r="AN2512" s="74"/>
      <c r="AO2512" s="73"/>
      <c r="AP2512" s="73"/>
      <c r="AQ2512" s="73"/>
      <c r="AR2512" s="73"/>
      <c r="AS2512" s="73"/>
      <c r="AT2512" s="74"/>
      <c r="AU2512" s="47"/>
      <c r="AV2512" s="48"/>
    </row>
    <row r="2513" spans="1:48" ht="12.75" customHeight="1" x14ac:dyDescent="0.25">
      <c r="A2513" s="72" t="s">
        <v>20</v>
      </c>
      <c r="B2513" s="43" t="s">
        <v>2240</v>
      </c>
      <c r="C2513" s="44" t="s">
        <v>2671</v>
      </c>
      <c r="D2513" s="45">
        <f>MROUND(MID($C2513,6,3)/Basis!$E$3,0.5)</f>
        <v>23.5</v>
      </c>
      <c r="E2513" s="45">
        <f>MROUND(MID($C2513,9,3)/Basis!$E$3,0.5)</f>
        <v>47</v>
      </c>
      <c r="F2513" s="124" t="s">
        <v>2945</v>
      </c>
      <c r="G2513" s="45">
        <f>ROUND((ROUNDDOWN($F2513/5,0)*5+1.8)/Basis!$E$3,1)</f>
        <v>8.6</v>
      </c>
      <c r="H2513" s="120">
        <f>ROUND($P2513*Basis!$E$2*((TaH-TrH)/LN(1/µ)/Basis!$E$7)^$N2513*$AA$4*Glycol,0)</f>
        <v>6815</v>
      </c>
      <c r="I2513" s="83">
        <f>ROUND(H2513/(MID($C2513,9,3)/Basis!$E$3/Basis!$E$9)*Basis!$E$11,0)</f>
        <v>1731</v>
      </c>
      <c r="J2513" s="123">
        <f>IF(Basis!$E$1=1,ROUND(H2513/((TaH-TrH)*1.163)/3600,3),ROUND(H2513/(500*(TaH-TrH)),2))</f>
        <v>0.68</v>
      </c>
      <c r="K2513" s="84"/>
      <c r="L2513" s="177">
        <f>CHOOSE(Basis!$E$1,((AJ2513*(J2513*3600/Basis!$E$5)^AK2513*(((MID(C2513,9,3)*10)-144)/1000)*AL2513+AM2513*(J2513*3600/Basis!$E$5)^2)*0.0098)/Basis!$E$10,((AJ2513*(J2513/Basis!$E$5)^AK2513*(((MID(C2513,9,3)*10)-144)/1000)*AL2513+AM2513*(J2513/Basis!$E$5)^2)*0.0098)/Basis!$E$10)</f>
        <v>3.4547982285028152E-2</v>
      </c>
      <c r="M2513" s="85"/>
      <c r="N2513" s="110">
        <v>1.361</v>
      </c>
      <c r="O2513" s="74"/>
      <c r="P2513" s="73">
        <v>3130</v>
      </c>
      <c r="Q2513" s="74"/>
      <c r="R2513" s="75"/>
      <c r="S2513" s="75"/>
      <c r="T2513" s="75"/>
      <c r="U2513" s="75"/>
      <c r="V2513" s="75"/>
      <c r="W2513" s="74"/>
      <c r="X2513" s="76"/>
      <c r="Y2513" s="76"/>
      <c r="Z2513" s="76"/>
      <c r="AA2513" s="76"/>
      <c r="AB2513" s="76"/>
      <c r="AC2513" s="74"/>
      <c r="AD2513" s="77"/>
      <c r="AE2513" s="77"/>
      <c r="AF2513" s="77"/>
      <c r="AG2513" s="77"/>
      <c r="AH2513" s="77"/>
      <c r="AI2513" s="68"/>
      <c r="AJ2513" s="214">
        <v>1.2760000000000001E-4</v>
      </c>
      <c r="AK2513" s="214">
        <v>1.7219</v>
      </c>
      <c r="AL2513" s="214">
        <v>2</v>
      </c>
      <c r="AM2513" s="214">
        <v>3.76611E-4</v>
      </c>
      <c r="AN2513" s="74"/>
      <c r="AO2513" s="73"/>
      <c r="AP2513" s="73"/>
      <c r="AQ2513" s="73"/>
      <c r="AR2513" s="73"/>
      <c r="AS2513" s="73"/>
      <c r="AT2513" s="74"/>
      <c r="AU2513" s="47"/>
      <c r="AV2513" s="48"/>
    </row>
    <row r="2514" spans="1:48" ht="12.75" customHeight="1" x14ac:dyDescent="0.25">
      <c r="A2514" s="72" t="s">
        <v>20</v>
      </c>
      <c r="B2514" s="43" t="s">
        <v>2240</v>
      </c>
      <c r="C2514" s="44" t="s">
        <v>2672</v>
      </c>
      <c r="D2514" s="45">
        <f>MROUND(MID($C2514,6,3)/Basis!$E$3,0.5)</f>
        <v>23.5</v>
      </c>
      <c r="E2514" s="45">
        <f>MROUND(MID($C2514,9,3)/Basis!$E$3,0.5)</f>
        <v>47</v>
      </c>
      <c r="F2514" s="124" t="s">
        <v>2948</v>
      </c>
      <c r="G2514" s="45">
        <f>ROUND((ROUNDDOWN($F2514/5,0)*5+1.8)/Basis!$E$3,1)</f>
        <v>8.6</v>
      </c>
      <c r="H2514" s="120">
        <f>ROUND($P2514*Basis!$E$2*((TaH-TrH)/LN(1/µ)/Basis!$E$7)^$N2514*$AA$4*Glycol,0)</f>
        <v>7209</v>
      </c>
      <c r="I2514" s="83">
        <f>ROUND(H2514/(MID($C2514,9,3)/Basis!$E$3/Basis!$E$9)*Basis!$E$11,0)</f>
        <v>1831</v>
      </c>
      <c r="J2514" s="123">
        <f>IF(Basis!$E$1=1,ROUND(H2514/((TaH-TrH)*1.163)/3600,3),ROUND(H2514/(500*(TaH-TrH)),2))</f>
        <v>0.72</v>
      </c>
      <c r="K2514" s="84"/>
      <c r="L2514" s="177">
        <f>CHOOSE(Basis!$E$1,((AJ2514*(J2514*3600/Basis!$E$5)^AK2514*(((MID(C2514,9,3)*10)-144)/1000)*AL2514+AM2514*(J2514*3600/Basis!$E$5)^2)*0.0098)/Basis!$E$10,((AJ2514*(J2514/Basis!$E$5)^AK2514*(((MID(C2514,9,3)*10)-144)/1000)*AL2514+AM2514*(J2514/Basis!$E$5)^2)*0.0098)/Basis!$E$10)</f>
        <v>5.6381352364596612E-2</v>
      </c>
      <c r="M2514" s="85"/>
      <c r="N2514" s="109">
        <v>1.4930000000000001</v>
      </c>
      <c r="O2514" s="68"/>
      <c r="P2514" s="67">
        <v>3458</v>
      </c>
      <c r="Q2514" s="68"/>
      <c r="R2514" s="69"/>
      <c r="S2514" s="69"/>
      <c r="T2514" s="69"/>
      <c r="U2514" s="69"/>
      <c r="V2514" s="69"/>
      <c r="W2514" s="68"/>
      <c r="X2514" s="70"/>
      <c r="Y2514" s="70"/>
      <c r="Z2514" s="70"/>
      <c r="AA2514" s="70"/>
      <c r="AB2514" s="70"/>
      <c r="AC2514" s="68"/>
      <c r="AD2514" s="71"/>
      <c r="AE2514" s="71"/>
      <c r="AF2514" s="71"/>
      <c r="AG2514" s="71"/>
      <c r="AH2514" s="71"/>
      <c r="AI2514" s="68"/>
      <c r="AJ2514" s="214">
        <v>1.2760000000000001E-4</v>
      </c>
      <c r="AK2514" s="214">
        <v>1.7219</v>
      </c>
      <c r="AL2514" s="214">
        <v>4</v>
      </c>
      <c r="AM2514" s="214">
        <v>5.1420100000000005E-4</v>
      </c>
      <c r="AN2514" s="68"/>
      <c r="AO2514" s="67"/>
      <c r="AP2514" s="67"/>
      <c r="AQ2514" s="67"/>
      <c r="AR2514" s="67"/>
      <c r="AS2514" s="67"/>
      <c r="AT2514" s="68"/>
      <c r="AU2514" s="49"/>
      <c r="AV2514" s="50"/>
    </row>
    <row r="2515" spans="1:48" ht="12.75" customHeight="1" x14ac:dyDescent="0.25">
      <c r="A2515" s="72" t="s">
        <v>20</v>
      </c>
      <c r="B2515" s="43" t="s">
        <v>2240</v>
      </c>
      <c r="C2515" s="44" t="s">
        <v>2673</v>
      </c>
      <c r="D2515" s="45">
        <f>MROUND(MID($C2515,6,3)/Basis!$E$3,0.5)</f>
        <v>23.5</v>
      </c>
      <c r="E2515" s="45">
        <f>MROUND(MID($C2515,9,3)/Basis!$E$3,0.5)</f>
        <v>55</v>
      </c>
      <c r="F2515" s="124" t="s">
        <v>2943</v>
      </c>
      <c r="G2515" s="45">
        <f>ROUND((ROUNDDOWN($F2515/5,0)*5+1.8)/Basis!$E$3,1)</f>
        <v>4.5999999999999996</v>
      </c>
      <c r="H2515" s="120">
        <f>ROUND($P2515*Basis!$E$2*((TaH-TrH)/LN(1/µ)/Basis!$E$7)^$N2515*$AA$4*Glycol,0)</f>
        <v>3549</v>
      </c>
      <c r="I2515" s="83">
        <f>ROUND(H2515/(MID($C2515,9,3)/Basis!$E$3/Basis!$E$9)*Basis!$E$11,0)</f>
        <v>773</v>
      </c>
      <c r="J2515" s="123">
        <f>IF(Basis!$E$1=1,ROUND(H2515/((TaH-TrH)*1.163)/3600,3),ROUND(H2515/(500*(TaH-TrH)),2))</f>
        <v>0.35</v>
      </c>
      <c r="K2515" s="84"/>
      <c r="L2515" s="177">
        <f>CHOOSE(Basis!$E$1,((AJ2515*(J2515*3600/Basis!$E$5)^AK2515*(((MID(C2515,9,3)*10)-144)/1000)*AL2515+AM2515*(J2515*3600/Basis!$E$5)^2)*0.0098)/Basis!$E$10,((AJ2515*(J2515/Basis!$E$5)^AK2515*(((MID(C2515,9,3)*10)-144)/1000)*AL2515+AM2515*(J2515/Basis!$E$5)^2)*0.0098)/Basis!$E$10)</f>
        <v>1.4039712270143683E-2</v>
      </c>
      <c r="M2515" s="85"/>
      <c r="N2515" s="109">
        <v>1.3759999999999999</v>
      </c>
      <c r="O2515" s="68"/>
      <c r="P2515" s="67">
        <v>1638</v>
      </c>
      <c r="Q2515" s="68"/>
      <c r="R2515" s="69"/>
      <c r="S2515" s="69"/>
      <c r="T2515" s="69"/>
      <c r="U2515" s="69"/>
      <c r="V2515" s="69"/>
      <c r="W2515" s="68"/>
      <c r="X2515" s="70"/>
      <c r="Y2515" s="70"/>
      <c r="Z2515" s="70"/>
      <c r="AA2515" s="70"/>
      <c r="AB2515" s="70"/>
      <c r="AC2515" s="68"/>
      <c r="AD2515" s="71"/>
      <c r="AE2515" s="71"/>
      <c r="AF2515" s="71"/>
      <c r="AG2515" s="71"/>
      <c r="AH2515" s="71"/>
      <c r="AI2515" s="68"/>
      <c r="AJ2515" s="214">
        <v>3.9689999999999994E-4</v>
      </c>
      <c r="AK2515" s="214">
        <v>1.7345999999999999</v>
      </c>
      <c r="AL2515" s="214">
        <v>2</v>
      </c>
      <c r="AM2515" s="214">
        <v>3.6734700000000002E-4</v>
      </c>
      <c r="AN2515" s="68"/>
      <c r="AO2515" s="67"/>
      <c r="AP2515" s="67"/>
      <c r="AQ2515" s="67"/>
      <c r="AR2515" s="67"/>
      <c r="AS2515" s="67"/>
      <c r="AT2515" s="68"/>
      <c r="AU2515" s="49"/>
      <c r="AV2515" s="50"/>
    </row>
    <row r="2516" spans="1:48" ht="12.75" customHeight="1" x14ac:dyDescent="0.25">
      <c r="A2516" s="72" t="s">
        <v>20</v>
      </c>
      <c r="B2516" s="43" t="s">
        <v>2240</v>
      </c>
      <c r="C2516" s="44" t="s">
        <v>2674</v>
      </c>
      <c r="D2516" s="45">
        <f>MROUND(MID($C2516,6,3)/Basis!$E$3,0.5)</f>
        <v>23.5</v>
      </c>
      <c r="E2516" s="45">
        <f>MROUND(MID($C2516,9,3)/Basis!$E$3,0.5)</f>
        <v>55</v>
      </c>
      <c r="F2516" s="124" t="s">
        <v>2946</v>
      </c>
      <c r="G2516" s="45">
        <f>ROUND((ROUNDDOWN($F2516/5,0)*5+1.8)/Basis!$E$3,1)</f>
        <v>4.5999999999999996</v>
      </c>
      <c r="H2516" s="120">
        <f>ROUND($P2516*Basis!$E$2*((TaH-TrH)/LN(1/µ)/Basis!$E$7)^$N2516*$AA$4*Glycol,0)</f>
        <v>4442</v>
      </c>
      <c r="I2516" s="83">
        <f>ROUND(H2516/(MID($C2516,9,3)/Basis!$E$3/Basis!$E$9)*Basis!$E$11,0)</f>
        <v>967</v>
      </c>
      <c r="J2516" s="123">
        <f>IF(Basis!$E$1=1,ROUND(H2516/((TaH-TrH)*1.163)/3600,3),ROUND(H2516/(500*(TaH-TrH)),2))</f>
        <v>0.44</v>
      </c>
      <c r="K2516" s="84"/>
      <c r="L2516" s="177">
        <f>CHOOSE(Basis!$E$1,((AJ2516*(J2516*3600/Basis!$E$5)^AK2516*(((MID(C2516,9,3)*10)-144)/1000)*AL2516+AM2516*(J2516*3600/Basis!$E$5)^2)*0.0098)/Basis!$E$10,((AJ2516*(J2516/Basis!$E$5)^AK2516*(((MID(C2516,9,3)*10)-144)/1000)*AL2516+AM2516*(J2516/Basis!$E$5)^2)*0.0098)/Basis!$E$10)</f>
        <v>3.7937692733559625E-2</v>
      </c>
      <c r="M2516" s="85"/>
      <c r="N2516" s="110">
        <v>1.4370000000000001</v>
      </c>
      <c r="O2516" s="74"/>
      <c r="P2516" s="73">
        <v>2092</v>
      </c>
      <c r="Q2516" s="74"/>
      <c r="R2516" s="75"/>
      <c r="S2516" s="75"/>
      <c r="T2516" s="75"/>
      <c r="U2516" s="75"/>
      <c r="V2516" s="75"/>
      <c r="W2516" s="74"/>
      <c r="X2516" s="76"/>
      <c r="Y2516" s="76"/>
      <c r="Z2516" s="76"/>
      <c r="AA2516" s="76"/>
      <c r="AB2516" s="76"/>
      <c r="AC2516" s="74"/>
      <c r="AD2516" s="77"/>
      <c r="AE2516" s="77"/>
      <c r="AF2516" s="77"/>
      <c r="AG2516" s="77"/>
      <c r="AH2516" s="77"/>
      <c r="AI2516" s="68"/>
      <c r="AJ2516" s="213">
        <v>3.9689999999999994E-4</v>
      </c>
      <c r="AK2516" s="213">
        <v>1.7345999999999999</v>
      </c>
      <c r="AL2516" s="213">
        <v>4</v>
      </c>
      <c r="AM2516" s="213">
        <v>5.7428799999999995E-4</v>
      </c>
      <c r="AN2516" s="74"/>
      <c r="AO2516" s="73"/>
      <c r="AP2516" s="73"/>
      <c r="AQ2516" s="73"/>
      <c r="AR2516" s="73"/>
      <c r="AS2516" s="73"/>
      <c r="AT2516" s="74"/>
      <c r="AU2516" s="47"/>
      <c r="AV2516" s="48"/>
    </row>
    <row r="2517" spans="1:48" ht="12.75" customHeight="1" x14ac:dyDescent="0.25">
      <c r="A2517" s="72" t="s">
        <v>20</v>
      </c>
      <c r="B2517" s="43" t="s">
        <v>2240</v>
      </c>
      <c r="C2517" s="44" t="s">
        <v>2675</v>
      </c>
      <c r="D2517" s="45">
        <f>MROUND(MID($C2517,6,3)/Basis!$E$3,0.5)</f>
        <v>23.5</v>
      </c>
      <c r="E2517" s="45">
        <f>MROUND(MID($C2517,9,3)/Basis!$E$3,0.5)</f>
        <v>55</v>
      </c>
      <c r="F2517" s="124" t="s">
        <v>2944</v>
      </c>
      <c r="G2517" s="45">
        <f>ROUND((ROUNDDOWN($F2517/5,0)*5+1.8)/Basis!$E$3,1)</f>
        <v>6.6</v>
      </c>
      <c r="H2517" s="120">
        <f>ROUND($P2517*Basis!$E$2*((TaH-TrH)/LN(1/µ)/Basis!$E$7)^$N2517*$AA$4*Glycol,0)</f>
        <v>5687</v>
      </c>
      <c r="I2517" s="83">
        <f>ROUND(H2517/(MID($C2517,9,3)/Basis!$E$3/Basis!$E$9)*Basis!$E$11,0)</f>
        <v>1238</v>
      </c>
      <c r="J2517" s="123">
        <f>IF(Basis!$E$1=1,ROUND(H2517/((TaH-TrH)*1.163)/3600,3),ROUND(H2517/(500*(TaH-TrH)),2))</f>
        <v>0.56999999999999995</v>
      </c>
      <c r="K2517" s="84"/>
      <c r="L2517" s="177">
        <f>CHOOSE(Basis!$E$1,((AJ2517*(J2517*3600/Basis!$E$5)^AK2517*(((MID(C2517,9,3)*10)-144)/1000)*AL2517+AM2517*(J2517*3600/Basis!$E$5)^2)*0.0098)/Basis!$E$10,((AJ2517*(J2517/Basis!$E$5)^AK2517*(((MID(C2517,9,3)*10)-144)/1000)*AL2517+AM2517*(J2517/Basis!$E$5)^2)*0.0098)/Basis!$E$10)</f>
        <v>3.2799815254386466E-2</v>
      </c>
      <c r="M2517" s="85"/>
      <c r="N2517" s="110">
        <v>1.361</v>
      </c>
      <c r="O2517" s="74"/>
      <c r="P2517" s="73">
        <v>2612</v>
      </c>
      <c r="Q2517" s="74"/>
      <c r="R2517" s="75"/>
      <c r="S2517" s="75"/>
      <c r="T2517" s="75"/>
      <c r="U2517" s="75"/>
      <c r="V2517" s="75"/>
      <c r="W2517" s="74"/>
      <c r="X2517" s="76"/>
      <c r="Y2517" s="76"/>
      <c r="Z2517" s="76"/>
      <c r="AA2517" s="76"/>
      <c r="AB2517" s="76"/>
      <c r="AC2517" s="74"/>
      <c r="AD2517" s="77"/>
      <c r="AE2517" s="77"/>
      <c r="AF2517" s="77"/>
      <c r="AG2517" s="77"/>
      <c r="AH2517" s="77"/>
      <c r="AI2517" s="68"/>
      <c r="AJ2517" s="213">
        <v>2.0829999999999999E-4</v>
      </c>
      <c r="AK2517" s="213">
        <v>1.724</v>
      </c>
      <c r="AL2517" s="213">
        <v>2</v>
      </c>
      <c r="AM2517" s="213">
        <v>4.6182900000000003E-4</v>
      </c>
      <c r="AN2517" s="74"/>
      <c r="AO2517" s="73"/>
      <c r="AP2517" s="73"/>
      <c r="AQ2517" s="73"/>
      <c r="AR2517" s="73"/>
      <c r="AS2517" s="73"/>
      <c r="AT2517" s="74"/>
      <c r="AU2517" s="47"/>
      <c r="AV2517" s="48"/>
    </row>
    <row r="2518" spans="1:48" ht="12.75" customHeight="1" x14ac:dyDescent="0.25">
      <c r="A2518" s="72" t="s">
        <v>20</v>
      </c>
      <c r="B2518" s="43" t="s">
        <v>2240</v>
      </c>
      <c r="C2518" s="44" t="s">
        <v>2676</v>
      </c>
      <c r="D2518" s="45">
        <f>MROUND(MID($C2518,6,3)/Basis!$E$3,0.5)</f>
        <v>23.5</v>
      </c>
      <c r="E2518" s="45">
        <f>MROUND(MID($C2518,9,3)/Basis!$E$3,0.5)</f>
        <v>55</v>
      </c>
      <c r="F2518" s="124" t="s">
        <v>2947</v>
      </c>
      <c r="G2518" s="45">
        <f>ROUND((ROUNDDOWN($F2518/5,0)*5+1.8)/Basis!$E$3,1)</f>
        <v>6.6</v>
      </c>
      <c r="H2518" s="120">
        <f>ROUND($P2518*Basis!$E$2*((TaH-TrH)/LN(1/µ)/Basis!$E$7)^$N2518*$AA$4*Glycol,0)</f>
        <v>6133</v>
      </c>
      <c r="I2518" s="83">
        <f>ROUND(H2518/(MID($C2518,9,3)/Basis!$E$3/Basis!$E$9)*Basis!$E$11,0)</f>
        <v>1335</v>
      </c>
      <c r="J2518" s="123">
        <f>IF(Basis!$E$1=1,ROUND(H2518/((TaH-TrH)*1.163)/3600,3),ROUND(H2518/(500*(TaH-TrH)),2))</f>
        <v>0.61</v>
      </c>
      <c r="K2518" s="84"/>
      <c r="L2518" s="177">
        <f>CHOOSE(Basis!$E$1,((AJ2518*(J2518*3600/Basis!$E$5)^AK2518*(((MID(C2518,9,3)*10)-144)/1000)*AL2518+AM2518*(J2518*3600/Basis!$E$5)^2)*0.0098)/Basis!$E$10,((AJ2518*(J2518/Basis!$E$5)^AK2518*(((MID(C2518,9,3)*10)-144)/1000)*AL2518+AM2518*(J2518/Basis!$E$5)^2)*0.0098)/Basis!$E$10)</f>
        <v>0.10425553393387357</v>
      </c>
      <c r="M2518" s="85"/>
      <c r="N2518" s="109">
        <v>1.468</v>
      </c>
      <c r="O2518" s="68"/>
      <c r="P2518" s="67">
        <v>2918</v>
      </c>
      <c r="Q2518" s="68"/>
      <c r="R2518" s="69"/>
      <c r="S2518" s="69"/>
      <c r="T2518" s="69"/>
      <c r="U2518" s="69"/>
      <c r="V2518" s="69"/>
      <c r="W2518" s="68"/>
      <c r="X2518" s="70"/>
      <c r="Y2518" s="70"/>
      <c r="Z2518" s="70"/>
      <c r="AA2518" s="70"/>
      <c r="AB2518" s="70"/>
      <c r="AC2518" s="68"/>
      <c r="AD2518" s="71"/>
      <c r="AE2518" s="71"/>
      <c r="AF2518" s="71"/>
      <c r="AG2518" s="71"/>
      <c r="AH2518" s="71"/>
      <c r="AI2518" s="68"/>
      <c r="AJ2518" s="214">
        <v>2.0829999999999999E-4</v>
      </c>
      <c r="AK2518" s="214">
        <v>1.724</v>
      </c>
      <c r="AL2518" s="214">
        <v>4</v>
      </c>
      <c r="AM2518" s="214">
        <v>1.392796E-3</v>
      </c>
      <c r="AN2518" s="68"/>
      <c r="AO2518" s="67"/>
      <c r="AP2518" s="67"/>
      <c r="AQ2518" s="67"/>
      <c r="AR2518" s="67"/>
      <c r="AS2518" s="67"/>
      <c r="AT2518" s="68"/>
      <c r="AU2518" s="49"/>
      <c r="AV2518" s="50"/>
    </row>
    <row r="2519" spans="1:48" ht="12.75" customHeight="1" x14ac:dyDescent="0.25">
      <c r="A2519" s="72" t="s">
        <v>20</v>
      </c>
      <c r="B2519" s="43" t="s">
        <v>2240</v>
      </c>
      <c r="C2519" s="44" t="s">
        <v>2677</v>
      </c>
      <c r="D2519" s="45">
        <f>MROUND(MID($C2519,6,3)/Basis!$E$3,0.5)</f>
        <v>23.5</v>
      </c>
      <c r="E2519" s="45">
        <f>MROUND(MID($C2519,9,3)/Basis!$E$3,0.5)</f>
        <v>55</v>
      </c>
      <c r="F2519" s="124" t="s">
        <v>2945</v>
      </c>
      <c r="G2519" s="45">
        <f>ROUND((ROUNDDOWN($F2519/5,0)*5+1.8)/Basis!$E$3,1)</f>
        <v>8.6</v>
      </c>
      <c r="H2519" s="120">
        <f>ROUND($P2519*Basis!$E$2*((TaH-TrH)/LN(1/µ)/Basis!$E$7)^$N2519*$AA$4*Glycol,0)</f>
        <v>7950</v>
      </c>
      <c r="I2519" s="83">
        <f>ROUND(H2519/(MID($C2519,9,3)/Basis!$E$3/Basis!$E$9)*Basis!$E$11,0)</f>
        <v>1731</v>
      </c>
      <c r="J2519" s="123">
        <f>IF(Basis!$E$1=1,ROUND(H2519/((TaH-TrH)*1.163)/3600,3),ROUND(H2519/(500*(TaH-TrH)),2))</f>
        <v>0.8</v>
      </c>
      <c r="K2519" s="84"/>
      <c r="L2519" s="177">
        <f>CHOOSE(Basis!$E$1,((AJ2519*(J2519*3600/Basis!$E$5)^AK2519*(((MID(C2519,9,3)*10)-144)/1000)*AL2519+AM2519*(J2519*3600/Basis!$E$5)^2)*0.0098)/Basis!$E$10,((AJ2519*(J2519/Basis!$E$5)^AK2519*(((MID(C2519,9,3)*10)-144)/1000)*AL2519+AM2519*(J2519/Basis!$E$5)^2)*0.0098)/Basis!$E$10)</f>
        <v>4.8797359640396547E-2</v>
      </c>
      <c r="M2519" s="85"/>
      <c r="N2519" s="109">
        <v>1.361</v>
      </c>
      <c r="O2519" s="68"/>
      <c r="P2519" s="67">
        <v>3651</v>
      </c>
      <c r="Q2519" s="68"/>
      <c r="R2519" s="69"/>
      <c r="S2519" s="69"/>
      <c r="T2519" s="69"/>
      <c r="U2519" s="69"/>
      <c r="V2519" s="69"/>
      <c r="W2519" s="68"/>
      <c r="X2519" s="70"/>
      <c r="Y2519" s="70"/>
      <c r="Z2519" s="70"/>
      <c r="AA2519" s="70"/>
      <c r="AB2519" s="70"/>
      <c r="AC2519" s="68"/>
      <c r="AD2519" s="71"/>
      <c r="AE2519" s="71"/>
      <c r="AF2519" s="71"/>
      <c r="AG2519" s="71"/>
      <c r="AH2519" s="71"/>
      <c r="AI2519" s="68"/>
      <c r="AJ2519" s="214">
        <v>1.2760000000000001E-4</v>
      </c>
      <c r="AK2519" s="214">
        <v>1.7219</v>
      </c>
      <c r="AL2519" s="214">
        <v>2</v>
      </c>
      <c r="AM2519" s="214">
        <v>3.76611E-4</v>
      </c>
      <c r="AN2519" s="68"/>
      <c r="AO2519" s="67"/>
      <c r="AP2519" s="67"/>
      <c r="AQ2519" s="67"/>
      <c r="AR2519" s="67"/>
      <c r="AS2519" s="67"/>
      <c r="AT2519" s="68"/>
      <c r="AU2519" s="49"/>
      <c r="AV2519" s="50"/>
    </row>
    <row r="2520" spans="1:48" ht="12.75" customHeight="1" x14ac:dyDescent="0.25">
      <c r="A2520" s="72" t="s">
        <v>20</v>
      </c>
      <c r="B2520" s="43" t="s">
        <v>2240</v>
      </c>
      <c r="C2520" s="44" t="s">
        <v>2678</v>
      </c>
      <c r="D2520" s="45">
        <f>MROUND(MID($C2520,6,3)/Basis!$E$3,0.5)</f>
        <v>23.5</v>
      </c>
      <c r="E2520" s="45">
        <f>MROUND(MID($C2520,9,3)/Basis!$E$3,0.5)</f>
        <v>55</v>
      </c>
      <c r="F2520" s="124" t="s">
        <v>2948</v>
      </c>
      <c r="G2520" s="45">
        <f>ROUND((ROUNDDOWN($F2520/5,0)*5+1.8)/Basis!$E$3,1)</f>
        <v>8.6</v>
      </c>
      <c r="H2520" s="120">
        <f>ROUND($P2520*Basis!$E$2*((TaH-TrH)/LN(1/µ)/Basis!$E$7)^$N2520*$AA$4*Glycol,0)</f>
        <v>8411</v>
      </c>
      <c r="I2520" s="83">
        <f>ROUND(H2520/(MID($C2520,9,3)/Basis!$E$3/Basis!$E$9)*Basis!$E$11,0)</f>
        <v>1831</v>
      </c>
      <c r="J2520" s="123">
        <f>IF(Basis!$E$1=1,ROUND(H2520/((TaH-TrH)*1.163)/3600,3),ROUND(H2520/(500*(TaH-TrH)),2))</f>
        <v>0.84</v>
      </c>
      <c r="K2520" s="84"/>
      <c r="L2520" s="177">
        <f>CHOOSE(Basis!$E$1,((AJ2520*(J2520*3600/Basis!$E$5)^AK2520*(((MID(C2520,9,3)*10)-144)/1000)*AL2520+AM2520*(J2520*3600/Basis!$E$5)^2)*0.0098)/Basis!$E$10,((AJ2520*(J2520/Basis!$E$5)^AK2520*(((MID(C2520,9,3)*10)-144)/1000)*AL2520+AM2520*(J2520/Basis!$E$5)^2)*0.0098)/Basis!$E$10)</f>
        <v>7.8909460897894232E-2</v>
      </c>
      <c r="M2520" s="85"/>
      <c r="N2520" s="110">
        <v>1.4930000000000001</v>
      </c>
      <c r="O2520" s="74"/>
      <c r="P2520" s="73">
        <v>4035</v>
      </c>
      <c r="Q2520" s="74"/>
      <c r="R2520" s="75"/>
      <c r="S2520" s="75"/>
      <c r="T2520" s="75"/>
      <c r="U2520" s="75"/>
      <c r="V2520" s="75"/>
      <c r="W2520" s="74"/>
      <c r="X2520" s="76"/>
      <c r="Y2520" s="76"/>
      <c r="Z2520" s="76"/>
      <c r="AA2520" s="76"/>
      <c r="AB2520" s="76"/>
      <c r="AC2520" s="74"/>
      <c r="AD2520" s="77"/>
      <c r="AE2520" s="77"/>
      <c r="AF2520" s="77"/>
      <c r="AG2520" s="77"/>
      <c r="AH2520" s="77"/>
      <c r="AI2520" s="68"/>
      <c r="AJ2520" s="213">
        <v>1.2760000000000001E-4</v>
      </c>
      <c r="AK2520" s="213">
        <v>1.7219</v>
      </c>
      <c r="AL2520" s="213">
        <v>4</v>
      </c>
      <c r="AM2520" s="213">
        <v>5.1420100000000005E-4</v>
      </c>
      <c r="AN2520" s="74"/>
      <c r="AO2520" s="73"/>
      <c r="AP2520" s="73"/>
      <c r="AQ2520" s="73"/>
      <c r="AR2520" s="73"/>
      <c r="AS2520" s="73"/>
      <c r="AT2520" s="74"/>
      <c r="AU2520" s="47"/>
      <c r="AV2520" s="48"/>
    </row>
    <row r="2521" spans="1:48" ht="12.75" customHeight="1" x14ac:dyDescent="0.25">
      <c r="A2521" s="72" t="s">
        <v>20</v>
      </c>
      <c r="B2521" s="43" t="s">
        <v>2240</v>
      </c>
      <c r="C2521" s="44" t="s">
        <v>2679</v>
      </c>
      <c r="D2521" s="45">
        <f>MROUND(MID($C2521,6,3)/Basis!$E$3,0.5)</f>
        <v>23.5</v>
      </c>
      <c r="E2521" s="45">
        <f>MROUND(MID($C2521,9,3)/Basis!$E$3,0.5)</f>
        <v>63</v>
      </c>
      <c r="F2521" s="124" t="s">
        <v>2943</v>
      </c>
      <c r="G2521" s="45">
        <f>ROUND((ROUNDDOWN($F2521/5,0)*5+1.8)/Basis!$E$3,1)</f>
        <v>4.5999999999999996</v>
      </c>
      <c r="H2521" s="120">
        <f>ROUND($P2521*Basis!$E$2*((TaH-TrH)/LN(1/µ)/Basis!$E$7)^$N2521*$AA$4*Glycol,0)</f>
        <v>4056</v>
      </c>
      <c r="I2521" s="83">
        <f>ROUND(H2521/(MID($C2521,9,3)/Basis!$E$3/Basis!$E$9)*Basis!$E$11,0)</f>
        <v>773</v>
      </c>
      <c r="J2521" s="123">
        <f>IF(Basis!$E$1=1,ROUND(H2521/((TaH-TrH)*1.163)/3600,3),ROUND(H2521/(500*(TaH-TrH)),2))</f>
        <v>0.41</v>
      </c>
      <c r="K2521" s="84"/>
      <c r="L2521" s="177">
        <f>CHOOSE(Basis!$E$1,((AJ2521*(J2521*3600/Basis!$E$5)^AK2521*(((MID(C2521,9,3)*10)-144)/1000)*AL2521+AM2521*(J2521*3600/Basis!$E$5)^2)*0.0098)/Basis!$E$10,((AJ2521*(J2521/Basis!$E$5)^AK2521*(((MID(C2521,9,3)*10)-144)/1000)*AL2521+AM2521*(J2521/Basis!$E$5)^2)*0.0098)/Basis!$E$10)</f>
        <v>2.0253308659330064E-2</v>
      </c>
      <c r="M2521" s="85"/>
      <c r="N2521" s="110">
        <v>1.3759999999999999</v>
      </c>
      <c r="O2521" s="74"/>
      <c r="P2521" s="73">
        <v>1872</v>
      </c>
      <c r="Q2521" s="74"/>
      <c r="R2521" s="75"/>
      <c r="S2521" s="75"/>
      <c r="T2521" s="75"/>
      <c r="U2521" s="75"/>
      <c r="V2521" s="75"/>
      <c r="W2521" s="74"/>
      <c r="X2521" s="76"/>
      <c r="Y2521" s="76"/>
      <c r="Z2521" s="76"/>
      <c r="AA2521" s="76"/>
      <c r="AB2521" s="76"/>
      <c r="AC2521" s="74"/>
      <c r="AD2521" s="77"/>
      <c r="AE2521" s="77"/>
      <c r="AF2521" s="77"/>
      <c r="AG2521" s="77"/>
      <c r="AH2521" s="77"/>
      <c r="AI2521" s="68"/>
      <c r="AJ2521" s="213">
        <v>3.9689999999999994E-4</v>
      </c>
      <c r="AK2521" s="213">
        <v>1.7345999999999999</v>
      </c>
      <c r="AL2521" s="213">
        <v>2</v>
      </c>
      <c r="AM2521" s="213">
        <v>3.6734700000000002E-4</v>
      </c>
      <c r="AN2521" s="74"/>
      <c r="AO2521" s="73"/>
      <c r="AP2521" s="73"/>
      <c r="AQ2521" s="73"/>
      <c r="AR2521" s="73"/>
      <c r="AS2521" s="73"/>
      <c r="AT2521" s="74"/>
      <c r="AU2521" s="47"/>
      <c r="AV2521" s="48"/>
    </row>
    <row r="2522" spans="1:48" ht="12.75" customHeight="1" x14ac:dyDescent="0.25">
      <c r="A2522" s="72" t="s">
        <v>20</v>
      </c>
      <c r="B2522" s="43" t="s">
        <v>2240</v>
      </c>
      <c r="C2522" s="44" t="s">
        <v>2680</v>
      </c>
      <c r="D2522" s="45">
        <f>MROUND(MID($C2522,6,3)/Basis!$E$3,0.5)</f>
        <v>23.5</v>
      </c>
      <c r="E2522" s="45">
        <f>MROUND(MID($C2522,9,3)/Basis!$E$3,0.5)</f>
        <v>63</v>
      </c>
      <c r="F2522" s="124" t="s">
        <v>2946</v>
      </c>
      <c r="G2522" s="45">
        <f>ROUND((ROUNDDOWN($F2522/5,0)*5+1.8)/Basis!$E$3,1)</f>
        <v>4.5999999999999996</v>
      </c>
      <c r="H2522" s="120">
        <f>ROUND($P2522*Basis!$E$2*((TaH-TrH)/LN(1/µ)/Basis!$E$7)^$N2522*$AA$4*Glycol,0)</f>
        <v>5075</v>
      </c>
      <c r="I2522" s="83">
        <f>ROUND(H2522/(MID($C2522,9,3)/Basis!$E$3/Basis!$E$9)*Basis!$E$11,0)</f>
        <v>967</v>
      </c>
      <c r="J2522" s="123">
        <f>IF(Basis!$E$1=1,ROUND(H2522/((TaH-TrH)*1.163)/3600,3),ROUND(H2522/(500*(TaH-TrH)),2))</f>
        <v>0.51</v>
      </c>
      <c r="K2522" s="84"/>
      <c r="L2522" s="177">
        <f>CHOOSE(Basis!$E$1,((AJ2522*(J2522*3600/Basis!$E$5)^AK2522*(((MID(C2522,9,3)*10)-144)/1000)*AL2522+AM2522*(J2522*3600/Basis!$E$5)^2)*0.0098)/Basis!$E$10,((AJ2522*(J2522/Basis!$E$5)^AK2522*(((MID(C2522,9,3)*10)-144)/1000)*AL2522+AM2522*(J2522/Basis!$E$5)^2)*0.0098)/Basis!$E$10)</f>
        <v>5.3925092003003168E-2</v>
      </c>
      <c r="M2522" s="85"/>
      <c r="N2522" s="109">
        <v>1.4370000000000001</v>
      </c>
      <c r="O2522" s="68"/>
      <c r="P2522" s="67">
        <v>2390</v>
      </c>
      <c r="Q2522" s="68"/>
      <c r="R2522" s="69"/>
      <c r="S2522" s="69"/>
      <c r="T2522" s="69"/>
      <c r="U2522" s="69"/>
      <c r="V2522" s="69"/>
      <c r="W2522" s="68"/>
      <c r="X2522" s="70"/>
      <c r="Y2522" s="70"/>
      <c r="Z2522" s="70"/>
      <c r="AA2522" s="70"/>
      <c r="AB2522" s="70"/>
      <c r="AC2522" s="68"/>
      <c r="AD2522" s="71"/>
      <c r="AE2522" s="71"/>
      <c r="AF2522" s="71"/>
      <c r="AG2522" s="71"/>
      <c r="AH2522" s="71"/>
      <c r="AI2522" s="68"/>
      <c r="AJ2522" s="214">
        <v>3.9689999999999994E-4</v>
      </c>
      <c r="AK2522" s="214">
        <v>1.7345999999999999</v>
      </c>
      <c r="AL2522" s="214">
        <v>4</v>
      </c>
      <c r="AM2522" s="214">
        <v>5.7428799999999995E-4</v>
      </c>
      <c r="AN2522" s="68"/>
      <c r="AO2522" s="67"/>
      <c r="AP2522" s="67"/>
      <c r="AQ2522" s="67"/>
      <c r="AR2522" s="67"/>
      <c r="AS2522" s="67"/>
      <c r="AT2522" s="68"/>
      <c r="AU2522" s="49"/>
      <c r="AV2522" s="50"/>
    </row>
    <row r="2523" spans="1:48" ht="12.75" customHeight="1" x14ac:dyDescent="0.25">
      <c r="A2523" s="72" t="s">
        <v>20</v>
      </c>
      <c r="B2523" s="43" t="s">
        <v>2240</v>
      </c>
      <c r="C2523" s="44" t="s">
        <v>2681</v>
      </c>
      <c r="D2523" s="45">
        <f>MROUND(MID($C2523,6,3)/Basis!$E$3,0.5)</f>
        <v>23.5</v>
      </c>
      <c r="E2523" s="45">
        <f>MROUND(MID($C2523,9,3)/Basis!$E$3,0.5)</f>
        <v>63</v>
      </c>
      <c r="F2523" s="124" t="s">
        <v>2944</v>
      </c>
      <c r="G2523" s="45">
        <f>ROUND((ROUNDDOWN($F2523/5,0)*5+1.8)/Basis!$E$3,1)</f>
        <v>6.6</v>
      </c>
      <c r="H2523" s="120">
        <f>ROUND($P2523*Basis!$E$2*((TaH-TrH)/LN(1/µ)/Basis!$E$7)^$N2523*$AA$4*Glycol,0)</f>
        <v>6502</v>
      </c>
      <c r="I2523" s="83">
        <f>ROUND(H2523/(MID($C2523,9,3)/Basis!$E$3/Basis!$E$9)*Basis!$E$11,0)</f>
        <v>1239</v>
      </c>
      <c r="J2523" s="123">
        <f>IF(Basis!$E$1=1,ROUND(H2523/((TaH-TrH)*1.163)/3600,3),ROUND(H2523/(500*(TaH-TrH)),2))</f>
        <v>0.65</v>
      </c>
      <c r="K2523" s="84"/>
      <c r="L2523" s="177">
        <f>CHOOSE(Basis!$E$1,((AJ2523*(J2523*3600/Basis!$E$5)^AK2523*(((MID(C2523,9,3)*10)-144)/1000)*AL2523+AM2523*(J2523*3600/Basis!$E$5)^2)*0.0098)/Basis!$E$10,((AJ2523*(J2523/Basis!$E$5)^AK2523*(((MID(C2523,9,3)*10)-144)/1000)*AL2523+AM2523*(J2523/Basis!$E$5)^2)*0.0098)/Basis!$E$10)</f>
        <v>4.3802064889658349E-2</v>
      </c>
      <c r="M2523" s="85"/>
      <c r="N2523" s="109">
        <v>1.361</v>
      </c>
      <c r="O2523" s="68"/>
      <c r="P2523" s="67">
        <v>2986</v>
      </c>
      <c r="Q2523" s="68"/>
      <c r="R2523" s="69"/>
      <c r="S2523" s="69"/>
      <c r="T2523" s="69"/>
      <c r="U2523" s="69"/>
      <c r="V2523" s="69"/>
      <c r="W2523" s="68"/>
      <c r="X2523" s="70"/>
      <c r="Y2523" s="70"/>
      <c r="Z2523" s="70"/>
      <c r="AA2523" s="70"/>
      <c r="AB2523" s="70"/>
      <c r="AC2523" s="68"/>
      <c r="AD2523" s="71"/>
      <c r="AE2523" s="71"/>
      <c r="AF2523" s="71"/>
      <c r="AG2523" s="71"/>
      <c r="AH2523" s="71"/>
      <c r="AI2523" s="68"/>
      <c r="AJ2523" s="214">
        <v>2.0829999999999999E-4</v>
      </c>
      <c r="AK2523" s="214">
        <v>1.724</v>
      </c>
      <c r="AL2523" s="214">
        <v>2</v>
      </c>
      <c r="AM2523" s="214">
        <v>4.6182900000000003E-4</v>
      </c>
      <c r="AN2523" s="68"/>
      <c r="AO2523" s="67"/>
      <c r="AP2523" s="67"/>
      <c r="AQ2523" s="67"/>
      <c r="AR2523" s="67"/>
      <c r="AS2523" s="67"/>
      <c r="AT2523" s="68"/>
      <c r="AU2523" s="49"/>
      <c r="AV2523" s="50"/>
    </row>
    <row r="2524" spans="1:48" ht="12.75" customHeight="1" x14ac:dyDescent="0.25">
      <c r="A2524" s="72" t="s">
        <v>20</v>
      </c>
      <c r="B2524" s="43" t="s">
        <v>2240</v>
      </c>
      <c r="C2524" s="44" t="s">
        <v>2682</v>
      </c>
      <c r="D2524" s="45">
        <f>MROUND(MID($C2524,6,3)/Basis!$E$3,0.5)</f>
        <v>23.5</v>
      </c>
      <c r="E2524" s="45">
        <f>MROUND(MID($C2524,9,3)/Basis!$E$3,0.5)</f>
        <v>63</v>
      </c>
      <c r="F2524" s="124" t="s">
        <v>2947</v>
      </c>
      <c r="G2524" s="45">
        <f>ROUND((ROUNDDOWN($F2524/5,0)*5+1.8)/Basis!$E$3,1)</f>
        <v>6.6</v>
      </c>
      <c r="H2524" s="120">
        <f>ROUND($P2524*Basis!$E$2*((TaH-TrH)/LN(1/µ)/Basis!$E$7)^$N2524*$AA$4*Glycol,0)</f>
        <v>7008</v>
      </c>
      <c r="I2524" s="83">
        <f>ROUND(H2524/(MID($C2524,9,3)/Basis!$E$3/Basis!$E$9)*Basis!$E$11,0)</f>
        <v>1335</v>
      </c>
      <c r="J2524" s="123">
        <f>IF(Basis!$E$1=1,ROUND(H2524/((TaH-TrH)*1.163)/3600,3),ROUND(H2524/(500*(TaH-TrH)),2))</f>
        <v>0.7</v>
      </c>
      <c r="K2524" s="84"/>
      <c r="L2524" s="177">
        <f>CHOOSE(Basis!$E$1,((AJ2524*(J2524*3600/Basis!$E$5)^AK2524*(((MID(C2524,9,3)*10)-144)/1000)*AL2524+AM2524*(J2524*3600/Basis!$E$5)^2)*0.0098)/Basis!$E$10,((AJ2524*(J2524/Basis!$E$5)^AK2524*(((MID(C2524,9,3)*10)-144)/1000)*AL2524+AM2524*(J2524/Basis!$E$5)^2)*0.0098)/Basis!$E$10)</f>
        <v>0.13986208332233455</v>
      </c>
      <c r="M2524" s="85"/>
      <c r="N2524" s="110">
        <v>1.468</v>
      </c>
      <c r="O2524" s="74"/>
      <c r="P2524" s="73">
        <v>3334</v>
      </c>
      <c r="Q2524" s="74"/>
      <c r="R2524" s="75"/>
      <c r="S2524" s="75"/>
      <c r="T2524" s="75"/>
      <c r="U2524" s="75"/>
      <c r="V2524" s="75"/>
      <c r="W2524" s="74"/>
      <c r="X2524" s="76"/>
      <c r="Y2524" s="76"/>
      <c r="Z2524" s="76"/>
      <c r="AA2524" s="76"/>
      <c r="AB2524" s="76"/>
      <c r="AC2524" s="74"/>
      <c r="AD2524" s="77"/>
      <c r="AE2524" s="77"/>
      <c r="AF2524" s="77"/>
      <c r="AG2524" s="77"/>
      <c r="AH2524" s="77"/>
      <c r="AI2524" s="68"/>
      <c r="AJ2524" s="213">
        <v>2.0829999999999999E-4</v>
      </c>
      <c r="AK2524" s="213">
        <v>1.724</v>
      </c>
      <c r="AL2524" s="213">
        <v>4</v>
      </c>
      <c r="AM2524" s="213">
        <v>1.392796E-3</v>
      </c>
      <c r="AN2524" s="74"/>
      <c r="AO2524" s="73"/>
      <c r="AP2524" s="73"/>
      <c r="AQ2524" s="73"/>
      <c r="AR2524" s="73"/>
      <c r="AS2524" s="73"/>
      <c r="AT2524" s="74"/>
      <c r="AU2524" s="47"/>
      <c r="AV2524" s="48"/>
    </row>
    <row r="2525" spans="1:48" ht="12.75" customHeight="1" x14ac:dyDescent="0.25">
      <c r="A2525" s="72" t="s">
        <v>20</v>
      </c>
      <c r="B2525" s="43" t="s">
        <v>2240</v>
      </c>
      <c r="C2525" s="44" t="s">
        <v>2683</v>
      </c>
      <c r="D2525" s="45">
        <f>MROUND(MID($C2525,6,3)/Basis!$E$3,0.5)</f>
        <v>23.5</v>
      </c>
      <c r="E2525" s="45">
        <f>MROUND(MID($C2525,9,3)/Basis!$E$3,0.5)</f>
        <v>63</v>
      </c>
      <c r="F2525" s="124" t="s">
        <v>2945</v>
      </c>
      <c r="G2525" s="45">
        <f>ROUND((ROUNDDOWN($F2525/5,0)*5+1.8)/Basis!$E$3,1)</f>
        <v>8.6</v>
      </c>
      <c r="H2525" s="120">
        <f>ROUND($P2525*Basis!$E$2*((TaH-TrH)/LN(1/µ)/Basis!$E$7)^$N2525*$AA$4*Glycol,0)</f>
        <v>9086</v>
      </c>
      <c r="I2525" s="83">
        <f>ROUND(H2525/(MID($C2525,9,3)/Basis!$E$3/Basis!$E$9)*Basis!$E$11,0)</f>
        <v>1731</v>
      </c>
      <c r="J2525" s="123">
        <f>IF(Basis!$E$1=1,ROUND(H2525/((TaH-TrH)*1.163)/3600,3),ROUND(H2525/(500*(TaH-TrH)),2))</f>
        <v>0.91</v>
      </c>
      <c r="K2525" s="84"/>
      <c r="L2525" s="177">
        <f>CHOOSE(Basis!$E$1,((AJ2525*(J2525*3600/Basis!$E$5)^AK2525*(((MID(C2525,9,3)*10)-144)/1000)*AL2525+AM2525*(J2525*3600/Basis!$E$5)^2)*0.0098)/Basis!$E$10,((AJ2525*(J2525/Basis!$E$5)^AK2525*(((MID(C2525,9,3)*10)-144)/1000)*AL2525+AM2525*(J2525/Basis!$E$5)^2)*0.0098)/Basis!$E$10)</f>
        <v>6.438704258944293E-2</v>
      </c>
      <c r="M2525" s="85"/>
      <c r="N2525" s="110">
        <v>1.361</v>
      </c>
      <c r="O2525" s="74"/>
      <c r="P2525" s="73">
        <v>4173</v>
      </c>
      <c r="Q2525" s="74"/>
      <c r="R2525" s="75"/>
      <c r="S2525" s="75"/>
      <c r="T2525" s="75"/>
      <c r="U2525" s="75"/>
      <c r="V2525" s="75"/>
      <c r="W2525" s="74"/>
      <c r="X2525" s="76"/>
      <c r="Y2525" s="76"/>
      <c r="Z2525" s="76"/>
      <c r="AA2525" s="76"/>
      <c r="AB2525" s="76"/>
      <c r="AC2525" s="74"/>
      <c r="AD2525" s="77"/>
      <c r="AE2525" s="77"/>
      <c r="AF2525" s="77"/>
      <c r="AG2525" s="77"/>
      <c r="AH2525" s="77"/>
      <c r="AI2525" s="68"/>
      <c r="AJ2525" s="214">
        <v>1.2760000000000001E-4</v>
      </c>
      <c r="AK2525" s="214">
        <v>1.7219</v>
      </c>
      <c r="AL2525" s="214">
        <v>2</v>
      </c>
      <c r="AM2525" s="214">
        <v>3.76611E-4</v>
      </c>
      <c r="AN2525" s="74"/>
      <c r="AO2525" s="73"/>
      <c r="AP2525" s="73"/>
      <c r="AQ2525" s="73"/>
      <c r="AR2525" s="73"/>
      <c r="AS2525" s="73"/>
      <c r="AT2525" s="74"/>
      <c r="AU2525" s="47"/>
      <c r="AV2525" s="48"/>
    </row>
    <row r="2526" spans="1:48" ht="12.75" customHeight="1" x14ac:dyDescent="0.25">
      <c r="A2526" s="72" t="s">
        <v>20</v>
      </c>
      <c r="B2526" s="43" t="s">
        <v>2240</v>
      </c>
      <c r="C2526" s="44" t="s">
        <v>2684</v>
      </c>
      <c r="D2526" s="45">
        <f>MROUND(MID($C2526,6,3)/Basis!$E$3,0.5)</f>
        <v>23.5</v>
      </c>
      <c r="E2526" s="45">
        <f>MROUND(MID($C2526,9,3)/Basis!$E$3,0.5)</f>
        <v>63</v>
      </c>
      <c r="F2526" s="124" t="s">
        <v>2948</v>
      </c>
      <c r="G2526" s="45">
        <f>ROUND((ROUNDDOWN($F2526/5,0)*5+1.8)/Basis!$E$3,1)</f>
        <v>8.6</v>
      </c>
      <c r="H2526" s="120">
        <f>ROUND($P2526*Basis!$E$2*((TaH-TrH)/LN(1/µ)/Basis!$E$7)^$N2526*$AA$4*Glycol,0)</f>
        <v>9612</v>
      </c>
      <c r="I2526" s="83">
        <f>ROUND(H2526/(MID($C2526,9,3)/Basis!$E$3/Basis!$E$9)*Basis!$E$11,0)</f>
        <v>1831</v>
      </c>
      <c r="J2526" s="123">
        <f>IF(Basis!$E$1=1,ROUND(H2526/((TaH-TrH)*1.163)/3600,3),ROUND(H2526/(500*(TaH-TrH)),2))</f>
        <v>0.96</v>
      </c>
      <c r="K2526" s="84"/>
      <c r="L2526" s="177">
        <f>CHOOSE(Basis!$E$1,((AJ2526*(J2526*3600/Basis!$E$5)^AK2526*(((MID(C2526,9,3)*10)-144)/1000)*AL2526+AM2526*(J2526*3600/Basis!$E$5)^2)*0.0098)/Basis!$E$10,((AJ2526*(J2526/Basis!$E$5)^AK2526*(((MID(C2526,9,3)*10)-144)/1000)*AL2526+AM2526*(J2526/Basis!$E$5)^2)*0.0098)/Basis!$E$10)</f>
        <v>0.10577165090072652</v>
      </c>
      <c r="M2526" s="85"/>
      <c r="N2526" s="109">
        <v>1.4930000000000001</v>
      </c>
      <c r="O2526" s="68"/>
      <c r="P2526" s="67">
        <v>4611</v>
      </c>
      <c r="Q2526" s="68"/>
      <c r="R2526" s="69"/>
      <c r="S2526" s="69"/>
      <c r="T2526" s="69"/>
      <c r="U2526" s="69"/>
      <c r="V2526" s="69"/>
      <c r="W2526" s="68"/>
      <c r="X2526" s="70"/>
      <c r="Y2526" s="70"/>
      <c r="Z2526" s="70"/>
      <c r="AA2526" s="70"/>
      <c r="AB2526" s="70"/>
      <c r="AC2526" s="68"/>
      <c r="AD2526" s="71"/>
      <c r="AE2526" s="71"/>
      <c r="AF2526" s="71"/>
      <c r="AG2526" s="71"/>
      <c r="AH2526" s="71"/>
      <c r="AI2526" s="68"/>
      <c r="AJ2526" s="214">
        <v>1.2760000000000001E-4</v>
      </c>
      <c r="AK2526" s="214">
        <v>1.7219</v>
      </c>
      <c r="AL2526" s="214">
        <v>4</v>
      </c>
      <c r="AM2526" s="214">
        <v>5.1420100000000005E-4</v>
      </c>
      <c r="AN2526" s="68"/>
      <c r="AO2526" s="67"/>
      <c r="AP2526" s="67"/>
      <c r="AQ2526" s="67"/>
      <c r="AR2526" s="67"/>
      <c r="AS2526" s="67"/>
      <c r="AT2526" s="68"/>
      <c r="AU2526" s="49"/>
      <c r="AV2526" s="50"/>
    </row>
    <row r="2527" spans="1:48" ht="12.75" customHeight="1" x14ac:dyDescent="0.25">
      <c r="A2527" s="72" t="s">
        <v>20</v>
      </c>
      <c r="B2527" s="43" t="s">
        <v>2240</v>
      </c>
      <c r="C2527" s="44" t="s">
        <v>2685</v>
      </c>
      <c r="D2527" s="45">
        <f>MROUND(MID($C2527,6,3)/Basis!$E$3,0.5)</f>
        <v>23.5</v>
      </c>
      <c r="E2527" s="45">
        <f>MROUND(MID($C2527,9,3)/Basis!$E$3,0.5)</f>
        <v>71</v>
      </c>
      <c r="F2527" s="124" t="s">
        <v>2943</v>
      </c>
      <c r="G2527" s="45">
        <f>ROUND((ROUNDDOWN($F2527/5,0)*5+1.8)/Basis!$E$3,1)</f>
        <v>4.5999999999999996</v>
      </c>
      <c r="H2527" s="120">
        <f>ROUND($P2527*Basis!$E$2*((TaH-TrH)/LN(1/µ)/Basis!$E$7)^$N2527*$AA$4*Glycol,0)</f>
        <v>4563</v>
      </c>
      <c r="I2527" s="83">
        <f>ROUND(H2527/(MID($C2527,9,3)/Basis!$E$3/Basis!$E$9)*Basis!$E$11,0)</f>
        <v>773</v>
      </c>
      <c r="J2527" s="123">
        <f>IF(Basis!$E$1=1,ROUND(H2527/((TaH-TrH)*1.163)/3600,3),ROUND(H2527/(500*(TaH-TrH)),2))</f>
        <v>0.46</v>
      </c>
      <c r="K2527" s="84"/>
      <c r="L2527" s="177">
        <f>CHOOSE(Basis!$E$1,((AJ2527*(J2527*3600/Basis!$E$5)^AK2527*(((MID(C2527,9,3)*10)-144)/1000)*AL2527+AM2527*(J2527*3600/Basis!$E$5)^2)*0.0098)/Basis!$E$10,((AJ2527*(J2527/Basis!$E$5)^AK2527*(((MID(C2527,9,3)*10)-144)/1000)*AL2527+AM2527*(J2527/Basis!$E$5)^2)*0.0098)/Basis!$E$10)</f>
        <v>2.6771750234733976E-2</v>
      </c>
      <c r="M2527" s="85"/>
      <c r="N2527" s="109">
        <v>1.3759999999999999</v>
      </c>
      <c r="O2527" s="68"/>
      <c r="P2527" s="67">
        <v>2106</v>
      </c>
      <c r="Q2527" s="68"/>
      <c r="R2527" s="69"/>
      <c r="S2527" s="69"/>
      <c r="T2527" s="69"/>
      <c r="U2527" s="69"/>
      <c r="V2527" s="69"/>
      <c r="W2527" s="68"/>
      <c r="X2527" s="70"/>
      <c r="Y2527" s="70"/>
      <c r="Z2527" s="70"/>
      <c r="AA2527" s="70"/>
      <c r="AB2527" s="70"/>
      <c r="AC2527" s="68"/>
      <c r="AD2527" s="71"/>
      <c r="AE2527" s="71"/>
      <c r="AF2527" s="71"/>
      <c r="AG2527" s="71"/>
      <c r="AH2527" s="71"/>
      <c r="AI2527" s="68"/>
      <c r="AJ2527" s="214">
        <v>3.9689999999999994E-4</v>
      </c>
      <c r="AK2527" s="214">
        <v>1.7345999999999999</v>
      </c>
      <c r="AL2527" s="214">
        <v>2</v>
      </c>
      <c r="AM2527" s="214">
        <v>3.6734700000000002E-4</v>
      </c>
      <c r="AN2527" s="68"/>
      <c r="AO2527" s="67"/>
      <c r="AP2527" s="67"/>
      <c r="AQ2527" s="67"/>
      <c r="AR2527" s="67"/>
      <c r="AS2527" s="67"/>
      <c r="AT2527" s="68"/>
      <c r="AU2527" s="49"/>
      <c r="AV2527" s="50"/>
    </row>
    <row r="2528" spans="1:48" ht="12.75" customHeight="1" x14ac:dyDescent="0.25">
      <c r="A2528" s="72" t="s">
        <v>20</v>
      </c>
      <c r="B2528" s="43" t="s">
        <v>2240</v>
      </c>
      <c r="C2528" s="44" t="s">
        <v>2686</v>
      </c>
      <c r="D2528" s="45">
        <f>MROUND(MID($C2528,6,3)/Basis!$E$3,0.5)</f>
        <v>23.5</v>
      </c>
      <c r="E2528" s="45">
        <f>MROUND(MID($C2528,9,3)/Basis!$E$3,0.5)</f>
        <v>71</v>
      </c>
      <c r="F2528" s="124" t="s">
        <v>2946</v>
      </c>
      <c r="G2528" s="45">
        <f>ROUND((ROUNDDOWN($F2528/5,0)*5+1.8)/Basis!$E$3,1)</f>
        <v>4.5999999999999996</v>
      </c>
      <c r="H2528" s="120">
        <f>ROUND($P2528*Basis!$E$2*((TaH-TrH)/LN(1/µ)/Basis!$E$7)^$N2528*$AA$4*Glycol,0)</f>
        <v>5710</v>
      </c>
      <c r="I2528" s="83">
        <f>ROUND(H2528/(MID($C2528,9,3)/Basis!$E$3/Basis!$E$9)*Basis!$E$11,0)</f>
        <v>967</v>
      </c>
      <c r="J2528" s="123">
        <f>IF(Basis!$E$1=1,ROUND(H2528/((TaH-TrH)*1.163)/3600,3),ROUND(H2528/(500*(TaH-TrH)),2))</f>
        <v>0.56999999999999995</v>
      </c>
      <c r="K2528" s="84"/>
      <c r="L2528" s="177">
        <f>CHOOSE(Basis!$E$1,((AJ2528*(J2528*3600/Basis!$E$5)^AK2528*(((MID(C2528,9,3)*10)-144)/1000)*AL2528+AM2528*(J2528*3600/Basis!$E$5)^2)*0.0098)/Basis!$E$10,((AJ2528*(J2528/Basis!$E$5)^AK2528*(((MID(C2528,9,3)*10)-144)/1000)*AL2528+AM2528*(J2528/Basis!$E$5)^2)*0.0098)/Basis!$E$10)</f>
        <v>7.1102112127321232E-2</v>
      </c>
      <c r="M2528" s="85"/>
      <c r="N2528" s="110">
        <v>1.4370000000000001</v>
      </c>
      <c r="O2528" s="74"/>
      <c r="P2528" s="73">
        <v>2689</v>
      </c>
      <c r="Q2528" s="74"/>
      <c r="R2528" s="75"/>
      <c r="S2528" s="75"/>
      <c r="T2528" s="75"/>
      <c r="U2528" s="75"/>
      <c r="V2528" s="75"/>
      <c r="W2528" s="74"/>
      <c r="X2528" s="76"/>
      <c r="Y2528" s="76"/>
      <c r="Z2528" s="76"/>
      <c r="AA2528" s="76"/>
      <c r="AB2528" s="76"/>
      <c r="AC2528" s="74"/>
      <c r="AD2528" s="77"/>
      <c r="AE2528" s="77"/>
      <c r="AF2528" s="77"/>
      <c r="AG2528" s="77"/>
      <c r="AH2528" s="77"/>
      <c r="AI2528" s="68"/>
      <c r="AJ2528" s="213">
        <v>3.9689999999999994E-4</v>
      </c>
      <c r="AK2528" s="213">
        <v>1.7345999999999999</v>
      </c>
      <c r="AL2528" s="213">
        <v>4</v>
      </c>
      <c r="AM2528" s="213">
        <v>5.7428799999999995E-4</v>
      </c>
      <c r="AN2528" s="74"/>
      <c r="AO2528" s="73"/>
      <c r="AP2528" s="73"/>
      <c r="AQ2528" s="73"/>
      <c r="AR2528" s="73"/>
      <c r="AS2528" s="73"/>
      <c r="AT2528" s="74"/>
      <c r="AU2528" s="47"/>
      <c r="AV2528" s="48"/>
    </row>
    <row r="2529" spans="1:48" ht="12.75" customHeight="1" x14ac:dyDescent="0.25">
      <c r="A2529" s="72" t="s">
        <v>20</v>
      </c>
      <c r="B2529" s="43" t="s">
        <v>2240</v>
      </c>
      <c r="C2529" s="44" t="s">
        <v>2687</v>
      </c>
      <c r="D2529" s="45">
        <f>MROUND(MID($C2529,6,3)/Basis!$E$3,0.5)</f>
        <v>23.5</v>
      </c>
      <c r="E2529" s="45">
        <f>MROUND(MID($C2529,9,3)/Basis!$E$3,0.5)</f>
        <v>71</v>
      </c>
      <c r="F2529" s="124" t="s">
        <v>2944</v>
      </c>
      <c r="G2529" s="45">
        <f>ROUND((ROUNDDOWN($F2529/5,0)*5+1.8)/Basis!$E$3,1)</f>
        <v>6.6</v>
      </c>
      <c r="H2529" s="120">
        <f>ROUND($P2529*Basis!$E$2*((TaH-TrH)/LN(1/µ)/Basis!$E$7)^$N2529*$AA$4*Glycol,0)</f>
        <v>7314</v>
      </c>
      <c r="I2529" s="83">
        <f>ROUND(H2529/(MID($C2529,9,3)/Basis!$E$3/Basis!$E$9)*Basis!$E$11,0)</f>
        <v>1239</v>
      </c>
      <c r="J2529" s="123">
        <f>IF(Basis!$E$1=1,ROUND(H2529/((TaH-TrH)*1.163)/3600,3),ROUND(H2529/(500*(TaH-TrH)),2))</f>
        <v>0.73</v>
      </c>
      <c r="K2529" s="84"/>
      <c r="L2529" s="177">
        <f>CHOOSE(Basis!$E$1,((AJ2529*(J2529*3600/Basis!$E$5)^AK2529*(((MID(C2529,9,3)*10)-144)/1000)*AL2529+AM2529*(J2529*3600/Basis!$E$5)^2)*0.0098)/Basis!$E$10,((AJ2529*(J2529/Basis!$E$5)^AK2529*(((MID(C2529,9,3)*10)-144)/1000)*AL2529+AM2529*(J2529/Basis!$E$5)^2)*0.0098)/Basis!$E$10)</f>
        <v>5.6641922955935051E-2</v>
      </c>
      <c r="M2529" s="85"/>
      <c r="N2529" s="110">
        <v>1.361</v>
      </c>
      <c r="O2529" s="74"/>
      <c r="P2529" s="73">
        <v>3359</v>
      </c>
      <c r="Q2529" s="74"/>
      <c r="R2529" s="75"/>
      <c r="S2529" s="75"/>
      <c r="T2529" s="75"/>
      <c r="U2529" s="75"/>
      <c r="V2529" s="75"/>
      <c r="W2529" s="74"/>
      <c r="X2529" s="76"/>
      <c r="Y2529" s="76"/>
      <c r="Z2529" s="76"/>
      <c r="AA2529" s="76"/>
      <c r="AB2529" s="76"/>
      <c r="AC2529" s="74"/>
      <c r="AD2529" s="77"/>
      <c r="AE2529" s="77"/>
      <c r="AF2529" s="77"/>
      <c r="AG2529" s="77"/>
      <c r="AH2529" s="77"/>
      <c r="AI2529" s="68"/>
      <c r="AJ2529" s="213">
        <v>2.0829999999999999E-4</v>
      </c>
      <c r="AK2529" s="213">
        <v>1.724</v>
      </c>
      <c r="AL2529" s="213">
        <v>2</v>
      </c>
      <c r="AM2529" s="213">
        <v>4.6182900000000003E-4</v>
      </c>
      <c r="AN2529" s="74"/>
      <c r="AO2529" s="73"/>
      <c r="AP2529" s="73"/>
      <c r="AQ2529" s="73"/>
      <c r="AR2529" s="73"/>
      <c r="AS2529" s="73"/>
      <c r="AT2529" s="74"/>
      <c r="AU2529" s="47"/>
      <c r="AV2529" s="48"/>
    </row>
    <row r="2530" spans="1:48" ht="12.75" customHeight="1" x14ac:dyDescent="0.25">
      <c r="A2530" s="72" t="s">
        <v>20</v>
      </c>
      <c r="B2530" s="43" t="s">
        <v>2240</v>
      </c>
      <c r="C2530" s="44" t="s">
        <v>2688</v>
      </c>
      <c r="D2530" s="45">
        <f>MROUND(MID($C2530,6,3)/Basis!$E$3,0.5)</f>
        <v>23.5</v>
      </c>
      <c r="E2530" s="45">
        <f>MROUND(MID($C2530,9,3)/Basis!$E$3,0.5)</f>
        <v>71</v>
      </c>
      <c r="F2530" s="124" t="s">
        <v>2947</v>
      </c>
      <c r="G2530" s="45">
        <f>ROUND((ROUNDDOWN($F2530/5,0)*5+1.8)/Basis!$E$3,1)</f>
        <v>6.6</v>
      </c>
      <c r="H2530" s="120">
        <f>ROUND($P2530*Basis!$E$2*((TaH-TrH)/LN(1/µ)/Basis!$E$7)^$N2530*$AA$4*Glycol,0)</f>
        <v>7884</v>
      </c>
      <c r="I2530" s="83">
        <f>ROUND(H2530/(MID($C2530,9,3)/Basis!$E$3/Basis!$E$9)*Basis!$E$11,0)</f>
        <v>1335</v>
      </c>
      <c r="J2530" s="123">
        <f>IF(Basis!$E$1=1,ROUND(H2530/((TaH-TrH)*1.163)/3600,3),ROUND(H2530/(500*(TaH-TrH)),2))</f>
        <v>0.79</v>
      </c>
      <c r="K2530" s="84"/>
      <c r="L2530" s="177">
        <f>CHOOSE(Basis!$E$1,((AJ2530*(J2530*3600/Basis!$E$5)^AK2530*(((MID(C2530,9,3)*10)-144)/1000)*AL2530+AM2530*(J2530*3600/Basis!$E$5)^2)*0.0098)/Basis!$E$10,((AJ2530*(J2530/Basis!$E$5)^AK2530*(((MID(C2530,9,3)*10)-144)/1000)*AL2530+AM2530*(J2530/Basis!$E$5)^2)*0.0098)/Basis!$E$10)</f>
        <v>0.18129160436216415</v>
      </c>
      <c r="M2530" s="85"/>
      <c r="N2530" s="109">
        <v>1.468</v>
      </c>
      <c r="O2530" s="68"/>
      <c r="P2530" s="67">
        <v>3751</v>
      </c>
      <c r="Q2530" s="68"/>
      <c r="R2530" s="69"/>
      <c r="S2530" s="69"/>
      <c r="T2530" s="69"/>
      <c r="U2530" s="69"/>
      <c r="V2530" s="69"/>
      <c r="W2530" s="68"/>
      <c r="X2530" s="70"/>
      <c r="Y2530" s="70"/>
      <c r="Z2530" s="70"/>
      <c r="AA2530" s="70"/>
      <c r="AB2530" s="70"/>
      <c r="AC2530" s="68"/>
      <c r="AD2530" s="71"/>
      <c r="AE2530" s="71"/>
      <c r="AF2530" s="71"/>
      <c r="AG2530" s="71"/>
      <c r="AH2530" s="71"/>
      <c r="AI2530" s="68"/>
      <c r="AJ2530" s="214">
        <v>2.0829999999999999E-4</v>
      </c>
      <c r="AK2530" s="214">
        <v>1.724</v>
      </c>
      <c r="AL2530" s="214">
        <v>4</v>
      </c>
      <c r="AM2530" s="214">
        <v>1.392796E-3</v>
      </c>
      <c r="AN2530" s="68"/>
      <c r="AO2530" s="67"/>
      <c r="AP2530" s="67"/>
      <c r="AQ2530" s="67"/>
      <c r="AR2530" s="67"/>
      <c r="AS2530" s="67"/>
      <c r="AT2530" s="68"/>
      <c r="AU2530" s="49"/>
      <c r="AV2530" s="50"/>
    </row>
    <row r="2531" spans="1:48" ht="12.75" customHeight="1" x14ac:dyDescent="0.25">
      <c r="A2531" s="72" t="s">
        <v>20</v>
      </c>
      <c r="B2531" s="43" t="s">
        <v>2240</v>
      </c>
      <c r="C2531" s="44" t="s">
        <v>2689</v>
      </c>
      <c r="D2531" s="45">
        <f>MROUND(MID($C2531,6,3)/Basis!$E$3,0.5)</f>
        <v>23.5</v>
      </c>
      <c r="E2531" s="45">
        <f>MROUND(MID($C2531,9,3)/Basis!$E$3,0.5)</f>
        <v>71</v>
      </c>
      <c r="F2531" s="124" t="s">
        <v>2945</v>
      </c>
      <c r="G2531" s="45">
        <f>ROUND((ROUNDDOWN($F2531/5,0)*5+1.8)/Basis!$E$3,1)</f>
        <v>8.6</v>
      </c>
      <c r="H2531" s="120">
        <f>ROUND($P2531*Basis!$E$2*((TaH-TrH)/LN(1/µ)/Basis!$E$7)^$N2531*$AA$4*Glycol,0)</f>
        <v>10221</v>
      </c>
      <c r="I2531" s="83">
        <f>ROUND(H2531/(MID($C2531,9,3)/Basis!$E$3/Basis!$E$9)*Basis!$E$11,0)</f>
        <v>1731</v>
      </c>
      <c r="J2531" s="123">
        <f>IF(Basis!$E$1=1,ROUND(H2531/((TaH-TrH)*1.163)/3600,3),ROUND(H2531/(500*(TaH-TrH)),2))</f>
        <v>1.02</v>
      </c>
      <c r="K2531" s="84"/>
      <c r="L2531" s="177">
        <f>CHOOSE(Basis!$E$1,((AJ2531*(J2531*3600/Basis!$E$5)^AK2531*(((MID(C2531,9,3)*10)-144)/1000)*AL2531+AM2531*(J2531*3600/Basis!$E$5)^2)*0.0098)/Basis!$E$10,((AJ2531*(J2531/Basis!$E$5)^AK2531*(((MID(C2531,9,3)*10)-144)/1000)*AL2531+AM2531*(J2531/Basis!$E$5)^2)*0.0098)/Basis!$E$10)</f>
        <v>8.2401581684387562E-2</v>
      </c>
      <c r="M2531" s="85"/>
      <c r="N2531" s="109">
        <v>1.361</v>
      </c>
      <c r="O2531" s="68"/>
      <c r="P2531" s="67">
        <v>4694</v>
      </c>
      <c r="Q2531" s="68"/>
      <c r="R2531" s="69"/>
      <c r="S2531" s="69"/>
      <c r="T2531" s="69"/>
      <c r="U2531" s="69"/>
      <c r="V2531" s="69"/>
      <c r="W2531" s="68"/>
      <c r="X2531" s="70"/>
      <c r="Y2531" s="70"/>
      <c r="Z2531" s="70"/>
      <c r="AA2531" s="70"/>
      <c r="AB2531" s="70"/>
      <c r="AC2531" s="68"/>
      <c r="AD2531" s="71"/>
      <c r="AE2531" s="71"/>
      <c r="AF2531" s="71"/>
      <c r="AG2531" s="71"/>
      <c r="AH2531" s="71"/>
      <c r="AI2531" s="68"/>
      <c r="AJ2531" s="214">
        <v>1.2760000000000001E-4</v>
      </c>
      <c r="AK2531" s="214">
        <v>1.7219</v>
      </c>
      <c r="AL2531" s="214">
        <v>2</v>
      </c>
      <c r="AM2531" s="214">
        <v>3.76611E-4</v>
      </c>
      <c r="AN2531" s="68"/>
      <c r="AO2531" s="67"/>
      <c r="AP2531" s="67"/>
      <c r="AQ2531" s="67"/>
      <c r="AR2531" s="67"/>
      <c r="AS2531" s="67"/>
      <c r="AT2531" s="68"/>
      <c r="AU2531" s="49"/>
      <c r="AV2531" s="50"/>
    </row>
    <row r="2532" spans="1:48" ht="12.75" customHeight="1" x14ac:dyDescent="0.25">
      <c r="A2532" s="72" t="s">
        <v>20</v>
      </c>
      <c r="B2532" s="43" t="s">
        <v>2240</v>
      </c>
      <c r="C2532" s="44" t="s">
        <v>2690</v>
      </c>
      <c r="D2532" s="45">
        <f>MROUND(MID($C2532,6,3)/Basis!$E$3,0.5)</f>
        <v>23.5</v>
      </c>
      <c r="E2532" s="45">
        <f>MROUND(MID($C2532,9,3)/Basis!$E$3,0.5)</f>
        <v>71</v>
      </c>
      <c r="F2532" s="124" t="s">
        <v>2948</v>
      </c>
      <c r="G2532" s="45">
        <f>ROUND((ROUNDDOWN($F2532/5,0)*5+1.8)/Basis!$E$3,1)</f>
        <v>8.6</v>
      </c>
      <c r="H2532" s="120">
        <f>ROUND($P2532*Basis!$E$2*((TaH-TrH)/LN(1/µ)/Basis!$E$7)^$N2532*$AA$4*Glycol,0)</f>
        <v>10815</v>
      </c>
      <c r="I2532" s="83">
        <f>ROUND(H2532/(MID($C2532,9,3)/Basis!$E$3/Basis!$E$9)*Basis!$E$11,0)</f>
        <v>1831</v>
      </c>
      <c r="J2532" s="123">
        <f>IF(Basis!$E$1=1,ROUND(H2532/((TaH-TrH)*1.163)/3600,3),ROUND(H2532/(500*(TaH-TrH)),2))</f>
        <v>1.08</v>
      </c>
      <c r="K2532" s="84"/>
      <c r="L2532" s="177">
        <f>CHOOSE(Basis!$E$1,((AJ2532*(J2532*3600/Basis!$E$5)^AK2532*(((MID(C2532,9,3)*10)-144)/1000)*AL2532+AM2532*(J2532*3600/Basis!$E$5)^2)*0.0098)/Basis!$E$10,((AJ2532*(J2532/Basis!$E$5)^AK2532*(((MID(C2532,9,3)*10)-144)/1000)*AL2532+AM2532*(J2532/Basis!$E$5)^2)*0.0098)/Basis!$E$10)</f>
        <v>0.13716101184655763</v>
      </c>
      <c r="M2532" s="85"/>
      <c r="N2532" s="110">
        <v>1.4930000000000001</v>
      </c>
      <c r="O2532" s="74"/>
      <c r="P2532" s="73">
        <v>5188</v>
      </c>
      <c r="Q2532" s="74"/>
      <c r="R2532" s="75"/>
      <c r="S2532" s="75"/>
      <c r="T2532" s="75"/>
      <c r="U2532" s="75"/>
      <c r="V2532" s="75"/>
      <c r="W2532" s="74"/>
      <c r="X2532" s="76"/>
      <c r="Y2532" s="76"/>
      <c r="Z2532" s="76"/>
      <c r="AA2532" s="76"/>
      <c r="AB2532" s="76"/>
      <c r="AC2532" s="74"/>
      <c r="AD2532" s="77"/>
      <c r="AE2532" s="77"/>
      <c r="AF2532" s="77"/>
      <c r="AG2532" s="77"/>
      <c r="AH2532" s="77"/>
      <c r="AI2532" s="68"/>
      <c r="AJ2532" s="213">
        <v>1.2760000000000001E-4</v>
      </c>
      <c r="AK2532" s="213">
        <v>1.7219</v>
      </c>
      <c r="AL2532" s="213">
        <v>4</v>
      </c>
      <c r="AM2532" s="213">
        <v>5.1420100000000005E-4</v>
      </c>
      <c r="AN2532" s="74"/>
      <c r="AO2532" s="73"/>
      <c r="AP2532" s="73"/>
      <c r="AQ2532" s="73"/>
      <c r="AR2532" s="73"/>
      <c r="AS2532" s="73"/>
      <c r="AT2532" s="74"/>
      <c r="AU2532" s="47"/>
      <c r="AV2532" s="48"/>
    </row>
    <row r="2533" spans="1:48" ht="12.75" customHeight="1" x14ac:dyDescent="0.25">
      <c r="A2533" s="72" t="s">
        <v>20</v>
      </c>
      <c r="B2533" s="43" t="s">
        <v>2240</v>
      </c>
      <c r="C2533" s="44" t="s">
        <v>2691</v>
      </c>
      <c r="D2533" s="45">
        <f>MROUND(MID($C2533,6,3)/Basis!$E$3,0.5)</f>
        <v>23.5</v>
      </c>
      <c r="E2533" s="45">
        <f>MROUND(MID($C2533,9,3)/Basis!$E$3,0.5)</f>
        <v>78.5</v>
      </c>
      <c r="F2533" s="124" t="s">
        <v>2943</v>
      </c>
      <c r="G2533" s="45">
        <f>ROUND((ROUNDDOWN($F2533/5,0)*5+1.8)/Basis!$E$3,1)</f>
        <v>4.5999999999999996</v>
      </c>
      <c r="H2533" s="120">
        <f>ROUND($P2533*Basis!$E$2*((TaH-TrH)/LN(1/µ)/Basis!$E$7)^$N2533*$AA$4*Glycol,0)</f>
        <v>5070</v>
      </c>
      <c r="I2533" s="83">
        <f>ROUND(H2533/(MID($C2533,9,3)/Basis!$E$3/Basis!$E$9)*Basis!$E$11,0)</f>
        <v>773</v>
      </c>
      <c r="J2533" s="123">
        <f>IF(Basis!$E$1=1,ROUND(H2533/((TaH-TrH)*1.163)/3600,3),ROUND(H2533/(500*(TaH-TrH)),2))</f>
        <v>0.51</v>
      </c>
      <c r="K2533" s="84"/>
      <c r="L2533" s="177">
        <f>CHOOSE(Basis!$E$1,((AJ2533*(J2533*3600/Basis!$E$5)^AK2533*(((MID(C2533,9,3)*10)-144)/1000)*AL2533+AM2533*(J2533*3600/Basis!$E$5)^2)*0.0098)/Basis!$E$10,((AJ2533*(J2533/Basis!$E$5)^AK2533*(((MID(C2533,9,3)*10)-144)/1000)*AL2533+AM2533*(J2533/Basis!$E$5)^2)*0.0098)/Basis!$E$10)</f>
        <v>3.4427629603879156E-2</v>
      </c>
      <c r="M2533" s="85"/>
      <c r="N2533" s="110">
        <v>1.3759999999999999</v>
      </c>
      <c r="O2533" s="74"/>
      <c r="P2533" s="73">
        <v>2340</v>
      </c>
      <c r="Q2533" s="74"/>
      <c r="R2533" s="75"/>
      <c r="S2533" s="75"/>
      <c r="T2533" s="75"/>
      <c r="U2533" s="75"/>
      <c r="V2533" s="75"/>
      <c r="W2533" s="74"/>
      <c r="X2533" s="76"/>
      <c r="Y2533" s="76"/>
      <c r="Z2533" s="76"/>
      <c r="AA2533" s="76"/>
      <c r="AB2533" s="76"/>
      <c r="AC2533" s="74"/>
      <c r="AD2533" s="77"/>
      <c r="AE2533" s="77"/>
      <c r="AF2533" s="77"/>
      <c r="AG2533" s="77"/>
      <c r="AH2533" s="77"/>
      <c r="AI2533" s="68"/>
      <c r="AJ2533" s="213">
        <v>3.9689999999999994E-4</v>
      </c>
      <c r="AK2533" s="213">
        <v>1.7345999999999999</v>
      </c>
      <c r="AL2533" s="213">
        <v>2</v>
      </c>
      <c r="AM2533" s="213">
        <v>3.6734700000000002E-4</v>
      </c>
      <c r="AN2533" s="74"/>
      <c r="AO2533" s="73"/>
      <c r="AP2533" s="73"/>
      <c r="AQ2533" s="73"/>
      <c r="AR2533" s="73"/>
      <c r="AS2533" s="73"/>
      <c r="AT2533" s="74"/>
      <c r="AU2533" s="47"/>
      <c r="AV2533" s="48"/>
    </row>
    <row r="2534" spans="1:48" ht="12.75" customHeight="1" x14ac:dyDescent="0.25">
      <c r="A2534" s="72" t="s">
        <v>20</v>
      </c>
      <c r="B2534" s="43" t="s">
        <v>2240</v>
      </c>
      <c r="C2534" s="44" t="s">
        <v>2692</v>
      </c>
      <c r="D2534" s="45">
        <f>MROUND(MID($C2534,6,3)/Basis!$E$3,0.5)</f>
        <v>23.5</v>
      </c>
      <c r="E2534" s="45">
        <f>MROUND(MID($C2534,9,3)/Basis!$E$3,0.5)</f>
        <v>78.5</v>
      </c>
      <c r="F2534" s="124" t="s">
        <v>2946</v>
      </c>
      <c r="G2534" s="45">
        <f>ROUND((ROUNDDOWN($F2534/5,0)*5+1.8)/Basis!$E$3,1)</f>
        <v>4.5999999999999996</v>
      </c>
      <c r="H2534" s="120">
        <f>ROUND($P2534*Basis!$E$2*((TaH-TrH)/LN(1/µ)/Basis!$E$7)^$N2534*$AA$4*Glycol,0)</f>
        <v>6345</v>
      </c>
      <c r="I2534" s="83">
        <f>ROUND(H2534/(MID($C2534,9,3)/Basis!$E$3/Basis!$E$9)*Basis!$E$11,0)</f>
        <v>967</v>
      </c>
      <c r="J2534" s="123">
        <f>IF(Basis!$E$1=1,ROUND(H2534/((TaH-TrH)*1.163)/3600,3),ROUND(H2534/(500*(TaH-TrH)),2))</f>
        <v>0.63</v>
      </c>
      <c r="K2534" s="84"/>
      <c r="L2534" s="177">
        <f>CHOOSE(Basis!$E$1,((AJ2534*(J2534*3600/Basis!$E$5)^AK2534*(((MID(C2534,9,3)*10)-144)/1000)*AL2534+AM2534*(J2534*3600/Basis!$E$5)^2)*0.0098)/Basis!$E$10,((AJ2534*(J2534/Basis!$E$5)^AK2534*(((MID(C2534,9,3)*10)-144)/1000)*AL2534+AM2534*(J2534/Basis!$E$5)^2)*0.0098)/Basis!$E$10)</f>
        <v>9.1283506976796033E-2</v>
      </c>
      <c r="M2534" s="85"/>
      <c r="N2534" s="109">
        <v>1.4370000000000001</v>
      </c>
      <c r="O2534" s="68"/>
      <c r="P2534" s="67">
        <v>2988</v>
      </c>
      <c r="Q2534" s="68"/>
      <c r="R2534" s="69"/>
      <c r="S2534" s="69"/>
      <c r="T2534" s="69"/>
      <c r="U2534" s="69"/>
      <c r="V2534" s="69"/>
      <c r="W2534" s="68"/>
      <c r="X2534" s="70"/>
      <c r="Y2534" s="70"/>
      <c r="Z2534" s="70"/>
      <c r="AA2534" s="70"/>
      <c r="AB2534" s="70"/>
      <c r="AC2534" s="68"/>
      <c r="AD2534" s="71"/>
      <c r="AE2534" s="71"/>
      <c r="AF2534" s="71"/>
      <c r="AG2534" s="71"/>
      <c r="AH2534" s="71"/>
      <c r="AI2534" s="68"/>
      <c r="AJ2534" s="214">
        <v>3.9689999999999994E-4</v>
      </c>
      <c r="AK2534" s="214">
        <v>1.7345999999999999</v>
      </c>
      <c r="AL2534" s="214">
        <v>4</v>
      </c>
      <c r="AM2534" s="214">
        <v>5.7428799999999995E-4</v>
      </c>
      <c r="AN2534" s="68"/>
      <c r="AO2534" s="67"/>
      <c r="AP2534" s="67"/>
      <c r="AQ2534" s="67"/>
      <c r="AR2534" s="67"/>
      <c r="AS2534" s="67"/>
      <c r="AT2534" s="68"/>
      <c r="AU2534" s="49"/>
      <c r="AV2534" s="50"/>
    </row>
    <row r="2535" spans="1:48" ht="12.75" customHeight="1" x14ac:dyDescent="0.25">
      <c r="A2535" s="72" t="s">
        <v>20</v>
      </c>
      <c r="B2535" s="43" t="s">
        <v>2240</v>
      </c>
      <c r="C2535" s="44" t="s">
        <v>2693</v>
      </c>
      <c r="D2535" s="45">
        <f>MROUND(MID($C2535,6,3)/Basis!$E$3,0.5)</f>
        <v>23.5</v>
      </c>
      <c r="E2535" s="45">
        <f>MROUND(MID($C2535,9,3)/Basis!$E$3,0.5)</f>
        <v>78.5</v>
      </c>
      <c r="F2535" s="124" t="s">
        <v>2944</v>
      </c>
      <c r="G2535" s="45">
        <f>ROUND((ROUNDDOWN($F2535/5,0)*5+1.8)/Basis!$E$3,1)</f>
        <v>6.6</v>
      </c>
      <c r="H2535" s="120">
        <f>ROUND($P2535*Basis!$E$2*((TaH-TrH)/LN(1/µ)/Basis!$E$7)^$N2535*$AA$4*Glycol,0)</f>
        <v>8126</v>
      </c>
      <c r="I2535" s="83">
        <f>ROUND(H2535/(MID($C2535,9,3)/Basis!$E$3/Basis!$E$9)*Basis!$E$11,0)</f>
        <v>1238</v>
      </c>
      <c r="J2535" s="123">
        <f>IF(Basis!$E$1=1,ROUND(H2535/((TaH-TrH)*1.163)/3600,3),ROUND(H2535/(500*(TaH-TrH)),2))</f>
        <v>0.81</v>
      </c>
      <c r="K2535" s="84"/>
      <c r="L2535" s="177">
        <f>CHOOSE(Basis!$E$1,((AJ2535*(J2535*3600/Basis!$E$5)^AK2535*(((MID(C2535,9,3)*10)-144)/1000)*AL2535+AM2535*(J2535*3600/Basis!$E$5)^2)*0.0098)/Basis!$E$10,((AJ2535*(J2535/Basis!$E$5)^AK2535*(((MID(C2535,9,3)*10)-144)/1000)*AL2535+AM2535*(J2535/Basis!$E$5)^2)*0.0098)/Basis!$E$10)</f>
        <v>7.1395978919357964E-2</v>
      </c>
      <c r="M2535" s="85"/>
      <c r="N2535" s="109">
        <v>1.361</v>
      </c>
      <c r="O2535" s="68"/>
      <c r="P2535" s="67">
        <v>3732</v>
      </c>
      <c r="Q2535" s="68"/>
      <c r="R2535" s="69"/>
      <c r="S2535" s="69"/>
      <c r="T2535" s="69"/>
      <c r="U2535" s="69"/>
      <c r="V2535" s="69"/>
      <c r="W2535" s="68"/>
      <c r="X2535" s="70"/>
      <c r="Y2535" s="70"/>
      <c r="Z2535" s="70"/>
      <c r="AA2535" s="70"/>
      <c r="AB2535" s="70"/>
      <c r="AC2535" s="68"/>
      <c r="AD2535" s="71"/>
      <c r="AE2535" s="71"/>
      <c r="AF2535" s="71"/>
      <c r="AG2535" s="71"/>
      <c r="AH2535" s="71"/>
      <c r="AI2535" s="68"/>
      <c r="AJ2535" s="214">
        <v>2.0829999999999999E-4</v>
      </c>
      <c r="AK2535" s="214">
        <v>1.724</v>
      </c>
      <c r="AL2535" s="214">
        <v>2</v>
      </c>
      <c r="AM2535" s="214">
        <v>4.6182900000000003E-4</v>
      </c>
      <c r="AN2535" s="68"/>
      <c r="AO2535" s="67"/>
      <c r="AP2535" s="67"/>
      <c r="AQ2535" s="67"/>
      <c r="AR2535" s="67"/>
      <c r="AS2535" s="67"/>
      <c r="AT2535" s="68"/>
      <c r="AU2535" s="49"/>
      <c r="AV2535" s="50"/>
    </row>
    <row r="2536" spans="1:48" ht="12.75" customHeight="1" x14ac:dyDescent="0.25">
      <c r="A2536" s="72" t="s">
        <v>20</v>
      </c>
      <c r="B2536" s="43" t="s">
        <v>2240</v>
      </c>
      <c r="C2536" s="44" t="s">
        <v>2694</v>
      </c>
      <c r="D2536" s="45">
        <f>MROUND(MID($C2536,6,3)/Basis!$E$3,0.5)</f>
        <v>23.5</v>
      </c>
      <c r="E2536" s="45">
        <f>MROUND(MID($C2536,9,3)/Basis!$E$3,0.5)</f>
        <v>78.5</v>
      </c>
      <c r="F2536" s="124" t="s">
        <v>2947</v>
      </c>
      <c r="G2536" s="45">
        <f>ROUND((ROUNDDOWN($F2536/5,0)*5+1.8)/Basis!$E$3,1)</f>
        <v>6.6</v>
      </c>
      <c r="H2536" s="120">
        <f>ROUND($P2536*Basis!$E$2*((TaH-TrH)/LN(1/µ)/Basis!$E$7)^$N2536*$AA$4*Glycol,0)</f>
        <v>8761</v>
      </c>
      <c r="I2536" s="83">
        <f>ROUND(H2536/(MID($C2536,9,3)/Basis!$E$3/Basis!$E$9)*Basis!$E$11,0)</f>
        <v>1335</v>
      </c>
      <c r="J2536" s="123">
        <f>IF(Basis!$E$1=1,ROUND(H2536/((TaH-TrH)*1.163)/3600,3),ROUND(H2536/(500*(TaH-TrH)),2))</f>
        <v>0.88</v>
      </c>
      <c r="K2536" s="84"/>
      <c r="L2536" s="177">
        <f>CHOOSE(Basis!$E$1,((AJ2536*(J2536*3600/Basis!$E$5)^AK2536*(((MID(C2536,9,3)*10)-144)/1000)*AL2536+AM2536*(J2536*3600/Basis!$E$5)^2)*0.0098)/Basis!$E$10,((AJ2536*(J2536/Basis!$E$5)^AK2536*(((MID(C2536,9,3)*10)-144)/1000)*AL2536+AM2536*(J2536/Basis!$E$5)^2)*0.0098)/Basis!$E$10)</f>
        <v>0.22873319017027122</v>
      </c>
      <c r="M2536" s="85"/>
      <c r="N2536" s="110">
        <v>1.468</v>
      </c>
      <c r="O2536" s="74"/>
      <c r="P2536" s="73">
        <v>4168</v>
      </c>
      <c r="Q2536" s="74"/>
      <c r="R2536" s="75"/>
      <c r="S2536" s="75"/>
      <c r="T2536" s="75"/>
      <c r="U2536" s="75"/>
      <c r="V2536" s="75"/>
      <c r="W2536" s="74"/>
      <c r="X2536" s="76"/>
      <c r="Y2536" s="76"/>
      <c r="Z2536" s="76"/>
      <c r="AA2536" s="76"/>
      <c r="AB2536" s="76"/>
      <c r="AC2536" s="74"/>
      <c r="AD2536" s="77"/>
      <c r="AE2536" s="77"/>
      <c r="AF2536" s="77"/>
      <c r="AG2536" s="77"/>
      <c r="AH2536" s="77"/>
      <c r="AI2536" s="68"/>
      <c r="AJ2536" s="213">
        <v>2.0829999999999999E-4</v>
      </c>
      <c r="AK2536" s="213">
        <v>1.724</v>
      </c>
      <c r="AL2536" s="213">
        <v>4</v>
      </c>
      <c r="AM2536" s="213">
        <v>1.392796E-3</v>
      </c>
      <c r="AN2536" s="74"/>
      <c r="AO2536" s="73"/>
      <c r="AP2536" s="73"/>
      <c r="AQ2536" s="73"/>
      <c r="AR2536" s="73"/>
      <c r="AS2536" s="73"/>
      <c r="AT2536" s="74"/>
      <c r="AU2536" s="47"/>
      <c r="AV2536" s="48"/>
    </row>
    <row r="2537" spans="1:48" ht="12.75" customHeight="1" x14ac:dyDescent="0.25">
      <c r="A2537" s="72" t="s">
        <v>20</v>
      </c>
      <c r="B2537" s="43" t="s">
        <v>2240</v>
      </c>
      <c r="C2537" s="44" t="s">
        <v>2695</v>
      </c>
      <c r="D2537" s="45">
        <f>MROUND(MID($C2537,6,3)/Basis!$E$3,0.5)</f>
        <v>23.5</v>
      </c>
      <c r="E2537" s="45">
        <f>MROUND(MID($C2537,9,3)/Basis!$E$3,0.5)</f>
        <v>78.5</v>
      </c>
      <c r="F2537" s="124" t="s">
        <v>2945</v>
      </c>
      <c r="G2537" s="45">
        <f>ROUND((ROUNDDOWN($F2537/5,0)*5+1.8)/Basis!$E$3,1)</f>
        <v>8.6</v>
      </c>
      <c r="H2537" s="120">
        <f>ROUND($P2537*Basis!$E$2*((TaH-TrH)/LN(1/µ)/Basis!$E$7)^$N2537*$AA$4*Glycol,0)</f>
        <v>11357</v>
      </c>
      <c r="I2537" s="83">
        <f>ROUND(H2537/(MID($C2537,9,3)/Basis!$E$3/Basis!$E$9)*Basis!$E$11,0)</f>
        <v>1731</v>
      </c>
      <c r="J2537" s="123">
        <f>IF(Basis!$E$1=1,ROUND(H2537/((TaH-TrH)*1.163)/3600,3),ROUND(H2537/(500*(TaH-TrH)),2))</f>
        <v>1.1399999999999999</v>
      </c>
      <c r="K2537" s="84"/>
      <c r="L2537" s="177">
        <f>CHOOSE(Basis!$E$1,((AJ2537*(J2537*3600/Basis!$E$5)^AK2537*(((MID(C2537,9,3)*10)-144)/1000)*AL2537+AM2537*(J2537*3600/Basis!$E$5)^2)*0.0098)/Basis!$E$10,((AJ2537*(J2537/Basis!$E$5)^AK2537*(((MID(C2537,9,3)*10)-144)/1000)*AL2537+AM2537*(J2537/Basis!$E$5)^2)*0.0098)/Basis!$E$10)</f>
        <v>0.10469600999017883</v>
      </c>
      <c r="M2537" s="85"/>
      <c r="N2537" s="110">
        <v>1.361</v>
      </c>
      <c r="O2537" s="74"/>
      <c r="P2537" s="73">
        <v>5216</v>
      </c>
      <c r="Q2537" s="74"/>
      <c r="R2537" s="75"/>
      <c r="S2537" s="75"/>
      <c r="T2537" s="75"/>
      <c r="U2537" s="75"/>
      <c r="V2537" s="75"/>
      <c r="W2537" s="74"/>
      <c r="X2537" s="76"/>
      <c r="Y2537" s="76"/>
      <c r="Z2537" s="76"/>
      <c r="AA2537" s="76"/>
      <c r="AB2537" s="76"/>
      <c r="AC2537" s="74"/>
      <c r="AD2537" s="77"/>
      <c r="AE2537" s="77"/>
      <c r="AF2537" s="77"/>
      <c r="AG2537" s="77"/>
      <c r="AH2537" s="77"/>
      <c r="AI2537" s="68"/>
      <c r="AJ2537" s="214">
        <v>1.2760000000000001E-4</v>
      </c>
      <c r="AK2537" s="214">
        <v>1.7219</v>
      </c>
      <c r="AL2537" s="214">
        <v>2</v>
      </c>
      <c r="AM2537" s="214">
        <v>3.76611E-4</v>
      </c>
      <c r="AN2537" s="74"/>
      <c r="AO2537" s="73"/>
      <c r="AP2537" s="73"/>
      <c r="AQ2537" s="73"/>
      <c r="AR2537" s="73"/>
      <c r="AS2537" s="73"/>
      <c r="AT2537" s="74"/>
      <c r="AU2537" s="47"/>
      <c r="AV2537" s="48"/>
    </row>
    <row r="2538" spans="1:48" ht="12.75" customHeight="1" x14ac:dyDescent="0.25">
      <c r="A2538" s="72" t="s">
        <v>20</v>
      </c>
      <c r="B2538" s="43" t="s">
        <v>2240</v>
      </c>
      <c r="C2538" s="44" t="s">
        <v>2696</v>
      </c>
      <c r="D2538" s="45">
        <f>MROUND(MID($C2538,6,3)/Basis!$E$3,0.5)</f>
        <v>23.5</v>
      </c>
      <c r="E2538" s="45">
        <f>MROUND(MID($C2538,9,3)/Basis!$E$3,0.5)</f>
        <v>78.5</v>
      </c>
      <c r="F2538" s="124" t="s">
        <v>2948</v>
      </c>
      <c r="G2538" s="45">
        <f>ROUND((ROUNDDOWN($F2538/5,0)*5+1.8)/Basis!$E$3,1)</f>
        <v>8.6</v>
      </c>
      <c r="H2538" s="120">
        <f>ROUND($P2538*Basis!$E$2*((TaH-TrH)/LN(1/µ)/Basis!$E$7)^$N2538*$AA$4*Glycol,0)</f>
        <v>12016</v>
      </c>
      <c r="I2538" s="83">
        <f>ROUND(H2538/(MID($C2538,9,3)/Basis!$E$3/Basis!$E$9)*Basis!$E$11,0)</f>
        <v>1831</v>
      </c>
      <c r="J2538" s="123">
        <f>IF(Basis!$E$1=1,ROUND(H2538/((TaH-TrH)*1.163)/3600,3),ROUND(H2538/(500*(TaH-TrH)),2))</f>
        <v>1.2</v>
      </c>
      <c r="K2538" s="84"/>
      <c r="L2538" s="177">
        <f>CHOOSE(Basis!$E$1,((AJ2538*(J2538*3600/Basis!$E$5)^AK2538*(((MID(C2538,9,3)*10)-144)/1000)*AL2538+AM2538*(J2538*3600/Basis!$E$5)^2)*0.0098)/Basis!$E$10,((AJ2538*(J2538/Basis!$E$5)^AK2538*(((MID(C2538,9,3)*10)-144)/1000)*AL2538+AM2538*(J2538/Basis!$E$5)^2)*0.0098)/Basis!$E$10)</f>
        <v>0.17326377844747853</v>
      </c>
      <c r="M2538" s="85"/>
      <c r="N2538" s="109">
        <v>1.4930000000000001</v>
      </c>
      <c r="O2538" s="68"/>
      <c r="P2538" s="67">
        <v>5764</v>
      </c>
      <c r="Q2538" s="68"/>
      <c r="R2538" s="69"/>
      <c r="S2538" s="69"/>
      <c r="T2538" s="69"/>
      <c r="U2538" s="69"/>
      <c r="V2538" s="69"/>
      <c r="W2538" s="68"/>
      <c r="X2538" s="70"/>
      <c r="Y2538" s="70"/>
      <c r="Z2538" s="70"/>
      <c r="AA2538" s="70"/>
      <c r="AB2538" s="70"/>
      <c r="AC2538" s="68"/>
      <c r="AD2538" s="71"/>
      <c r="AE2538" s="71"/>
      <c r="AF2538" s="71"/>
      <c r="AG2538" s="71"/>
      <c r="AH2538" s="71"/>
      <c r="AI2538" s="68"/>
      <c r="AJ2538" s="214">
        <v>1.2760000000000001E-4</v>
      </c>
      <c r="AK2538" s="214">
        <v>1.7219</v>
      </c>
      <c r="AL2538" s="214">
        <v>4</v>
      </c>
      <c r="AM2538" s="214">
        <v>5.1420100000000005E-4</v>
      </c>
      <c r="AN2538" s="68"/>
      <c r="AO2538" s="67"/>
      <c r="AP2538" s="67"/>
      <c r="AQ2538" s="67"/>
      <c r="AR2538" s="67"/>
      <c r="AS2538" s="67"/>
      <c r="AT2538" s="68"/>
      <c r="AU2538" s="49"/>
      <c r="AV2538" s="50"/>
    </row>
    <row r="2539" spans="1:48" ht="12.75" customHeight="1" x14ac:dyDescent="0.25">
      <c r="A2539" s="72" t="s">
        <v>20</v>
      </c>
      <c r="B2539" s="43" t="s">
        <v>2240</v>
      </c>
      <c r="C2539" s="44" t="s">
        <v>2697</v>
      </c>
      <c r="D2539" s="45">
        <f>MROUND(MID($C2539,6,3)/Basis!$E$3,0.5)</f>
        <v>23.5</v>
      </c>
      <c r="E2539" s="45">
        <f>MROUND(MID($C2539,9,3)/Basis!$E$3,0.5)</f>
        <v>86.5</v>
      </c>
      <c r="F2539" s="124" t="s">
        <v>2943</v>
      </c>
      <c r="G2539" s="45">
        <f>ROUND((ROUNDDOWN($F2539/5,0)*5+1.8)/Basis!$E$3,1)</f>
        <v>4.5999999999999996</v>
      </c>
      <c r="H2539" s="120">
        <f>ROUND($P2539*Basis!$E$2*((TaH-TrH)/LN(1/µ)/Basis!$E$7)^$N2539*$AA$4*Glycol,0)</f>
        <v>5577</v>
      </c>
      <c r="I2539" s="83">
        <f>ROUND(H2539/(MID($C2539,9,3)/Basis!$E$3/Basis!$E$9)*Basis!$E$11,0)</f>
        <v>773</v>
      </c>
      <c r="J2539" s="123">
        <f>IF(Basis!$E$1=1,ROUND(H2539/((TaH-TrH)*1.163)/3600,3),ROUND(H2539/(500*(TaH-TrH)),2))</f>
        <v>0.56000000000000005</v>
      </c>
      <c r="K2539" s="84"/>
      <c r="L2539" s="177">
        <f>CHOOSE(Basis!$E$1,((AJ2539*(J2539*3600/Basis!$E$5)^AK2539*(((MID(C2539,9,3)*10)-144)/1000)*AL2539+AM2539*(J2539*3600/Basis!$E$5)^2)*0.0098)/Basis!$E$10,((AJ2539*(J2539/Basis!$E$5)^AK2539*(((MID(C2539,9,3)*10)-144)/1000)*AL2539+AM2539*(J2539/Basis!$E$5)^2)*0.0098)/Basis!$E$10)</f>
        <v>4.328857149697677E-2</v>
      </c>
      <c r="M2539" s="85"/>
      <c r="N2539" s="109">
        <v>1.3759999999999999</v>
      </c>
      <c r="O2539" s="68"/>
      <c r="P2539" s="67">
        <v>2574</v>
      </c>
      <c r="Q2539" s="68"/>
      <c r="R2539" s="69"/>
      <c r="S2539" s="69"/>
      <c r="T2539" s="69"/>
      <c r="U2539" s="69"/>
      <c r="V2539" s="69"/>
      <c r="W2539" s="68"/>
      <c r="X2539" s="70"/>
      <c r="Y2539" s="70"/>
      <c r="Z2539" s="70"/>
      <c r="AA2539" s="70"/>
      <c r="AB2539" s="70"/>
      <c r="AC2539" s="68"/>
      <c r="AD2539" s="71"/>
      <c r="AE2539" s="71"/>
      <c r="AF2539" s="71"/>
      <c r="AG2539" s="71"/>
      <c r="AH2539" s="71"/>
      <c r="AI2539" s="68"/>
      <c r="AJ2539" s="214">
        <v>3.9689999999999994E-4</v>
      </c>
      <c r="AK2539" s="214">
        <v>1.7345999999999999</v>
      </c>
      <c r="AL2539" s="214">
        <v>2</v>
      </c>
      <c r="AM2539" s="214">
        <v>3.6734700000000002E-4</v>
      </c>
      <c r="AN2539" s="68"/>
      <c r="AO2539" s="67"/>
      <c r="AP2539" s="67"/>
      <c r="AQ2539" s="67"/>
      <c r="AR2539" s="67"/>
      <c r="AS2539" s="67"/>
      <c r="AT2539" s="68"/>
      <c r="AU2539" s="49"/>
      <c r="AV2539" s="50"/>
    </row>
    <row r="2540" spans="1:48" ht="12.75" customHeight="1" x14ac:dyDescent="0.25">
      <c r="A2540" s="72" t="s">
        <v>20</v>
      </c>
      <c r="B2540" s="43" t="s">
        <v>2240</v>
      </c>
      <c r="C2540" s="44" t="s">
        <v>2698</v>
      </c>
      <c r="D2540" s="45">
        <f>MROUND(MID($C2540,6,3)/Basis!$E$3,0.5)</f>
        <v>23.5</v>
      </c>
      <c r="E2540" s="45">
        <f>MROUND(MID($C2540,9,3)/Basis!$E$3,0.5)</f>
        <v>86.5</v>
      </c>
      <c r="F2540" s="124" t="s">
        <v>2946</v>
      </c>
      <c r="G2540" s="45">
        <f>ROUND((ROUNDDOWN($F2540/5,0)*5+1.8)/Basis!$E$3,1)</f>
        <v>4.5999999999999996</v>
      </c>
      <c r="H2540" s="120">
        <f>ROUND($P2540*Basis!$E$2*((TaH-TrH)/LN(1/µ)/Basis!$E$7)^$N2540*$AA$4*Glycol,0)</f>
        <v>6980</v>
      </c>
      <c r="I2540" s="83">
        <f>ROUND(H2540/(MID($C2540,9,3)/Basis!$E$3/Basis!$E$9)*Basis!$E$11,0)</f>
        <v>967</v>
      </c>
      <c r="J2540" s="123">
        <f>IF(Basis!$E$1=1,ROUND(H2540/((TaH-TrH)*1.163)/3600,3),ROUND(H2540/(500*(TaH-TrH)),2))</f>
        <v>0.7</v>
      </c>
      <c r="K2540" s="84"/>
      <c r="L2540" s="177">
        <f>CHOOSE(Basis!$E$1,((AJ2540*(J2540*3600/Basis!$E$5)^AK2540*(((MID(C2540,9,3)*10)-144)/1000)*AL2540+AM2540*(J2540*3600/Basis!$E$5)^2)*0.0098)/Basis!$E$10,((AJ2540*(J2540/Basis!$E$5)^AK2540*(((MID(C2540,9,3)*10)-144)/1000)*AL2540+AM2540*(J2540/Basis!$E$5)^2)*0.0098)/Basis!$E$10)</f>
        <v>0.1177323480665252</v>
      </c>
      <c r="M2540" s="85"/>
      <c r="N2540" s="110">
        <v>1.4370000000000001</v>
      </c>
      <c r="O2540" s="74"/>
      <c r="P2540" s="73">
        <v>3287</v>
      </c>
      <c r="Q2540" s="74"/>
      <c r="R2540" s="75"/>
      <c r="S2540" s="75"/>
      <c r="T2540" s="75"/>
      <c r="U2540" s="75"/>
      <c r="V2540" s="75"/>
      <c r="W2540" s="74"/>
      <c r="X2540" s="76"/>
      <c r="Y2540" s="76"/>
      <c r="Z2540" s="76"/>
      <c r="AA2540" s="76"/>
      <c r="AB2540" s="76"/>
      <c r="AC2540" s="74"/>
      <c r="AD2540" s="77"/>
      <c r="AE2540" s="77"/>
      <c r="AF2540" s="77"/>
      <c r="AG2540" s="77"/>
      <c r="AH2540" s="77"/>
      <c r="AI2540" s="68"/>
      <c r="AJ2540" s="213">
        <v>3.9689999999999994E-4</v>
      </c>
      <c r="AK2540" s="213">
        <v>1.7345999999999999</v>
      </c>
      <c r="AL2540" s="213">
        <v>4</v>
      </c>
      <c r="AM2540" s="213">
        <v>5.7428799999999995E-4</v>
      </c>
      <c r="AN2540" s="74"/>
      <c r="AO2540" s="73"/>
      <c r="AP2540" s="73"/>
      <c r="AQ2540" s="73"/>
      <c r="AR2540" s="73"/>
      <c r="AS2540" s="73"/>
      <c r="AT2540" s="74"/>
      <c r="AU2540" s="47"/>
      <c r="AV2540" s="48"/>
    </row>
    <row r="2541" spans="1:48" ht="12.75" customHeight="1" x14ac:dyDescent="0.25">
      <c r="A2541" s="72" t="s">
        <v>20</v>
      </c>
      <c r="B2541" s="43" t="s">
        <v>2240</v>
      </c>
      <c r="C2541" s="44" t="s">
        <v>2699</v>
      </c>
      <c r="D2541" s="45">
        <f>MROUND(MID($C2541,6,3)/Basis!$E$3,0.5)</f>
        <v>23.5</v>
      </c>
      <c r="E2541" s="45">
        <f>MROUND(MID($C2541,9,3)/Basis!$E$3,0.5)</f>
        <v>86.5</v>
      </c>
      <c r="F2541" s="124" t="s">
        <v>2944</v>
      </c>
      <c r="G2541" s="45">
        <f>ROUND((ROUNDDOWN($F2541/5,0)*5+1.8)/Basis!$E$3,1)</f>
        <v>6.6</v>
      </c>
      <c r="H2541" s="120">
        <f>ROUND($P2541*Basis!$E$2*((TaH-TrH)/LN(1/µ)/Basis!$E$7)^$N2541*$AA$4*Glycol,0)</f>
        <v>8938</v>
      </c>
      <c r="I2541" s="83">
        <f>ROUND(H2541/(MID($C2541,9,3)/Basis!$E$3/Basis!$E$9)*Basis!$E$11,0)</f>
        <v>1238</v>
      </c>
      <c r="J2541" s="123">
        <f>IF(Basis!$E$1=1,ROUND(H2541/((TaH-TrH)*1.163)/3600,3),ROUND(H2541/(500*(TaH-TrH)),2))</f>
        <v>0.89</v>
      </c>
      <c r="K2541" s="84"/>
      <c r="L2541" s="177">
        <f>CHOOSE(Basis!$E$1,((AJ2541*(J2541*3600/Basis!$E$5)^AK2541*(((MID(C2541,9,3)*10)-144)/1000)*AL2541+AM2541*(J2541*3600/Basis!$E$5)^2)*0.0098)/Basis!$E$10,((AJ2541*(J2541/Basis!$E$5)^AK2541*(((MID(C2541,9,3)*10)-144)/1000)*AL2541+AM2541*(J2541/Basis!$E$5)^2)*0.0098)/Basis!$E$10)</f>
        <v>8.8138452604117137E-2</v>
      </c>
      <c r="M2541" s="85"/>
      <c r="N2541" s="110">
        <v>1.361</v>
      </c>
      <c r="O2541" s="74"/>
      <c r="P2541" s="73">
        <v>4105</v>
      </c>
      <c r="Q2541" s="74"/>
      <c r="R2541" s="75"/>
      <c r="S2541" s="75"/>
      <c r="T2541" s="75"/>
      <c r="U2541" s="75"/>
      <c r="V2541" s="75"/>
      <c r="W2541" s="74"/>
      <c r="X2541" s="76"/>
      <c r="Y2541" s="76"/>
      <c r="Z2541" s="76"/>
      <c r="AA2541" s="76"/>
      <c r="AB2541" s="76"/>
      <c r="AC2541" s="74"/>
      <c r="AD2541" s="77"/>
      <c r="AE2541" s="77"/>
      <c r="AF2541" s="77"/>
      <c r="AG2541" s="77"/>
      <c r="AH2541" s="77"/>
      <c r="AI2541" s="68"/>
      <c r="AJ2541" s="213">
        <v>2.0829999999999999E-4</v>
      </c>
      <c r="AK2541" s="213">
        <v>1.724</v>
      </c>
      <c r="AL2541" s="213">
        <v>2</v>
      </c>
      <c r="AM2541" s="213">
        <v>4.6182900000000003E-4</v>
      </c>
      <c r="AN2541" s="74"/>
      <c r="AO2541" s="73"/>
      <c r="AP2541" s="73"/>
      <c r="AQ2541" s="73"/>
      <c r="AR2541" s="73"/>
      <c r="AS2541" s="73"/>
      <c r="AT2541" s="74"/>
      <c r="AU2541" s="47"/>
      <c r="AV2541" s="48"/>
    </row>
    <row r="2542" spans="1:48" ht="12.75" customHeight="1" x14ac:dyDescent="0.25">
      <c r="A2542" s="72" t="s">
        <v>20</v>
      </c>
      <c r="B2542" s="43" t="s">
        <v>2240</v>
      </c>
      <c r="C2542" s="44" t="s">
        <v>2700</v>
      </c>
      <c r="D2542" s="45">
        <f>MROUND(MID($C2542,6,3)/Basis!$E$3,0.5)</f>
        <v>23.5</v>
      </c>
      <c r="E2542" s="45">
        <f>MROUND(MID($C2542,9,3)/Basis!$E$3,0.5)</f>
        <v>86.5</v>
      </c>
      <c r="F2542" s="124" t="s">
        <v>2947</v>
      </c>
      <c r="G2542" s="45">
        <f>ROUND((ROUNDDOWN($F2542/5,0)*5+1.8)/Basis!$E$3,1)</f>
        <v>6.6</v>
      </c>
      <c r="H2542" s="120">
        <f>ROUND($P2542*Basis!$E$2*((TaH-TrH)/LN(1/µ)/Basis!$E$7)^$N2542*$AA$4*Glycol,0)</f>
        <v>9637</v>
      </c>
      <c r="I2542" s="83">
        <f>ROUND(H2542/(MID($C2542,9,3)/Basis!$E$3/Basis!$E$9)*Basis!$E$11,0)</f>
        <v>1335</v>
      </c>
      <c r="J2542" s="123">
        <f>IF(Basis!$E$1=1,ROUND(H2542/((TaH-TrH)*1.163)/3600,3),ROUND(H2542/(500*(TaH-TrH)),2))</f>
        <v>0.96</v>
      </c>
      <c r="K2542" s="84"/>
      <c r="L2542" s="177">
        <f>CHOOSE(Basis!$E$1,((AJ2542*(J2542*3600/Basis!$E$5)^AK2542*(((MID(C2542,9,3)*10)-144)/1000)*AL2542+AM2542*(J2542*3600/Basis!$E$5)^2)*0.0098)/Basis!$E$10,((AJ2542*(J2542/Basis!$E$5)^AK2542*(((MID(C2542,9,3)*10)-144)/1000)*AL2542+AM2542*(J2542/Basis!$E$5)^2)*0.0098)/Basis!$E$10)</f>
        <v>0.27674994146355431</v>
      </c>
      <c r="M2542" s="85"/>
      <c r="N2542" s="109">
        <v>1.468</v>
      </c>
      <c r="O2542" s="68"/>
      <c r="P2542" s="67">
        <v>4585</v>
      </c>
      <c r="Q2542" s="68"/>
      <c r="R2542" s="69"/>
      <c r="S2542" s="69"/>
      <c r="T2542" s="69"/>
      <c r="U2542" s="69"/>
      <c r="V2542" s="69"/>
      <c r="W2542" s="68"/>
      <c r="X2542" s="70"/>
      <c r="Y2542" s="70"/>
      <c r="Z2542" s="70"/>
      <c r="AA2542" s="70"/>
      <c r="AB2542" s="70"/>
      <c r="AC2542" s="68"/>
      <c r="AD2542" s="71"/>
      <c r="AE2542" s="71"/>
      <c r="AF2542" s="71"/>
      <c r="AG2542" s="71"/>
      <c r="AH2542" s="71"/>
      <c r="AI2542" s="68"/>
      <c r="AJ2542" s="214">
        <v>2.0829999999999999E-4</v>
      </c>
      <c r="AK2542" s="214">
        <v>1.724</v>
      </c>
      <c r="AL2542" s="214">
        <v>4</v>
      </c>
      <c r="AM2542" s="214">
        <v>1.392796E-3</v>
      </c>
      <c r="AN2542" s="68"/>
      <c r="AO2542" s="67"/>
      <c r="AP2542" s="67"/>
      <c r="AQ2542" s="67"/>
      <c r="AR2542" s="67"/>
      <c r="AS2542" s="67"/>
      <c r="AT2542" s="68"/>
      <c r="AU2542" s="49"/>
      <c r="AV2542" s="50"/>
    </row>
    <row r="2543" spans="1:48" ht="12.75" customHeight="1" x14ac:dyDescent="0.25">
      <c r="A2543" s="72" t="s">
        <v>20</v>
      </c>
      <c r="B2543" s="43" t="s">
        <v>2240</v>
      </c>
      <c r="C2543" s="44" t="s">
        <v>2701</v>
      </c>
      <c r="D2543" s="45">
        <f>MROUND(MID($C2543,6,3)/Basis!$E$3,0.5)</f>
        <v>23.5</v>
      </c>
      <c r="E2543" s="45">
        <f>MROUND(MID($C2543,9,3)/Basis!$E$3,0.5)</f>
        <v>86.5</v>
      </c>
      <c r="F2543" s="124" t="s">
        <v>2945</v>
      </c>
      <c r="G2543" s="45">
        <f>ROUND((ROUNDDOWN($F2543/5,0)*5+1.8)/Basis!$E$3,1)</f>
        <v>8.6</v>
      </c>
      <c r="H2543" s="120">
        <f>ROUND($P2543*Basis!$E$2*((TaH-TrH)/LN(1/µ)/Basis!$E$7)^$N2543*$AA$4*Glycol,0)</f>
        <v>12494</v>
      </c>
      <c r="I2543" s="83">
        <f>ROUND(H2543/(MID($C2543,9,3)/Basis!$E$3/Basis!$E$9)*Basis!$E$11,0)</f>
        <v>1731</v>
      </c>
      <c r="J2543" s="123">
        <f>IF(Basis!$E$1=1,ROUND(H2543/((TaH-TrH)*1.163)/3600,3),ROUND(H2543/(500*(TaH-TrH)),2))</f>
        <v>1.25</v>
      </c>
      <c r="K2543" s="84"/>
      <c r="L2543" s="177">
        <f>CHOOSE(Basis!$E$1,((AJ2543*(J2543*3600/Basis!$E$5)^AK2543*(((MID(C2543,9,3)*10)-144)/1000)*AL2543+AM2543*(J2543*3600/Basis!$E$5)^2)*0.0098)/Basis!$E$10,((AJ2543*(J2543/Basis!$E$5)^AK2543*(((MID(C2543,9,3)*10)-144)/1000)*AL2543+AM2543*(J2543/Basis!$E$5)^2)*0.0098)/Basis!$E$10)</f>
        <v>0.12799804215894414</v>
      </c>
      <c r="M2543" s="85"/>
      <c r="N2543" s="109">
        <v>1.361</v>
      </c>
      <c r="O2543" s="68"/>
      <c r="P2543" s="67">
        <v>5738</v>
      </c>
      <c r="Q2543" s="68"/>
      <c r="R2543" s="69"/>
      <c r="S2543" s="69"/>
      <c r="T2543" s="69"/>
      <c r="U2543" s="69"/>
      <c r="V2543" s="69"/>
      <c r="W2543" s="68"/>
      <c r="X2543" s="70"/>
      <c r="Y2543" s="70"/>
      <c r="Z2543" s="70"/>
      <c r="AA2543" s="70"/>
      <c r="AB2543" s="70"/>
      <c r="AC2543" s="68"/>
      <c r="AD2543" s="71"/>
      <c r="AE2543" s="71"/>
      <c r="AF2543" s="71"/>
      <c r="AG2543" s="71"/>
      <c r="AH2543" s="71"/>
      <c r="AI2543" s="68"/>
      <c r="AJ2543" s="214">
        <v>1.2760000000000001E-4</v>
      </c>
      <c r="AK2543" s="214">
        <v>1.7219</v>
      </c>
      <c r="AL2543" s="214">
        <v>2</v>
      </c>
      <c r="AM2543" s="214">
        <v>3.76611E-4</v>
      </c>
      <c r="AN2543" s="68"/>
      <c r="AO2543" s="67"/>
      <c r="AP2543" s="67"/>
      <c r="AQ2543" s="67"/>
      <c r="AR2543" s="67"/>
      <c r="AS2543" s="67"/>
      <c r="AT2543" s="68"/>
      <c r="AU2543" s="49"/>
      <c r="AV2543" s="50"/>
    </row>
    <row r="2544" spans="1:48" ht="12.75" customHeight="1" x14ac:dyDescent="0.25">
      <c r="A2544" s="72" t="s">
        <v>20</v>
      </c>
      <c r="B2544" s="43" t="s">
        <v>2240</v>
      </c>
      <c r="C2544" s="44" t="s">
        <v>2702</v>
      </c>
      <c r="D2544" s="45">
        <f>MROUND(MID($C2544,6,3)/Basis!$E$3,0.5)</f>
        <v>23.5</v>
      </c>
      <c r="E2544" s="45">
        <f>MROUND(MID($C2544,9,3)/Basis!$E$3,0.5)</f>
        <v>86.5</v>
      </c>
      <c r="F2544" s="124" t="s">
        <v>2948</v>
      </c>
      <c r="G2544" s="45">
        <f>ROUND((ROUNDDOWN($F2544/5,0)*5+1.8)/Basis!$E$3,1)</f>
        <v>8.6</v>
      </c>
      <c r="H2544" s="120">
        <f>ROUND($P2544*Basis!$E$2*((TaH-TrH)/LN(1/µ)/Basis!$E$7)^$N2544*$AA$4*Glycol,0)</f>
        <v>13216</v>
      </c>
      <c r="I2544" s="83">
        <f>ROUND(H2544/(MID($C2544,9,3)/Basis!$E$3/Basis!$E$9)*Basis!$E$11,0)</f>
        <v>1831</v>
      </c>
      <c r="J2544" s="123">
        <f>IF(Basis!$E$1=1,ROUND(H2544/((TaH-TrH)*1.163)/3600,3),ROUND(H2544/(500*(TaH-TrH)),2))</f>
        <v>1.32</v>
      </c>
      <c r="K2544" s="84"/>
      <c r="L2544" s="177">
        <f>CHOOSE(Basis!$E$1,((AJ2544*(J2544*3600/Basis!$E$5)^AK2544*(((MID(C2544,9,3)*10)-144)/1000)*AL2544+AM2544*(J2544*3600/Basis!$E$5)^2)*0.0098)/Basis!$E$10,((AJ2544*(J2544/Basis!$E$5)^AK2544*(((MID(C2544,9,3)*10)-144)/1000)*AL2544+AM2544*(J2544/Basis!$E$5)^2)*0.0098)/Basis!$E$10)</f>
        <v>0.21426032562491512</v>
      </c>
      <c r="M2544" s="85"/>
      <c r="N2544" s="110">
        <v>1.4930000000000001</v>
      </c>
      <c r="O2544" s="74"/>
      <c r="P2544" s="73">
        <v>6340</v>
      </c>
      <c r="Q2544" s="74"/>
      <c r="R2544" s="75"/>
      <c r="S2544" s="75"/>
      <c r="T2544" s="75"/>
      <c r="U2544" s="75"/>
      <c r="V2544" s="75"/>
      <c r="W2544" s="74"/>
      <c r="X2544" s="76"/>
      <c r="Y2544" s="76"/>
      <c r="Z2544" s="76"/>
      <c r="AA2544" s="76"/>
      <c r="AB2544" s="76"/>
      <c r="AC2544" s="74"/>
      <c r="AD2544" s="77"/>
      <c r="AE2544" s="77"/>
      <c r="AF2544" s="77"/>
      <c r="AG2544" s="77"/>
      <c r="AH2544" s="77"/>
      <c r="AI2544" s="68"/>
      <c r="AJ2544" s="213">
        <v>1.2760000000000001E-4</v>
      </c>
      <c r="AK2544" s="213">
        <v>1.7219</v>
      </c>
      <c r="AL2544" s="213">
        <v>4</v>
      </c>
      <c r="AM2544" s="213">
        <v>5.1420100000000005E-4</v>
      </c>
      <c r="AN2544" s="74"/>
      <c r="AO2544" s="73"/>
      <c r="AP2544" s="73"/>
      <c r="AQ2544" s="73"/>
      <c r="AR2544" s="73"/>
      <c r="AS2544" s="73"/>
      <c r="AT2544" s="74"/>
      <c r="AU2544" s="47"/>
      <c r="AV2544" s="48"/>
    </row>
    <row r="2545" spans="1:48" ht="12.75" customHeight="1" x14ac:dyDescent="0.25">
      <c r="A2545" s="72" t="s">
        <v>20</v>
      </c>
      <c r="B2545" s="43" t="s">
        <v>2240</v>
      </c>
      <c r="C2545" s="44" t="s">
        <v>2703</v>
      </c>
      <c r="D2545" s="45">
        <f>MROUND(MID($C2545,6,3)/Basis!$E$3,0.5)</f>
        <v>23.5</v>
      </c>
      <c r="E2545" s="45">
        <f>MROUND(MID($C2545,9,3)/Basis!$E$3,0.5)</f>
        <v>94.5</v>
      </c>
      <c r="F2545" s="124" t="s">
        <v>2943</v>
      </c>
      <c r="G2545" s="45">
        <f>ROUND((ROUNDDOWN($F2545/5,0)*5+1.8)/Basis!$E$3,1)</f>
        <v>4.5999999999999996</v>
      </c>
      <c r="H2545" s="120">
        <f>ROUND($P2545*Basis!$E$2*((TaH-TrH)/LN(1/µ)/Basis!$E$7)^$N2545*$AA$4*Glycol,0)</f>
        <v>6084</v>
      </c>
      <c r="I2545" s="83">
        <f>ROUND(H2545/(MID($C2545,9,3)/Basis!$E$3/Basis!$E$9)*Basis!$E$11,0)</f>
        <v>773</v>
      </c>
      <c r="J2545" s="123">
        <f>IF(Basis!$E$1=1,ROUND(H2545/((TaH-TrH)*1.163)/3600,3),ROUND(H2545/(500*(TaH-TrH)),2))</f>
        <v>0.61</v>
      </c>
      <c r="K2545" s="84"/>
      <c r="L2545" s="177">
        <f>CHOOSE(Basis!$E$1,((AJ2545*(J2545*3600/Basis!$E$5)^AK2545*(((MID(C2545,9,3)*10)-144)/1000)*AL2545+AM2545*(J2545*3600/Basis!$E$5)^2)*0.0098)/Basis!$E$10,((AJ2545*(J2545/Basis!$E$5)^AK2545*(((MID(C2545,9,3)*10)-144)/1000)*AL2545+AM2545*(J2545/Basis!$E$5)^2)*0.0098)/Basis!$E$10)</f>
        <v>5.3420400438854661E-2</v>
      </c>
      <c r="M2545" s="85"/>
      <c r="N2545" s="110">
        <v>1.3759999999999999</v>
      </c>
      <c r="O2545" s="74"/>
      <c r="P2545" s="73">
        <v>2808</v>
      </c>
      <c r="Q2545" s="74"/>
      <c r="R2545" s="75"/>
      <c r="S2545" s="75"/>
      <c r="T2545" s="75"/>
      <c r="U2545" s="75"/>
      <c r="V2545" s="75"/>
      <c r="W2545" s="74"/>
      <c r="X2545" s="76"/>
      <c r="Y2545" s="76"/>
      <c r="Z2545" s="76"/>
      <c r="AA2545" s="76"/>
      <c r="AB2545" s="76"/>
      <c r="AC2545" s="74"/>
      <c r="AD2545" s="77"/>
      <c r="AE2545" s="77"/>
      <c r="AF2545" s="77"/>
      <c r="AG2545" s="77"/>
      <c r="AH2545" s="77"/>
      <c r="AI2545" s="68"/>
      <c r="AJ2545" s="213">
        <v>3.9689999999999994E-4</v>
      </c>
      <c r="AK2545" s="213">
        <v>1.7345999999999999</v>
      </c>
      <c r="AL2545" s="213">
        <v>2</v>
      </c>
      <c r="AM2545" s="213">
        <v>3.6734700000000002E-4</v>
      </c>
      <c r="AN2545" s="74"/>
      <c r="AO2545" s="73"/>
      <c r="AP2545" s="73"/>
      <c r="AQ2545" s="73"/>
      <c r="AR2545" s="73"/>
      <c r="AS2545" s="73"/>
      <c r="AT2545" s="74"/>
      <c r="AU2545" s="47"/>
      <c r="AV2545" s="48"/>
    </row>
    <row r="2546" spans="1:48" ht="12.75" customHeight="1" x14ac:dyDescent="0.25">
      <c r="A2546" s="72" t="s">
        <v>20</v>
      </c>
      <c r="B2546" s="43" t="s">
        <v>2240</v>
      </c>
      <c r="C2546" s="44" t="s">
        <v>2704</v>
      </c>
      <c r="D2546" s="45">
        <f>MROUND(MID($C2546,6,3)/Basis!$E$3,0.5)</f>
        <v>23.5</v>
      </c>
      <c r="E2546" s="45">
        <f>MROUND(MID($C2546,9,3)/Basis!$E$3,0.5)</f>
        <v>94.5</v>
      </c>
      <c r="F2546" s="124" t="s">
        <v>2946</v>
      </c>
      <c r="G2546" s="45">
        <f>ROUND((ROUNDDOWN($F2546/5,0)*5+1.8)/Basis!$E$3,1)</f>
        <v>4.5999999999999996</v>
      </c>
      <c r="H2546" s="120">
        <f>ROUND($P2546*Basis!$E$2*((TaH-TrH)/LN(1/µ)/Basis!$E$7)^$N2546*$AA$4*Glycol,0)</f>
        <v>7615</v>
      </c>
      <c r="I2546" s="83">
        <f>ROUND(H2546/(MID($C2546,9,3)/Basis!$E$3/Basis!$E$9)*Basis!$E$11,0)</f>
        <v>967</v>
      </c>
      <c r="J2546" s="123">
        <f>IF(Basis!$E$1=1,ROUND(H2546/((TaH-TrH)*1.163)/3600,3),ROUND(H2546/(500*(TaH-TrH)),2))</f>
        <v>0.76</v>
      </c>
      <c r="K2546" s="84"/>
      <c r="L2546" s="177">
        <f>CHOOSE(Basis!$E$1,((AJ2546*(J2546*3600/Basis!$E$5)^AK2546*(((MID(C2546,9,3)*10)-144)/1000)*AL2546+AM2546*(J2546*3600/Basis!$E$5)^2)*0.0098)/Basis!$E$10,((AJ2546*(J2546/Basis!$E$5)^AK2546*(((MID(C2546,9,3)*10)-144)/1000)*AL2546+AM2546*(J2546/Basis!$E$5)^2)*0.0098)/Basis!$E$10)</f>
        <v>0.14487523575904493</v>
      </c>
      <c r="M2546" s="85"/>
      <c r="N2546" s="109">
        <v>1.4370000000000001</v>
      </c>
      <c r="O2546" s="68"/>
      <c r="P2546" s="67">
        <v>3586</v>
      </c>
      <c r="Q2546" s="68"/>
      <c r="R2546" s="69"/>
      <c r="S2546" s="69"/>
      <c r="T2546" s="69"/>
      <c r="U2546" s="69"/>
      <c r="V2546" s="69"/>
      <c r="W2546" s="68"/>
      <c r="X2546" s="70"/>
      <c r="Y2546" s="70"/>
      <c r="Z2546" s="70"/>
      <c r="AA2546" s="70"/>
      <c r="AB2546" s="70"/>
      <c r="AC2546" s="68"/>
      <c r="AD2546" s="71"/>
      <c r="AE2546" s="71"/>
      <c r="AF2546" s="71"/>
      <c r="AG2546" s="71"/>
      <c r="AH2546" s="71"/>
      <c r="AI2546" s="68"/>
      <c r="AJ2546" s="214">
        <v>3.9689999999999994E-4</v>
      </c>
      <c r="AK2546" s="214">
        <v>1.7345999999999999</v>
      </c>
      <c r="AL2546" s="214">
        <v>4</v>
      </c>
      <c r="AM2546" s="214">
        <v>5.7428799999999995E-4</v>
      </c>
      <c r="AN2546" s="68"/>
      <c r="AO2546" s="67"/>
      <c r="AP2546" s="67"/>
      <c r="AQ2546" s="67"/>
      <c r="AR2546" s="67"/>
      <c r="AS2546" s="67"/>
      <c r="AT2546" s="68"/>
      <c r="AU2546" s="49"/>
      <c r="AV2546" s="50"/>
    </row>
    <row r="2547" spans="1:48" ht="12.75" customHeight="1" x14ac:dyDescent="0.25">
      <c r="A2547" s="72" t="s">
        <v>20</v>
      </c>
      <c r="B2547" s="43" t="s">
        <v>2240</v>
      </c>
      <c r="C2547" s="44" t="s">
        <v>2705</v>
      </c>
      <c r="D2547" s="45">
        <f>MROUND(MID($C2547,6,3)/Basis!$E$3,0.5)</f>
        <v>23.5</v>
      </c>
      <c r="E2547" s="45">
        <f>MROUND(MID($C2547,9,3)/Basis!$E$3,0.5)</f>
        <v>94.5</v>
      </c>
      <c r="F2547" s="124" t="s">
        <v>2944</v>
      </c>
      <c r="G2547" s="45">
        <f>ROUND((ROUNDDOWN($F2547/5,0)*5+1.8)/Basis!$E$3,1)</f>
        <v>6.6</v>
      </c>
      <c r="H2547" s="120">
        <f>ROUND($P2547*Basis!$E$2*((TaH-TrH)/LN(1/µ)/Basis!$E$7)^$N2547*$AA$4*Glycol,0)</f>
        <v>9751</v>
      </c>
      <c r="I2547" s="83">
        <f>ROUND(H2547/(MID($C2547,9,3)/Basis!$E$3/Basis!$E$9)*Basis!$E$11,0)</f>
        <v>1238</v>
      </c>
      <c r="J2547" s="123">
        <f>IF(Basis!$E$1=1,ROUND(H2547/((TaH-TrH)*1.163)/3600,3),ROUND(H2547/(500*(TaH-TrH)),2))</f>
        <v>0.98</v>
      </c>
      <c r="K2547" s="84"/>
      <c r="L2547" s="177">
        <f>CHOOSE(Basis!$E$1,((AJ2547*(J2547*3600/Basis!$E$5)^AK2547*(((MID(C2547,9,3)*10)-144)/1000)*AL2547+AM2547*(J2547*3600/Basis!$E$5)^2)*0.0098)/Basis!$E$10,((AJ2547*(J2547/Basis!$E$5)^AK2547*(((MID(C2547,9,3)*10)-144)/1000)*AL2547+AM2547*(J2547/Basis!$E$5)^2)*0.0098)/Basis!$E$10)</f>
        <v>0.10906075642365216</v>
      </c>
      <c r="M2547" s="85"/>
      <c r="N2547" s="109">
        <v>1.361</v>
      </c>
      <c r="O2547" s="68"/>
      <c r="P2547" s="67">
        <v>4478</v>
      </c>
      <c r="Q2547" s="68"/>
      <c r="R2547" s="69"/>
      <c r="S2547" s="69"/>
      <c r="T2547" s="69"/>
      <c r="U2547" s="69"/>
      <c r="V2547" s="69"/>
      <c r="W2547" s="68"/>
      <c r="X2547" s="70"/>
      <c r="Y2547" s="70"/>
      <c r="Z2547" s="70"/>
      <c r="AA2547" s="70"/>
      <c r="AB2547" s="70"/>
      <c r="AC2547" s="68"/>
      <c r="AD2547" s="71"/>
      <c r="AE2547" s="71"/>
      <c r="AF2547" s="71"/>
      <c r="AG2547" s="71"/>
      <c r="AH2547" s="71"/>
      <c r="AI2547" s="68"/>
      <c r="AJ2547" s="214">
        <v>2.0829999999999999E-4</v>
      </c>
      <c r="AK2547" s="214">
        <v>1.724</v>
      </c>
      <c r="AL2547" s="214">
        <v>2</v>
      </c>
      <c r="AM2547" s="214">
        <v>4.6182900000000003E-4</v>
      </c>
      <c r="AN2547" s="68"/>
      <c r="AO2547" s="67"/>
      <c r="AP2547" s="67"/>
      <c r="AQ2547" s="67"/>
      <c r="AR2547" s="67"/>
      <c r="AS2547" s="67"/>
      <c r="AT2547" s="68"/>
      <c r="AU2547" s="49"/>
      <c r="AV2547" s="50"/>
    </row>
    <row r="2548" spans="1:48" ht="12.75" customHeight="1" x14ac:dyDescent="0.25">
      <c r="A2548" s="72" t="s">
        <v>20</v>
      </c>
      <c r="B2548" s="43" t="s">
        <v>2240</v>
      </c>
      <c r="C2548" s="44" t="s">
        <v>2706</v>
      </c>
      <c r="D2548" s="45">
        <f>MROUND(MID($C2548,6,3)/Basis!$E$3,0.5)</f>
        <v>23.5</v>
      </c>
      <c r="E2548" s="45">
        <f>MROUND(MID($C2548,9,3)/Basis!$E$3,0.5)</f>
        <v>94.5</v>
      </c>
      <c r="F2548" s="124" t="s">
        <v>2947</v>
      </c>
      <c r="G2548" s="45">
        <f>ROUND((ROUNDDOWN($F2548/5,0)*5+1.8)/Basis!$E$3,1)</f>
        <v>6.6</v>
      </c>
      <c r="H2548" s="120">
        <f>ROUND($P2548*Basis!$E$2*((TaH-TrH)/LN(1/µ)/Basis!$E$7)^$N2548*$AA$4*Glycol,0)</f>
        <v>10514</v>
      </c>
      <c r="I2548" s="83">
        <f>ROUND(H2548/(MID($C2548,9,3)/Basis!$E$3/Basis!$E$9)*Basis!$E$11,0)</f>
        <v>1335</v>
      </c>
      <c r="J2548" s="123">
        <f>IF(Basis!$E$1=1,ROUND(H2548/((TaH-TrH)*1.163)/3600,3),ROUND(H2548/(500*(TaH-TrH)),2))</f>
        <v>1.05</v>
      </c>
      <c r="K2548" s="84"/>
      <c r="L2548" s="177">
        <f>CHOOSE(Basis!$E$1,((AJ2548*(J2548*3600/Basis!$E$5)^AK2548*(((MID(C2548,9,3)*10)-144)/1000)*AL2548+AM2548*(J2548*3600/Basis!$E$5)^2)*0.0098)/Basis!$E$10,((AJ2548*(J2548/Basis!$E$5)^AK2548*(((MID(C2548,9,3)*10)-144)/1000)*AL2548+AM2548*(J2548/Basis!$E$5)^2)*0.0098)/Basis!$E$10)</f>
        <v>0.3361517438653665</v>
      </c>
      <c r="M2548" s="85"/>
      <c r="N2548" s="110">
        <v>1.468</v>
      </c>
      <c r="O2548" s="74"/>
      <c r="P2548" s="73">
        <v>5002</v>
      </c>
      <c r="Q2548" s="74"/>
      <c r="R2548" s="75"/>
      <c r="S2548" s="75"/>
      <c r="T2548" s="75"/>
      <c r="U2548" s="75"/>
      <c r="V2548" s="75"/>
      <c r="W2548" s="74"/>
      <c r="X2548" s="76"/>
      <c r="Y2548" s="76"/>
      <c r="Z2548" s="76"/>
      <c r="AA2548" s="76"/>
      <c r="AB2548" s="76"/>
      <c r="AC2548" s="74"/>
      <c r="AD2548" s="77"/>
      <c r="AE2548" s="77"/>
      <c r="AF2548" s="77"/>
      <c r="AG2548" s="77"/>
      <c r="AH2548" s="77"/>
      <c r="AI2548" s="68"/>
      <c r="AJ2548" s="213">
        <v>2.0829999999999999E-4</v>
      </c>
      <c r="AK2548" s="213">
        <v>1.724</v>
      </c>
      <c r="AL2548" s="213">
        <v>4</v>
      </c>
      <c r="AM2548" s="213">
        <v>1.392796E-3</v>
      </c>
      <c r="AN2548" s="74"/>
      <c r="AO2548" s="73"/>
      <c r="AP2548" s="73"/>
      <c r="AQ2548" s="73"/>
      <c r="AR2548" s="73"/>
      <c r="AS2548" s="73"/>
      <c r="AT2548" s="74"/>
      <c r="AU2548" s="47"/>
      <c r="AV2548" s="48"/>
    </row>
    <row r="2549" spans="1:48" ht="12.75" customHeight="1" x14ac:dyDescent="0.25">
      <c r="A2549" s="72" t="s">
        <v>20</v>
      </c>
      <c r="B2549" s="43" t="s">
        <v>2240</v>
      </c>
      <c r="C2549" s="44" t="s">
        <v>2707</v>
      </c>
      <c r="D2549" s="45">
        <f>MROUND(MID($C2549,6,3)/Basis!$E$3,0.5)</f>
        <v>23.5</v>
      </c>
      <c r="E2549" s="45">
        <f>MROUND(MID($C2549,9,3)/Basis!$E$3,0.5)</f>
        <v>94.5</v>
      </c>
      <c r="F2549" s="124" t="s">
        <v>2945</v>
      </c>
      <c r="G2549" s="45">
        <f>ROUND((ROUNDDOWN($F2549/5,0)*5+1.8)/Basis!$E$3,1)</f>
        <v>8.6</v>
      </c>
      <c r="H2549" s="120">
        <f>ROUND($P2549*Basis!$E$2*((TaH-TrH)/LN(1/µ)/Basis!$E$7)^$N2549*$AA$4*Glycol,0)</f>
        <v>13629</v>
      </c>
      <c r="I2549" s="83">
        <f>ROUND(H2549/(MID($C2549,9,3)/Basis!$E$3/Basis!$E$9)*Basis!$E$11,0)</f>
        <v>1731</v>
      </c>
      <c r="J2549" s="123">
        <f>IF(Basis!$E$1=1,ROUND(H2549/((TaH-TrH)*1.163)/3600,3),ROUND(H2549/(500*(TaH-TrH)),2))</f>
        <v>1.36</v>
      </c>
      <c r="K2549" s="84"/>
      <c r="L2549" s="177">
        <f>CHOOSE(Basis!$E$1,((AJ2549*(J2549*3600/Basis!$E$5)^AK2549*(((MID(C2549,9,3)*10)-144)/1000)*AL2549+AM2549*(J2549*3600/Basis!$E$5)^2)*0.0098)/Basis!$E$10,((AJ2549*(J2549/Basis!$E$5)^AK2549*(((MID(C2549,9,3)*10)-144)/1000)*AL2549+AM2549*(J2549/Basis!$E$5)^2)*0.0098)/Basis!$E$10)</f>
        <v>0.15396121539814003</v>
      </c>
      <c r="M2549" s="85"/>
      <c r="N2549" s="110">
        <v>1.361</v>
      </c>
      <c r="O2549" s="74"/>
      <c r="P2549" s="73">
        <v>6259</v>
      </c>
      <c r="Q2549" s="74"/>
      <c r="R2549" s="75"/>
      <c r="S2549" s="75"/>
      <c r="T2549" s="75"/>
      <c r="U2549" s="75"/>
      <c r="V2549" s="75"/>
      <c r="W2549" s="74"/>
      <c r="X2549" s="76"/>
      <c r="Y2549" s="76"/>
      <c r="Z2549" s="76"/>
      <c r="AA2549" s="76"/>
      <c r="AB2549" s="76"/>
      <c r="AC2549" s="74"/>
      <c r="AD2549" s="77"/>
      <c r="AE2549" s="77"/>
      <c r="AF2549" s="77"/>
      <c r="AG2549" s="77"/>
      <c r="AH2549" s="77"/>
      <c r="AI2549" s="68"/>
      <c r="AJ2549" s="214">
        <v>1.2760000000000001E-4</v>
      </c>
      <c r="AK2549" s="214">
        <v>1.7219</v>
      </c>
      <c r="AL2549" s="214">
        <v>2</v>
      </c>
      <c r="AM2549" s="214">
        <v>3.76611E-4</v>
      </c>
      <c r="AN2549" s="74"/>
      <c r="AO2549" s="73"/>
      <c r="AP2549" s="73"/>
      <c r="AQ2549" s="73"/>
      <c r="AR2549" s="73"/>
      <c r="AS2549" s="73"/>
      <c r="AT2549" s="74"/>
      <c r="AU2549" s="47"/>
      <c r="AV2549" s="48"/>
    </row>
    <row r="2550" spans="1:48" ht="12.75" customHeight="1" x14ac:dyDescent="0.25">
      <c r="A2550" s="72" t="s">
        <v>20</v>
      </c>
      <c r="B2550" s="43" t="s">
        <v>2240</v>
      </c>
      <c r="C2550" s="44" t="s">
        <v>2708</v>
      </c>
      <c r="D2550" s="45">
        <f>MROUND(MID($C2550,6,3)/Basis!$E$3,0.5)</f>
        <v>23.5</v>
      </c>
      <c r="E2550" s="45">
        <f>MROUND(MID($C2550,9,3)/Basis!$E$3,0.5)</f>
        <v>94.5</v>
      </c>
      <c r="F2550" s="124" t="s">
        <v>2948</v>
      </c>
      <c r="G2550" s="45">
        <f>ROUND((ROUNDDOWN($F2550/5,0)*5+1.8)/Basis!$E$3,1)</f>
        <v>8.6</v>
      </c>
      <c r="H2550" s="120">
        <f>ROUND($P2550*Basis!$E$2*((TaH-TrH)/LN(1/µ)/Basis!$E$7)^$N2550*$AA$4*Glycol,0)</f>
        <v>14419</v>
      </c>
      <c r="I2550" s="83">
        <f>ROUND(H2550/(MID($C2550,9,3)/Basis!$E$3/Basis!$E$9)*Basis!$E$11,0)</f>
        <v>1831</v>
      </c>
      <c r="J2550" s="123">
        <f>IF(Basis!$E$1=1,ROUND(H2550/((TaH-TrH)*1.163)/3600,3),ROUND(H2550/(500*(TaH-TrH)),2))</f>
        <v>1.44</v>
      </c>
      <c r="K2550" s="84"/>
      <c r="L2550" s="177">
        <f>CHOOSE(Basis!$E$1,((AJ2550*(J2550*3600/Basis!$E$5)^AK2550*(((MID(C2550,9,3)*10)-144)/1000)*AL2550+AM2550*(J2550*3600/Basis!$E$5)^2)*0.0098)/Basis!$E$10,((AJ2550*(J2550/Basis!$E$5)^AK2550*(((MID(C2550,9,3)*10)-144)/1000)*AL2550+AM2550*(J2550/Basis!$E$5)^2)*0.0098)/Basis!$E$10)</f>
        <v>0.26032593170739976</v>
      </c>
      <c r="M2550" s="85"/>
      <c r="N2550" s="109">
        <v>1.4930000000000001</v>
      </c>
      <c r="O2550" s="68"/>
      <c r="P2550" s="67">
        <v>6917</v>
      </c>
      <c r="Q2550" s="68"/>
      <c r="R2550" s="69"/>
      <c r="S2550" s="69"/>
      <c r="T2550" s="69"/>
      <c r="U2550" s="69"/>
      <c r="V2550" s="69"/>
      <c r="W2550" s="68"/>
      <c r="X2550" s="70"/>
      <c r="Y2550" s="70"/>
      <c r="Z2550" s="70"/>
      <c r="AA2550" s="70"/>
      <c r="AB2550" s="70"/>
      <c r="AC2550" s="68"/>
      <c r="AD2550" s="71"/>
      <c r="AE2550" s="71"/>
      <c r="AF2550" s="71"/>
      <c r="AG2550" s="71"/>
      <c r="AH2550" s="71"/>
      <c r="AI2550" s="68"/>
      <c r="AJ2550" s="214">
        <v>1.2760000000000001E-4</v>
      </c>
      <c r="AK2550" s="214">
        <v>1.7219</v>
      </c>
      <c r="AL2550" s="214">
        <v>4</v>
      </c>
      <c r="AM2550" s="214">
        <v>5.1420100000000005E-4</v>
      </c>
      <c r="AN2550" s="68"/>
      <c r="AO2550" s="67"/>
      <c r="AP2550" s="67"/>
      <c r="AQ2550" s="67"/>
      <c r="AR2550" s="67"/>
      <c r="AS2550" s="67"/>
      <c r="AT2550" s="68"/>
      <c r="AU2550" s="49"/>
      <c r="AV2550" s="50"/>
    </row>
    <row r="2551" spans="1:48" ht="12.75" customHeight="1" x14ac:dyDescent="0.25">
      <c r="A2551" s="72" t="s">
        <v>20</v>
      </c>
      <c r="B2551" s="43" t="s">
        <v>2240</v>
      </c>
      <c r="C2551" s="44" t="s">
        <v>2709</v>
      </c>
      <c r="D2551" s="45">
        <f>MROUND(MID($C2551,6,3)/Basis!$E$3,0.5)</f>
        <v>23.5</v>
      </c>
      <c r="E2551" s="45">
        <f>MROUND(MID($C2551,9,3)/Basis!$E$3,0.5)</f>
        <v>102.5</v>
      </c>
      <c r="F2551" s="124" t="s">
        <v>2943</v>
      </c>
      <c r="G2551" s="45">
        <f>ROUND((ROUNDDOWN($F2551/5,0)*5+1.8)/Basis!$E$3,1)</f>
        <v>4.5999999999999996</v>
      </c>
      <c r="H2551" s="120">
        <f>ROUND($P2551*Basis!$E$2*((TaH-TrH)/LN(1/µ)/Basis!$E$7)^$N2551*$AA$4*Glycol,0)</f>
        <v>6591</v>
      </c>
      <c r="I2551" s="83">
        <f>ROUND(H2551/(MID($C2551,9,3)/Basis!$E$3/Basis!$E$9)*Basis!$E$11,0)</f>
        <v>773</v>
      </c>
      <c r="J2551" s="123">
        <f>IF(Basis!$E$1=1,ROUND(H2551/((TaH-TrH)*1.163)/3600,3),ROUND(H2551/(500*(TaH-TrH)),2))</f>
        <v>0.66</v>
      </c>
      <c r="K2551" s="84"/>
      <c r="L2551" s="177">
        <f>CHOOSE(Basis!$E$1,((AJ2551*(J2551*3600/Basis!$E$5)^AK2551*(((MID(C2551,9,3)*10)-144)/1000)*AL2551+AM2551*(J2551*3600/Basis!$E$5)^2)*0.0098)/Basis!$E$10,((AJ2551*(J2551/Basis!$E$5)^AK2551*(((MID(C2551,9,3)*10)-144)/1000)*AL2551+AM2551*(J2551/Basis!$E$5)^2)*0.0098)/Basis!$E$10)</f>
        <v>6.4887348777020251E-2</v>
      </c>
      <c r="M2551" s="85"/>
      <c r="N2551" s="109">
        <v>1.3759999999999999</v>
      </c>
      <c r="O2551" s="68"/>
      <c r="P2551" s="67">
        <v>3042</v>
      </c>
      <c r="Q2551" s="68"/>
      <c r="R2551" s="69"/>
      <c r="S2551" s="69"/>
      <c r="T2551" s="69"/>
      <c r="U2551" s="69"/>
      <c r="V2551" s="69"/>
      <c r="W2551" s="68"/>
      <c r="X2551" s="70"/>
      <c r="Y2551" s="70"/>
      <c r="Z2551" s="70"/>
      <c r="AA2551" s="70"/>
      <c r="AB2551" s="70"/>
      <c r="AC2551" s="68"/>
      <c r="AD2551" s="71"/>
      <c r="AE2551" s="71"/>
      <c r="AF2551" s="71"/>
      <c r="AG2551" s="71"/>
      <c r="AH2551" s="71"/>
      <c r="AI2551" s="68"/>
      <c r="AJ2551" s="214">
        <v>3.9689999999999994E-4</v>
      </c>
      <c r="AK2551" s="214">
        <v>1.7345999999999999</v>
      </c>
      <c r="AL2551" s="214">
        <v>2</v>
      </c>
      <c r="AM2551" s="214">
        <v>3.6734700000000002E-4</v>
      </c>
      <c r="AN2551" s="68"/>
      <c r="AO2551" s="67"/>
      <c r="AP2551" s="67"/>
      <c r="AQ2551" s="67"/>
      <c r="AR2551" s="67"/>
      <c r="AS2551" s="67"/>
      <c r="AT2551" s="68"/>
      <c r="AU2551" s="49"/>
      <c r="AV2551" s="50"/>
    </row>
    <row r="2552" spans="1:48" ht="12.75" customHeight="1" x14ac:dyDescent="0.25">
      <c r="A2552" s="72" t="s">
        <v>20</v>
      </c>
      <c r="B2552" s="43" t="s">
        <v>2240</v>
      </c>
      <c r="C2552" s="44" t="s">
        <v>2710</v>
      </c>
      <c r="D2552" s="45">
        <f>MROUND(MID($C2552,6,3)/Basis!$E$3,0.5)</f>
        <v>23.5</v>
      </c>
      <c r="E2552" s="45">
        <f>MROUND(MID($C2552,9,3)/Basis!$E$3,0.5)</f>
        <v>102.5</v>
      </c>
      <c r="F2552" s="124" t="s">
        <v>2946</v>
      </c>
      <c r="G2552" s="45">
        <f>ROUND((ROUNDDOWN($F2552/5,0)*5+1.8)/Basis!$E$3,1)</f>
        <v>4.5999999999999996</v>
      </c>
      <c r="H2552" s="120">
        <f>ROUND($P2552*Basis!$E$2*((TaH-TrH)/LN(1/µ)/Basis!$E$7)^$N2552*$AA$4*Glycol,0)</f>
        <v>8248</v>
      </c>
      <c r="I2552" s="83">
        <f>ROUND(H2552/(MID($C2552,9,3)/Basis!$E$3/Basis!$E$9)*Basis!$E$11,0)</f>
        <v>967</v>
      </c>
      <c r="J2552" s="123">
        <f>IF(Basis!$E$1=1,ROUND(H2552/((TaH-TrH)*1.163)/3600,3),ROUND(H2552/(500*(TaH-TrH)),2))</f>
        <v>0.82</v>
      </c>
      <c r="K2552" s="84"/>
      <c r="L2552" s="177">
        <f>CHOOSE(Basis!$E$1,((AJ2552*(J2552*3600/Basis!$E$5)^AK2552*(((MID(C2552,9,3)*10)-144)/1000)*AL2552+AM2552*(J2552*3600/Basis!$E$5)^2)*0.0098)/Basis!$E$10,((AJ2552*(J2552/Basis!$E$5)^AK2552*(((MID(C2552,9,3)*10)-144)/1000)*AL2552+AM2552*(J2552/Basis!$E$5)^2)*0.0098)/Basis!$E$10)</f>
        <v>0.17558064784468314</v>
      </c>
      <c r="M2552" s="85"/>
      <c r="N2552" s="110">
        <v>1.4370000000000001</v>
      </c>
      <c r="O2552" s="74"/>
      <c r="P2552" s="73">
        <v>3884</v>
      </c>
      <c r="Q2552" s="74"/>
      <c r="R2552" s="75"/>
      <c r="S2552" s="75"/>
      <c r="T2552" s="75"/>
      <c r="U2552" s="75"/>
      <c r="V2552" s="75"/>
      <c r="W2552" s="74"/>
      <c r="X2552" s="76"/>
      <c r="Y2552" s="76"/>
      <c r="Z2552" s="76"/>
      <c r="AA2552" s="76"/>
      <c r="AB2552" s="76"/>
      <c r="AC2552" s="74"/>
      <c r="AD2552" s="77"/>
      <c r="AE2552" s="77"/>
      <c r="AF2552" s="77"/>
      <c r="AG2552" s="77"/>
      <c r="AH2552" s="77"/>
      <c r="AI2552" s="68"/>
      <c r="AJ2552" s="213">
        <v>3.9689999999999994E-4</v>
      </c>
      <c r="AK2552" s="213">
        <v>1.7345999999999999</v>
      </c>
      <c r="AL2552" s="213">
        <v>4</v>
      </c>
      <c r="AM2552" s="213">
        <v>5.7428799999999995E-4</v>
      </c>
      <c r="AN2552" s="74"/>
      <c r="AO2552" s="73"/>
      <c r="AP2552" s="73"/>
      <c r="AQ2552" s="73"/>
      <c r="AR2552" s="73"/>
      <c r="AS2552" s="73"/>
      <c r="AT2552" s="74"/>
      <c r="AU2552" s="47"/>
      <c r="AV2552" s="48"/>
    </row>
    <row r="2553" spans="1:48" ht="12.75" customHeight="1" x14ac:dyDescent="0.25">
      <c r="A2553" s="72" t="s">
        <v>20</v>
      </c>
      <c r="B2553" s="43" t="s">
        <v>2240</v>
      </c>
      <c r="C2553" s="44" t="s">
        <v>2711</v>
      </c>
      <c r="D2553" s="45">
        <f>MROUND(MID($C2553,6,3)/Basis!$E$3,0.5)</f>
        <v>23.5</v>
      </c>
      <c r="E2553" s="45">
        <f>MROUND(MID($C2553,9,3)/Basis!$E$3,0.5)</f>
        <v>102.5</v>
      </c>
      <c r="F2553" s="124" t="s">
        <v>2944</v>
      </c>
      <c r="G2553" s="45">
        <f>ROUND((ROUNDDOWN($F2553/5,0)*5+1.8)/Basis!$E$3,1)</f>
        <v>6.6</v>
      </c>
      <c r="H2553" s="120">
        <f>ROUND($P2553*Basis!$E$2*((TaH-TrH)/LN(1/µ)/Basis!$E$7)^$N2553*$AA$4*Glycol,0)</f>
        <v>10565</v>
      </c>
      <c r="I2553" s="83">
        <f>ROUND(H2553/(MID($C2553,9,3)/Basis!$E$3/Basis!$E$9)*Basis!$E$11,0)</f>
        <v>1239</v>
      </c>
      <c r="J2553" s="123">
        <f>IF(Basis!$E$1=1,ROUND(H2553/((TaH-TrH)*1.163)/3600,3),ROUND(H2553/(500*(TaH-TrH)),2))</f>
        <v>1.06</v>
      </c>
      <c r="K2553" s="84"/>
      <c r="L2553" s="177">
        <f>CHOOSE(Basis!$E$1,((AJ2553*(J2553*3600/Basis!$E$5)^AK2553*(((MID(C2553,9,3)*10)-144)/1000)*AL2553+AM2553*(J2553*3600/Basis!$E$5)^2)*0.0098)/Basis!$E$10,((AJ2553*(J2553/Basis!$E$5)^AK2553*(((MID(C2553,9,3)*10)-144)/1000)*AL2553+AM2553*(J2553/Basis!$E$5)^2)*0.0098)/Basis!$E$10)</f>
        <v>0.13021095584196549</v>
      </c>
      <c r="M2553" s="85"/>
      <c r="N2553" s="110">
        <v>1.361</v>
      </c>
      <c r="O2553" s="74"/>
      <c r="P2553" s="73">
        <v>4852</v>
      </c>
      <c r="Q2553" s="74"/>
      <c r="R2553" s="75"/>
      <c r="S2553" s="75"/>
      <c r="T2553" s="75"/>
      <c r="U2553" s="75"/>
      <c r="V2553" s="75"/>
      <c r="W2553" s="74"/>
      <c r="X2553" s="76"/>
      <c r="Y2553" s="76"/>
      <c r="Z2553" s="76"/>
      <c r="AA2553" s="76"/>
      <c r="AB2553" s="76"/>
      <c r="AC2553" s="74"/>
      <c r="AD2553" s="77"/>
      <c r="AE2553" s="77"/>
      <c r="AF2553" s="77"/>
      <c r="AG2553" s="77"/>
      <c r="AH2553" s="77"/>
      <c r="AI2553" s="68"/>
      <c r="AJ2553" s="213">
        <v>2.0829999999999999E-4</v>
      </c>
      <c r="AK2553" s="213">
        <v>1.724</v>
      </c>
      <c r="AL2553" s="213">
        <v>2</v>
      </c>
      <c r="AM2553" s="213">
        <v>4.6182900000000003E-4</v>
      </c>
      <c r="AN2553" s="74"/>
      <c r="AO2553" s="73"/>
      <c r="AP2553" s="73"/>
      <c r="AQ2553" s="73"/>
      <c r="AR2553" s="73"/>
      <c r="AS2553" s="73"/>
      <c r="AT2553" s="74"/>
      <c r="AU2553" s="47"/>
      <c r="AV2553" s="48"/>
    </row>
    <row r="2554" spans="1:48" ht="12.75" customHeight="1" x14ac:dyDescent="0.25">
      <c r="A2554" s="72" t="s">
        <v>20</v>
      </c>
      <c r="B2554" s="43" t="s">
        <v>2240</v>
      </c>
      <c r="C2554" s="44" t="s">
        <v>2712</v>
      </c>
      <c r="D2554" s="45">
        <f>MROUND(MID($C2554,6,3)/Basis!$E$3,0.5)</f>
        <v>23.5</v>
      </c>
      <c r="E2554" s="45">
        <f>MROUND(MID($C2554,9,3)/Basis!$E$3,0.5)</f>
        <v>102.5</v>
      </c>
      <c r="F2554" s="124" t="s">
        <v>2947</v>
      </c>
      <c r="G2554" s="45">
        <f>ROUND((ROUNDDOWN($F2554/5,0)*5+1.8)/Basis!$E$3,1)</f>
        <v>6.6</v>
      </c>
      <c r="H2554" s="120">
        <f>ROUND($P2554*Basis!$E$2*((TaH-TrH)/LN(1/µ)/Basis!$E$7)^$N2554*$AA$4*Glycol,0)</f>
        <v>11388</v>
      </c>
      <c r="I2554" s="83">
        <f>ROUND(H2554/(MID($C2554,9,3)/Basis!$E$3/Basis!$E$9)*Basis!$E$11,0)</f>
        <v>1335</v>
      </c>
      <c r="J2554" s="123">
        <f>IF(Basis!$E$1=1,ROUND(H2554/((TaH-TrH)*1.163)/3600,3),ROUND(H2554/(500*(TaH-TrH)),2))</f>
        <v>1.1399999999999999</v>
      </c>
      <c r="K2554" s="84"/>
      <c r="L2554" s="177">
        <f>CHOOSE(Basis!$E$1,((AJ2554*(J2554*3600/Basis!$E$5)^AK2554*(((MID(C2554,9,3)*10)-144)/1000)*AL2554+AM2554*(J2554*3600/Basis!$E$5)^2)*0.0098)/Basis!$E$10,((AJ2554*(J2554/Basis!$E$5)^AK2554*(((MID(C2554,9,3)*10)-144)/1000)*AL2554+AM2554*(J2554/Basis!$E$5)^2)*0.0098)/Basis!$E$10)</f>
        <v>0.40208779032016867</v>
      </c>
      <c r="M2554" s="85"/>
      <c r="N2554" s="109">
        <v>1.468</v>
      </c>
      <c r="O2554" s="68"/>
      <c r="P2554" s="67">
        <v>5418</v>
      </c>
      <c r="Q2554" s="68"/>
      <c r="R2554" s="69"/>
      <c r="S2554" s="69"/>
      <c r="T2554" s="69"/>
      <c r="U2554" s="69"/>
      <c r="V2554" s="69"/>
      <c r="W2554" s="68"/>
      <c r="X2554" s="70"/>
      <c r="Y2554" s="70"/>
      <c r="Z2554" s="70"/>
      <c r="AA2554" s="70"/>
      <c r="AB2554" s="70"/>
      <c r="AC2554" s="68"/>
      <c r="AD2554" s="71"/>
      <c r="AE2554" s="71"/>
      <c r="AF2554" s="71"/>
      <c r="AG2554" s="71"/>
      <c r="AH2554" s="71"/>
      <c r="AI2554" s="68"/>
      <c r="AJ2554" s="214">
        <v>2.0829999999999999E-4</v>
      </c>
      <c r="AK2554" s="214">
        <v>1.724</v>
      </c>
      <c r="AL2554" s="214">
        <v>4</v>
      </c>
      <c r="AM2554" s="214">
        <v>1.392796E-3</v>
      </c>
      <c r="AN2554" s="68"/>
      <c r="AO2554" s="67"/>
      <c r="AP2554" s="67"/>
      <c r="AQ2554" s="67"/>
      <c r="AR2554" s="67"/>
      <c r="AS2554" s="67"/>
      <c r="AT2554" s="68"/>
      <c r="AU2554" s="49"/>
      <c r="AV2554" s="50"/>
    </row>
    <row r="2555" spans="1:48" ht="12.75" customHeight="1" x14ac:dyDescent="0.25">
      <c r="A2555" s="72" t="s">
        <v>20</v>
      </c>
      <c r="B2555" s="43" t="s">
        <v>2240</v>
      </c>
      <c r="C2555" s="44" t="s">
        <v>2713</v>
      </c>
      <c r="D2555" s="45">
        <f>MROUND(MID($C2555,6,3)/Basis!$E$3,0.5)</f>
        <v>23.5</v>
      </c>
      <c r="E2555" s="45">
        <f>MROUND(MID($C2555,9,3)/Basis!$E$3,0.5)</f>
        <v>102.5</v>
      </c>
      <c r="F2555" s="124" t="s">
        <v>2945</v>
      </c>
      <c r="G2555" s="45">
        <f>ROUND((ROUNDDOWN($F2555/5,0)*5+1.8)/Basis!$E$3,1)</f>
        <v>8.6</v>
      </c>
      <c r="H2555" s="120">
        <f>ROUND($P2555*Basis!$E$2*((TaH-TrH)/LN(1/µ)/Basis!$E$7)^$N2555*$AA$4*Glycol,0)</f>
        <v>14765</v>
      </c>
      <c r="I2555" s="83">
        <f>ROUND(H2555/(MID($C2555,9,3)/Basis!$E$3/Basis!$E$9)*Basis!$E$11,0)</f>
        <v>1731</v>
      </c>
      <c r="J2555" s="123">
        <f>IF(Basis!$E$1=1,ROUND(H2555/((TaH-TrH)*1.163)/3600,3),ROUND(H2555/(500*(TaH-TrH)),2))</f>
        <v>1.48</v>
      </c>
      <c r="K2555" s="84"/>
      <c r="L2555" s="177">
        <f>CHOOSE(Basis!$E$1,((AJ2555*(J2555*3600/Basis!$E$5)^AK2555*(((MID(C2555,9,3)*10)-144)/1000)*AL2555+AM2555*(J2555*3600/Basis!$E$5)^2)*0.0098)/Basis!$E$10,((AJ2555*(J2555/Basis!$E$5)^AK2555*(((MID(C2555,9,3)*10)-144)/1000)*AL2555+AM2555*(J2555/Basis!$E$5)^2)*0.0098)/Basis!$E$10)</f>
        <v>0.18506555236523806</v>
      </c>
      <c r="M2555" s="85"/>
      <c r="N2555" s="109">
        <v>1.361</v>
      </c>
      <c r="O2555" s="68"/>
      <c r="P2555" s="67">
        <v>6781</v>
      </c>
      <c r="Q2555" s="68"/>
      <c r="R2555" s="69"/>
      <c r="S2555" s="69"/>
      <c r="T2555" s="69"/>
      <c r="U2555" s="69"/>
      <c r="V2555" s="69"/>
      <c r="W2555" s="68"/>
      <c r="X2555" s="70"/>
      <c r="Y2555" s="70"/>
      <c r="Z2555" s="70"/>
      <c r="AA2555" s="70"/>
      <c r="AB2555" s="70"/>
      <c r="AC2555" s="68"/>
      <c r="AD2555" s="71"/>
      <c r="AE2555" s="71"/>
      <c r="AF2555" s="71"/>
      <c r="AG2555" s="71"/>
      <c r="AH2555" s="71"/>
      <c r="AI2555" s="68"/>
      <c r="AJ2555" s="214">
        <v>1.2760000000000001E-4</v>
      </c>
      <c r="AK2555" s="214">
        <v>1.7219</v>
      </c>
      <c r="AL2555" s="214">
        <v>2</v>
      </c>
      <c r="AM2555" s="214">
        <v>3.76611E-4</v>
      </c>
      <c r="AN2555" s="68"/>
      <c r="AO2555" s="67"/>
      <c r="AP2555" s="67"/>
      <c r="AQ2555" s="67"/>
      <c r="AR2555" s="67"/>
      <c r="AS2555" s="67"/>
      <c r="AT2555" s="68"/>
      <c r="AU2555" s="49"/>
      <c r="AV2555" s="50"/>
    </row>
    <row r="2556" spans="1:48" ht="12.75" customHeight="1" x14ac:dyDescent="0.25">
      <c r="A2556" s="72" t="s">
        <v>20</v>
      </c>
      <c r="B2556" s="43" t="s">
        <v>2240</v>
      </c>
      <c r="C2556" s="44" t="s">
        <v>2714</v>
      </c>
      <c r="D2556" s="45">
        <f>MROUND(MID($C2556,6,3)/Basis!$E$3,0.5)</f>
        <v>23.5</v>
      </c>
      <c r="E2556" s="45">
        <f>MROUND(MID($C2556,9,3)/Basis!$E$3,0.5)</f>
        <v>102.5</v>
      </c>
      <c r="F2556" s="124" t="s">
        <v>2948</v>
      </c>
      <c r="G2556" s="45">
        <f>ROUND((ROUNDDOWN($F2556/5,0)*5+1.8)/Basis!$E$3,1)</f>
        <v>8.6</v>
      </c>
      <c r="H2556" s="120">
        <f>ROUND($P2556*Basis!$E$2*((TaH-TrH)/LN(1/µ)/Basis!$E$7)^$N2556*$AA$4*Glycol,0)</f>
        <v>15620</v>
      </c>
      <c r="I2556" s="83">
        <f>ROUND(H2556/(MID($C2556,9,3)/Basis!$E$3/Basis!$E$9)*Basis!$E$11,0)</f>
        <v>1831</v>
      </c>
      <c r="J2556" s="123">
        <f>IF(Basis!$E$1=1,ROUND(H2556/((TaH-TrH)*1.163)/3600,3),ROUND(H2556/(500*(TaH-TrH)),2))</f>
        <v>1.56</v>
      </c>
      <c r="K2556" s="84"/>
      <c r="L2556" s="177">
        <f>CHOOSE(Basis!$E$1,((AJ2556*(J2556*3600/Basis!$E$5)^AK2556*(((MID(C2556,9,3)*10)-144)/1000)*AL2556+AM2556*(J2556*3600/Basis!$E$5)^2)*0.0098)/Basis!$E$10,((AJ2556*(J2556/Basis!$E$5)^AK2556*(((MID(C2556,9,3)*10)-144)/1000)*AL2556+AM2556*(J2556/Basis!$E$5)^2)*0.0098)/Basis!$E$10)</f>
        <v>0.31163138049276756</v>
      </c>
      <c r="M2556" s="85"/>
      <c r="N2556" s="110">
        <v>1.4930000000000001</v>
      </c>
      <c r="O2556" s="74"/>
      <c r="P2556" s="73">
        <v>7493</v>
      </c>
      <c r="Q2556" s="74"/>
      <c r="R2556" s="75"/>
      <c r="S2556" s="75"/>
      <c r="T2556" s="75"/>
      <c r="U2556" s="75"/>
      <c r="V2556" s="75"/>
      <c r="W2556" s="74"/>
      <c r="X2556" s="76"/>
      <c r="Y2556" s="76"/>
      <c r="Z2556" s="76"/>
      <c r="AA2556" s="76"/>
      <c r="AB2556" s="76"/>
      <c r="AC2556" s="74"/>
      <c r="AD2556" s="77"/>
      <c r="AE2556" s="77"/>
      <c r="AF2556" s="77"/>
      <c r="AG2556" s="77"/>
      <c r="AH2556" s="77"/>
      <c r="AI2556" s="68"/>
      <c r="AJ2556" s="213">
        <v>1.2760000000000001E-4</v>
      </c>
      <c r="AK2556" s="213">
        <v>1.7219</v>
      </c>
      <c r="AL2556" s="213">
        <v>4</v>
      </c>
      <c r="AM2556" s="213">
        <v>5.1420100000000005E-4</v>
      </c>
      <c r="AN2556" s="74"/>
      <c r="AO2556" s="73"/>
      <c r="AP2556" s="73"/>
      <c r="AQ2556" s="73"/>
      <c r="AR2556" s="73"/>
      <c r="AS2556" s="73"/>
      <c r="AT2556" s="74"/>
      <c r="AU2556" s="47"/>
      <c r="AV2556" s="48"/>
    </row>
    <row r="2557" spans="1:48" ht="12.75" customHeight="1" x14ac:dyDescent="0.25">
      <c r="A2557" s="72" t="s">
        <v>20</v>
      </c>
      <c r="B2557" s="43" t="s">
        <v>2240</v>
      </c>
      <c r="C2557" s="44" t="s">
        <v>2715</v>
      </c>
      <c r="D2557" s="45">
        <f>MROUND(MID($C2557,6,3)/Basis!$E$3,0.5)</f>
        <v>23.5</v>
      </c>
      <c r="E2557" s="45">
        <f>MROUND(MID($C2557,9,3)/Basis!$E$3,0.5)</f>
        <v>110</v>
      </c>
      <c r="F2557" s="124" t="s">
        <v>2943</v>
      </c>
      <c r="G2557" s="45">
        <f>ROUND((ROUNDDOWN($F2557/5,0)*5+1.8)/Basis!$E$3,1)</f>
        <v>4.5999999999999996</v>
      </c>
      <c r="H2557" s="120">
        <f>ROUND($P2557*Basis!$E$2*((TaH-TrH)/LN(1/µ)/Basis!$E$7)^$N2557*$AA$4*Glycol,0)</f>
        <v>7098</v>
      </c>
      <c r="I2557" s="83">
        <f>ROUND(H2557/(MID($C2557,9,3)/Basis!$E$3/Basis!$E$9)*Basis!$E$11,0)</f>
        <v>773</v>
      </c>
      <c r="J2557" s="123">
        <f>IF(Basis!$E$1=1,ROUND(H2557/((TaH-TrH)*1.163)/3600,3),ROUND(H2557/(500*(TaH-TrH)),2))</f>
        <v>0.71</v>
      </c>
      <c r="K2557" s="84"/>
      <c r="L2557" s="177">
        <f>CHOOSE(Basis!$E$1,((AJ2557*(J2557*3600/Basis!$E$5)^AK2557*(((MID(C2557,9,3)*10)-144)/1000)*AL2557+AM2557*(J2557*3600/Basis!$E$5)^2)*0.0098)/Basis!$E$10,((AJ2557*(J2557/Basis!$E$5)^AK2557*(((MID(C2557,9,3)*10)-144)/1000)*AL2557+AM2557*(J2557/Basis!$E$5)^2)*0.0098)/Basis!$E$10)</f>
        <v>7.7752225214239162E-2</v>
      </c>
      <c r="M2557" s="85"/>
      <c r="N2557" s="110">
        <v>1.3759999999999999</v>
      </c>
      <c r="O2557" s="74"/>
      <c r="P2557" s="73">
        <v>3276</v>
      </c>
      <c r="Q2557" s="74"/>
      <c r="R2557" s="75"/>
      <c r="S2557" s="75"/>
      <c r="T2557" s="75"/>
      <c r="U2557" s="75"/>
      <c r="V2557" s="75"/>
      <c r="W2557" s="74"/>
      <c r="X2557" s="76"/>
      <c r="Y2557" s="76"/>
      <c r="Z2557" s="76"/>
      <c r="AA2557" s="76"/>
      <c r="AB2557" s="76"/>
      <c r="AC2557" s="74"/>
      <c r="AD2557" s="77"/>
      <c r="AE2557" s="77"/>
      <c r="AF2557" s="77"/>
      <c r="AG2557" s="77"/>
      <c r="AH2557" s="77"/>
      <c r="AI2557" s="68"/>
      <c r="AJ2557" s="213">
        <v>3.9689999999999994E-4</v>
      </c>
      <c r="AK2557" s="213">
        <v>1.7345999999999999</v>
      </c>
      <c r="AL2557" s="213">
        <v>2</v>
      </c>
      <c r="AM2557" s="213">
        <v>3.6734700000000002E-4</v>
      </c>
      <c r="AN2557" s="74"/>
      <c r="AO2557" s="73"/>
      <c r="AP2557" s="73"/>
      <c r="AQ2557" s="73"/>
      <c r="AR2557" s="73"/>
      <c r="AS2557" s="73"/>
      <c r="AT2557" s="74"/>
      <c r="AU2557" s="47"/>
      <c r="AV2557" s="48"/>
    </row>
    <row r="2558" spans="1:48" ht="12.75" customHeight="1" x14ac:dyDescent="0.25">
      <c r="A2558" s="72" t="s">
        <v>20</v>
      </c>
      <c r="B2558" s="43" t="s">
        <v>2240</v>
      </c>
      <c r="C2558" s="44" t="s">
        <v>2716</v>
      </c>
      <c r="D2558" s="45">
        <f>MROUND(MID($C2558,6,3)/Basis!$E$3,0.5)</f>
        <v>23.5</v>
      </c>
      <c r="E2558" s="45">
        <f>MROUND(MID($C2558,9,3)/Basis!$E$3,0.5)</f>
        <v>110</v>
      </c>
      <c r="F2558" s="124" t="s">
        <v>2946</v>
      </c>
      <c r="G2558" s="45">
        <f>ROUND((ROUNDDOWN($F2558/5,0)*5+1.8)/Basis!$E$3,1)</f>
        <v>4.5999999999999996</v>
      </c>
      <c r="H2558" s="120">
        <f>ROUND($P2558*Basis!$E$2*((TaH-TrH)/LN(1/µ)/Basis!$E$7)^$N2558*$AA$4*Glycol,0)</f>
        <v>8883</v>
      </c>
      <c r="I2558" s="83">
        <f>ROUND(H2558/(MID($C2558,9,3)/Basis!$E$3/Basis!$E$9)*Basis!$E$11,0)</f>
        <v>967</v>
      </c>
      <c r="J2558" s="123">
        <f>IF(Basis!$E$1=1,ROUND(H2558/((TaH-TrH)*1.163)/3600,3),ROUND(H2558/(500*(TaH-TrH)),2))</f>
        <v>0.89</v>
      </c>
      <c r="K2558" s="84"/>
      <c r="L2558" s="177">
        <f>CHOOSE(Basis!$E$1,((AJ2558*(J2558*3600/Basis!$E$5)^AK2558*(((MID(C2558,9,3)*10)-144)/1000)*AL2558+AM2558*(J2558*3600/Basis!$E$5)^2)*0.0098)/Basis!$E$10,((AJ2558*(J2558/Basis!$E$5)^AK2558*(((MID(C2558,9,3)*10)-144)/1000)*AL2558+AM2558*(J2558/Basis!$E$5)^2)*0.0098)/Basis!$E$10)</f>
        <v>0.21440661522589846</v>
      </c>
      <c r="M2558" s="85"/>
      <c r="N2558" s="109">
        <v>1.4370000000000001</v>
      </c>
      <c r="O2558" s="68"/>
      <c r="P2558" s="67">
        <v>4183</v>
      </c>
      <c r="Q2558" s="68"/>
      <c r="R2558" s="69"/>
      <c r="S2558" s="69"/>
      <c r="T2558" s="69"/>
      <c r="U2558" s="69"/>
      <c r="V2558" s="69"/>
      <c r="W2558" s="68"/>
      <c r="X2558" s="70"/>
      <c r="Y2558" s="70"/>
      <c r="Z2558" s="70"/>
      <c r="AA2558" s="70"/>
      <c r="AB2558" s="70"/>
      <c r="AC2558" s="68"/>
      <c r="AD2558" s="71"/>
      <c r="AE2558" s="71"/>
      <c r="AF2558" s="71"/>
      <c r="AG2558" s="71"/>
      <c r="AH2558" s="71"/>
      <c r="AI2558" s="68"/>
      <c r="AJ2558" s="214">
        <v>3.9689999999999994E-4</v>
      </c>
      <c r="AK2558" s="214">
        <v>1.7345999999999999</v>
      </c>
      <c r="AL2558" s="214">
        <v>4</v>
      </c>
      <c r="AM2558" s="214">
        <v>5.7428799999999995E-4</v>
      </c>
      <c r="AN2558" s="68"/>
      <c r="AO2558" s="67"/>
      <c r="AP2558" s="67"/>
      <c r="AQ2558" s="67"/>
      <c r="AR2558" s="67"/>
      <c r="AS2558" s="67"/>
      <c r="AT2558" s="68"/>
      <c r="AU2558" s="49"/>
      <c r="AV2558" s="50"/>
    </row>
    <row r="2559" spans="1:48" ht="12.75" customHeight="1" x14ac:dyDescent="0.25">
      <c r="A2559" s="72" t="s">
        <v>20</v>
      </c>
      <c r="B2559" s="43" t="s">
        <v>2240</v>
      </c>
      <c r="C2559" s="44" t="s">
        <v>2717</v>
      </c>
      <c r="D2559" s="45">
        <f>MROUND(MID($C2559,6,3)/Basis!$E$3,0.5)</f>
        <v>23.5</v>
      </c>
      <c r="E2559" s="45">
        <f>MROUND(MID($C2559,9,3)/Basis!$E$3,0.5)</f>
        <v>110</v>
      </c>
      <c r="F2559" s="124" t="s">
        <v>2944</v>
      </c>
      <c r="G2559" s="45">
        <f>ROUND((ROUNDDOWN($F2559/5,0)*5+1.8)/Basis!$E$3,1)</f>
        <v>6.6</v>
      </c>
      <c r="H2559" s="120">
        <f>ROUND($P2559*Basis!$E$2*((TaH-TrH)/LN(1/µ)/Basis!$E$7)^$N2559*$AA$4*Glycol,0)</f>
        <v>11377</v>
      </c>
      <c r="I2559" s="83">
        <f>ROUND(H2559/(MID($C2559,9,3)/Basis!$E$3/Basis!$E$9)*Basis!$E$11,0)</f>
        <v>1238</v>
      </c>
      <c r="J2559" s="123">
        <f>IF(Basis!$E$1=1,ROUND(H2559/((TaH-TrH)*1.163)/3600,3),ROUND(H2559/(500*(TaH-TrH)),2))</f>
        <v>1.1399999999999999</v>
      </c>
      <c r="K2559" s="84"/>
      <c r="L2559" s="177">
        <f>CHOOSE(Basis!$E$1,((AJ2559*(J2559*3600/Basis!$E$5)^AK2559*(((MID(C2559,9,3)*10)-144)/1000)*AL2559+AM2559*(J2559*3600/Basis!$E$5)^2)*0.0098)/Basis!$E$10,((AJ2559*(J2559/Basis!$E$5)^AK2559*(((MID(C2559,9,3)*10)-144)/1000)*AL2559+AM2559*(J2559/Basis!$E$5)^2)*0.0098)/Basis!$E$10)</f>
        <v>0.15356615997894596</v>
      </c>
      <c r="M2559" s="85"/>
      <c r="N2559" s="109">
        <v>1.361</v>
      </c>
      <c r="O2559" s="68"/>
      <c r="P2559" s="67">
        <v>5225</v>
      </c>
      <c r="Q2559" s="68"/>
      <c r="R2559" s="69"/>
      <c r="S2559" s="69"/>
      <c r="T2559" s="69"/>
      <c r="U2559" s="69"/>
      <c r="V2559" s="69"/>
      <c r="W2559" s="68"/>
      <c r="X2559" s="70"/>
      <c r="Y2559" s="70"/>
      <c r="Z2559" s="70"/>
      <c r="AA2559" s="70"/>
      <c r="AB2559" s="70"/>
      <c r="AC2559" s="68"/>
      <c r="AD2559" s="71"/>
      <c r="AE2559" s="71"/>
      <c r="AF2559" s="71"/>
      <c r="AG2559" s="71"/>
      <c r="AH2559" s="71"/>
      <c r="AI2559" s="68"/>
      <c r="AJ2559" s="214">
        <v>2.0829999999999999E-4</v>
      </c>
      <c r="AK2559" s="214">
        <v>1.724</v>
      </c>
      <c r="AL2559" s="214">
        <v>2</v>
      </c>
      <c r="AM2559" s="214">
        <v>4.6182900000000003E-4</v>
      </c>
      <c r="AN2559" s="68"/>
      <c r="AO2559" s="67"/>
      <c r="AP2559" s="67"/>
      <c r="AQ2559" s="67"/>
      <c r="AR2559" s="67"/>
      <c r="AS2559" s="67"/>
      <c r="AT2559" s="68"/>
      <c r="AU2559" s="49"/>
      <c r="AV2559" s="50"/>
    </row>
    <row r="2560" spans="1:48" ht="12.75" customHeight="1" x14ac:dyDescent="0.25">
      <c r="A2560" s="72" t="s">
        <v>20</v>
      </c>
      <c r="B2560" s="43" t="s">
        <v>2240</v>
      </c>
      <c r="C2560" s="44" t="s">
        <v>2718</v>
      </c>
      <c r="D2560" s="45">
        <f>MROUND(MID($C2560,6,3)/Basis!$E$3,0.5)</f>
        <v>23.5</v>
      </c>
      <c r="E2560" s="45">
        <f>MROUND(MID($C2560,9,3)/Basis!$E$3,0.5)</f>
        <v>110</v>
      </c>
      <c r="F2560" s="124" t="s">
        <v>2947</v>
      </c>
      <c r="G2560" s="45">
        <f>ROUND((ROUNDDOWN($F2560/5,0)*5+1.8)/Basis!$E$3,1)</f>
        <v>6.6</v>
      </c>
      <c r="H2560" s="120">
        <f>ROUND($P2560*Basis!$E$2*((TaH-TrH)/LN(1/µ)/Basis!$E$7)^$N2560*$AA$4*Glycol,0)</f>
        <v>12264</v>
      </c>
      <c r="I2560" s="83">
        <f>ROUND(H2560/(MID($C2560,9,3)/Basis!$E$3/Basis!$E$9)*Basis!$E$11,0)</f>
        <v>1335</v>
      </c>
      <c r="J2560" s="123">
        <f>IF(Basis!$E$1=1,ROUND(H2560/((TaH-TrH)*1.163)/3600,3),ROUND(H2560/(500*(TaH-TrH)),2))</f>
        <v>1.23</v>
      </c>
      <c r="K2560" s="84"/>
      <c r="L2560" s="177">
        <f>CHOOSE(Basis!$E$1,((AJ2560*(J2560*3600/Basis!$E$5)^AK2560*(((MID(C2560,9,3)*10)-144)/1000)*AL2560+AM2560*(J2560*3600/Basis!$E$5)^2)*0.0098)/Basis!$E$10,((AJ2560*(J2560/Basis!$E$5)^AK2560*(((MID(C2560,9,3)*10)-144)/1000)*AL2560+AM2560*(J2560/Basis!$E$5)^2)*0.0098)/Basis!$E$10)</f>
        <v>0.47472755761872781</v>
      </c>
      <c r="M2560" s="85"/>
      <c r="N2560" s="110">
        <v>1.468</v>
      </c>
      <c r="O2560" s="74"/>
      <c r="P2560" s="73">
        <v>5835</v>
      </c>
      <c r="Q2560" s="74"/>
      <c r="R2560" s="75"/>
      <c r="S2560" s="75"/>
      <c r="T2560" s="75"/>
      <c r="U2560" s="75"/>
      <c r="V2560" s="75"/>
      <c r="W2560" s="74"/>
      <c r="X2560" s="76"/>
      <c r="Y2560" s="76"/>
      <c r="Z2560" s="76"/>
      <c r="AA2560" s="76"/>
      <c r="AB2560" s="76"/>
      <c r="AC2560" s="74"/>
      <c r="AD2560" s="77"/>
      <c r="AE2560" s="77"/>
      <c r="AF2560" s="77"/>
      <c r="AG2560" s="77"/>
      <c r="AH2560" s="77"/>
      <c r="AI2560" s="68"/>
      <c r="AJ2560" s="213">
        <v>2.0829999999999999E-4</v>
      </c>
      <c r="AK2560" s="213">
        <v>1.724</v>
      </c>
      <c r="AL2560" s="213">
        <v>4</v>
      </c>
      <c r="AM2560" s="213">
        <v>1.392796E-3</v>
      </c>
      <c r="AN2560" s="74"/>
      <c r="AO2560" s="73"/>
      <c r="AP2560" s="73"/>
      <c r="AQ2560" s="73"/>
      <c r="AR2560" s="73"/>
      <c r="AS2560" s="73"/>
      <c r="AT2560" s="74"/>
      <c r="AU2560" s="47"/>
      <c r="AV2560" s="48"/>
    </row>
    <row r="2561" spans="1:48" ht="12.75" customHeight="1" x14ac:dyDescent="0.25">
      <c r="A2561" s="72" t="s">
        <v>20</v>
      </c>
      <c r="B2561" s="43" t="s">
        <v>2240</v>
      </c>
      <c r="C2561" s="44" t="s">
        <v>2719</v>
      </c>
      <c r="D2561" s="45">
        <f>MROUND(MID($C2561,6,3)/Basis!$E$3,0.5)</f>
        <v>23.5</v>
      </c>
      <c r="E2561" s="45">
        <f>MROUND(MID($C2561,9,3)/Basis!$E$3,0.5)</f>
        <v>110</v>
      </c>
      <c r="F2561" s="124" t="s">
        <v>2945</v>
      </c>
      <c r="G2561" s="45">
        <f>ROUND((ROUNDDOWN($F2561/5,0)*5+1.8)/Basis!$E$3,1)</f>
        <v>8.6</v>
      </c>
      <c r="H2561" s="120">
        <f>ROUND($P2561*Basis!$E$2*((TaH-TrH)/LN(1/µ)/Basis!$E$7)^$N2561*$AA$4*Glycol,0)</f>
        <v>15900</v>
      </c>
      <c r="I2561" s="83">
        <f>ROUND(H2561/(MID($C2561,9,3)/Basis!$E$3/Basis!$E$9)*Basis!$E$11,0)</f>
        <v>1731</v>
      </c>
      <c r="J2561" s="123">
        <f>IF(Basis!$E$1=1,ROUND(H2561/((TaH-TrH)*1.163)/3600,3),ROUND(H2561/(500*(TaH-TrH)),2))</f>
        <v>1.59</v>
      </c>
      <c r="K2561" s="84"/>
      <c r="L2561" s="177">
        <f>CHOOSE(Basis!$E$1,((AJ2561*(J2561*3600/Basis!$E$5)^AK2561*(((MID(C2561,9,3)*10)-144)/1000)*AL2561+AM2561*(J2561*3600/Basis!$E$5)^2)*0.0098)/Basis!$E$10,((AJ2561*(J2561/Basis!$E$5)^AK2561*(((MID(C2561,9,3)*10)-144)/1000)*AL2561+AM2561*(J2561/Basis!$E$5)^2)*0.0098)/Basis!$E$10)</f>
        <v>0.2167824657486995</v>
      </c>
      <c r="M2561" s="85"/>
      <c r="N2561" s="110">
        <v>1.361</v>
      </c>
      <c r="O2561" s="74"/>
      <c r="P2561" s="73">
        <v>7302</v>
      </c>
      <c r="Q2561" s="74"/>
      <c r="R2561" s="75"/>
      <c r="S2561" s="75"/>
      <c r="T2561" s="75"/>
      <c r="U2561" s="75"/>
      <c r="V2561" s="75"/>
      <c r="W2561" s="74"/>
      <c r="X2561" s="76"/>
      <c r="Y2561" s="76"/>
      <c r="Z2561" s="76"/>
      <c r="AA2561" s="76"/>
      <c r="AB2561" s="76"/>
      <c r="AC2561" s="74"/>
      <c r="AD2561" s="77"/>
      <c r="AE2561" s="77"/>
      <c r="AF2561" s="77"/>
      <c r="AG2561" s="77"/>
      <c r="AH2561" s="77"/>
      <c r="AI2561" s="68"/>
      <c r="AJ2561" s="214">
        <v>1.2760000000000001E-4</v>
      </c>
      <c r="AK2561" s="214">
        <v>1.7219</v>
      </c>
      <c r="AL2561" s="214">
        <v>2</v>
      </c>
      <c r="AM2561" s="214">
        <v>3.76611E-4</v>
      </c>
      <c r="AN2561" s="74"/>
      <c r="AO2561" s="73"/>
      <c r="AP2561" s="73"/>
      <c r="AQ2561" s="73"/>
      <c r="AR2561" s="73"/>
      <c r="AS2561" s="73"/>
      <c r="AT2561" s="74"/>
      <c r="AU2561" s="47"/>
      <c r="AV2561" s="48"/>
    </row>
    <row r="2562" spans="1:48" ht="12.75" customHeight="1" x14ac:dyDescent="0.25">
      <c r="A2562" s="72" t="s">
        <v>20</v>
      </c>
      <c r="B2562" s="43" t="s">
        <v>2240</v>
      </c>
      <c r="C2562" s="44" t="s">
        <v>2720</v>
      </c>
      <c r="D2562" s="45">
        <f>MROUND(MID($C2562,6,3)/Basis!$E$3,0.5)</f>
        <v>23.5</v>
      </c>
      <c r="E2562" s="45">
        <f>MROUND(MID($C2562,9,3)/Basis!$E$3,0.5)</f>
        <v>110</v>
      </c>
      <c r="F2562" s="124" t="s">
        <v>2948</v>
      </c>
      <c r="G2562" s="45">
        <f>ROUND((ROUNDDOWN($F2562/5,0)*5+1.8)/Basis!$E$3,1)</f>
        <v>8.6</v>
      </c>
      <c r="H2562" s="120">
        <f>ROUND($P2562*Basis!$E$2*((TaH-TrH)/LN(1/µ)/Basis!$E$7)^$N2562*$AA$4*Glycol,0)</f>
        <v>16823</v>
      </c>
      <c r="I2562" s="83">
        <f>ROUND(H2562/(MID($C2562,9,3)/Basis!$E$3/Basis!$E$9)*Basis!$E$11,0)</f>
        <v>1831</v>
      </c>
      <c r="J2562" s="123">
        <f>IF(Basis!$E$1=1,ROUND(H2562/((TaH-TrH)*1.163)/3600,3),ROUND(H2562/(500*(TaH-TrH)),2))</f>
        <v>1.68</v>
      </c>
      <c r="K2562" s="84"/>
      <c r="L2562" s="177">
        <f>CHOOSE(Basis!$E$1,((AJ2562*(J2562*3600/Basis!$E$5)^AK2562*(((MID(C2562,9,3)*10)-144)/1000)*AL2562+AM2562*(J2562*3600/Basis!$E$5)^2)*0.0098)/Basis!$E$10,((AJ2562*(J2562/Basis!$E$5)^AK2562*(((MID(C2562,9,3)*10)-144)/1000)*AL2562+AM2562*(J2562/Basis!$E$5)^2)*0.0098)/Basis!$E$10)</f>
        <v>0.36834344705903549</v>
      </c>
      <c r="M2562" s="85"/>
      <c r="N2562" s="109">
        <v>1.4930000000000001</v>
      </c>
      <c r="O2562" s="68"/>
      <c r="P2562" s="67">
        <v>8070</v>
      </c>
      <c r="Q2562" s="68"/>
      <c r="R2562" s="69"/>
      <c r="S2562" s="69"/>
      <c r="T2562" s="69"/>
      <c r="U2562" s="69"/>
      <c r="V2562" s="69"/>
      <c r="W2562" s="68"/>
      <c r="X2562" s="70"/>
      <c r="Y2562" s="70"/>
      <c r="Z2562" s="70"/>
      <c r="AA2562" s="70"/>
      <c r="AB2562" s="70"/>
      <c r="AC2562" s="68"/>
      <c r="AD2562" s="71"/>
      <c r="AE2562" s="71"/>
      <c r="AF2562" s="71"/>
      <c r="AG2562" s="71"/>
      <c r="AH2562" s="71"/>
      <c r="AI2562" s="68"/>
      <c r="AJ2562" s="214">
        <v>1.2760000000000001E-4</v>
      </c>
      <c r="AK2562" s="214">
        <v>1.7219</v>
      </c>
      <c r="AL2562" s="214">
        <v>4</v>
      </c>
      <c r="AM2562" s="214">
        <v>5.1420100000000005E-4</v>
      </c>
      <c r="AN2562" s="68"/>
      <c r="AO2562" s="67"/>
      <c r="AP2562" s="67"/>
      <c r="AQ2562" s="67"/>
      <c r="AR2562" s="67"/>
      <c r="AS2562" s="67"/>
      <c r="AT2562" s="68"/>
      <c r="AU2562" s="49"/>
      <c r="AV2562" s="50"/>
    </row>
    <row r="2563" spans="1:48" ht="12.75" customHeight="1" x14ac:dyDescent="0.25">
      <c r="A2563" s="72" t="s">
        <v>20</v>
      </c>
      <c r="B2563" s="43" t="s">
        <v>2240</v>
      </c>
      <c r="C2563" s="44" t="s">
        <v>2721</v>
      </c>
      <c r="D2563" s="45">
        <f>MROUND(MID($C2563,6,3)/Basis!$E$3,0.5)</f>
        <v>23.5</v>
      </c>
      <c r="E2563" s="45">
        <f>MROUND(MID($C2563,9,3)/Basis!$E$3,0.5)</f>
        <v>118</v>
      </c>
      <c r="F2563" s="124" t="s">
        <v>2943</v>
      </c>
      <c r="G2563" s="45">
        <f>ROUND((ROUNDDOWN($F2563/5,0)*5+1.8)/Basis!$E$3,1)</f>
        <v>4.5999999999999996</v>
      </c>
      <c r="H2563" s="120">
        <f>ROUND($P2563*Basis!$E$2*((TaH-TrH)/LN(1/µ)/Basis!$E$7)^$N2563*$AA$4*Glycol,0)</f>
        <v>7605</v>
      </c>
      <c r="I2563" s="83">
        <f>ROUND(H2563/(MID($C2563,9,3)/Basis!$E$3/Basis!$E$9)*Basis!$E$11,0)</f>
        <v>773</v>
      </c>
      <c r="J2563" s="123">
        <f>IF(Basis!$E$1=1,ROUND(H2563/((TaH-TrH)*1.163)/3600,3),ROUND(H2563/(500*(TaH-TrH)),2))</f>
        <v>0.76</v>
      </c>
      <c r="K2563" s="84"/>
      <c r="L2563" s="177">
        <f>CHOOSE(Basis!$E$1,((AJ2563*(J2563*3600/Basis!$E$5)^AK2563*(((MID(C2563,9,3)*10)-144)/1000)*AL2563+AM2563*(J2563*3600/Basis!$E$5)^2)*0.0098)/Basis!$E$10,((AJ2563*(J2563/Basis!$E$5)^AK2563*(((MID(C2563,9,3)*10)-144)/1000)*AL2563+AM2563*(J2563/Basis!$E$5)^2)*0.0098)/Basis!$E$10)</f>
        <v>9.2076553831510144E-2</v>
      </c>
      <c r="M2563" s="85"/>
      <c r="N2563" s="109">
        <v>1.3759999999999999</v>
      </c>
      <c r="O2563" s="68"/>
      <c r="P2563" s="67">
        <v>3510</v>
      </c>
      <c r="Q2563" s="68"/>
      <c r="R2563" s="69"/>
      <c r="S2563" s="69"/>
      <c r="T2563" s="69"/>
      <c r="U2563" s="69"/>
      <c r="V2563" s="69"/>
      <c r="W2563" s="68"/>
      <c r="X2563" s="70"/>
      <c r="Y2563" s="70"/>
      <c r="Z2563" s="70"/>
      <c r="AA2563" s="70"/>
      <c r="AB2563" s="70"/>
      <c r="AC2563" s="68"/>
      <c r="AD2563" s="71"/>
      <c r="AE2563" s="71"/>
      <c r="AF2563" s="71"/>
      <c r="AG2563" s="71"/>
      <c r="AH2563" s="71"/>
      <c r="AI2563" s="68"/>
      <c r="AJ2563" s="214">
        <v>3.9689999999999994E-4</v>
      </c>
      <c r="AK2563" s="214">
        <v>1.7345999999999999</v>
      </c>
      <c r="AL2563" s="214">
        <v>2</v>
      </c>
      <c r="AM2563" s="214">
        <v>3.6734700000000002E-4</v>
      </c>
      <c r="AN2563" s="68"/>
      <c r="AO2563" s="67"/>
      <c r="AP2563" s="67"/>
      <c r="AQ2563" s="67"/>
      <c r="AR2563" s="67"/>
      <c r="AS2563" s="67"/>
      <c r="AT2563" s="68"/>
      <c r="AU2563" s="49"/>
      <c r="AV2563" s="50"/>
    </row>
    <row r="2564" spans="1:48" ht="12.75" customHeight="1" x14ac:dyDescent="0.25">
      <c r="A2564" s="72" t="s">
        <v>20</v>
      </c>
      <c r="B2564" s="43" t="s">
        <v>2240</v>
      </c>
      <c r="C2564" s="44" t="s">
        <v>2722</v>
      </c>
      <c r="D2564" s="45">
        <f>MROUND(MID($C2564,6,3)/Basis!$E$3,0.5)</f>
        <v>23.5</v>
      </c>
      <c r="E2564" s="45">
        <f>MROUND(MID($C2564,9,3)/Basis!$E$3,0.5)</f>
        <v>118</v>
      </c>
      <c r="F2564" s="124" t="s">
        <v>2946</v>
      </c>
      <c r="G2564" s="45">
        <f>ROUND((ROUNDDOWN($F2564/5,0)*5+1.8)/Basis!$E$3,1)</f>
        <v>4.5999999999999996</v>
      </c>
      <c r="H2564" s="120">
        <f>ROUND($P2564*Basis!$E$2*((TaH-TrH)/LN(1/µ)/Basis!$E$7)^$N2564*$AA$4*Glycol,0)</f>
        <v>9518</v>
      </c>
      <c r="I2564" s="83">
        <f>ROUND(H2564/(MID($C2564,9,3)/Basis!$E$3/Basis!$E$9)*Basis!$E$11,0)</f>
        <v>967</v>
      </c>
      <c r="J2564" s="123">
        <f>IF(Basis!$E$1=1,ROUND(H2564/((TaH-TrH)*1.163)/3600,3),ROUND(H2564/(500*(TaH-TrH)),2))</f>
        <v>0.95</v>
      </c>
      <c r="K2564" s="84"/>
      <c r="L2564" s="177">
        <f>CHOOSE(Basis!$E$1,((AJ2564*(J2564*3600/Basis!$E$5)^AK2564*(((MID(C2564,9,3)*10)-144)/1000)*AL2564+AM2564*(J2564*3600/Basis!$E$5)^2)*0.0098)/Basis!$E$10,((AJ2564*(J2564/Basis!$E$5)^AK2564*(((MID(C2564,9,3)*10)-144)/1000)*AL2564+AM2564*(J2564/Basis!$E$5)^2)*0.0098)/Basis!$E$10)</f>
        <v>0.25320669878449714</v>
      </c>
      <c r="M2564" s="85"/>
      <c r="N2564" s="110">
        <v>1.4370000000000001</v>
      </c>
      <c r="O2564" s="74"/>
      <c r="P2564" s="73">
        <v>4482</v>
      </c>
      <c r="Q2564" s="74"/>
      <c r="R2564" s="75"/>
      <c r="S2564" s="75"/>
      <c r="T2564" s="75"/>
      <c r="U2564" s="75"/>
      <c r="V2564" s="75"/>
      <c r="W2564" s="74"/>
      <c r="X2564" s="76"/>
      <c r="Y2564" s="76"/>
      <c r="Z2564" s="76"/>
      <c r="AA2564" s="76"/>
      <c r="AB2564" s="76"/>
      <c r="AC2564" s="74"/>
      <c r="AD2564" s="77"/>
      <c r="AE2564" s="77"/>
      <c r="AF2564" s="77"/>
      <c r="AG2564" s="77"/>
      <c r="AH2564" s="77"/>
      <c r="AI2564" s="68"/>
      <c r="AJ2564" s="213">
        <v>3.9689999999999994E-4</v>
      </c>
      <c r="AK2564" s="213">
        <v>1.7345999999999999</v>
      </c>
      <c r="AL2564" s="213">
        <v>4</v>
      </c>
      <c r="AM2564" s="213">
        <v>5.7428799999999995E-4</v>
      </c>
      <c r="AN2564" s="74"/>
      <c r="AO2564" s="73"/>
      <c r="AP2564" s="73"/>
      <c r="AQ2564" s="73"/>
      <c r="AR2564" s="73"/>
      <c r="AS2564" s="73"/>
      <c r="AT2564" s="74"/>
      <c r="AU2564" s="47"/>
      <c r="AV2564" s="48"/>
    </row>
    <row r="2565" spans="1:48" ht="12.75" customHeight="1" x14ac:dyDescent="0.25">
      <c r="A2565" s="72" t="s">
        <v>20</v>
      </c>
      <c r="B2565" s="43" t="s">
        <v>2240</v>
      </c>
      <c r="C2565" s="44" t="s">
        <v>2723</v>
      </c>
      <c r="D2565" s="45">
        <f>MROUND(MID($C2565,6,3)/Basis!$E$3,0.5)</f>
        <v>23.5</v>
      </c>
      <c r="E2565" s="45">
        <f>MROUND(MID($C2565,9,3)/Basis!$E$3,0.5)</f>
        <v>118</v>
      </c>
      <c r="F2565" s="124" t="s">
        <v>2944</v>
      </c>
      <c r="G2565" s="45">
        <f>ROUND((ROUNDDOWN($F2565/5,0)*5+1.8)/Basis!$E$3,1)</f>
        <v>6.6</v>
      </c>
      <c r="H2565" s="120">
        <f>ROUND($P2565*Basis!$E$2*((TaH-TrH)/LN(1/µ)/Basis!$E$7)^$N2565*$AA$4*Glycol,0)</f>
        <v>12189</v>
      </c>
      <c r="I2565" s="83">
        <f>ROUND(H2565/(MID($C2565,9,3)/Basis!$E$3/Basis!$E$9)*Basis!$E$11,0)</f>
        <v>1238</v>
      </c>
      <c r="J2565" s="123">
        <f>IF(Basis!$E$1=1,ROUND(H2565/((TaH-TrH)*1.163)/3600,3),ROUND(H2565/(500*(TaH-TrH)),2))</f>
        <v>1.22</v>
      </c>
      <c r="K2565" s="84"/>
      <c r="L2565" s="177">
        <f>CHOOSE(Basis!$E$1,((AJ2565*(J2565*3600/Basis!$E$5)^AK2565*(((MID(C2565,9,3)*10)-144)/1000)*AL2565+AM2565*(J2565*3600/Basis!$E$5)^2)*0.0098)/Basis!$E$10,((AJ2565*(J2565/Basis!$E$5)^AK2565*(((MID(C2565,9,3)*10)-144)/1000)*AL2565+AM2565*(J2565/Basis!$E$5)^2)*0.0098)/Basis!$E$10)</f>
        <v>0.17919349628120418</v>
      </c>
      <c r="M2565" s="85"/>
      <c r="N2565" s="110">
        <v>1.361</v>
      </c>
      <c r="O2565" s="74"/>
      <c r="P2565" s="73">
        <v>5598</v>
      </c>
      <c r="Q2565" s="74"/>
      <c r="R2565" s="75"/>
      <c r="S2565" s="75"/>
      <c r="T2565" s="75"/>
      <c r="U2565" s="75"/>
      <c r="V2565" s="75"/>
      <c r="W2565" s="74"/>
      <c r="X2565" s="76"/>
      <c r="Y2565" s="76"/>
      <c r="Z2565" s="76"/>
      <c r="AA2565" s="76"/>
      <c r="AB2565" s="76"/>
      <c r="AC2565" s="74"/>
      <c r="AD2565" s="77"/>
      <c r="AE2565" s="77"/>
      <c r="AF2565" s="77"/>
      <c r="AG2565" s="77"/>
      <c r="AH2565" s="77"/>
      <c r="AI2565" s="68"/>
      <c r="AJ2565" s="213">
        <v>2.0829999999999999E-4</v>
      </c>
      <c r="AK2565" s="213">
        <v>1.724</v>
      </c>
      <c r="AL2565" s="213">
        <v>2</v>
      </c>
      <c r="AM2565" s="213">
        <v>4.6182900000000003E-4</v>
      </c>
      <c r="AN2565" s="74"/>
      <c r="AO2565" s="73"/>
      <c r="AP2565" s="73"/>
      <c r="AQ2565" s="73"/>
      <c r="AR2565" s="73"/>
      <c r="AS2565" s="73"/>
      <c r="AT2565" s="74"/>
      <c r="AU2565" s="47"/>
      <c r="AV2565" s="48"/>
    </row>
    <row r="2566" spans="1:48" ht="12.75" customHeight="1" x14ac:dyDescent="0.25">
      <c r="A2566" s="72" t="s">
        <v>20</v>
      </c>
      <c r="B2566" s="43" t="s">
        <v>2240</v>
      </c>
      <c r="C2566" s="44" t="s">
        <v>2724</v>
      </c>
      <c r="D2566" s="45">
        <f>MROUND(MID($C2566,6,3)/Basis!$E$3,0.5)</f>
        <v>23.5</v>
      </c>
      <c r="E2566" s="45">
        <f>MROUND(MID($C2566,9,3)/Basis!$E$3,0.5)</f>
        <v>118</v>
      </c>
      <c r="F2566" s="124" t="s">
        <v>2947</v>
      </c>
      <c r="G2566" s="45">
        <f>ROUND((ROUNDDOWN($F2566/5,0)*5+1.8)/Basis!$E$3,1)</f>
        <v>6.6</v>
      </c>
      <c r="H2566" s="120">
        <f>ROUND($P2566*Basis!$E$2*((TaH-TrH)/LN(1/µ)/Basis!$E$7)^$N2566*$AA$4*Glycol,0)</f>
        <v>13141</v>
      </c>
      <c r="I2566" s="83">
        <f>ROUND(H2566/(MID($C2566,9,3)/Basis!$E$3/Basis!$E$9)*Basis!$E$11,0)</f>
        <v>1335</v>
      </c>
      <c r="J2566" s="123">
        <f>IF(Basis!$E$1=1,ROUND(H2566/((TaH-TrH)*1.163)/3600,3),ROUND(H2566/(500*(TaH-TrH)),2))</f>
        <v>1.31</v>
      </c>
      <c r="K2566" s="84"/>
      <c r="L2566" s="177">
        <f>CHOOSE(Basis!$E$1,((AJ2566*(J2566*3600/Basis!$E$5)^AK2566*(((MID(C2566,9,3)*10)-144)/1000)*AL2566+AM2566*(J2566*3600/Basis!$E$5)^2)*0.0098)/Basis!$E$10,((AJ2566*(J2566/Basis!$E$5)^AK2566*(((MID(C2566,9,3)*10)-144)/1000)*AL2566+AM2566*(J2566/Basis!$E$5)^2)*0.0098)/Basis!$E$10)</f>
        <v>0.54617096595628323</v>
      </c>
      <c r="M2566" s="85"/>
      <c r="N2566" s="109">
        <v>1.468</v>
      </c>
      <c r="O2566" s="68"/>
      <c r="P2566" s="67">
        <v>6252</v>
      </c>
      <c r="Q2566" s="68"/>
      <c r="R2566" s="69"/>
      <c r="S2566" s="69"/>
      <c r="T2566" s="69"/>
      <c r="U2566" s="69"/>
      <c r="V2566" s="69"/>
      <c r="W2566" s="68"/>
      <c r="X2566" s="70"/>
      <c r="Y2566" s="70"/>
      <c r="Z2566" s="70"/>
      <c r="AA2566" s="70"/>
      <c r="AB2566" s="70"/>
      <c r="AC2566" s="68"/>
      <c r="AD2566" s="71"/>
      <c r="AE2566" s="71"/>
      <c r="AF2566" s="71"/>
      <c r="AG2566" s="71"/>
      <c r="AH2566" s="71"/>
      <c r="AI2566" s="68"/>
      <c r="AJ2566" s="214">
        <v>2.0829999999999999E-4</v>
      </c>
      <c r="AK2566" s="214">
        <v>1.724</v>
      </c>
      <c r="AL2566" s="214">
        <v>4</v>
      </c>
      <c r="AM2566" s="214">
        <v>1.392796E-3</v>
      </c>
      <c r="AN2566" s="68"/>
      <c r="AO2566" s="67"/>
      <c r="AP2566" s="67"/>
      <c r="AQ2566" s="67"/>
      <c r="AR2566" s="67"/>
      <c r="AS2566" s="67"/>
      <c r="AT2566" s="68"/>
      <c r="AU2566" s="49"/>
      <c r="AV2566" s="50"/>
    </row>
    <row r="2567" spans="1:48" ht="12.75" customHeight="1" x14ac:dyDescent="0.25">
      <c r="A2567" s="72" t="s">
        <v>20</v>
      </c>
      <c r="B2567" s="43" t="s">
        <v>2240</v>
      </c>
      <c r="C2567" s="44" t="s">
        <v>2725</v>
      </c>
      <c r="D2567" s="45">
        <f>MROUND(MID($C2567,6,3)/Basis!$E$3,0.5)</f>
        <v>23.5</v>
      </c>
      <c r="E2567" s="45">
        <f>MROUND(MID($C2567,9,3)/Basis!$E$3,0.5)</f>
        <v>118</v>
      </c>
      <c r="F2567" s="124" t="s">
        <v>2945</v>
      </c>
      <c r="G2567" s="45">
        <f>ROUND((ROUNDDOWN($F2567/5,0)*5+1.8)/Basis!$E$3,1)</f>
        <v>8.6</v>
      </c>
      <c r="H2567" s="120">
        <f>ROUND($P2567*Basis!$E$2*((TaH-TrH)/LN(1/µ)/Basis!$E$7)^$N2567*$AA$4*Glycol,0)</f>
        <v>17036</v>
      </c>
      <c r="I2567" s="83">
        <f>ROUND(H2567/(MID($C2567,9,3)/Basis!$E$3/Basis!$E$9)*Basis!$E$11,0)</f>
        <v>1731</v>
      </c>
      <c r="J2567" s="123">
        <f>IF(Basis!$E$1=1,ROUND(H2567/((TaH-TrH)*1.163)/3600,3),ROUND(H2567/(500*(TaH-TrH)),2))</f>
        <v>1.7</v>
      </c>
      <c r="K2567" s="84"/>
      <c r="L2567" s="177">
        <f>CHOOSE(Basis!$E$1,((AJ2567*(J2567*3600/Basis!$E$5)^AK2567*(((MID(C2567,9,3)*10)-144)/1000)*AL2567+AM2567*(J2567*3600/Basis!$E$5)^2)*0.0098)/Basis!$E$10,((AJ2567*(J2567/Basis!$E$5)^AK2567*(((MID(C2567,9,3)*10)-144)/1000)*AL2567+AM2567*(J2567/Basis!$E$5)^2)*0.0098)/Basis!$E$10)</f>
        <v>0.25137889885755443</v>
      </c>
      <c r="M2567" s="85"/>
      <c r="N2567" s="109">
        <v>1.361</v>
      </c>
      <c r="O2567" s="68"/>
      <c r="P2567" s="67">
        <v>7824</v>
      </c>
      <c r="Q2567" s="68"/>
      <c r="R2567" s="69"/>
      <c r="S2567" s="69"/>
      <c r="T2567" s="69"/>
      <c r="U2567" s="69"/>
      <c r="V2567" s="69"/>
      <c r="W2567" s="68"/>
      <c r="X2567" s="70"/>
      <c r="Y2567" s="70"/>
      <c r="Z2567" s="70"/>
      <c r="AA2567" s="70"/>
      <c r="AB2567" s="70"/>
      <c r="AC2567" s="68"/>
      <c r="AD2567" s="71"/>
      <c r="AE2567" s="71"/>
      <c r="AF2567" s="71"/>
      <c r="AG2567" s="71"/>
      <c r="AH2567" s="71"/>
      <c r="AI2567" s="68"/>
      <c r="AJ2567" s="214">
        <v>1.2760000000000001E-4</v>
      </c>
      <c r="AK2567" s="214">
        <v>1.7219</v>
      </c>
      <c r="AL2567" s="214">
        <v>2</v>
      </c>
      <c r="AM2567" s="214">
        <v>3.76611E-4</v>
      </c>
      <c r="AN2567" s="68"/>
      <c r="AO2567" s="67"/>
      <c r="AP2567" s="67"/>
      <c r="AQ2567" s="67"/>
      <c r="AR2567" s="67"/>
      <c r="AS2567" s="67"/>
      <c r="AT2567" s="68"/>
      <c r="AU2567" s="49"/>
      <c r="AV2567" s="50"/>
    </row>
    <row r="2568" spans="1:48" ht="12.75" customHeight="1" x14ac:dyDescent="0.25">
      <c r="A2568" s="72" t="s">
        <v>20</v>
      </c>
      <c r="B2568" s="43" t="s">
        <v>2240</v>
      </c>
      <c r="C2568" s="44" t="s">
        <v>2726</v>
      </c>
      <c r="D2568" s="45">
        <f>MROUND(MID($C2568,6,3)/Basis!$E$3,0.5)</f>
        <v>23.5</v>
      </c>
      <c r="E2568" s="45">
        <f>MROUND(MID($C2568,9,3)/Basis!$E$3,0.5)</f>
        <v>118</v>
      </c>
      <c r="F2568" s="124" t="s">
        <v>2948</v>
      </c>
      <c r="G2568" s="45">
        <f>ROUND((ROUNDDOWN($F2568/5,0)*5+1.8)/Basis!$E$3,1)</f>
        <v>8.6</v>
      </c>
      <c r="H2568" s="120">
        <f>ROUND($P2568*Basis!$E$2*((TaH-TrH)/LN(1/µ)/Basis!$E$7)^$N2568*$AA$4*Glycol,0)</f>
        <v>18024</v>
      </c>
      <c r="I2568" s="83">
        <f>ROUND(H2568/(MID($C2568,9,3)/Basis!$E$3/Basis!$E$9)*Basis!$E$11,0)</f>
        <v>1831</v>
      </c>
      <c r="J2568" s="123">
        <f>IF(Basis!$E$1=1,ROUND(H2568/((TaH-TrH)*1.163)/3600,3),ROUND(H2568/(500*(TaH-TrH)),2))</f>
        <v>1.8</v>
      </c>
      <c r="K2568" s="84"/>
      <c r="L2568" s="177">
        <f>CHOOSE(Basis!$E$1,((AJ2568*(J2568*3600/Basis!$E$5)^AK2568*(((MID(C2568,9,3)*10)-144)/1000)*AL2568+AM2568*(J2568*3600/Basis!$E$5)^2)*0.0098)/Basis!$E$10,((AJ2568*(J2568/Basis!$E$5)^AK2568*(((MID(C2568,9,3)*10)-144)/1000)*AL2568+AM2568*(J2568/Basis!$E$5)^2)*0.0098)/Basis!$E$10)</f>
        <v>0.4306252971461656</v>
      </c>
      <c r="M2568" s="85"/>
      <c r="N2568" s="110">
        <v>1.4930000000000001</v>
      </c>
      <c r="O2568" s="74"/>
      <c r="P2568" s="73">
        <v>8646</v>
      </c>
      <c r="Q2568" s="74"/>
      <c r="R2568" s="75"/>
      <c r="S2568" s="75"/>
      <c r="T2568" s="75"/>
      <c r="U2568" s="75"/>
      <c r="V2568" s="75"/>
      <c r="W2568" s="74"/>
      <c r="X2568" s="76"/>
      <c r="Y2568" s="76"/>
      <c r="Z2568" s="76"/>
      <c r="AA2568" s="76"/>
      <c r="AB2568" s="76"/>
      <c r="AC2568" s="74"/>
      <c r="AD2568" s="77"/>
      <c r="AE2568" s="77"/>
      <c r="AF2568" s="77"/>
      <c r="AG2568" s="77"/>
      <c r="AH2568" s="77"/>
      <c r="AI2568" s="68"/>
      <c r="AJ2568" s="213">
        <v>1.2760000000000001E-4</v>
      </c>
      <c r="AK2568" s="213">
        <v>1.7219</v>
      </c>
      <c r="AL2568" s="213">
        <v>4</v>
      </c>
      <c r="AM2568" s="213">
        <v>5.1420100000000005E-4</v>
      </c>
      <c r="AN2568" s="74"/>
      <c r="AO2568" s="73"/>
      <c r="AP2568" s="73"/>
      <c r="AQ2568" s="73"/>
      <c r="AR2568" s="73"/>
      <c r="AS2568" s="73"/>
      <c r="AT2568" s="74"/>
      <c r="AU2568" s="47"/>
      <c r="AV2568" s="48"/>
    </row>
    <row r="2569" spans="1:48" ht="12.75" customHeight="1" x14ac:dyDescent="0.25">
      <c r="A2569" s="72" t="s">
        <v>20</v>
      </c>
      <c r="B2569" s="43" t="s">
        <v>2240</v>
      </c>
      <c r="C2569" s="44" t="s">
        <v>2727</v>
      </c>
      <c r="D2569" s="45">
        <f>MROUND(MID($C2569,6,3)/Basis!$E$3,0.5)</f>
        <v>27.5</v>
      </c>
      <c r="E2569" s="45">
        <f>MROUND(MID($C2569,9,3)/Basis!$E$3,0.5)</f>
        <v>15.5</v>
      </c>
      <c r="F2569" s="124" t="s">
        <v>2943</v>
      </c>
      <c r="G2569" s="45">
        <f>ROUND((ROUNDDOWN($F2569/5,0)*5+1.8)/Basis!$E$3,1)</f>
        <v>4.5999999999999996</v>
      </c>
      <c r="H2569" s="120">
        <f>ROUND($P2569*Basis!$E$2*((TaH-TrH)/LN(1/µ)/Basis!$E$7)^$N2569*$AA$4*Glycol,0)</f>
        <v>1085</v>
      </c>
      <c r="I2569" s="83">
        <f>ROUND(H2569/(MID($C2569,9,3)/Basis!$E$3/Basis!$E$9)*Basis!$E$11,0)</f>
        <v>827</v>
      </c>
      <c r="J2569" s="123">
        <f>IF(Basis!$E$1=1,ROUND(H2569/((TaH-TrH)*1.163)/3600,3),ROUND(H2569/(500*(TaH-TrH)),2))</f>
        <v>0.11</v>
      </c>
      <c r="K2569" s="84"/>
      <c r="L2569" s="177">
        <f>CHOOSE(Basis!$E$1,((AJ2569*(J2569*3600/Basis!$E$5)^AK2569*(((MID(C2569,9,3)*10)-144)/1000)*AL2569+AM2569*(J2569*3600/Basis!$E$5)^2)*0.0098)/Basis!$E$10,((AJ2569*(J2569/Basis!$E$5)^AK2569*(((MID(C2569,9,3)*10)-144)/1000)*AL2569+AM2569*(J2569/Basis!$E$5)^2)*0.0098)/Basis!$E$10)</f>
        <v>9.2625985501287042E-4</v>
      </c>
      <c r="M2569" s="85"/>
      <c r="N2569" s="110">
        <v>1.3660000000000001</v>
      </c>
      <c r="O2569" s="74"/>
      <c r="P2569" s="73">
        <v>499</v>
      </c>
      <c r="Q2569" s="74"/>
      <c r="R2569" s="75"/>
      <c r="S2569" s="75"/>
      <c r="T2569" s="75"/>
      <c r="U2569" s="75"/>
      <c r="V2569" s="75"/>
      <c r="W2569" s="74"/>
      <c r="X2569" s="76"/>
      <c r="Y2569" s="76"/>
      <c r="Z2569" s="76"/>
      <c r="AA2569" s="76"/>
      <c r="AB2569" s="76"/>
      <c r="AC2569" s="74"/>
      <c r="AD2569" s="77"/>
      <c r="AE2569" s="77"/>
      <c r="AF2569" s="77"/>
      <c r="AG2569" s="77"/>
      <c r="AH2569" s="77"/>
      <c r="AI2569" s="68"/>
      <c r="AJ2569" s="213">
        <v>3.9689999999999994E-4</v>
      </c>
      <c r="AK2569" s="213">
        <v>1.7345999999999999</v>
      </c>
      <c r="AL2569" s="213">
        <v>2</v>
      </c>
      <c r="AM2569" s="213">
        <v>3.6734700000000002E-4</v>
      </c>
      <c r="AN2569" s="74"/>
      <c r="AO2569" s="73"/>
      <c r="AP2569" s="73"/>
      <c r="AQ2569" s="73"/>
      <c r="AR2569" s="73"/>
      <c r="AS2569" s="73"/>
      <c r="AT2569" s="74"/>
      <c r="AU2569" s="47"/>
      <c r="AV2569" s="48"/>
    </row>
    <row r="2570" spans="1:48" ht="12.75" customHeight="1" x14ac:dyDescent="0.25">
      <c r="A2570" s="72" t="s">
        <v>20</v>
      </c>
      <c r="B2570" s="43" t="s">
        <v>2240</v>
      </c>
      <c r="C2570" s="44" t="s">
        <v>2728</v>
      </c>
      <c r="D2570" s="45">
        <f>MROUND(MID($C2570,6,3)/Basis!$E$3,0.5)</f>
        <v>27.5</v>
      </c>
      <c r="E2570" s="45">
        <f>MROUND(MID($C2570,9,3)/Basis!$E$3,0.5)</f>
        <v>15.5</v>
      </c>
      <c r="F2570" s="124" t="s">
        <v>2946</v>
      </c>
      <c r="G2570" s="45">
        <f>ROUND((ROUNDDOWN($F2570/5,0)*5+1.8)/Basis!$E$3,1)</f>
        <v>4.5999999999999996</v>
      </c>
      <c r="H2570" s="120">
        <f>ROUND($P2570*Basis!$E$2*((TaH-TrH)/LN(1/µ)/Basis!$E$7)^$N2570*$AA$4*Glycol,0)</f>
        <v>1351</v>
      </c>
      <c r="I2570" s="83">
        <f>ROUND(H2570/(MID($C2570,9,3)/Basis!$E$3/Basis!$E$9)*Basis!$E$11,0)</f>
        <v>1029</v>
      </c>
      <c r="J2570" s="123">
        <f>IF(Basis!$E$1=1,ROUND(H2570/((TaH-TrH)*1.163)/3600,3),ROUND(H2570/(500*(TaH-TrH)),2))</f>
        <v>0.14000000000000001</v>
      </c>
      <c r="K2570" s="84"/>
      <c r="L2570" s="177">
        <f>CHOOSE(Basis!$E$1,((AJ2570*(J2570*3600/Basis!$E$5)^AK2570*(((MID(C2570,9,3)*10)-144)/1000)*AL2570+AM2570*(J2570*3600/Basis!$E$5)^2)*0.0098)/Basis!$E$10,((AJ2570*(J2570/Basis!$E$5)^AK2570*(((MID(C2570,9,3)*10)-144)/1000)*AL2570+AM2570*(J2570/Basis!$E$5)^2)*0.0098)/Basis!$E$10)</f>
        <v>2.4350253012632777E-3</v>
      </c>
      <c r="M2570" s="85"/>
      <c r="N2570" s="109">
        <v>1.4359999999999999</v>
      </c>
      <c r="O2570" s="68"/>
      <c r="P2570" s="67">
        <v>636</v>
      </c>
      <c r="Q2570" s="68"/>
      <c r="R2570" s="69"/>
      <c r="S2570" s="69"/>
      <c r="T2570" s="69"/>
      <c r="U2570" s="69"/>
      <c r="V2570" s="69"/>
      <c r="W2570" s="68"/>
      <c r="X2570" s="70"/>
      <c r="Y2570" s="70"/>
      <c r="Z2570" s="70"/>
      <c r="AA2570" s="70"/>
      <c r="AB2570" s="70"/>
      <c r="AC2570" s="68"/>
      <c r="AD2570" s="71"/>
      <c r="AE2570" s="71"/>
      <c r="AF2570" s="71"/>
      <c r="AG2570" s="71"/>
      <c r="AH2570" s="71"/>
      <c r="AI2570" s="68"/>
      <c r="AJ2570" s="214">
        <v>3.9689999999999994E-4</v>
      </c>
      <c r="AK2570" s="214">
        <v>1.7345999999999999</v>
      </c>
      <c r="AL2570" s="214">
        <v>4</v>
      </c>
      <c r="AM2570" s="214">
        <v>5.7428799999999995E-4</v>
      </c>
      <c r="AN2570" s="68"/>
      <c r="AO2570" s="67"/>
      <c r="AP2570" s="67"/>
      <c r="AQ2570" s="67"/>
      <c r="AR2570" s="67"/>
      <c r="AS2570" s="67"/>
      <c r="AT2570" s="68"/>
      <c r="AU2570" s="49"/>
      <c r="AV2570" s="50"/>
    </row>
    <row r="2571" spans="1:48" ht="12.75" customHeight="1" x14ac:dyDescent="0.25">
      <c r="A2571" s="72" t="s">
        <v>20</v>
      </c>
      <c r="B2571" s="43" t="s">
        <v>2240</v>
      </c>
      <c r="C2571" s="44" t="s">
        <v>2729</v>
      </c>
      <c r="D2571" s="45">
        <f>MROUND(MID($C2571,6,3)/Basis!$E$3,0.5)</f>
        <v>27.5</v>
      </c>
      <c r="E2571" s="45">
        <f>MROUND(MID($C2571,9,3)/Basis!$E$3,0.5)</f>
        <v>15.5</v>
      </c>
      <c r="F2571" s="124" t="s">
        <v>2944</v>
      </c>
      <c r="G2571" s="45">
        <f>ROUND((ROUNDDOWN($F2571/5,0)*5+1.8)/Basis!$E$3,1)</f>
        <v>6.6</v>
      </c>
      <c r="H2571" s="120">
        <f>ROUND($P2571*Basis!$E$2*((TaH-TrH)/LN(1/µ)/Basis!$E$7)^$N2571*$AA$4*Glycol,0)</f>
        <v>1724</v>
      </c>
      <c r="I2571" s="83">
        <f>ROUND(H2571/(MID($C2571,9,3)/Basis!$E$3/Basis!$E$9)*Basis!$E$11,0)</f>
        <v>1314</v>
      </c>
      <c r="J2571" s="123">
        <f>IF(Basis!$E$1=1,ROUND(H2571/((TaH-TrH)*1.163)/3600,3),ROUND(H2571/(500*(TaH-TrH)),2))</f>
        <v>0.17</v>
      </c>
      <c r="K2571" s="84"/>
      <c r="L2571" s="177">
        <f>CHOOSE(Basis!$E$1,((AJ2571*(J2571*3600/Basis!$E$5)^AK2571*(((MID(C2571,9,3)*10)-144)/1000)*AL2571+AM2571*(J2571*3600/Basis!$E$5)^2)*0.0098)/Basis!$E$10,((AJ2571*(J2571/Basis!$E$5)^AK2571*(((MID(C2571,9,3)*10)-144)/1000)*AL2571+AM2571*(J2571/Basis!$E$5)^2)*0.0098)/Basis!$E$10)</f>
        <v>2.4408707814343716E-3</v>
      </c>
      <c r="M2571" s="85"/>
      <c r="N2571" s="110">
        <v>1.35</v>
      </c>
      <c r="O2571" s="74"/>
      <c r="P2571" s="73">
        <v>789</v>
      </c>
      <c r="Q2571" s="74"/>
      <c r="R2571" s="75"/>
      <c r="S2571" s="75"/>
      <c r="T2571" s="75"/>
      <c r="U2571" s="75"/>
      <c r="V2571" s="75"/>
      <c r="W2571" s="74"/>
      <c r="X2571" s="76"/>
      <c r="Y2571" s="76"/>
      <c r="Z2571" s="76"/>
      <c r="AA2571" s="76"/>
      <c r="AB2571" s="76"/>
      <c r="AC2571" s="74"/>
      <c r="AD2571" s="77"/>
      <c r="AE2571" s="77"/>
      <c r="AF2571" s="77"/>
      <c r="AG2571" s="77"/>
      <c r="AH2571" s="77"/>
      <c r="AI2571" s="68"/>
      <c r="AJ2571" s="213">
        <v>2.0829999999999999E-4</v>
      </c>
      <c r="AK2571" s="213">
        <v>1.724</v>
      </c>
      <c r="AL2571" s="213">
        <v>2</v>
      </c>
      <c r="AM2571" s="213">
        <v>4.6182900000000003E-4</v>
      </c>
      <c r="AN2571" s="74"/>
      <c r="AO2571" s="73"/>
      <c r="AP2571" s="73"/>
      <c r="AQ2571" s="73"/>
      <c r="AR2571" s="73"/>
      <c r="AS2571" s="73"/>
      <c r="AT2571" s="74"/>
      <c r="AU2571" s="47"/>
      <c r="AV2571" s="48"/>
    </row>
    <row r="2572" spans="1:48" ht="12.75" customHeight="1" x14ac:dyDescent="0.25">
      <c r="A2572" s="72" t="s">
        <v>20</v>
      </c>
      <c r="B2572" s="43" t="s">
        <v>2240</v>
      </c>
      <c r="C2572" s="44" t="s">
        <v>2730</v>
      </c>
      <c r="D2572" s="45">
        <f>MROUND(MID($C2572,6,3)/Basis!$E$3,0.5)</f>
        <v>27.5</v>
      </c>
      <c r="E2572" s="45">
        <f>MROUND(MID($C2572,9,3)/Basis!$E$3,0.5)</f>
        <v>15.5</v>
      </c>
      <c r="F2572" s="124" t="s">
        <v>2947</v>
      </c>
      <c r="G2572" s="45">
        <f>ROUND((ROUNDDOWN($F2572/5,0)*5+1.8)/Basis!$E$3,1)</f>
        <v>6.6</v>
      </c>
      <c r="H2572" s="120">
        <f>ROUND($P2572*Basis!$E$2*((TaH-TrH)/LN(1/µ)/Basis!$E$7)^$N2572*$AA$4*Glycol,0)</f>
        <v>1898</v>
      </c>
      <c r="I2572" s="83">
        <f>ROUND(H2572/(MID($C2572,9,3)/Basis!$E$3/Basis!$E$9)*Basis!$E$11,0)</f>
        <v>1446</v>
      </c>
      <c r="J2572" s="123">
        <f>IF(Basis!$E$1=1,ROUND(H2572/((TaH-TrH)*1.163)/3600,3),ROUND(H2572/(500*(TaH-TrH)),2))</f>
        <v>0.19</v>
      </c>
      <c r="K2572" s="84"/>
      <c r="L2572" s="177">
        <f>CHOOSE(Basis!$E$1,((AJ2572*(J2572*3600/Basis!$E$5)^AK2572*(((MID(C2572,9,3)*10)-144)/1000)*AL2572+AM2572*(J2572*3600/Basis!$E$5)^2)*0.0098)/Basis!$E$10,((AJ2572*(J2572/Basis!$E$5)^AK2572*(((MID(C2572,9,3)*10)-144)/1000)*AL2572+AM2572*(J2572/Basis!$E$5)^2)*0.0098)/Basis!$E$10)</f>
        <v>8.9402057270046124E-3</v>
      </c>
      <c r="M2572" s="85"/>
      <c r="N2572" s="109">
        <v>1.472</v>
      </c>
      <c r="O2572" s="68"/>
      <c r="P2572" s="67">
        <v>904</v>
      </c>
      <c r="Q2572" s="68"/>
      <c r="R2572" s="69"/>
      <c r="S2572" s="69"/>
      <c r="T2572" s="69"/>
      <c r="U2572" s="69"/>
      <c r="V2572" s="69"/>
      <c r="W2572" s="68"/>
      <c r="X2572" s="70"/>
      <c r="Y2572" s="70"/>
      <c r="Z2572" s="70"/>
      <c r="AA2572" s="70"/>
      <c r="AB2572" s="70"/>
      <c r="AC2572" s="68"/>
      <c r="AD2572" s="71"/>
      <c r="AE2572" s="71"/>
      <c r="AF2572" s="71"/>
      <c r="AG2572" s="71"/>
      <c r="AH2572" s="71"/>
      <c r="AI2572" s="68"/>
      <c r="AJ2572" s="214">
        <v>2.0829999999999999E-4</v>
      </c>
      <c r="AK2572" s="214">
        <v>1.724</v>
      </c>
      <c r="AL2572" s="214">
        <v>4</v>
      </c>
      <c r="AM2572" s="214">
        <v>1.392796E-3</v>
      </c>
      <c r="AN2572" s="68"/>
      <c r="AO2572" s="67"/>
      <c r="AP2572" s="67"/>
      <c r="AQ2572" s="67"/>
      <c r="AR2572" s="67"/>
      <c r="AS2572" s="67"/>
      <c r="AT2572" s="68"/>
      <c r="AU2572" s="49"/>
      <c r="AV2572" s="50"/>
    </row>
    <row r="2573" spans="1:48" ht="12.75" customHeight="1" x14ac:dyDescent="0.25">
      <c r="A2573" s="72" t="s">
        <v>20</v>
      </c>
      <c r="B2573" s="43" t="s">
        <v>2240</v>
      </c>
      <c r="C2573" s="44" t="s">
        <v>2731</v>
      </c>
      <c r="D2573" s="45">
        <f>MROUND(MID($C2573,6,3)/Basis!$E$3,0.5)</f>
        <v>27.5</v>
      </c>
      <c r="E2573" s="45">
        <f>MROUND(MID($C2573,9,3)/Basis!$E$3,0.5)</f>
        <v>15.5</v>
      </c>
      <c r="F2573" s="124" t="s">
        <v>2945</v>
      </c>
      <c r="G2573" s="45">
        <f>ROUND((ROUNDDOWN($F2573/5,0)*5+1.8)/Basis!$E$3,1)</f>
        <v>8.6</v>
      </c>
      <c r="H2573" s="120">
        <f>ROUND($P2573*Basis!$E$2*((TaH-TrH)/LN(1/µ)/Basis!$E$7)^$N2573*$AA$4*Glycol,0)</f>
        <v>2407</v>
      </c>
      <c r="I2573" s="83">
        <f>ROUND(H2573/(MID($C2573,9,3)/Basis!$E$3/Basis!$E$9)*Basis!$E$11,0)</f>
        <v>1834</v>
      </c>
      <c r="J2573" s="123">
        <f>IF(Basis!$E$1=1,ROUND(H2573/((TaH-TrH)*1.163)/3600,3),ROUND(H2573/(500*(TaH-TrH)),2))</f>
        <v>0.24</v>
      </c>
      <c r="K2573" s="84"/>
      <c r="L2573" s="177">
        <f>CHOOSE(Basis!$E$1,((AJ2573*(J2573*3600/Basis!$E$5)^AK2573*(((MID(C2573,9,3)*10)-144)/1000)*AL2573+AM2573*(J2573*3600/Basis!$E$5)^2)*0.0098)/Basis!$E$10,((AJ2573*(J2573/Basis!$E$5)^AK2573*(((MID(C2573,9,3)*10)-144)/1000)*AL2573+AM2573*(J2573/Basis!$E$5)^2)*0.0098)/Basis!$E$10)</f>
        <v>3.8676957668735278E-3</v>
      </c>
      <c r="M2573" s="85"/>
      <c r="N2573" s="110">
        <v>1.349</v>
      </c>
      <c r="O2573" s="74"/>
      <c r="P2573" s="73">
        <v>1101</v>
      </c>
      <c r="Q2573" s="74"/>
      <c r="R2573" s="75"/>
      <c r="S2573" s="75"/>
      <c r="T2573" s="75"/>
      <c r="U2573" s="75"/>
      <c r="V2573" s="75"/>
      <c r="W2573" s="74"/>
      <c r="X2573" s="76"/>
      <c r="Y2573" s="76"/>
      <c r="Z2573" s="76"/>
      <c r="AA2573" s="76"/>
      <c r="AB2573" s="76"/>
      <c r="AC2573" s="74"/>
      <c r="AD2573" s="77"/>
      <c r="AE2573" s="77"/>
      <c r="AF2573" s="77"/>
      <c r="AG2573" s="77"/>
      <c r="AH2573" s="77"/>
      <c r="AI2573" s="68"/>
      <c r="AJ2573" s="214">
        <v>1.2760000000000001E-4</v>
      </c>
      <c r="AK2573" s="214">
        <v>1.7219</v>
      </c>
      <c r="AL2573" s="214">
        <v>2</v>
      </c>
      <c r="AM2573" s="214">
        <v>3.76611E-4</v>
      </c>
      <c r="AN2573" s="74"/>
      <c r="AO2573" s="73"/>
      <c r="AP2573" s="73"/>
      <c r="AQ2573" s="73"/>
      <c r="AR2573" s="73"/>
      <c r="AS2573" s="73"/>
      <c r="AT2573" s="74"/>
      <c r="AU2573" s="47"/>
      <c r="AV2573" s="48"/>
    </row>
    <row r="2574" spans="1:48" ht="12.75" customHeight="1" x14ac:dyDescent="0.25">
      <c r="A2574" s="72" t="s">
        <v>20</v>
      </c>
      <c r="B2574" s="43" t="s">
        <v>2240</v>
      </c>
      <c r="C2574" s="44" t="s">
        <v>2732</v>
      </c>
      <c r="D2574" s="45">
        <f>MROUND(MID($C2574,6,3)/Basis!$E$3,0.5)</f>
        <v>27.5</v>
      </c>
      <c r="E2574" s="45">
        <f>MROUND(MID($C2574,9,3)/Basis!$E$3,0.5)</f>
        <v>15.5</v>
      </c>
      <c r="F2574" s="124" t="s">
        <v>2948</v>
      </c>
      <c r="G2574" s="45">
        <f>ROUND((ROUNDDOWN($F2574/5,0)*5+1.8)/Basis!$E$3,1)</f>
        <v>8.6</v>
      </c>
      <c r="H2574" s="120">
        <f>ROUND($P2574*Basis!$E$2*((TaH-TrH)/LN(1/µ)/Basis!$E$7)^$N2574*$AA$4*Glycol,0)</f>
        <v>2643</v>
      </c>
      <c r="I2574" s="83">
        <f>ROUND(H2574/(MID($C2574,9,3)/Basis!$E$3/Basis!$E$9)*Basis!$E$11,0)</f>
        <v>2014</v>
      </c>
      <c r="J2574" s="123">
        <f>IF(Basis!$E$1=1,ROUND(H2574/((TaH-TrH)*1.163)/3600,3),ROUND(H2574/(500*(TaH-TrH)),2))</f>
        <v>0.26</v>
      </c>
      <c r="K2574" s="84"/>
      <c r="L2574" s="177">
        <f>CHOOSE(Basis!$E$1,((AJ2574*(J2574*3600/Basis!$E$5)^AK2574*(((MID(C2574,9,3)*10)-144)/1000)*AL2574+AM2574*(J2574*3600/Basis!$E$5)^2)*0.0098)/Basis!$E$10,((AJ2574*(J2574/Basis!$E$5)^AK2574*(((MID(C2574,9,3)*10)-144)/1000)*AL2574+AM2574*(J2574/Basis!$E$5)^2)*0.0098)/Basis!$E$10)</f>
        <v>6.3422137568348155E-3</v>
      </c>
      <c r="M2574" s="85"/>
      <c r="N2574" s="109">
        <v>1.5009999999999999</v>
      </c>
      <c r="O2574" s="68"/>
      <c r="P2574" s="67">
        <v>1271</v>
      </c>
      <c r="Q2574" s="68"/>
      <c r="R2574" s="69"/>
      <c r="S2574" s="69"/>
      <c r="T2574" s="69"/>
      <c r="U2574" s="69"/>
      <c r="V2574" s="69"/>
      <c r="W2574" s="68"/>
      <c r="X2574" s="70"/>
      <c r="Y2574" s="70"/>
      <c r="Z2574" s="70"/>
      <c r="AA2574" s="70"/>
      <c r="AB2574" s="70"/>
      <c r="AC2574" s="68"/>
      <c r="AD2574" s="71"/>
      <c r="AE2574" s="71"/>
      <c r="AF2574" s="71"/>
      <c r="AG2574" s="71"/>
      <c r="AH2574" s="71"/>
      <c r="AI2574" s="68"/>
      <c r="AJ2574" s="214">
        <v>1.2760000000000001E-4</v>
      </c>
      <c r="AK2574" s="214">
        <v>1.7219</v>
      </c>
      <c r="AL2574" s="214">
        <v>4</v>
      </c>
      <c r="AM2574" s="214">
        <v>5.1420100000000005E-4</v>
      </c>
      <c r="AN2574" s="68"/>
      <c r="AO2574" s="67"/>
      <c r="AP2574" s="67"/>
      <c r="AQ2574" s="67"/>
      <c r="AR2574" s="67"/>
      <c r="AS2574" s="67"/>
      <c r="AT2574" s="68"/>
      <c r="AU2574" s="49"/>
      <c r="AV2574" s="50"/>
    </row>
    <row r="2575" spans="1:48" ht="12.75" customHeight="1" x14ac:dyDescent="0.25">
      <c r="A2575" s="72" t="s">
        <v>20</v>
      </c>
      <c r="B2575" s="43" t="s">
        <v>2240</v>
      </c>
      <c r="C2575" s="44" t="s">
        <v>2733</v>
      </c>
      <c r="D2575" s="45">
        <f>MROUND(MID($C2575,6,3)/Basis!$E$3,0.5)</f>
        <v>27.5</v>
      </c>
      <c r="E2575" s="45">
        <f>MROUND(MID($C2575,9,3)/Basis!$E$3,0.5)</f>
        <v>19.5</v>
      </c>
      <c r="F2575" s="124" t="s">
        <v>2943</v>
      </c>
      <c r="G2575" s="45">
        <f>ROUND((ROUNDDOWN($F2575/5,0)*5+1.8)/Basis!$E$3,1)</f>
        <v>4.5999999999999996</v>
      </c>
      <c r="H2575" s="120">
        <f>ROUND($P2575*Basis!$E$2*((TaH-TrH)/LN(1/µ)/Basis!$E$7)^$N2575*$AA$4*Glycol,0)</f>
        <v>1356</v>
      </c>
      <c r="I2575" s="83">
        <f>ROUND(H2575/(MID($C2575,9,3)/Basis!$E$3/Basis!$E$9)*Basis!$E$11,0)</f>
        <v>827</v>
      </c>
      <c r="J2575" s="123">
        <f>IF(Basis!$E$1=1,ROUND(H2575/((TaH-TrH)*1.163)/3600,3),ROUND(H2575/(500*(TaH-TrH)),2))</f>
        <v>0.14000000000000001</v>
      </c>
      <c r="K2575" s="84"/>
      <c r="L2575" s="177">
        <f>CHOOSE(Basis!$E$1,((AJ2575*(J2575*3600/Basis!$E$5)^AK2575*(((MID(C2575,9,3)*10)-144)/1000)*AL2575+AM2575*(J2575*3600/Basis!$E$5)^2)*0.0098)/Basis!$E$10,((AJ2575*(J2575/Basis!$E$5)^AK2575*(((MID(C2575,9,3)*10)-144)/1000)*AL2575+AM2575*(J2575/Basis!$E$5)^2)*0.0098)/Basis!$E$10)</f>
        <v>1.5874372375801881E-3</v>
      </c>
      <c r="M2575" s="85"/>
      <c r="N2575" s="110">
        <v>1.3660000000000001</v>
      </c>
      <c r="O2575" s="74"/>
      <c r="P2575" s="73">
        <v>624</v>
      </c>
      <c r="Q2575" s="74"/>
      <c r="R2575" s="75"/>
      <c r="S2575" s="75"/>
      <c r="T2575" s="75"/>
      <c r="U2575" s="75"/>
      <c r="V2575" s="75"/>
      <c r="W2575" s="74"/>
      <c r="X2575" s="76"/>
      <c r="Y2575" s="76"/>
      <c r="Z2575" s="76"/>
      <c r="AA2575" s="76"/>
      <c r="AB2575" s="76"/>
      <c r="AC2575" s="74"/>
      <c r="AD2575" s="77"/>
      <c r="AE2575" s="77"/>
      <c r="AF2575" s="77"/>
      <c r="AG2575" s="77"/>
      <c r="AH2575" s="77"/>
      <c r="AI2575" s="68"/>
      <c r="AJ2575" s="213">
        <v>3.9689999999999994E-4</v>
      </c>
      <c r="AK2575" s="213">
        <v>1.7345999999999999</v>
      </c>
      <c r="AL2575" s="213">
        <v>2</v>
      </c>
      <c r="AM2575" s="213">
        <v>3.6734700000000002E-4</v>
      </c>
      <c r="AN2575" s="74"/>
      <c r="AO2575" s="73"/>
      <c r="AP2575" s="73"/>
      <c r="AQ2575" s="73"/>
      <c r="AR2575" s="73"/>
      <c r="AS2575" s="73"/>
      <c r="AT2575" s="74"/>
      <c r="AU2575" s="47"/>
      <c r="AV2575" s="48"/>
    </row>
    <row r="2576" spans="1:48" ht="12.75" customHeight="1" x14ac:dyDescent="0.25">
      <c r="A2576" s="72" t="s">
        <v>20</v>
      </c>
      <c r="B2576" s="43" t="s">
        <v>2240</v>
      </c>
      <c r="C2576" s="44" t="s">
        <v>2734</v>
      </c>
      <c r="D2576" s="45">
        <f>MROUND(MID($C2576,6,3)/Basis!$E$3,0.5)</f>
        <v>27.5</v>
      </c>
      <c r="E2576" s="45">
        <f>MROUND(MID($C2576,9,3)/Basis!$E$3,0.5)</f>
        <v>19.5</v>
      </c>
      <c r="F2576" s="124" t="s">
        <v>2946</v>
      </c>
      <c r="G2576" s="45">
        <f>ROUND((ROUNDDOWN($F2576/5,0)*5+1.8)/Basis!$E$3,1)</f>
        <v>4.5999999999999996</v>
      </c>
      <c r="H2576" s="120">
        <f>ROUND($P2576*Basis!$E$2*((TaH-TrH)/LN(1/µ)/Basis!$E$7)^$N2576*$AA$4*Glycol,0)</f>
        <v>1689</v>
      </c>
      <c r="I2576" s="83">
        <f>ROUND(H2576/(MID($C2576,9,3)/Basis!$E$3/Basis!$E$9)*Basis!$E$11,0)</f>
        <v>1030</v>
      </c>
      <c r="J2576" s="123">
        <f>IF(Basis!$E$1=1,ROUND(H2576/((TaH-TrH)*1.163)/3600,3),ROUND(H2576/(500*(TaH-TrH)),2))</f>
        <v>0.17</v>
      </c>
      <c r="K2576" s="84"/>
      <c r="L2576" s="177">
        <f>CHOOSE(Basis!$E$1,((AJ2576*(J2576*3600/Basis!$E$5)^AK2576*(((MID(C2576,9,3)*10)-144)/1000)*AL2576+AM2576*(J2576*3600/Basis!$E$5)^2)*0.0098)/Basis!$E$10,((AJ2576*(J2576/Basis!$E$5)^AK2576*(((MID(C2576,9,3)*10)-144)/1000)*AL2576+AM2576*(J2576/Basis!$E$5)^2)*0.0098)/Basis!$E$10)</f>
        <v>3.8441640251661779E-3</v>
      </c>
      <c r="M2576" s="85"/>
      <c r="N2576" s="109">
        <v>1.4359999999999999</v>
      </c>
      <c r="O2576" s="68"/>
      <c r="P2576" s="67">
        <v>795</v>
      </c>
      <c r="Q2576" s="68"/>
      <c r="R2576" s="69"/>
      <c r="S2576" s="69"/>
      <c r="T2576" s="69"/>
      <c r="U2576" s="69"/>
      <c r="V2576" s="69"/>
      <c r="W2576" s="68"/>
      <c r="X2576" s="70"/>
      <c r="Y2576" s="70"/>
      <c r="Z2576" s="70"/>
      <c r="AA2576" s="70"/>
      <c r="AB2576" s="70"/>
      <c r="AC2576" s="68"/>
      <c r="AD2576" s="71"/>
      <c r="AE2576" s="71"/>
      <c r="AF2576" s="71"/>
      <c r="AG2576" s="71"/>
      <c r="AH2576" s="71"/>
      <c r="AI2576" s="68"/>
      <c r="AJ2576" s="214">
        <v>3.9689999999999994E-4</v>
      </c>
      <c r="AK2576" s="214">
        <v>1.7345999999999999</v>
      </c>
      <c r="AL2576" s="214">
        <v>4</v>
      </c>
      <c r="AM2576" s="214">
        <v>5.7428799999999995E-4</v>
      </c>
      <c r="AN2576" s="68"/>
      <c r="AO2576" s="67"/>
      <c r="AP2576" s="67"/>
      <c r="AQ2576" s="67"/>
      <c r="AR2576" s="67"/>
      <c r="AS2576" s="67"/>
      <c r="AT2576" s="68"/>
      <c r="AU2576" s="49"/>
      <c r="AV2576" s="50"/>
    </row>
    <row r="2577" spans="1:48" ht="12.75" customHeight="1" x14ac:dyDescent="0.25">
      <c r="A2577" s="72" t="s">
        <v>20</v>
      </c>
      <c r="B2577" s="43" t="s">
        <v>2240</v>
      </c>
      <c r="C2577" s="44" t="s">
        <v>2735</v>
      </c>
      <c r="D2577" s="45">
        <f>MROUND(MID($C2577,6,3)/Basis!$E$3,0.5)</f>
        <v>27.5</v>
      </c>
      <c r="E2577" s="45">
        <f>MROUND(MID($C2577,9,3)/Basis!$E$3,0.5)</f>
        <v>19.5</v>
      </c>
      <c r="F2577" s="124" t="s">
        <v>2944</v>
      </c>
      <c r="G2577" s="45">
        <f>ROUND((ROUNDDOWN($F2577/5,0)*5+1.8)/Basis!$E$3,1)</f>
        <v>6.6</v>
      </c>
      <c r="H2577" s="120">
        <f>ROUND($P2577*Basis!$E$2*((TaH-TrH)/LN(1/µ)/Basis!$E$7)^$N2577*$AA$4*Glycol,0)</f>
        <v>2155</v>
      </c>
      <c r="I2577" s="83">
        <f>ROUND(H2577/(MID($C2577,9,3)/Basis!$E$3/Basis!$E$9)*Basis!$E$11,0)</f>
        <v>1314</v>
      </c>
      <c r="J2577" s="123">
        <f>IF(Basis!$E$1=1,ROUND(H2577/((TaH-TrH)*1.163)/3600,3),ROUND(H2577/(500*(TaH-TrH)),2))</f>
        <v>0.22</v>
      </c>
      <c r="K2577" s="84"/>
      <c r="L2577" s="177">
        <f>CHOOSE(Basis!$E$1,((AJ2577*(J2577*3600/Basis!$E$5)^AK2577*(((MID(C2577,9,3)*10)-144)/1000)*AL2577+AM2577*(J2577*3600/Basis!$E$5)^2)*0.0098)/Basis!$E$10,((AJ2577*(J2577/Basis!$E$5)^AK2577*(((MID(C2577,9,3)*10)-144)/1000)*AL2577+AM2577*(J2577/Basis!$E$5)^2)*0.0098)/Basis!$E$10)</f>
        <v>4.1815578193225298E-3</v>
      </c>
      <c r="M2577" s="85"/>
      <c r="N2577" s="110">
        <v>1.35</v>
      </c>
      <c r="O2577" s="74"/>
      <c r="P2577" s="73">
        <v>986</v>
      </c>
      <c r="Q2577" s="74"/>
      <c r="R2577" s="75"/>
      <c r="S2577" s="75"/>
      <c r="T2577" s="75"/>
      <c r="U2577" s="75"/>
      <c r="V2577" s="75"/>
      <c r="W2577" s="74"/>
      <c r="X2577" s="76"/>
      <c r="Y2577" s="76"/>
      <c r="Z2577" s="76"/>
      <c r="AA2577" s="76"/>
      <c r="AB2577" s="76"/>
      <c r="AC2577" s="74"/>
      <c r="AD2577" s="77"/>
      <c r="AE2577" s="77"/>
      <c r="AF2577" s="77"/>
      <c r="AG2577" s="77"/>
      <c r="AH2577" s="77"/>
      <c r="AI2577" s="68"/>
      <c r="AJ2577" s="213">
        <v>2.0829999999999999E-4</v>
      </c>
      <c r="AK2577" s="213">
        <v>1.724</v>
      </c>
      <c r="AL2577" s="213">
        <v>2</v>
      </c>
      <c r="AM2577" s="213">
        <v>4.6182900000000003E-4</v>
      </c>
      <c r="AN2577" s="74"/>
      <c r="AO2577" s="73"/>
      <c r="AP2577" s="73"/>
      <c r="AQ2577" s="73"/>
      <c r="AR2577" s="73"/>
      <c r="AS2577" s="73"/>
      <c r="AT2577" s="74"/>
      <c r="AU2577" s="47"/>
      <c r="AV2577" s="48"/>
    </row>
    <row r="2578" spans="1:48" ht="12.75" customHeight="1" x14ac:dyDescent="0.25">
      <c r="A2578" s="72" t="s">
        <v>20</v>
      </c>
      <c r="B2578" s="43" t="s">
        <v>2240</v>
      </c>
      <c r="C2578" s="44" t="s">
        <v>2736</v>
      </c>
      <c r="D2578" s="45">
        <f>MROUND(MID($C2578,6,3)/Basis!$E$3,0.5)</f>
        <v>27.5</v>
      </c>
      <c r="E2578" s="45">
        <f>MROUND(MID($C2578,9,3)/Basis!$E$3,0.5)</f>
        <v>19.5</v>
      </c>
      <c r="F2578" s="124" t="s">
        <v>2947</v>
      </c>
      <c r="G2578" s="45">
        <f>ROUND((ROUNDDOWN($F2578/5,0)*5+1.8)/Basis!$E$3,1)</f>
        <v>6.6</v>
      </c>
      <c r="H2578" s="120">
        <f>ROUND($P2578*Basis!$E$2*((TaH-TrH)/LN(1/µ)/Basis!$E$7)^$N2578*$AA$4*Glycol,0)</f>
        <v>2372</v>
      </c>
      <c r="I2578" s="83">
        <f>ROUND(H2578/(MID($C2578,9,3)/Basis!$E$3/Basis!$E$9)*Basis!$E$11,0)</f>
        <v>1446</v>
      </c>
      <c r="J2578" s="123">
        <f>IF(Basis!$E$1=1,ROUND(H2578/((TaH-TrH)*1.163)/3600,3),ROUND(H2578/(500*(TaH-TrH)),2))</f>
        <v>0.24</v>
      </c>
      <c r="K2578" s="84"/>
      <c r="L2578" s="177">
        <f>CHOOSE(Basis!$E$1,((AJ2578*(J2578*3600/Basis!$E$5)^AK2578*(((MID(C2578,9,3)*10)-144)/1000)*AL2578+AM2578*(J2578*3600/Basis!$E$5)^2)*0.0098)/Basis!$E$10,((AJ2578*(J2578/Basis!$E$5)^AK2578*(((MID(C2578,9,3)*10)-144)/1000)*AL2578+AM2578*(J2578/Basis!$E$5)^2)*0.0098)/Basis!$E$10)</f>
        <v>1.4487426471002297E-2</v>
      </c>
      <c r="M2578" s="85"/>
      <c r="N2578" s="109">
        <v>1.472</v>
      </c>
      <c r="O2578" s="68"/>
      <c r="P2578" s="67">
        <v>1130</v>
      </c>
      <c r="Q2578" s="68"/>
      <c r="R2578" s="69"/>
      <c r="S2578" s="69"/>
      <c r="T2578" s="69"/>
      <c r="U2578" s="69"/>
      <c r="V2578" s="69"/>
      <c r="W2578" s="68"/>
      <c r="X2578" s="70"/>
      <c r="Y2578" s="70"/>
      <c r="Z2578" s="70"/>
      <c r="AA2578" s="70"/>
      <c r="AB2578" s="70"/>
      <c r="AC2578" s="68"/>
      <c r="AD2578" s="71"/>
      <c r="AE2578" s="71"/>
      <c r="AF2578" s="71"/>
      <c r="AG2578" s="71"/>
      <c r="AH2578" s="71"/>
      <c r="AI2578" s="68"/>
      <c r="AJ2578" s="214">
        <v>2.0829999999999999E-4</v>
      </c>
      <c r="AK2578" s="214">
        <v>1.724</v>
      </c>
      <c r="AL2578" s="214">
        <v>4</v>
      </c>
      <c r="AM2578" s="214">
        <v>1.392796E-3</v>
      </c>
      <c r="AN2578" s="68"/>
      <c r="AO2578" s="67"/>
      <c r="AP2578" s="67"/>
      <c r="AQ2578" s="67"/>
      <c r="AR2578" s="67"/>
      <c r="AS2578" s="67"/>
      <c r="AT2578" s="68"/>
      <c r="AU2578" s="49"/>
      <c r="AV2578" s="50"/>
    </row>
    <row r="2579" spans="1:48" ht="12.75" customHeight="1" x14ac:dyDescent="0.25">
      <c r="A2579" s="72" t="s">
        <v>20</v>
      </c>
      <c r="B2579" s="43" t="s">
        <v>2240</v>
      </c>
      <c r="C2579" s="44" t="s">
        <v>2737</v>
      </c>
      <c r="D2579" s="45">
        <f>MROUND(MID($C2579,6,3)/Basis!$E$3,0.5)</f>
        <v>27.5</v>
      </c>
      <c r="E2579" s="45">
        <f>MROUND(MID($C2579,9,3)/Basis!$E$3,0.5)</f>
        <v>19.5</v>
      </c>
      <c r="F2579" s="124" t="s">
        <v>2945</v>
      </c>
      <c r="G2579" s="45">
        <f>ROUND((ROUNDDOWN($F2579/5,0)*5+1.8)/Basis!$E$3,1)</f>
        <v>8.6</v>
      </c>
      <c r="H2579" s="120">
        <f>ROUND($P2579*Basis!$E$2*((TaH-TrH)/LN(1/µ)/Basis!$E$7)^$N2579*$AA$4*Glycol,0)</f>
        <v>3010</v>
      </c>
      <c r="I2579" s="83">
        <f>ROUND(H2579/(MID($C2579,9,3)/Basis!$E$3/Basis!$E$9)*Basis!$E$11,0)</f>
        <v>1835</v>
      </c>
      <c r="J2579" s="123">
        <f>IF(Basis!$E$1=1,ROUND(H2579/((TaH-TrH)*1.163)/3600,3),ROUND(H2579/(500*(TaH-TrH)),2))</f>
        <v>0.3</v>
      </c>
      <c r="K2579" s="84"/>
      <c r="L2579" s="177">
        <f>CHOOSE(Basis!$E$1,((AJ2579*(J2579*3600/Basis!$E$5)^AK2579*(((MID(C2579,9,3)*10)-144)/1000)*AL2579+AM2579*(J2579*3600/Basis!$E$5)^2)*0.0098)/Basis!$E$10,((AJ2579*(J2579/Basis!$E$5)^AK2579*(((MID(C2579,9,3)*10)-144)/1000)*AL2579+AM2579*(J2579/Basis!$E$5)^2)*0.0098)/Basis!$E$10)</f>
        <v>6.1434036964823115E-3</v>
      </c>
      <c r="M2579" s="85"/>
      <c r="N2579" s="110">
        <v>1.349</v>
      </c>
      <c r="O2579" s="74"/>
      <c r="P2579" s="73">
        <v>1377</v>
      </c>
      <c r="Q2579" s="74"/>
      <c r="R2579" s="75"/>
      <c r="S2579" s="75"/>
      <c r="T2579" s="75"/>
      <c r="U2579" s="75"/>
      <c r="V2579" s="75"/>
      <c r="W2579" s="74"/>
      <c r="X2579" s="76"/>
      <c r="Y2579" s="76"/>
      <c r="Z2579" s="76"/>
      <c r="AA2579" s="76"/>
      <c r="AB2579" s="76"/>
      <c r="AC2579" s="74"/>
      <c r="AD2579" s="77"/>
      <c r="AE2579" s="77"/>
      <c r="AF2579" s="77"/>
      <c r="AG2579" s="77"/>
      <c r="AH2579" s="77"/>
      <c r="AI2579" s="68"/>
      <c r="AJ2579" s="214">
        <v>1.2760000000000001E-4</v>
      </c>
      <c r="AK2579" s="214">
        <v>1.7219</v>
      </c>
      <c r="AL2579" s="214">
        <v>2</v>
      </c>
      <c r="AM2579" s="214">
        <v>3.76611E-4</v>
      </c>
      <c r="AN2579" s="74"/>
      <c r="AO2579" s="73"/>
      <c r="AP2579" s="73"/>
      <c r="AQ2579" s="73"/>
      <c r="AR2579" s="73"/>
      <c r="AS2579" s="73"/>
      <c r="AT2579" s="74"/>
      <c r="AU2579" s="47"/>
      <c r="AV2579" s="48"/>
    </row>
    <row r="2580" spans="1:48" ht="12.75" customHeight="1" x14ac:dyDescent="0.25">
      <c r="A2580" s="72" t="s">
        <v>20</v>
      </c>
      <c r="B2580" s="43" t="s">
        <v>2240</v>
      </c>
      <c r="C2580" s="44" t="s">
        <v>2738</v>
      </c>
      <c r="D2580" s="45">
        <f>MROUND(MID($C2580,6,3)/Basis!$E$3,0.5)</f>
        <v>27.5</v>
      </c>
      <c r="E2580" s="45">
        <f>MROUND(MID($C2580,9,3)/Basis!$E$3,0.5)</f>
        <v>19.5</v>
      </c>
      <c r="F2580" s="124" t="s">
        <v>2948</v>
      </c>
      <c r="G2580" s="45">
        <f>ROUND((ROUNDDOWN($F2580/5,0)*5+1.8)/Basis!$E$3,1)</f>
        <v>8.6</v>
      </c>
      <c r="H2580" s="120">
        <f>ROUND($P2580*Basis!$E$2*((TaH-TrH)/LN(1/µ)/Basis!$E$7)^$N2580*$AA$4*Glycol,0)</f>
        <v>3304</v>
      </c>
      <c r="I2580" s="83">
        <f>ROUND(H2580/(MID($C2580,9,3)/Basis!$E$3/Basis!$E$9)*Basis!$E$11,0)</f>
        <v>2014</v>
      </c>
      <c r="J2580" s="123">
        <f>IF(Basis!$E$1=1,ROUND(H2580/((TaH-TrH)*1.163)/3600,3),ROUND(H2580/(500*(TaH-TrH)),2))</f>
        <v>0.33</v>
      </c>
      <c r="K2580" s="84"/>
      <c r="L2580" s="177">
        <f>CHOOSE(Basis!$E$1,((AJ2580*(J2580*3600/Basis!$E$5)^AK2580*(((MID(C2580,9,3)*10)-144)/1000)*AL2580+AM2580*(J2580*3600/Basis!$E$5)^2)*0.0098)/Basis!$E$10,((AJ2580*(J2580/Basis!$E$5)^AK2580*(((MID(C2580,9,3)*10)-144)/1000)*AL2580+AM2580*(J2580/Basis!$E$5)^2)*0.0098)/Basis!$E$10)</f>
        <v>1.0449671601161588E-2</v>
      </c>
      <c r="M2580" s="85"/>
      <c r="N2580" s="109">
        <v>1.5009999999999999</v>
      </c>
      <c r="O2580" s="68"/>
      <c r="P2580" s="67">
        <v>1589</v>
      </c>
      <c r="Q2580" s="68"/>
      <c r="R2580" s="69"/>
      <c r="S2580" s="69"/>
      <c r="T2580" s="69"/>
      <c r="U2580" s="69"/>
      <c r="V2580" s="69"/>
      <c r="W2580" s="68"/>
      <c r="X2580" s="70"/>
      <c r="Y2580" s="70"/>
      <c r="Z2580" s="70"/>
      <c r="AA2580" s="70"/>
      <c r="AB2580" s="70"/>
      <c r="AC2580" s="68"/>
      <c r="AD2580" s="71"/>
      <c r="AE2580" s="71"/>
      <c r="AF2580" s="71"/>
      <c r="AG2580" s="71"/>
      <c r="AH2580" s="71"/>
      <c r="AI2580" s="68"/>
      <c r="AJ2580" s="214">
        <v>1.2760000000000001E-4</v>
      </c>
      <c r="AK2580" s="214">
        <v>1.7219</v>
      </c>
      <c r="AL2580" s="214">
        <v>4</v>
      </c>
      <c r="AM2580" s="214">
        <v>5.1420100000000005E-4</v>
      </c>
      <c r="AN2580" s="68"/>
      <c r="AO2580" s="67"/>
      <c r="AP2580" s="67"/>
      <c r="AQ2580" s="67"/>
      <c r="AR2580" s="67"/>
      <c r="AS2580" s="67"/>
      <c r="AT2580" s="68"/>
      <c r="AU2580" s="49"/>
      <c r="AV2580" s="50"/>
    </row>
    <row r="2581" spans="1:48" ht="12.75" customHeight="1" x14ac:dyDescent="0.25">
      <c r="A2581" s="72" t="s">
        <v>20</v>
      </c>
      <c r="B2581" s="43" t="s">
        <v>2240</v>
      </c>
      <c r="C2581" s="44" t="s">
        <v>2739</v>
      </c>
      <c r="D2581" s="45">
        <f>MROUND(MID($C2581,6,3)/Basis!$E$3,0.5)</f>
        <v>27.5</v>
      </c>
      <c r="E2581" s="45">
        <f>MROUND(MID($C2581,9,3)/Basis!$E$3,0.5)</f>
        <v>23.5</v>
      </c>
      <c r="F2581" s="124" t="s">
        <v>2943</v>
      </c>
      <c r="G2581" s="45">
        <f>ROUND((ROUNDDOWN($F2581/5,0)*5+1.8)/Basis!$E$3,1)</f>
        <v>4.5999999999999996</v>
      </c>
      <c r="H2581" s="120">
        <f>ROUND($P2581*Basis!$E$2*((TaH-TrH)/LN(1/µ)/Basis!$E$7)^$N2581*$AA$4*Glycol,0)</f>
        <v>1628</v>
      </c>
      <c r="I2581" s="83">
        <f>ROUND(H2581/(MID($C2581,9,3)/Basis!$E$3/Basis!$E$9)*Basis!$E$11,0)</f>
        <v>827</v>
      </c>
      <c r="J2581" s="123">
        <f>IF(Basis!$E$1=1,ROUND(H2581/((TaH-TrH)*1.163)/3600,3),ROUND(H2581/(500*(TaH-TrH)),2))</f>
        <v>0.16</v>
      </c>
      <c r="K2581" s="84"/>
      <c r="L2581" s="177">
        <f>CHOOSE(Basis!$E$1,((AJ2581*(J2581*3600/Basis!$E$5)^AK2581*(((MID(C2581,9,3)*10)-144)/1000)*AL2581+AM2581*(J2581*3600/Basis!$E$5)^2)*0.0098)/Basis!$E$10,((AJ2581*(J2581/Basis!$E$5)^AK2581*(((MID(C2581,9,3)*10)-144)/1000)*AL2581+AM2581*(J2581/Basis!$E$5)^2)*0.0098)/Basis!$E$10)</f>
        <v>2.1885127192364483E-3</v>
      </c>
      <c r="M2581" s="85"/>
      <c r="N2581" s="110">
        <v>1.3660000000000001</v>
      </c>
      <c r="O2581" s="74"/>
      <c r="P2581" s="73">
        <v>749</v>
      </c>
      <c r="Q2581" s="74"/>
      <c r="R2581" s="75"/>
      <c r="S2581" s="75"/>
      <c r="T2581" s="75"/>
      <c r="U2581" s="75"/>
      <c r="V2581" s="75"/>
      <c r="W2581" s="74"/>
      <c r="X2581" s="76"/>
      <c r="Y2581" s="76"/>
      <c r="Z2581" s="76"/>
      <c r="AA2581" s="76"/>
      <c r="AB2581" s="76"/>
      <c r="AC2581" s="74"/>
      <c r="AD2581" s="77"/>
      <c r="AE2581" s="77"/>
      <c r="AF2581" s="77"/>
      <c r="AG2581" s="77"/>
      <c r="AH2581" s="77"/>
      <c r="AI2581" s="68"/>
      <c r="AJ2581" s="213">
        <v>3.9689999999999994E-4</v>
      </c>
      <c r="AK2581" s="213">
        <v>1.7345999999999999</v>
      </c>
      <c r="AL2581" s="213">
        <v>2</v>
      </c>
      <c r="AM2581" s="213">
        <v>3.6734700000000002E-4</v>
      </c>
      <c r="AN2581" s="74"/>
      <c r="AO2581" s="73"/>
      <c r="AP2581" s="73"/>
      <c r="AQ2581" s="73"/>
      <c r="AR2581" s="73"/>
      <c r="AS2581" s="73"/>
      <c r="AT2581" s="74"/>
      <c r="AU2581" s="47"/>
      <c r="AV2581" s="48"/>
    </row>
    <row r="2582" spans="1:48" ht="12.75" customHeight="1" x14ac:dyDescent="0.25">
      <c r="A2582" s="72" t="s">
        <v>20</v>
      </c>
      <c r="B2582" s="43" t="s">
        <v>2240</v>
      </c>
      <c r="C2582" s="44" t="s">
        <v>2740</v>
      </c>
      <c r="D2582" s="45">
        <f>MROUND(MID($C2582,6,3)/Basis!$E$3,0.5)</f>
        <v>27.5</v>
      </c>
      <c r="E2582" s="45">
        <f>MROUND(MID($C2582,9,3)/Basis!$E$3,0.5)</f>
        <v>23.5</v>
      </c>
      <c r="F2582" s="124" t="s">
        <v>2946</v>
      </c>
      <c r="G2582" s="45">
        <f>ROUND((ROUNDDOWN($F2582/5,0)*5+1.8)/Basis!$E$3,1)</f>
        <v>4.5999999999999996</v>
      </c>
      <c r="H2582" s="120">
        <f>ROUND($P2582*Basis!$E$2*((TaH-TrH)/LN(1/µ)/Basis!$E$7)^$N2582*$AA$4*Glycol,0)</f>
        <v>2026</v>
      </c>
      <c r="I2582" s="83">
        <f>ROUND(H2582/(MID($C2582,9,3)/Basis!$E$3/Basis!$E$9)*Basis!$E$11,0)</f>
        <v>1029</v>
      </c>
      <c r="J2582" s="123">
        <f>IF(Basis!$E$1=1,ROUND(H2582/((TaH-TrH)*1.163)/3600,3),ROUND(H2582/(500*(TaH-TrH)),2))</f>
        <v>0.2</v>
      </c>
      <c r="K2582" s="84"/>
      <c r="L2582" s="177">
        <f>CHOOSE(Basis!$E$1,((AJ2582*(J2582*3600/Basis!$E$5)^AK2582*(((MID(C2582,9,3)*10)-144)/1000)*AL2582+AM2582*(J2582*3600/Basis!$E$5)^2)*0.0098)/Basis!$E$10,((AJ2582*(J2582/Basis!$E$5)^AK2582*(((MID(C2582,9,3)*10)-144)/1000)*AL2582+AM2582*(J2582/Basis!$E$5)^2)*0.0098)/Basis!$E$10)</f>
        <v>5.6486391721736603E-3</v>
      </c>
      <c r="M2582" s="85"/>
      <c r="N2582" s="109">
        <v>1.4359999999999999</v>
      </c>
      <c r="O2582" s="68"/>
      <c r="P2582" s="67">
        <v>954</v>
      </c>
      <c r="Q2582" s="68"/>
      <c r="R2582" s="69"/>
      <c r="S2582" s="69"/>
      <c r="T2582" s="69"/>
      <c r="U2582" s="69"/>
      <c r="V2582" s="69"/>
      <c r="W2582" s="68"/>
      <c r="X2582" s="70"/>
      <c r="Y2582" s="70"/>
      <c r="Z2582" s="70"/>
      <c r="AA2582" s="70"/>
      <c r="AB2582" s="70"/>
      <c r="AC2582" s="68"/>
      <c r="AD2582" s="71"/>
      <c r="AE2582" s="71"/>
      <c r="AF2582" s="71"/>
      <c r="AG2582" s="71"/>
      <c r="AH2582" s="71"/>
      <c r="AI2582" s="68"/>
      <c r="AJ2582" s="214">
        <v>3.9689999999999994E-4</v>
      </c>
      <c r="AK2582" s="214">
        <v>1.7345999999999999</v>
      </c>
      <c r="AL2582" s="214">
        <v>4</v>
      </c>
      <c r="AM2582" s="214">
        <v>5.7428799999999995E-4</v>
      </c>
      <c r="AN2582" s="68"/>
      <c r="AO2582" s="67"/>
      <c r="AP2582" s="67"/>
      <c r="AQ2582" s="67"/>
      <c r="AR2582" s="67"/>
      <c r="AS2582" s="67"/>
      <c r="AT2582" s="68"/>
      <c r="AU2582" s="49"/>
      <c r="AV2582" s="50"/>
    </row>
    <row r="2583" spans="1:48" ht="12.75" customHeight="1" x14ac:dyDescent="0.25">
      <c r="A2583" s="72" t="s">
        <v>20</v>
      </c>
      <c r="B2583" s="43" t="s">
        <v>2240</v>
      </c>
      <c r="C2583" s="44" t="s">
        <v>2741</v>
      </c>
      <c r="D2583" s="45">
        <f>MROUND(MID($C2583,6,3)/Basis!$E$3,0.5)</f>
        <v>27.5</v>
      </c>
      <c r="E2583" s="45">
        <f>MROUND(MID($C2583,9,3)/Basis!$E$3,0.5)</f>
        <v>23.5</v>
      </c>
      <c r="F2583" s="124" t="s">
        <v>2944</v>
      </c>
      <c r="G2583" s="45">
        <f>ROUND((ROUNDDOWN($F2583/5,0)*5+1.8)/Basis!$E$3,1)</f>
        <v>6.6</v>
      </c>
      <c r="H2583" s="120">
        <f>ROUND($P2583*Basis!$E$2*((TaH-TrH)/LN(1/µ)/Basis!$E$7)^$N2583*$AA$4*Glycol,0)</f>
        <v>2585</v>
      </c>
      <c r="I2583" s="83">
        <f>ROUND(H2583/(MID($C2583,9,3)/Basis!$E$3/Basis!$E$9)*Basis!$E$11,0)</f>
        <v>1313</v>
      </c>
      <c r="J2583" s="123">
        <f>IF(Basis!$E$1=1,ROUND(H2583/((TaH-TrH)*1.163)/3600,3),ROUND(H2583/(500*(TaH-TrH)),2))</f>
        <v>0.26</v>
      </c>
      <c r="K2583" s="84"/>
      <c r="L2583" s="177">
        <f>CHOOSE(Basis!$E$1,((AJ2583*(J2583*3600/Basis!$E$5)^AK2583*(((MID(C2583,9,3)*10)-144)/1000)*AL2583+AM2583*(J2583*3600/Basis!$E$5)^2)*0.0098)/Basis!$E$10,((AJ2583*(J2583/Basis!$E$5)^AK2583*(((MID(C2583,9,3)*10)-144)/1000)*AL2583+AM2583*(J2583/Basis!$E$5)^2)*0.0098)/Basis!$E$10)</f>
        <v>5.9685841332678914E-3</v>
      </c>
      <c r="M2583" s="85"/>
      <c r="N2583" s="109">
        <v>1.35</v>
      </c>
      <c r="O2583" s="68"/>
      <c r="P2583" s="67">
        <v>1183</v>
      </c>
      <c r="Q2583" s="68"/>
      <c r="R2583" s="69"/>
      <c r="S2583" s="69"/>
      <c r="T2583" s="69"/>
      <c r="U2583" s="69"/>
      <c r="V2583" s="69"/>
      <c r="W2583" s="68"/>
      <c r="X2583" s="70"/>
      <c r="Y2583" s="70"/>
      <c r="Z2583" s="70"/>
      <c r="AA2583" s="70"/>
      <c r="AB2583" s="70"/>
      <c r="AC2583" s="68"/>
      <c r="AD2583" s="71"/>
      <c r="AE2583" s="71"/>
      <c r="AF2583" s="71"/>
      <c r="AG2583" s="71"/>
      <c r="AH2583" s="71"/>
      <c r="AI2583" s="68"/>
      <c r="AJ2583" s="214">
        <v>2.0829999999999999E-4</v>
      </c>
      <c r="AK2583" s="214">
        <v>1.724</v>
      </c>
      <c r="AL2583" s="214">
        <v>2</v>
      </c>
      <c r="AM2583" s="214">
        <v>4.6182900000000003E-4</v>
      </c>
      <c r="AN2583" s="68"/>
      <c r="AO2583" s="67"/>
      <c r="AP2583" s="67"/>
      <c r="AQ2583" s="67"/>
      <c r="AR2583" s="67"/>
      <c r="AS2583" s="67"/>
      <c r="AT2583" s="68"/>
      <c r="AU2583" s="49"/>
      <c r="AV2583" s="50"/>
    </row>
    <row r="2584" spans="1:48" ht="12.75" customHeight="1" x14ac:dyDescent="0.25">
      <c r="A2584" s="72" t="s">
        <v>20</v>
      </c>
      <c r="B2584" s="43" t="s">
        <v>2240</v>
      </c>
      <c r="C2584" s="44" t="s">
        <v>2742</v>
      </c>
      <c r="D2584" s="45">
        <f>MROUND(MID($C2584,6,3)/Basis!$E$3,0.5)</f>
        <v>27.5</v>
      </c>
      <c r="E2584" s="45">
        <f>MROUND(MID($C2584,9,3)/Basis!$E$3,0.5)</f>
        <v>23.5</v>
      </c>
      <c r="F2584" s="124" t="s">
        <v>2947</v>
      </c>
      <c r="G2584" s="45">
        <f>ROUND((ROUNDDOWN($F2584/5,0)*5+1.8)/Basis!$E$3,1)</f>
        <v>6.6</v>
      </c>
      <c r="H2584" s="120">
        <f>ROUND($P2584*Basis!$E$2*((TaH-TrH)/LN(1/µ)/Basis!$E$7)^$N2584*$AA$4*Glycol,0)</f>
        <v>2846</v>
      </c>
      <c r="I2584" s="83">
        <f>ROUND(H2584/(MID($C2584,9,3)/Basis!$E$3/Basis!$E$9)*Basis!$E$11,0)</f>
        <v>1446</v>
      </c>
      <c r="J2584" s="123">
        <f>IF(Basis!$E$1=1,ROUND(H2584/((TaH-TrH)*1.163)/3600,3),ROUND(H2584/(500*(TaH-TrH)),2))</f>
        <v>0.28000000000000003</v>
      </c>
      <c r="K2584" s="84"/>
      <c r="L2584" s="177">
        <f>CHOOSE(Basis!$E$1,((AJ2584*(J2584*3600/Basis!$E$5)^AK2584*(((MID(C2584,9,3)*10)-144)/1000)*AL2584+AM2584*(J2584*3600/Basis!$E$5)^2)*0.0098)/Basis!$E$10,((AJ2584*(J2584/Basis!$E$5)^AK2584*(((MID(C2584,9,3)*10)-144)/1000)*AL2584+AM2584*(J2584/Basis!$E$5)^2)*0.0098)/Basis!$E$10)</f>
        <v>2.0015041983456737E-2</v>
      </c>
      <c r="M2584" s="85"/>
      <c r="N2584" s="110">
        <v>1.472</v>
      </c>
      <c r="O2584" s="74"/>
      <c r="P2584" s="73">
        <v>1356</v>
      </c>
      <c r="Q2584" s="74"/>
      <c r="R2584" s="75"/>
      <c r="S2584" s="75"/>
      <c r="T2584" s="75"/>
      <c r="U2584" s="75"/>
      <c r="V2584" s="75"/>
      <c r="W2584" s="74"/>
      <c r="X2584" s="76"/>
      <c r="Y2584" s="76"/>
      <c r="Z2584" s="76"/>
      <c r="AA2584" s="76"/>
      <c r="AB2584" s="76"/>
      <c r="AC2584" s="74"/>
      <c r="AD2584" s="77"/>
      <c r="AE2584" s="77"/>
      <c r="AF2584" s="77"/>
      <c r="AG2584" s="77"/>
      <c r="AH2584" s="77"/>
      <c r="AI2584" s="68"/>
      <c r="AJ2584" s="213">
        <v>2.0829999999999999E-4</v>
      </c>
      <c r="AK2584" s="213">
        <v>1.724</v>
      </c>
      <c r="AL2584" s="213">
        <v>4</v>
      </c>
      <c r="AM2584" s="213">
        <v>1.392796E-3</v>
      </c>
      <c r="AN2584" s="74"/>
      <c r="AO2584" s="73"/>
      <c r="AP2584" s="73"/>
      <c r="AQ2584" s="73"/>
      <c r="AR2584" s="73"/>
      <c r="AS2584" s="73"/>
      <c r="AT2584" s="74"/>
      <c r="AU2584" s="47"/>
      <c r="AV2584" s="48"/>
    </row>
    <row r="2585" spans="1:48" ht="12.75" customHeight="1" x14ac:dyDescent="0.25">
      <c r="A2585" s="72" t="s">
        <v>20</v>
      </c>
      <c r="B2585" s="43" t="s">
        <v>2240</v>
      </c>
      <c r="C2585" s="44" t="s">
        <v>2743</v>
      </c>
      <c r="D2585" s="45">
        <f>MROUND(MID($C2585,6,3)/Basis!$E$3,0.5)</f>
        <v>27.5</v>
      </c>
      <c r="E2585" s="45">
        <f>MROUND(MID($C2585,9,3)/Basis!$E$3,0.5)</f>
        <v>23.5</v>
      </c>
      <c r="F2585" s="124" t="s">
        <v>2945</v>
      </c>
      <c r="G2585" s="45">
        <f>ROUND((ROUNDDOWN($F2585/5,0)*5+1.8)/Basis!$E$3,1)</f>
        <v>8.6</v>
      </c>
      <c r="H2585" s="120">
        <f>ROUND($P2585*Basis!$E$2*((TaH-TrH)/LN(1/µ)/Basis!$E$7)^$N2585*$AA$4*Glycol,0)</f>
        <v>3611</v>
      </c>
      <c r="I2585" s="83">
        <f>ROUND(H2585/(MID($C2585,9,3)/Basis!$E$3/Basis!$E$9)*Basis!$E$11,0)</f>
        <v>1834</v>
      </c>
      <c r="J2585" s="123">
        <f>IF(Basis!$E$1=1,ROUND(H2585/((TaH-TrH)*1.163)/3600,3),ROUND(H2585/(500*(TaH-TrH)),2))</f>
        <v>0.36</v>
      </c>
      <c r="K2585" s="84"/>
      <c r="L2585" s="177">
        <f>CHOOSE(Basis!$E$1,((AJ2585*(J2585*3600/Basis!$E$5)^AK2585*(((MID(C2585,9,3)*10)-144)/1000)*AL2585+AM2585*(J2585*3600/Basis!$E$5)^2)*0.0098)/Basis!$E$10,((AJ2585*(J2585/Basis!$E$5)^AK2585*(((MID(C2585,9,3)*10)-144)/1000)*AL2585+AM2585*(J2585/Basis!$E$5)^2)*0.0098)/Basis!$E$10)</f>
        <v>8.9800732194548327E-3</v>
      </c>
      <c r="M2585" s="85"/>
      <c r="N2585" s="110">
        <v>1.349</v>
      </c>
      <c r="O2585" s="74"/>
      <c r="P2585" s="73">
        <v>1652</v>
      </c>
      <c r="Q2585" s="74"/>
      <c r="R2585" s="75"/>
      <c r="S2585" s="75"/>
      <c r="T2585" s="75"/>
      <c r="U2585" s="75"/>
      <c r="V2585" s="75"/>
      <c r="W2585" s="74"/>
      <c r="X2585" s="76"/>
      <c r="Y2585" s="76"/>
      <c r="Z2585" s="76"/>
      <c r="AA2585" s="76"/>
      <c r="AB2585" s="76"/>
      <c r="AC2585" s="74"/>
      <c r="AD2585" s="77"/>
      <c r="AE2585" s="77"/>
      <c r="AF2585" s="77"/>
      <c r="AG2585" s="77"/>
      <c r="AH2585" s="77"/>
      <c r="AI2585" s="68"/>
      <c r="AJ2585" s="214">
        <v>1.2760000000000001E-4</v>
      </c>
      <c r="AK2585" s="214">
        <v>1.7219</v>
      </c>
      <c r="AL2585" s="214">
        <v>2</v>
      </c>
      <c r="AM2585" s="214">
        <v>3.76611E-4</v>
      </c>
      <c r="AN2585" s="74"/>
      <c r="AO2585" s="73"/>
      <c r="AP2585" s="73"/>
      <c r="AQ2585" s="73"/>
      <c r="AR2585" s="73"/>
      <c r="AS2585" s="73"/>
      <c r="AT2585" s="74"/>
      <c r="AU2585" s="47"/>
      <c r="AV2585" s="48"/>
    </row>
    <row r="2586" spans="1:48" ht="12.75" customHeight="1" x14ac:dyDescent="0.25">
      <c r="A2586" s="72" t="s">
        <v>20</v>
      </c>
      <c r="B2586" s="43" t="s">
        <v>2240</v>
      </c>
      <c r="C2586" s="44" t="s">
        <v>2744</v>
      </c>
      <c r="D2586" s="45">
        <f>MROUND(MID($C2586,6,3)/Basis!$E$3,0.5)</f>
        <v>27.5</v>
      </c>
      <c r="E2586" s="45">
        <f>MROUND(MID($C2586,9,3)/Basis!$E$3,0.5)</f>
        <v>23.5</v>
      </c>
      <c r="F2586" s="124" t="s">
        <v>2948</v>
      </c>
      <c r="G2586" s="45">
        <f>ROUND((ROUNDDOWN($F2586/5,0)*5+1.8)/Basis!$E$3,1)</f>
        <v>8.6</v>
      </c>
      <c r="H2586" s="120">
        <f>ROUND($P2586*Basis!$E$2*((TaH-TrH)/LN(1/µ)/Basis!$E$7)^$N2586*$AA$4*Glycol,0)</f>
        <v>3963</v>
      </c>
      <c r="I2586" s="83">
        <f>ROUND(H2586/(MID($C2586,9,3)/Basis!$E$3/Basis!$E$9)*Basis!$E$11,0)</f>
        <v>2013</v>
      </c>
      <c r="J2586" s="123">
        <f>IF(Basis!$E$1=1,ROUND(H2586/((TaH-TrH)*1.163)/3600,3),ROUND(H2586/(500*(TaH-TrH)),2))</f>
        <v>0.4</v>
      </c>
      <c r="K2586" s="84"/>
      <c r="L2586" s="177">
        <f>CHOOSE(Basis!$E$1,((AJ2586*(J2586*3600/Basis!$E$5)^AK2586*(((MID(C2586,9,3)*10)-144)/1000)*AL2586+AM2586*(J2586*3600/Basis!$E$5)^2)*0.0098)/Basis!$E$10,((AJ2586*(J2586/Basis!$E$5)^AK2586*(((MID(C2586,9,3)*10)-144)/1000)*AL2586+AM2586*(J2586/Basis!$E$5)^2)*0.0098)/Basis!$E$10)</f>
        <v>1.5669216384948084E-2</v>
      </c>
      <c r="M2586" s="85"/>
      <c r="N2586" s="109">
        <v>1.5009999999999999</v>
      </c>
      <c r="O2586" s="68"/>
      <c r="P2586" s="67">
        <v>1906</v>
      </c>
      <c r="Q2586" s="68"/>
      <c r="R2586" s="69"/>
      <c r="S2586" s="69"/>
      <c r="T2586" s="69"/>
      <c r="U2586" s="69"/>
      <c r="V2586" s="69"/>
      <c r="W2586" s="68"/>
      <c r="X2586" s="70"/>
      <c r="Y2586" s="70"/>
      <c r="Z2586" s="70"/>
      <c r="AA2586" s="70"/>
      <c r="AB2586" s="70"/>
      <c r="AC2586" s="68"/>
      <c r="AD2586" s="71"/>
      <c r="AE2586" s="71"/>
      <c r="AF2586" s="71"/>
      <c r="AG2586" s="71"/>
      <c r="AH2586" s="71"/>
      <c r="AI2586" s="68"/>
      <c r="AJ2586" s="214">
        <v>1.2760000000000001E-4</v>
      </c>
      <c r="AK2586" s="214">
        <v>1.7219</v>
      </c>
      <c r="AL2586" s="214">
        <v>4</v>
      </c>
      <c r="AM2586" s="214">
        <v>5.1420100000000005E-4</v>
      </c>
      <c r="AN2586" s="68"/>
      <c r="AO2586" s="67"/>
      <c r="AP2586" s="67"/>
      <c r="AQ2586" s="67"/>
      <c r="AR2586" s="67"/>
      <c r="AS2586" s="67"/>
      <c r="AT2586" s="68"/>
      <c r="AU2586" s="49"/>
      <c r="AV2586" s="50"/>
    </row>
    <row r="2587" spans="1:48" ht="12.75" customHeight="1" x14ac:dyDescent="0.25">
      <c r="A2587" s="72" t="s">
        <v>20</v>
      </c>
      <c r="B2587" s="43" t="s">
        <v>2240</v>
      </c>
      <c r="C2587" s="44" t="s">
        <v>2745</v>
      </c>
      <c r="D2587" s="45">
        <f>MROUND(MID($C2587,6,3)/Basis!$E$3,0.5)</f>
        <v>27.5</v>
      </c>
      <c r="E2587" s="45">
        <f>MROUND(MID($C2587,9,3)/Basis!$E$3,0.5)</f>
        <v>27.5</v>
      </c>
      <c r="F2587" s="124" t="s">
        <v>2943</v>
      </c>
      <c r="G2587" s="45">
        <f>ROUND((ROUNDDOWN($F2587/5,0)*5+1.8)/Basis!$E$3,1)</f>
        <v>4.5999999999999996</v>
      </c>
      <c r="H2587" s="120">
        <f>ROUND($P2587*Basis!$E$2*((TaH-TrH)/LN(1/µ)/Basis!$E$7)^$N2587*$AA$4*Glycol,0)</f>
        <v>1900</v>
      </c>
      <c r="I2587" s="83">
        <f>ROUND(H2587/(MID($C2587,9,3)/Basis!$E$3/Basis!$E$9)*Basis!$E$11,0)</f>
        <v>827</v>
      </c>
      <c r="J2587" s="123">
        <f>IF(Basis!$E$1=1,ROUND(H2587/((TaH-TrH)*1.163)/3600,3),ROUND(H2587/(500*(TaH-TrH)),2))</f>
        <v>0.19</v>
      </c>
      <c r="K2587" s="84"/>
      <c r="L2587" s="177">
        <f>CHOOSE(Basis!$E$1,((AJ2587*(J2587*3600/Basis!$E$5)^AK2587*(((MID(C2587,9,3)*10)-144)/1000)*AL2587+AM2587*(J2587*3600/Basis!$E$5)^2)*0.0098)/Basis!$E$10,((AJ2587*(J2587/Basis!$E$5)^AK2587*(((MID(C2587,9,3)*10)-144)/1000)*AL2587+AM2587*(J2587/Basis!$E$5)^2)*0.0098)/Basis!$E$10)</f>
        <v>3.226237381339266E-3</v>
      </c>
      <c r="M2587" s="85"/>
      <c r="N2587" s="109">
        <v>1.3660000000000001</v>
      </c>
      <c r="O2587" s="68"/>
      <c r="P2587" s="67">
        <v>874</v>
      </c>
      <c r="Q2587" s="68"/>
      <c r="R2587" s="69"/>
      <c r="S2587" s="69"/>
      <c r="T2587" s="69"/>
      <c r="U2587" s="69"/>
      <c r="V2587" s="69"/>
      <c r="W2587" s="68"/>
      <c r="X2587" s="70"/>
      <c r="Y2587" s="70"/>
      <c r="Z2587" s="70"/>
      <c r="AA2587" s="70"/>
      <c r="AB2587" s="70"/>
      <c r="AC2587" s="68"/>
      <c r="AD2587" s="71"/>
      <c r="AE2587" s="71"/>
      <c r="AF2587" s="71"/>
      <c r="AG2587" s="71"/>
      <c r="AH2587" s="71"/>
      <c r="AI2587" s="68"/>
      <c r="AJ2587" s="214">
        <v>3.9689999999999994E-4</v>
      </c>
      <c r="AK2587" s="214">
        <v>1.7345999999999999</v>
      </c>
      <c r="AL2587" s="214">
        <v>2</v>
      </c>
      <c r="AM2587" s="214">
        <v>3.6734700000000002E-4</v>
      </c>
      <c r="AN2587" s="68"/>
      <c r="AO2587" s="67"/>
      <c r="AP2587" s="67"/>
      <c r="AQ2587" s="67"/>
      <c r="AR2587" s="67"/>
      <c r="AS2587" s="67"/>
      <c r="AT2587" s="68"/>
      <c r="AU2587" s="49"/>
      <c r="AV2587" s="50"/>
    </row>
    <row r="2588" spans="1:48" ht="12.75" customHeight="1" x14ac:dyDescent="0.25">
      <c r="A2588" s="72" t="s">
        <v>20</v>
      </c>
      <c r="B2588" s="43" t="s">
        <v>2240</v>
      </c>
      <c r="C2588" s="44" t="s">
        <v>2746</v>
      </c>
      <c r="D2588" s="45">
        <f>MROUND(MID($C2588,6,3)/Basis!$E$3,0.5)</f>
        <v>27.5</v>
      </c>
      <c r="E2588" s="45">
        <f>MROUND(MID($C2588,9,3)/Basis!$E$3,0.5)</f>
        <v>27.5</v>
      </c>
      <c r="F2588" s="124" t="s">
        <v>2946</v>
      </c>
      <c r="G2588" s="45">
        <f>ROUND((ROUNDDOWN($F2588/5,0)*5+1.8)/Basis!$E$3,1)</f>
        <v>4.5999999999999996</v>
      </c>
      <c r="H2588" s="120">
        <f>ROUND($P2588*Basis!$E$2*((TaH-TrH)/LN(1/µ)/Basis!$E$7)^$N2588*$AA$4*Glycol,0)</f>
        <v>2364</v>
      </c>
      <c r="I2588" s="83">
        <f>ROUND(H2588/(MID($C2588,9,3)/Basis!$E$3/Basis!$E$9)*Basis!$E$11,0)</f>
        <v>1029</v>
      </c>
      <c r="J2588" s="123">
        <f>IF(Basis!$E$1=1,ROUND(H2588/((TaH-TrH)*1.163)/3600,3),ROUND(H2588/(500*(TaH-TrH)),2))</f>
        <v>0.24</v>
      </c>
      <c r="K2588" s="84"/>
      <c r="L2588" s="177">
        <f>CHOOSE(Basis!$E$1,((AJ2588*(J2588*3600/Basis!$E$5)^AK2588*(((MID(C2588,9,3)*10)-144)/1000)*AL2588+AM2588*(J2588*3600/Basis!$E$5)^2)*0.0098)/Basis!$E$10,((AJ2588*(J2588/Basis!$E$5)^AK2588*(((MID(C2588,9,3)*10)-144)/1000)*AL2588+AM2588*(J2588/Basis!$E$5)^2)*0.0098)/Basis!$E$10)</f>
        <v>8.5471287736951247E-3</v>
      </c>
      <c r="M2588" s="85"/>
      <c r="N2588" s="110">
        <v>1.4359999999999999</v>
      </c>
      <c r="O2588" s="74"/>
      <c r="P2588" s="73">
        <v>1113</v>
      </c>
      <c r="Q2588" s="74"/>
      <c r="R2588" s="75"/>
      <c r="S2588" s="75"/>
      <c r="T2588" s="75"/>
      <c r="U2588" s="75"/>
      <c r="V2588" s="75"/>
      <c r="W2588" s="74"/>
      <c r="X2588" s="76"/>
      <c r="Y2588" s="76"/>
      <c r="Z2588" s="76"/>
      <c r="AA2588" s="76"/>
      <c r="AB2588" s="76"/>
      <c r="AC2588" s="74"/>
      <c r="AD2588" s="77"/>
      <c r="AE2588" s="77"/>
      <c r="AF2588" s="77"/>
      <c r="AG2588" s="77"/>
      <c r="AH2588" s="77"/>
      <c r="AI2588" s="68"/>
      <c r="AJ2588" s="213">
        <v>3.9689999999999994E-4</v>
      </c>
      <c r="AK2588" s="213">
        <v>1.7345999999999999</v>
      </c>
      <c r="AL2588" s="213">
        <v>4</v>
      </c>
      <c r="AM2588" s="213">
        <v>5.7428799999999995E-4</v>
      </c>
      <c r="AN2588" s="74"/>
      <c r="AO2588" s="73"/>
      <c r="AP2588" s="73"/>
      <c r="AQ2588" s="73"/>
      <c r="AR2588" s="73"/>
      <c r="AS2588" s="73"/>
      <c r="AT2588" s="74"/>
      <c r="AU2588" s="47"/>
      <c r="AV2588" s="48"/>
    </row>
    <row r="2589" spans="1:48" ht="12.75" customHeight="1" x14ac:dyDescent="0.25">
      <c r="A2589" s="72" t="s">
        <v>20</v>
      </c>
      <c r="B2589" s="43" t="s">
        <v>2240</v>
      </c>
      <c r="C2589" s="44" t="s">
        <v>2747</v>
      </c>
      <c r="D2589" s="45">
        <f>MROUND(MID($C2589,6,3)/Basis!$E$3,0.5)</f>
        <v>27.5</v>
      </c>
      <c r="E2589" s="45">
        <f>MROUND(MID($C2589,9,3)/Basis!$E$3,0.5)</f>
        <v>27.5</v>
      </c>
      <c r="F2589" s="124" t="s">
        <v>2944</v>
      </c>
      <c r="G2589" s="45">
        <f>ROUND((ROUNDDOWN($F2589/5,0)*5+1.8)/Basis!$E$3,1)</f>
        <v>6.6</v>
      </c>
      <c r="H2589" s="120">
        <f>ROUND($P2589*Basis!$E$2*((TaH-TrH)/LN(1/µ)/Basis!$E$7)^$N2589*$AA$4*Glycol,0)</f>
        <v>3016</v>
      </c>
      <c r="I2589" s="83">
        <f>ROUND(H2589/(MID($C2589,9,3)/Basis!$E$3/Basis!$E$9)*Basis!$E$11,0)</f>
        <v>1313</v>
      </c>
      <c r="J2589" s="123">
        <f>IF(Basis!$E$1=1,ROUND(H2589/((TaH-TrH)*1.163)/3600,3),ROUND(H2589/(500*(TaH-TrH)),2))</f>
        <v>0.3</v>
      </c>
      <c r="K2589" s="84"/>
      <c r="L2589" s="177">
        <f>CHOOSE(Basis!$E$1,((AJ2589*(J2589*3600/Basis!$E$5)^AK2589*(((MID(C2589,9,3)*10)-144)/1000)*AL2589+AM2589*(J2589*3600/Basis!$E$5)^2)*0.0098)/Basis!$E$10,((AJ2589*(J2589/Basis!$E$5)^AK2589*(((MID(C2589,9,3)*10)-144)/1000)*AL2589+AM2589*(J2589/Basis!$E$5)^2)*0.0098)/Basis!$E$10)</f>
        <v>8.1073436086667519E-3</v>
      </c>
      <c r="M2589" s="85"/>
      <c r="N2589" s="110">
        <v>1.35</v>
      </c>
      <c r="O2589" s="74"/>
      <c r="P2589" s="73">
        <v>1380</v>
      </c>
      <c r="Q2589" s="74"/>
      <c r="R2589" s="75"/>
      <c r="S2589" s="75"/>
      <c r="T2589" s="75"/>
      <c r="U2589" s="75"/>
      <c r="V2589" s="75"/>
      <c r="W2589" s="74"/>
      <c r="X2589" s="76"/>
      <c r="Y2589" s="76"/>
      <c r="Z2589" s="76"/>
      <c r="AA2589" s="76"/>
      <c r="AB2589" s="76"/>
      <c r="AC2589" s="74"/>
      <c r="AD2589" s="77"/>
      <c r="AE2589" s="77"/>
      <c r="AF2589" s="77"/>
      <c r="AG2589" s="77"/>
      <c r="AH2589" s="77"/>
      <c r="AI2589" s="68"/>
      <c r="AJ2589" s="213">
        <v>2.0829999999999999E-4</v>
      </c>
      <c r="AK2589" s="213">
        <v>1.724</v>
      </c>
      <c r="AL2589" s="213">
        <v>2</v>
      </c>
      <c r="AM2589" s="213">
        <v>4.6182900000000003E-4</v>
      </c>
      <c r="AN2589" s="74"/>
      <c r="AO2589" s="73"/>
      <c r="AP2589" s="73"/>
      <c r="AQ2589" s="73"/>
      <c r="AR2589" s="73"/>
      <c r="AS2589" s="73"/>
      <c r="AT2589" s="74"/>
      <c r="AU2589" s="47"/>
      <c r="AV2589" s="48"/>
    </row>
    <row r="2590" spans="1:48" ht="12.75" customHeight="1" x14ac:dyDescent="0.25">
      <c r="A2590" s="72" t="s">
        <v>20</v>
      </c>
      <c r="B2590" s="43" t="s">
        <v>2240</v>
      </c>
      <c r="C2590" s="44" t="s">
        <v>2748</v>
      </c>
      <c r="D2590" s="45">
        <f>MROUND(MID($C2590,6,3)/Basis!$E$3,0.5)</f>
        <v>27.5</v>
      </c>
      <c r="E2590" s="45">
        <f>MROUND(MID($C2590,9,3)/Basis!$E$3,0.5)</f>
        <v>27.5</v>
      </c>
      <c r="F2590" s="124" t="s">
        <v>2947</v>
      </c>
      <c r="G2590" s="45">
        <f>ROUND((ROUNDDOWN($F2590/5,0)*5+1.8)/Basis!$E$3,1)</f>
        <v>6.6</v>
      </c>
      <c r="H2590" s="120">
        <f>ROUND($P2590*Basis!$E$2*((TaH-TrH)/LN(1/µ)/Basis!$E$7)^$N2590*$AA$4*Glycol,0)</f>
        <v>3321</v>
      </c>
      <c r="I2590" s="83">
        <f>ROUND(H2590/(MID($C2590,9,3)/Basis!$E$3/Basis!$E$9)*Basis!$E$11,0)</f>
        <v>1446</v>
      </c>
      <c r="J2590" s="123">
        <f>IF(Basis!$E$1=1,ROUND(H2590/((TaH-TrH)*1.163)/3600,3),ROUND(H2590/(500*(TaH-TrH)),2))</f>
        <v>0.33</v>
      </c>
      <c r="K2590" s="84"/>
      <c r="L2590" s="177">
        <f>CHOOSE(Basis!$E$1,((AJ2590*(J2590*3600/Basis!$E$5)^AK2590*(((MID(C2590,9,3)*10)-144)/1000)*AL2590+AM2590*(J2590*3600/Basis!$E$5)^2)*0.0098)/Basis!$E$10,((AJ2590*(J2590/Basis!$E$5)^AK2590*(((MID(C2590,9,3)*10)-144)/1000)*AL2590+AM2590*(J2590/Basis!$E$5)^2)*0.0098)/Basis!$E$10)</f>
        <v>2.8168075666937777E-2</v>
      </c>
      <c r="M2590" s="85"/>
      <c r="N2590" s="109">
        <v>1.472</v>
      </c>
      <c r="O2590" s="68"/>
      <c r="P2590" s="67">
        <v>1582</v>
      </c>
      <c r="Q2590" s="68"/>
      <c r="R2590" s="69"/>
      <c r="S2590" s="69"/>
      <c r="T2590" s="69"/>
      <c r="U2590" s="69"/>
      <c r="V2590" s="69"/>
      <c r="W2590" s="68"/>
      <c r="X2590" s="70"/>
      <c r="Y2590" s="70"/>
      <c r="Z2590" s="70"/>
      <c r="AA2590" s="70"/>
      <c r="AB2590" s="70"/>
      <c r="AC2590" s="68"/>
      <c r="AD2590" s="71"/>
      <c r="AE2590" s="71"/>
      <c r="AF2590" s="71"/>
      <c r="AG2590" s="71"/>
      <c r="AH2590" s="71"/>
      <c r="AI2590" s="68"/>
      <c r="AJ2590" s="214">
        <v>2.0829999999999999E-4</v>
      </c>
      <c r="AK2590" s="214">
        <v>1.724</v>
      </c>
      <c r="AL2590" s="214">
        <v>4</v>
      </c>
      <c r="AM2590" s="214">
        <v>1.392796E-3</v>
      </c>
      <c r="AN2590" s="68"/>
      <c r="AO2590" s="67"/>
      <c r="AP2590" s="67"/>
      <c r="AQ2590" s="67"/>
      <c r="AR2590" s="67"/>
      <c r="AS2590" s="67"/>
      <c r="AT2590" s="68"/>
      <c r="AU2590" s="49"/>
      <c r="AV2590" s="50"/>
    </row>
    <row r="2591" spans="1:48" ht="12.75" customHeight="1" x14ac:dyDescent="0.25">
      <c r="A2591" s="72" t="s">
        <v>20</v>
      </c>
      <c r="B2591" s="43" t="s">
        <v>2240</v>
      </c>
      <c r="C2591" s="44" t="s">
        <v>2749</v>
      </c>
      <c r="D2591" s="45">
        <f>MROUND(MID($C2591,6,3)/Basis!$E$3,0.5)</f>
        <v>27.5</v>
      </c>
      <c r="E2591" s="45">
        <f>MROUND(MID($C2591,9,3)/Basis!$E$3,0.5)</f>
        <v>27.5</v>
      </c>
      <c r="F2591" s="124" t="s">
        <v>2945</v>
      </c>
      <c r="G2591" s="45">
        <f>ROUND((ROUNDDOWN($F2591/5,0)*5+1.8)/Basis!$E$3,1)</f>
        <v>8.6</v>
      </c>
      <c r="H2591" s="120">
        <f>ROUND($P2591*Basis!$E$2*((TaH-TrH)/LN(1/µ)/Basis!$E$7)^$N2591*$AA$4*Glycol,0)</f>
        <v>4213</v>
      </c>
      <c r="I2591" s="83">
        <f>ROUND(H2591/(MID($C2591,9,3)/Basis!$E$3/Basis!$E$9)*Basis!$E$11,0)</f>
        <v>1834</v>
      </c>
      <c r="J2591" s="123">
        <f>IF(Basis!$E$1=1,ROUND(H2591/((TaH-TrH)*1.163)/3600,3),ROUND(H2591/(500*(TaH-TrH)),2))</f>
        <v>0.42</v>
      </c>
      <c r="K2591" s="84"/>
      <c r="L2591" s="177">
        <f>CHOOSE(Basis!$E$1,((AJ2591*(J2591*3600/Basis!$E$5)^AK2591*(((MID(C2591,9,3)*10)-144)/1000)*AL2591+AM2591*(J2591*3600/Basis!$E$5)^2)*0.0098)/Basis!$E$10,((AJ2591*(J2591/Basis!$E$5)^AK2591*(((MID(C2591,9,3)*10)-144)/1000)*AL2591+AM2591*(J2591/Basis!$E$5)^2)*0.0098)/Basis!$E$10)</f>
        <v>1.2393938862806292E-2</v>
      </c>
      <c r="M2591" s="85"/>
      <c r="N2591" s="109">
        <v>1.349</v>
      </c>
      <c r="O2591" s="68"/>
      <c r="P2591" s="67">
        <v>1927</v>
      </c>
      <c r="Q2591" s="68"/>
      <c r="R2591" s="69"/>
      <c r="S2591" s="69"/>
      <c r="T2591" s="69"/>
      <c r="U2591" s="69"/>
      <c r="V2591" s="69"/>
      <c r="W2591" s="68"/>
      <c r="X2591" s="70"/>
      <c r="Y2591" s="70"/>
      <c r="Z2591" s="70"/>
      <c r="AA2591" s="70"/>
      <c r="AB2591" s="70"/>
      <c r="AC2591" s="68"/>
      <c r="AD2591" s="71"/>
      <c r="AE2591" s="71"/>
      <c r="AF2591" s="71"/>
      <c r="AG2591" s="71"/>
      <c r="AH2591" s="71"/>
      <c r="AI2591" s="68"/>
      <c r="AJ2591" s="214">
        <v>1.2760000000000001E-4</v>
      </c>
      <c r="AK2591" s="214">
        <v>1.7219</v>
      </c>
      <c r="AL2591" s="214">
        <v>2</v>
      </c>
      <c r="AM2591" s="214">
        <v>3.76611E-4</v>
      </c>
      <c r="AN2591" s="68"/>
      <c r="AO2591" s="67"/>
      <c r="AP2591" s="67"/>
      <c r="AQ2591" s="67"/>
      <c r="AR2591" s="67"/>
      <c r="AS2591" s="67"/>
      <c r="AT2591" s="68"/>
      <c r="AU2591" s="49"/>
      <c r="AV2591" s="50"/>
    </row>
    <row r="2592" spans="1:48" ht="12.75" customHeight="1" x14ac:dyDescent="0.25">
      <c r="A2592" s="72" t="s">
        <v>20</v>
      </c>
      <c r="B2592" s="43" t="s">
        <v>2240</v>
      </c>
      <c r="C2592" s="44" t="s">
        <v>2750</v>
      </c>
      <c r="D2592" s="45">
        <f>MROUND(MID($C2592,6,3)/Basis!$E$3,0.5)</f>
        <v>27.5</v>
      </c>
      <c r="E2592" s="45">
        <f>MROUND(MID($C2592,9,3)/Basis!$E$3,0.5)</f>
        <v>27.5</v>
      </c>
      <c r="F2592" s="124" t="s">
        <v>2948</v>
      </c>
      <c r="G2592" s="45">
        <f>ROUND((ROUNDDOWN($F2592/5,0)*5+1.8)/Basis!$E$3,1)</f>
        <v>8.6</v>
      </c>
      <c r="H2592" s="120">
        <f>ROUND($P2592*Basis!$E$2*((TaH-TrH)/LN(1/µ)/Basis!$E$7)^$N2592*$AA$4*Glycol,0)</f>
        <v>4624</v>
      </c>
      <c r="I2592" s="83">
        <f>ROUND(H2592/(MID($C2592,9,3)/Basis!$E$3/Basis!$E$9)*Basis!$E$11,0)</f>
        <v>2013</v>
      </c>
      <c r="J2592" s="123">
        <f>IF(Basis!$E$1=1,ROUND(H2592/((TaH-TrH)*1.163)/3600,3),ROUND(H2592/(500*(TaH-TrH)),2))</f>
        <v>0.46</v>
      </c>
      <c r="K2592" s="84"/>
      <c r="L2592" s="177">
        <f>CHOOSE(Basis!$E$1,((AJ2592*(J2592*3600/Basis!$E$5)^AK2592*(((MID(C2592,9,3)*10)-144)/1000)*AL2592+AM2592*(J2592*3600/Basis!$E$5)^2)*0.0098)/Basis!$E$10,((AJ2592*(J2592/Basis!$E$5)^AK2592*(((MID(C2592,9,3)*10)-144)/1000)*AL2592+AM2592*(J2592/Basis!$E$5)^2)*0.0098)/Basis!$E$10)</f>
        <v>2.113218275196635E-2</v>
      </c>
      <c r="M2592" s="85"/>
      <c r="N2592" s="110">
        <v>1.5009999999999999</v>
      </c>
      <c r="O2592" s="74"/>
      <c r="P2592" s="73">
        <v>2224</v>
      </c>
      <c r="Q2592" s="74"/>
      <c r="R2592" s="75"/>
      <c r="S2592" s="75"/>
      <c r="T2592" s="75"/>
      <c r="U2592" s="75"/>
      <c r="V2592" s="75"/>
      <c r="W2592" s="74"/>
      <c r="X2592" s="76"/>
      <c r="Y2592" s="76"/>
      <c r="Z2592" s="76"/>
      <c r="AA2592" s="76"/>
      <c r="AB2592" s="76"/>
      <c r="AC2592" s="74"/>
      <c r="AD2592" s="77"/>
      <c r="AE2592" s="77"/>
      <c r="AF2592" s="77"/>
      <c r="AG2592" s="77"/>
      <c r="AH2592" s="77"/>
      <c r="AI2592" s="68"/>
      <c r="AJ2592" s="213">
        <v>1.2760000000000001E-4</v>
      </c>
      <c r="AK2592" s="213">
        <v>1.7219</v>
      </c>
      <c r="AL2592" s="213">
        <v>4</v>
      </c>
      <c r="AM2592" s="213">
        <v>5.1420100000000005E-4</v>
      </c>
      <c r="AN2592" s="74"/>
      <c r="AO2592" s="73"/>
      <c r="AP2592" s="73"/>
      <c r="AQ2592" s="73"/>
      <c r="AR2592" s="73"/>
      <c r="AS2592" s="73"/>
      <c r="AT2592" s="74"/>
      <c r="AU2592" s="47"/>
      <c r="AV2592" s="48"/>
    </row>
    <row r="2593" spans="1:48" ht="12.75" customHeight="1" x14ac:dyDescent="0.25">
      <c r="A2593" s="72" t="s">
        <v>20</v>
      </c>
      <c r="B2593" s="43" t="s">
        <v>2240</v>
      </c>
      <c r="C2593" s="44" t="s">
        <v>2751</v>
      </c>
      <c r="D2593" s="45">
        <f>MROUND(MID($C2593,6,3)/Basis!$E$3,0.5)</f>
        <v>27.5</v>
      </c>
      <c r="E2593" s="45">
        <f>MROUND(MID($C2593,9,3)/Basis!$E$3,0.5)</f>
        <v>31.5</v>
      </c>
      <c r="F2593" s="124" t="s">
        <v>2943</v>
      </c>
      <c r="G2593" s="45">
        <f>ROUND((ROUNDDOWN($F2593/5,0)*5+1.8)/Basis!$E$3,1)</f>
        <v>4.5999999999999996</v>
      </c>
      <c r="H2593" s="120">
        <f>ROUND($P2593*Basis!$E$2*((TaH-TrH)/LN(1/µ)/Basis!$E$7)^$N2593*$AA$4*Glycol,0)</f>
        <v>2169</v>
      </c>
      <c r="I2593" s="83">
        <f>ROUND(H2593/(MID($C2593,9,3)/Basis!$E$3/Basis!$E$9)*Basis!$E$11,0)</f>
        <v>826</v>
      </c>
      <c r="J2593" s="123">
        <f>IF(Basis!$E$1=1,ROUND(H2593/((TaH-TrH)*1.163)/3600,3),ROUND(H2593/(500*(TaH-TrH)),2))</f>
        <v>0.22</v>
      </c>
      <c r="K2593" s="84"/>
      <c r="L2593" s="177">
        <f>CHOOSE(Basis!$E$1,((AJ2593*(J2593*3600/Basis!$E$5)^AK2593*(((MID(C2593,9,3)*10)-144)/1000)*AL2593+AM2593*(J2593*3600/Basis!$E$5)^2)*0.0098)/Basis!$E$10,((AJ2593*(J2593/Basis!$E$5)^AK2593*(((MID(C2593,9,3)*10)-144)/1000)*AL2593+AM2593*(J2593/Basis!$E$5)^2)*0.0098)/Basis!$E$10)</f>
        <v>4.5043483399197573E-3</v>
      </c>
      <c r="M2593" s="85"/>
      <c r="N2593" s="110">
        <v>1.3660000000000001</v>
      </c>
      <c r="O2593" s="74"/>
      <c r="P2593" s="73">
        <v>998</v>
      </c>
      <c r="Q2593" s="74"/>
      <c r="R2593" s="75"/>
      <c r="S2593" s="75"/>
      <c r="T2593" s="75"/>
      <c r="U2593" s="75"/>
      <c r="V2593" s="75"/>
      <c r="W2593" s="74"/>
      <c r="X2593" s="76"/>
      <c r="Y2593" s="76"/>
      <c r="Z2593" s="76"/>
      <c r="AA2593" s="76"/>
      <c r="AB2593" s="76"/>
      <c r="AC2593" s="74"/>
      <c r="AD2593" s="77"/>
      <c r="AE2593" s="77"/>
      <c r="AF2593" s="77"/>
      <c r="AG2593" s="77"/>
      <c r="AH2593" s="77"/>
      <c r="AI2593" s="68"/>
      <c r="AJ2593" s="213">
        <v>3.9689999999999994E-4</v>
      </c>
      <c r="AK2593" s="213">
        <v>1.7345999999999999</v>
      </c>
      <c r="AL2593" s="213">
        <v>2</v>
      </c>
      <c r="AM2593" s="213">
        <v>3.6734700000000002E-4</v>
      </c>
      <c r="AN2593" s="74"/>
      <c r="AO2593" s="73"/>
      <c r="AP2593" s="73"/>
      <c r="AQ2593" s="73"/>
      <c r="AR2593" s="73"/>
      <c r="AS2593" s="73"/>
      <c r="AT2593" s="74"/>
      <c r="AU2593" s="47"/>
      <c r="AV2593" s="48"/>
    </row>
    <row r="2594" spans="1:48" ht="12.75" customHeight="1" x14ac:dyDescent="0.25">
      <c r="A2594" s="72" t="s">
        <v>20</v>
      </c>
      <c r="B2594" s="43" t="s">
        <v>2240</v>
      </c>
      <c r="C2594" s="44" t="s">
        <v>2752</v>
      </c>
      <c r="D2594" s="45">
        <f>MROUND(MID($C2594,6,3)/Basis!$E$3,0.5)</f>
        <v>27.5</v>
      </c>
      <c r="E2594" s="45">
        <f>MROUND(MID($C2594,9,3)/Basis!$E$3,0.5)</f>
        <v>31.5</v>
      </c>
      <c r="F2594" s="124" t="s">
        <v>2946</v>
      </c>
      <c r="G2594" s="45">
        <f>ROUND((ROUNDDOWN($F2594/5,0)*5+1.8)/Basis!$E$3,1)</f>
        <v>4.5999999999999996</v>
      </c>
      <c r="H2594" s="120">
        <f>ROUND($P2594*Basis!$E$2*((TaH-TrH)/LN(1/µ)/Basis!$E$7)^$N2594*$AA$4*Glycol,0)</f>
        <v>2702</v>
      </c>
      <c r="I2594" s="83">
        <f>ROUND(H2594/(MID($C2594,9,3)/Basis!$E$3/Basis!$E$9)*Basis!$E$11,0)</f>
        <v>1029</v>
      </c>
      <c r="J2594" s="123">
        <f>IF(Basis!$E$1=1,ROUND(H2594/((TaH-TrH)*1.163)/3600,3),ROUND(H2594/(500*(TaH-TrH)),2))</f>
        <v>0.27</v>
      </c>
      <c r="K2594" s="84"/>
      <c r="L2594" s="177">
        <f>CHOOSE(Basis!$E$1,((AJ2594*(J2594*3600/Basis!$E$5)^AK2594*(((MID(C2594,9,3)*10)-144)/1000)*AL2594+AM2594*(J2594*3600/Basis!$E$5)^2)*0.0098)/Basis!$E$10,((AJ2594*(J2594/Basis!$E$5)^AK2594*(((MID(C2594,9,3)*10)-144)/1000)*AL2594+AM2594*(J2594/Basis!$E$5)^2)*0.0098)/Basis!$E$10)</f>
        <v>1.1356612263128696E-2</v>
      </c>
      <c r="M2594" s="85"/>
      <c r="N2594" s="109">
        <v>1.4359999999999999</v>
      </c>
      <c r="O2594" s="68"/>
      <c r="P2594" s="67">
        <v>1272</v>
      </c>
      <c r="Q2594" s="68"/>
      <c r="R2594" s="69"/>
      <c r="S2594" s="69"/>
      <c r="T2594" s="69"/>
      <c r="U2594" s="69"/>
      <c r="V2594" s="69"/>
      <c r="W2594" s="68"/>
      <c r="X2594" s="70"/>
      <c r="Y2594" s="70"/>
      <c r="Z2594" s="70"/>
      <c r="AA2594" s="70"/>
      <c r="AB2594" s="70"/>
      <c r="AC2594" s="68"/>
      <c r="AD2594" s="71"/>
      <c r="AE2594" s="71"/>
      <c r="AF2594" s="71"/>
      <c r="AG2594" s="71"/>
      <c r="AH2594" s="71"/>
      <c r="AI2594" s="68"/>
      <c r="AJ2594" s="214">
        <v>3.9689999999999994E-4</v>
      </c>
      <c r="AK2594" s="214">
        <v>1.7345999999999999</v>
      </c>
      <c r="AL2594" s="214">
        <v>4</v>
      </c>
      <c r="AM2594" s="214">
        <v>5.7428799999999995E-4</v>
      </c>
      <c r="AN2594" s="68"/>
      <c r="AO2594" s="67"/>
      <c r="AP2594" s="67"/>
      <c r="AQ2594" s="67"/>
      <c r="AR2594" s="67"/>
      <c r="AS2594" s="67"/>
      <c r="AT2594" s="68"/>
      <c r="AU2594" s="49"/>
      <c r="AV2594" s="50"/>
    </row>
    <row r="2595" spans="1:48" ht="12.75" customHeight="1" x14ac:dyDescent="0.25">
      <c r="A2595" s="72" t="s">
        <v>20</v>
      </c>
      <c r="B2595" s="43" t="s">
        <v>2240</v>
      </c>
      <c r="C2595" s="44" t="s">
        <v>2753</v>
      </c>
      <c r="D2595" s="45">
        <f>MROUND(MID($C2595,6,3)/Basis!$E$3,0.5)</f>
        <v>27.5</v>
      </c>
      <c r="E2595" s="45">
        <f>MROUND(MID($C2595,9,3)/Basis!$E$3,0.5)</f>
        <v>31.5</v>
      </c>
      <c r="F2595" s="124" t="s">
        <v>2944</v>
      </c>
      <c r="G2595" s="45">
        <f>ROUND((ROUNDDOWN($F2595/5,0)*5+1.8)/Basis!$E$3,1)</f>
        <v>6.6</v>
      </c>
      <c r="H2595" s="120">
        <f>ROUND($P2595*Basis!$E$2*((TaH-TrH)/LN(1/µ)/Basis!$E$7)^$N2595*$AA$4*Glycol,0)</f>
        <v>3448</v>
      </c>
      <c r="I2595" s="83">
        <f>ROUND(H2595/(MID($C2595,9,3)/Basis!$E$3/Basis!$E$9)*Basis!$E$11,0)</f>
        <v>1314</v>
      </c>
      <c r="J2595" s="123">
        <f>IF(Basis!$E$1=1,ROUND(H2595/((TaH-TrH)*1.163)/3600,3),ROUND(H2595/(500*(TaH-TrH)),2))</f>
        <v>0.34</v>
      </c>
      <c r="K2595" s="84"/>
      <c r="L2595" s="177">
        <f>CHOOSE(Basis!$E$1,((AJ2595*(J2595*3600/Basis!$E$5)^AK2595*(((MID(C2595,9,3)*10)-144)/1000)*AL2595+AM2595*(J2595*3600/Basis!$E$5)^2)*0.0098)/Basis!$E$10,((AJ2595*(J2595/Basis!$E$5)^AK2595*(((MID(C2595,9,3)*10)-144)/1000)*AL2595+AM2595*(J2595/Basis!$E$5)^2)*0.0098)/Basis!$E$10)</f>
        <v>1.0610342233549093E-2</v>
      </c>
      <c r="M2595" s="85"/>
      <c r="N2595" s="109">
        <v>1.35</v>
      </c>
      <c r="O2595" s="68"/>
      <c r="P2595" s="67">
        <v>1578</v>
      </c>
      <c r="Q2595" s="68"/>
      <c r="R2595" s="69"/>
      <c r="S2595" s="69"/>
      <c r="T2595" s="69"/>
      <c r="U2595" s="69"/>
      <c r="V2595" s="69"/>
      <c r="W2595" s="68"/>
      <c r="X2595" s="70"/>
      <c r="Y2595" s="70"/>
      <c r="Z2595" s="70"/>
      <c r="AA2595" s="70"/>
      <c r="AB2595" s="70"/>
      <c r="AC2595" s="68"/>
      <c r="AD2595" s="71"/>
      <c r="AE2595" s="71"/>
      <c r="AF2595" s="71"/>
      <c r="AG2595" s="71"/>
      <c r="AH2595" s="71"/>
      <c r="AI2595" s="68"/>
      <c r="AJ2595" s="214">
        <v>2.0829999999999999E-4</v>
      </c>
      <c r="AK2595" s="214">
        <v>1.724</v>
      </c>
      <c r="AL2595" s="214">
        <v>2</v>
      </c>
      <c r="AM2595" s="214">
        <v>4.6182900000000003E-4</v>
      </c>
      <c r="AN2595" s="68"/>
      <c r="AO2595" s="67"/>
      <c r="AP2595" s="67"/>
      <c r="AQ2595" s="67"/>
      <c r="AR2595" s="67"/>
      <c r="AS2595" s="67"/>
      <c r="AT2595" s="68"/>
      <c r="AU2595" s="49"/>
      <c r="AV2595" s="50"/>
    </row>
    <row r="2596" spans="1:48" ht="12.75" customHeight="1" x14ac:dyDescent="0.25">
      <c r="A2596" s="72" t="s">
        <v>20</v>
      </c>
      <c r="B2596" s="43" t="s">
        <v>2240</v>
      </c>
      <c r="C2596" s="44" t="s">
        <v>2754</v>
      </c>
      <c r="D2596" s="45">
        <f>MROUND(MID($C2596,6,3)/Basis!$E$3,0.5)</f>
        <v>27.5</v>
      </c>
      <c r="E2596" s="45">
        <f>MROUND(MID($C2596,9,3)/Basis!$E$3,0.5)</f>
        <v>31.5</v>
      </c>
      <c r="F2596" s="124" t="s">
        <v>2947</v>
      </c>
      <c r="G2596" s="45">
        <f>ROUND((ROUNDDOWN($F2596/5,0)*5+1.8)/Basis!$E$3,1)</f>
        <v>6.6</v>
      </c>
      <c r="H2596" s="120">
        <f>ROUND($P2596*Basis!$E$2*((TaH-TrH)/LN(1/µ)/Basis!$E$7)^$N2596*$AA$4*Glycol,0)</f>
        <v>3795</v>
      </c>
      <c r="I2596" s="83">
        <f>ROUND(H2596/(MID($C2596,9,3)/Basis!$E$3/Basis!$E$9)*Basis!$E$11,0)</f>
        <v>1446</v>
      </c>
      <c r="J2596" s="123">
        <f>IF(Basis!$E$1=1,ROUND(H2596/((TaH-TrH)*1.163)/3600,3),ROUND(H2596/(500*(TaH-TrH)),2))</f>
        <v>0.38</v>
      </c>
      <c r="K2596" s="84"/>
      <c r="L2596" s="177">
        <f>CHOOSE(Basis!$E$1,((AJ2596*(J2596*3600/Basis!$E$5)^AK2596*(((MID(C2596,9,3)*10)-144)/1000)*AL2596+AM2596*(J2596*3600/Basis!$E$5)^2)*0.0098)/Basis!$E$10,((AJ2596*(J2596/Basis!$E$5)^AK2596*(((MID(C2596,9,3)*10)-144)/1000)*AL2596+AM2596*(J2596/Basis!$E$5)^2)*0.0098)/Basis!$E$10)</f>
        <v>3.7812544485709171E-2</v>
      </c>
      <c r="M2596" s="85"/>
      <c r="N2596" s="110">
        <v>1.472</v>
      </c>
      <c r="O2596" s="74"/>
      <c r="P2596" s="73">
        <v>1808</v>
      </c>
      <c r="Q2596" s="74"/>
      <c r="R2596" s="75"/>
      <c r="S2596" s="75"/>
      <c r="T2596" s="75"/>
      <c r="U2596" s="75"/>
      <c r="V2596" s="75"/>
      <c r="W2596" s="74"/>
      <c r="X2596" s="76"/>
      <c r="Y2596" s="76"/>
      <c r="Z2596" s="76"/>
      <c r="AA2596" s="76"/>
      <c r="AB2596" s="76"/>
      <c r="AC2596" s="74"/>
      <c r="AD2596" s="77"/>
      <c r="AE2596" s="77"/>
      <c r="AF2596" s="77"/>
      <c r="AG2596" s="77"/>
      <c r="AH2596" s="77"/>
      <c r="AI2596" s="68"/>
      <c r="AJ2596" s="213">
        <v>2.0829999999999999E-4</v>
      </c>
      <c r="AK2596" s="213">
        <v>1.724</v>
      </c>
      <c r="AL2596" s="213">
        <v>4</v>
      </c>
      <c r="AM2596" s="213">
        <v>1.392796E-3</v>
      </c>
      <c r="AN2596" s="74"/>
      <c r="AO2596" s="73"/>
      <c r="AP2596" s="73"/>
      <c r="AQ2596" s="73"/>
      <c r="AR2596" s="73"/>
      <c r="AS2596" s="73"/>
      <c r="AT2596" s="74"/>
      <c r="AU2596" s="47"/>
      <c r="AV2596" s="48"/>
    </row>
    <row r="2597" spans="1:48" ht="12.75" customHeight="1" x14ac:dyDescent="0.25">
      <c r="A2597" s="72" t="s">
        <v>20</v>
      </c>
      <c r="B2597" s="43" t="s">
        <v>2240</v>
      </c>
      <c r="C2597" s="44" t="s">
        <v>2755</v>
      </c>
      <c r="D2597" s="45">
        <f>MROUND(MID($C2597,6,3)/Basis!$E$3,0.5)</f>
        <v>27.5</v>
      </c>
      <c r="E2597" s="45">
        <f>MROUND(MID($C2597,9,3)/Basis!$E$3,0.5)</f>
        <v>31.5</v>
      </c>
      <c r="F2597" s="124" t="s">
        <v>2945</v>
      </c>
      <c r="G2597" s="45">
        <f>ROUND((ROUNDDOWN($F2597/5,0)*5+1.8)/Basis!$E$3,1)</f>
        <v>8.6</v>
      </c>
      <c r="H2597" s="120">
        <f>ROUND($P2597*Basis!$E$2*((TaH-TrH)/LN(1/µ)/Basis!$E$7)^$N2597*$AA$4*Glycol,0)</f>
        <v>4814</v>
      </c>
      <c r="I2597" s="83">
        <f>ROUND(H2597/(MID($C2597,9,3)/Basis!$E$3/Basis!$E$9)*Basis!$E$11,0)</f>
        <v>1834</v>
      </c>
      <c r="J2597" s="123">
        <f>IF(Basis!$E$1=1,ROUND(H2597/((TaH-TrH)*1.163)/3600,3),ROUND(H2597/(500*(TaH-TrH)),2))</f>
        <v>0.48</v>
      </c>
      <c r="K2597" s="84"/>
      <c r="L2597" s="177">
        <f>CHOOSE(Basis!$E$1,((AJ2597*(J2597*3600/Basis!$E$5)^AK2597*(((MID(C2597,9,3)*10)-144)/1000)*AL2597+AM2597*(J2597*3600/Basis!$E$5)^2)*0.0098)/Basis!$E$10,((AJ2597*(J2597/Basis!$E$5)^AK2597*(((MID(C2597,9,3)*10)-144)/1000)*AL2597+AM2597*(J2597/Basis!$E$5)^2)*0.0098)/Basis!$E$10)</f>
        <v>1.6400427760336945E-2</v>
      </c>
      <c r="M2597" s="85"/>
      <c r="N2597" s="110">
        <v>1.349</v>
      </c>
      <c r="O2597" s="74"/>
      <c r="P2597" s="73">
        <v>2202</v>
      </c>
      <c r="Q2597" s="74"/>
      <c r="R2597" s="75"/>
      <c r="S2597" s="75"/>
      <c r="T2597" s="75"/>
      <c r="U2597" s="75"/>
      <c r="V2597" s="75"/>
      <c r="W2597" s="74"/>
      <c r="X2597" s="76"/>
      <c r="Y2597" s="76"/>
      <c r="Z2597" s="76"/>
      <c r="AA2597" s="76"/>
      <c r="AB2597" s="76"/>
      <c r="AC2597" s="74"/>
      <c r="AD2597" s="77"/>
      <c r="AE2597" s="77"/>
      <c r="AF2597" s="77"/>
      <c r="AG2597" s="77"/>
      <c r="AH2597" s="77"/>
      <c r="AI2597" s="68"/>
      <c r="AJ2597" s="214">
        <v>1.2760000000000001E-4</v>
      </c>
      <c r="AK2597" s="214">
        <v>1.7219</v>
      </c>
      <c r="AL2597" s="214">
        <v>2</v>
      </c>
      <c r="AM2597" s="214">
        <v>3.76611E-4</v>
      </c>
      <c r="AN2597" s="74"/>
      <c r="AO2597" s="73"/>
      <c r="AP2597" s="73"/>
      <c r="AQ2597" s="73"/>
      <c r="AR2597" s="73"/>
      <c r="AS2597" s="73"/>
      <c r="AT2597" s="74"/>
      <c r="AU2597" s="47"/>
      <c r="AV2597" s="48"/>
    </row>
    <row r="2598" spans="1:48" ht="12.75" customHeight="1" x14ac:dyDescent="0.25">
      <c r="A2598" s="72" t="s">
        <v>20</v>
      </c>
      <c r="B2598" s="43" t="s">
        <v>2240</v>
      </c>
      <c r="C2598" s="44" t="s">
        <v>2756</v>
      </c>
      <c r="D2598" s="45">
        <f>MROUND(MID($C2598,6,3)/Basis!$E$3,0.5)</f>
        <v>27.5</v>
      </c>
      <c r="E2598" s="45">
        <f>MROUND(MID($C2598,9,3)/Basis!$E$3,0.5)</f>
        <v>31.5</v>
      </c>
      <c r="F2598" s="124" t="s">
        <v>2948</v>
      </c>
      <c r="G2598" s="45">
        <f>ROUND((ROUNDDOWN($F2598/5,0)*5+1.8)/Basis!$E$3,1)</f>
        <v>8.6</v>
      </c>
      <c r="H2598" s="120">
        <f>ROUND($P2598*Basis!$E$2*((TaH-TrH)/LN(1/µ)/Basis!$E$7)^$N2598*$AA$4*Glycol,0)</f>
        <v>5285</v>
      </c>
      <c r="I2598" s="83">
        <f>ROUND(H2598/(MID($C2598,9,3)/Basis!$E$3/Basis!$E$9)*Basis!$E$11,0)</f>
        <v>2014</v>
      </c>
      <c r="J2598" s="123">
        <f>IF(Basis!$E$1=1,ROUND(H2598/((TaH-TrH)*1.163)/3600,3),ROUND(H2598/(500*(TaH-TrH)),2))</f>
        <v>0.53</v>
      </c>
      <c r="K2598" s="84"/>
      <c r="L2598" s="177">
        <f>CHOOSE(Basis!$E$1,((AJ2598*(J2598*3600/Basis!$E$5)^AK2598*(((MID(C2598,9,3)*10)-144)/1000)*AL2598+AM2598*(J2598*3600/Basis!$E$5)^2)*0.0098)/Basis!$E$10,((AJ2598*(J2598/Basis!$E$5)^AK2598*(((MID(C2598,9,3)*10)-144)/1000)*AL2598+AM2598*(J2598/Basis!$E$5)^2)*0.0098)/Basis!$E$10)</f>
        <v>2.8548642656556288E-2</v>
      </c>
      <c r="M2598" s="85"/>
      <c r="N2598" s="109">
        <v>1.5009999999999999</v>
      </c>
      <c r="O2598" s="68"/>
      <c r="P2598" s="67">
        <v>2542</v>
      </c>
      <c r="Q2598" s="68"/>
      <c r="R2598" s="69"/>
      <c r="S2598" s="69"/>
      <c r="T2598" s="69"/>
      <c r="U2598" s="69"/>
      <c r="V2598" s="69"/>
      <c r="W2598" s="68"/>
      <c r="X2598" s="70"/>
      <c r="Y2598" s="70"/>
      <c r="Z2598" s="70"/>
      <c r="AA2598" s="70"/>
      <c r="AB2598" s="70"/>
      <c r="AC2598" s="68"/>
      <c r="AD2598" s="71"/>
      <c r="AE2598" s="71"/>
      <c r="AF2598" s="71"/>
      <c r="AG2598" s="71"/>
      <c r="AH2598" s="71"/>
      <c r="AI2598" s="68"/>
      <c r="AJ2598" s="214">
        <v>1.2760000000000001E-4</v>
      </c>
      <c r="AK2598" s="214">
        <v>1.7219</v>
      </c>
      <c r="AL2598" s="214">
        <v>4</v>
      </c>
      <c r="AM2598" s="214">
        <v>5.1420100000000005E-4</v>
      </c>
      <c r="AN2598" s="68"/>
      <c r="AO2598" s="67"/>
      <c r="AP2598" s="67"/>
      <c r="AQ2598" s="67"/>
      <c r="AR2598" s="67"/>
      <c r="AS2598" s="67"/>
      <c r="AT2598" s="68"/>
      <c r="AU2598" s="49"/>
      <c r="AV2598" s="50"/>
    </row>
    <row r="2599" spans="1:48" ht="12.75" customHeight="1" x14ac:dyDescent="0.25">
      <c r="A2599" s="72" t="s">
        <v>20</v>
      </c>
      <c r="B2599" s="43" t="s">
        <v>2240</v>
      </c>
      <c r="C2599" s="44" t="s">
        <v>2757</v>
      </c>
      <c r="D2599" s="45">
        <f>MROUND(MID($C2599,6,3)/Basis!$E$3,0.5)</f>
        <v>27.5</v>
      </c>
      <c r="E2599" s="45">
        <f>MROUND(MID($C2599,9,3)/Basis!$E$3,0.5)</f>
        <v>35.5</v>
      </c>
      <c r="F2599" s="124" t="s">
        <v>2943</v>
      </c>
      <c r="G2599" s="45">
        <f>ROUND((ROUNDDOWN($F2599/5,0)*5+1.8)/Basis!$E$3,1)</f>
        <v>4.5999999999999996</v>
      </c>
      <c r="H2599" s="120">
        <f>ROUND($P2599*Basis!$E$2*((TaH-TrH)/LN(1/µ)/Basis!$E$7)^$N2599*$AA$4*Glycol,0)</f>
        <v>2441</v>
      </c>
      <c r="I2599" s="83">
        <f>ROUND(H2599/(MID($C2599,9,3)/Basis!$E$3/Basis!$E$9)*Basis!$E$11,0)</f>
        <v>827</v>
      </c>
      <c r="J2599" s="123">
        <f>IF(Basis!$E$1=1,ROUND(H2599/((TaH-TrH)*1.163)/3600,3),ROUND(H2599/(500*(TaH-TrH)),2))</f>
        <v>0.24</v>
      </c>
      <c r="K2599" s="84"/>
      <c r="L2599" s="177">
        <f>CHOOSE(Basis!$E$1,((AJ2599*(J2599*3600/Basis!$E$5)^AK2599*(((MID(C2599,9,3)*10)-144)/1000)*AL2599+AM2599*(J2599*3600/Basis!$E$5)^2)*0.0098)/Basis!$E$10,((AJ2599*(J2599/Basis!$E$5)^AK2599*(((MID(C2599,9,3)*10)-144)/1000)*AL2599+AM2599*(J2599/Basis!$E$5)^2)*0.0098)/Basis!$E$10)</f>
        <v>5.5865261385593208E-3</v>
      </c>
      <c r="M2599" s="85"/>
      <c r="N2599" s="109">
        <v>1.3660000000000001</v>
      </c>
      <c r="O2599" s="68"/>
      <c r="P2599" s="67">
        <v>1123</v>
      </c>
      <c r="Q2599" s="68"/>
      <c r="R2599" s="69"/>
      <c r="S2599" s="69"/>
      <c r="T2599" s="69"/>
      <c r="U2599" s="69"/>
      <c r="V2599" s="69"/>
      <c r="W2599" s="68"/>
      <c r="X2599" s="70"/>
      <c r="Y2599" s="70"/>
      <c r="Z2599" s="70"/>
      <c r="AA2599" s="70"/>
      <c r="AB2599" s="70"/>
      <c r="AC2599" s="68"/>
      <c r="AD2599" s="71"/>
      <c r="AE2599" s="71"/>
      <c r="AF2599" s="71"/>
      <c r="AG2599" s="71"/>
      <c r="AH2599" s="71"/>
      <c r="AI2599" s="68"/>
      <c r="AJ2599" s="214">
        <v>3.9689999999999994E-4</v>
      </c>
      <c r="AK2599" s="214">
        <v>1.7345999999999999</v>
      </c>
      <c r="AL2599" s="214">
        <v>2</v>
      </c>
      <c r="AM2599" s="214">
        <v>3.6734700000000002E-4</v>
      </c>
      <c r="AN2599" s="68"/>
      <c r="AO2599" s="67"/>
      <c r="AP2599" s="67"/>
      <c r="AQ2599" s="67"/>
      <c r="AR2599" s="67"/>
      <c r="AS2599" s="67"/>
      <c r="AT2599" s="68"/>
      <c r="AU2599" s="49"/>
      <c r="AV2599" s="50"/>
    </row>
    <row r="2600" spans="1:48" ht="12.75" customHeight="1" x14ac:dyDescent="0.25">
      <c r="A2600" s="72" t="s">
        <v>20</v>
      </c>
      <c r="B2600" s="43" t="s">
        <v>2240</v>
      </c>
      <c r="C2600" s="44" t="s">
        <v>2758</v>
      </c>
      <c r="D2600" s="45">
        <f>MROUND(MID($C2600,6,3)/Basis!$E$3,0.5)</f>
        <v>27.5</v>
      </c>
      <c r="E2600" s="45">
        <f>MROUND(MID($C2600,9,3)/Basis!$E$3,0.5)</f>
        <v>35.5</v>
      </c>
      <c r="F2600" s="124" t="s">
        <v>2946</v>
      </c>
      <c r="G2600" s="45">
        <f>ROUND((ROUNDDOWN($F2600/5,0)*5+1.8)/Basis!$E$3,1)</f>
        <v>4.5999999999999996</v>
      </c>
      <c r="H2600" s="120">
        <f>ROUND($P2600*Basis!$E$2*((TaH-TrH)/LN(1/µ)/Basis!$E$7)^$N2600*$AA$4*Glycol,0)</f>
        <v>3040</v>
      </c>
      <c r="I2600" s="83">
        <f>ROUND(H2600/(MID($C2600,9,3)/Basis!$E$3/Basis!$E$9)*Basis!$E$11,0)</f>
        <v>1030</v>
      </c>
      <c r="J2600" s="123">
        <f>IF(Basis!$E$1=1,ROUND(H2600/((TaH-TrH)*1.163)/3600,3),ROUND(H2600/(500*(TaH-TrH)),2))</f>
        <v>0.3</v>
      </c>
      <c r="K2600" s="84"/>
      <c r="L2600" s="177">
        <f>CHOOSE(Basis!$E$1,((AJ2600*(J2600*3600/Basis!$E$5)^AK2600*(((MID(C2600,9,3)*10)-144)/1000)*AL2600+AM2600*(J2600*3600/Basis!$E$5)^2)*0.0098)/Basis!$E$10,((AJ2600*(J2600/Basis!$E$5)^AK2600*(((MID(C2600,9,3)*10)-144)/1000)*AL2600+AM2600*(J2600/Basis!$E$5)^2)*0.0098)/Basis!$E$10)</f>
        <v>1.4660326467626215E-2</v>
      </c>
      <c r="M2600" s="85"/>
      <c r="N2600" s="110">
        <v>1.4359999999999999</v>
      </c>
      <c r="O2600" s="74"/>
      <c r="P2600" s="73">
        <v>1431</v>
      </c>
      <c r="Q2600" s="74"/>
      <c r="R2600" s="75"/>
      <c r="S2600" s="75"/>
      <c r="T2600" s="75"/>
      <c r="U2600" s="75"/>
      <c r="V2600" s="75"/>
      <c r="W2600" s="74"/>
      <c r="X2600" s="76"/>
      <c r="Y2600" s="76"/>
      <c r="Z2600" s="76"/>
      <c r="AA2600" s="76"/>
      <c r="AB2600" s="76"/>
      <c r="AC2600" s="74"/>
      <c r="AD2600" s="77"/>
      <c r="AE2600" s="77"/>
      <c r="AF2600" s="77"/>
      <c r="AG2600" s="77"/>
      <c r="AH2600" s="77"/>
      <c r="AI2600" s="68"/>
      <c r="AJ2600" s="213">
        <v>3.9689999999999994E-4</v>
      </c>
      <c r="AK2600" s="213">
        <v>1.7345999999999999</v>
      </c>
      <c r="AL2600" s="213">
        <v>4</v>
      </c>
      <c r="AM2600" s="213">
        <v>5.7428799999999995E-4</v>
      </c>
      <c r="AN2600" s="74"/>
      <c r="AO2600" s="73"/>
      <c r="AP2600" s="73"/>
      <c r="AQ2600" s="73"/>
      <c r="AR2600" s="73"/>
      <c r="AS2600" s="73"/>
      <c r="AT2600" s="74"/>
      <c r="AU2600" s="47"/>
      <c r="AV2600" s="48"/>
    </row>
    <row r="2601" spans="1:48" ht="12.75" customHeight="1" x14ac:dyDescent="0.25">
      <c r="A2601" s="72" t="s">
        <v>20</v>
      </c>
      <c r="B2601" s="43" t="s">
        <v>2240</v>
      </c>
      <c r="C2601" s="44" t="s">
        <v>2759</v>
      </c>
      <c r="D2601" s="45">
        <f>MROUND(MID($C2601,6,3)/Basis!$E$3,0.5)</f>
        <v>27.5</v>
      </c>
      <c r="E2601" s="45">
        <f>MROUND(MID($C2601,9,3)/Basis!$E$3,0.5)</f>
        <v>35.5</v>
      </c>
      <c r="F2601" s="124" t="s">
        <v>2944</v>
      </c>
      <c r="G2601" s="45">
        <f>ROUND((ROUNDDOWN($F2601/5,0)*5+1.8)/Basis!$E$3,1)</f>
        <v>6.6</v>
      </c>
      <c r="H2601" s="120">
        <f>ROUND($P2601*Basis!$E$2*((TaH-TrH)/LN(1/µ)/Basis!$E$7)^$N2601*$AA$4*Glycol,0)</f>
        <v>3879</v>
      </c>
      <c r="I2601" s="83">
        <f>ROUND(H2601/(MID($C2601,9,3)/Basis!$E$3/Basis!$E$9)*Basis!$E$11,0)</f>
        <v>1314</v>
      </c>
      <c r="J2601" s="123">
        <f>IF(Basis!$E$1=1,ROUND(H2601/((TaH-TrH)*1.163)/3600,3),ROUND(H2601/(500*(TaH-TrH)),2))</f>
        <v>0.39</v>
      </c>
      <c r="K2601" s="84"/>
      <c r="L2601" s="177">
        <f>CHOOSE(Basis!$E$1,((AJ2601*(J2601*3600/Basis!$E$5)^AK2601*(((MID(C2601,9,3)*10)-144)/1000)*AL2601+AM2601*(J2601*3600/Basis!$E$5)^2)*0.0098)/Basis!$E$10,((AJ2601*(J2601/Basis!$E$5)^AK2601*(((MID(C2601,9,3)*10)-144)/1000)*AL2601+AM2601*(J2601/Basis!$E$5)^2)*0.0098)/Basis!$E$10)</f>
        <v>1.4192044504543267E-2</v>
      </c>
      <c r="M2601" s="85"/>
      <c r="N2601" s="110">
        <v>1.35</v>
      </c>
      <c r="O2601" s="74"/>
      <c r="P2601" s="73">
        <v>1775</v>
      </c>
      <c r="Q2601" s="74"/>
      <c r="R2601" s="75"/>
      <c r="S2601" s="75"/>
      <c r="T2601" s="75"/>
      <c r="U2601" s="75"/>
      <c r="V2601" s="75"/>
      <c r="W2601" s="74"/>
      <c r="X2601" s="76"/>
      <c r="Y2601" s="76"/>
      <c r="Z2601" s="76"/>
      <c r="AA2601" s="76"/>
      <c r="AB2601" s="76"/>
      <c r="AC2601" s="74"/>
      <c r="AD2601" s="77"/>
      <c r="AE2601" s="77"/>
      <c r="AF2601" s="77"/>
      <c r="AG2601" s="77"/>
      <c r="AH2601" s="77"/>
      <c r="AI2601" s="68"/>
      <c r="AJ2601" s="213">
        <v>2.0829999999999999E-4</v>
      </c>
      <c r="AK2601" s="213">
        <v>1.724</v>
      </c>
      <c r="AL2601" s="213">
        <v>2</v>
      </c>
      <c r="AM2601" s="213">
        <v>4.6182900000000003E-4</v>
      </c>
      <c r="AN2601" s="74"/>
      <c r="AO2601" s="73"/>
      <c r="AP2601" s="73"/>
      <c r="AQ2601" s="73"/>
      <c r="AR2601" s="73"/>
      <c r="AS2601" s="73"/>
      <c r="AT2601" s="74"/>
      <c r="AU2601" s="47"/>
      <c r="AV2601" s="48"/>
    </row>
    <row r="2602" spans="1:48" ht="12.75" customHeight="1" x14ac:dyDescent="0.25">
      <c r="A2602" s="72" t="s">
        <v>20</v>
      </c>
      <c r="B2602" s="43" t="s">
        <v>2240</v>
      </c>
      <c r="C2602" s="44" t="s">
        <v>2760</v>
      </c>
      <c r="D2602" s="45">
        <f>MROUND(MID($C2602,6,3)/Basis!$E$3,0.5)</f>
        <v>27.5</v>
      </c>
      <c r="E2602" s="45">
        <f>MROUND(MID($C2602,9,3)/Basis!$E$3,0.5)</f>
        <v>35.5</v>
      </c>
      <c r="F2602" s="124" t="s">
        <v>2947</v>
      </c>
      <c r="G2602" s="45">
        <f>ROUND((ROUNDDOWN($F2602/5,0)*5+1.8)/Basis!$E$3,1)</f>
        <v>6.6</v>
      </c>
      <c r="H2602" s="120">
        <f>ROUND($P2602*Basis!$E$2*((TaH-TrH)/LN(1/µ)/Basis!$E$7)^$N2602*$AA$4*Glycol,0)</f>
        <v>4270</v>
      </c>
      <c r="I2602" s="83">
        <f>ROUND(H2602/(MID($C2602,9,3)/Basis!$E$3/Basis!$E$9)*Basis!$E$11,0)</f>
        <v>1446</v>
      </c>
      <c r="J2602" s="123">
        <f>IF(Basis!$E$1=1,ROUND(H2602/((TaH-TrH)*1.163)/3600,3),ROUND(H2602/(500*(TaH-TrH)),2))</f>
        <v>0.43</v>
      </c>
      <c r="K2602" s="84"/>
      <c r="L2602" s="177">
        <f>CHOOSE(Basis!$E$1,((AJ2602*(J2602*3600/Basis!$E$5)^AK2602*(((MID(C2602,9,3)*10)-144)/1000)*AL2602+AM2602*(J2602*3600/Basis!$E$5)^2)*0.0098)/Basis!$E$10,((AJ2602*(J2602/Basis!$E$5)^AK2602*(((MID(C2602,9,3)*10)-144)/1000)*AL2602+AM2602*(J2602/Basis!$E$5)^2)*0.0098)/Basis!$E$10)</f>
        <v>4.8984576360098085E-2</v>
      </c>
      <c r="M2602" s="85"/>
      <c r="N2602" s="109">
        <v>1.472</v>
      </c>
      <c r="O2602" s="68"/>
      <c r="P2602" s="67">
        <v>2034</v>
      </c>
      <c r="Q2602" s="68"/>
      <c r="R2602" s="69"/>
      <c r="S2602" s="69"/>
      <c r="T2602" s="69"/>
      <c r="U2602" s="69"/>
      <c r="V2602" s="69"/>
      <c r="W2602" s="68"/>
      <c r="X2602" s="70"/>
      <c r="Y2602" s="70"/>
      <c r="Z2602" s="70"/>
      <c r="AA2602" s="70"/>
      <c r="AB2602" s="70"/>
      <c r="AC2602" s="68"/>
      <c r="AD2602" s="71"/>
      <c r="AE2602" s="71"/>
      <c r="AF2602" s="71"/>
      <c r="AG2602" s="71"/>
      <c r="AH2602" s="71"/>
      <c r="AI2602" s="68"/>
      <c r="AJ2602" s="214">
        <v>2.0829999999999999E-4</v>
      </c>
      <c r="AK2602" s="214">
        <v>1.724</v>
      </c>
      <c r="AL2602" s="214">
        <v>4</v>
      </c>
      <c r="AM2602" s="214">
        <v>1.392796E-3</v>
      </c>
      <c r="AN2602" s="68"/>
      <c r="AO2602" s="67"/>
      <c r="AP2602" s="67"/>
      <c r="AQ2602" s="67"/>
      <c r="AR2602" s="67"/>
      <c r="AS2602" s="67"/>
      <c r="AT2602" s="68"/>
      <c r="AU2602" s="49"/>
      <c r="AV2602" s="50"/>
    </row>
    <row r="2603" spans="1:48" ht="12.75" customHeight="1" x14ac:dyDescent="0.25">
      <c r="A2603" s="72" t="s">
        <v>20</v>
      </c>
      <c r="B2603" s="43" t="s">
        <v>2240</v>
      </c>
      <c r="C2603" s="44" t="s">
        <v>2761</v>
      </c>
      <c r="D2603" s="45">
        <f>MROUND(MID($C2603,6,3)/Basis!$E$3,0.5)</f>
        <v>27.5</v>
      </c>
      <c r="E2603" s="45">
        <f>MROUND(MID($C2603,9,3)/Basis!$E$3,0.5)</f>
        <v>35.5</v>
      </c>
      <c r="F2603" s="124" t="s">
        <v>2945</v>
      </c>
      <c r="G2603" s="45">
        <f>ROUND((ROUNDDOWN($F2603/5,0)*5+1.8)/Basis!$E$3,1)</f>
        <v>8.6</v>
      </c>
      <c r="H2603" s="120">
        <f>ROUND($P2603*Basis!$E$2*((TaH-TrH)/LN(1/µ)/Basis!$E$7)^$N2603*$AA$4*Glycol,0)</f>
        <v>5417</v>
      </c>
      <c r="I2603" s="83">
        <f>ROUND(H2603/(MID($C2603,9,3)/Basis!$E$3/Basis!$E$9)*Basis!$E$11,0)</f>
        <v>1835</v>
      </c>
      <c r="J2603" s="123">
        <f>IF(Basis!$E$1=1,ROUND(H2603/((TaH-TrH)*1.163)/3600,3),ROUND(H2603/(500*(TaH-TrH)),2))</f>
        <v>0.54</v>
      </c>
      <c r="K2603" s="84"/>
      <c r="L2603" s="177">
        <f>CHOOSE(Basis!$E$1,((AJ2603*(J2603*3600/Basis!$E$5)^AK2603*(((MID(C2603,9,3)*10)-144)/1000)*AL2603+AM2603*(J2603*3600/Basis!$E$5)^2)*0.0098)/Basis!$E$10,((AJ2603*(J2603/Basis!$E$5)^AK2603*(((MID(C2603,9,3)*10)-144)/1000)*AL2603+AM2603*(J2603/Basis!$E$5)^2)*0.0098)/Basis!$E$10)</f>
        <v>2.1014316593249972E-2</v>
      </c>
      <c r="M2603" s="85"/>
      <c r="N2603" s="109">
        <v>1.349</v>
      </c>
      <c r="O2603" s="68"/>
      <c r="P2603" s="67">
        <v>2478</v>
      </c>
      <c r="Q2603" s="68"/>
      <c r="R2603" s="69"/>
      <c r="S2603" s="69"/>
      <c r="T2603" s="69"/>
      <c r="U2603" s="69"/>
      <c r="V2603" s="69"/>
      <c r="W2603" s="68"/>
      <c r="X2603" s="70"/>
      <c r="Y2603" s="70"/>
      <c r="Z2603" s="70"/>
      <c r="AA2603" s="70"/>
      <c r="AB2603" s="70"/>
      <c r="AC2603" s="68"/>
      <c r="AD2603" s="71"/>
      <c r="AE2603" s="71"/>
      <c r="AF2603" s="71"/>
      <c r="AG2603" s="71"/>
      <c r="AH2603" s="71"/>
      <c r="AI2603" s="68"/>
      <c r="AJ2603" s="214">
        <v>1.2760000000000001E-4</v>
      </c>
      <c r="AK2603" s="214">
        <v>1.7219</v>
      </c>
      <c r="AL2603" s="214">
        <v>2</v>
      </c>
      <c r="AM2603" s="214">
        <v>3.76611E-4</v>
      </c>
      <c r="AN2603" s="68"/>
      <c r="AO2603" s="67"/>
      <c r="AP2603" s="67"/>
      <c r="AQ2603" s="67"/>
      <c r="AR2603" s="67"/>
      <c r="AS2603" s="67"/>
      <c r="AT2603" s="68"/>
      <c r="AU2603" s="49"/>
      <c r="AV2603" s="50"/>
    </row>
    <row r="2604" spans="1:48" ht="12.75" customHeight="1" x14ac:dyDescent="0.25">
      <c r="A2604" s="72" t="s">
        <v>20</v>
      </c>
      <c r="B2604" s="43" t="s">
        <v>2240</v>
      </c>
      <c r="C2604" s="44" t="s">
        <v>2762</v>
      </c>
      <c r="D2604" s="45">
        <f>MROUND(MID($C2604,6,3)/Basis!$E$3,0.5)</f>
        <v>27.5</v>
      </c>
      <c r="E2604" s="45">
        <f>MROUND(MID($C2604,9,3)/Basis!$E$3,0.5)</f>
        <v>35.5</v>
      </c>
      <c r="F2604" s="124" t="s">
        <v>2948</v>
      </c>
      <c r="G2604" s="45">
        <f>ROUND((ROUNDDOWN($F2604/5,0)*5+1.8)/Basis!$E$3,1)</f>
        <v>8.6</v>
      </c>
      <c r="H2604" s="120">
        <f>ROUND($P2604*Basis!$E$2*((TaH-TrH)/LN(1/µ)/Basis!$E$7)^$N2604*$AA$4*Glycol,0)</f>
        <v>5944</v>
      </c>
      <c r="I2604" s="83">
        <f>ROUND(H2604/(MID($C2604,9,3)/Basis!$E$3/Basis!$E$9)*Basis!$E$11,0)</f>
        <v>2013</v>
      </c>
      <c r="J2604" s="123">
        <f>IF(Basis!$E$1=1,ROUND(H2604/((TaH-TrH)*1.163)/3600,3),ROUND(H2604/(500*(TaH-TrH)),2))</f>
        <v>0.59</v>
      </c>
      <c r="K2604" s="84"/>
      <c r="L2604" s="177">
        <f>CHOOSE(Basis!$E$1,((AJ2604*(J2604*3600/Basis!$E$5)^AK2604*(((MID(C2604,9,3)*10)-144)/1000)*AL2604+AM2604*(J2604*3600/Basis!$E$5)^2)*0.0098)/Basis!$E$10,((AJ2604*(J2604/Basis!$E$5)^AK2604*(((MID(C2604,9,3)*10)-144)/1000)*AL2604+AM2604*(J2604/Basis!$E$5)^2)*0.0098)/Basis!$E$10)</f>
        <v>3.5993477663189041E-2</v>
      </c>
      <c r="M2604" s="85"/>
      <c r="N2604" s="110">
        <v>1.5009999999999999</v>
      </c>
      <c r="O2604" s="74"/>
      <c r="P2604" s="73">
        <v>2859</v>
      </c>
      <c r="Q2604" s="74"/>
      <c r="R2604" s="75"/>
      <c r="S2604" s="75"/>
      <c r="T2604" s="75"/>
      <c r="U2604" s="75"/>
      <c r="V2604" s="75"/>
      <c r="W2604" s="74"/>
      <c r="X2604" s="76"/>
      <c r="Y2604" s="76"/>
      <c r="Z2604" s="76"/>
      <c r="AA2604" s="76"/>
      <c r="AB2604" s="76"/>
      <c r="AC2604" s="74"/>
      <c r="AD2604" s="77"/>
      <c r="AE2604" s="77"/>
      <c r="AF2604" s="77"/>
      <c r="AG2604" s="77"/>
      <c r="AH2604" s="77"/>
      <c r="AI2604" s="68"/>
      <c r="AJ2604" s="213">
        <v>1.2760000000000001E-4</v>
      </c>
      <c r="AK2604" s="213">
        <v>1.7219</v>
      </c>
      <c r="AL2604" s="213">
        <v>4</v>
      </c>
      <c r="AM2604" s="213">
        <v>5.1420100000000005E-4</v>
      </c>
      <c r="AN2604" s="74"/>
      <c r="AO2604" s="73"/>
      <c r="AP2604" s="73"/>
      <c r="AQ2604" s="73"/>
      <c r="AR2604" s="73"/>
      <c r="AS2604" s="73"/>
      <c r="AT2604" s="74"/>
      <c r="AU2604" s="47"/>
      <c r="AV2604" s="48"/>
    </row>
    <row r="2605" spans="1:48" ht="12.75" customHeight="1" x14ac:dyDescent="0.25">
      <c r="A2605" s="72" t="s">
        <v>20</v>
      </c>
      <c r="B2605" s="43" t="s">
        <v>2240</v>
      </c>
      <c r="C2605" s="44" t="s">
        <v>2763</v>
      </c>
      <c r="D2605" s="45">
        <f>MROUND(MID($C2605,6,3)/Basis!$E$3,0.5)</f>
        <v>27.5</v>
      </c>
      <c r="E2605" s="45">
        <f>MROUND(MID($C2605,9,3)/Basis!$E$3,0.5)</f>
        <v>39.5</v>
      </c>
      <c r="F2605" s="124" t="s">
        <v>2943</v>
      </c>
      <c r="G2605" s="45">
        <f>ROUND((ROUNDDOWN($F2605/5,0)*5+1.8)/Basis!$E$3,1)</f>
        <v>4.5999999999999996</v>
      </c>
      <c r="H2605" s="120">
        <f>ROUND($P2605*Basis!$E$2*((TaH-TrH)/LN(1/µ)/Basis!$E$7)^$N2605*$AA$4*Glycol,0)</f>
        <v>2713</v>
      </c>
      <c r="I2605" s="83">
        <f>ROUND(H2605/(MID($C2605,9,3)/Basis!$E$3/Basis!$E$9)*Basis!$E$11,0)</f>
        <v>827</v>
      </c>
      <c r="J2605" s="123">
        <f>IF(Basis!$E$1=1,ROUND(H2605/((TaH-TrH)*1.163)/3600,3),ROUND(H2605/(500*(TaH-TrH)),2))</f>
        <v>0.27</v>
      </c>
      <c r="K2605" s="84"/>
      <c r="L2605" s="177">
        <f>CHOOSE(Basis!$E$1,((AJ2605*(J2605*3600/Basis!$E$5)^AK2605*(((MID(C2605,9,3)*10)-144)/1000)*AL2605+AM2605*(J2605*3600/Basis!$E$5)^2)*0.0098)/Basis!$E$10,((AJ2605*(J2605/Basis!$E$5)^AK2605*(((MID(C2605,9,3)*10)-144)/1000)*AL2605+AM2605*(J2605/Basis!$E$5)^2)*0.0098)/Basis!$E$10)</f>
        <v>7.3192329498677688E-3</v>
      </c>
      <c r="M2605" s="85"/>
      <c r="N2605" s="110">
        <v>1.3660000000000001</v>
      </c>
      <c r="O2605" s="74"/>
      <c r="P2605" s="73">
        <v>1248</v>
      </c>
      <c r="Q2605" s="74"/>
      <c r="R2605" s="75"/>
      <c r="S2605" s="75"/>
      <c r="T2605" s="75"/>
      <c r="U2605" s="75"/>
      <c r="V2605" s="75"/>
      <c r="W2605" s="74"/>
      <c r="X2605" s="76"/>
      <c r="Y2605" s="76"/>
      <c r="Z2605" s="76"/>
      <c r="AA2605" s="76"/>
      <c r="AB2605" s="76"/>
      <c r="AC2605" s="74"/>
      <c r="AD2605" s="77"/>
      <c r="AE2605" s="77"/>
      <c r="AF2605" s="77"/>
      <c r="AG2605" s="77"/>
      <c r="AH2605" s="77"/>
      <c r="AI2605" s="68"/>
      <c r="AJ2605" s="213">
        <v>3.9689999999999994E-4</v>
      </c>
      <c r="AK2605" s="213">
        <v>1.7345999999999999</v>
      </c>
      <c r="AL2605" s="213">
        <v>2</v>
      </c>
      <c r="AM2605" s="213">
        <v>3.6734700000000002E-4</v>
      </c>
      <c r="AN2605" s="74"/>
      <c r="AO2605" s="73"/>
      <c r="AP2605" s="73"/>
      <c r="AQ2605" s="73"/>
      <c r="AR2605" s="73"/>
      <c r="AS2605" s="73"/>
      <c r="AT2605" s="74"/>
      <c r="AU2605" s="47"/>
      <c r="AV2605" s="48"/>
    </row>
    <row r="2606" spans="1:48" ht="12.75" customHeight="1" x14ac:dyDescent="0.25">
      <c r="A2606" s="72" t="s">
        <v>20</v>
      </c>
      <c r="B2606" s="43" t="s">
        <v>2240</v>
      </c>
      <c r="C2606" s="44" t="s">
        <v>2764</v>
      </c>
      <c r="D2606" s="45">
        <f>MROUND(MID($C2606,6,3)/Basis!$E$3,0.5)</f>
        <v>27.5</v>
      </c>
      <c r="E2606" s="45">
        <f>MROUND(MID($C2606,9,3)/Basis!$E$3,0.5)</f>
        <v>39.5</v>
      </c>
      <c r="F2606" s="124" t="s">
        <v>2946</v>
      </c>
      <c r="G2606" s="45">
        <f>ROUND((ROUNDDOWN($F2606/5,0)*5+1.8)/Basis!$E$3,1)</f>
        <v>4.5999999999999996</v>
      </c>
      <c r="H2606" s="120">
        <f>ROUND($P2606*Basis!$E$2*((TaH-TrH)/LN(1/µ)/Basis!$E$7)^$N2606*$AA$4*Glycol,0)</f>
        <v>3377</v>
      </c>
      <c r="I2606" s="83">
        <f>ROUND(H2606/(MID($C2606,9,3)/Basis!$E$3/Basis!$E$9)*Basis!$E$11,0)</f>
        <v>1029</v>
      </c>
      <c r="J2606" s="123">
        <f>IF(Basis!$E$1=1,ROUND(H2606/((TaH-TrH)*1.163)/3600,3),ROUND(H2606/(500*(TaH-TrH)),2))</f>
        <v>0.34</v>
      </c>
      <c r="K2606" s="84"/>
      <c r="L2606" s="177">
        <f>CHOOSE(Basis!$E$1,((AJ2606*(J2606*3600/Basis!$E$5)^AK2606*(((MID(C2606,9,3)*10)-144)/1000)*AL2606+AM2606*(J2606*3600/Basis!$E$5)^2)*0.0098)/Basis!$E$10,((AJ2606*(J2606/Basis!$E$5)^AK2606*(((MID(C2606,9,3)*10)-144)/1000)*AL2606+AM2606*(J2606/Basis!$E$5)^2)*0.0098)/Basis!$E$10)</f>
        <v>1.955762978890371E-2</v>
      </c>
      <c r="M2606" s="85"/>
      <c r="N2606" s="109">
        <v>1.4359999999999999</v>
      </c>
      <c r="O2606" s="68"/>
      <c r="P2606" s="67">
        <v>1590</v>
      </c>
      <c r="Q2606" s="68"/>
      <c r="R2606" s="69"/>
      <c r="S2606" s="69"/>
      <c r="T2606" s="69"/>
      <c r="U2606" s="69"/>
      <c r="V2606" s="69"/>
      <c r="W2606" s="68"/>
      <c r="X2606" s="70"/>
      <c r="Y2606" s="70"/>
      <c r="Z2606" s="70"/>
      <c r="AA2606" s="70"/>
      <c r="AB2606" s="70"/>
      <c r="AC2606" s="68"/>
      <c r="AD2606" s="71"/>
      <c r="AE2606" s="71"/>
      <c r="AF2606" s="71"/>
      <c r="AG2606" s="71"/>
      <c r="AH2606" s="71"/>
      <c r="AI2606" s="68"/>
      <c r="AJ2606" s="214">
        <v>3.9689999999999994E-4</v>
      </c>
      <c r="AK2606" s="214">
        <v>1.7345999999999999</v>
      </c>
      <c r="AL2606" s="214">
        <v>4</v>
      </c>
      <c r="AM2606" s="214">
        <v>5.7428799999999995E-4</v>
      </c>
      <c r="AN2606" s="68"/>
      <c r="AO2606" s="67"/>
      <c r="AP2606" s="67"/>
      <c r="AQ2606" s="67"/>
      <c r="AR2606" s="67"/>
      <c r="AS2606" s="67"/>
      <c r="AT2606" s="68"/>
      <c r="AU2606" s="49"/>
      <c r="AV2606" s="50"/>
    </row>
    <row r="2607" spans="1:48" ht="12.75" customHeight="1" x14ac:dyDescent="0.25">
      <c r="A2607" s="72" t="s">
        <v>20</v>
      </c>
      <c r="B2607" s="43" t="s">
        <v>2240</v>
      </c>
      <c r="C2607" s="44" t="s">
        <v>2765</v>
      </c>
      <c r="D2607" s="45">
        <f>MROUND(MID($C2607,6,3)/Basis!$E$3,0.5)</f>
        <v>27.5</v>
      </c>
      <c r="E2607" s="45">
        <f>MROUND(MID($C2607,9,3)/Basis!$E$3,0.5)</f>
        <v>39.5</v>
      </c>
      <c r="F2607" s="124" t="s">
        <v>2944</v>
      </c>
      <c r="G2607" s="45">
        <f>ROUND((ROUNDDOWN($F2607/5,0)*5+1.8)/Basis!$E$3,1)</f>
        <v>6.6</v>
      </c>
      <c r="H2607" s="120">
        <f>ROUND($P2607*Basis!$E$2*((TaH-TrH)/LN(1/µ)/Basis!$E$7)^$N2607*$AA$4*Glycol,0)</f>
        <v>4310</v>
      </c>
      <c r="I2607" s="83">
        <f>ROUND(H2607/(MID($C2607,9,3)/Basis!$E$3/Basis!$E$9)*Basis!$E$11,0)</f>
        <v>1314</v>
      </c>
      <c r="J2607" s="123">
        <f>IF(Basis!$E$1=1,ROUND(H2607/((TaH-TrH)*1.163)/3600,3),ROUND(H2607/(500*(TaH-TrH)),2))</f>
        <v>0.43</v>
      </c>
      <c r="K2607" s="84"/>
      <c r="L2607" s="177">
        <f>CHOOSE(Basis!$E$1,((AJ2607*(J2607*3600/Basis!$E$5)^AK2607*(((MID(C2607,9,3)*10)-144)/1000)*AL2607+AM2607*(J2607*3600/Basis!$E$5)^2)*0.0098)/Basis!$E$10,((AJ2607*(J2607/Basis!$E$5)^AK2607*(((MID(C2607,9,3)*10)-144)/1000)*AL2607+AM2607*(J2607/Basis!$E$5)^2)*0.0098)/Basis!$E$10)</f>
        <v>1.7543649695485025E-2</v>
      </c>
      <c r="M2607" s="85"/>
      <c r="N2607" s="109">
        <v>1.35</v>
      </c>
      <c r="O2607" s="68"/>
      <c r="P2607" s="67">
        <v>1972</v>
      </c>
      <c r="Q2607" s="68"/>
      <c r="R2607" s="69"/>
      <c r="S2607" s="69"/>
      <c r="T2607" s="69"/>
      <c r="U2607" s="69"/>
      <c r="V2607" s="69"/>
      <c r="W2607" s="68"/>
      <c r="X2607" s="70"/>
      <c r="Y2607" s="70"/>
      <c r="Z2607" s="70"/>
      <c r="AA2607" s="70"/>
      <c r="AB2607" s="70"/>
      <c r="AC2607" s="68"/>
      <c r="AD2607" s="71"/>
      <c r="AE2607" s="71"/>
      <c r="AF2607" s="71"/>
      <c r="AG2607" s="71"/>
      <c r="AH2607" s="71"/>
      <c r="AI2607" s="68"/>
      <c r="AJ2607" s="214">
        <v>2.0829999999999999E-4</v>
      </c>
      <c r="AK2607" s="214">
        <v>1.724</v>
      </c>
      <c r="AL2607" s="214">
        <v>2</v>
      </c>
      <c r="AM2607" s="214">
        <v>4.6182900000000003E-4</v>
      </c>
      <c r="AN2607" s="68"/>
      <c r="AO2607" s="67"/>
      <c r="AP2607" s="67"/>
      <c r="AQ2607" s="67"/>
      <c r="AR2607" s="67"/>
      <c r="AS2607" s="67"/>
      <c r="AT2607" s="68"/>
      <c r="AU2607" s="49"/>
      <c r="AV2607" s="50"/>
    </row>
    <row r="2608" spans="1:48" ht="12.75" customHeight="1" x14ac:dyDescent="0.25">
      <c r="A2608" s="72" t="s">
        <v>20</v>
      </c>
      <c r="B2608" s="43" t="s">
        <v>2240</v>
      </c>
      <c r="C2608" s="44" t="s">
        <v>2766</v>
      </c>
      <c r="D2608" s="45">
        <f>MROUND(MID($C2608,6,3)/Basis!$E$3,0.5)</f>
        <v>27.5</v>
      </c>
      <c r="E2608" s="45">
        <f>MROUND(MID($C2608,9,3)/Basis!$E$3,0.5)</f>
        <v>39.5</v>
      </c>
      <c r="F2608" s="124" t="s">
        <v>2947</v>
      </c>
      <c r="G2608" s="45">
        <f>ROUND((ROUNDDOWN($F2608/5,0)*5+1.8)/Basis!$E$3,1)</f>
        <v>6.6</v>
      </c>
      <c r="H2608" s="120">
        <f>ROUND($P2608*Basis!$E$2*((TaH-TrH)/LN(1/µ)/Basis!$E$7)^$N2608*$AA$4*Glycol,0)</f>
        <v>4744</v>
      </c>
      <c r="I2608" s="83">
        <f>ROUND(H2608/(MID($C2608,9,3)/Basis!$E$3/Basis!$E$9)*Basis!$E$11,0)</f>
        <v>1446</v>
      </c>
      <c r="J2608" s="123">
        <f>IF(Basis!$E$1=1,ROUND(H2608/((TaH-TrH)*1.163)/3600,3),ROUND(H2608/(500*(TaH-TrH)),2))</f>
        <v>0.47</v>
      </c>
      <c r="K2608" s="84"/>
      <c r="L2608" s="177">
        <f>CHOOSE(Basis!$E$1,((AJ2608*(J2608*3600/Basis!$E$5)^AK2608*(((MID(C2608,9,3)*10)-144)/1000)*AL2608+AM2608*(J2608*3600/Basis!$E$5)^2)*0.0098)/Basis!$E$10,((AJ2608*(J2608/Basis!$E$5)^AK2608*(((MID(C2608,9,3)*10)-144)/1000)*AL2608+AM2608*(J2608/Basis!$E$5)^2)*0.0098)/Basis!$E$10)</f>
        <v>5.9216526254646323E-2</v>
      </c>
      <c r="M2608" s="85"/>
      <c r="N2608" s="110">
        <v>1.472</v>
      </c>
      <c r="O2608" s="74"/>
      <c r="P2608" s="73">
        <v>2260</v>
      </c>
      <c r="Q2608" s="74"/>
      <c r="R2608" s="75"/>
      <c r="S2608" s="75"/>
      <c r="T2608" s="75"/>
      <c r="U2608" s="75"/>
      <c r="V2608" s="75"/>
      <c r="W2608" s="74"/>
      <c r="X2608" s="76"/>
      <c r="Y2608" s="76"/>
      <c r="Z2608" s="76"/>
      <c r="AA2608" s="76"/>
      <c r="AB2608" s="76"/>
      <c r="AC2608" s="74"/>
      <c r="AD2608" s="77"/>
      <c r="AE2608" s="77"/>
      <c r="AF2608" s="77"/>
      <c r="AG2608" s="77"/>
      <c r="AH2608" s="77"/>
      <c r="AI2608" s="68"/>
      <c r="AJ2608" s="213">
        <v>2.0829999999999999E-4</v>
      </c>
      <c r="AK2608" s="213">
        <v>1.724</v>
      </c>
      <c r="AL2608" s="213">
        <v>4</v>
      </c>
      <c r="AM2608" s="213">
        <v>1.392796E-3</v>
      </c>
      <c r="AN2608" s="74"/>
      <c r="AO2608" s="73"/>
      <c r="AP2608" s="73"/>
      <c r="AQ2608" s="73"/>
      <c r="AR2608" s="73"/>
      <c r="AS2608" s="73"/>
      <c r="AT2608" s="74"/>
      <c r="AU2608" s="47"/>
      <c r="AV2608" s="48"/>
    </row>
    <row r="2609" spans="1:48" ht="12.75" customHeight="1" x14ac:dyDescent="0.25">
      <c r="A2609" s="72" t="s">
        <v>20</v>
      </c>
      <c r="B2609" s="43" t="s">
        <v>2240</v>
      </c>
      <c r="C2609" s="44" t="s">
        <v>2767</v>
      </c>
      <c r="D2609" s="45">
        <f>MROUND(MID($C2609,6,3)/Basis!$E$3,0.5)</f>
        <v>27.5</v>
      </c>
      <c r="E2609" s="45">
        <f>MROUND(MID($C2609,9,3)/Basis!$E$3,0.5)</f>
        <v>39.5</v>
      </c>
      <c r="F2609" s="124" t="s">
        <v>2945</v>
      </c>
      <c r="G2609" s="45">
        <f>ROUND((ROUNDDOWN($F2609/5,0)*5+1.8)/Basis!$E$3,1)</f>
        <v>8.6</v>
      </c>
      <c r="H2609" s="120">
        <f>ROUND($P2609*Basis!$E$2*((TaH-TrH)/LN(1/µ)/Basis!$E$7)^$N2609*$AA$4*Glycol,0)</f>
        <v>6018</v>
      </c>
      <c r="I2609" s="83">
        <f>ROUND(H2609/(MID($C2609,9,3)/Basis!$E$3/Basis!$E$9)*Basis!$E$11,0)</f>
        <v>1834</v>
      </c>
      <c r="J2609" s="123">
        <f>IF(Basis!$E$1=1,ROUND(H2609/((TaH-TrH)*1.163)/3600,3),ROUND(H2609/(500*(TaH-TrH)),2))</f>
        <v>0.6</v>
      </c>
      <c r="K2609" s="84"/>
      <c r="L2609" s="177">
        <f>CHOOSE(Basis!$E$1,((AJ2609*(J2609*3600/Basis!$E$5)^AK2609*(((MID(C2609,9,3)*10)-144)/1000)*AL2609+AM2609*(J2609*3600/Basis!$E$5)^2)*0.0098)/Basis!$E$10,((AJ2609*(J2609/Basis!$E$5)^AK2609*(((MID(C2609,9,3)*10)-144)/1000)*AL2609+AM2609*(J2609/Basis!$E$5)^2)*0.0098)/Basis!$E$10)</f>
        <v>2.6249841228585872E-2</v>
      </c>
      <c r="M2609" s="85"/>
      <c r="N2609" s="110">
        <v>1.349</v>
      </c>
      <c r="O2609" s="74"/>
      <c r="P2609" s="73">
        <v>2753</v>
      </c>
      <c r="Q2609" s="74"/>
      <c r="R2609" s="75"/>
      <c r="S2609" s="75"/>
      <c r="T2609" s="75"/>
      <c r="U2609" s="75"/>
      <c r="V2609" s="75"/>
      <c r="W2609" s="74"/>
      <c r="X2609" s="76"/>
      <c r="Y2609" s="76"/>
      <c r="Z2609" s="76"/>
      <c r="AA2609" s="76"/>
      <c r="AB2609" s="76"/>
      <c r="AC2609" s="74"/>
      <c r="AD2609" s="77"/>
      <c r="AE2609" s="77"/>
      <c r="AF2609" s="77"/>
      <c r="AG2609" s="77"/>
      <c r="AH2609" s="77"/>
      <c r="AI2609" s="68"/>
      <c r="AJ2609" s="214">
        <v>1.2760000000000001E-4</v>
      </c>
      <c r="AK2609" s="214">
        <v>1.7219</v>
      </c>
      <c r="AL2609" s="214">
        <v>2</v>
      </c>
      <c r="AM2609" s="214">
        <v>3.76611E-4</v>
      </c>
      <c r="AN2609" s="74"/>
      <c r="AO2609" s="73"/>
      <c r="AP2609" s="73"/>
      <c r="AQ2609" s="73"/>
      <c r="AR2609" s="73"/>
      <c r="AS2609" s="73"/>
      <c r="AT2609" s="74"/>
      <c r="AU2609" s="47"/>
      <c r="AV2609" s="48"/>
    </row>
    <row r="2610" spans="1:48" ht="12.75" customHeight="1" x14ac:dyDescent="0.25">
      <c r="A2610" s="72" t="s">
        <v>20</v>
      </c>
      <c r="B2610" s="43" t="s">
        <v>2240</v>
      </c>
      <c r="C2610" s="44" t="s">
        <v>2768</v>
      </c>
      <c r="D2610" s="45">
        <f>MROUND(MID($C2610,6,3)/Basis!$E$3,0.5)</f>
        <v>27.5</v>
      </c>
      <c r="E2610" s="45">
        <f>MROUND(MID($C2610,9,3)/Basis!$E$3,0.5)</f>
        <v>39.5</v>
      </c>
      <c r="F2610" s="124" t="s">
        <v>2948</v>
      </c>
      <c r="G2610" s="45">
        <f>ROUND((ROUNDDOWN($F2610/5,0)*5+1.8)/Basis!$E$3,1)</f>
        <v>8.6</v>
      </c>
      <c r="H2610" s="120">
        <f>ROUND($P2610*Basis!$E$2*((TaH-TrH)/LN(1/µ)/Basis!$E$7)^$N2610*$AA$4*Glycol,0)</f>
        <v>6605</v>
      </c>
      <c r="I2610" s="83">
        <f>ROUND(H2610/(MID($C2610,9,3)/Basis!$E$3/Basis!$E$9)*Basis!$E$11,0)</f>
        <v>2013</v>
      </c>
      <c r="J2610" s="123">
        <f>IF(Basis!$E$1=1,ROUND(H2610/((TaH-TrH)*1.163)/3600,3),ROUND(H2610/(500*(TaH-TrH)),2))</f>
        <v>0.66</v>
      </c>
      <c r="K2610" s="84"/>
      <c r="L2610" s="177">
        <f>CHOOSE(Basis!$E$1,((AJ2610*(J2610*3600/Basis!$E$5)^AK2610*(((MID(C2610,9,3)*10)-144)/1000)*AL2610+AM2610*(J2610*3600/Basis!$E$5)^2)*0.0098)/Basis!$E$10,((AJ2610*(J2610/Basis!$E$5)^AK2610*(((MID(C2610,9,3)*10)-144)/1000)*AL2610+AM2610*(J2610/Basis!$E$5)^2)*0.0098)/Basis!$E$10)</f>
        <v>4.5749047064678756E-2</v>
      </c>
      <c r="M2610" s="85"/>
      <c r="N2610" s="109">
        <v>1.5009999999999999</v>
      </c>
      <c r="O2610" s="68"/>
      <c r="P2610" s="67">
        <v>3177</v>
      </c>
      <c r="Q2610" s="68"/>
      <c r="R2610" s="69"/>
      <c r="S2610" s="69"/>
      <c r="T2610" s="69"/>
      <c r="U2610" s="69"/>
      <c r="V2610" s="69"/>
      <c r="W2610" s="68"/>
      <c r="X2610" s="70"/>
      <c r="Y2610" s="70"/>
      <c r="Z2610" s="70"/>
      <c r="AA2610" s="70"/>
      <c r="AB2610" s="70"/>
      <c r="AC2610" s="68"/>
      <c r="AD2610" s="71"/>
      <c r="AE2610" s="71"/>
      <c r="AF2610" s="71"/>
      <c r="AG2610" s="71"/>
      <c r="AH2610" s="71"/>
      <c r="AI2610" s="68"/>
      <c r="AJ2610" s="214">
        <v>1.2760000000000001E-4</v>
      </c>
      <c r="AK2610" s="214">
        <v>1.7219</v>
      </c>
      <c r="AL2610" s="214">
        <v>4</v>
      </c>
      <c r="AM2610" s="214">
        <v>5.1420100000000005E-4</v>
      </c>
      <c r="AN2610" s="68"/>
      <c r="AO2610" s="67"/>
      <c r="AP2610" s="67"/>
      <c r="AQ2610" s="67"/>
      <c r="AR2610" s="67"/>
      <c r="AS2610" s="67"/>
      <c r="AT2610" s="68"/>
      <c r="AU2610" s="49"/>
      <c r="AV2610" s="50"/>
    </row>
    <row r="2611" spans="1:48" ht="12.75" customHeight="1" x14ac:dyDescent="0.25">
      <c r="A2611" s="72" t="s">
        <v>20</v>
      </c>
      <c r="B2611" s="43" t="s">
        <v>2240</v>
      </c>
      <c r="C2611" s="44" t="s">
        <v>2769</v>
      </c>
      <c r="D2611" s="45">
        <f>MROUND(MID($C2611,6,3)/Basis!$E$3,0.5)</f>
        <v>27.5</v>
      </c>
      <c r="E2611" s="45">
        <f>MROUND(MID($C2611,9,3)/Basis!$E$3,0.5)</f>
        <v>43.5</v>
      </c>
      <c r="F2611" s="124" t="s">
        <v>2943</v>
      </c>
      <c r="G2611" s="45">
        <f>ROUND((ROUNDDOWN($F2611/5,0)*5+1.8)/Basis!$E$3,1)</f>
        <v>4.5999999999999996</v>
      </c>
      <c r="H2611" s="120">
        <f>ROUND($P2611*Basis!$E$2*((TaH-TrH)/LN(1/µ)/Basis!$E$7)^$N2611*$AA$4*Glycol,0)</f>
        <v>2985</v>
      </c>
      <c r="I2611" s="83">
        <f>ROUND(H2611/(MID($C2611,9,3)/Basis!$E$3/Basis!$E$9)*Basis!$E$11,0)</f>
        <v>827</v>
      </c>
      <c r="J2611" s="123">
        <f>IF(Basis!$E$1=1,ROUND(H2611/((TaH-TrH)*1.163)/3600,3),ROUND(H2611/(500*(TaH-TrH)),2))</f>
        <v>0.3</v>
      </c>
      <c r="K2611" s="84"/>
      <c r="L2611" s="177">
        <f>CHOOSE(Basis!$E$1,((AJ2611*(J2611*3600/Basis!$E$5)^AK2611*(((MID(C2611,9,3)*10)-144)/1000)*AL2611+AM2611*(J2611*3600/Basis!$E$5)^2)*0.0098)/Basis!$E$10,((AJ2611*(J2611/Basis!$E$5)^AK2611*(((MID(C2611,9,3)*10)-144)/1000)*AL2611+AM2611*(J2611/Basis!$E$5)^2)*0.0098)/Basis!$E$10)</f>
        <v>9.3337088436328108E-3</v>
      </c>
      <c r="M2611" s="85"/>
      <c r="N2611" s="109">
        <v>1.3660000000000001</v>
      </c>
      <c r="O2611" s="68"/>
      <c r="P2611" s="67">
        <v>1373</v>
      </c>
      <c r="Q2611" s="68"/>
      <c r="R2611" s="69"/>
      <c r="S2611" s="69"/>
      <c r="T2611" s="69"/>
      <c r="U2611" s="69"/>
      <c r="V2611" s="69"/>
      <c r="W2611" s="68"/>
      <c r="X2611" s="70"/>
      <c r="Y2611" s="70"/>
      <c r="Z2611" s="70"/>
      <c r="AA2611" s="70"/>
      <c r="AB2611" s="70"/>
      <c r="AC2611" s="68"/>
      <c r="AD2611" s="71"/>
      <c r="AE2611" s="71"/>
      <c r="AF2611" s="71"/>
      <c r="AG2611" s="71"/>
      <c r="AH2611" s="71"/>
      <c r="AI2611" s="68"/>
      <c r="AJ2611" s="214">
        <v>3.9689999999999994E-4</v>
      </c>
      <c r="AK2611" s="214">
        <v>1.7345999999999999</v>
      </c>
      <c r="AL2611" s="214">
        <v>2</v>
      </c>
      <c r="AM2611" s="214">
        <v>3.6734700000000002E-4</v>
      </c>
      <c r="AN2611" s="68"/>
      <c r="AO2611" s="67"/>
      <c r="AP2611" s="67"/>
      <c r="AQ2611" s="67"/>
      <c r="AR2611" s="67"/>
      <c r="AS2611" s="67"/>
      <c r="AT2611" s="68"/>
      <c r="AU2611" s="49"/>
      <c r="AV2611" s="50"/>
    </row>
    <row r="2612" spans="1:48" ht="12.75" customHeight="1" x14ac:dyDescent="0.25">
      <c r="A2612" s="72" t="s">
        <v>20</v>
      </c>
      <c r="B2612" s="43" t="s">
        <v>2240</v>
      </c>
      <c r="C2612" s="44" t="s">
        <v>2770</v>
      </c>
      <c r="D2612" s="45">
        <f>MROUND(MID($C2612,6,3)/Basis!$E$3,0.5)</f>
        <v>27.5</v>
      </c>
      <c r="E2612" s="45">
        <f>MROUND(MID($C2612,9,3)/Basis!$E$3,0.5)</f>
        <v>43.5</v>
      </c>
      <c r="F2612" s="124" t="s">
        <v>2946</v>
      </c>
      <c r="G2612" s="45">
        <f>ROUND((ROUNDDOWN($F2612/5,0)*5+1.8)/Basis!$E$3,1)</f>
        <v>4.5999999999999996</v>
      </c>
      <c r="H2612" s="120">
        <f>ROUND($P2612*Basis!$E$2*((TaH-TrH)/LN(1/µ)/Basis!$E$7)^$N2612*$AA$4*Glycol,0)</f>
        <v>3715</v>
      </c>
      <c r="I2612" s="83">
        <f>ROUND(H2612/(MID($C2612,9,3)/Basis!$E$3/Basis!$E$9)*Basis!$E$11,0)</f>
        <v>1029</v>
      </c>
      <c r="J2612" s="123">
        <f>IF(Basis!$E$1=1,ROUND(H2612/((TaH-TrH)*1.163)/3600,3),ROUND(H2612/(500*(TaH-TrH)),2))</f>
        <v>0.37</v>
      </c>
      <c r="K2612" s="84"/>
      <c r="L2612" s="177">
        <f>CHOOSE(Basis!$E$1,((AJ2612*(J2612*3600/Basis!$E$5)^AK2612*(((MID(C2612,9,3)*10)-144)/1000)*AL2612+AM2612*(J2612*3600/Basis!$E$5)^2)*0.0098)/Basis!$E$10,((AJ2612*(J2612/Basis!$E$5)^AK2612*(((MID(C2612,9,3)*10)-144)/1000)*AL2612+AM2612*(J2612/Basis!$E$5)^2)*0.0098)/Basis!$E$10)</f>
        <v>2.4072457921656975E-2</v>
      </c>
      <c r="M2612" s="85"/>
      <c r="N2612" s="110">
        <v>1.4359999999999999</v>
      </c>
      <c r="O2612" s="74"/>
      <c r="P2612" s="73">
        <v>1749</v>
      </c>
      <c r="Q2612" s="74"/>
      <c r="R2612" s="75"/>
      <c r="S2612" s="75"/>
      <c r="T2612" s="75"/>
      <c r="U2612" s="75"/>
      <c r="V2612" s="75"/>
      <c r="W2612" s="74"/>
      <c r="X2612" s="76"/>
      <c r="Y2612" s="76"/>
      <c r="Z2612" s="76"/>
      <c r="AA2612" s="76"/>
      <c r="AB2612" s="76"/>
      <c r="AC2612" s="74"/>
      <c r="AD2612" s="77"/>
      <c r="AE2612" s="77"/>
      <c r="AF2612" s="77"/>
      <c r="AG2612" s="77"/>
      <c r="AH2612" s="77"/>
      <c r="AI2612" s="68"/>
      <c r="AJ2612" s="213">
        <v>3.9689999999999994E-4</v>
      </c>
      <c r="AK2612" s="213">
        <v>1.7345999999999999</v>
      </c>
      <c r="AL2612" s="213">
        <v>4</v>
      </c>
      <c r="AM2612" s="213">
        <v>5.7428799999999995E-4</v>
      </c>
      <c r="AN2612" s="74"/>
      <c r="AO2612" s="73"/>
      <c r="AP2612" s="73"/>
      <c r="AQ2612" s="73"/>
      <c r="AR2612" s="73"/>
      <c r="AS2612" s="73"/>
      <c r="AT2612" s="74"/>
      <c r="AU2612" s="47"/>
      <c r="AV2612" s="48"/>
    </row>
    <row r="2613" spans="1:48" ht="12.75" customHeight="1" x14ac:dyDescent="0.25">
      <c r="A2613" s="72" t="s">
        <v>20</v>
      </c>
      <c r="B2613" s="43" t="s">
        <v>2240</v>
      </c>
      <c r="C2613" s="44" t="s">
        <v>2771</v>
      </c>
      <c r="D2613" s="45">
        <f>MROUND(MID($C2613,6,3)/Basis!$E$3,0.5)</f>
        <v>27.5</v>
      </c>
      <c r="E2613" s="45">
        <f>MROUND(MID($C2613,9,3)/Basis!$E$3,0.5)</f>
        <v>43.5</v>
      </c>
      <c r="F2613" s="124" t="s">
        <v>2944</v>
      </c>
      <c r="G2613" s="45">
        <f>ROUND((ROUNDDOWN($F2613/5,0)*5+1.8)/Basis!$E$3,1)</f>
        <v>6.6</v>
      </c>
      <c r="H2613" s="120">
        <f>ROUND($P2613*Basis!$E$2*((TaH-TrH)/LN(1/µ)/Basis!$E$7)^$N2613*$AA$4*Glycol,0)</f>
        <v>4740</v>
      </c>
      <c r="I2613" s="83">
        <f>ROUND(H2613/(MID($C2613,9,3)/Basis!$E$3/Basis!$E$9)*Basis!$E$11,0)</f>
        <v>1313</v>
      </c>
      <c r="J2613" s="123">
        <f>IF(Basis!$E$1=1,ROUND(H2613/((TaH-TrH)*1.163)/3600,3),ROUND(H2613/(500*(TaH-TrH)),2))</f>
        <v>0.47</v>
      </c>
      <c r="K2613" s="84"/>
      <c r="L2613" s="177">
        <f>CHOOSE(Basis!$E$1,((AJ2613*(J2613*3600/Basis!$E$5)^AK2613*(((MID(C2613,9,3)*10)-144)/1000)*AL2613+AM2613*(J2613*3600/Basis!$E$5)^2)*0.0098)/Basis!$E$10,((AJ2613*(J2613/Basis!$E$5)^AK2613*(((MID(C2613,9,3)*10)-144)/1000)*AL2613+AM2613*(J2613/Basis!$E$5)^2)*0.0098)/Basis!$E$10)</f>
        <v>2.1296096351003553E-2</v>
      </c>
      <c r="M2613" s="85"/>
      <c r="N2613" s="110">
        <v>1.35</v>
      </c>
      <c r="O2613" s="74"/>
      <c r="P2613" s="73">
        <v>2169</v>
      </c>
      <c r="Q2613" s="74"/>
      <c r="R2613" s="75"/>
      <c r="S2613" s="75"/>
      <c r="T2613" s="75"/>
      <c r="U2613" s="75"/>
      <c r="V2613" s="75"/>
      <c r="W2613" s="74"/>
      <c r="X2613" s="76"/>
      <c r="Y2613" s="76"/>
      <c r="Z2613" s="76"/>
      <c r="AA2613" s="76"/>
      <c r="AB2613" s="76"/>
      <c r="AC2613" s="74"/>
      <c r="AD2613" s="77"/>
      <c r="AE2613" s="77"/>
      <c r="AF2613" s="77"/>
      <c r="AG2613" s="77"/>
      <c r="AH2613" s="77"/>
      <c r="AI2613" s="68"/>
      <c r="AJ2613" s="213">
        <v>2.0829999999999999E-4</v>
      </c>
      <c r="AK2613" s="213">
        <v>1.724</v>
      </c>
      <c r="AL2613" s="213">
        <v>2</v>
      </c>
      <c r="AM2613" s="213">
        <v>4.6182900000000003E-4</v>
      </c>
      <c r="AN2613" s="74"/>
      <c r="AO2613" s="73"/>
      <c r="AP2613" s="73"/>
      <c r="AQ2613" s="73"/>
      <c r="AR2613" s="73"/>
      <c r="AS2613" s="73"/>
      <c r="AT2613" s="74"/>
      <c r="AU2613" s="47"/>
      <c r="AV2613" s="48"/>
    </row>
    <row r="2614" spans="1:48" ht="12.75" customHeight="1" x14ac:dyDescent="0.25">
      <c r="A2614" s="72" t="s">
        <v>20</v>
      </c>
      <c r="B2614" s="43" t="s">
        <v>2240</v>
      </c>
      <c r="C2614" s="44" t="s">
        <v>2772</v>
      </c>
      <c r="D2614" s="45">
        <f>MROUND(MID($C2614,6,3)/Basis!$E$3,0.5)</f>
        <v>27.5</v>
      </c>
      <c r="E2614" s="45">
        <f>MROUND(MID($C2614,9,3)/Basis!$E$3,0.5)</f>
        <v>43.5</v>
      </c>
      <c r="F2614" s="124" t="s">
        <v>2947</v>
      </c>
      <c r="G2614" s="45">
        <f>ROUND((ROUNDDOWN($F2614/5,0)*5+1.8)/Basis!$E$3,1)</f>
        <v>6.6</v>
      </c>
      <c r="H2614" s="120">
        <f>ROUND($P2614*Basis!$E$2*((TaH-TrH)/LN(1/µ)/Basis!$E$7)^$N2614*$AA$4*Glycol,0)</f>
        <v>5218</v>
      </c>
      <c r="I2614" s="83">
        <f>ROUND(H2614/(MID($C2614,9,3)/Basis!$E$3/Basis!$E$9)*Basis!$E$11,0)</f>
        <v>1446</v>
      </c>
      <c r="J2614" s="123">
        <f>IF(Basis!$E$1=1,ROUND(H2614/((TaH-TrH)*1.163)/3600,3),ROUND(H2614/(500*(TaH-TrH)),2))</f>
        <v>0.52</v>
      </c>
      <c r="K2614" s="84"/>
      <c r="L2614" s="177">
        <f>CHOOSE(Basis!$E$1,((AJ2614*(J2614*3600/Basis!$E$5)^AK2614*(((MID(C2614,9,3)*10)-144)/1000)*AL2614+AM2614*(J2614*3600/Basis!$E$5)^2)*0.0098)/Basis!$E$10,((AJ2614*(J2614/Basis!$E$5)^AK2614*(((MID(C2614,9,3)*10)-144)/1000)*AL2614+AM2614*(J2614/Basis!$E$5)^2)*0.0098)/Basis!$E$10)</f>
        <v>7.325757627522915E-2</v>
      </c>
      <c r="M2614" s="85"/>
      <c r="N2614" s="109">
        <v>1.472</v>
      </c>
      <c r="O2614" s="68"/>
      <c r="P2614" s="67">
        <v>2486</v>
      </c>
      <c r="Q2614" s="68"/>
      <c r="R2614" s="69"/>
      <c r="S2614" s="69"/>
      <c r="T2614" s="69"/>
      <c r="U2614" s="69"/>
      <c r="V2614" s="69"/>
      <c r="W2614" s="68"/>
      <c r="X2614" s="70"/>
      <c r="Y2614" s="70"/>
      <c r="Z2614" s="70"/>
      <c r="AA2614" s="70"/>
      <c r="AB2614" s="70"/>
      <c r="AC2614" s="68"/>
      <c r="AD2614" s="71"/>
      <c r="AE2614" s="71"/>
      <c r="AF2614" s="71"/>
      <c r="AG2614" s="71"/>
      <c r="AH2614" s="71"/>
      <c r="AI2614" s="68"/>
      <c r="AJ2614" s="214">
        <v>2.0829999999999999E-4</v>
      </c>
      <c r="AK2614" s="214">
        <v>1.724</v>
      </c>
      <c r="AL2614" s="214">
        <v>4</v>
      </c>
      <c r="AM2614" s="214">
        <v>1.392796E-3</v>
      </c>
      <c r="AN2614" s="68"/>
      <c r="AO2614" s="67"/>
      <c r="AP2614" s="67"/>
      <c r="AQ2614" s="67"/>
      <c r="AR2614" s="67"/>
      <c r="AS2614" s="67"/>
      <c r="AT2614" s="68"/>
      <c r="AU2614" s="49"/>
      <c r="AV2614" s="50"/>
    </row>
    <row r="2615" spans="1:48" ht="12.75" customHeight="1" x14ac:dyDescent="0.25">
      <c r="A2615" s="72" t="s">
        <v>20</v>
      </c>
      <c r="B2615" s="43" t="s">
        <v>2240</v>
      </c>
      <c r="C2615" s="44" t="s">
        <v>2773</v>
      </c>
      <c r="D2615" s="45">
        <f>MROUND(MID($C2615,6,3)/Basis!$E$3,0.5)</f>
        <v>27.5</v>
      </c>
      <c r="E2615" s="45">
        <f>MROUND(MID($C2615,9,3)/Basis!$E$3,0.5)</f>
        <v>43.5</v>
      </c>
      <c r="F2615" s="124" t="s">
        <v>2945</v>
      </c>
      <c r="G2615" s="45">
        <f>ROUND((ROUNDDOWN($F2615/5,0)*5+1.8)/Basis!$E$3,1)</f>
        <v>8.6</v>
      </c>
      <c r="H2615" s="120">
        <f>ROUND($P2615*Basis!$E$2*((TaH-TrH)/LN(1/µ)/Basis!$E$7)^$N2615*$AA$4*Glycol,0)</f>
        <v>6619</v>
      </c>
      <c r="I2615" s="83">
        <f>ROUND(H2615/(MID($C2615,9,3)/Basis!$E$3/Basis!$E$9)*Basis!$E$11,0)</f>
        <v>1834</v>
      </c>
      <c r="J2615" s="123">
        <f>IF(Basis!$E$1=1,ROUND(H2615/((TaH-TrH)*1.163)/3600,3),ROUND(H2615/(500*(TaH-TrH)),2))</f>
        <v>0.66</v>
      </c>
      <c r="K2615" s="84"/>
      <c r="L2615" s="177">
        <f>CHOOSE(Basis!$E$1,((AJ2615*(J2615*3600/Basis!$E$5)^AK2615*(((MID(C2615,9,3)*10)-144)/1000)*AL2615+AM2615*(J2615*3600/Basis!$E$5)^2)*0.0098)/Basis!$E$10,((AJ2615*(J2615/Basis!$E$5)^AK2615*(((MID(C2615,9,3)*10)-144)/1000)*AL2615+AM2615*(J2615/Basis!$E$5)^2)*0.0098)/Basis!$E$10)</f>
        <v>3.2120777208926671E-2</v>
      </c>
      <c r="M2615" s="85"/>
      <c r="N2615" s="109">
        <v>1.349</v>
      </c>
      <c r="O2615" s="68"/>
      <c r="P2615" s="67">
        <v>3028</v>
      </c>
      <c r="Q2615" s="68"/>
      <c r="R2615" s="69"/>
      <c r="S2615" s="69"/>
      <c r="T2615" s="69"/>
      <c r="U2615" s="69"/>
      <c r="V2615" s="69"/>
      <c r="W2615" s="68"/>
      <c r="X2615" s="70"/>
      <c r="Y2615" s="70"/>
      <c r="Z2615" s="70"/>
      <c r="AA2615" s="70"/>
      <c r="AB2615" s="70"/>
      <c r="AC2615" s="68"/>
      <c r="AD2615" s="71"/>
      <c r="AE2615" s="71"/>
      <c r="AF2615" s="71"/>
      <c r="AG2615" s="71"/>
      <c r="AH2615" s="71"/>
      <c r="AI2615" s="68"/>
      <c r="AJ2615" s="214">
        <v>1.2760000000000001E-4</v>
      </c>
      <c r="AK2615" s="214">
        <v>1.7219</v>
      </c>
      <c r="AL2615" s="214">
        <v>2</v>
      </c>
      <c r="AM2615" s="214">
        <v>3.76611E-4</v>
      </c>
      <c r="AN2615" s="68"/>
      <c r="AO2615" s="67"/>
      <c r="AP2615" s="67"/>
      <c r="AQ2615" s="67"/>
      <c r="AR2615" s="67"/>
      <c r="AS2615" s="67"/>
      <c r="AT2615" s="68"/>
      <c r="AU2615" s="49"/>
      <c r="AV2615" s="50"/>
    </row>
    <row r="2616" spans="1:48" ht="12.75" customHeight="1" x14ac:dyDescent="0.25">
      <c r="A2616" s="72" t="s">
        <v>20</v>
      </c>
      <c r="B2616" s="43" t="s">
        <v>2240</v>
      </c>
      <c r="C2616" s="44" t="s">
        <v>2774</v>
      </c>
      <c r="D2616" s="45">
        <f>MROUND(MID($C2616,6,3)/Basis!$E$3,0.5)</f>
        <v>27.5</v>
      </c>
      <c r="E2616" s="45">
        <f>MROUND(MID($C2616,9,3)/Basis!$E$3,0.5)</f>
        <v>43.5</v>
      </c>
      <c r="F2616" s="124" t="s">
        <v>2948</v>
      </c>
      <c r="G2616" s="45">
        <f>ROUND((ROUNDDOWN($F2616/5,0)*5+1.8)/Basis!$E$3,1)</f>
        <v>8.6</v>
      </c>
      <c r="H2616" s="120">
        <f>ROUND($P2616*Basis!$E$2*((TaH-TrH)/LN(1/µ)/Basis!$E$7)^$N2616*$AA$4*Glycol,0)</f>
        <v>7266</v>
      </c>
      <c r="I2616" s="83">
        <f>ROUND(H2616/(MID($C2616,9,3)/Basis!$E$3/Basis!$E$9)*Basis!$E$11,0)</f>
        <v>2013</v>
      </c>
      <c r="J2616" s="123">
        <f>IF(Basis!$E$1=1,ROUND(H2616/((TaH-TrH)*1.163)/3600,3),ROUND(H2616/(500*(TaH-TrH)),2))</f>
        <v>0.73</v>
      </c>
      <c r="K2616" s="84"/>
      <c r="L2616" s="177">
        <f>CHOOSE(Basis!$E$1,((AJ2616*(J2616*3600/Basis!$E$5)^AK2616*(((MID(C2616,9,3)*10)-144)/1000)*AL2616+AM2616*(J2616*3600/Basis!$E$5)^2)*0.0098)/Basis!$E$10,((AJ2616*(J2616/Basis!$E$5)^AK2616*(((MID(C2616,9,3)*10)-144)/1000)*AL2616+AM2616*(J2616/Basis!$E$5)^2)*0.0098)/Basis!$E$10)</f>
        <v>5.6805963450040332E-2</v>
      </c>
      <c r="M2616" s="85"/>
      <c r="N2616" s="110">
        <v>1.5009999999999999</v>
      </c>
      <c r="O2616" s="74"/>
      <c r="P2616" s="73">
        <v>3495</v>
      </c>
      <c r="Q2616" s="74"/>
      <c r="R2616" s="75"/>
      <c r="S2616" s="75"/>
      <c r="T2616" s="75"/>
      <c r="U2616" s="75"/>
      <c r="V2616" s="75"/>
      <c r="W2616" s="74"/>
      <c r="X2616" s="76"/>
      <c r="Y2616" s="76"/>
      <c r="Z2616" s="76"/>
      <c r="AA2616" s="76"/>
      <c r="AB2616" s="76"/>
      <c r="AC2616" s="74"/>
      <c r="AD2616" s="77"/>
      <c r="AE2616" s="77"/>
      <c r="AF2616" s="77"/>
      <c r="AG2616" s="77"/>
      <c r="AH2616" s="77"/>
      <c r="AI2616" s="68"/>
      <c r="AJ2616" s="213">
        <v>1.2760000000000001E-4</v>
      </c>
      <c r="AK2616" s="213">
        <v>1.7219</v>
      </c>
      <c r="AL2616" s="213">
        <v>4</v>
      </c>
      <c r="AM2616" s="213">
        <v>5.1420100000000005E-4</v>
      </c>
      <c r="AN2616" s="74"/>
      <c r="AO2616" s="73"/>
      <c r="AP2616" s="73"/>
      <c r="AQ2616" s="73"/>
      <c r="AR2616" s="73"/>
      <c r="AS2616" s="73"/>
      <c r="AT2616" s="74"/>
      <c r="AU2616" s="47"/>
      <c r="AV2616" s="48"/>
    </row>
    <row r="2617" spans="1:48" ht="12.75" customHeight="1" x14ac:dyDescent="0.25">
      <c r="A2617" s="72" t="s">
        <v>20</v>
      </c>
      <c r="B2617" s="43" t="s">
        <v>2240</v>
      </c>
      <c r="C2617" s="44" t="s">
        <v>2775</v>
      </c>
      <c r="D2617" s="45">
        <f>MROUND(MID($C2617,6,3)/Basis!$E$3,0.5)</f>
        <v>27.5</v>
      </c>
      <c r="E2617" s="45">
        <f>MROUND(MID($C2617,9,3)/Basis!$E$3,0.5)</f>
        <v>47</v>
      </c>
      <c r="F2617" s="124" t="s">
        <v>2943</v>
      </c>
      <c r="G2617" s="45">
        <f>ROUND((ROUNDDOWN($F2617/5,0)*5+1.8)/Basis!$E$3,1)</f>
        <v>4.5999999999999996</v>
      </c>
      <c r="H2617" s="120">
        <f>ROUND($P2617*Basis!$E$2*((TaH-TrH)/LN(1/µ)/Basis!$E$7)^$N2617*$AA$4*Glycol,0)</f>
        <v>3256</v>
      </c>
      <c r="I2617" s="83">
        <f>ROUND(H2617/(MID($C2617,9,3)/Basis!$E$3/Basis!$E$9)*Basis!$E$11,0)</f>
        <v>827</v>
      </c>
      <c r="J2617" s="123">
        <f>IF(Basis!$E$1=1,ROUND(H2617/((TaH-TrH)*1.163)/3600,3),ROUND(H2617/(500*(TaH-TrH)),2))</f>
        <v>0.33</v>
      </c>
      <c r="K2617" s="84"/>
      <c r="L2617" s="177">
        <f>CHOOSE(Basis!$E$1,((AJ2617*(J2617*3600/Basis!$E$5)^AK2617*(((MID(C2617,9,3)*10)-144)/1000)*AL2617+AM2617*(J2617*3600/Basis!$E$5)^2)*0.0098)/Basis!$E$10,((AJ2617*(J2617/Basis!$E$5)^AK2617*(((MID(C2617,9,3)*10)-144)/1000)*AL2617+AM2617*(J2617/Basis!$E$5)^2)*0.0098)/Basis!$E$10)</f>
        <v>1.1643905556149059E-2</v>
      </c>
      <c r="M2617" s="85"/>
      <c r="N2617" s="110">
        <v>1.3660000000000001</v>
      </c>
      <c r="O2617" s="74"/>
      <c r="P2617" s="73">
        <v>1498</v>
      </c>
      <c r="Q2617" s="74"/>
      <c r="R2617" s="75"/>
      <c r="S2617" s="75"/>
      <c r="T2617" s="75"/>
      <c r="U2617" s="75"/>
      <c r="V2617" s="75"/>
      <c r="W2617" s="74"/>
      <c r="X2617" s="76"/>
      <c r="Y2617" s="76"/>
      <c r="Z2617" s="76"/>
      <c r="AA2617" s="76"/>
      <c r="AB2617" s="76"/>
      <c r="AC2617" s="74"/>
      <c r="AD2617" s="77"/>
      <c r="AE2617" s="77"/>
      <c r="AF2617" s="77"/>
      <c r="AG2617" s="77"/>
      <c r="AH2617" s="77"/>
      <c r="AI2617" s="68"/>
      <c r="AJ2617" s="213">
        <v>3.9689999999999994E-4</v>
      </c>
      <c r="AK2617" s="213">
        <v>1.7345999999999999</v>
      </c>
      <c r="AL2617" s="213">
        <v>2</v>
      </c>
      <c r="AM2617" s="213">
        <v>3.6734700000000002E-4</v>
      </c>
      <c r="AN2617" s="74"/>
      <c r="AO2617" s="73"/>
      <c r="AP2617" s="73"/>
      <c r="AQ2617" s="73"/>
      <c r="AR2617" s="73"/>
      <c r="AS2617" s="73"/>
      <c r="AT2617" s="74"/>
      <c r="AU2617" s="47"/>
      <c r="AV2617" s="48"/>
    </row>
    <row r="2618" spans="1:48" ht="12.75" customHeight="1" x14ac:dyDescent="0.25">
      <c r="A2618" s="72" t="s">
        <v>20</v>
      </c>
      <c r="B2618" s="43" t="s">
        <v>2240</v>
      </c>
      <c r="C2618" s="44" t="s">
        <v>2776</v>
      </c>
      <c r="D2618" s="45">
        <f>MROUND(MID($C2618,6,3)/Basis!$E$3,0.5)</f>
        <v>27.5</v>
      </c>
      <c r="E2618" s="45">
        <f>MROUND(MID($C2618,9,3)/Basis!$E$3,0.5)</f>
        <v>47</v>
      </c>
      <c r="F2618" s="124" t="s">
        <v>2946</v>
      </c>
      <c r="G2618" s="45">
        <f>ROUND((ROUNDDOWN($F2618/5,0)*5+1.8)/Basis!$E$3,1)</f>
        <v>4.5999999999999996</v>
      </c>
      <c r="H2618" s="120">
        <f>ROUND($P2618*Basis!$E$2*((TaH-TrH)/LN(1/µ)/Basis!$E$7)^$N2618*$AA$4*Glycol,0)</f>
        <v>4053</v>
      </c>
      <c r="I2618" s="83">
        <f>ROUND(H2618/(MID($C2618,9,3)/Basis!$E$3/Basis!$E$9)*Basis!$E$11,0)</f>
        <v>1029</v>
      </c>
      <c r="J2618" s="123">
        <f>IF(Basis!$E$1=1,ROUND(H2618/((TaH-TrH)*1.163)/3600,3),ROUND(H2618/(500*(TaH-TrH)),2))</f>
        <v>0.41</v>
      </c>
      <c r="K2618" s="84"/>
      <c r="L2618" s="177">
        <f>CHOOSE(Basis!$E$1,((AJ2618*(J2618*3600/Basis!$E$5)^AK2618*(((MID(C2618,9,3)*10)-144)/1000)*AL2618+AM2618*(J2618*3600/Basis!$E$5)^2)*0.0098)/Basis!$E$10,((AJ2618*(J2618/Basis!$E$5)^AK2618*(((MID(C2618,9,3)*10)-144)/1000)*AL2618+AM2618*(J2618/Basis!$E$5)^2)*0.0098)/Basis!$E$10)</f>
        <v>3.055319390483608E-2</v>
      </c>
      <c r="M2618" s="85"/>
      <c r="N2618" s="109">
        <v>1.4359999999999999</v>
      </c>
      <c r="O2618" s="68"/>
      <c r="P2618" s="67">
        <v>1908</v>
      </c>
      <c r="Q2618" s="68"/>
      <c r="R2618" s="69"/>
      <c r="S2618" s="69"/>
      <c r="T2618" s="69"/>
      <c r="U2618" s="69"/>
      <c r="V2618" s="69"/>
      <c r="W2618" s="68"/>
      <c r="X2618" s="70"/>
      <c r="Y2618" s="70"/>
      <c r="Z2618" s="70"/>
      <c r="AA2618" s="70"/>
      <c r="AB2618" s="70"/>
      <c r="AC2618" s="68"/>
      <c r="AD2618" s="71"/>
      <c r="AE2618" s="71"/>
      <c r="AF2618" s="71"/>
      <c r="AG2618" s="71"/>
      <c r="AH2618" s="71"/>
      <c r="AI2618" s="68"/>
      <c r="AJ2618" s="214">
        <v>3.9689999999999994E-4</v>
      </c>
      <c r="AK2618" s="214">
        <v>1.7345999999999999</v>
      </c>
      <c r="AL2618" s="214">
        <v>4</v>
      </c>
      <c r="AM2618" s="214">
        <v>5.7428799999999995E-4</v>
      </c>
      <c r="AN2618" s="68"/>
      <c r="AO2618" s="67"/>
      <c r="AP2618" s="67"/>
      <c r="AQ2618" s="67"/>
      <c r="AR2618" s="67"/>
      <c r="AS2618" s="67"/>
      <c r="AT2618" s="68"/>
      <c r="AU2618" s="49"/>
      <c r="AV2618" s="50"/>
    </row>
    <row r="2619" spans="1:48" ht="12.75" customHeight="1" x14ac:dyDescent="0.25">
      <c r="A2619" s="72" t="s">
        <v>20</v>
      </c>
      <c r="B2619" s="43" t="s">
        <v>2240</v>
      </c>
      <c r="C2619" s="44" t="s">
        <v>2777</v>
      </c>
      <c r="D2619" s="45">
        <f>MROUND(MID($C2619,6,3)/Basis!$E$3,0.5)</f>
        <v>27.5</v>
      </c>
      <c r="E2619" s="45">
        <f>MROUND(MID($C2619,9,3)/Basis!$E$3,0.5)</f>
        <v>47</v>
      </c>
      <c r="F2619" s="124" t="s">
        <v>2944</v>
      </c>
      <c r="G2619" s="45">
        <f>ROUND((ROUNDDOWN($F2619/5,0)*5+1.8)/Basis!$E$3,1)</f>
        <v>6.6</v>
      </c>
      <c r="H2619" s="120">
        <f>ROUND($P2619*Basis!$E$2*((TaH-TrH)/LN(1/µ)/Basis!$E$7)^$N2619*$AA$4*Glycol,0)</f>
        <v>5171</v>
      </c>
      <c r="I2619" s="83">
        <f>ROUND(H2619/(MID($C2619,9,3)/Basis!$E$3/Basis!$E$9)*Basis!$E$11,0)</f>
        <v>1313</v>
      </c>
      <c r="J2619" s="123">
        <f>IF(Basis!$E$1=1,ROUND(H2619/((TaH-TrH)*1.163)/3600,3),ROUND(H2619/(500*(TaH-TrH)),2))</f>
        <v>0.52</v>
      </c>
      <c r="K2619" s="84"/>
      <c r="L2619" s="177">
        <f>CHOOSE(Basis!$E$1,((AJ2619*(J2619*3600/Basis!$E$5)^AK2619*(((MID(C2619,9,3)*10)-144)/1000)*AL2619+AM2619*(J2619*3600/Basis!$E$5)^2)*0.0098)/Basis!$E$10,((AJ2619*(J2619/Basis!$E$5)^AK2619*(((MID(C2619,9,3)*10)-144)/1000)*AL2619+AM2619*(J2619/Basis!$E$5)^2)*0.0098)/Basis!$E$10)</f>
        <v>2.6439597808355048E-2</v>
      </c>
      <c r="M2619" s="85"/>
      <c r="N2619" s="109">
        <v>1.35</v>
      </c>
      <c r="O2619" s="68"/>
      <c r="P2619" s="67">
        <v>2366</v>
      </c>
      <c r="Q2619" s="68"/>
      <c r="R2619" s="69"/>
      <c r="S2619" s="69"/>
      <c r="T2619" s="69"/>
      <c r="U2619" s="69"/>
      <c r="V2619" s="69"/>
      <c r="W2619" s="68"/>
      <c r="X2619" s="70"/>
      <c r="Y2619" s="70"/>
      <c r="Z2619" s="70"/>
      <c r="AA2619" s="70"/>
      <c r="AB2619" s="70"/>
      <c r="AC2619" s="68"/>
      <c r="AD2619" s="71"/>
      <c r="AE2619" s="71"/>
      <c r="AF2619" s="71"/>
      <c r="AG2619" s="71"/>
      <c r="AH2619" s="71"/>
      <c r="AI2619" s="68"/>
      <c r="AJ2619" s="214">
        <v>2.0829999999999999E-4</v>
      </c>
      <c r="AK2619" s="214">
        <v>1.724</v>
      </c>
      <c r="AL2619" s="214">
        <v>2</v>
      </c>
      <c r="AM2619" s="214">
        <v>4.6182900000000003E-4</v>
      </c>
      <c r="AN2619" s="68"/>
      <c r="AO2619" s="67"/>
      <c r="AP2619" s="67"/>
      <c r="AQ2619" s="67"/>
      <c r="AR2619" s="67"/>
      <c r="AS2619" s="67"/>
      <c r="AT2619" s="68"/>
      <c r="AU2619" s="49"/>
      <c r="AV2619" s="50"/>
    </row>
    <row r="2620" spans="1:48" ht="12.75" customHeight="1" x14ac:dyDescent="0.25">
      <c r="A2620" s="72" t="s">
        <v>20</v>
      </c>
      <c r="B2620" s="43" t="s">
        <v>2240</v>
      </c>
      <c r="C2620" s="44" t="s">
        <v>2778</v>
      </c>
      <c r="D2620" s="45">
        <f>MROUND(MID($C2620,6,3)/Basis!$E$3,0.5)</f>
        <v>27.5</v>
      </c>
      <c r="E2620" s="45">
        <f>MROUND(MID($C2620,9,3)/Basis!$E$3,0.5)</f>
        <v>47</v>
      </c>
      <c r="F2620" s="124" t="s">
        <v>2947</v>
      </c>
      <c r="G2620" s="45">
        <f>ROUND((ROUNDDOWN($F2620/5,0)*5+1.8)/Basis!$E$3,1)</f>
        <v>6.6</v>
      </c>
      <c r="H2620" s="120">
        <f>ROUND($P2620*Basis!$E$2*((TaH-TrH)/LN(1/µ)/Basis!$E$7)^$N2620*$AA$4*Glycol,0)</f>
        <v>5693</v>
      </c>
      <c r="I2620" s="83">
        <f>ROUND(H2620/(MID($C2620,9,3)/Basis!$E$3/Basis!$E$9)*Basis!$E$11,0)</f>
        <v>1446</v>
      </c>
      <c r="J2620" s="123">
        <f>IF(Basis!$E$1=1,ROUND(H2620/((TaH-TrH)*1.163)/3600,3),ROUND(H2620/(500*(TaH-TrH)),2))</f>
        <v>0.56999999999999995</v>
      </c>
      <c r="K2620" s="84"/>
      <c r="L2620" s="177">
        <f>CHOOSE(Basis!$E$1,((AJ2620*(J2620*3600/Basis!$E$5)^AK2620*(((MID(C2620,9,3)*10)-144)/1000)*AL2620+AM2620*(J2620*3600/Basis!$E$5)^2)*0.0098)/Basis!$E$10,((AJ2620*(J2620/Basis!$E$5)^AK2620*(((MID(C2620,9,3)*10)-144)/1000)*AL2620+AM2620*(J2620/Basis!$E$5)^2)*0.0098)/Basis!$E$10)</f>
        <v>8.892309035805146E-2</v>
      </c>
      <c r="M2620" s="85"/>
      <c r="N2620" s="110">
        <v>1.472</v>
      </c>
      <c r="O2620" s="74"/>
      <c r="P2620" s="73">
        <v>2712</v>
      </c>
      <c r="Q2620" s="74"/>
      <c r="R2620" s="75"/>
      <c r="S2620" s="75"/>
      <c r="T2620" s="75"/>
      <c r="U2620" s="75"/>
      <c r="V2620" s="75"/>
      <c r="W2620" s="74"/>
      <c r="X2620" s="76"/>
      <c r="Y2620" s="76"/>
      <c r="Z2620" s="76"/>
      <c r="AA2620" s="76"/>
      <c r="AB2620" s="76"/>
      <c r="AC2620" s="74"/>
      <c r="AD2620" s="77"/>
      <c r="AE2620" s="77"/>
      <c r="AF2620" s="77"/>
      <c r="AG2620" s="77"/>
      <c r="AH2620" s="77"/>
      <c r="AI2620" s="68"/>
      <c r="AJ2620" s="213">
        <v>2.0829999999999999E-4</v>
      </c>
      <c r="AK2620" s="213">
        <v>1.724</v>
      </c>
      <c r="AL2620" s="213">
        <v>4</v>
      </c>
      <c r="AM2620" s="213">
        <v>1.392796E-3</v>
      </c>
      <c r="AN2620" s="74"/>
      <c r="AO2620" s="73"/>
      <c r="AP2620" s="73"/>
      <c r="AQ2620" s="73"/>
      <c r="AR2620" s="73"/>
      <c r="AS2620" s="73"/>
      <c r="AT2620" s="74"/>
      <c r="AU2620" s="47"/>
      <c r="AV2620" s="48"/>
    </row>
    <row r="2621" spans="1:48" ht="12.75" customHeight="1" x14ac:dyDescent="0.25">
      <c r="A2621" s="72" t="s">
        <v>20</v>
      </c>
      <c r="B2621" s="43" t="s">
        <v>2240</v>
      </c>
      <c r="C2621" s="44" t="s">
        <v>2779</v>
      </c>
      <c r="D2621" s="45">
        <f>MROUND(MID($C2621,6,3)/Basis!$E$3,0.5)</f>
        <v>27.5</v>
      </c>
      <c r="E2621" s="45">
        <f>MROUND(MID($C2621,9,3)/Basis!$E$3,0.5)</f>
        <v>47</v>
      </c>
      <c r="F2621" s="124" t="s">
        <v>2945</v>
      </c>
      <c r="G2621" s="45">
        <f>ROUND((ROUNDDOWN($F2621/5,0)*5+1.8)/Basis!$E$3,1)</f>
        <v>8.6</v>
      </c>
      <c r="H2621" s="120">
        <f>ROUND($P2621*Basis!$E$2*((TaH-TrH)/LN(1/µ)/Basis!$E$7)^$N2621*$AA$4*Glycol,0)</f>
        <v>7223</v>
      </c>
      <c r="I2621" s="83">
        <f>ROUND(H2621/(MID($C2621,9,3)/Basis!$E$3/Basis!$E$9)*Basis!$E$11,0)</f>
        <v>1835</v>
      </c>
      <c r="J2621" s="123">
        <f>IF(Basis!$E$1=1,ROUND(H2621/((TaH-TrH)*1.163)/3600,3),ROUND(H2621/(500*(TaH-TrH)),2))</f>
        <v>0.72</v>
      </c>
      <c r="K2621" s="84"/>
      <c r="L2621" s="177">
        <f>CHOOSE(Basis!$E$1,((AJ2621*(J2621*3600/Basis!$E$5)^AK2621*(((MID(C2621,9,3)*10)-144)/1000)*AL2621+AM2621*(J2621*3600/Basis!$E$5)^2)*0.0098)/Basis!$E$10,((AJ2621*(J2621/Basis!$E$5)^AK2621*(((MID(C2621,9,3)*10)-144)/1000)*AL2621+AM2621*(J2621/Basis!$E$5)^2)*0.0098)/Basis!$E$10)</f>
        <v>3.8640501093833296E-2</v>
      </c>
      <c r="M2621" s="85"/>
      <c r="N2621" s="110">
        <v>1.349</v>
      </c>
      <c r="O2621" s="74"/>
      <c r="P2621" s="73">
        <v>3304</v>
      </c>
      <c r="Q2621" s="74"/>
      <c r="R2621" s="75"/>
      <c r="S2621" s="75"/>
      <c r="T2621" s="75"/>
      <c r="U2621" s="75"/>
      <c r="V2621" s="75"/>
      <c r="W2621" s="74"/>
      <c r="X2621" s="76"/>
      <c r="Y2621" s="76"/>
      <c r="Z2621" s="76"/>
      <c r="AA2621" s="76"/>
      <c r="AB2621" s="76"/>
      <c r="AC2621" s="74"/>
      <c r="AD2621" s="77"/>
      <c r="AE2621" s="77"/>
      <c r="AF2621" s="77"/>
      <c r="AG2621" s="77"/>
      <c r="AH2621" s="77"/>
      <c r="AI2621" s="68"/>
      <c r="AJ2621" s="214">
        <v>1.2760000000000001E-4</v>
      </c>
      <c r="AK2621" s="214">
        <v>1.7219</v>
      </c>
      <c r="AL2621" s="214">
        <v>2</v>
      </c>
      <c r="AM2621" s="214">
        <v>3.76611E-4</v>
      </c>
      <c r="AN2621" s="74"/>
      <c r="AO2621" s="73"/>
      <c r="AP2621" s="73"/>
      <c r="AQ2621" s="73"/>
      <c r="AR2621" s="73"/>
      <c r="AS2621" s="73"/>
      <c r="AT2621" s="74"/>
      <c r="AU2621" s="47"/>
      <c r="AV2621" s="48"/>
    </row>
    <row r="2622" spans="1:48" ht="12.75" customHeight="1" x14ac:dyDescent="0.25">
      <c r="A2622" s="72" t="s">
        <v>20</v>
      </c>
      <c r="B2622" s="43" t="s">
        <v>2240</v>
      </c>
      <c r="C2622" s="44" t="s">
        <v>2780</v>
      </c>
      <c r="D2622" s="45">
        <f>MROUND(MID($C2622,6,3)/Basis!$E$3,0.5)</f>
        <v>27.5</v>
      </c>
      <c r="E2622" s="45">
        <f>MROUND(MID($C2622,9,3)/Basis!$E$3,0.5)</f>
        <v>47</v>
      </c>
      <c r="F2622" s="124" t="s">
        <v>2948</v>
      </c>
      <c r="G2622" s="45">
        <f>ROUND((ROUNDDOWN($F2622/5,0)*5+1.8)/Basis!$E$3,1)</f>
        <v>8.6</v>
      </c>
      <c r="H2622" s="120">
        <f>ROUND($P2622*Basis!$E$2*((TaH-TrH)/LN(1/µ)/Basis!$E$7)^$N2622*$AA$4*Glycol,0)</f>
        <v>7926</v>
      </c>
      <c r="I2622" s="83">
        <f>ROUND(H2622/(MID($C2622,9,3)/Basis!$E$3/Basis!$E$9)*Basis!$E$11,0)</f>
        <v>2013</v>
      </c>
      <c r="J2622" s="123">
        <f>IF(Basis!$E$1=1,ROUND(H2622/((TaH-TrH)*1.163)/3600,3),ROUND(H2622/(500*(TaH-TrH)),2))</f>
        <v>0.79</v>
      </c>
      <c r="K2622" s="84"/>
      <c r="L2622" s="177">
        <f>CHOOSE(Basis!$E$1,((AJ2622*(J2622*3600/Basis!$E$5)^AK2622*(((MID(C2622,9,3)*10)-144)/1000)*AL2622+AM2622*(J2622*3600/Basis!$E$5)^2)*0.0098)/Basis!$E$10,((AJ2622*(J2622/Basis!$E$5)^AK2622*(((MID(C2622,9,3)*10)-144)/1000)*AL2622+AM2622*(J2622/Basis!$E$5)^2)*0.0098)/Basis!$E$10)</f>
        <v>6.7527098147011175E-2</v>
      </c>
      <c r="M2622" s="85"/>
      <c r="N2622" s="109">
        <v>1.5009999999999999</v>
      </c>
      <c r="O2622" s="68"/>
      <c r="P2622" s="67">
        <v>3812</v>
      </c>
      <c r="Q2622" s="68"/>
      <c r="R2622" s="69"/>
      <c r="S2622" s="69"/>
      <c r="T2622" s="69"/>
      <c r="U2622" s="69"/>
      <c r="V2622" s="69"/>
      <c r="W2622" s="68"/>
      <c r="X2622" s="70"/>
      <c r="Y2622" s="70"/>
      <c r="Z2622" s="70"/>
      <c r="AA2622" s="70"/>
      <c r="AB2622" s="70"/>
      <c r="AC2622" s="68"/>
      <c r="AD2622" s="71"/>
      <c r="AE2622" s="71"/>
      <c r="AF2622" s="71"/>
      <c r="AG2622" s="71"/>
      <c r="AH2622" s="71"/>
      <c r="AI2622" s="68"/>
      <c r="AJ2622" s="214">
        <v>1.2760000000000001E-4</v>
      </c>
      <c r="AK2622" s="214">
        <v>1.7219</v>
      </c>
      <c r="AL2622" s="214">
        <v>4</v>
      </c>
      <c r="AM2622" s="214">
        <v>5.1420100000000005E-4</v>
      </c>
      <c r="AN2622" s="68"/>
      <c r="AO2622" s="67"/>
      <c r="AP2622" s="67"/>
      <c r="AQ2622" s="67"/>
      <c r="AR2622" s="67"/>
      <c r="AS2622" s="67"/>
      <c r="AT2622" s="68"/>
      <c r="AU2622" s="49"/>
      <c r="AV2622" s="50"/>
    </row>
    <row r="2623" spans="1:48" ht="12.75" customHeight="1" x14ac:dyDescent="0.25">
      <c r="A2623" s="72" t="s">
        <v>20</v>
      </c>
      <c r="B2623" s="43" t="s">
        <v>2240</v>
      </c>
      <c r="C2623" s="44" t="s">
        <v>2781</v>
      </c>
      <c r="D2623" s="45">
        <f>MROUND(MID($C2623,6,3)/Basis!$E$3,0.5)</f>
        <v>27.5</v>
      </c>
      <c r="E2623" s="45">
        <f>MROUND(MID($C2623,9,3)/Basis!$E$3,0.5)</f>
        <v>55</v>
      </c>
      <c r="F2623" s="124" t="s">
        <v>2943</v>
      </c>
      <c r="G2623" s="45">
        <f>ROUND((ROUNDDOWN($F2623/5,0)*5+1.8)/Basis!$E$3,1)</f>
        <v>4.5999999999999996</v>
      </c>
      <c r="H2623" s="120">
        <f>ROUND($P2623*Basis!$E$2*((TaH-TrH)/LN(1/µ)/Basis!$E$7)^$N2623*$AA$4*Glycol,0)</f>
        <v>3798</v>
      </c>
      <c r="I2623" s="83">
        <f>ROUND(H2623/(MID($C2623,9,3)/Basis!$E$3/Basis!$E$9)*Basis!$E$11,0)</f>
        <v>827</v>
      </c>
      <c r="J2623" s="123">
        <f>IF(Basis!$E$1=1,ROUND(H2623/((TaH-TrH)*1.163)/3600,3),ROUND(H2623/(500*(TaH-TrH)),2))</f>
        <v>0.38</v>
      </c>
      <c r="K2623" s="84"/>
      <c r="L2623" s="177">
        <f>CHOOSE(Basis!$E$1,((AJ2623*(J2623*3600/Basis!$E$5)^AK2623*(((MID(C2623,9,3)*10)-144)/1000)*AL2623+AM2623*(J2623*3600/Basis!$E$5)^2)*0.0098)/Basis!$E$10,((AJ2623*(J2623/Basis!$E$5)^AK2623*(((MID(C2623,9,3)*10)-144)/1000)*AL2623+AM2623*(J2623/Basis!$E$5)^2)*0.0098)/Basis!$E$10)</f>
        <v>1.638553283367233E-2</v>
      </c>
      <c r="M2623" s="85"/>
      <c r="N2623" s="109">
        <v>1.3660000000000001</v>
      </c>
      <c r="O2623" s="68"/>
      <c r="P2623" s="67">
        <v>1747</v>
      </c>
      <c r="Q2623" s="68"/>
      <c r="R2623" s="69"/>
      <c r="S2623" s="69"/>
      <c r="T2623" s="69"/>
      <c r="U2623" s="69"/>
      <c r="V2623" s="69"/>
      <c r="W2623" s="68"/>
      <c r="X2623" s="70"/>
      <c r="Y2623" s="70"/>
      <c r="Z2623" s="70"/>
      <c r="AA2623" s="70"/>
      <c r="AB2623" s="70"/>
      <c r="AC2623" s="68"/>
      <c r="AD2623" s="71"/>
      <c r="AE2623" s="71"/>
      <c r="AF2623" s="71"/>
      <c r="AG2623" s="71"/>
      <c r="AH2623" s="71"/>
      <c r="AI2623" s="68"/>
      <c r="AJ2623" s="214">
        <v>3.9689999999999994E-4</v>
      </c>
      <c r="AK2623" s="214">
        <v>1.7345999999999999</v>
      </c>
      <c r="AL2623" s="214">
        <v>2</v>
      </c>
      <c r="AM2623" s="214">
        <v>3.6734700000000002E-4</v>
      </c>
      <c r="AN2623" s="68"/>
      <c r="AO2623" s="67"/>
      <c r="AP2623" s="67"/>
      <c r="AQ2623" s="67"/>
      <c r="AR2623" s="67"/>
      <c r="AS2623" s="67"/>
      <c r="AT2623" s="68"/>
      <c r="AU2623" s="49"/>
      <c r="AV2623" s="50"/>
    </row>
    <row r="2624" spans="1:48" ht="12.75" customHeight="1" x14ac:dyDescent="0.25">
      <c r="A2624" s="72" t="s">
        <v>20</v>
      </c>
      <c r="B2624" s="43" t="s">
        <v>2240</v>
      </c>
      <c r="C2624" s="44" t="s">
        <v>2782</v>
      </c>
      <c r="D2624" s="45">
        <f>MROUND(MID($C2624,6,3)/Basis!$E$3,0.5)</f>
        <v>27.5</v>
      </c>
      <c r="E2624" s="45">
        <f>MROUND(MID($C2624,9,3)/Basis!$E$3,0.5)</f>
        <v>55</v>
      </c>
      <c r="F2624" s="124" t="s">
        <v>2946</v>
      </c>
      <c r="G2624" s="45">
        <f>ROUND((ROUNDDOWN($F2624/5,0)*5+1.8)/Basis!$E$3,1)</f>
        <v>4.5999999999999996</v>
      </c>
      <c r="H2624" s="120">
        <f>ROUND($P2624*Basis!$E$2*((TaH-TrH)/LN(1/µ)/Basis!$E$7)^$N2624*$AA$4*Glycol,0)</f>
        <v>4728</v>
      </c>
      <c r="I2624" s="83">
        <f>ROUND(H2624/(MID($C2624,9,3)/Basis!$E$3/Basis!$E$9)*Basis!$E$11,0)</f>
        <v>1029</v>
      </c>
      <c r="J2624" s="123">
        <f>IF(Basis!$E$1=1,ROUND(H2624/((TaH-TrH)*1.163)/3600,3),ROUND(H2624/(500*(TaH-TrH)),2))</f>
        <v>0.47</v>
      </c>
      <c r="K2624" s="84"/>
      <c r="L2624" s="177">
        <f>CHOOSE(Basis!$E$1,((AJ2624*(J2624*3600/Basis!$E$5)^AK2624*(((MID(C2624,9,3)*10)-144)/1000)*AL2624+AM2624*(J2624*3600/Basis!$E$5)^2)*0.0098)/Basis!$E$10,((AJ2624*(J2624/Basis!$E$5)^AK2624*(((MID(C2624,9,3)*10)-144)/1000)*AL2624+AM2624*(J2624/Basis!$E$5)^2)*0.0098)/Basis!$E$10)</f>
        <v>4.2907524783139174E-2</v>
      </c>
      <c r="M2624" s="85"/>
      <c r="N2624" s="110">
        <v>1.4359999999999999</v>
      </c>
      <c r="O2624" s="74"/>
      <c r="P2624" s="73">
        <v>2226</v>
      </c>
      <c r="Q2624" s="74"/>
      <c r="R2624" s="75"/>
      <c r="S2624" s="75"/>
      <c r="T2624" s="75"/>
      <c r="U2624" s="75"/>
      <c r="V2624" s="75"/>
      <c r="W2624" s="74"/>
      <c r="X2624" s="76"/>
      <c r="Y2624" s="76"/>
      <c r="Z2624" s="76"/>
      <c r="AA2624" s="76"/>
      <c r="AB2624" s="76"/>
      <c r="AC2624" s="74"/>
      <c r="AD2624" s="77"/>
      <c r="AE2624" s="77"/>
      <c r="AF2624" s="77"/>
      <c r="AG2624" s="77"/>
      <c r="AH2624" s="77"/>
      <c r="AI2624" s="68"/>
      <c r="AJ2624" s="213">
        <v>3.9689999999999994E-4</v>
      </c>
      <c r="AK2624" s="213">
        <v>1.7345999999999999</v>
      </c>
      <c r="AL2624" s="213">
        <v>4</v>
      </c>
      <c r="AM2624" s="213">
        <v>5.7428799999999995E-4</v>
      </c>
      <c r="AN2624" s="74"/>
      <c r="AO2624" s="73"/>
      <c r="AP2624" s="73"/>
      <c r="AQ2624" s="73"/>
      <c r="AR2624" s="73"/>
      <c r="AS2624" s="73"/>
      <c r="AT2624" s="74"/>
      <c r="AU2624" s="47"/>
      <c r="AV2624" s="48"/>
    </row>
    <row r="2625" spans="1:48" ht="12.75" customHeight="1" x14ac:dyDescent="0.25">
      <c r="A2625" s="72" t="s">
        <v>20</v>
      </c>
      <c r="B2625" s="43" t="s">
        <v>2240</v>
      </c>
      <c r="C2625" s="44" t="s">
        <v>2783</v>
      </c>
      <c r="D2625" s="45">
        <f>MROUND(MID($C2625,6,3)/Basis!$E$3,0.5)</f>
        <v>27.5</v>
      </c>
      <c r="E2625" s="45">
        <f>MROUND(MID($C2625,9,3)/Basis!$E$3,0.5)</f>
        <v>55</v>
      </c>
      <c r="F2625" s="124" t="s">
        <v>2944</v>
      </c>
      <c r="G2625" s="45">
        <f>ROUND((ROUNDDOWN($F2625/5,0)*5+1.8)/Basis!$E$3,1)</f>
        <v>6.6</v>
      </c>
      <c r="H2625" s="120">
        <f>ROUND($P2625*Basis!$E$2*((TaH-TrH)/LN(1/µ)/Basis!$E$7)^$N2625*$AA$4*Glycol,0)</f>
        <v>6034</v>
      </c>
      <c r="I2625" s="83">
        <f>ROUND(H2625/(MID($C2625,9,3)/Basis!$E$3/Basis!$E$9)*Basis!$E$11,0)</f>
        <v>1314</v>
      </c>
      <c r="J2625" s="123">
        <f>IF(Basis!$E$1=1,ROUND(H2625/((TaH-TrH)*1.163)/3600,3),ROUND(H2625/(500*(TaH-TrH)),2))</f>
        <v>0.6</v>
      </c>
      <c r="K2625" s="84"/>
      <c r="L2625" s="177">
        <f>CHOOSE(Basis!$E$1,((AJ2625*(J2625*3600/Basis!$E$5)^AK2625*(((MID(C2625,9,3)*10)-144)/1000)*AL2625+AM2625*(J2625*3600/Basis!$E$5)^2)*0.0098)/Basis!$E$10,((AJ2625*(J2625/Basis!$E$5)^AK2625*(((MID(C2625,9,3)*10)-144)/1000)*AL2625+AM2625*(J2625/Basis!$E$5)^2)*0.0098)/Basis!$E$10)</f>
        <v>3.622660418202308E-2</v>
      </c>
      <c r="M2625" s="85"/>
      <c r="N2625" s="110">
        <v>1.35</v>
      </c>
      <c r="O2625" s="74"/>
      <c r="P2625" s="73">
        <v>2761</v>
      </c>
      <c r="Q2625" s="74"/>
      <c r="R2625" s="75"/>
      <c r="S2625" s="75"/>
      <c r="T2625" s="75"/>
      <c r="U2625" s="75"/>
      <c r="V2625" s="75"/>
      <c r="W2625" s="74"/>
      <c r="X2625" s="76"/>
      <c r="Y2625" s="76"/>
      <c r="Z2625" s="76"/>
      <c r="AA2625" s="76"/>
      <c r="AB2625" s="76"/>
      <c r="AC2625" s="74"/>
      <c r="AD2625" s="77"/>
      <c r="AE2625" s="77"/>
      <c r="AF2625" s="77"/>
      <c r="AG2625" s="77"/>
      <c r="AH2625" s="77"/>
      <c r="AI2625" s="68"/>
      <c r="AJ2625" s="213">
        <v>2.0829999999999999E-4</v>
      </c>
      <c r="AK2625" s="213">
        <v>1.724</v>
      </c>
      <c r="AL2625" s="213">
        <v>2</v>
      </c>
      <c r="AM2625" s="213">
        <v>4.6182900000000003E-4</v>
      </c>
      <c r="AN2625" s="74"/>
      <c r="AO2625" s="73"/>
      <c r="AP2625" s="73"/>
      <c r="AQ2625" s="73"/>
      <c r="AR2625" s="73"/>
      <c r="AS2625" s="73"/>
      <c r="AT2625" s="74"/>
      <c r="AU2625" s="47"/>
      <c r="AV2625" s="48"/>
    </row>
    <row r="2626" spans="1:48" ht="12.75" customHeight="1" x14ac:dyDescent="0.25">
      <c r="A2626" s="72" t="s">
        <v>20</v>
      </c>
      <c r="B2626" s="43" t="s">
        <v>2240</v>
      </c>
      <c r="C2626" s="44" t="s">
        <v>2784</v>
      </c>
      <c r="D2626" s="45">
        <f>MROUND(MID($C2626,6,3)/Basis!$E$3,0.5)</f>
        <v>27.5</v>
      </c>
      <c r="E2626" s="45">
        <f>MROUND(MID($C2626,9,3)/Basis!$E$3,0.5)</f>
        <v>55</v>
      </c>
      <c r="F2626" s="124" t="s">
        <v>2947</v>
      </c>
      <c r="G2626" s="45">
        <f>ROUND((ROUNDDOWN($F2626/5,0)*5+1.8)/Basis!$E$3,1)</f>
        <v>6.6</v>
      </c>
      <c r="H2626" s="120">
        <f>ROUND($P2626*Basis!$E$2*((TaH-TrH)/LN(1/µ)/Basis!$E$7)^$N2626*$AA$4*Glycol,0)</f>
        <v>6642</v>
      </c>
      <c r="I2626" s="83">
        <f>ROUND(H2626/(MID($C2626,9,3)/Basis!$E$3/Basis!$E$9)*Basis!$E$11,0)</f>
        <v>1446</v>
      </c>
      <c r="J2626" s="123">
        <f>IF(Basis!$E$1=1,ROUND(H2626/((TaH-TrH)*1.163)/3600,3),ROUND(H2626/(500*(TaH-TrH)),2))</f>
        <v>0.66</v>
      </c>
      <c r="K2626" s="84"/>
      <c r="L2626" s="177">
        <f>CHOOSE(Basis!$E$1,((AJ2626*(J2626*3600/Basis!$E$5)^AK2626*(((MID(C2626,9,3)*10)-144)/1000)*AL2626+AM2626*(J2626*3600/Basis!$E$5)^2)*0.0098)/Basis!$E$10,((AJ2626*(J2626/Basis!$E$5)^AK2626*(((MID(C2626,9,3)*10)-144)/1000)*AL2626+AM2626*(J2626/Basis!$E$5)^2)*0.0098)/Basis!$E$10)</f>
        <v>0.12162302035473321</v>
      </c>
      <c r="M2626" s="85"/>
      <c r="N2626" s="109">
        <v>1.472</v>
      </c>
      <c r="O2626" s="68"/>
      <c r="P2626" s="67">
        <v>3164</v>
      </c>
      <c r="Q2626" s="68"/>
      <c r="R2626" s="69"/>
      <c r="S2626" s="69"/>
      <c r="T2626" s="69"/>
      <c r="U2626" s="69"/>
      <c r="V2626" s="69"/>
      <c r="W2626" s="68"/>
      <c r="X2626" s="70"/>
      <c r="Y2626" s="70"/>
      <c r="Z2626" s="70"/>
      <c r="AA2626" s="70"/>
      <c r="AB2626" s="70"/>
      <c r="AC2626" s="68"/>
      <c r="AD2626" s="71"/>
      <c r="AE2626" s="71"/>
      <c r="AF2626" s="71"/>
      <c r="AG2626" s="71"/>
      <c r="AH2626" s="71"/>
      <c r="AI2626" s="68"/>
      <c r="AJ2626" s="214">
        <v>2.0829999999999999E-4</v>
      </c>
      <c r="AK2626" s="214">
        <v>1.724</v>
      </c>
      <c r="AL2626" s="214">
        <v>4</v>
      </c>
      <c r="AM2626" s="214">
        <v>1.392796E-3</v>
      </c>
      <c r="AN2626" s="68"/>
      <c r="AO2626" s="67"/>
      <c r="AP2626" s="67"/>
      <c r="AQ2626" s="67"/>
      <c r="AR2626" s="67"/>
      <c r="AS2626" s="67"/>
      <c r="AT2626" s="68"/>
      <c r="AU2626" s="49"/>
      <c r="AV2626" s="50"/>
    </row>
    <row r="2627" spans="1:48" ht="12.75" customHeight="1" x14ac:dyDescent="0.25">
      <c r="A2627" s="72" t="s">
        <v>20</v>
      </c>
      <c r="B2627" s="43" t="s">
        <v>2240</v>
      </c>
      <c r="C2627" s="44" t="s">
        <v>2785</v>
      </c>
      <c r="D2627" s="45">
        <f>MROUND(MID($C2627,6,3)/Basis!$E$3,0.5)</f>
        <v>27.5</v>
      </c>
      <c r="E2627" s="45">
        <f>MROUND(MID($C2627,9,3)/Basis!$E$3,0.5)</f>
        <v>55</v>
      </c>
      <c r="F2627" s="124" t="s">
        <v>2945</v>
      </c>
      <c r="G2627" s="45">
        <f>ROUND((ROUNDDOWN($F2627/5,0)*5+1.8)/Basis!$E$3,1)</f>
        <v>8.6</v>
      </c>
      <c r="H2627" s="120">
        <f>ROUND($P2627*Basis!$E$2*((TaH-TrH)/LN(1/µ)/Basis!$E$7)^$N2627*$AA$4*Glycol,0)</f>
        <v>8425</v>
      </c>
      <c r="I2627" s="83">
        <f>ROUND(H2627/(MID($C2627,9,3)/Basis!$E$3/Basis!$E$9)*Basis!$E$11,0)</f>
        <v>1834</v>
      </c>
      <c r="J2627" s="123">
        <f>IF(Basis!$E$1=1,ROUND(H2627/((TaH-TrH)*1.163)/3600,3),ROUND(H2627/(500*(TaH-TrH)),2))</f>
        <v>0.84</v>
      </c>
      <c r="K2627" s="84"/>
      <c r="L2627" s="177">
        <f>CHOOSE(Basis!$E$1,((AJ2627*(J2627*3600/Basis!$E$5)^AK2627*(((MID(C2627,9,3)*10)-144)/1000)*AL2627+AM2627*(J2627*3600/Basis!$E$5)^2)*0.0098)/Basis!$E$10,((AJ2627*(J2627/Basis!$E$5)^AK2627*(((MID(C2627,9,3)*10)-144)/1000)*AL2627+AM2627*(J2627/Basis!$E$5)^2)*0.0098)/Basis!$E$10)</f>
        <v>5.3678103245203085E-2</v>
      </c>
      <c r="M2627" s="85"/>
      <c r="N2627" s="109">
        <v>1.349</v>
      </c>
      <c r="O2627" s="68"/>
      <c r="P2627" s="67">
        <v>3854</v>
      </c>
      <c r="Q2627" s="68"/>
      <c r="R2627" s="69"/>
      <c r="S2627" s="69"/>
      <c r="T2627" s="69"/>
      <c r="U2627" s="69"/>
      <c r="V2627" s="69"/>
      <c r="W2627" s="68"/>
      <c r="X2627" s="70"/>
      <c r="Y2627" s="70"/>
      <c r="Z2627" s="70"/>
      <c r="AA2627" s="70"/>
      <c r="AB2627" s="70"/>
      <c r="AC2627" s="68"/>
      <c r="AD2627" s="71"/>
      <c r="AE2627" s="71"/>
      <c r="AF2627" s="71"/>
      <c r="AG2627" s="71"/>
      <c r="AH2627" s="71"/>
      <c r="AI2627" s="68"/>
      <c r="AJ2627" s="214">
        <v>1.2760000000000001E-4</v>
      </c>
      <c r="AK2627" s="214">
        <v>1.7219</v>
      </c>
      <c r="AL2627" s="214">
        <v>2</v>
      </c>
      <c r="AM2627" s="214">
        <v>3.76611E-4</v>
      </c>
      <c r="AN2627" s="68"/>
      <c r="AO2627" s="67"/>
      <c r="AP2627" s="67"/>
      <c r="AQ2627" s="67"/>
      <c r="AR2627" s="67"/>
      <c r="AS2627" s="67"/>
      <c r="AT2627" s="68"/>
      <c r="AU2627" s="49"/>
      <c r="AV2627" s="50"/>
    </row>
    <row r="2628" spans="1:48" ht="12.75" customHeight="1" x14ac:dyDescent="0.25">
      <c r="A2628" s="72" t="s">
        <v>20</v>
      </c>
      <c r="B2628" s="43" t="s">
        <v>2240</v>
      </c>
      <c r="C2628" s="44" t="s">
        <v>2786</v>
      </c>
      <c r="D2628" s="45">
        <f>MROUND(MID($C2628,6,3)/Basis!$E$3,0.5)</f>
        <v>27.5</v>
      </c>
      <c r="E2628" s="45">
        <f>MROUND(MID($C2628,9,3)/Basis!$E$3,0.5)</f>
        <v>55</v>
      </c>
      <c r="F2628" s="124" t="s">
        <v>2948</v>
      </c>
      <c r="G2628" s="45">
        <f>ROUND((ROUNDDOWN($F2628/5,0)*5+1.8)/Basis!$E$3,1)</f>
        <v>8.6</v>
      </c>
      <c r="H2628" s="120">
        <f>ROUND($P2628*Basis!$E$2*((TaH-TrH)/LN(1/µ)/Basis!$E$7)^$N2628*$AA$4*Glycol,0)</f>
        <v>9248</v>
      </c>
      <c r="I2628" s="83">
        <f>ROUND(H2628/(MID($C2628,9,3)/Basis!$E$3/Basis!$E$9)*Basis!$E$11,0)</f>
        <v>2013</v>
      </c>
      <c r="J2628" s="123">
        <f>IF(Basis!$E$1=1,ROUND(H2628/((TaH-TrH)*1.163)/3600,3),ROUND(H2628/(500*(TaH-TrH)),2))</f>
        <v>0.92</v>
      </c>
      <c r="K2628" s="84"/>
      <c r="L2628" s="177">
        <f>CHOOSE(Basis!$E$1,((AJ2628*(J2628*3600/Basis!$E$5)^AK2628*(((MID(C2628,9,3)*10)-144)/1000)*AL2628+AM2628*(J2628*3600/Basis!$E$5)^2)*0.0098)/Basis!$E$10,((AJ2628*(J2628/Basis!$E$5)^AK2628*(((MID(C2628,9,3)*10)-144)/1000)*AL2628+AM2628*(J2628/Basis!$E$5)^2)*0.0098)/Basis!$E$10)</f>
        <v>9.4124774986157872E-2</v>
      </c>
      <c r="M2628" s="85"/>
      <c r="N2628" s="110">
        <v>1.5009999999999999</v>
      </c>
      <c r="O2628" s="74"/>
      <c r="P2628" s="73">
        <v>4448</v>
      </c>
      <c r="Q2628" s="74"/>
      <c r="R2628" s="75"/>
      <c r="S2628" s="75"/>
      <c r="T2628" s="75"/>
      <c r="U2628" s="75"/>
      <c r="V2628" s="75"/>
      <c r="W2628" s="74"/>
      <c r="X2628" s="76"/>
      <c r="Y2628" s="76"/>
      <c r="Z2628" s="76"/>
      <c r="AA2628" s="76"/>
      <c r="AB2628" s="76"/>
      <c r="AC2628" s="74"/>
      <c r="AD2628" s="77"/>
      <c r="AE2628" s="77"/>
      <c r="AF2628" s="77"/>
      <c r="AG2628" s="77"/>
      <c r="AH2628" s="77"/>
      <c r="AI2628" s="68"/>
      <c r="AJ2628" s="213">
        <v>1.2760000000000001E-4</v>
      </c>
      <c r="AK2628" s="213">
        <v>1.7219</v>
      </c>
      <c r="AL2628" s="213">
        <v>4</v>
      </c>
      <c r="AM2628" s="213">
        <v>5.1420100000000005E-4</v>
      </c>
      <c r="AN2628" s="74"/>
      <c r="AO2628" s="73"/>
      <c r="AP2628" s="73"/>
      <c r="AQ2628" s="73"/>
      <c r="AR2628" s="73"/>
      <c r="AS2628" s="73"/>
      <c r="AT2628" s="74"/>
      <c r="AU2628" s="47"/>
      <c r="AV2628" s="48"/>
    </row>
    <row r="2629" spans="1:48" ht="12.75" customHeight="1" x14ac:dyDescent="0.25">
      <c r="A2629" s="72" t="s">
        <v>20</v>
      </c>
      <c r="B2629" s="43" t="s">
        <v>2240</v>
      </c>
      <c r="C2629" s="44" t="s">
        <v>2787</v>
      </c>
      <c r="D2629" s="45">
        <f>MROUND(MID($C2629,6,3)/Basis!$E$3,0.5)</f>
        <v>27.5</v>
      </c>
      <c r="E2629" s="45">
        <f>MROUND(MID($C2629,9,3)/Basis!$E$3,0.5)</f>
        <v>63</v>
      </c>
      <c r="F2629" s="124" t="s">
        <v>2943</v>
      </c>
      <c r="G2629" s="45">
        <f>ROUND((ROUNDDOWN($F2629/5,0)*5+1.8)/Basis!$E$3,1)</f>
        <v>4.5999999999999996</v>
      </c>
      <c r="H2629" s="120">
        <f>ROUND($P2629*Basis!$E$2*((TaH-TrH)/LN(1/µ)/Basis!$E$7)^$N2629*$AA$4*Glycol,0)</f>
        <v>4341</v>
      </c>
      <c r="I2629" s="83">
        <f>ROUND(H2629/(MID($C2629,9,3)/Basis!$E$3/Basis!$E$9)*Basis!$E$11,0)</f>
        <v>827</v>
      </c>
      <c r="J2629" s="123">
        <f>IF(Basis!$E$1=1,ROUND(H2629/((TaH-TrH)*1.163)/3600,3),ROUND(H2629/(500*(TaH-TrH)),2))</f>
        <v>0.43</v>
      </c>
      <c r="K2629" s="84"/>
      <c r="L2629" s="177">
        <f>CHOOSE(Basis!$E$1,((AJ2629*(J2629*3600/Basis!$E$5)^AK2629*(((MID(C2629,9,3)*10)-144)/1000)*AL2629+AM2629*(J2629*3600/Basis!$E$5)^2)*0.0098)/Basis!$E$10,((AJ2629*(J2629/Basis!$E$5)^AK2629*(((MID(C2629,9,3)*10)-144)/1000)*AL2629+AM2629*(J2629/Basis!$E$5)^2)*0.0098)/Basis!$E$10)</f>
        <v>2.2141513501169538E-2</v>
      </c>
      <c r="M2629" s="85"/>
      <c r="N2629" s="110">
        <v>1.3660000000000001</v>
      </c>
      <c r="O2629" s="74"/>
      <c r="P2629" s="73">
        <v>1997</v>
      </c>
      <c r="Q2629" s="74"/>
      <c r="R2629" s="75"/>
      <c r="S2629" s="75"/>
      <c r="T2629" s="75"/>
      <c r="U2629" s="75"/>
      <c r="V2629" s="75"/>
      <c r="W2629" s="74"/>
      <c r="X2629" s="76"/>
      <c r="Y2629" s="76"/>
      <c r="Z2629" s="76"/>
      <c r="AA2629" s="76"/>
      <c r="AB2629" s="76"/>
      <c r="AC2629" s="74"/>
      <c r="AD2629" s="77"/>
      <c r="AE2629" s="77"/>
      <c r="AF2629" s="77"/>
      <c r="AG2629" s="77"/>
      <c r="AH2629" s="77"/>
      <c r="AI2629" s="68"/>
      <c r="AJ2629" s="213">
        <v>3.9689999999999994E-4</v>
      </c>
      <c r="AK2629" s="213">
        <v>1.7345999999999999</v>
      </c>
      <c r="AL2629" s="213">
        <v>2</v>
      </c>
      <c r="AM2629" s="213">
        <v>3.6734700000000002E-4</v>
      </c>
      <c r="AN2629" s="74"/>
      <c r="AO2629" s="73"/>
      <c r="AP2629" s="73"/>
      <c r="AQ2629" s="73"/>
      <c r="AR2629" s="73"/>
      <c r="AS2629" s="73"/>
      <c r="AT2629" s="74"/>
      <c r="AU2629" s="47"/>
      <c r="AV2629" s="48"/>
    </row>
    <row r="2630" spans="1:48" ht="12.75" customHeight="1" x14ac:dyDescent="0.25">
      <c r="A2630" s="72" t="s">
        <v>20</v>
      </c>
      <c r="B2630" s="43" t="s">
        <v>2240</v>
      </c>
      <c r="C2630" s="44" t="s">
        <v>2788</v>
      </c>
      <c r="D2630" s="45">
        <f>MROUND(MID($C2630,6,3)/Basis!$E$3,0.5)</f>
        <v>27.5</v>
      </c>
      <c r="E2630" s="45">
        <f>MROUND(MID($C2630,9,3)/Basis!$E$3,0.5)</f>
        <v>63</v>
      </c>
      <c r="F2630" s="124" t="s">
        <v>2946</v>
      </c>
      <c r="G2630" s="45">
        <f>ROUND((ROUNDDOWN($F2630/5,0)*5+1.8)/Basis!$E$3,1)</f>
        <v>4.5999999999999996</v>
      </c>
      <c r="H2630" s="120">
        <f>ROUND($P2630*Basis!$E$2*((TaH-TrH)/LN(1/µ)/Basis!$E$7)^$N2630*$AA$4*Glycol,0)</f>
        <v>5404</v>
      </c>
      <c r="I2630" s="83">
        <f>ROUND(H2630/(MID($C2630,9,3)/Basis!$E$3/Basis!$E$9)*Basis!$E$11,0)</f>
        <v>1029</v>
      </c>
      <c r="J2630" s="123">
        <f>IF(Basis!$E$1=1,ROUND(H2630/((TaH-TrH)*1.163)/3600,3),ROUND(H2630/(500*(TaH-TrH)),2))</f>
        <v>0.54</v>
      </c>
      <c r="K2630" s="84"/>
      <c r="L2630" s="177">
        <f>CHOOSE(Basis!$E$1,((AJ2630*(J2630*3600/Basis!$E$5)^AK2630*(((MID(C2630,9,3)*10)-144)/1000)*AL2630+AM2630*(J2630*3600/Basis!$E$5)^2)*0.0098)/Basis!$E$10,((AJ2630*(J2630/Basis!$E$5)^AK2630*(((MID(C2630,9,3)*10)-144)/1000)*AL2630+AM2630*(J2630/Basis!$E$5)^2)*0.0098)/Basis!$E$10)</f>
        <v>5.9970880446500049E-2</v>
      </c>
      <c r="M2630" s="85"/>
      <c r="N2630" s="109">
        <v>1.4359999999999999</v>
      </c>
      <c r="O2630" s="68"/>
      <c r="P2630" s="67">
        <v>2544</v>
      </c>
      <c r="Q2630" s="68"/>
      <c r="R2630" s="69"/>
      <c r="S2630" s="69"/>
      <c r="T2630" s="69"/>
      <c r="U2630" s="69"/>
      <c r="V2630" s="69"/>
      <c r="W2630" s="68"/>
      <c r="X2630" s="70"/>
      <c r="Y2630" s="70"/>
      <c r="Z2630" s="70"/>
      <c r="AA2630" s="70"/>
      <c r="AB2630" s="70"/>
      <c r="AC2630" s="68"/>
      <c r="AD2630" s="71"/>
      <c r="AE2630" s="71"/>
      <c r="AF2630" s="71"/>
      <c r="AG2630" s="71"/>
      <c r="AH2630" s="71"/>
      <c r="AI2630" s="68"/>
      <c r="AJ2630" s="214">
        <v>3.9689999999999994E-4</v>
      </c>
      <c r="AK2630" s="214">
        <v>1.7345999999999999</v>
      </c>
      <c r="AL2630" s="214">
        <v>4</v>
      </c>
      <c r="AM2630" s="214">
        <v>5.7428799999999995E-4</v>
      </c>
      <c r="AN2630" s="68"/>
      <c r="AO2630" s="67"/>
      <c r="AP2630" s="67"/>
      <c r="AQ2630" s="67"/>
      <c r="AR2630" s="67"/>
      <c r="AS2630" s="67"/>
      <c r="AT2630" s="68"/>
      <c r="AU2630" s="49"/>
      <c r="AV2630" s="50"/>
    </row>
    <row r="2631" spans="1:48" ht="12.75" customHeight="1" x14ac:dyDescent="0.25">
      <c r="A2631" s="72" t="s">
        <v>20</v>
      </c>
      <c r="B2631" s="43" t="s">
        <v>2240</v>
      </c>
      <c r="C2631" s="44" t="s">
        <v>2789</v>
      </c>
      <c r="D2631" s="45">
        <f>MROUND(MID($C2631,6,3)/Basis!$E$3,0.5)</f>
        <v>27.5</v>
      </c>
      <c r="E2631" s="45">
        <f>MROUND(MID($C2631,9,3)/Basis!$E$3,0.5)</f>
        <v>63</v>
      </c>
      <c r="F2631" s="124" t="s">
        <v>2944</v>
      </c>
      <c r="G2631" s="45">
        <f>ROUND((ROUNDDOWN($F2631/5,0)*5+1.8)/Basis!$E$3,1)</f>
        <v>6.6</v>
      </c>
      <c r="H2631" s="120">
        <f>ROUND($P2631*Basis!$E$2*((TaH-TrH)/LN(1/µ)/Basis!$E$7)^$N2631*$AA$4*Glycol,0)</f>
        <v>6895</v>
      </c>
      <c r="I2631" s="83">
        <f>ROUND(H2631/(MID($C2631,9,3)/Basis!$E$3/Basis!$E$9)*Basis!$E$11,0)</f>
        <v>1313</v>
      </c>
      <c r="J2631" s="123">
        <f>IF(Basis!$E$1=1,ROUND(H2631/((TaH-TrH)*1.163)/3600,3),ROUND(H2631/(500*(TaH-TrH)),2))</f>
        <v>0.69</v>
      </c>
      <c r="K2631" s="84"/>
      <c r="L2631" s="177">
        <f>CHOOSE(Basis!$E$1,((AJ2631*(J2631*3600/Basis!$E$5)^AK2631*(((MID(C2631,9,3)*10)-144)/1000)*AL2631+AM2631*(J2631*3600/Basis!$E$5)^2)*0.0098)/Basis!$E$10,((AJ2631*(J2631/Basis!$E$5)^AK2631*(((MID(C2631,9,3)*10)-144)/1000)*AL2631+AM2631*(J2631/Basis!$E$5)^2)*0.0098)/Basis!$E$10)</f>
        <v>4.9158344884376731E-2</v>
      </c>
      <c r="M2631" s="85"/>
      <c r="N2631" s="109">
        <v>1.35</v>
      </c>
      <c r="O2631" s="68"/>
      <c r="P2631" s="67">
        <v>3155</v>
      </c>
      <c r="Q2631" s="68"/>
      <c r="R2631" s="69"/>
      <c r="S2631" s="69"/>
      <c r="T2631" s="69"/>
      <c r="U2631" s="69"/>
      <c r="V2631" s="69"/>
      <c r="W2631" s="68"/>
      <c r="X2631" s="70"/>
      <c r="Y2631" s="70"/>
      <c r="Z2631" s="70"/>
      <c r="AA2631" s="70"/>
      <c r="AB2631" s="70"/>
      <c r="AC2631" s="68"/>
      <c r="AD2631" s="71"/>
      <c r="AE2631" s="71"/>
      <c r="AF2631" s="71"/>
      <c r="AG2631" s="71"/>
      <c r="AH2631" s="71"/>
      <c r="AI2631" s="68"/>
      <c r="AJ2631" s="214">
        <v>2.0829999999999999E-4</v>
      </c>
      <c r="AK2631" s="214">
        <v>1.724</v>
      </c>
      <c r="AL2631" s="214">
        <v>2</v>
      </c>
      <c r="AM2631" s="214">
        <v>4.6182900000000003E-4</v>
      </c>
      <c r="AN2631" s="68"/>
      <c r="AO2631" s="67"/>
      <c r="AP2631" s="67"/>
      <c r="AQ2631" s="67"/>
      <c r="AR2631" s="67"/>
      <c r="AS2631" s="67"/>
      <c r="AT2631" s="68"/>
      <c r="AU2631" s="49"/>
      <c r="AV2631" s="50"/>
    </row>
    <row r="2632" spans="1:48" ht="12.75" customHeight="1" x14ac:dyDescent="0.25">
      <c r="A2632" s="72" t="s">
        <v>20</v>
      </c>
      <c r="B2632" s="43" t="s">
        <v>2240</v>
      </c>
      <c r="C2632" s="44" t="s">
        <v>2790</v>
      </c>
      <c r="D2632" s="45">
        <f>MROUND(MID($C2632,6,3)/Basis!$E$3,0.5)</f>
        <v>27.5</v>
      </c>
      <c r="E2632" s="45">
        <f>MROUND(MID($C2632,9,3)/Basis!$E$3,0.5)</f>
        <v>63</v>
      </c>
      <c r="F2632" s="124" t="s">
        <v>2947</v>
      </c>
      <c r="G2632" s="45">
        <f>ROUND((ROUNDDOWN($F2632/5,0)*5+1.8)/Basis!$E$3,1)</f>
        <v>6.6</v>
      </c>
      <c r="H2632" s="120">
        <f>ROUND($P2632*Basis!$E$2*((TaH-TrH)/LN(1/µ)/Basis!$E$7)^$N2632*$AA$4*Glycol,0)</f>
        <v>7590</v>
      </c>
      <c r="I2632" s="83">
        <f>ROUND(H2632/(MID($C2632,9,3)/Basis!$E$3/Basis!$E$9)*Basis!$E$11,0)</f>
        <v>1446</v>
      </c>
      <c r="J2632" s="123">
        <f>IF(Basis!$E$1=1,ROUND(H2632/((TaH-TrH)*1.163)/3600,3),ROUND(H2632/(500*(TaH-TrH)),2))</f>
        <v>0.76</v>
      </c>
      <c r="K2632" s="84"/>
      <c r="L2632" s="177">
        <f>CHOOSE(Basis!$E$1,((AJ2632*(J2632*3600/Basis!$E$5)^AK2632*(((MID(C2632,9,3)*10)-144)/1000)*AL2632+AM2632*(J2632*3600/Basis!$E$5)^2)*0.0098)/Basis!$E$10,((AJ2632*(J2632/Basis!$E$5)^AK2632*(((MID(C2632,9,3)*10)-144)/1000)*AL2632+AM2632*(J2632/Basis!$E$5)^2)*0.0098)/Basis!$E$10)</f>
        <v>0.16421126284837417</v>
      </c>
      <c r="M2632" s="85"/>
      <c r="N2632" s="110">
        <v>1.472</v>
      </c>
      <c r="O2632" s="74"/>
      <c r="P2632" s="73">
        <v>3616</v>
      </c>
      <c r="Q2632" s="74"/>
      <c r="R2632" s="75"/>
      <c r="S2632" s="75"/>
      <c r="T2632" s="75"/>
      <c r="U2632" s="75"/>
      <c r="V2632" s="75"/>
      <c r="W2632" s="74"/>
      <c r="X2632" s="76"/>
      <c r="Y2632" s="76"/>
      <c r="Z2632" s="76"/>
      <c r="AA2632" s="76"/>
      <c r="AB2632" s="76"/>
      <c r="AC2632" s="74"/>
      <c r="AD2632" s="77"/>
      <c r="AE2632" s="77"/>
      <c r="AF2632" s="77"/>
      <c r="AG2632" s="77"/>
      <c r="AH2632" s="77"/>
      <c r="AI2632" s="68"/>
      <c r="AJ2632" s="213">
        <v>2.0829999999999999E-4</v>
      </c>
      <c r="AK2632" s="213">
        <v>1.724</v>
      </c>
      <c r="AL2632" s="213">
        <v>4</v>
      </c>
      <c r="AM2632" s="213">
        <v>1.392796E-3</v>
      </c>
      <c r="AN2632" s="74"/>
      <c r="AO2632" s="73"/>
      <c r="AP2632" s="73"/>
      <c r="AQ2632" s="73"/>
      <c r="AR2632" s="73"/>
      <c r="AS2632" s="73"/>
      <c r="AT2632" s="74"/>
      <c r="AU2632" s="47"/>
      <c r="AV2632" s="48"/>
    </row>
    <row r="2633" spans="1:48" ht="12.75" customHeight="1" x14ac:dyDescent="0.25">
      <c r="A2633" s="72" t="s">
        <v>20</v>
      </c>
      <c r="B2633" s="43" t="s">
        <v>2240</v>
      </c>
      <c r="C2633" s="44" t="s">
        <v>2791</v>
      </c>
      <c r="D2633" s="45">
        <f>MROUND(MID($C2633,6,3)/Basis!$E$3,0.5)</f>
        <v>27.5</v>
      </c>
      <c r="E2633" s="45">
        <f>MROUND(MID($C2633,9,3)/Basis!$E$3,0.5)</f>
        <v>63</v>
      </c>
      <c r="F2633" s="124" t="s">
        <v>2945</v>
      </c>
      <c r="G2633" s="45">
        <f>ROUND((ROUNDDOWN($F2633/5,0)*5+1.8)/Basis!$E$3,1)</f>
        <v>8.6</v>
      </c>
      <c r="H2633" s="120">
        <f>ROUND($P2633*Basis!$E$2*((TaH-TrH)/LN(1/µ)/Basis!$E$7)^$N2633*$AA$4*Glycol,0)</f>
        <v>9630</v>
      </c>
      <c r="I2633" s="83">
        <f>ROUND(H2633/(MID($C2633,9,3)/Basis!$E$3/Basis!$E$9)*Basis!$E$11,0)</f>
        <v>1835</v>
      </c>
      <c r="J2633" s="123">
        <f>IF(Basis!$E$1=1,ROUND(H2633/((TaH-TrH)*1.163)/3600,3),ROUND(H2633/(500*(TaH-TrH)),2))</f>
        <v>0.96</v>
      </c>
      <c r="K2633" s="84"/>
      <c r="L2633" s="177">
        <f>CHOOSE(Basis!$E$1,((AJ2633*(J2633*3600/Basis!$E$5)^AK2633*(((MID(C2633,9,3)*10)-144)/1000)*AL2633+AM2633*(J2633*3600/Basis!$E$5)^2)*0.0098)/Basis!$E$10,((AJ2633*(J2633/Basis!$E$5)^AK2633*(((MID(C2633,9,3)*10)-144)/1000)*AL2633+AM2633*(J2633/Basis!$E$5)^2)*0.0098)/Basis!$E$10)</f>
        <v>7.1463291959758798E-2</v>
      </c>
      <c r="M2633" s="85"/>
      <c r="N2633" s="110">
        <v>1.349</v>
      </c>
      <c r="O2633" s="74"/>
      <c r="P2633" s="73">
        <v>4405</v>
      </c>
      <c r="Q2633" s="74"/>
      <c r="R2633" s="75"/>
      <c r="S2633" s="75"/>
      <c r="T2633" s="75"/>
      <c r="U2633" s="75"/>
      <c r="V2633" s="75"/>
      <c r="W2633" s="74"/>
      <c r="X2633" s="76"/>
      <c r="Y2633" s="76"/>
      <c r="Z2633" s="76"/>
      <c r="AA2633" s="76"/>
      <c r="AB2633" s="76"/>
      <c r="AC2633" s="74"/>
      <c r="AD2633" s="77"/>
      <c r="AE2633" s="77"/>
      <c r="AF2633" s="77"/>
      <c r="AG2633" s="77"/>
      <c r="AH2633" s="77"/>
      <c r="AI2633" s="68"/>
      <c r="AJ2633" s="214">
        <v>1.2760000000000001E-4</v>
      </c>
      <c r="AK2633" s="214">
        <v>1.7219</v>
      </c>
      <c r="AL2633" s="214">
        <v>2</v>
      </c>
      <c r="AM2633" s="214">
        <v>3.76611E-4</v>
      </c>
      <c r="AN2633" s="74"/>
      <c r="AO2633" s="73"/>
      <c r="AP2633" s="73"/>
      <c r="AQ2633" s="73"/>
      <c r="AR2633" s="73"/>
      <c r="AS2633" s="73"/>
      <c r="AT2633" s="74"/>
      <c r="AU2633" s="47"/>
      <c r="AV2633" s="48"/>
    </row>
    <row r="2634" spans="1:48" ht="12.75" customHeight="1" x14ac:dyDescent="0.25">
      <c r="A2634" s="72" t="s">
        <v>20</v>
      </c>
      <c r="B2634" s="43" t="s">
        <v>2240</v>
      </c>
      <c r="C2634" s="44" t="s">
        <v>2792</v>
      </c>
      <c r="D2634" s="45">
        <f>MROUND(MID($C2634,6,3)/Basis!$E$3,0.5)</f>
        <v>27.5</v>
      </c>
      <c r="E2634" s="45">
        <f>MROUND(MID($C2634,9,3)/Basis!$E$3,0.5)</f>
        <v>63</v>
      </c>
      <c r="F2634" s="124" t="s">
        <v>2948</v>
      </c>
      <c r="G2634" s="45">
        <f>ROUND((ROUNDDOWN($F2634/5,0)*5+1.8)/Basis!$E$3,1)</f>
        <v>8.6</v>
      </c>
      <c r="H2634" s="120">
        <f>ROUND($P2634*Basis!$E$2*((TaH-TrH)/LN(1/µ)/Basis!$E$7)^$N2634*$AA$4*Glycol,0)</f>
        <v>10568</v>
      </c>
      <c r="I2634" s="83">
        <f>ROUND(H2634/(MID($C2634,9,3)/Basis!$E$3/Basis!$E$9)*Basis!$E$11,0)</f>
        <v>2013</v>
      </c>
      <c r="J2634" s="123">
        <f>IF(Basis!$E$1=1,ROUND(H2634/((TaH-TrH)*1.163)/3600,3),ROUND(H2634/(500*(TaH-TrH)),2))</f>
        <v>1.06</v>
      </c>
      <c r="K2634" s="84"/>
      <c r="L2634" s="177">
        <f>CHOOSE(Basis!$E$1,((AJ2634*(J2634*3600/Basis!$E$5)^AK2634*(((MID(C2634,9,3)*10)-144)/1000)*AL2634+AM2634*(J2634*3600/Basis!$E$5)^2)*0.0098)/Basis!$E$10,((AJ2634*(J2634/Basis!$E$5)^AK2634*(((MID(C2634,9,3)*10)-144)/1000)*AL2634+AM2634*(J2634/Basis!$E$5)^2)*0.0098)/Basis!$E$10)</f>
        <v>0.12809877342871337</v>
      </c>
      <c r="M2634" s="85"/>
      <c r="N2634" s="109">
        <v>1.5009999999999999</v>
      </c>
      <c r="O2634" s="68"/>
      <c r="P2634" s="67">
        <v>5083</v>
      </c>
      <c r="Q2634" s="68"/>
      <c r="R2634" s="69"/>
      <c r="S2634" s="69"/>
      <c r="T2634" s="69"/>
      <c r="U2634" s="69"/>
      <c r="V2634" s="69"/>
      <c r="W2634" s="68"/>
      <c r="X2634" s="70"/>
      <c r="Y2634" s="70"/>
      <c r="Z2634" s="70"/>
      <c r="AA2634" s="70"/>
      <c r="AB2634" s="70"/>
      <c r="AC2634" s="68"/>
      <c r="AD2634" s="71"/>
      <c r="AE2634" s="71"/>
      <c r="AF2634" s="71"/>
      <c r="AG2634" s="71"/>
      <c r="AH2634" s="71"/>
      <c r="AI2634" s="68"/>
      <c r="AJ2634" s="214">
        <v>1.2760000000000001E-4</v>
      </c>
      <c r="AK2634" s="214">
        <v>1.7219</v>
      </c>
      <c r="AL2634" s="214">
        <v>4</v>
      </c>
      <c r="AM2634" s="214">
        <v>5.1420100000000005E-4</v>
      </c>
      <c r="AN2634" s="68"/>
      <c r="AO2634" s="67"/>
      <c r="AP2634" s="67"/>
      <c r="AQ2634" s="67"/>
      <c r="AR2634" s="67"/>
      <c r="AS2634" s="67"/>
      <c r="AT2634" s="68"/>
      <c r="AU2634" s="49"/>
      <c r="AV2634" s="50"/>
    </row>
    <row r="2635" spans="1:48" ht="12.75" customHeight="1" x14ac:dyDescent="0.25">
      <c r="A2635" s="72" t="s">
        <v>20</v>
      </c>
      <c r="B2635" s="43" t="s">
        <v>2240</v>
      </c>
      <c r="C2635" s="44" t="s">
        <v>2793</v>
      </c>
      <c r="D2635" s="45">
        <f>MROUND(MID($C2635,6,3)/Basis!$E$3,0.5)</f>
        <v>27.5</v>
      </c>
      <c r="E2635" s="45">
        <f>MROUND(MID($C2635,9,3)/Basis!$E$3,0.5)</f>
        <v>71</v>
      </c>
      <c r="F2635" s="124" t="s">
        <v>2943</v>
      </c>
      <c r="G2635" s="45">
        <f>ROUND((ROUNDDOWN($F2635/5,0)*5+1.8)/Basis!$E$3,1)</f>
        <v>4.5999999999999996</v>
      </c>
      <c r="H2635" s="120">
        <f>ROUND($P2635*Basis!$E$2*((TaH-TrH)/LN(1/µ)/Basis!$E$7)^$N2635*$AA$4*Glycol,0)</f>
        <v>4882</v>
      </c>
      <c r="I2635" s="83">
        <f>ROUND(H2635/(MID($C2635,9,3)/Basis!$E$3/Basis!$E$9)*Basis!$E$11,0)</f>
        <v>827</v>
      </c>
      <c r="J2635" s="123">
        <f>IF(Basis!$E$1=1,ROUND(H2635/((TaH-TrH)*1.163)/3600,3),ROUND(H2635/(500*(TaH-TrH)),2))</f>
        <v>0.49</v>
      </c>
      <c r="K2635" s="84"/>
      <c r="L2635" s="177">
        <f>CHOOSE(Basis!$E$1,((AJ2635*(J2635*3600/Basis!$E$5)^AK2635*(((MID(C2635,9,3)*10)-144)/1000)*AL2635+AM2635*(J2635*3600/Basis!$E$5)^2)*0.0098)/Basis!$E$10,((AJ2635*(J2635/Basis!$E$5)^AK2635*(((MID(C2635,9,3)*10)-144)/1000)*AL2635+AM2635*(J2635/Basis!$E$5)^2)*0.0098)/Basis!$E$10)</f>
        <v>3.0119839206938587E-2</v>
      </c>
      <c r="M2635" s="85"/>
      <c r="N2635" s="109">
        <v>1.3660000000000001</v>
      </c>
      <c r="O2635" s="68"/>
      <c r="P2635" s="67">
        <v>2246</v>
      </c>
      <c r="Q2635" s="68"/>
      <c r="R2635" s="69"/>
      <c r="S2635" s="69"/>
      <c r="T2635" s="69"/>
      <c r="U2635" s="69"/>
      <c r="V2635" s="69"/>
      <c r="W2635" s="68"/>
      <c r="X2635" s="70"/>
      <c r="Y2635" s="70"/>
      <c r="Z2635" s="70"/>
      <c r="AA2635" s="70"/>
      <c r="AB2635" s="70"/>
      <c r="AC2635" s="68"/>
      <c r="AD2635" s="71"/>
      <c r="AE2635" s="71"/>
      <c r="AF2635" s="71"/>
      <c r="AG2635" s="71"/>
      <c r="AH2635" s="71"/>
      <c r="AI2635" s="68"/>
      <c r="AJ2635" s="214">
        <v>3.9689999999999994E-4</v>
      </c>
      <c r="AK2635" s="214">
        <v>1.7345999999999999</v>
      </c>
      <c r="AL2635" s="214">
        <v>2</v>
      </c>
      <c r="AM2635" s="214">
        <v>3.6734700000000002E-4</v>
      </c>
      <c r="AN2635" s="68"/>
      <c r="AO2635" s="67"/>
      <c r="AP2635" s="67"/>
      <c r="AQ2635" s="67"/>
      <c r="AR2635" s="67"/>
      <c r="AS2635" s="67"/>
      <c r="AT2635" s="68"/>
      <c r="AU2635" s="49"/>
      <c r="AV2635" s="50"/>
    </row>
    <row r="2636" spans="1:48" ht="12.75" customHeight="1" x14ac:dyDescent="0.25">
      <c r="A2636" s="72" t="s">
        <v>20</v>
      </c>
      <c r="B2636" s="43" t="s">
        <v>2240</v>
      </c>
      <c r="C2636" s="44" t="s">
        <v>2794</v>
      </c>
      <c r="D2636" s="45">
        <f>MROUND(MID($C2636,6,3)/Basis!$E$3,0.5)</f>
        <v>27.5</v>
      </c>
      <c r="E2636" s="45">
        <f>MROUND(MID($C2636,9,3)/Basis!$E$3,0.5)</f>
        <v>71</v>
      </c>
      <c r="F2636" s="124" t="s">
        <v>2946</v>
      </c>
      <c r="G2636" s="45">
        <f>ROUND((ROUNDDOWN($F2636/5,0)*5+1.8)/Basis!$E$3,1)</f>
        <v>4.5999999999999996</v>
      </c>
      <c r="H2636" s="120">
        <f>ROUND($P2636*Basis!$E$2*((TaH-TrH)/LN(1/µ)/Basis!$E$7)^$N2636*$AA$4*Glycol,0)</f>
        <v>6079</v>
      </c>
      <c r="I2636" s="83">
        <f>ROUND(H2636/(MID($C2636,9,3)/Basis!$E$3/Basis!$E$9)*Basis!$E$11,0)</f>
        <v>1029</v>
      </c>
      <c r="J2636" s="123">
        <f>IF(Basis!$E$1=1,ROUND(H2636/((TaH-TrH)*1.163)/3600,3),ROUND(H2636/(500*(TaH-TrH)),2))</f>
        <v>0.61</v>
      </c>
      <c r="K2636" s="84"/>
      <c r="L2636" s="177">
        <f>CHOOSE(Basis!$E$1,((AJ2636*(J2636*3600/Basis!$E$5)^AK2636*(((MID(C2636,9,3)*10)-144)/1000)*AL2636+AM2636*(J2636*3600/Basis!$E$5)^2)*0.0098)/Basis!$E$10,((AJ2636*(J2636/Basis!$E$5)^AK2636*(((MID(C2636,9,3)*10)-144)/1000)*AL2636+AM2636*(J2636/Basis!$E$5)^2)*0.0098)/Basis!$E$10)</f>
        <v>8.0621825082898668E-2</v>
      </c>
      <c r="M2636" s="85"/>
      <c r="N2636" s="110">
        <v>1.4359999999999999</v>
      </c>
      <c r="O2636" s="74"/>
      <c r="P2636" s="73">
        <v>2862</v>
      </c>
      <c r="Q2636" s="74"/>
      <c r="R2636" s="75"/>
      <c r="S2636" s="75"/>
      <c r="T2636" s="75"/>
      <c r="U2636" s="75"/>
      <c r="V2636" s="75"/>
      <c r="W2636" s="74"/>
      <c r="X2636" s="76"/>
      <c r="Y2636" s="76"/>
      <c r="Z2636" s="76"/>
      <c r="AA2636" s="76"/>
      <c r="AB2636" s="76"/>
      <c r="AC2636" s="74"/>
      <c r="AD2636" s="77"/>
      <c r="AE2636" s="77"/>
      <c r="AF2636" s="77"/>
      <c r="AG2636" s="77"/>
      <c r="AH2636" s="77"/>
      <c r="AI2636" s="68"/>
      <c r="AJ2636" s="213">
        <v>3.9689999999999994E-4</v>
      </c>
      <c r="AK2636" s="213">
        <v>1.7345999999999999</v>
      </c>
      <c r="AL2636" s="213">
        <v>4</v>
      </c>
      <c r="AM2636" s="213">
        <v>5.7428799999999995E-4</v>
      </c>
      <c r="AN2636" s="74"/>
      <c r="AO2636" s="73"/>
      <c r="AP2636" s="73"/>
      <c r="AQ2636" s="73"/>
      <c r="AR2636" s="73"/>
      <c r="AS2636" s="73"/>
      <c r="AT2636" s="74"/>
      <c r="AU2636" s="47"/>
      <c r="AV2636" s="48"/>
    </row>
    <row r="2637" spans="1:48" ht="12.75" customHeight="1" x14ac:dyDescent="0.25">
      <c r="A2637" s="72" t="s">
        <v>20</v>
      </c>
      <c r="B2637" s="43" t="s">
        <v>2240</v>
      </c>
      <c r="C2637" s="44" t="s">
        <v>2795</v>
      </c>
      <c r="D2637" s="45">
        <f>MROUND(MID($C2637,6,3)/Basis!$E$3,0.5)</f>
        <v>27.5</v>
      </c>
      <c r="E2637" s="45">
        <f>MROUND(MID($C2637,9,3)/Basis!$E$3,0.5)</f>
        <v>71</v>
      </c>
      <c r="F2637" s="124" t="s">
        <v>2944</v>
      </c>
      <c r="G2637" s="45">
        <f>ROUND((ROUNDDOWN($F2637/5,0)*5+1.8)/Basis!$E$3,1)</f>
        <v>6.6</v>
      </c>
      <c r="H2637" s="120">
        <f>ROUND($P2637*Basis!$E$2*((TaH-TrH)/LN(1/µ)/Basis!$E$7)^$N2637*$AA$4*Glycol,0)</f>
        <v>7758</v>
      </c>
      <c r="I2637" s="83">
        <f>ROUND(H2637/(MID($C2637,9,3)/Basis!$E$3/Basis!$E$9)*Basis!$E$11,0)</f>
        <v>1314</v>
      </c>
      <c r="J2637" s="123">
        <f>IF(Basis!$E$1=1,ROUND(H2637/((TaH-TrH)*1.163)/3600,3),ROUND(H2637/(500*(TaH-TrH)),2))</f>
        <v>0.78</v>
      </c>
      <c r="K2637" s="84"/>
      <c r="L2637" s="177">
        <f>CHOOSE(Basis!$E$1,((AJ2637*(J2637*3600/Basis!$E$5)^AK2637*(((MID(C2637,9,3)*10)-144)/1000)*AL2637+AM2637*(J2637*3600/Basis!$E$5)^2)*0.0098)/Basis!$E$10,((AJ2637*(J2637/Basis!$E$5)^AK2637*(((MID(C2637,9,3)*10)-144)/1000)*AL2637+AM2637*(J2637/Basis!$E$5)^2)*0.0098)/Basis!$E$10)</f>
        <v>6.4353825174010865E-2</v>
      </c>
      <c r="M2637" s="85"/>
      <c r="N2637" s="110">
        <v>1.35</v>
      </c>
      <c r="O2637" s="74"/>
      <c r="P2637" s="73">
        <v>3550</v>
      </c>
      <c r="Q2637" s="74"/>
      <c r="R2637" s="75"/>
      <c r="S2637" s="75"/>
      <c r="T2637" s="75"/>
      <c r="U2637" s="75"/>
      <c r="V2637" s="75"/>
      <c r="W2637" s="74"/>
      <c r="X2637" s="76"/>
      <c r="Y2637" s="76"/>
      <c r="Z2637" s="76"/>
      <c r="AA2637" s="76"/>
      <c r="AB2637" s="76"/>
      <c r="AC2637" s="74"/>
      <c r="AD2637" s="77"/>
      <c r="AE2637" s="77"/>
      <c r="AF2637" s="77"/>
      <c r="AG2637" s="77"/>
      <c r="AH2637" s="77"/>
      <c r="AI2637" s="68"/>
      <c r="AJ2637" s="213">
        <v>2.0829999999999999E-4</v>
      </c>
      <c r="AK2637" s="213">
        <v>1.724</v>
      </c>
      <c r="AL2637" s="213">
        <v>2</v>
      </c>
      <c r="AM2637" s="213">
        <v>4.6182900000000003E-4</v>
      </c>
      <c r="AN2637" s="74"/>
      <c r="AO2637" s="73"/>
      <c r="AP2637" s="73"/>
      <c r="AQ2637" s="73"/>
      <c r="AR2637" s="73"/>
      <c r="AS2637" s="73"/>
      <c r="AT2637" s="74"/>
      <c r="AU2637" s="47"/>
      <c r="AV2637" s="48"/>
    </row>
    <row r="2638" spans="1:48" ht="12.75" customHeight="1" x14ac:dyDescent="0.25">
      <c r="A2638" s="72" t="s">
        <v>20</v>
      </c>
      <c r="B2638" s="43" t="s">
        <v>2240</v>
      </c>
      <c r="C2638" s="44" t="s">
        <v>2796</v>
      </c>
      <c r="D2638" s="45">
        <f>MROUND(MID($C2638,6,3)/Basis!$E$3,0.5)</f>
        <v>27.5</v>
      </c>
      <c r="E2638" s="45">
        <f>MROUND(MID($C2638,9,3)/Basis!$E$3,0.5)</f>
        <v>71</v>
      </c>
      <c r="F2638" s="124" t="s">
        <v>2947</v>
      </c>
      <c r="G2638" s="45">
        <f>ROUND((ROUNDDOWN($F2638/5,0)*5+1.8)/Basis!$E$3,1)</f>
        <v>6.6</v>
      </c>
      <c r="H2638" s="120">
        <f>ROUND($P2638*Basis!$E$2*((TaH-TrH)/LN(1/µ)/Basis!$E$7)^$N2638*$AA$4*Glycol,0)</f>
        <v>8539</v>
      </c>
      <c r="I2638" s="83">
        <f>ROUND(H2638/(MID($C2638,9,3)/Basis!$E$3/Basis!$E$9)*Basis!$E$11,0)</f>
        <v>1446</v>
      </c>
      <c r="J2638" s="123">
        <f>IF(Basis!$E$1=1,ROUND(H2638/((TaH-TrH)*1.163)/3600,3),ROUND(H2638/(500*(TaH-TrH)),2))</f>
        <v>0.85</v>
      </c>
      <c r="K2638" s="84"/>
      <c r="L2638" s="177">
        <f>CHOOSE(Basis!$E$1,((AJ2638*(J2638*3600/Basis!$E$5)^AK2638*(((MID(C2638,9,3)*10)-144)/1000)*AL2638+AM2638*(J2638*3600/Basis!$E$5)^2)*0.0098)/Basis!$E$10,((AJ2638*(J2638/Basis!$E$5)^AK2638*(((MID(C2638,9,3)*10)-144)/1000)*AL2638+AM2638*(J2638/Basis!$E$5)^2)*0.0098)/Basis!$E$10)</f>
        <v>0.20907238925591912</v>
      </c>
      <c r="M2638" s="85"/>
      <c r="N2638" s="109">
        <v>1.472</v>
      </c>
      <c r="O2638" s="68"/>
      <c r="P2638" s="67">
        <v>4068</v>
      </c>
      <c r="Q2638" s="68"/>
      <c r="R2638" s="69"/>
      <c r="S2638" s="69"/>
      <c r="T2638" s="69"/>
      <c r="U2638" s="69"/>
      <c r="V2638" s="69"/>
      <c r="W2638" s="68"/>
      <c r="X2638" s="70"/>
      <c r="Y2638" s="70"/>
      <c r="Z2638" s="70"/>
      <c r="AA2638" s="70"/>
      <c r="AB2638" s="70"/>
      <c r="AC2638" s="68"/>
      <c r="AD2638" s="71"/>
      <c r="AE2638" s="71"/>
      <c r="AF2638" s="71"/>
      <c r="AG2638" s="71"/>
      <c r="AH2638" s="71"/>
      <c r="AI2638" s="68"/>
      <c r="AJ2638" s="214">
        <v>2.0829999999999999E-4</v>
      </c>
      <c r="AK2638" s="214">
        <v>1.724</v>
      </c>
      <c r="AL2638" s="214">
        <v>4</v>
      </c>
      <c r="AM2638" s="214">
        <v>1.392796E-3</v>
      </c>
      <c r="AN2638" s="68"/>
      <c r="AO2638" s="67"/>
      <c r="AP2638" s="67"/>
      <c r="AQ2638" s="67"/>
      <c r="AR2638" s="67"/>
      <c r="AS2638" s="67"/>
      <c r="AT2638" s="68"/>
      <c r="AU2638" s="49"/>
      <c r="AV2638" s="50"/>
    </row>
    <row r="2639" spans="1:48" ht="12.75" customHeight="1" x14ac:dyDescent="0.25">
      <c r="A2639" s="72" t="s">
        <v>20</v>
      </c>
      <c r="B2639" s="43" t="s">
        <v>2240</v>
      </c>
      <c r="C2639" s="44" t="s">
        <v>2797</v>
      </c>
      <c r="D2639" s="45">
        <f>MROUND(MID($C2639,6,3)/Basis!$E$3,0.5)</f>
        <v>27.5</v>
      </c>
      <c r="E2639" s="45">
        <f>MROUND(MID($C2639,9,3)/Basis!$E$3,0.5)</f>
        <v>71</v>
      </c>
      <c r="F2639" s="124" t="s">
        <v>2945</v>
      </c>
      <c r="G2639" s="45">
        <f>ROUND((ROUNDDOWN($F2639/5,0)*5+1.8)/Basis!$E$3,1)</f>
        <v>8.6</v>
      </c>
      <c r="H2639" s="120">
        <f>ROUND($P2639*Basis!$E$2*((TaH-TrH)/LN(1/µ)/Basis!$E$7)^$N2639*$AA$4*Glycol,0)</f>
        <v>10832</v>
      </c>
      <c r="I2639" s="83">
        <f>ROUND(H2639/(MID($C2639,9,3)/Basis!$E$3/Basis!$E$9)*Basis!$E$11,0)</f>
        <v>1834</v>
      </c>
      <c r="J2639" s="123">
        <f>IF(Basis!$E$1=1,ROUND(H2639/((TaH-TrH)*1.163)/3600,3),ROUND(H2639/(500*(TaH-TrH)),2))</f>
        <v>1.08</v>
      </c>
      <c r="K2639" s="84"/>
      <c r="L2639" s="177">
        <f>CHOOSE(Basis!$E$1,((AJ2639*(J2639*3600/Basis!$E$5)^AK2639*(((MID(C2639,9,3)*10)-144)/1000)*AL2639+AM2639*(J2639*3600/Basis!$E$5)^2)*0.0098)/Basis!$E$10,((AJ2639*(J2639/Basis!$E$5)^AK2639*(((MID(C2639,9,3)*10)-144)/1000)*AL2639+AM2639*(J2639/Basis!$E$5)^2)*0.0098)/Basis!$E$10)</f>
        <v>9.2092611974232561E-2</v>
      </c>
      <c r="M2639" s="85"/>
      <c r="N2639" s="109">
        <v>1.349</v>
      </c>
      <c r="O2639" s="68"/>
      <c r="P2639" s="67">
        <v>4955</v>
      </c>
      <c r="Q2639" s="68"/>
      <c r="R2639" s="69"/>
      <c r="S2639" s="69"/>
      <c r="T2639" s="69"/>
      <c r="U2639" s="69"/>
      <c r="V2639" s="69"/>
      <c r="W2639" s="68"/>
      <c r="X2639" s="70"/>
      <c r="Y2639" s="70"/>
      <c r="Z2639" s="70"/>
      <c r="AA2639" s="70"/>
      <c r="AB2639" s="70"/>
      <c r="AC2639" s="68"/>
      <c r="AD2639" s="71"/>
      <c r="AE2639" s="71"/>
      <c r="AF2639" s="71"/>
      <c r="AG2639" s="71"/>
      <c r="AH2639" s="71"/>
      <c r="AI2639" s="68"/>
      <c r="AJ2639" s="214">
        <v>1.2760000000000001E-4</v>
      </c>
      <c r="AK2639" s="214">
        <v>1.7219</v>
      </c>
      <c r="AL2639" s="214">
        <v>2</v>
      </c>
      <c r="AM2639" s="214">
        <v>3.76611E-4</v>
      </c>
      <c r="AN2639" s="68"/>
      <c r="AO2639" s="67"/>
      <c r="AP2639" s="67"/>
      <c r="AQ2639" s="67"/>
      <c r="AR2639" s="67"/>
      <c r="AS2639" s="67"/>
      <c r="AT2639" s="68"/>
      <c r="AU2639" s="49"/>
      <c r="AV2639" s="50"/>
    </row>
    <row r="2640" spans="1:48" ht="12.75" customHeight="1" x14ac:dyDescent="0.25">
      <c r="A2640" s="72" t="s">
        <v>20</v>
      </c>
      <c r="B2640" s="43" t="s">
        <v>2240</v>
      </c>
      <c r="C2640" s="44" t="s">
        <v>2798</v>
      </c>
      <c r="D2640" s="45">
        <f>MROUND(MID($C2640,6,3)/Basis!$E$3,0.5)</f>
        <v>27.5</v>
      </c>
      <c r="E2640" s="45">
        <f>MROUND(MID($C2640,9,3)/Basis!$E$3,0.5)</f>
        <v>71</v>
      </c>
      <c r="F2640" s="124" t="s">
        <v>2948</v>
      </c>
      <c r="G2640" s="45">
        <f>ROUND((ROUNDDOWN($F2640/5,0)*5+1.8)/Basis!$E$3,1)</f>
        <v>8.6</v>
      </c>
      <c r="H2640" s="120">
        <f>ROUND($P2640*Basis!$E$2*((TaH-TrH)/LN(1/µ)/Basis!$E$7)^$N2640*$AA$4*Glycol,0)</f>
        <v>11890</v>
      </c>
      <c r="I2640" s="83">
        <f>ROUND(H2640/(MID($C2640,9,3)/Basis!$E$3/Basis!$E$9)*Basis!$E$11,0)</f>
        <v>2013</v>
      </c>
      <c r="J2640" s="123">
        <f>IF(Basis!$E$1=1,ROUND(H2640/((TaH-TrH)*1.163)/3600,3),ROUND(H2640/(500*(TaH-TrH)),2))</f>
        <v>1.19</v>
      </c>
      <c r="K2640" s="84"/>
      <c r="L2640" s="177">
        <f>CHOOSE(Basis!$E$1,((AJ2640*(J2640*3600/Basis!$E$5)^AK2640*(((MID(C2640,9,3)*10)-144)/1000)*AL2640+AM2640*(J2640*3600/Basis!$E$5)^2)*0.0098)/Basis!$E$10,((AJ2640*(J2640/Basis!$E$5)^AK2640*(((MID(C2640,9,3)*10)-144)/1000)*AL2640+AM2640*(J2640/Basis!$E$5)^2)*0.0098)/Basis!$E$10)</f>
        <v>0.16536096879646167</v>
      </c>
      <c r="M2640" s="85"/>
      <c r="N2640" s="110">
        <v>1.5009999999999999</v>
      </c>
      <c r="O2640" s="74"/>
      <c r="P2640" s="73">
        <v>5719</v>
      </c>
      <c r="Q2640" s="74"/>
      <c r="R2640" s="75"/>
      <c r="S2640" s="75"/>
      <c r="T2640" s="75"/>
      <c r="U2640" s="75"/>
      <c r="V2640" s="75"/>
      <c r="W2640" s="74"/>
      <c r="X2640" s="76"/>
      <c r="Y2640" s="76"/>
      <c r="Z2640" s="76"/>
      <c r="AA2640" s="76"/>
      <c r="AB2640" s="76"/>
      <c r="AC2640" s="74"/>
      <c r="AD2640" s="77"/>
      <c r="AE2640" s="77"/>
      <c r="AF2640" s="77"/>
      <c r="AG2640" s="77"/>
      <c r="AH2640" s="77"/>
      <c r="AI2640" s="68"/>
      <c r="AJ2640" s="213">
        <v>1.2760000000000001E-4</v>
      </c>
      <c r="AK2640" s="213">
        <v>1.7219</v>
      </c>
      <c r="AL2640" s="213">
        <v>4</v>
      </c>
      <c r="AM2640" s="213">
        <v>5.1420100000000005E-4</v>
      </c>
      <c r="AN2640" s="74"/>
      <c r="AO2640" s="73"/>
      <c r="AP2640" s="73"/>
      <c r="AQ2640" s="73"/>
      <c r="AR2640" s="73"/>
      <c r="AS2640" s="73"/>
      <c r="AT2640" s="74"/>
      <c r="AU2640" s="47"/>
      <c r="AV2640" s="48"/>
    </row>
    <row r="2641" spans="1:48" ht="12.75" customHeight="1" x14ac:dyDescent="0.25">
      <c r="A2641" s="72" t="s">
        <v>20</v>
      </c>
      <c r="B2641" s="43" t="s">
        <v>2240</v>
      </c>
      <c r="C2641" s="44" t="s">
        <v>2799</v>
      </c>
      <c r="D2641" s="45">
        <f>MROUND(MID($C2641,6,3)/Basis!$E$3,0.5)</f>
        <v>27.5</v>
      </c>
      <c r="E2641" s="45">
        <f>MROUND(MID($C2641,9,3)/Basis!$E$3,0.5)</f>
        <v>78.5</v>
      </c>
      <c r="F2641" s="124" t="s">
        <v>2943</v>
      </c>
      <c r="G2641" s="45">
        <f>ROUND((ROUNDDOWN($F2641/5,0)*5+1.8)/Basis!$E$3,1)</f>
        <v>4.5999999999999996</v>
      </c>
      <c r="H2641" s="120">
        <f>ROUND($P2641*Basis!$E$2*((TaH-TrH)/LN(1/µ)/Basis!$E$7)^$N2641*$AA$4*Glycol,0)</f>
        <v>5426</v>
      </c>
      <c r="I2641" s="83">
        <f>ROUND(H2641/(MID($C2641,9,3)/Basis!$E$3/Basis!$E$9)*Basis!$E$11,0)</f>
        <v>827</v>
      </c>
      <c r="J2641" s="123">
        <f>IF(Basis!$E$1=1,ROUND(H2641/((TaH-TrH)*1.163)/3600,3),ROUND(H2641/(500*(TaH-TrH)),2))</f>
        <v>0.54</v>
      </c>
      <c r="K2641" s="84"/>
      <c r="L2641" s="177">
        <f>CHOOSE(Basis!$E$1,((AJ2641*(J2641*3600/Basis!$E$5)^AK2641*(((MID(C2641,9,3)*10)-144)/1000)*AL2641+AM2641*(J2641*3600/Basis!$E$5)^2)*0.0098)/Basis!$E$10,((AJ2641*(J2641/Basis!$E$5)^AK2641*(((MID(C2641,9,3)*10)-144)/1000)*AL2641+AM2641*(J2641/Basis!$E$5)^2)*0.0098)/Basis!$E$10)</f>
        <v>3.8287988150293585E-2</v>
      </c>
      <c r="M2641" s="85"/>
      <c r="N2641" s="110">
        <v>1.3660000000000001</v>
      </c>
      <c r="O2641" s="74"/>
      <c r="P2641" s="73">
        <v>2496</v>
      </c>
      <c r="Q2641" s="74"/>
      <c r="R2641" s="75"/>
      <c r="S2641" s="75"/>
      <c r="T2641" s="75"/>
      <c r="U2641" s="75"/>
      <c r="V2641" s="75"/>
      <c r="W2641" s="74"/>
      <c r="X2641" s="76"/>
      <c r="Y2641" s="76"/>
      <c r="Z2641" s="76"/>
      <c r="AA2641" s="76"/>
      <c r="AB2641" s="76"/>
      <c r="AC2641" s="74"/>
      <c r="AD2641" s="77"/>
      <c r="AE2641" s="77"/>
      <c r="AF2641" s="77"/>
      <c r="AG2641" s="77"/>
      <c r="AH2641" s="77"/>
      <c r="AI2641" s="68"/>
      <c r="AJ2641" s="213">
        <v>3.9689999999999994E-4</v>
      </c>
      <c r="AK2641" s="213">
        <v>1.7345999999999999</v>
      </c>
      <c r="AL2641" s="213">
        <v>2</v>
      </c>
      <c r="AM2641" s="213">
        <v>3.6734700000000002E-4</v>
      </c>
      <c r="AN2641" s="74"/>
      <c r="AO2641" s="73"/>
      <c r="AP2641" s="73"/>
      <c r="AQ2641" s="73"/>
      <c r="AR2641" s="73"/>
      <c r="AS2641" s="73"/>
      <c r="AT2641" s="74"/>
      <c r="AU2641" s="47"/>
      <c r="AV2641" s="48"/>
    </row>
    <row r="2642" spans="1:48" ht="12.75" customHeight="1" x14ac:dyDescent="0.25">
      <c r="A2642" s="72" t="s">
        <v>20</v>
      </c>
      <c r="B2642" s="43" t="s">
        <v>2240</v>
      </c>
      <c r="C2642" s="44" t="s">
        <v>2800</v>
      </c>
      <c r="D2642" s="45">
        <f>MROUND(MID($C2642,6,3)/Basis!$E$3,0.5)</f>
        <v>27.5</v>
      </c>
      <c r="E2642" s="45">
        <f>MROUND(MID($C2642,9,3)/Basis!$E$3,0.5)</f>
        <v>78.5</v>
      </c>
      <c r="F2642" s="124" t="s">
        <v>2946</v>
      </c>
      <c r="G2642" s="45">
        <f>ROUND((ROUNDDOWN($F2642/5,0)*5+1.8)/Basis!$E$3,1)</f>
        <v>4.5999999999999996</v>
      </c>
      <c r="H2642" s="120">
        <f>ROUND($P2642*Basis!$E$2*((TaH-TrH)/LN(1/µ)/Basis!$E$7)^$N2642*$AA$4*Glycol,0)</f>
        <v>6755</v>
      </c>
      <c r="I2642" s="83">
        <f>ROUND(H2642/(MID($C2642,9,3)/Basis!$E$3/Basis!$E$9)*Basis!$E$11,0)</f>
        <v>1029</v>
      </c>
      <c r="J2642" s="123">
        <f>IF(Basis!$E$1=1,ROUND(H2642/((TaH-TrH)*1.163)/3600,3),ROUND(H2642/(500*(TaH-TrH)),2))</f>
        <v>0.68</v>
      </c>
      <c r="K2642" s="84"/>
      <c r="L2642" s="177">
        <f>CHOOSE(Basis!$E$1,((AJ2642*(J2642*3600/Basis!$E$5)^AK2642*(((MID(C2642,9,3)*10)-144)/1000)*AL2642+AM2642*(J2642*3600/Basis!$E$5)^2)*0.0098)/Basis!$E$10,((AJ2642*(J2642/Basis!$E$5)^AK2642*(((MID(C2642,9,3)*10)-144)/1000)*AL2642+AM2642*(J2642/Basis!$E$5)^2)*0.0098)/Basis!$E$10)</f>
        <v>0.10511275861970087</v>
      </c>
      <c r="M2642" s="85"/>
      <c r="N2642" s="109">
        <v>1.4359999999999999</v>
      </c>
      <c r="O2642" s="68"/>
      <c r="P2642" s="67">
        <v>3180</v>
      </c>
      <c r="Q2642" s="68"/>
      <c r="R2642" s="69"/>
      <c r="S2642" s="69"/>
      <c r="T2642" s="69"/>
      <c r="U2642" s="69"/>
      <c r="V2642" s="69"/>
      <c r="W2642" s="68"/>
      <c r="X2642" s="70"/>
      <c r="Y2642" s="70"/>
      <c r="Z2642" s="70"/>
      <c r="AA2642" s="70"/>
      <c r="AB2642" s="70"/>
      <c r="AC2642" s="68"/>
      <c r="AD2642" s="71"/>
      <c r="AE2642" s="71"/>
      <c r="AF2642" s="71"/>
      <c r="AG2642" s="71"/>
      <c r="AH2642" s="71"/>
      <c r="AI2642" s="68"/>
      <c r="AJ2642" s="214">
        <v>3.9689999999999994E-4</v>
      </c>
      <c r="AK2642" s="214">
        <v>1.7345999999999999</v>
      </c>
      <c r="AL2642" s="214">
        <v>4</v>
      </c>
      <c r="AM2642" s="214">
        <v>5.7428799999999995E-4</v>
      </c>
      <c r="AN2642" s="68"/>
      <c r="AO2642" s="67"/>
      <c r="AP2642" s="67"/>
      <c r="AQ2642" s="67"/>
      <c r="AR2642" s="67"/>
      <c r="AS2642" s="67"/>
      <c r="AT2642" s="68"/>
      <c r="AU2642" s="49"/>
      <c r="AV2642" s="50"/>
    </row>
    <row r="2643" spans="1:48" ht="12.75" customHeight="1" x14ac:dyDescent="0.25">
      <c r="A2643" s="72" t="s">
        <v>20</v>
      </c>
      <c r="B2643" s="43" t="s">
        <v>2240</v>
      </c>
      <c r="C2643" s="44" t="s">
        <v>2801</v>
      </c>
      <c r="D2643" s="45">
        <f>MROUND(MID($C2643,6,3)/Basis!$E$3,0.5)</f>
        <v>27.5</v>
      </c>
      <c r="E2643" s="45">
        <f>MROUND(MID($C2643,9,3)/Basis!$E$3,0.5)</f>
        <v>78.5</v>
      </c>
      <c r="F2643" s="124" t="s">
        <v>2944</v>
      </c>
      <c r="G2643" s="45">
        <f>ROUND((ROUNDDOWN($F2643/5,0)*5+1.8)/Basis!$E$3,1)</f>
        <v>6.6</v>
      </c>
      <c r="H2643" s="120">
        <f>ROUND($P2643*Basis!$E$2*((TaH-TrH)/LN(1/µ)/Basis!$E$7)^$N2643*$AA$4*Glycol,0)</f>
        <v>8619</v>
      </c>
      <c r="I2643" s="83">
        <f>ROUND(H2643/(MID($C2643,9,3)/Basis!$E$3/Basis!$E$9)*Basis!$E$11,0)</f>
        <v>1314</v>
      </c>
      <c r="J2643" s="123">
        <f>IF(Basis!$E$1=1,ROUND(H2643/((TaH-TrH)*1.163)/3600,3),ROUND(H2643/(500*(TaH-TrH)),2))</f>
        <v>0.86</v>
      </c>
      <c r="K2643" s="84"/>
      <c r="L2643" s="177">
        <f>CHOOSE(Basis!$E$1,((AJ2643*(J2643*3600/Basis!$E$5)^AK2643*(((MID(C2643,9,3)*10)-144)/1000)*AL2643+AM2643*(J2643*3600/Basis!$E$5)^2)*0.0098)/Basis!$E$10,((AJ2643*(J2643/Basis!$E$5)^AK2643*(((MID(C2643,9,3)*10)-144)/1000)*AL2643+AM2643*(J2643/Basis!$E$5)^2)*0.0098)/Basis!$E$10)</f>
        <v>8.0107369101050721E-2</v>
      </c>
      <c r="M2643" s="85"/>
      <c r="N2643" s="109">
        <v>1.35</v>
      </c>
      <c r="O2643" s="68"/>
      <c r="P2643" s="67">
        <v>3944</v>
      </c>
      <c r="Q2643" s="68"/>
      <c r="R2643" s="69"/>
      <c r="S2643" s="69"/>
      <c r="T2643" s="69"/>
      <c r="U2643" s="69"/>
      <c r="V2643" s="69"/>
      <c r="W2643" s="68"/>
      <c r="X2643" s="70"/>
      <c r="Y2643" s="70"/>
      <c r="Z2643" s="70"/>
      <c r="AA2643" s="70"/>
      <c r="AB2643" s="70"/>
      <c r="AC2643" s="68"/>
      <c r="AD2643" s="71"/>
      <c r="AE2643" s="71"/>
      <c r="AF2643" s="71"/>
      <c r="AG2643" s="71"/>
      <c r="AH2643" s="71"/>
      <c r="AI2643" s="68"/>
      <c r="AJ2643" s="214">
        <v>2.0829999999999999E-4</v>
      </c>
      <c r="AK2643" s="214">
        <v>1.724</v>
      </c>
      <c r="AL2643" s="214">
        <v>2</v>
      </c>
      <c r="AM2643" s="214">
        <v>4.6182900000000003E-4</v>
      </c>
      <c r="AN2643" s="68"/>
      <c r="AO2643" s="67"/>
      <c r="AP2643" s="67"/>
      <c r="AQ2643" s="67"/>
      <c r="AR2643" s="67"/>
      <c r="AS2643" s="67"/>
      <c r="AT2643" s="68"/>
      <c r="AU2643" s="49"/>
      <c r="AV2643" s="50"/>
    </row>
    <row r="2644" spans="1:48" ht="12.75" customHeight="1" x14ac:dyDescent="0.25">
      <c r="A2644" s="72" t="s">
        <v>20</v>
      </c>
      <c r="B2644" s="43" t="s">
        <v>2240</v>
      </c>
      <c r="C2644" s="44" t="s">
        <v>2802</v>
      </c>
      <c r="D2644" s="45">
        <f>MROUND(MID($C2644,6,3)/Basis!$E$3,0.5)</f>
        <v>27.5</v>
      </c>
      <c r="E2644" s="45">
        <f>MROUND(MID($C2644,9,3)/Basis!$E$3,0.5)</f>
        <v>78.5</v>
      </c>
      <c r="F2644" s="124" t="s">
        <v>2947</v>
      </c>
      <c r="G2644" s="45">
        <f>ROUND((ROUNDDOWN($F2644/5,0)*5+1.8)/Basis!$E$3,1)</f>
        <v>6.6</v>
      </c>
      <c r="H2644" s="120">
        <f>ROUND($P2644*Basis!$E$2*((TaH-TrH)/LN(1/µ)/Basis!$E$7)^$N2644*$AA$4*Glycol,0)</f>
        <v>9488</v>
      </c>
      <c r="I2644" s="83">
        <f>ROUND(H2644/(MID($C2644,9,3)/Basis!$E$3/Basis!$E$9)*Basis!$E$11,0)</f>
        <v>1446</v>
      </c>
      <c r="J2644" s="123">
        <f>IF(Basis!$E$1=1,ROUND(H2644/((TaH-TrH)*1.163)/3600,3),ROUND(H2644/(500*(TaH-TrH)),2))</f>
        <v>0.95</v>
      </c>
      <c r="K2644" s="84"/>
      <c r="L2644" s="177">
        <f>CHOOSE(Basis!$E$1,((AJ2644*(J2644*3600/Basis!$E$5)^AK2644*(((MID(C2644,9,3)*10)-144)/1000)*AL2644+AM2644*(J2644*3600/Basis!$E$5)^2)*0.0098)/Basis!$E$10,((AJ2644*(J2644/Basis!$E$5)^AK2644*(((MID(C2644,9,3)*10)-144)/1000)*AL2644+AM2644*(J2644/Basis!$E$5)^2)*0.0098)/Basis!$E$10)</f>
        <v>0.26542954092236654</v>
      </c>
      <c r="M2644" s="85"/>
      <c r="N2644" s="110">
        <v>1.472</v>
      </c>
      <c r="O2644" s="74"/>
      <c r="P2644" s="73">
        <v>4520</v>
      </c>
      <c r="Q2644" s="74"/>
      <c r="R2644" s="75"/>
      <c r="S2644" s="75"/>
      <c r="T2644" s="75"/>
      <c r="U2644" s="75"/>
      <c r="V2644" s="75"/>
      <c r="W2644" s="74"/>
      <c r="X2644" s="76"/>
      <c r="Y2644" s="76"/>
      <c r="Z2644" s="76"/>
      <c r="AA2644" s="76"/>
      <c r="AB2644" s="76"/>
      <c r="AC2644" s="74"/>
      <c r="AD2644" s="77"/>
      <c r="AE2644" s="77"/>
      <c r="AF2644" s="77"/>
      <c r="AG2644" s="77"/>
      <c r="AH2644" s="77"/>
      <c r="AI2644" s="68"/>
      <c r="AJ2644" s="213">
        <v>2.0829999999999999E-4</v>
      </c>
      <c r="AK2644" s="213">
        <v>1.724</v>
      </c>
      <c r="AL2644" s="213">
        <v>4</v>
      </c>
      <c r="AM2644" s="213">
        <v>1.392796E-3</v>
      </c>
      <c r="AN2644" s="74"/>
      <c r="AO2644" s="73"/>
      <c r="AP2644" s="73"/>
      <c r="AQ2644" s="73"/>
      <c r="AR2644" s="73"/>
      <c r="AS2644" s="73"/>
      <c r="AT2644" s="74"/>
      <c r="AU2644" s="47"/>
      <c r="AV2644" s="48"/>
    </row>
    <row r="2645" spans="1:48" ht="12.75" customHeight="1" x14ac:dyDescent="0.25">
      <c r="A2645" s="72" t="s">
        <v>20</v>
      </c>
      <c r="B2645" s="43" t="s">
        <v>2240</v>
      </c>
      <c r="C2645" s="44" t="s">
        <v>2803</v>
      </c>
      <c r="D2645" s="45">
        <f>MROUND(MID($C2645,6,3)/Basis!$E$3,0.5)</f>
        <v>27.5</v>
      </c>
      <c r="E2645" s="45">
        <f>MROUND(MID($C2645,9,3)/Basis!$E$3,0.5)</f>
        <v>78.5</v>
      </c>
      <c r="F2645" s="124" t="s">
        <v>2945</v>
      </c>
      <c r="G2645" s="45">
        <f>ROUND((ROUNDDOWN($F2645/5,0)*5+1.8)/Basis!$E$3,1)</f>
        <v>8.6</v>
      </c>
      <c r="H2645" s="120">
        <f>ROUND($P2645*Basis!$E$2*((TaH-TrH)/LN(1/µ)/Basis!$E$7)^$N2645*$AA$4*Glycol,0)</f>
        <v>12037</v>
      </c>
      <c r="I2645" s="83">
        <f>ROUND(H2645/(MID($C2645,9,3)/Basis!$E$3/Basis!$E$9)*Basis!$E$11,0)</f>
        <v>1834</v>
      </c>
      <c r="J2645" s="123">
        <f>IF(Basis!$E$1=1,ROUND(H2645/((TaH-TrH)*1.163)/3600,3),ROUND(H2645/(500*(TaH-TrH)),2))</f>
        <v>1.2</v>
      </c>
      <c r="K2645" s="84"/>
      <c r="L2645" s="177">
        <f>CHOOSE(Basis!$E$1,((AJ2645*(J2645*3600/Basis!$E$5)^AK2645*(((MID(C2645,9,3)*10)-144)/1000)*AL2645+AM2645*(J2645*3600/Basis!$E$5)^2)*0.0098)/Basis!$E$10,((AJ2645*(J2645/Basis!$E$5)^AK2645*(((MID(C2645,9,3)*10)-144)/1000)*AL2645+AM2645*(J2645/Basis!$E$5)^2)*0.0098)/Basis!$E$10)</f>
        <v>0.11565918064466979</v>
      </c>
      <c r="M2645" s="85"/>
      <c r="N2645" s="110">
        <v>1.349</v>
      </c>
      <c r="O2645" s="74"/>
      <c r="P2645" s="73">
        <v>5506</v>
      </c>
      <c r="Q2645" s="74"/>
      <c r="R2645" s="75"/>
      <c r="S2645" s="75"/>
      <c r="T2645" s="75"/>
      <c r="U2645" s="75"/>
      <c r="V2645" s="75"/>
      <c r="W2645" s="74"/>
      <c r="X2645" s="76"/>
      <c r="Y2645" s="76"/>
      <c r="Z2645" s="76"/>
      <c r="AA2645" s="76"/>
      <c r="AB2645" s="76"/>
      <c r="AC2645" s="74"/>
      <c r="AD2645" s="77"/>
      <c r="AE2645" s="77"/>
      <c r="AF2645" s="77"/>
      <c r="AG2645" s="77"/>
      <c r="AH2645" s="77"/>
      <c r="AI2645" s="68"/>
      <c r="AJ2645" s="214">
        <v>1.2760000000000001E-4</v>
      </c>
      <c r="AK2645" s="214">
        <v>1.7219</v>
      </c>
      <c r="AL2645" s="214">
        <v>2</v>
      </c>
      <c r="AM2645" s="214">
        <v>3.76611E-4</v>
      </c>
      <c r="AN2645" s="74"/>
      <c r="AO2645" s="73"/>
      <c r="AP2645" s="73"/>
      <c r="AQ2645" s="73"/>
      <c r="AR2645" s="73"/>
      <c r="AS2645" s="73"/>
      <c r="AT2645" s="74"/>
      <c r="AU2645" s="47"/>
      <c r="AV2645" s="48"/>
    </row>
    <row r="2646" spans="1:48" ht="12.75" customHeight="1" x14ac:dyDescent="0.25">
      <c r="A2646" s="72" t="s">
        <v>20</v>
      </c>
      <c r="B2646" s="43" t="s">
        <v>2240</v>
      </c>
      <c r="C2646" s="44" t="s">
        <v>2804</v>
      </c>
      <c r="D2646" s="45">
        <f>MROUND(MID($C2646,6,3)/Basis!$E$3,0.5)</f>
        <v>27.5</v>
      </c>
      <c r="E2646" s="45">
        <f>MROUND(MID($C2646,9,3)/Basis!$E$3,0.5)</f>
        <v>78.5</v>
      </c>
      <c r="F2646" s="124" t="s">
        <v>2948</v>
      </c>
      <c r="G2646" s="45">
        <f>ROUND((ROUNDDOWN($F2646/5,0)*5+1.8)/Basis!$E$3,1)</f>
        <v>8.6</v>
      </c>
      <c r="H2646" s="120">
        <f>ROUND($P2646*Basis!$E$2*((TaH-TrH)/LN(1/µ)/Basis!$E$7)^$N2646*$AA$4*Glycol,0)</f>
        <v>13211</v>
      </c>
      <c r="I2646" s="83">
        <f>ROUND(H2646/(MID($C2646,9,3)/Basis!$E$3/Basis!$E$9)*Basis!$E$11,0)</f>
        <v>2013</v>
      </c>
      <c r="J2646" s="123">
        <f>IF(Basis!$E$1=1,ROUND(H2646/((TaH-TrH)*1.163)/3600,3),ROUND(H2646/(500*(TaH-TrH)),2))</f>
        <v>1.32</v>
      </c>
      <c r="K2646" s="84"/>
      <c r="L2646" s="177">
        <f>CHOOSE(Basis!$E$1,((AJ2646*(J2646*3600/Basis!$E$5)^AK2646*(((MID(C2646,9,3)*10)-144)/1000)*AL2646+AM2646*(J2646*3600/Basis!$E$5)^2)*0.0098)/Basis!$E$10,((AJ2646*(J2646/Basis!$E$5)^AK2646*(((MID(C2646,9,3)*10)-144)/1000)*AL2646+AM2646*(J2646/Basis!$E$5)^2)*0.0098)/Basis!$E$10)</f>
        <v>0.20811816201635111</v>
      </c>
      <c r="M2646" s="85"/>
      <c r="N2646" s="109">
        <v>1.5009999999999999</v>
      </c>
      <c r="O2646" s="68"/>
      <c r="P2646" s="67">
        <v>6354</v>
      </c>
      <c r="Q2646" s="68"/>
      <c r="R2646" s="69"/>
      <c r="S2646" s="69"/>
      <c r="T2646" s="69"/>
      <c r="U2646" s="69"/>
      <c r="V2646" s="69"/>
      <c r="W2646" s="68"/>
      <c r="X2646" s="70"/>
      <c r="Y2646" s="70"/>
      <c r="Z2646" s="70"/>
      <c r="AA2646" s="70"/>
      <c r="AB2646" s="70"/>
      <c r="AC2646" s="68"/>
      <c r="AD2646" s="71"/>
      <c r="AE2646" s="71"/>
      <c r="AF2646" s="71"/>
      <c r="AG2646" s="71"/>
      <c r="AH2646" s="71"/>
      <c r="AI2646" s="68"/>
      <c r="AJ2646" s="214">
        <v>1.2760000000000001E-4</v>
      </c>
      <c r="AK2646" s="214">
        <v>1.7219</v>
      </c>
      <c r="AL2646" s="214">
        <v>4</v>
      </c>
      <c r="AM2646" s="214">
        <v>5.1420100000000005E-4</v>
      </c>
      <c r="AN2646" s="68"/>
      <c r="AO2646" s="67"/>
      <c r="AP2646" s="67"/>
      <c r="AQ2646" s="67"/>
      <c r="AR2646" s="67"/>
      <c r="AS2646" s="67"/>
      <c r="AT2646" s="68"/>
      <c r="AU2646" s="49"/>
      <c r="AV2646" s="50"/>
    </row>
    <row r="2647" spans="1:48" ht="12.75" customHeight="1" x14ac:dyDescent="0.25">
      <c r="A2647" s="72" t="s">
        <v>20</v>
      </c>
      <c r="B2647" s="43" t="s">
        <v>2240</v>
      </c>
      <c r="C2647" s="44" t="s">
        <v>2805</v>
      </c>
      <c r="D2647" s="45">
        <f>MROUND(MID($C2647,6,3)/Basis!$E$3,0.5)</f>
        <v>27.5</v>
      </c>
      <c r="E2647" s="45">
        <f>MROUND(MID($C2647,9,3)/Basis!$E$3,0.5)</f>
        <v>86.5</v>
      </c>
      <c r="F2647" s="124" t="s">
        <v>2943</v>
      </c>
      <c r="G2647" s="45">
        <f>ROUND((ROUNDDOWN($F2647/5,0)*5+1.8)/Basis!$E$3,1)</f>
        <v>4.5999999999999996</v>
      </c>
      <c r="H2647" s="120">
        <f>ROUND($P2647*Basis!$E$2*((TaH-TrH)/LN(1/µ)/Basis!$E$7)^$N2647*$AA$4*Glycol,0)</f>
        <v>5969</v>
      </c>
      <c r="I2647" s="83">
        <f>ROUND(H2647/(MID($C2647,9,3)/Basis!$E$3/Basis!$E$9)*Basis!$E$11,0)</f>
        <v>827</v>
      </c>
      <c r="J2647" s="123">
        <f>IF(Basis!$E$1=1,ROUND(H2647/((TaH-TrH)*1.163)/3600,3),ROUND(H2647/(500*(TaH-TrH)),2))</f>
        <v>0.6</v>
      </c>
      <c r="K2647" s="84"/>
      <c r="L2647" s="177">
        <f>CHOOSE(Basis!$E$1,((AJ2647*(J2647*3600/Basis!$E$5)^AK2647*(((MID(C2647,9,3)*10)-144)/1000)*AL2647+AM2647*(J2647*3600/Basis!$E$5)^2)*0.0098)/Basis!$E$10,((AJ2647*(J2647/Basis!$E$5)^AK2647*(((MID(C2647,9,3)*10)-144)/1000)*AL2647+AM2647*(J2647/Basis!$E$5)^2)*0.0098)/Basis!$E$10)</f>
        <v>4.9196587394588064E-2</v>
      </c>
      <c r="M2647" s="85"/>
      <c r="N2647" s="109">
        <v>1.3660000000000001</v>
      </c>
      <c r="O2647" s="68"/>
      <c r="P2647" s="67">
        <v>2746</v>
      </c>
      <c r="Q2647" s="68"/>
      <c r="R2647" s="69"/>
      <c r="S2647" s="69"/>
      <c r="T2647" s="69"/>
      <c r="U2647" s="69"/>
      <c r="V2647" s="69"/>
      <c r="W2647" s="68"/>
      <c r="X2647" s="70"/>
      <c r="Y2647" s="70"/>
      <c r="Z2647" s="70"/>
      <c r="AA2647" s="70"/>
      <c r="AB2647" s="70"/>
      <c r="AC2647" s="68"/>
      <c r="AD2647" s="71"/>
      <c r="AE2647" s="71"/>
      <c r="AF2647" s="71"/>
      <c r="AG2647" s="71"/>
      <c r="AH2647" s="71"/>
      <c r="AI2647" s="68"/>
      <c r="AJ2647" s="214">
        <v>3.9689999999999994E-4</v>
      </c>
      <c r="AK2647" s="214">
        <v>1.7345999999999999</v>
      </c>
      <c r="AL2647" s="214">
        <v>2</v>
      </c>
      <c r="AM2647" s="214">
        <v>3.6734700000000002E-4</v>
      </c>
      <c r="AN2647" s="68"/>
      <c r="AO2647" s="67"/>
      <c r="AP2647" s="67"/>
      <c r="AQ2647" s="67"/>
      <c r="AR2647" s="67"/>
      <c r="AS2647" s="67"/>
      <c r="AT2647" s="68"/>
      <c r="AU2647" s="49"/>
      <c r="AV2647" s="50"/>
    </row>
    <row r="2648" spans="1:48" ht="12.75" customHeight="1" x14ac:dyDescent="0.25">
      <c r="A2648" s="72" t="s">
        <v>20</v>
      </c>
      <c r="B2648" s="43" t="s">
        <v>2240</v>
      </c>
      <c r="C2648" s="44" t="s">
        <v>2806</v>
      </c>
      <c r="D2648" s="45">
        <f>MROUND(MID($C2648,6,3)/Basis!$E$3,0.5)</f>
        <v>27.5</v>
      </c>
      <c r="E2648" s="45">
        <f>MROUND(MID($C2648,9,3)/Basis!$E$3,0.5)</f>
        <v>86.5</v>
      </c>
      <c r="F2648" s="124" t="s">
        <v>2946</v>
      </c>
      <c r="G2648" s="45">
        <f>ROUND((ROUNDDOWN($F2648/5,0)*5+1.8)/Basis!$E$3,1)</f>
        <v>4.5999999999999996</v>
      </c>
      <c r="H2648" s="120">
        <f>ROUND($P2648*Basis!$E$2*((TaH-TrH)/LN(1/µ)/Basis!$E$7)^$N2648*$AA$4*Glycol,0)</f>
        <v>7430</v>
      </c>
      <c r="I2648" s="83">
        <f>ROUND(H2648/(MID($C2648,9,3)/Basis!$E$3/Basis!$E$9)*Basis!$E$11,0)</f>
        <v>1029</v>
      </c>
      <c r="J2648" s="123">
        <f>IF(Basis!$E$1=1,ROUND(H2648/((TaH-TrH)*1.163)/3600,3),ROUND(H2648/(500*(TaH-TrH)),2))</f>
        <v>0.74</v>
      </c>
      <c r="K2648" s="84"/>
      <c r="L2648" s="177">
        <f>CHOOSE(Basis!$E$1,((AJ2648*(J2648*3600/Basis!$E$5)^AK2648*(((MID(C2648,9,3)*10)-144)/1000)*AL2648+AM2648*(J2648*3600/Basis!$E$5)^2)*0.0098)/Basis!$E$10,((AJ2648*(J2648/Basis!$E$5)^AK2648*(((MID(C2648,9,3)*10)-144)/1000)*AL2648+AM2648*(J2648/Basis!$E$5)^2)*0.0098)/Basis!$E$10)</f>
        <v>0.13042224675876707</v>
      </c>
      <c r="M2648" s="85"/>
      <c r="N2648" s="110">
        <v>1.4359999999999999</v>
      </c>
      <c r="O2648" s="74"/>
      <c r="P2648" s="73">
        <v>3498</v>
      </c>
      <c r="Q2648" s="74"/>
      <c r="R2648" s="75"/>
      <c r="S2648" s="75"/>
      <c r="T2648" s="75"/>
      <c r="U2648" s="75"/>
      <c r="V2648" s="75"/>
      <c r="W2648" s="74"/>
      <c r="X2648" s="76"/>
      <c r="Y2648" s="76"/>
      <c r="Z2648" s="76"/>
      <c r="AA2648" s="76"/>
      <c r="AB2648" s="76"/>
      <c r="AC2648" s="74"/>
      <c r="AD2648" s="77"/>
      <c r="AE2648" s="77"/>
      <c r="AF2648" s="77"/>
      <c r="AG2648" s="77"/>
      <c r="AH2648" s="77"/>
      <c r="AI2648" s="68"/>
      <c r="AJ2648" s="213">
        <v>3.9689999999999994E-4</v>
      </c>
      <c r="AK2648" s="213">
        <v>1.7345999999999999</v>
      </c>
      <c r="AL2648" s="213">
        <v>4</v>
      </c>
      <c r="AM2648" s="213">
        <v>5.7428799999999995E-4</v>
      </c>
      <c r="AN2648" s="74"/>
      <c r="AO2648" s="73"/>
      <c r="AP2648" s="73"/>
      <c r="AQ2648" s="73"/>
      <c r="AR2648" s="73"/>
      <c r="AS2648" s="73"/>
      <c r="AT2648" s="74"/>
      <c r="AU2648" s="47"/>
      <c r="AV2648" s="48"/>
    </row>
    <row r="2649" spans="1:48" ht="12.75" customHeight="1" x14ac:dyDescent="0.25">
      <c r="A2649" s="72" t="s">
        <v>20</v>
      </c>
      <c r="B2649" s="43" t="s">
        <v>2240</v>
      </c>
      <c r="C2649" s="44" t="s">
        <v>2807</v>
      </c>
      <c r="D2649" s="45">
        <f>MROUND(MID($C2649,6,3)/Basis!$E$3,0.5)</f>
        <v>27.5</v>
      </c>
      <c r="E2649" s="45">
        <f>MROUND(MID($C2649,9,3)/Basis!$E$3,0.5)</f>
        <v>86.5</v>
      </c>
      <c r="F2649" s="124" t="s">
        <v>2944</v>
      </c>
      <c r="G2649" s="45">
        <f>ROUND((ROUNDDOWN($F2649/5,0)*5+1.8)/Basis!$E$3,1)</f>
        <v>6.6</v>
      </c>
      <c r="H2649" s="120">
        <f>ROUND($P2649*Basis!$E$2*((TaH-TrH)/LN(1/µ)/Basis!$E$7)^$N2649*$AA$4*Glycol,0)</f>
        <v>9480</v>
      </c>
      <c r="I2649" s="83">
        <f>ROUND(H2649/(MID($C2649,9,3)/Basis!$E$3/Basis!$E$9)*Basis!$E$11,0)</f>
        <v>1313</v>
      </c>
      <c r="J2649" s="123">
        <f>IF(Basis!$E$1=1,ROUND(H2649/((TaH-TrH)*1.163)/3600,3),ROUND(H2649/(500*(TaH-TrH)),2))</f>
        <v>0.95</v>
      </c>
      <c r="K2649" s="84"/>
      <c r="L2649" s="177">
        <f>CHOOSE(Basis!$E$1,((AJ2649*(J2649*3600/Basis!$E$5)^AK2649*(((MID(C2649,9,3)*10)-144)/1000)*AL2649+AM2649*(J2649*3600/Basis!$E$5)^2)*0.0098)/Basis!$E$10,((AJ2649*(J2649/Basis!$E$5)^AK2649*(((MID(C2649,9,3)*10)-144)/1000)*AL2649+AM2649*(J2649/Basis!$E$5)^2)*0.0098)/Basis!$E$10)</f>
        <v>9.9885349827731701E-2</v>
      </c>
      <c r="M2649" s="85"/>
      <c r="N2649" s="110">
        <v>1.35</v>
      </c>
      <c r="O2649" s="74"/>
      <c r="P2649" s="73">
        <v>4338</v>
      </c>
      <c r="Q2649" s="74"/>
      <c r="R2649" s="75"/>
      <c r="S2649" s="75"/>
      <c r="T2649" s="75"/>
      <c r="U2649" s="75"/>
      <c r="V2649" s="75"/>
      <c r="W2649" s="74"/>
      <c r="X2649" s="76"/>
      <c r="Y2649" s="76"/>
      <c r="Z2649" s="76"/>
      <c r="AA2649" s="76"/>
      <c r="AB2649" s="76"/>
      <c r="AC2649" s="74"/>
      <c r="AD2649" s="77"/>
      <c r="AE2649" s="77"/>
      <c r="AF2649" s="77"/>
      <c r="AG2649" s="77"/>
      <c r="AH2649" s="77"/>
      <c r="AI2649" s="68"/>
      <c r="AJ2649" s="213">
        <v>2.0829999999999999E-4</v>
      </c>
      <c r="AK2649" s="213">
        <v>1.724</v>
      </c>
      <c r="AL2649" s="213">
        <v>2</v>
      </c>
      <c r="AM2649" s="213">
        <v>4.6182900000000003E-4</v>
      </c>
      <c r="AN2649" s="74"/>
      <c r="AO2649" s="73"/>
      <c r="AP2649" s="73"/>
      <c r="AQ2649" s="73"/>
      <c r="AR2649" s="73"/>
      <c r="AS2649" s="73"/>
      <c r="AT2649" s="74"/>
      <c r="AU2649" s="47"/>
      <c r="AV2649" s="48"/>
    </row>
    <row r="2650" spans="1:48" ht="12.75" customHeight="1" x14ac:dyDescent="0.25">
      <c r="A2650" s="72" t="s">
        <v>20</v>
      </c>
      <c r="B2650" s="43" t="s">
        <v>2240</v>
      </c>
      <c r="C2650" s="44" t="s">
        <v>2808</v>
      </c>
      <c r="D2650" s="45">
        <f>MROUND(MID($C2650,6,3)/Basis!$E$3,0.5)</f>
        <v>27.5</v>
      </c>
      <c r="E2650" s="45">
        <f>MROUND(MID($C2650,9,3)/Basis!$E$3,0.5)</f>
        <v>86.5</v>
      </c>
      <c r="F2650" s="124" t="s">
        <v>2947</v>
      </c>
      <c r="G2650" s="45">
        <f>ROUND((ROUNDDOWN($F2650/5,0)*5+1.8)/Basis!$E$3,1)</f>
        <v>6.6</v>
      </c>
      <c r="H2650" s="120">
        <f>ROUND($P2650*Basis!$E$2*((TaH-TrH)/LN(1/µ)/Basis!$E$7)^$N2650*$AA$4*Glycol,0)</f>
        <v>10437</v>
      </c>
      <c r="I2650" s="83">
        <f>ROUND(H2650/(MID($C2650,9,3)/Basis!$E$3/Basis!$E$9)*Basis!$E$11,0)</f>
        <v>1446</v>
      </c>
      <c r="J2650" s="123">
        <f>IF(Basis!$E$1=1,ROUND(H2650/((TaH-TrH)*1.163)/3600,3),ROUND(H2650/(500*(TaH-TrH)),2))</f>
        <v>1.04</v>
      </c>
      <c r="K2650" s="84"/>
      <c r="L2650" s="177">
        <f>CHOOSE(Basis!$E$1,((AJ2650*(J2650*3600/Basis!$E$5)^AK2650*(((MID(C2650,9,3)*10)-144)/1000)*AL2650+AM2650*(J2650*3600/Basis!$E$5)^2)*0.0098)/Basis!$E$10,((AJ2650*(J2650/Basis!$E$5)^AK2650*(((MID(C2650,9,3)*10)-144)/1000)*AL2650+AM2650*(J2650/Basis!$E$5)^2)*0.0098)/Basis!$E$10)</f>
        <v>0.32325195280856556</v>
      </c>
      <c r="M2650" s="85"/>
      <c r="N2650" s="109">
        <v>1.472</v>
      </c>
      <c r="O2650" s="68"/>
      <c r="P2650" s="67">
        <v>4972</v>
      </c>
      <c r="Q2650" s="68"/>
      <c r="R2650" s="69"/>
      <c r="S2650" s="69"/>
      <c r="T2650" s="69"/>
      <c r="U2650" s="69"/>
      <c r="V2650" s="69"/>
      <c r="W2650" s="68"/>
      <c r="X2650" s="70"/>
      <c r="Y2650" s="70"/>
      <c r="Z2650" s="70"/>
      <c r="AA2650" s="70"/>
      <c r="AB2650" s="70"/>
      <c r="AC2650" s="68"/>
      <c r="AD2650" s="71"/>
      <c r="AE2650" s="71"/>
      <c r="AF2650" s="71"/>
      <c r="AG2650" s="71"/>
      <c r="AH2650" s="71"/>
      <c r="AI2650" s="68"/>
      <c r="AJ2650" s="214">
        <v>2.0829999999999999E-4</v>
      </c>
      <c r="AK2650" s="214">
        <v>1.724</v>
      </c>
      <c r="AL2650" s="214">
        <v>4</v>
      </c>
      <c r="AM2650" s="214">
        <v>1.392796E-3</v>
      </c>
      <c r="AN2650" s="68"/>
      <c r="AO2650" s="67"/>
      <c r="AP2650" s="67"/>
      <c r="AQ2650" s="67"/>
      <c r="AR2650" s="67"/>
      <c r="AS2650" s="67"/>
      <c r="AT2650" s="68"/>
      <c r="AU2650" s="49"/>
      <c r="AV2650" s="50"/>
    </row>
    <row r="2651" spans="1:48" ht="12.75" customHeight="1" x14ac:dyDescent="0.25">
      <c r="A2651" s="72" t="s">
        <v>20</v>
      </c>
      <c r="B2651" s="43" t="s">
        <v>2240</v>
      </c>
      <c r="C2651" s="44" t="s">
        <v>2809</v>
      </c>
      <c r="D2651" s="45">
        <f>MROUND(MID($C2651,6,3)/Basis!$E$3,0.5)</f>
        <v>27.5</v>
      </c>
      <c r="E2651" s="45">
        <f>MROUND(MID($C2651,9,3)/Basis!$E$3,0.5)</f>
        <v>86.5</v>
      </c>
      <c r="F2651" s="124" t="s">
        <v>2945</v>
      </c>
      <c r="G2651" s="45">
        <f>ROUND((ROUNDDOWN($F2651/5,0)*5+1.8)/Basis!$E$3,1)</f>
        <v>8.6</v>
      </c>
      <c r="H2651" s="120">
        <f>ROUND($P2651*Basis!$E$2*((TaH-TrH)/LN(1/µ)/Basis!$E$7)^$N2651*$AA$4*Glycol,0)</f>
        <v>13241</v>
      </c>
      <c r="I2651" s="83">
        <f>ROUND(H2651/(MID($C2651,9,3)/Basis!$E$3/Basis!$E$9)*Basis!$E$11,0)</f>
        <v>1834</v>
      </c>
      <c r="J2651" s="123">
        <f>IF(Basis!$E$1=1,ROUND(H2651/((TaH-TrH)*1.163)/3600,3),ROUND(H2651/(500*(TaH-TrH)),2))</f>
        <v>1.32</v>
      </c>
      <c r="K2651" s="84"/>
      <c r="L2651" s="177">
        <f>CHOOSE(Basis!$E$1,((AJ2651*(J2651*3600/Basis!$E$5)^AK2651*(((MID(C2651,9,3)*10)-144)/1000)*AL2651+AM2651*(J2651*3600/Basis!$E$5)^2)*0.0098)/Basis!$E$10,((AJ2651*(J2651/Basis!$E$5)^AK2651*(((MID(C2651,9,3)*10)-144)/1000)*AL2651+AM2651*(J2651/Basis!$E$5)^2)*0.0098)/Basis!$E$10)</f>
        <v>0.1422531854317835</v>
      </c>
      <c r="M2651" s="85"/>
      <c r="N2651" s="109">
        <v>1.349</v>
      </c>
      <c r="O2651" s="68"/>
      <c r="P2651" s="67">
        <v>6057</v>
      </c>
      <c r="Q2651" s="68"/>
      <c r="R2651" s="69"/>
      <c r="S2651" s="69"/>
      <c r="T2651" s="69"/>
      <c r="U2651" s="69"/>
      <c r="V2651" s="69"/>
      <c r="W2651" s="68"/>
      <c r="X2651" s="70"/>
      <c r="Y2651" s="70"/>
      <c r="Z2651" s="70"/>
      <c r="AA2651" s="70"/>
      <c r="AB2651" s="70"/>
      <c r="AC2651" s="68"/>
      <c r="AD2651" s="71"/>
      <c r="AE2651" s="71"/>
      <c r="AF2651" s="71"/>
      <c r="AG2651" s="71"/>
      <c r="AH2651" s="71"/>
      <c r="AI2651" s="68"/>
      <c r="AJ2651" s="214">
        <v>1.2760000000000001E-4</v>
      </c>
      <c r="AK2651" s="214">
        <v>1.7219</v>
      </c>
      <c r="AL2651" s="214">
        <v>2</v>
      </c>
      <c r="AM2651" s="214">
        <v>3.76611E-4</v>
      </c>
      <c r="AN2651" s="68"/>
      <c r="AO2651" s="67"/>
      <c r="AP2651" s="67"/>
      <c r="AQ2651" s="67"/>
      <c r="AR2651" s="67"/>
      <c r="AS2651" s="67"/>
      <c r="AT2651" s="68"/>
      <c r="AU2651" s="49"/>
      <c r="AV2651" s="50"/>
    </row>
    <row r="2652" spans="1:48" ht="12.75" customHeight="1" x14ac:dyDescent="0.25">
      <c r="A2652" s="72" t="s">
        <v>20</v>
      </c>
      <c r="B2652" s="43" t="s">
        <v>2240</v>
      </c>
      <c r="C2652" s="44" t="s">
        <v>2810</v>
      </c>
      <c r="D2652" s="45">
        <f>MROUND(MID($C2652,6,3)/Basis!$E$3,0.5)</f>
        <v>27.5</v>
      </c>
      <c r="E2652" s="45">
        <f>MROUND(MID($C2652,9,3)/Basis!$E$3,0.5)</f>
        <v>86.5</v>
      </c>
      <c r="F2652" s="124" t="s">
        <v>2948</v>
      </c>
      <c r="G2652" s="45">
        <f>ROUND((ROUNDDOWN($F2652/5,0)*5+1.8)/Basis!$E$3,1)</f>
        <v>8.6</v>
      </c>
      <c r="H2652" s="120">
        <f>ROUND($P2652*Basis!$E$2*((TaH-TrH)/LN(1/µ)/Basis!$E$7)^$N2652*$AA$4*Glycol,0)</f>
        <v>14531</v>
      </c>
      <c r="I2652" s="83">
        <f>ROUND(H2652/(MID($C2652,9,3)/Basis!$E$3/Basis!$E$9)*Basis!$E$11,0)</f>
        <v>2013</v>
      </c>
      <c r="J2652" s="123">
        <f>IF(Basis!$E$1=1,ROUND(H2652/((TaH-TrH)*1.163)/3600,3),ROUND(H2652/(500*(TaH-TrH)),2))</f>
        <v>1.45</v>
      </c>
      <c r="K2652" s="84"/>
      <c r="L2652" s="177">
        <f>CHOOSE(Basis!$E$1,((AJ2652*(J2652*3600/Basis!$E$5)^AK2652*(((MID(C2652,9,3)*10)-144)/1000)*AL2652+AM2652*(J2652*3600/Basis!$E$5)^2)*0.0098)/Basis!$E$10,((AJ2652*(J2652/Basis!$E$5)^AK2652*(((MID(C2652,9,3)*10)-144)/1000)*AL2652+AM2652*(J2652/Basis!$E$5)^2)*0.0098)/Basis!$E$10)</f>
        <v>0.25657676551635766</v>
      </c>
      <c r="M2652" s="85"/>
      <c r="N2652" s="110">
        <v>1.5009999999999999</v>
      </c>
      <c r="O2652" s="74"/>
      <c r="P2652" s="73">
        <v>6989</v>
      </c>
      <c r="Q2652" s="74"/>
      <c r="R2652" s="75"/>
      <c r="S2652" s="75"/>
      <c r="T2652" s="75"/>
      <c r="U2652" s="75"/>
      <c r="V2652" s="75"/>
      <c r="W2652" s="74"/>
      <c r="X2652" s="76"/>
      <c r="Y2652" s="76"/>
      <c r="Z2652" s="76"/>
      <c r="AA2652" s="76"/>
      <c r="AB2652" s="76"/>
      <c r="AC2652" s="74"/>
      <c r="AD2652" s="77"/>
      <c r="AE2652" s="77"/>
      <c r="AF2652" s="77"/>
      <c r="AG2652" s="77"/>
      <c r="AH2652" s="77"/>
      <c r="AI2652" s="68"/>
      <c r="AJ2652" s="213">
        <v>1.2760000000000001E-4</v>
      </c>
      <c r="AK2652" s="213">
        <v>1.7219</v>
      </c>
      <c r="AL2652" s="213">
        <v>4</v>
      </c>
      <c r="AM2652" s="213">
        <v>5.1420100000000005E-4</v>
      </c>
      <c r="AN2652" s="74"/>
      <c r="AO2652" s="73"/>
      <c r="AP2652" s="73"/>
      <c r="AQ2652" s="73"/>
      <c r="AR2652" s="73"/>
      <c r="AS2652" s="73"/>
      <c r="AT2652" s="74"/>
      <c r="AU2652" s="47"/>
      <c r="AV2652" s="48"/>
    </row>
    <row r="2653" spans="1:48" ht="12.75" customHeight="1" x14ac:dyDescent="0.25">
      <c r="A2653" s="72" t="s">
        <v>20</v>
      </c>
      <c r="B2653" s="43" t="s">
        <v>2240</v>
      </c>
      <c r="C2653" s="44" t="s">
        <v>2811</v>
      </c>
      <c r="D2653" s="45">
        <f>MROUND(MID($C2653,6,3)/Basis!$E$3,0.5)</f>
        <v>27.5</v>
      </c>
      <c r="E2653" s="45">
        <f>MROUND(MID($C2653,9,3)/Basis!$E$3,0.5)</f>
        <v>94.5</v>
      </c>
      <c r="F2653" s="124" t="s">
        <v>2943</v>
      </c>
      <c r="G2653" s="45">
        <f>ROUND((ROUNDDOWN($F2653/5,0)*5+1.8)/Basis!$E$3,1)</f>
        <v>4.5999999999999996</v>
      </c>
      <c r="H2653" s="120">
        <f>ROUND($P2653*Basis!$E$2*((TaH-TrH)/LN(1/µ)/Basis!$E$7)^$N2653*$AA$4*Glycol,0)</f>
        <v>6511</v>
      </c>
      <c r="I2653" s="83">
        <f>ROUND(H2653/(MID($C2653,9,3)/Basis!$E$3/Basis!$E$9)*Basis!$E$11,0)</f>
        <v>827</v>
      </c>
      <c r="J2653" s="123">
        <f>IF(Basis!$E$1=1,ROUND(H2653/((TaH-TrH)*1.163)/3600,3),ROUND(H2653/(500*(TaH-TrH)),2))</f>
        <v>0.65</v>
      </c>
      <c r="K2653" s="84"/>
      <c r="L2653" s="177">
        <f>CHOOSE(Basis!$E$1,((AJ2653*(J2653*3600/Basis!$E$5)^AK2653*(((MID(C2653,9,3)*10)-144)/1000)*AL2653+AM2653*(J2653*3600/Basis!$E$5)^2)*0.0098)/Basis!$E$10,((AJ2653*(J2653/Basis!$E$5)^AK2653*(((MID(C2653,9,3)*10)-144)/1000)*AL2653+AM2653*(J2653/Basis!$E$5)^2)*0.0098)/Basis!$E$10)</f>
        <v>6.0079755711218742E-2</v>
      </c>
      <c r="M2653" s="85"/>
      <c r="N2653" s="110">
        <v>1.3660000000000001</v>
      </c>
      <c r="O2653" s="74"/>
      <c r="P2653" s="73">
        <v>2995</v>
      </c>
      <c r="Q2653" s="74"/>
      <c r="R2653" s="75"/>
      <c r="S2653" s="75"/>
      <c r="T2653" s="75"/>
      <c r="U2653" s="75"/>
      <c r="V2653" s="75"/>
      <c r="W2653" s="74"/>
      <c r="X2653" s="76"/>
      <c r="Y2653" s="76"/>
      <c r="Z2653" s="76"/>
      <c r="AA2653" s="76"/>
      <c r="AB2653" s="76"/>
      <c r="AC2653" s="74"/>
      <c r="AD2653" s="77"/>
      <c r="AE2653" s="77"/>
      <c r="AF2653" s="77"/>
      <c r="AG2653" s="77"/>
      <c r="AH2653" s="77"/>
      <c r="AI2653" s="68"/>
      <c r="AJ2653" s="213">
        <v>3.9689999999999994E-4</v>
      </c>
      <c r="AK2653" s="213">
        <v>1.7345999999999999</v>
      </c>
      <c r="AL2653" s="213">
        <v>2</v>
      </c>
      <c r="AM2653" s="213">
        <v>3.6734700000000002E-4</v>
      </c>
      <c r="AN2653" s="74"/>
      <c r="AO2653" s="73"/>
      <c r="AP2653" s="73"/>
      <c r="AQ2653" s="73"/>
      <c r="AR2653" s="73"/>
      <c r="AS2653" s="73"/>
      <c r="AT2653" s="74"/>
      <c r="AU2653" s="47"/>
      <c r="AV2653" s="48"/>
    </row>
    <row r="2654" spans="1:48" ht="12.75" customHeight="1" x14ac:dyDescent="0.25">
      <c r="A2654" s="72" t="s">
        <v>20</v>
      </c>
      <c r="B2654" s="43" t="s">
        <v>2240</v>
      </c>
      <c r="C2654" s="44" t="s">
        <v>2812</v>
      </c>
      <c r="D2654" s="45">
        <f>MROUND(MID($C2654,6,3)/Basis!$E$3,0.5)</f>
        <v>27.5</v>
      </c>
      <c r="E2654" s="45">
        <f>MROUND(MID($C2654,9,3)/Basis!$E$3,0.5)</f>
        <v>94.5</v>
      </c>
      <c r="F2654" s="124" t="s">
        <v>2946</v>
      </c>
      <c r="G2654" s="45">
        <f>ROUND((ROUNDDOWN($F2654/5,0)*5+1.8)/Basis!$E$3,1)</f>
        <v>4.5999999999999996</v>
      </c>
      <c r="H2654" s="120">
        <f>ROUND($P2654*Basis!$E$2*((TaH-TrH)/LN(1/µ)/Basis!$E$7)^$N2654*$AA$4*Glycol,0)</f>
        <v>8106</v>
      </c>
      <c r="I2654" s="83">
        <f>ROUND(H2654/(MID($C2654,9,3)/Basis!$E$3/Basis!$E$9)*Basis!$E$11,0)</f>
        <v>1029</v>
      </c>
      <c r="J2654" s="123">
        <f>IF(Basis!$E$1=1,ROUND(H2654/((TaH-TrH)*1.163)/3600,3),ROUND(H2654/(500*(TaH-TrH)),2))</f>
        <v>0.81</v>
      </c>
      <c r="K2654" s="84"/>
      <c r="L2654" s="177">
        <f>CHOOSE(Basis!$E$1,((AJ2654*(J2654*3600/Basis!$E$5)^AK2654*(((MID(C2654,9,3)*10)-144)/1000)*AL2654+AM2654*(J2654*3600/Basis!$E$5)^2)*0.0098)/Basis!$E$10,((AJ2654*(J2654/Basis!$E$5)^AK2654*(((MID(C2654,9,3)*10)-144)/1000)*AL2654+AM2654*(J2654/Basis!$E$5)^2)*0.0098)/Basis!$E$10)</f>
        <v>0.16287106132110138</v>
      </c>
      <c r="M2654" s="85"/>
      <c r="N2654" s="109">
        <v>1.4359999999999999</v>
      </c>
      <c r="O2654" s="68"/>
      <c r="P2654" s="67">
        <v>3816</v>
      </c>
      <c r="Q2654" s="68"/>
      <c r="R2654" s="69"/>
      <c r="S2654" s="69"/>
      <c r="T2654" s="69"/>
      <c r="U2654" s="69"/>
      <c r="V2654" s="69"/>
      <c r="W2654" s="68"/>
      <c r="X2654" s="70"/>
      <c r="Y2654" s="70"/>
      <c r="Z2654" s="70"/>
      <c r="AA2654" s="70"/>
      <c r="AB2654" s="70"/>
      <c r="AC2654" s="68"/>
      <c r="AD2654" s="71"/>
      <c r="AE2654" s="71"/>
      <c r="AF2654" s="71"/>
      <c r="AG2654" s="71"/>
      <c r="AH2654" s="71"/>
      <c r="AI2654" s="68"/>
      <c r="AJ2654" s="214">
        <v>3.9689999999999994E-4</v>
      </c>
      <c r="AK2654" s="214">
        <v>1.7345999999999999</v>
      </c>
      <c r="AL2654" s="214">
        <v>4</v>
      </c>
      <c r="AM2654" s="214">
        <v>5.7428799999999995E-4</v>
      </c>
      <c r="AN2654" s="68"/>
      <c r="AO2654" s="67"/>
      <c r="AP2654" s="67"/>
      <c r="AQ2654" s="67"/>
      <c r="AR2654" s="67"/>
      <c r="AS2654" s="67"/>
      <c r="AT2654" s="68"/>
      <c r="AU2654" s="49"/>
      <c r="AV2654" s="50"/>
    </row>
    <row r="2655" spans="1:48" ht="12.75" customHeight="1" x14ac:dyDescent="0.25">
      <c r="A2655" s="72" t="s">
        <v>20</v>
      </c>
      <c r="B2655" s="43" t="s">
        <v>2240</v>
      </c>
      <c r="C2655" s="44" t="s">
        <v>2813</v>
      </c>
      <c r="D2655" s="45">
        <f>MROUND(MID($C2655,6,3)/Basis!$E$3,0.5)</f>
        <v>27.5</v>
      </c>
      <c r="E2655" s="45">
        <f>MROUND(MID($C2655,9,3)/Basis!$E$3,0.5)</f>
        <v>94.5</v>
      </c>
      <c r="F2655" s="124" t="s">
        <v>2944</v>
      </c>
      <c r="G2655" s="45">
        <f>ROUND((ROUNDDOWN($F2655/5,0)*5+1.8)/Basis!$E$3,1)</f>
        <v>6.6</v>
      </c>
      <c r="H2655" s="120">
        <f>ROUND($P2655*Basis!$E$2*((TaH-TrH)/LN(1/µ)/Basis!$E$7)^$N2655*$AA$4*Glycol,0)</f>
        <v>10343</v>
      </c>
      <c r="I2655" s="83">
        <f>ROUND(H2655/(MID($C2655,9,3)/Basis!$E$3/Basis!$E$9)*Basis!$E$11,0)</f>
        <v>1314</v>
      </c>
      <c r="J2655" s="123">
        <f>IF(Basis!$E$1=1,ROUND(H2655/((TaH-TrH)*1.163)/3600,3),ROUND(H2655/(500*(TaH-TrH)),2))</f>
        <v>1.03</v>
      </c>
      <c r="K2655" s="84"/>
      <c r="L2655" s="177">
        <f>CHOOSE(Basis!$E$1,((AJ2655*(J2655*3600/Basis!$E$5)^AK2655*(((MID(C2655,9,3)*10)-144)/1000)*AL2655+AM2655*(J2655*3600/Basis!$E$5)^2)*0.0098)/Basis!$E$10,((AJ2655*(J2655/Basis!$E$5)^AK2655*(((MID(C2655,9,3)*10)-144)/1000)*AL2655+AM2655*(J2655/Basis!$E$5)^2)*0.0098)/Basis!$E$10)</f>
        <v>0.11995725040793428</v>
      </c>
      <c r="M2655" s="85"/>
      <c r="N2655" s="109">
        <v>1.35</v>
      </c>
      <c r="O2655" s="68"/>
      <c r="P2655" s="67">
        <v>4733</v>
      </c>
      <c r="Q2655" s="68"/>
      <c r="R2655" s="69"/>
      <c r="S2655" s="69"/>
      <c r="T2655" s="69"/>
      <c r="U2655" s="69"/>
      <c r="V2655" s="69"/>
      <c r="W2655" s="68"/>
      <c r="X2655" s="70"/>
      <c r="Y2655" s="70"/>
      <c r="Z2655" s="70"/>
      <c r="AA2655" s="70"/>
      <c r="AB2655" s="70"/>
      <c r="AC2655" s="68"/>
      <c r="AD2655" s="71"/>
      <c r="AE2655" s="71"/>
      <c r="AF2655" s="71"/>
      <c r="AG2655" s="71"/>
      <c r="AH2655" s="71"/>
      <c r="AI2655" s="68"/>
      <c r="AJ2655" s="214">
        <v>2.0829999999999999E-4</v>
      </c>
      <c r="AK2655" s="214">
        <v>1.724</v>
      </c>
      <c r="AL2655" s="214">
        <v>2</v>
      </c>
      <c r="AM2655" s="214">
        <v>4.6182900000000003E-4</v>
      </c>
      <c r="AN2655" s="68"/>
      <c r="AO2655" s="67"/>
      <c r="AP2655" s="67"/>
      <c r="AQ2655" s="67"/>
      <c r="AR2655" s="67"/>
      <c r="AS2655" s="67"/>
      <c r="AT2655" s="68"/>
      <c r="AU2655" s="49"/>
      <c r="AV2655" s="50"/>
    </row>
    <row r="2656" spans="1:48" ht="12.75" customHeight="1" x14ac:dyDescent="0.25">
      <c r="A2656" s="72" t="s">
        <v>20</v>
      </c>
      <c r="B2656" s="43" t="s">
        <v>2240</v>
      </c>
      <c r="C2656" s="44" t="s">
        <v>2814</v>
      </c>
      <c r="D2656" s="45">
        <f>MROUND(MID($C2656,6,3)/Basis!$E$3,0.5)</f>
        <v>27.5</v>
      </c>
      <c r="E2656" s="45">
        <f>MROUND(MID($C2656,9,3)/Basis!$E$3,0.5)</f>
        <v>94.5</v>
      </c>
      <c r="F2656" s="124" t="s">
        <v>2947</v>
      </c>
      <c r="G2656" s="45">
        <f>ROUND((ROUNDDOWN($F2656/5,0)*5+1.8)/Basis!$E$3,1)</f>
        <v>6.6</v>
      </c>
      <c r="H2656" s="120">
        <f>ROUND($P2656*Basis!$E$2*((TaH-TrH)/LN(1/µ)/Basis!$E$7)^$N2656*$AA$4*Glycol,0)</f>
        <v>11386</v>
      </c>
      <c r="I2656" s="83">
        <f>ROUND(H2656/(MID($C2656,9,3)/Basis!$E$3/Basis!$E$9)*Basis!$E$11,0)</f>
        <v>1446</v>
      </c>
      <c r="J2656" s="123">
        <f>IF(Basis!$E$1=1,ROUND(H2656/((TaH-TrH)*1.163)/3600,3),ROUND(H2656/(500*(TaH-TrH)),2))</f>
        <v>1.1399999999999999</v>
      </c>
      <c r="K2656" s="84"/>
      <c r="L2656" s="177">
        <f>CHOOSE(Basis!$E$1,((AJ2656*(J2656*3600/Basis!$E$5)^AK2656*(((MID(C2656,9,3)*10)-144)/1000)*AL2656+AM2656*(J2656*3600/Basis!$E$5)^2)*0.0098)/Basis!$E$10,((AJ2656*(J2656/Basis!$E$5)^AK2656*(((MID(C2656,9,3)*10)-144)/1000)*AL2656+AM2656*(J2656/Basis!$E$5)^2)*0.0098)/Basis!$E$10)</f>
        <v>0.39420652740816553</v>
      </c>
      <c r="M2656" s="85"/>
      <c r="N2656" s="110">
        <v>1.472</v>
      </c>
      <c r="O2656" s="74"/>
      <c r="P2656" s="73">
        <v>5424</v>
      </c>
      <c r="Q2656" s="74"/>
      <c r="R2656" s="75"/>
      <c r="S2656" s="75"/>
      <c r="T2656" s="75"/>
      <c r="U2656" s="75"/>
      <c r="V2656" s="75"/>
      <c r="W2656" s="74"/>
      <c r="X2656" s="76"/>
      <c r="Y2656" s="76"/>
      <c r="Z2656" s="76"/>
      <c r="AA2656" s="76"/>
      <c r="AB2656" s="76"/>
      <c r="AC2656" s="74"/>
      <c r="AD2656" s="77"/>
      <c r="AE2656" s="77"/>
      <c r="AF2656" s="77"/>
      <c r="AG2656" s="77"/>
      <c r="AH2656" s="77"/>
      <c r="AI2656" s="68"/>
      <c r="AJ2656" s="213">
        <v>2.0829999999999999E-4</v>
      </c>
      <c r="AK2656" s="213">
        <v>1.724</v>
      </c>
      <c r="AL2656" s="213">
        <v>4</v>
      </c>
      <c r="AM2656" s="213">
        <v>1.392796E-3</v>
      </c>
      <c r="AN2656" s="74"/>
      <c r="AO2656" s="73"/>
      <c r="AP2656" s="73"/>
      <c r="AQ2656" s="73"/>
      <c r="AR2656" s="73"/>
      <c r="AS2656" s="73"/>
      <c r="AT2656" s="74"/>
      <c r="AU2656" s="47"/>
      <c r="AV2656" s="48"/>
    </row>
    <row r="2657" spans="1:48" ht="12.75" customHeight="1" x14ac:dyDescent="0.25">
      <c r="A2657" s="72" t="s">
        <v>20</v>
      </c>
      <c r="B2657" s="43" t="s">
        <v>2240</v>
      </c>
      <c r="C2657" s="44" t="s">
        <v>2815</v>
      </c>
      <c r="D2657" s="45">
        <f>MROUND(MID($C2657,6,3)/Basis!$E$3,0.5)</f>
        <v>27.5</v>
      </c>
      <c r="E2657" s="45">
        <f>MROUND(MID($C2657,9,3)/Basis!$E$3,0.5)</f>
        <v>94.5</v>
      </c>
      <c r="F2657" s="124" t="s">
        <v>2945</v>
      </c>
      <c r="G2657" s="45">
        <f>ROUND((ROUNDDOWN($F2657/5,0)*5+1.8)/Basis!$E$3,1)</f>
        <v>8.6</v>
      </c>
      <c r="H2657" s="120">
        <f>ROUND($P2657*Basis!$E$2*((TaH-TrH)/LN(1/µ)/Basis!$E$7)^$N2657*$AA$4*Glycol,0)</f>
        <v>14443</v>
      </c>
      <c r="I2657" s="83">
        <f>ROUND(H2657/(MID($C2657,9,3)/Basis!$E$3/Basis!$E$9)*Basis!$E$11,0)</f>
        <v>1834</v>
      </c>
      <c r="J2657" s="123">
        <f>IF(Basis!$E$1=1,ROUND(H2657/((TaH-TrH)*1.163)/3600,3),ROUND(H2657/(500*(TaH-TrH)),2))</f>
        <v>1.44</v>
      </c>
      <c r="K2657" s="84"/>
      <c r="L2657" s="177">
        <f>CHOOSE(Basis!$E$1,((AJ2657*(J2657*3600/Basis!$E$5)^AK2657*(((MID(C2657,9,3)*10)-144)/1000)*AL2657+AM2657*(J2657*3600/Basis!$E$5)^2)*0.0098)/Basis!$E$10,((AJ2657*(J2657/Basis!$E$5)^AK2657*(((MID(C2657,9,3)*10)-144)/1000)*AL2657+AM2657*(J2657/Basis!$E$5)^2)*0.0098)/Basis!$E$10)</f>
        <v>0.17196226549983984</v>
      </c>
      <c r="M2657" s="85"/>
      <c r="N2657" s="110">
        <v>1.349</v>
      </c>
      <c r="O2657" s="74"/>
      <c r="P2657" s="73">
        <v>6607</v>
      </c>
      <c r="Q2657" s="74"/>
      <c r="R2657" s="75"/>
      <c r="S2657" s="75"/>
      <c r="T2657" s="75"/>
      <c r="U2657" s="75"/>
      <c r="V2657" s="75"/>
      <c r="W2657" s="74"/>
      <c r="X2657" s="76"/>
      <c r="Y2657" s="76"/>
      <c r="Z2657" s="76"/>
      <c r="AA2657" s="76"/>
      <c r="AB2657" s="76"/>
      <c r="AC2657" s="74"/>
      <c r="AD2657" s="77"/>
      <c r="AE2657" s="77"/>
      <c r="AF2657" s="77"/>
      <c r="AG2657" s="77"/>
      <c r="AH2657" s="77"/>
      <c r="AI2657" s="68"/>
      <c r="AJ2657" s="214">
        <v>1.2760000000000001E-4</v>
      </c>
      <c r="AK2657" s="214">
        <v>1.7219</v>
      </c>
      <c r="AL2657" s="214">
        <v>2</v>
      </c>
      <c r="AM2657" s="214">
        <v>3.76611E-4</v>
      </c>
      <c r="AN2657" s="74"/>
      <c r="AO2657" s="73"/>
      <c r="AP2657" s="73"/>
      <c r="AQ2657" s="73"/>
      <c r="AR2657" s="73"/>
      <c r="AS2657" s="73"/>
      <c r="AT2657" s="74"/>
      <c r="AU2657" s="47"/>
      <c r="AV2657" s="48"/>
    </row>
    <row r="2658" spans="1:48" ht="12.75" customHeight="1" x14ac:dyDescent="0.25">
      <c r="A2658" s="72" t="s">
        <v>20</v>
      </c>
      <c r="B2658" s="43" t="s">
        <v>2240</v>
      </c>
      <c r="C2658" s="44" t="s">
        <v>2816</v>
      </c>
      <c r="D2658" s="45">
        <f>MROUND(MID($C2658,6,3)/Basis!$E$3,0.5)</f>
        <v>27.5</v>
      </c>
      <c r="E2658" s="45">
        <f>MROUND(MID($C2658,9,3)/Basis!$E$3,0.5)</f>
        <v>94.5</v>
      </c>
      <c r="F2658" s="124" t="s">
        <v>2948</v>
      </c>
      <c r="G2658" s="45">
        <f>ROUND((ROUNDDOWN($F2658/5,0)*5+1.8)/Basis!$E$3,1)</f>
        <v>8.6</v>
      </c>
      <c r="H2658" s="120">
        <f>ROUND($P2658*Basis!$E$2*((TaH-TrH)/LN(1/µ)/Basis!$E$7)^$N2658*$AA$4*Glycol,0)</f>
        <v>15853</v>
      </c>
      <c r="I2658" s="83">
        <f>ROUND(H2658/(MID($C2658,9,3)/Basis!$E$3/Basis!$E$9)*Basis!$E$11,0)</f>
        <v>2013</v>
      </c>
      <c r="J2658" s="123">
        <f>IF(Basis!$E$1=1,ROUND(H2658/((TaH-TrH)*1.163)/3600,3),ROUND(H2658/(500*(TaH-TrH)),2))</f>
        <v>1.59</v>
      </c>
      <c r="K2658" s="84"/>
      <c r="L2658" s="177">
        <f>CHOOSE(Basis!$E$1,((AJ2658*(J2658*3600/Basis!$E$5)^AK2658*(((MID(C2658,9,3)*10)-144)/1000)*AL2658+AM2658*(J2658*3600/Basis!$E$5)^2)*0.0098)/Basis!$E$10,((AJ2658*(J2658/Basis!$E$5)^AK2658*(((MID(C2658,9,3)*10)-144)/1000)*AL2658+AM2658*(J2658/Basis!$E$5)^2)*0.0098)/Basis!$E$10)</f>
        <v>0.31471816021939042</v>
      </c>
      <c r="M2658" s="85"/>
      <c r="N2658" s="109">
        <v>1.5009999999999999</v>
      </c>
      <c r="O2658" s="68"/>
      <c r="P2658" s="67">
        <v>7625</v>
      </c>
      <c r="Q2658" s="68"/>
      <c r="R2658" s="69"/>
      <c r="S2658" s="69"/>
      <c r="T2658" s="69"/>
      <c r="U2658" s="69"/>
      <c r="V2658" s="69"/>
      <c r="W2658" s="68"/>
      <c r="X2658" s="70"/>
      <c r="Y2658" s="70"/>
      <c r="Z2658" s="70"/>
      <c r="AA2658" s="70"/>
      <c r="AB2658" s="70"/>
      <c r="AC2658" s="68"/>
      <c r="AD2658" s="71"/>
      <c r="AE2658" s="71"/>
      <c r="AF2658" s="71"/>
      <c r="AG2658" s="71"/>
      <c r="AH2658" s="71"/>
      <c r="AI2658" s="68"/>
      <c r="AJ2658" s="214">
        <v>1.2760000000000001E-4</v>
      </c>
      <c r="AK2658" s="214">
        <v>1.7219</v>
      </c>
      <c r="AL2658" s="214">
        <v>4</v>
      </c>
      <c r="AM2658" s="214">
        <v>5.1420100000000005E-4</v>
      </c>
      <c r="AN2658" s="68"/>
      <c r="AO2658" s="67"/>
      <c r="AP2658" s="67"/>
      <c r="AQ2658" s="67"/>
      <c r="AR2658" s="67"/>
      <c r="AS2658" s="67"/>
      <c r="AT2658" s="68"/>
      <c r="AU2658" s="49"/>
      <c r="AV2658" s="50"/>
    </row>
    <row r="2659" spans="1:48" ht="12.75" customHeight="1" x14ac:dyDescent="0.25">
      <c r="A2659" s="72" t="s">
        <v>20</v>
      </c>
      <c r="B2659" s="43" t="s">
        <v>2240</v>
      </c>
      <c r="C2659" s="44" t="s">
        <v>2817</v>
      </c>
      <c r="D2659" s="45">
        <f>MROUND(MID($C2659,6,3)/Basis!$E$3,0.5)</f>
        <v>27.5</v>
      </c>
      <c r="E2659" s="45">
        <f>MROUND(MID($C2659,9,3)/Basis!$E$3,0.5)</f>
        <v>102.5</v>
      </c>
      <c r="F2659" s="124" t="s">
        <v>2943</v>
      </c>
      <c r="G2659" s="45">
        <f>ROUND((ROUNDDOWN($F2659/5,0)*5+1.8)/Basis!$E$3,1)</f>
        <v>4.5999999999999996</v>
      </c>
      <c r="H2659" s="120">
        <f>ROUND($P2659*Basis!$E$2*((TaH-TrH)/LN(1/µ)/Basis!$E$7)^$N2659*$AA$4*Glycol,0)</f>
        <v>7054</v>
      </c>
      <c r="I2659" s="83">
        <f>ROUND(H2659/(MID($C2659,9,3)/Basis!$E$3/Basis!$E$9)*Basis!$E$11,0)</f>
        <v>827</v>
      </c>
      <c r="J2659" s="123">
        <f>IF(Basis!$E$1=1,ROUND(H2659/((TaH-TrH)*1.163)/3600,3),ROUND(H2659/(500*(TaH-TrH)),2))</f>
        <v>0.71</v>
      </c>
      <c r="K2659" s="84"/>
      <c r="L2659" s="177">
        <f>CHOOSE(Basis!$E$1,((AJ2659*(J2659*3600/Basis!$E$5)^AK2659*(((MID(C2659,9,3)*10)-144)/1000)*AL2659+AM2659*(J2659*3600/Basis!$E$5)^2)*0.0098)/Basis!$E$10,((AJ2659*(J2659/Basis!$E$5)^AK2659*(((MID(C2659,9,3)*10)-144)/1000)*AL2659+AM2659*(J2659/Basis!$E$5)^2)*0.0098)/Basis!$E$10)</f>
        <v>7.4249366016170742E-2</v>
      </c>
      <c r="M2659" s="85"/>
      <c r="N2659" s="109">
        <v>1.3660000000000001</v>
      </c>
      <c r="O2659" s="68"/>
      <c r="P2659" s="67">
        <v>3245</v>
      </c>
      <c r="Q2659" s="68"/>
      <c r="R2659" s="69"/>
      <c r="S2659" s="69"/>
      <c r="T2659" s="69"/>
      <c r="U2659" s="69"/>
      <c r="V2659" s="69"/>
      <c r="W2659" s="68"/>
      <c r="X2659" s="70"/>
      <c r="Y2659" s="70"/>
      <c r="Z2659" s="70"/>
      <c r="AA2659" s="70"/>
      <c r="AB2659" s="70"/>
      <c r="AC2659" s="68"/>
      <c r="AD2659" s="71"/>
      <c r="AE2659" s="71"/>
      <c r="AF2659" s="71"/>
      <c r="AG2659" s="71"/>
      <c r="AH2659" s="71"/>
      <c r="AI2659" s="68"/>
      <c r="AJ2659" s="214">
        <v>3.9689999999999994E-4</v>
      </c>
      <c r="AK2659" s="214">
        <v>1.7345999999999999</v>
      </c>
      <c r="AL2659" s="214">
        <v>2</v>
      </c>
      <c r="AM2659" s="214">
        <v>3.6734700000000002E-4</v>
      </c>
      <c r="AN2659" s="68"/>
      <c r="AO2659" s="67"/>
      <c r="AP2659" s="67"/>
      <c r="AQ2659" s="67"/>
      <c r="AR2659" s="67"/>
      <c r="AS2659" s="67"/>
      <c r="AT2659" s="68"/>
      <c r="AU2659" s="49"/>
      <c r="AV2659" s="50"/>
    </row>
    <row r="2660" spans="1:48" ht="12.75" customHeight="1" x14ac:dyDescent="0.25">
      <c r="A2660" s="72" t="s">
        <v>20</v>
      </c>
      <c r="B2660" s="43" t="s">
        <v>2240</v>
      </c>
      <c r="C2660" s="44" t="s">
        <v>2818</v>
      </c>
      <c r="D2660" s="45">
        <f>MROUND(MID($C2660,6,3)/Basis!$E$3,0.5)</f>
        <v>27.5</v>
      </c>
      <c r="E2660" s="45">
        <f>MROUND(MID($C2660,9,3)/Basis!$E$3,0.5)</f>
        <v>102.5</v>
      </c>
      <c r="F2660" s="124" t="s">
        <v>2946</v>
      </c>
      <c r="G2660" s="45">
        <f>ROUND((ROUNDDOWN($F2660/5,0)*5+1.8)/Basis!$E$3,1)</f>
        <v>4.5999999999999996</v>
      </c>
      <c r="H2660" s="120">
        <f>ROUND($P2660*Basis!$E$2*((TaH-TrH)/LN(1/µ)/Basis!$E$7)^$N2660*$AA$4*Glycol,0)</f>
        <v>8781</v>
      </c>
      <c r="I2660" s="83">
        <f>ROUND(H2660/(MID($C2660,9,3)/Basis!$E$3/Basis!$E$9)*Basis!$E$11,0)</f>
        <v>1029</v>
      </c>
      <c r="J2660" s="123">
        <f>IF(Basis!$E$1=1,ROUND(H2660/((TaH-TrH)*1.163)/3600,3),ROUND(H2660/(500*(TaH-TrH)),2))</f>
        <v>0.88</v>
      </c>
      <c r="K2660" s="84"/>
      <c r="L2660" s="177">
        <f>CHOOSE(Basis!$E$1,((AJ2660*(J2660*3600/Basis!$E$5)^AK2660*(((MID(C2660,9,3)*10)-144)/1000)*AL2660+AM2660*(J2660*3600/Basis!$E$5)^2)*0.0098)/Basis!$E$10,((AJ2660*(J2660/Basis!$E$5)^AK2660*(((MID(C2660,9,3)*10)-144)/1000)*AL2660+AM2660*(J2660/Basis!$E$5)^2)*0.0098)/Basis!$E$10)</f>
        <v>0.19985360275713307</v>
      </c>
      <c r="M2660" s="85"/>
      <c r="N2660" s="110">
        <v>1.4359999999999999</v>
      </c>
      <c r="O2660" s="74"/>
      <c r="P2660" s="73">
        <v>4134</v>
      </c>
      <c r="Q2660" s="74"/>
      <c r="R2660" s="75"/>
      <c r="S2660" s="75"/>
      <c r="T2660" s="75"/>
      <c r="U2660" s="75"/>
      <c r="V2660" s="75"/>
      <c r="W2660" s="74"/>
      <c r="X2660" s="76"/>
      <c r="Y2660" s="76"/>
      <c r="Z2660" s="76"/>
      <c r="AA2660" s="76"/>
      <c r="AB2660" s="76"/>
      <c r="AC2660" s="74"/>
      <c r="AD2660" s="77"/>
      <c r="AE2660" s="77"/>
      <c r="AF2660" s="77"/>
      <c r="AG2660" s="77"/>
      <c r="AH2660" s="77"/>
      <c r="AI2660" s="68"/>
      <c r="AJ2660" s="213">
        <v>3.9689999999999994E-4</v>
      </c>
      <c r="AK2660" s="213">
        <v>1.7345999999999999</v>
      </c>
      <c r="AL2660" s="213">
        <v>4</v>
      </c>
      <c r="AM2660" s="213">
        <v>5.7428799999999995E-4</v>
      </c>
      <c r="AN2660" s="74"/>
      <c r="AO2660" s="73"/>
      <c r="AP2660" s="73"/>
      <c r="AQ2660" s="73"/>
      <c r="AR2660" s="73"/>
      <c r="AS2660" s="73"/>
      <c r="AT2660" s="74"/>
      <c r="AU2660" s="47"/>
      <c r="AV2660" s="48"/>
    </row>
    <row r="2661" spans="1:48" ht="12.75" customHeight="1" x14ac:dyDescent="0.25">
      <c r="A2661" s="72" t="s">
        <v>20</v>
      </c>
      <c r="B2661" s="43" t="s">
        <v>2240</v>
      </c>
      <c r="C2661" s="44" t="s">
        <v>2819</v>
      </c>
      <c r="D2661" s="45">
        <f>MROUND(MID($C2661,6,3)/Basis!$E$3,0.5)</f>
        <v>27.5</v>
      </c>
      <c r="E2661" s="45">
        <f>MROUND(MID($C2661,9,3)/Basis!$E$3,0.5)</f>
        <v>102.5</v>
      </c>
      <c r="F2661" s="124" t="s">
        <v>2944</v>
      </c>
      <c r="G2661" s="45">
        <f>ROUND((ROUNDDOWN($F2661/5,0)*5+1.8)/Basis!$E$3,1)</f>
        <v>6.6</v>
      </c>
      <c r="H2661" s="120">
        <f>ROUND($P2661*Basis!$E$2*((TaH-TrH)/LN(1/µ)/Basis!$E$7)^$N2661*$AA$4*Glycol,0)</f>
        <v>11204</v>
      </c>
      <c r="I2661" s="83">
        <f>ROUND(H2661/(MID($C2661,9,3)/Basis!$E$3/Basis!$E$9)*Basis!$E$11,0)</f>
        <v>1313</v>
      </c>
      <c r="J2661" s="123">
        <f>IF(Basis!$E$1=1,ROUND(H2661/((TaH-TrH)*1.163)/3600,3),ROUND(H2661/(500*(TaH-TrH)),2))</f>
        <v>1.1200000000000001</v>
      </c>
      <c r="K2661" s="84"/>
      <c r="L2661" s="177">
        <f>CHOOSE(Basis!$E$1,((AJ2661*(J2661*3600/Basis!$E$5)^AK2661*(((MID(C2661,9,3)*10)-144)/1000)*AL2661+AM2661*(J2661*3600/Basis!$E$5)^2)*0.0098)/Basis!$E$10,((AJ2661*(J2661/Basis!$E$5)^AK2661*(((MID(C2661,9,3)*10)-144)/1000)*AL2661+AM2661*(J2661/Basis!$E$5)^2)*0.0098)/Basis!$E$10)</f>
        <v>0.14465029308078728</v>
      </c>
      <c r="M2661" s="85"/>
      <c r="N2661" s="110">
        <v>1.35</v>
      </c>
      <c r="O2661" s="74"/>
      <c r="P2661" s="73">
        <v>5127</v>
      </c>
      <c r="Q2661" s="74"/>
      <c r="R2661" s="75"/>
      <c r="S2661" s="75"/>
      <c r="T2661" s="75"/>
      <c r="U2661" s="75"/>
      <c r="V2661" s="75"/>
      <c r="W2661" s="74"/>
      <c r="X2661" s="76"/>
      <c r="Y2661" s="76"/>
      <c r="Z2661" s="76"/>
      <c r="AA2661" s="76"/>
      <c r="AB2661" s="76"/>
      <c r="AC2661" s="74"/>
      <c r="AD2661" s="77"/>
      <c r="AE2661" s="77"/>
      <c r="AF2661" s="77"/>
      <c r="AG2661" s="77"/>
      <c r="AH2661" s="77"/>
      <c r="AI2661" s="68"/>
      <c r="AJ2661" s="213">
        <v>2.0829999999999999E-4</v>
      </c>
      <c r="AK2661" s="213">
        <v>1.724</v>
      </c>
      <c r="AL2661" s="213">
        <v>2</v>
      </c>
      <c r="AM2661" s="213">
        <v>4.6182900000000003E-4</v>
      </c>
      <c r="AN2661" s="74"/>
      <c r="AO2661" s="73"/>
      <c r="AP2661" s="73"/>
      <c r="AQ2661" s="73"/>
      <c r="AR2661" s="73"/>
      <c r="AS2661" s="73"/>
      <c r="AT2661" s="74"/>
      <c r="AU2661" s="47"/>
      <c r="AV2661" s="48"/>
    </row>
    <row r="2662" spans="1:48" ht="12.75" customHeight="1" x14ac:dyDescent="0.25">
      <c r="A2662" s="72" t="s">
        <v>20</v>
      </c>
      <c r="B2662" s="43" t="s">
        <v>2240</v>
      </c>
      <c r="C2662" s="44" t="s">
        <v>2820</v>
      </c>
      <c r="D2662" s="45">
        <f>MROUND(MID($C2662,6,3)/Basis!$E$3,0.5)</f>
        <v>27.5</v>
      </c>
      <c r="E2662" s="45">
        <f>MROUND(MID($C2662,9,3)/Basis!$E$3,0.5)</f>
        <v>102.5</v>
      </c>
      <c r="F2662" s="124" t="s">
        <v>2947</v>
      </c>
      <c r="G2662" s="45">
        <f>ROUND((ROUNDDOWN($F2662/5,0)*5+1.8)/Basis!$E$3,1)</f>
        <v>6.6</v>
      </c>
      <c r="H2662" s="120">
        <f>ROUND($P2662*Basis!$E$2*((TaH-TrH)/LN(1/µ)/Basis!$E$7)^$N2662*$AA$4*Glycol,0)</f>
        <v>12334</v>
      </c>
      <c r="I2662" s="83">
        <f>ROUND(H2662/(MID($C2662,9,3)/Basis!$E$3/Basis!$E$9)*Basis!$E$11,0)</f>
        <v>1446</v>
      </c>
      <c r="J2662" s="123">
        <f>IF(Basis!$E$1=1,ROUND(H2662/((TaH-TrH)*1.163)/3600,3),ROUND(H2662/(500*(TaH-TrH)),2))</f>
        <v>1.23</v>
      </c>
      <c r="K2662" s="84"/>
      <c r="L2662" s="177">
        <f>CHOOSE(Basis!$E$1,((AJ2662*(J2662*3600/Basis!$E$5)^AK2662*(((MID(C2662,9,3)*10)-144)/1000)*AL2662+AM2662*(J2662*3600/Basis!$E$5)^2)*0.0098)/Basis!$E$10,((AJ2662*(J2662/Basis!$E$5)^AK2662*(((MID(C2662,9,3)*10)-144)/1000)*AL2662+AM2662*(J2662/Basis!$E$5)^2)*0.0098)/Basis!$E$10)</f>
        <v>0.46574317448569763</v>
      </c>
      <c r="M2662" s="85"/>
      <c r="N2662" s="109">
        <v>1.472</v>
      </c>
      <c r="O2662" s="68"/>
      <c r="P2662" s="67">
        <v>5876</v>
      </c>
      <c r="Q2662" s="68"/>
      <c r="R2662" s="69"/>
      <c r="S2662" s="69"/>
      <c r="T2662" s="69"/>
      <c r="U2662" s="69"/>
      <c r="V2662" s="69"/>
      <c r="W2662" s="68"/>
      <c r="X2662" s="70"/>
      <c r="Y2662" s="70"/>
      <c r="Z2662" s="70"/>
      <c r="AA2662" s="70"/>
      <c r="AB2662" s="70"/>
      <c r="AC2662" s="68"/>
      <c r="AD2662" s="71"/>
      <c r="AE2662" s="71"/>
      <c r="AF2662" s="71"/>
      <c r="AG2662" s="71"/>
      <c r="AH2662" s="71"/>
      <c r="AI2662" s="68"/>
      <c r="AJ2662" s="214">
        <v>2.0829999999999999E-4</v>
      </c>
      <c r="AK2662" s="214">
        <v>1.724</v>
      </c>
      <c r="AL2662" s="214">
        <v>4</v>
      </c>
      <c r="AM2662" s="214">
        <v>1.392796E-3</v>
      </c>
      <c r="AN2662" s="68"/>
      <c r="AO2662" s="67"/>
      <c r="AP2662" s="67"/>
      <c r="AQ2662" s="67"/>
      <c r="AR2662" s="67"/>
      <c r="AS2662" s="67"/>
      <c r="AT2662" s="68"/>
      <c r="AU2662" s="49"/>
      <c r="AV2662" s="50"/>
    </row>
    <row r="2663" spans="1:48" ht="12.75" customHeight="1" x14ac:dyDescent="0.25">
      <c r="A2663" s="72" t="s">
        <v>20</v>
      </c>
      <c r="B2663" s="43" t="s">
        <v>2240</v>
      </c>
      <c r="C2663" s="44" t="s">
        <v>2821</v>
      </c>
      <c r="D2663" s="45">
        <f>MROUND(MID($C2663,6,3)/Basis!$E$3,0.5)</f>
        <v>27.5</v>
      </c>
      <c r="E2663" s="45">
        <f>MROUND(MID($C2663,9,3)/Basis!$E$3,0.5)</f>
        <v>102.5</v>
      </c>
      <c r="F2663" s="124" t="s">
        <v>2945</v>
      </c>
      <c r="G2663" s="45">
        <f>ROUND((ROUNDDOWN($F2663/5,0)*5+1.8)/Basis!$E$3,1)</f>
        <v>8.6</v>
      </c>
      <c r="H2663" s="120">
        <f>ROUND($P2663*Basis!$E$2*((TaH-TrH)/LN(1/µ)/Basis!$E$7)^$N2663*$AA$4*Glycol,0)</f>
        <v>15648</v>
      </c>
      <c r="I2663" s="83">
        <f>ROUND(H2663/(MID($C2663,9,3)/Basis!$E$3/Basis!$E$9)*Basis!$E$11,0)</f>
        <v>1834</v>
      </c>
      <c r="J2663" s="123">
        <f>IF(Basis!$E$1=1,ROUND(H2663/((TaH-TrH)*1.163)/3600,3),ROUND(H2663/(500*(TaH-TrH)),2))</f>
        <v>1.56</v>
      </c>
      <c r="K2663" s="84"/>
      <c r="L2663" s="177">
        <f>CHOOSE(Basis!$E$1,((AJ2663*(J2663*3600/Basis!$E$5)^AK2663*(((MID(C2663,9,3)*10)-144)/1000)*AL2663+AM2663*(J2663*3600/Basis!$E$5)^2)*0.0098)/Basis!$E$10,((AJ2663*(J2663/Basis!$E$5)^AK2663*(((MID(C2663,9,3)*10)-144)/1000)*AL2663+AM2663*(J2663/Basis!$E$5)^2)*0.0098)/Basis!$E$10)</f>
        <v>0.20487181274775637</v>
      </c>
      <c r="M2663" s="85"/>
      <c r="N2663" s="109">
        <v>1.349</v>
      </c>
      <c r="O2663" s="68"/>
      <c r="P2663" s="67">
        <v>7158</v>
      </c>
      <c r="Q2663" s="68"/>
      <c r="R2663" s="69"/>
      <c r="S2663" s="69"/>
      <c r="T2663" s="69"/>
      <c r="U2663" s="69"/>
      <c r="V2663" s="69"/>
      <c r="W2663" s="68"/>
      <c r="X2663" s="70"/>
      <c r="Y2663" s="70"/>
      <c r="Z2663" s="70"/>
      <c r="AA2663" s="70"/>
      <c r="AB2663" s="70"/>
      <c r="AC2663" s="68"/>
      <c r="AD2663" s="71"/>
      <c r="AE2663" s="71"/>
      <c r="AF2663" s="71"/>
      <c r="AG2663" s="71"/>
      <c r="AH2663" s="71"/>
      <c r="AI2663" s="68"/>
      <c r="AJ2663" s="214">
        <v>1.2760000000000001E-4</v>
      </c>
      <c r="AK2663" s="214">
        <v>1.7219</v>
      </c>
      <c r="AL2663" s="214">
        <v>2</v>
      </c>
      <c r="AM2663" s="214">
        <v>3.76611E-4</v>
      </c>
      <c r="AN2663" s="68"/>
      <c r="AO2663" s="67"/>
      <c r="AP2663" s="67"/>
      <c r="AQ2663" s="67"/>
      <c r="AR2663" s="67"/>
      <c r="AS2663" s="67"/>
      <c r="AT2663" s="68"/>
      <c r="AU2663" s="49"/>
      <c r="AV2663" s="50"/>
    </row>
    <row r="2664" spans="1:48" ht="12.75" customHeight="1" x14ac:dyDescent="0.25">
      <c r="A2664" s="72" t="s">
        <v>20</v>
      </c>
      <c r="B2664" s="43" t="s">
        <v>2240</v>
      </c>
      <c r="C2664" s="44" t="s">
        <v>2822</v>
      </c>
      <c r="D2664" s="45">
        <f>MROUND(MID($C2664,6,3)/Basis!$E$3,0.5)</f>
        <v>27.5</v>
      </c>
      <c r="E2664" s="45">
        <f>MROUND(MID($C2664,9,3)/Basis!$E$3,0.5)</f>
        <v>102.5</v>
      </c>
      <c r="F2664" s="124" t="s">
        <v>2948</v>
      </c>
      <c r="G2664" s="45">
        <f>ROUND((ROUNDDOWN($F2664/5,0)*5+1.8)/Basis!$E$3,1)</f>
        <v>8.6</v>
      </c>
      <c r="H2664" s="120">
        <f>ROUND($P2664*Basis!$E$2*((TaH-TrH)/LN(1/µ)/Basis!$E$7)^$N2664*$AA$4*Glycol,0)</f>
        <v>17173</v>
      </c>
      <c r="I2664" s="83">
        <f>ROUND(H2664/(MID($C2664,9,3)/Basis!$E$3/Basis!$E$9)*Basis!$E$11,0)</f>
        <v>2013</v>
      </c>
      <c r="J2664" s="123">
        <f>IF(Basis!$E$1=1,ROUND(H2664/((TaH-TrH)*1.163)/3600,3),ROUND(H2664/(500*(TaH-TrH)),2))</f>
        <v>1.72</v>
      </c>
      <c r="K2664" s="84"/>
      <c r="L2664" s="177">
        <f>CHOOSE(Basis!$E$1,((AJ2664*(J2664*3600/Basis!$E$5)^AK2664*(((MID(C2664,9,3)*10)-144)/1000)*AL2664+AM2664*(J2664*3600/Basis!$E$5)^2)*0.0098)/Basis!$E$10,((AJ2664*(J2664/Basis!$E$5)^AK2664*(((MID(C2664,9,3)*10)-144)/1000)*AL2664+AM2664*(J2664/Basis!$E$5)^2)*0.0098)/Basis!$E$10)</f>
        <v>0.37555908937510768</v>
      </c>
      <c r="M2664" s="85"/>
      <c r="N2664" s="110">
        <v>1.5009999999999999</v>
      </c>
      <c r="O2664" s="74"/>
      <c r="P2664" s="73">
        <v>8260</v>
      </c>
      <c r="Q2664" s="74"/>
      <c r="R2664" s="75"/>
      <c r="S2664" s="75"/>
      <c r="T2664" s="75"/>
      <c r="U2664" s="75"/>
      <c r="V2664" s="75"/>
      <c r="W2664" s="74"/>
      <c r="X2664" s="76"/>
      <c r="Y2664" s="76"/>
      <c r="Z2664" s="76"/>
      <c r="AA2664" s="76"/>
      <c r="AB2664" s="76"/>
      <c r="AC2664" s="74"/>
      <c r="AD2664" s="77"/>
      <c r="AE2664" s="77"/>
      <c r="AF2664" s="77"/>
      <c r="AG2664" s="77"/>
      <c r="AH2664" s="77"/>
      <c r="AI2664" s="68"/>
      <c r="AJ2664" s="213">
        <v>1.2760000000000001E-4</v>
      </c>
      <c r="AK2664" s="213">
        <v>1.7219</v>
      </c>
      <c r="AL2664" s="213">
        <v>4</v>
      </c>
      <c r="AM2664" s="213">
        <v>5.1420100000000005E-4</v>
      </c>
      <c r="AN2664" s="74"/>
      <c r="AO2664" s="73"/>
      <c r="AP2664" s="73"/>
      <c r="AQ2664" s="73"/>
      <c r="AR2664" s="73"/>
      <c r="AS2664" s="73"/>
      <c r="AT2664" s="74"/>
      <c r="AU2664" s="47"/>
      <c r="AV2664" s="48"/>
    </row>
    <row r="2665" spans="1:48" ht="12.75" customHeight="1" x14ac:dyDescent="0.25">
      <c r="A2665" s="72" t="s">
        <v>20</v>
      </c>
      <c r="B2665" s="43" t="s">
        <v>2240</v>
      </c>
      <c r="C2665" s="44" t="s">
        <v>2823</v>
      </c>
      <c r="D2665" s="45">
        <f>MROUND(MID($C2665,6,3)/Basis!$E$3,0.5)</f>
        <v>27.5</v>
      </c>
      <c r="E2665" s="45">
        <f>MROUND(MID($C2665,9,3)/Basis!$E$3,0.5)</f>
        <v>110</v>
      </c>
      <c r="F2665" s="124" t="s">
        <v>2943</v>
      </c>
      <c r="G2665" s="45">
        <f>ROUND((ROUNDDOWN($F2665/5,0)*5+1.8)/Basis!$E$3,1)</f>
        <v>4.5999999999999996</v>
      </c>
      <c r="H2665" s="120">
        <f>ROUND($P2665*Basis!$E$2*((TaH-TrH)/LN(1/µ)/Basis!$E$7)^$N2665*$AA$4*Glycol,0)</f>
        <v>7595</v>
      </c>
      <c r="I2665" s="83">
        <f>ROUND(H2665/(MID($C2665,9,3)/Basis!$E$3/Basis!$E$9)*Basis!$E$11,0)</f>
        <v>827</v>
      </c>
      <c r="J2665" s="123">
        <f>IF(Basis!$E$1=1,ROUND(H2665/((TaH-TrH)*1.163)/3600,3),ROUND(H2665/(500*(TaH-TrH)),2))</f>
        <v>0.76</v>
      </c>
      <c r="K2665" s="84"/>
      <c r="L2665" s="177">
        <f>CHOOSE(Basis!$E$1,((AJ2665*(J2665*3600/Basis!$E$5)^AK2665*(((MID(C2665,9,3)*10)-144)/1000)*AL2665+AM2665*(J2665*3600/Basis!$E$5)^2)*0.0098)/Basis!$E$10,((AJ2665*(J2665/Basis!$E$5)^AK2665*(((MID(C2665,9,3)*10)-144)/1000)*AL2665+AM2665*(J2665/Basis!$E$5)^2)*0.0098)/Basis!$E$10)</f>
        <v>8.8134802653139041E-2</v>
      </c>
      <c r="M2665" s="85"/>
      <c r="N2665" s="110">
        <v>1.3660000000000001</v>
      </c>
      <c r="O2665" s="74"/>
      <c r="P2665" s="73">
        <v>3494</v>
      </c>
      <c r="Q2665" s="74"/>
      <c r="R2665" s="75"/>
      <c r="S2665" s="75"/>
      <c r="T2665" s="75"/>
      <c r="U2665" s="75"/>
      <c r="V2665" s="75"/>
      <c r="W2665" s="74"/>
      <c r="X2665" s="76"/>
      <c r="Y2665" s="76"/>
      <c r="Z2665" s="76"/>
      <c r="AA2665" s="76"/>
      <c r="AB2665" s="76"/>
      <c r="AC2665" s="74"/>
      <c r="AD2665" s="77"/>
      <c r="AE2665" s="77"/>
      <c r="AF2665" s="77"/>
      <c r="AG2665" s="77"/>
      <c r="AH2665" s="77"/>
      <c r="AI2665" s="68"/>
      <c r="AJ2665" s="213">
        <v>3.9689999999999994E-4</v>
      </c>
      <c r="AK2665" s="213">
        <v>1.7345999999999999</v>
      </c>
      <c r="AL2665" s="213">
        <v>2</v>
      </c>
      <c r="AM2665" s="213">
        <v>3.6734700000000002E-4</v>
      </c>
      <c r="AN2665" s="74"/>
      <c r="AO2665" s="73"/>
      <c r="AP2665" s="73"/>
      <c r="AQ2665" s="73"/>
      <c r="AR2665" s="73"/>
      <c r="AS2665" s="73"/>
      <c r="AT2665" s="74"/>
      <c r="AU2665" s="47"/>
      <c r="AV2665" s="48"/>
    </row>
    <row r="2666" spans="1:48" ht="12.75" customHeight="1" x14ac:dyDescent="0.25">
      <c r="A2666" s="72" t="s">
        <v>20</v>
      </c>
      <c r="B2666" s="43" t="s">
        <v>2240</v>
      </c>
      <c r="C2666" s="44" t="s">
        <v>2824</v>
      </c>
      <c r="D2666" s="45">
        <f>MROUND(MID($C2666,6,3)/Basis!$E$3,0.5)</f>
        <v>27.5</v>
      </c>
      <c r="E2666" s="45">
        <f>MROUND(MID($C2666,9,3)/Basis!$E$3,0.5)</f>
        <v>110</v>
      </c>
      <c r="F2666" s="124" t="s">
        <v>2946</v>
      </c>
      <c r="G2666" s="45">
        <f>ROUND((ROUNDDOWN($F2666/5,0)*5+1.8)/Basis!$E$3,1)</f>
        <v>4.5999999999999996</v>
      </c>
      <c r="H2666" s="120">
        <f>ROUND($P2666*Basis!$E$2*((TaH-TrH)/LN(1/µ)/Basis!$E$7)^$N2666*$AA$4*Glycol,0)</f>
        <v>9457</v>
      </c>
      <c r="I2666" s="83">
        <f>ROUND(H2666/(MID($C2666,9,3)/Basis!$E$3/Basis!$E$9)*Basis!$E$11,0)</f>
        <v>1029</v>
      </c>
      <c r="J2666" s="123">
        <f>IF(Basis!$E$1=1,ROUND(H2666/((TaH-TrH)*1.163)/3600,3),ROUND(H2666/(500*(TaH-TrH)),2))</f>
        <v>0.95</v>
      </c>
      <c r="K2666" s="84"/>
      <c r="L2666" s="177">
        <f>CHOOSE(Basis!$E$1,((AJ2666*(J2666*3600/Basis!$E$5)^AK2666*(((MID(C2666,9,3)*10)-144)/1000)*AL2666+AM2666*(J2666*3600/Basis!$E$5)^2)*0.0098)/Basis!$E$10,((AJ2666*(J2666/Basis!$E$5)^AK2666*(((MID(C2666,9,3)*10)-144)/1000)*AL2666+AM2666*(J2666/Basis!$E$5)^2)*0.0098)/Basis!$E$10)</f>
        <v>0.24159704388613787</v>
      </c>
      <c r="M2666" s="85"/>
      <c r="N2666" s="109">
        <v>1.4359999999999999</v>
      </c>
      <c r="O2666" s="68"/>
      <c r="P2666" s="67">
        <v>4452</v>
      </c>
      <c r="Q2666" s="68"/>
      <c r="R2666" s="69"/>
      <c r="S2666" s="69"/>
      <c r="T2666" s="69"/>
      <c r="U2666" s="69"/>
      <c r="V2666" s="69"/>
      <c r="W2666" s="68"/>
      <c r="X2666" s="70"/>
      <c r="Y2666" s="70"/>
      <c r="Z2666" s="70"/>
      <c r="AA2666" s="70"/>
      <c r="AB2666" s="70"/>
      <c r="AC2666" s="68"/>
      <c r="AD2666" s="71"/>
      <c r="AE2666" s="71"/>
      <c r="AF2666" s="71"/>
      <c r="AG2666" s="71"/>
      <c r="AH2666" s="71"/>
      <c r="AI2666" s="68"/>
      <c r="AJ2666" s="214">
        <v>3.9689999999999994E-4</v>
      </c>
      <c r="AK2666" s="214">
        <v>1.7345999999999999</v>
      </c>
      <c r="AL2666" s="214">
        <v>4</v>
      </c>
      <c r="AM2666" s="214">
        <v>5.7428799999999995E-4</v>
      </c>
      <c r="AN2666" s="68"/>
      <c r="AO2666" s="67"/>
      <c r="AP2666" s="67"/>
      <c r="AQ2666" s="67"/>
      <c r="AR2666" s="67"/>
      <c r="AS2666" s="67"/>
      <c r="AT2666" s="68"/>
      <c r="AU2666" s="49"/>
      <c r="AV2666" s="50"/>
    </row>
    <row r="2667" spans="1:48" ht="12.75" customHeight="1" x14ac:dyDescent="0.25">
      <c r="A2667" s="72" t="s">
        <v>20</v>
      </c>
      <c r="B2667" s="43" t="s">
        <v>2240</v>
      </c>
      <c r="C2667" s="44" t="s">
        <v>2825</v>
      </c>
      <c r="D2667" s="45">
        <f>MROUND(MID($C2667,6,3)/Basis!$E$3,0.5)</f>
        <v>27.5</v>
      </c>
      <c r="E2667" s="45">
        <f>MROUND(MID($C2667,9,3)/Basis!$E$3,0.5)</f>
        <v>110</v>
      </c>
      <c r="F2667" s="124" t="s">
        <v>2944</v>
      </c>
      <c r="G2667" s="45">
        <f>ROUND((ROUNDDOWN($F2667/5,0)*5+1.8)/Basis!$E$3,1)</f>
        <v>6.6</v>
      </c>
      <c r="H2667" s="120">
        <f>ROUND($P2667*Basis!$E$2*((TaH-TrH)/LN(1/µ)/Basis!$E$7)^$N2667*$AA$4*Glycol,0)</f>
        <v>12068</v>
      </c>
      <c r="I2667" s="83">
        <f>ROUND(H2667/(MID($C2667,9,3)/Basis!$E$3/Basis!$E$9)*Basis!$E$11,0)</f>
        <v>1314</v>
      </c>
      <c r="J2667" s="123">
        <f>IF(Basis!$E$1=1,ROUND(H2667/((TaH-TrH)*1.163)/3600,3),ROUND(H2667/(500*(TaH-TrH)),2))</f>
        <v>1.21</v>
      </c>
      <c r="K2667" s="84"/>
      <c r="L2667" s="177">
        <f>CHOOSE(Basis!$E$1,((AJ2667*(J2667*3600/Basis!$E$5)^AK2667*(((MID(C2667,9,3)*10)-144)/1000)*AL2667+AM2667*(J2667*3600/Basis!$E$5)^2)*0.0098)/Basis!$E$10,((AJ2667*(J2667/Basis!$E$5)^AK2667*(((MID(C2667,9,3)*10)-144)/1000)*AL2667+AM2667*(J2667/Basis!$E$5)^2)*0.0098)/Basis!$E$10)</f>
        <v>0.17204243010025139</v>
      </c>
      <c r="M2667" s="85"/>
      <c r="N2667" s="109">
        <v>1.35</v>
      </c>
      <c r="O2667" s="68"/>
      <c r="P2667" s="67">
        <v>5522</v>
      </c>
      <c r="Q2667" s="68"/>
      <c r="R2667" s="69"/>
      <c r="S2667" s="69"/>
      <c r="T2667" s="69"/>
      <c r="U2667" s="69"/>
      <c r="V2667" s="69"/>
      <c r="W2667" s="68"/>
      <c r="X2667" s="70"/>
      <c r="Y2667" s="70"/>
      <c r="Z2667" s="70"/>
      <c r="AA2667" s="70"/>
      <c r="AB2667" s="70"/>
      <c r="AC2667" s="68"/>
      <c r="AD2667" s="71"/>
      <c r="AE2667" s="71"/>
      <c r="AF2667" s="71"/>
      <c r="AG2667" s="71"/>
      <c r="AH2667" s="71"/>
      <c r="AI2667" s="68"/>
      <c r="AJ2667" s="214">
        <v>2.0829999999999999E-4</v>
      </c>
      <c r="AK2667" s="214">
        <v>1.724</v>
      </c>
      <c r="AL2667" s="214">
        <v>2</v>
      </c>
      <c r="AM2667" s="214">
        <v>4.6182900000000003E-4</v>
      </c>
      <c r="AN2667" s="68"/>
      <c r="AO2667" s="67"/>
      <c r="AP2667" s="67"/>
      <c r="AQ2667" s="67"/>
      <c r="AR2667" s="67"/>
      <c r="AS2667" s="67"/>
      <c r="AT2667" s="68"/>
      <c r="AU2667" s="49"/>
      <c r="AV2667" s="50"/>
    </row>
    <row r="2668" spans="1:48" ht="12.75" customHeight="1" x14ac:dyDescent="0.25">
      <c r="A2668" s="72" t="s">
        <v>20</v>
      </c>
      <c r="B2668" s="43" t="s">
        <v>2240</v>
      </c>
      <c r="C2668" s="44" t="s">
        <v>2826</v>
      </c>
      <c r="D2668" s="45">
        <f>MROUND(MID($C2668,6,3)/Basis!$E$3,0.5)</f>
        <v>27.5</v>
      </c>
      <c r="E2668" s="45">
        <f>MROUND(MID($C2668,9,3)/Basis!$E$3,0.5)</f>
        <v>110</v>
      </c>
      <c r="F2668" s="124" t="s">
        <v>2947</v>
      </c>
      <c r="G2668" s="45">
        <f>ROUND((ROUNDDOWN($F2668/5,0)*5+1.8)/Basis!$E$3,1)</f>
        <v>6.6</v>
      </c>
      <c r="H2668" s="120">
        <f>ROUND($P2668*Basis!$E$2*((TaH-TrH)/LN(1/µ)/Basis!$E$7)^$N2668*$AA$4*Glycol,0)</f>
        <v>13283</v>
      </c>
      <c r="I2668" s="83">
        <f>ROUND(H2668/(MID($C2668,9,3)/Basis!$E$3/Basis!$E$9)*Basis!$E$11,0)</f>
        <v>1446</v>
      </c>
      <c r="J2668" s="123">
        <f>IF(Basis!$E$1=1,ROUND(H2668/((TaH-TrH)*1.163)/3600,3),ROUND(H2668/(500*(TaH-TrH)),2))</f>
        <v>1.33</v>
      </c>
      <c r="K2668" s="84"/>
      <c r="L2668" s="177">
        <f>CHOOSE(Basis!$E$1,((AJ2668*(J2668*3600/Basis!$E$5)^AK2668*(((MID(C2668,9,3)*10)-144)/1000)*AL2668+AM2668*(J2668*3600/Basis!$E$5)^2)*0.0098)/Basis!$E$10,((AJ2668*(J2668/Basis!$E$5)^AK2668*(((MID(C2668,9,3)*10)-144)/1000)*AL2668+AM2668*(J2668/Basis!$E$5)^2)*0.0098)/Basis!$E$10)</f>
        <v>0.55207958998341222</v>
      </c>
      <c r="M2668" s="85"/>
      <c r="N2668" s="110">
        <v>1.472</v>
      </c>
      <c r="O2668" s="74"/>
      <c r="P2668" s="73">
        <v>6328</v>
      </c>
      <c r="Q2668" s="74"/>
      <c r="R2668" s="75"/>
      <c r="S2668" s="75"/>
      <c r="T2668" s="75"/>
      <c r="U2668" s="75"/>
      <c r="V2668" s="75"/>
      <c r="W2668" s="74"/>
      <c r="X2668" s="76"/>
      <c r="Y2668" s="76"/>
      <c r="Z2668" s="76"/>
      <c r="AA2668" s="76"/>
      <c r="AB2668" s="76"/>
      <c r="AC2668" s="74"/>
      <c r="AD2668" s="77"/>
      <c r="AE2668" s="77"/>
      <c r="AF2668" s="77"/>
      <c r="AG2668" s="77"/>
      <c r="AH2668" s="77"/>
      <c r="AI2668" s="68"/>
      <c r="AJ2668" s="213">
        <v>2.0829999999999999E-4</v>
      </c>
      <c r="AK2668" s="213">
        <v>1.724</v>
      </c>
      <c r="AL2668" s="213">
        <v>4</v>
      </c>
      <c r="AM2668" s="213">
        <v>1.392796E-3</v>
      </c>
      <c r="AN2668" s="74"/>
      <c r="AO2668" s="73"/>
      <c r="AP2668" s="73"/>
      <c r="AQ2668" s="73"/>
      <c r="AR2668" s="73"/>
      <c r="AS2668" s="73"/>
      <c r="AT2668" s="74"/>
      <c r="AU2668" s="47"/>
      <c r="AV2668" s="48"/>
    </row>
    <row r="2669" spans="1:48" ht="12.75" customHeight="1" x14ac:dyDescent="0.25">
      <c r="A2669" s="72" t="s">
        <v>20</v>
      </c>
      <c r="B2669" s="43" t="s">
        <v>2240</v>
      </c>
      <c r="C2669" s="44" t="s">
        <v>2827</v>
      </c>
      <c r="D2669" s="45">
        <f>MROUND(MID($C2669,6,3)/Basis!$E$3,0.5)</f>
        <v>27.5</v>
      </c>
      <c r="E2669" s="45">
        <f>MROUND(MID($C2669,9,3)/Basis!$E$3,0.5)</f>
        <v>110</v>
      </c>
      <c r="F2669" s="124" t="s">
        <v>2945</v>
      </c>
      <c r="G2669" s="45">
        <f>ROUND((ROUNDDOWN($F2669/5,0)*5+1.8)/Basis!$E$3,1)</f>
        <v>8.6</v>
      </c>
      <c r="H2669" s="120">
        <f>ROUND($P2669*Basis!$E$2*((TaH-TrH)/LN(1/µ)/Basis!$E$7)^$N2669*$AA$4*Glycol,0)</f>
        <v>16850</v>
      </c>
      <c r="I2669" s="83">
        <f>ROUND(H2669/(MID($C2669,9,3)/Basis!$E$3/Basis!$E$9)*Basis!$E$11,0)</f>
        <v>1834</v>
      </c>
      <c r="J2669" s="123">
        <f>IF(Basis!$E$1=1,ROUND(H2669/((TaH-TrH)*1.163)/3600,3),ROUND(H2669/(500*(TaH-TrH)),2))</f>
        <v>1.69</v>
      </c>
      <c r="K2669" s="84"/>
      <c r="L2669" s="177">
        <f>CHOOSE(Basis!$E$1,((AJ2669*(J2669*3600/Basis!$E$5)^AK2669*(((MID(C2669,9,3)*10)-144)/1000)*AL2669+AM2669*(J2669*3600/Basis!$E$5)^2)*0.0098)/Basis!$E$10,((AJ2669*(J2669/Basis!$E$5)^AK2669*(((MID(C2669,9,3)*10)-144)/1000)*AL2669+AM2669*(J2669/Basis!$E$5)^2)*0.0098)/Basis!$E$10)</f>
        <v>0.24384048614296588</v>
      </c>
      <c r="M2669" s="85"/>
      <c r="N2669" s="110">
        <v>1.349</v>
      </c>
      <c r="O2669" s="74"/>
      <c r="P2669" s="73">
        <v>7708</v>
      </c>
      <c r="Q2669" s="74"/>
      <c r="R2669" s="75"/>
      <c r="S2669" s="75"/>
      <c r="T2669" s="75"/>
      <c r="U2669" s="75"/>
      <c r="V2669" s="75"/>
      <c r="W2669" s="74"/>
      <c r="X2669" s="76"/>
      <c r="Y2669" s="76"/>
      <c r="Z2669" s="76"/>
      <c r="AA2669" s="76"/>
      <c r="AB2669" s="76"/>
      <c r="AC2669" s="74"/>
      <c r="AD2669" s="77"/>
      <c r="AE2669" s="77"/>
      <c r="AF2669" s="77"/>
      <c r="AG2669" s="77"/>
      <c r="AH2669" s="77"/>
      <c r="AI2669" s="68"/>
      <c r="AJ2669" s="214">
        <v>1.2760000000000001E-4</v>
      </c>
      <c r="AK2669" s="214">
        <v>1.7219</v>
      </c>
      <c r="AL2669" s="214">
        <v>2</v>
      </c>
      <c r="AM2669" s="214">
        <v>3.76611E-4</v>
      </c>
      <c r="AN2669" s="74"/>
      <c r="AO2669" s="73"/>
      <c r="AP2669" s="73"/>
      <c r="AQ2669" s="73"/>
      <c r="AR2669" s="73"/>
      <c r="AS2669" s="73"/>
      <c r="AT2669" s="74"/>
      <c r="AU2669" s="47"/>
      <c r="AV2669" s="48"/>
    </row>
    <row r="2670" spans="1:48" ht="12.75" customHeight="1" x14ac:dyDescent="0.25">
      <c r="A2670" s="72" t="s">
        <v>20</v>
      </c>
      <c r="B2670" s="43" t="s">
        <v>2240</v>
      </c>
      <c r="C2670" s="44" t="s">
        <v>2828</v>
      </c>
      <c r="D2670" s="45">
        <f>MROUND(MID($C2670,6,3)/Basis!$E$3,0.5)</f>
        <v>27.5</v>
      </c>
      <c r="E2670" s="45">
        <f>MROUND(MID($C2670,9,3)/Basis!$E$3,0.5)</f>
        <v>110</v>
      </c>
      <c r="F2670" s="124" t="s">
        <v>2948</v>
      </c>
      <c r="G2670" s="45">
        <f>ROUND((ROUNDDOWN($F2670/5,0)*5+1.8)/Basis!$E$3,1)</f>
        <v>8.6</v>
      </c>
      <c r="H2670" s="120">
        <f>ROUND($P2670*Basis!$E$2*((TaH-TrH)/LN(1/µ)/Basis!$E$7)^$N2670*$AA$4*Glycol,0)</f>
        <v>18496</v>
      </c>
      <c r="I2670" s="83">
        <f>ROUND(H2670/(MID($C2670,9,3)/Basis!$E$3/Basis!$E$9)*Basis!$E$11,0)</f>
        <v>2013</v>
      </c>
      <c r="J2670" s="123">
        <f>IF(Basis!$E$1=1,ROUND(H2670/((TaH-TrH)*1.163)/3600,3),ROUND(H2670/(500*(TaH-TrH)),2))</f>
        <v>1.85</v>
      </c>
      <c r="K2670" s="84"/>
      <c r="L2670" s="177">
        <f>CHOOSE(Basis!$E$1,((AJ2670*(J2670*3600/Basis!$E$5)^AK2670*(((MID(C2670,9,3)*10)-144)/1000)*AL2670+AM2670*(J2670*3600/Basis!$E$5)^2)*0.0098)/Basis!$E$10,((AJ2670*(J2670/Basis!$E$5)^AK2670*(((MID(C2670,9,3)*10)-144)/1000)*AL2670+AM2670*(J2670/Basis!$E$5)^2)*0.0098)/Basis!$E$10)</f>
        <v>0.44269782579959371</v>
      </c>
      <c r="M2670" s="85"/>
      <c r="N2670" s="109">
        <v>1.5009999999999999</v>
      </c>
      <c r="O2670" s="68"/>
      <c r="P2670" s="67">
        <v>8896</v>
      </c>
      <c r="Q2670" s="68"/>
      <c r="R2670" s="69"/>
      <c r="S2670" s="69"/>
      <c r="T2670" s="69"/>
      <c r="U2670" s="69"/>
      <c r="V2670" s="69"/>
      <c r="W2670" s="68"/>
      <c r="X2670" s="70"/>
      <c r="Y2670" s="70"/>
      <c r="Z2670" s="70"/>
      <c r="AA2670" s="70"/>
      <c r="AB2670" s="70"/>
      <c r="AC2670" s="68"/>
      <c r="AD2670" s="71"/>
      <c r="AE2670" s="71"/>
      <c r="AF2670" s="71"/>
      <c r="AG2670" s="71"/>
      <c r="AH2670" s="71"/>
      <c r="AI2670" s="68"/>
      <c r="AJ2670" s="214">
        <v>1.2760000000000001E-4</v>
      </c>
      <c r="AK2670" s="214">
        <v>1.7219</v>
      </c>
      <c r="AL2670" s="214">
        <v>4</v>
      </c>
      <c r="AM2670" s="214">
        <v>5.1420100000000005E-4</v>
      </c>
      <c r="AN2670" s="68"/>
      <c r="AO2670" s="67"/>
      <c r="AP2670" s="67"/>
      <c r="AQ2670" s="67"/>
      <c r="AR2670" s="67"/>
      <c r="AS2670" s="67"/>
      <c r="AT2670" s="68"/>
      <c r="AU2670" s="49"/>
      <c r="AV2670" s="50"/>
    </row>
    <row r="2671" spans="1:48" ht="12.75" customHeight="1" x14ac:dyDescent="0.25">
      <c r="A2671" s="72" t="s">
        <v>20</v>
      </c>
      <c r="B2671" s="43" t="s">
        <v>2240</v>
      </c>
      <c r="C2671" s="44" t="s">
        <v>2829</v>
      </c>
      <c r="D2671" s="45">
        <f>MROUND(MID($C2671,6,3)/Basis!$E$3,0.5)</f>
        <v>27.5</v>
      </c>
      <c r="E2671" s="45">
        <f>MROUND(MID($C2671,9,3)/Basis!$E$3,0.5)</f>
        <v>118</v>
      </c>
      <c r="F2671" s="124" t="s">
        <v>2943</v>
      </c>
      <c r="G2671" s="45">
        <f>ROUND((ROUNDDOWN($F2671/5,0)*5+1.8)/Basis!$E$3,1)</f>
        <v>4.5999999999999996</v>
      </c>
      <c r="H2671" s="120">
        <f>ROUND($P2671*Basis!$E$2*((TaH-TrH)/LN(1/µ)/Basis!$E$7)^$N2671*$AA$4*Glycol,0)</f>
        <v>8139</v>
      </c>
      <c r="I2671" s="83">
        <f>ROUND(H2671/(MID($C2671,9,3)/Basis!$E$3/Basis!$E$9)*Basis!$E$11,0)</f>
        <v>827</v>
      </c>
      <c r="J2671" s="123">
        <f>IF(Basis!$E$1=1,ROUND(H2671/((TaH-TrH)*1.163)/3600,3),ROUND(H2671/(500*(TaH-TrH)),2))</f>
        <v>0.81</v>
      </c>
      <c r="K2671" s="84"/>
      <c r="L2671" s="177">
        <f>CHOOSE(Basis!$E$1,((AJ2671*(J2671*3600/Basis!$E$5)^AK2671*(((MID(C2671,9,3)*10)-144)/1000)*AL2671+AM2671*(J2671*3600/Basis!$E$5)^2)*0.0098)/Basis!$E$10,((AJ2671*(J2671/Basis!$E$5)^AK2671*(((MID(C2671,9,3)*10)-144)/1000)*AL2671+AM2671*(J2671/Basis!$E$5)^2)*0.0098)/Basis!$E$10)</f>
        <v>0.10351830509052508</v>
      </c>
      <c r="M2671" s="85"/>
      <c r="N2671" s="109">
        <v>1.3660000000000001</v>
      </c>
      <c r="O2671" s="68"/>
      <c r="P2671" s="67">
        <v>3744</v>
      </c>
      <c r="Q2671" s="68"/>
      <c r="R2671" s="69"/>
      <c r="S2671" s="69"/>
      <c r="T2671" s="69"/>
      <c r="U2671" s="69"/>
      <c r="V2671" s="69"/>
      <c r="W2671" s="68"/>
      <c r="X2671" s="70"/>
      <c r="Y2671" s="70"/>
      <c r="Z2671" s="70"/>
      <c r="AA2671" s="70"/>
      <c r="AB2671" s="70"/>
      <c r="AC2671" s="68"/>
      <c r="AD2671" s="71"/>
      <c r="AE2671" s="71"/>
      <c r="AF2671" s="71"/>
      <c r="AG2671" s="71"/>
      <c r="AH2671" s="71"/>
      <c r="AI2671" s="68"/>
      <c r="AJ2671" s="214">
        <v>3.9689999999999994E-4</v>
      </c>
      <c r="AK2671" s="214">
        <v>1.7345999999999999</v>
      </c>
      <c r="AL2671" s="214">
        <v>2</v>
      </c>
      <c r="AM2671" s="214">
        <v>3.6734700000000002E-4</v>
      </c>
      <c r="AN2671" s="68"/>
      <c r="AO2671" s="67"/>
      <c r="AP2671" s="67"/>
      <c r="AQ2671" s="67"/>
      <c r="AR2671" s="67"/>
      <c r="AS2671" s="67"/>
      <c r="AT2671" s="68"/>
      <c r="AU2671" s="49"/>
      <c r="AV2671" s="50"/>
    </row>
    <row r="2672" spans="1:48" ht="12.75" customHeight="1" x14ac:dyDescent="0.25">
      <c r="A2672" s="72" t="s">
        <v>20</v>
      </c>
      <c r="B2672" s="43" t="s">
        <v>2240</v>
      </c>
      <c r="C2672" s="44" t="s">
        <v>2830</v>
      </c>
      <c r="D2672" s="45">
        <f>MROUND(MID($C2672,6,3)/Basis!$E$3,0.5)</f>
        <v>27.5</v>
      </c>
      <c r="E2672" s="45">
        <f>MROUND(MID($C2672,9,3)/Basis!$E$3,0.5)</f>
        <v>118</v>
      </c>
      <c r="F2672" s="124" t="s">
        <v>2946</v>
      </c>
      <c r="G2672" s="45">
        <f>ROUND((ROUNDDOWN($F2672/5,0)*5+1.8)/Basis!$E$3,1)</f>
        <v>4.5999999999999996</v>
      </c>
      <c r="H2672" s="120">
        <f>ROUND($P2672*Basis!$E$2*((TaH-TrH)/LN(1/µ)/Basis!$E$7)^$N2672*$AA$4*Glycol,0)</f>
        <v>10132</v>
      </c>
      <c r="I2672" s="83">
        <f>ROUND(H2672/(MID($C2672,9,3)/Basis!$E$3/Basis!$E$9)*Basis!$E$11,0)</f>
        <v>1029</v>
      </c>
      <c r="J2672" s="123">
        <f>IF(Basis!$E$1=1,ROUND(H2672/((TaH-TrH)*1.163)/3600,3),ROUND(H2672/(500*(TaH-TrH)),2))</f>
        <v>1.01</v>
      </c>
      <c r="K2672" s="84"/>
      <c r="L2672" s="177">
        <f>CHOOSE(Basis!$E$1,((AJ2672*(J2672*3600/Basis!$E$5)^AK2672*(((MID(C2672,9,3)*10)-144)/1000)*AL2672+AM2672*(J2672*3600/Basis!$E$5)^2)*0.0098)/Basis!$E$10,((AJ2672*(J2672/Basis!$E$5)^AK2672*(((MID(C2672,9,3)*10)-144)/1000)*AL2672+AM2672*(J2672/Basis!$E$5)^2)*0.0098)/Basis!$E$10)</f>
        <v>0.2831795195389713</v>
      </c>
      <c r="M2672" s="85"/>
      <c r="N2672" s="110">
        <v>1.4359999999999999</v>
      </c>
      <c r="O2672" s="74"/>
      <c r="P2672" s="73">
        <v>4770</v>
      </c>
      <c r="Q2672" s="74"/>
      <c r="R2672" s="75"/>
      <c r="S2672" s="75"/>
      <c r="T2672" s="75"/>
      <c r="U2672" s="75"/>
      <c r="V2672" s="75"/>
      <c r="W2672" s="74"/>
      <c r="X2672" s="76"/>
      <c r="Y2672" s="76"/>
      <c r="Z2672" s="76"/>
      <c r="AA2672" s="76"/>
      <c r="AB2672" s="76"/>
      <c r="AC2672" s="74"/>
      <c r="AD2672" s="77"/>
      <c r="AE2672" s="77"/>
      <c r="AF2672" s="77"/>
      <c r="AG2672" s="77"/>
      <c r="AH2672" s="77"/>
      <c r="AI2672" s="68"/>
      <c r="AJ2672" s="213">
        <v>3.9689999999999994E-4</v>
      </c>
      <c r="AK2672" s="213">
        <v>1.7345999999999999</v>
      </c>
      <c r="AL2672" s="213">
        <v>4</v>
      </c>
      <c r="AM2672" s="213">
        <v>5.7428799999999995E-4</v>
      </c>
      <c r="AN2672" s="74"/>
      <c r="AO2672" s="73"/>
      <c r="AP2672" s="73"/>
      <c r="AQ2672" s="73"/>
      <c r="AR2672" s="73"/>
      <c r="AS2672" s="73"/>
      <c r="AT2672" s="74"/>
      <c r="AU2672" s="47"/>
      <c r="AV2672" s="48"/>
    </row>
    <row r="2673" spans="1:48" ht="12.75" customHeight="1" x14ac:dyDescent="0.25">
      <c r="A2673" s="72" t="s">
        <v>20</v>
      </c>
      <c r="B2673" s="43" t="s">
        <v>2240</v>
      </c>
      <c r="C2673" s="44" t="s">
        <v>2831</v>
      </c>
      <c r="D2673" s="45">
        <f>MROUND(MID($C2673,6,3)/Basis!$E$3,0.5)</f>
        <v>27.5</v>
      </c>
      <c r="E2673" s="45">
        <f>MROUND(MID($C2673,9,3)/Basis!$E$3,0.5)</f>
        <v>118</v>
      </c>
      <c r="F2673" s="124" t="s">
        <v>2944</v>
      </c>
      <c r="G2673" s="45">
        <f>ROUND((ROUNDDOWN($F2673/5,0)*5+1.8)/Basis!$E$3,1)</f>
        <v>6.6</v>
      </c>
      <c r="H2673" s="120">
        <f>ROUND($P2673*Basis!$E$2*((TaH-TrH)/LN(1/µ)/Basis!$E$7)^$N2673*$AA$4*Glycol,0)</f>
        <v>12929</v>
      </c>
      <c r="I2673" s="83">
        <f>ROUND(H2673/(MID($C2673,9,3)/Basis!$E$3/Basis!$E$9)*Basis!$E$11,0)</f>
        <v>1314</v>
      </c>
      <c r="J2673" s="123">
        <f>IF(Basis!$E$1=1,ROUND(H2673/((TaH-TrH)*1.163)/3600,3),ROUND(H2673/(500*(TaH-TrH)),2))</f>
        <v>1.29</v>
      </c>
      <c r="K2673" s="84"/>
      <c r="L2673" s="177">
        <f>CHOOSE(Basis!$E$1,((AJ2673*(J2673*3600/Basis!$E$5)^AK2673*(((MID(C2673,9,3)*10)-144)/1000)*AL2673+AM2673*(J2673*3600/Basis!$E$5)^2)*0.0098)/Basis!$E$10,((AJ2673*(J2673/Basis!$E$5)^AK2673*(((MID(C2673,9,3)*10)-144)/1000)*AL2673+AM2673*(J2673/Basis!$E$5)^2)*0.0098)/Basis!$E$10)</f>
        <v>0.19926599746944165</v>
      </c>
      <c r="M2673" s="85"/>
      <c r="N2673" s="110">
        <v>1.35</v>
      </c>
      <c r="O2673" s="74"/>
      <c r="P2673" s="73">
        <v>5916</v>
      </c>
      <c r="Q2673" s="74"/>
      <c r="R2673" s="75"/>
      <c r="S2673" s="75"/>
      <c r="T2673" s="75"/>
      <c r="U2673" s="75"/>
      <c r="V2673" s="75"/>
      <c r="W2673" s="74"/>
      <c r="X2673" s="76"/>
      <c r="Y2673" s="76"/>
      <c r="Z2673" s="76"/>
      <c r="AA2673" s="76"/>
      <c r="AB2673" s="76"/>
      <c r="AC2673" s="74"/>
      <c r="AD2673" s="77"/>
      <c r="AE2673" s="77"/>
      <c r="AF2673" s="77"/>
      <c r="AG2673" s="77"/>
      <c r="AH2673" s="77"/>
      <c r="AI2673" s="68"/>
      <c r="AJ2673" s="213">
        <v>2.0829999999999999E-4</v>
      </c>
      <c r="AK2673" s="213">
        <v>1.724</v>
      </c>
      <c r="AL2673" s="213">
        <v>2</v>
      </c>
      <c r="AM2673" s="213">
        <v>4.6182900000000003E-4</v>
      </c>
      <c r="AN2673" s="74"/>
      <c r="AO2673" s="73"/>
      <c r="AP2673" s="73"/>
      <c r="AQ2673" s="73"/>
      <c r="AR2673" s="73"/>
      <c r="AS2673" s="73"/>
      <c r="AT2673" s="74"/>
      <c r="AU2673" s="47"/>
      <c r="AV2673" s="48"/>
    </row>
    <row r="2674" spans="1:48" ht="12.75" customHeight="1" x14ac:dyDescent="0.25">
      <c r="A2674" s="72" t="s">
        <v>20</v>
      </c>
      <c r="B2674" s="43" t="s">
        <v>2240</v>
      </c>
      <c r="C2674" s="44" t="s">
        <v>2832</v>
      </c>
      <c r="D2674" s="45">
        <f>MROUND(MID($C2674,6,3)/Basis!$E$3,0.5)</f>
        <v>27.5</v>
      </c>
      <c r="E2674" s="45">
        <f>MROUND(MID($C2674,9,3)/Basis!$E$3,0.5)</f>
        <v>118</v>
      </c>
      <c r="F2674" s="124" t="s">
        <v>2947</v>
      </c>
      <c r="G2674" s="45">
        <f>ROUND((ROUNDDOWN($F2674/5,0)*5+1.8)/Basis!$E$3,1)</f>
        <v>6.6</v>
      </c>
      <c r="H2674" s="120">
        <f>ROUND($P2674*Basis!$E$2*((TaH-TrH)/LN(1/µ)/Basis!$E$7)^$N2674*$AA$4*Glycol,0)</f>
        <v>14232</v>
      </c>
      <c r="I2674" s="83">
        <f>ROUND(H2674/(MID($C2674,9,3)/Basis!$E$3/Basis!$E$9)*Basis!$E$11,0)</f>
        <v>1446</v>
      </c>
      <c r="J2674" s="123">
        <f>IF(Basis!$E$1=1,ROUND(H2674/((TaH-TrH)*1.163)/3600,3),ROUND(H2674/(500*(TaH-TrH)),2))</f>
        <v>1.42</v>
      </c>
      <c r="K2674" s="84"/>
      <c r="L2674" s="177">
        <f>CHOOSE(Basis!$E$1,((AJ2674*(J2674*3600/Basis!$E$5)^AK2674*(((MID(C2674,9,3)*10)-144)/1000)*AL2674+AM2674*(J2674*3600/Basis!$E$5)^2)*0.0098)/Basis!$E$10,((AJ2674*(J2674/Basis!$E$5)^AK2674*(((MID(C2674,9,3)*10)-144)/1000)*AL2674+AM2674*(J2674/Basis!$E$5)^2)*0.0098)/Basis!$E$10)</f>
        <v>0.63804694171241749</v>
      </c>
      <c r="M2674" s="85"/>
      <c r="N2674" s="109">
        <v>1.472</v>
      </c>
      <c r="O2674" s="68"/>
      <c r="P2674" s="67">
        <v>6780</v>
      </c>
      <c r="Q2674" s="68"/>
      <c r="R2674" s="69"/>
      <c r="S2674" s="69"/>
      <c r="T2674" s="69"/>
      <c r="U2674" s="69"/>
      <c r="V2674" s="69"/>
      <c r="W2674" s="68"/>
      <c r="X2674" s="70"/>
      <c r="Y2674" s="70"/>
      <c r="Z2674" s="70"/>
      <c r="AA2674" s="70"/>
      <c r="AB2674" s="70"/>
      <c r="AC2674" s="68"/>
      <c r="AD2674" s="71"/>
      <c r="AE2674" s="71"/>
      <c r="AF2674" s="71"/>
      <c r="AG2674" s="71"/>
      <c r="AH2674" s="71"/>
      <c r="AI2674" s="68"/>
      <c r="AJ2674" s="214">
        <v>2.0829999999999999E-4</v>
      </c>
      <c r="AK2674" s="214">
        <v>1.724</v>
      </c>
      <c r="AL2674" s="214">
        <v>4</v>
      </c>
      <c r="AM2674" s="214">
        <v>1.392796E-3</v>
      </c>
      <c r="AN2674" s="68"/>
      <c r="AO2674" s="67"/>
      <c r="AP2674" s="67"/>
      <c r="AQ2674" s="67"/>
      <c r="AR2674" s="67"/>
      <c r="AS2674" s="67"/>
      <c r="AT2674" s="68"/>
      <c r="AU2674" s="49"/>
      <c r="AV2674" s="50"/>
    </row>
    <row r="2675" spans="1:48" ht="12.75" customHeight="1" x14ac:dyDescent="0.25">
      <c r="A2675" s="72" t="s">
        <v>20</v>
      </c>
      <c r="B2675" s="43" t="s">
        <v>2240</v>
      </c>
      <c r="C2675" s="44" t="s">
        <v>2833</v>
      </c>
      <c r="D2675" s="45">
        <f>MROUND(MID($C2675,6,3)/Basis!$E$3,0.5)</f>
        <v>27.5</v>
      </c>
      <c r="E2675" s="45">
        <f>MROUND(MID($C2675,9,3)/Basis!$E$3,0.5)</f>
        <v>118</v>
      </c>
      <c r="F2675" s="124" t="s">
        <v>2945</v>
      </c>
      <c r="G2675" s="45">
        <f>ROUND((ROUNDDOWN($F2675/5,0)*5+1.8)/Basis!$E$3,1)</f>
        <v>8.6</v>
      </c>
      <c r="H2675" s="120">
        <f>ROUND($P2675*Basis!$E$2*((TaH-TrH)/LN(1/µ)/Basis!$E$7)^$N2675*$AA$4*Glycol,0)</f>
        <v>18055</v>
      </c>
      <c r="I2675" s="83">
        <f>ROUND(H2675/(MID($C2675,9,3)/Basis!$E$3/Basis!$E$9)*Basis!$E$11,0)</f>
        <v>1834</v>
      </c>
      <c r="J2675" s="123">
        <f>IF(Basis!$E$1=1,ROUND(H2675/((TaH-TrH)*1.163)/3600,3),ROUND(H2675/(500*(TaH-TrH)),2))</f>
        <v>1.81</v>
      </c>
      <c r="K2675" s="84"/>
      <c r="L2675" s="177">
        <f>CHOOSE(Basis!$E$1,((AJ2675*(J2675*3600/Basis!$E$5)^AK2675*(((MID(C2675,9,3)*10)-144)/1000)*AL2675+AM2675*(J2675*3600/Basis!$E$5)^2)*0.0098)/Basis!$E$10,((AJ2675*(J2675/Basis!$E$5)^AK2675*(((MID(C2675,9,3)*10)-144)/1000)*AL2675+AM2675*(J2675/Basis!$E$5)^2)*0.0098)/Basis!$E$10)</f>
        <v>0.28363430516801696</v>
      </c>
      <c r="M2675" s="85"/>
      <c r="N2675" s="109">
        <v>1.349</v>
      </c>
      <c r="O2675" s="68"/>
      <c r="P2675" s="67">
        <v>8259</v>
      </c>
      <c r="Q2675" s="68"/>
      <c r="R2675" s="69"/>
      <c r="S2675" s="69"/>
      <c r="T2675" s="69"/>
      <c r="U2675" s="69"/>
      <c r="V2675" s="69"/>
      <c r="W2675" s="68"/>
      <c r="X2675" s="70"/>
      <c r="Y2675" s="70"/>
      <c r="Z2675" s="70"/>
      <c r="AA2675" s="70"/>
      <c r="AB2675" s="70"/>
      <c r="AC2675" s="68"/>
      <c r="AD2675" s="71"/>
      <c r="AE2675" s="71"/>
      <c r="AF2675" s="71"/>
      <c r="AG2675" s="71"/>
      <c r="AH2675" s="71"/>
      <c r="AI2675" s="68"/>
      <c r="AJ2675" s="214">
        <v>1.2760000000000001E-4</v>
      </c>
      <c r="AK2675" s="214">
        <v>1.7219</v>
      </c>
      <c r="AL2675" s="214">
        <v>2</v>
      </c>
      <c r="AM2675" s="214">
        <v>3.76611E-4</v>
      </c>
      <c r="AN2675" s="68"/>
      <c r="AO2675" s="67"/>
      <c r="AP2675" s="67"/>
      <c r="AQ2675" s="67"/>
      <c r="AR2675" s="67"/>
      <c r="AS2675" s="67"/>
      <c r="AT2675" s="68"/>
      <c r="AU2675" s="49"/>
      <c r="AV2675" s="50"/>
    </row>
    <row r="2676" spans="1:48" ht="12.75" customHeight="1" x14ac:dyDescent="0.25">
      <c r="A2676" s="72" t="s">
        <v>20</v>
      </c>
      <c r="B2676" s="43" t="s">
        <v>2240</v>
      </c>
      <c r="C2676" s="44" t="s">
        <v>2834</v>
      </c>
      <c r="D2676" s="45">
        <f>MROUND(MID($C2676,6,3)/Basis!$E$3,0.5)</f>
        <v>27.5</v>
      </c>
      <c r="E2676" s="45">
        <f>MROUND(MID($C2676,9,3)/Basis!$E$3,0.5)</f>
        <v>118</v>
      </c>
      <c r="F2676" s="124" t="s">
        <v>2948</v>
      </c>
      <c r="G2676" s="45">
        <f>ROUND((ROUNDDOWN($F2676/5,0)*5+1.8)/Basis!$E$3,1)</f>
        <v>8.6</v>
      </c>
      <c r="H2676" s="120">
        <f>ROUND($P2676*Basis!$E$2*((TaH-TrH)/LN(1/µ)/Basis!$E$7)^$N2676*$AA$4*Glycol,0)</f>
        <v>19816</v>
      </c>
      <c r="I2676" s="83">
        <f>ROUND(H2676/(MID($C2676,9,3)/Basis!$E$3/Basis!$E$9)*Basis!$E$11,0)</f>
        <v>2013</v>
      </c>
      <c r="J2676" s="123">
        <f>IF(Basis!$E$1=1,ROUND(H2676/((TaH-TrH)*1.163)/3600,3),ROUND(H2676/(500*(TaH-TrH)),2))</f>
        <v>1.98</v>
      </c>
      <c r="K2676" s="84"/>
      <c r="L2676" s="177">
        <f>CHOOSE(Basis!$E$1,((AJ2676*(J2676*3600/Basis!$E$5)^AK2676*(((MID(C2676,9,3)*10)-144)/1000)*AL2676+AM2676*(J2676*3600/Basis!$E$5)^2)*0.0098)/Basis!$E$10,((AJ2676*(J2676/Basis!$E$5)^AK2676*(((MID(C2676,9,3)*10)-144)/1000)*AL2676+AM2676*(J2676/Basis!$E$5)^2)*0.0098)/Basis!$E$10)</f>
        <v>0.51632106669784039</v>
      </c>
      <c r="M2676" s="85"/>
      <c r="N2676" s="110">
        <v>1.5009999999999999</v>
      </c>
      <c r="O2676" s="74"/>
      <c r="P2676" s="73">
        <v>9531</v>
      </c>
      <c r="Q2676" s="74"/>
      <c r="R2676" s="75"/>
      <c r="S2676" s="75"/>
      <c r="T2676" s="75"/>
      <c r="U2676" s="75"/>
      <c r="V2676" s="75"/>
      <c r="W2676" s="74"/>
      <c r="X2676" s="76"/>
      <c r="Y2676" s="76"/>
      <c r="Z2676" s="76"/>
      <c r="AA2676" s="76"/>
      <c r="AB2676" s="76"/>
      <c r="AC2676" s="74"/>
      <c r="AD2676" s="77"/>
      <c r="AE2676" s="77"/>
      <c r="AF2676" s="77"/>
      <c r="AG2676" s="77"/>
      <c r="AH2676" s="77"/>
      <c r="AI2676" s="68"/>
      <c r="AJ2676" s="213">
        <v>1.2760000000000001E-4</v>
      </c>
      <c r="AK2676" s="213">
        <v>1.7219</v>
      </c>
      <c r="AL2676" s="213">
        <v>4</v>
      </c>
      <c r="AM2676" s="213">
        <v>5.1420100000000005E-4</v>
      </c>
      <c r="AN2676" s="74"/>
      <c r="AO2676" s="73"/>
      <c r="AP2676" s="73"/>
      <c r="AQ2676" s="73"/>
      <c r="AR2676" s="73"/>
      <c r="AS2676" s="73"/>
      <c r="AT2676" s="74"/>
      <c r="AU2676" s="47"/>
      <c r="AV2676" s="48"/>
    </row>
    <row r="2677" spans="1:48" ht="12.75" customHeight="1" x14ac:dyDescent="0.25">
      <c r="A2677" s="72" t="s">
        <v>20</v>
      </c>
      <c r="B2677" s="43" t="s">
        <v>2240</v>
      </c>
      <c r="C2677" s="44" t="s">
        <v>2835</v>
      </c>
      <c r="D2677" s="45">
        <f>MROUND(MID($C2677,6,3)/Basis!$E$3,0.5)</f>
        <v>35.5</v>
      </c>
      <c r="E2677" s="45">
        <f>MROUND(MID($C2677,9,3)/Basis!$E$3,0.5)</f>
        <v>15.5</v>
      </c>
      <c r="F2677" s="124" t="s">
        <v>2943</v>
      </c>
      <c r="G2677" s="45">
        <f>ROUND((ROUNDDOWN($F2677/5,0)*5+1.8)/Basis!$E$3,1)</f>
        <v>4.5999999999999996</v>
      </c>
      <c r="H2677" s="120">
        <f>ROUND($P2677*Basis!$E$2*((TaH-TrH)/LN(1/µ)/Basis!$E$7)^$N2677*$AA$4*Glycol,0)</f>
        <v>1198</v>
      </c>
      <c r="I2677" s="83">
        <f>ROUND(H2677/(MID($C2677,9,3)/Basis!$E$3/Basis!$E$9)*Basis!$E$11,0)</f>
        <v>913</v>
      </c>
      <c r="J2677" s="123">
        <f>IF(Basis!$E$1=1,ROUND(H2677/((TaH-TrH)*1.163)/3600,3),ROUND(H2677/(500*(TaH-TrH)),2))</f>
        <v>0.12</v>
      </c>
      <c r="K2677" s="84"/>
      <c r="L2677" s="177">
        <f>CHOOSE(Basis!$E$1,((AJ2677*(J2677*3600/Basis!$E$5)^AK2677*(((MID(C2677,9,3)*10)-144)/1000)*AL2677+AM2677*(J2677*3600/Basis!$E$5)^2)*0.0098)/Basis!$E$10,((AJ2677*(J2677/Basis!$E$5)^AK2677*(((MID(C2677,9,3)*10)-144)/1000)*AL2677+AM2677*(J2677/Basis!$E$5)^2)*0.0098)/Basis!$E$10)</f>
        <v>1.0975296709045716E-3</v>
      </c>
      <c r="M2677" s="85"/>
      <c r="N2677" s="110">
        <v>1.3480000000000001</v>
      </c>
      <c r="O2677" s="74"/>
      <c r="P2677" s="73">
        <v>548</v>
      </c>
      <c r="Q2677" s="74"/>
      <c r="R2677" s="75"/>
      <c r="S2677" s="75"/>
      <c r="T2677" s="75"/>
      <c r="U2677" s="75"/>
      <c r="V2677" s="75"/>
      <c r="W2677" s="74"/>
      <c r="X2677" s="76"/>
      <c r="Y2677" s="76"/>
      <c r="Z2677" s="76"/>
      <c r="AA2677" s="76"/>
      <c r="AB2677" s="76"/>
      <c r="AC2677" s="74"/>
      <c r="AD2677" s="77"/>
      <c r="AE2677" s="77"/>
      <c r="AF2677" s="77"/>
      <c r="AG2677" s="77"/>
      <c r="AH2677" s="77"/>
      <c r="AI2677" s="68"/>
      <c r="AJ2677" s="213">
        <v>3.9689999999999994E-4</v>
      </c>
      <c r="AK2677" s="213">
        <v>1.7345999999999999</v>
      </c>
      <c r="AL2677" s="213">
        <v>2</v>
      </c>
      <c r="AM2677" s="213">
        <v>3.6734700000000002E-4</v>
      </c>
      <c r="AN2677" s="74"/>
      <c r="AO2677" s="73"/>
      <c r="AP2677" s="73"/>
      <c r="AQ2677" s="73"/>
      <c r="AR2677" s="73"/>
      <c r="AS2677" s="73"/>
      <c r="AT2677" s="74"/>
      <c r="AU2677" s="47"/>
      <c r="AV2677" s="48"/>
    </row>
    <row r="2678" spans="1:48" ht="12.75" customHeight="1" x14ac:dyDescent="0.25">
      <c r="A2678" s="72" t="s">
        <v>20</v>
      </c>
      <c r="B2678" s="43" t="s">
        <v>2240</v>
      </c>
      <c r="C2678" s="44" t="s">
        <v>2836</v>
      </c>
      <c r="D2678" s="45">
        <f>MROUND(MID($C2678,6,3)/Basis!$E$3,0.5)</f>
        <v>35.5</v>
      </c>
      <c r="E2678" s="45">
        <f>MROUND(MID($C2678,9,3)/Basis!$E$3,0.5)</f>
        <v>15.5</v>
      </c>
      <c r="F2678" s="124" t="s">
        <v>2946</v>
      </c>
      <c r="G2678" s="45">
        <f>ROUND((ROUNDDOWN($F2678/5,0)*5+1.8)/Basis!$E$3,1)</f>
        <v>4.5999999999999996</v>
      </c>
      <c r="H2678" s="120">
        <f>ROUND($P2678*Basis!$E$2*((TaH-TrH)/LN(1/µ)/Basis!$E$7)^$N2678*$AA$4*Glycol,0)</f>
        <v>1494</v>
      </c>
      <c r="I2678" s="83">
        <f>ROUND(H2678/(MID($C2678,9,3)/Basis!$E$3/Basis!$E$9)*Basis!$E$11,0)</f>
        <v>1138</v>
      </c>
      <c r="J2678" s="123">
        <f>IF(Basis!$E$1=1,ROUND(H2678/((TaH-TrH)*1.163)/3600,3),ROUND(H2678/(500*(TaH-TrH)),2))</f>
        <v>0.15</v>
      </c>
      <c r="K2678" s="84"/>
      <c r="L2678" s="177">
        <f>CHOOSE(Basis!$E$1,((AJ2678*(J2678*3600/Basis!$E$5)^AK2678*(((MID(C2678,9,3)*10)-144)/1000)*AL2678+AM2678*(J2678*3600/Basis!$E$5)^2)*0.0098)/Basis!$E$10,((AJ2678*(J2678/Basis!$E$5)^AK2678*(((MID(C2678,9,3)*10)-144)/1000)*AL2678+AM2678*(J2678/Basis!$E$5)^2)*0.0098)/Basis!$E$10)</f>
        <v>2.7841357478531402E-3</v>
      </c>
      <c r="M2678" s="85"/>
      <c r="N2678" s="109">
        <v>1.4339999999999999</v>
      </c>
      <c r="O2678" s="68"/>
      <c r="P2678" s="67">
        <v>703</v>
      </c>
      <c r="Q2678" s="68"/>
      <c r="R2678" s="69"/>
      <c r="S2678" s="69"/>
      <c r="T2678" s="69"/>
      <c r="U2678" s="69"/>
      <c r="V2678" s="69"/>
      <c r="W2678" s="68"/>
      <c r="X2678" s="70"/>
      <c r="Y2678" s="70"/>
      <c r="Z2678" s="70"/>
      <c r="AA2678" s="70"/>
      <c r="AB2678" s="70"/>
      <c r="AC2678" s="68"/>
      <c r="AD2678" s="71"/>
      <c r="AE2678" s="71"/>
      <c r="AF2678" s="71"/>
      <c r="AG2678" s="71"/>
      <c r="AH2678" s="71"/>
      <c r="AI2678" s="68"/>
      <c r="AJ2678" s="214">
        <v>3.9689999999999994E-4</v>
      </c>
      <c r="AK2678" s="214">
        <v>1.7345999999999999</v>
      </c>
      <c r="AL2678" s="214">
        <v>4</v>
      </c>
      <c r="AM2678" s="214">
        <v>5.7428799999999995E-4</v>
      </c>
      <c r="AN2678" s="68"/>
      <c r="AO2678" s="67"/>
      <c r="AP2678" s="67"/>
      <c r="AQ2678" s="67"/>
      <c r="AR2678" s="67"/>
      <c r="AS2678" s="67"/>
      <c r="AT2678" s="68"/>
      <c r="AU2678" s="49"/>
      <c r="AV2678" s="50"/>
    </row>
    <row r="2679" spans="1:48" ht="12.75" customHeight="1" x14ac:dyDescent="0.25">
      <c r="A2679" s="72" t="s">
        <v>20</v>
      </c>
      <c r="B2679" s="43" t="s">
        <v>2240</v>
      </c>
      <c r="C2679" s="44" t="s">
        <v>2837</v>
      </c>
      <c r="D2679" s="45">
        <f>MROUND(MID($C2679,6,3)/Basis!$E$3,0.5)</f>
        <v>35.5</v>
      </c>
      <c r="E2679" s="45">
        <f>MROUND(MID($C2679,9,3)/Basis!$E$3,0.5)</f>
        <v>15.5</v>
      </c>
      <c r="F2679" s="124" t="s">
        <v>2944</v>
      </c>
      <c r="G2679" s="45">
        <f>ROUND((ROUNDDOWN($F2679/5,0)*5+1.8)/Basis!$E$3,1)</f>
        <v>6.6</v>
      </c>
      <c r="H2679" s="120">
        <f>ROUND($P2679*Basis!$E$2*((TaH-TrH)/LN(1/µ)/Basis!$E$7)^$N2679*$AA$4*Glycol,0)</f>
        <v>1868</v>
      </c>
      <c r="I2679" s="83">
        <f>ROUND(H2679/(MID($C2679,9,3)/Basis!$E$3/Basis!$E$9)*Basis!$E$11,0)</f>
        <v>1423</v>
      </c>
      <c r="J2679" s="123">
        <f>IF(Basis!$E$1=1,ROUND(H2679/((TaH-TrH)*1.163)/3600,3),ROUND(H2679/(500*(TaH-TrH)),2))</f>
        <v>0.19</v>
      </c>
      <c r="K2679" s="84"/>
      <c r="L2679" s="177">
        <f>CHOOSE(Basis!$E$1,((AJ2679*(J2679*3600/Basis!$E$5)^AK2679*(((MID(C2679,9,3)*10)-144)/1000)*AL2679+AM2679*(J2679*3600/Basis!$E$5)^2)*0.0098)/Basis!$E$10,((AJ2679*(J2679/Basis!$E$5)^AK2679*(((MID(C2679,9,3)*10)-144)/1000)*AL2679+AM2679*(J2679/Basis!$E$5)^2)*0.0098)/Basis!$E$10)</f>
        <v>3.0418149013595281E-3</v>
      </c>
      <c r="M2679" s="85"/>
      <c r="N2679" s="110">
        <v>1.3260000000000001</v>
      </c>
      <c r="O2679" s="74"/>
      <c r="P2679" s="73">
        <v>848</v>
      </c>
      <c r="Q2679" s="74"/>
      <c r="R2679" s="75"/>
      <c r="S2679" s="75"/>
      <c r="T2679" s="75"/>
      <c r="U2679" s="75"/>
      <c r="V2679" s="75"/>
      <c r="W2679" s="74"/>
      <c r="X2679" s="76"/>
      <c r="Y2679" s="76"/>
      <c r="Z2679" s="76"/>
      <c r="AA2679" s="76"/>
      <c r="AB2679" s="76"/>
      <c r="AC2679" s="74"/>
      <c r="AD2679" s="77"/>
      <c r="AE2679" s="77"/>
      <c r="AF2679" s="77"/>
      <c r="AG2679" s="77"/>
      <c r="AH2679" s="77"/>
      <c r="AI2679" s="68"/>
      <c r="AJ2679" s="213">
        <v>2.0829999999999999E-4</v>
      </c>
      <c r="AK2679" s="213">
        <v>1.724</v>
      </c>
      <c r="AL2679" s="213">
        <v>2</v>
      </c>
      <c r="AM2679" s="213">
        <v>4.6182900000000003E-4</v>
      </c>
      <c r="AN2679" s="74"/>
      <c r="AO2679" s="73"/>
      <c r="AP2679" s="73"/>
      <c r="AQ2679" s="73"/>
      <c r="AR2679" s="73"/>
      <c r="AS2679" s="73"/>
      <c r="AT2679" s="74"/>
      <c r="AU2679" s="47"/>
      <c r="AV2679" s="48"/>
    </row>
    <row r="2680" spans="1:48" ht="12.75" customHeight="1" x14ac:dyDescent="0.25">
      <c r="A2680" s="72" t="s">
        <v>20</v>
      </c>
      <c r="B2680" s="43" t="s">
        <v>2240</v>
      </c>
      <c r="C2680" s="44" t="s">
        <v>2838</v>
      </c>
      <c r="D2680" s="45">
        <f>MROUND(MID($C2680,6,3)/Basis!$E$3,0.5)</f>
        <v>35.5</v>
      </c>
      <c r="E2680" s="45">
        <f>MROUND(MID($C2680,9,3)/Basis!$E$3,0.5)</f>
        <v>15.5</v>
      </c>
      <c r="F2680" s="124" t="s">
        <v>2947</v>
      </c>
      <c r="G2680" s="45">
        <f>ROUND((ROUNDDOWN($F2680/5,0)*5+1.8)/Basis!$E$3,1)</f>
        <v>6.6</v>
      </c>
      <c r="H2680" s="120">
        <f>ROUND($P2680*Basis!$E$2*((TaH-TrH)/LN(1/µ)/Basis!$E$7)^$N2680*$AA$4*Glycol,0)</f>
        <v>2173</v>
      </c>
      <c r="I2680" s="83">
        <f>ROUND(H2680/(MID($C2680,9,3)/Basis!$E$3/Basis!$E$9)*Basis!$E$11,0)</f>
        <v>1656</v>
      </c>
      <c r="J2680" s="123">
        <f>IF(Basis!$E$1=1,ROUND(H2680/((TaH-TrH)*1.163)/3600,3),ROUND(H2680/(500*(TaH-TrH)),2))</f>
        <v>0.22</v>
      </c>
      <c r="K2680" s="84"/>
      <c r="L2680" s="177">
        <f>CHOOSE(Basis!$E$1,((AJ2680*(J2680*3600/Basis!$E$5)^AK2680*(((MID(C2680,9,3)*10)-144)/1000)*AL2680+AM2680*(J2680*3600/Basis!$E$5)^2)*0.0098)/Basis!$E$10,((AJ2680*(J2680/Basis!$E$5)^AK2680*(((MID(C2680,9,3)*10)-144)/1000)*AL2680+AM2680*(J2680/Basis!$E$5)^2)*0.0098)/Basis!$E$10)</f>
        <v>1.1961885483310864E-2</v>
      </c>
      <c r="M2680" s="85"/>
      <c r="N2680" s="109">
        <v>1.48</v>
      </c>
      <c r="O2680" s="68"/>
      <c r="P2680" s="67">
        <v>1038</v>
      </c>
      <c r="Q2680" s="68"/>
      <c r="R2680" s="69"/>
      <c r="S2680" s="69"/>
      <c r="T2680" s="69"/>
      <c r="U2680" s="69"/>
      <c r="V2680" s="69"/>
      <c r="W2680" s="68"/>
      <c r="X2680" s="70"/>
      <c r="Y2680" s="70"/>
      <c r="Z2680" s="70"/>
      <c r="AA2680" s="70"/>
      <c r="AB2680" s="70"/>
      <c r="AC2680" s="68"/>
      <c r="AD2680" s="71"/>
      <c r="AE2680" s="71"/>
      <c r="AF2680" s="71"/>
      <c r="AG2680" s="71"/>
      <c r="AH2680" s="71"/>
      <c r="AI2680" s="68"/>
      <c r="AJ2680" s="214">
        <v>2.0829999999999999E-4</v>
      </c>
      <c r="AK2680" s="214">
        <v>1.724</v>
      </c>
      <c r="AL2680" s="214">
        <v>4</v>
      </c>
      <c r="AM2680" s="214">
        <v>1.392796E-3</v>
      </c>
      <c r="AN2680" s="68"/>
      <c r="AO2680" s="67"/>
      <c r="AP2680" s="67"/>
      <c r="AQ2680" s="67"/>
      <c r="AR2680" s="67"/>
      <c r="AS2680" s="67"/>
      <c r="AT2680" s="68"/>
      <c r="AU2680" s="49"/>
      <c r="AV2680" s="50"/>
    </row>
    <row r="2681" spans="1:48" ht="12.75" customHeight="1" x14ac:dyDescent="0.25">
      <c r="A2681" s="72" t="s">
        <v>20</v>
      </c>
      <c r="B2681" s="43" t="s">
        <v>2240</v>
      </c>
      <c r="C2681" s="44" t="s">
        <v>2839</v>
      </c>
      <c r="D2681" s="45">
        <f>MROUND(MID($C2681,6,3)/Basis!$E$3,0.5)</f>
        <v>35.5</v>
      </c>
      <c r="E2681" s="45">
        <f>MROUND(MID($C2681,9,3)/Basis!$E$3,0.5)</f>
        <v>15.5</v>
      </c>
      <c r="F2681" s="124" t="s">
        <v>2945</v>
      </c>
      <c r="G2681" s="45">
        <f>ROUND((ROUNDDOWN($F2681/5,0)*5+1.8)/Basis!$E$3,1)</f>
        <v>8.6</v>
      </c>
      <c r="H2681" s="120">
        <f>ROUND($P2681*Basis!$E$2*((TaH-TrH)/LN(1/µ)/Basis!$E$7)^$N2681*$AA$4*Glycol,0)</f>
        <v>2606</v>
      </c>
      <c r="I2681" s="83">
        <f>ROUND(H2681/(MID($C2681,9,3)/Basis!$E$3/Basis!$E$9)*Basis!$E$11,0)</f>
        <v>1986</v>
      </c>
      <c r="J2681" s="123">
        <f>IF(Basis!$E$1=1,ROUND(H2681/((TaH-TrH)*1.163)/3600,3),ROUND(H2681/(500*(TaH-TrH)),2))</f>
        <v>0.26</v>
      </c>
      <c r="K2681" s="84"/>
      <c r="L2681" s="177">
        <f>CHOOSE(Basis!$E$1,((AJ2681*(J2681*3600/Basis!$E$5)^AK2681*(((MID(C2681,9,3)*10)-144)/1000)*AL2681+AM2681*(J2681*3600/Basis!$E$5)^2)*0.0098)/Basis!$E$10,((AJ2681*(J2681/Basis!$E$5)^AK2681*(((MID(C2681,9,3)*10)-144)/1000)*AL2681+AM2681*(J2681/Basis!$E$5)^2)*0.0098)/Basis!$E$10)</f>
        <v>4.5337769478999805E-3</v>
      </c>
      <c r="M2681" s="85"/>
      <c r="N2681" s="110">
        <v>1.3260000000000001</v>
      </c>
      <c r="O2681" s="74"/>
      <c r="P2681" s="73">
        <v>1183</v>
      </c>
      <c r="Q2681" s="74"/>
      <c r="R2681" s="75"/>
      <c r="S2681" s="75"/>
      <c r="T2681" s="75"/>
      <c r="U2681" s="75"/>
      <c r="V2681" s="75"/>
      <c r="W2681" s="74"/>
      <c r="X2681" s="76"/>
      <c r="Y2681" s="76"/>
      <c r="Z2681" s="76"/>
      <c r="AA2681" s="76"/>
      <c r="AB2681" s="76"/>
      <c r="AC2681" s="74"/>
      <c r="AD2681" s="77"/>
      <c r="AE2681" s="77"/>
      <c r="AF2681" s="77"/>
      <c r="AG2681" s="77"/>
      <c r="AH2681" s="77"/>
      <c r="AI2681" s="68"/>
      <c r="AJ2681" s="214">
        <v>1.2760000000000001E-4</v>
      </c>
      <c r="AK2681" s="214">
        <v>1.7219</v>
      </c>
      <c r="AL2681" s="214">
        <v>2</v>
      </c>
      <c r="AM2681" s="214">
        <v>3.76611E-4</v>
      </c>
      <c r="AN2681" s="74"/>
      <c r="AO2681" s="73"/>
      <c r="AP2681" s="73"/>
      <c r="AQ2681" s="73"/>
      <c r="AR2681" s="73"/>
      <c r="AS2681" s="73"/>
      <c r="AT2681" s="74"/>
      <c r="AU2681" s="47"/>
      <c r="AV2681" s="48"/>
    </row>
    <row r="2682" spans="1:48" ht="12.75" customHeight="1" x14ac:dyDescent="0.25">
      <c r="A2682" s="72" t="s">
        <v>20</v>
      </c>
      <c r="B2682" s="43" t="s">
        <v>2240</v>
      </c>
      <c r="C2682" s="44" t="s">
        <v>2840</v>
      </c>
      <c r="D2682" s="45">
        <f>MROUND(MID($C2682,6,3)/Basis!$E$3,0.5)</f>
        <v>35.5</v>
      </c>
      <c r="E2682" s="45">
        <f>MROUND(MID($C2682,9,3)/Basis!$E$3,0.5)</f>
        <v>15.5</v>
      </c>
      <c r="F2682" s="124" t="s">
        <v>2948</v>
      </c>
      <c r="G2682" s="45">
        <f>ROUND((ROUNDDOWN($F2682/5,0)*5+1.8)/Basis!$E$3,1)</f>
        <v>8.6</v>
      </c>
      <c r="H2682" s="120">
        <f>ROUND($P2682*Basis!$E$2*((TaH-TrH)/LN(1/µ)/Basis!$E$7)^$N2682*$AA$4*Glycol,0)</f>
        <v>3118</v>
      </c>
      <c r="I2682" s="83">
        <f>ROUND(H2682/(MID($C2682,9,3)/Basis!$E$3/Basis!$E$9)*Basis!$E$11,0)</f>
        <v>2376</v>
      </c>
      <c r="J2682" s="123">
        <f>IF(Basis!$E$1=1,ROUND(H2682/((TaH-TrH)*1.163)/3600,3),ROUND(H2682/(500*(TaH-TrH)),2))</f>
        <v>0.31</v>
      </c>
      <c r="K2682" s="84"/>
      <c r="L2682" s="177">
        <f>CHOOSE(Basis!$E$1,((AJ2682*(J2682*3600/Basis!$E$5)^AK2682*(((MID(C2682,9,3)*10)-144)/1000)*AL2682+AM2682*(J2682*3600/Basis!$E$5)^2)*0.0098)/Basis!$E$10,((AJ2682*(J2682/Basis!$E$5)^AK2682*(((MID(C2682,9,3)*10)-144)/1000)*AL2682+AM2682*(J2682/Basis!$E$5)^2)*0.0098)/Basis!$E$10)</f>
        <v>8.9835523856699375E-3</v>
      </c>
      <c r="M2682" s="85"/>
      <c r="N2682" s="109">
        <v>1.518</v>
      </c>
      <c r="O2682" s="68"/>
      <c r="P2682" s="67">
        <v>1508</v>
      </c>
      <c r="Q2682" s="68"/>
      <c r="R2682" s="69"/>
      <c r="S2682" s="69"/>
      <c r="T2682" s="69"/>
      <c r="U2682" s="69"/>
      <c r="V2682" s="69"/>
      <c r="W2682" s="68"/>
      <c r="X2682" s="70"/>
      <c r="Y2682" s="70"/>
      <c r="Z2682" s="70"/>
      <c r="AA2682" s="70"/>
      <c r="AB2682" s="70"/>
      <c r="AC2682" s="68"/>
      <c r="AD2682" s="71"/>
      <c r="AE2682" s="71"/>
      <c r="AF2682" s="71"/>
      <c r="AG2682" s="71"/>
      <c r="AH2682" s="71"/>
      <c r="AI2682" s="68"/>
      <c r="AJ2682" s="214">
        <v>1.2760000000000001E-4</v>
      </c>
      <c r="AK2682" s="214">
        <v>1.7219</v>
      </c>
      <c r="AL2682" s="214">
        <v>4</v>
      </c>
      <c r="AM2682" s="214">
        <v>5.1420100000000005E-4</v>
      </c>
      <c r="AN2682" s="68"/>
      <c r="AO2682" s="67"/>
      <c r="AP2682" s="67"/>
      <c r="AQ2682" s="67"/>
      <c r="AR2682" s="67"/>
      <c r="AS2682" s="67"/>
      <c r="AT2682" s="68"/>
      <c r="AU2682" s="49"/>
      <c r="AV2682" s="50"/>
    </row>
    <row r="2683" spans="1:48" ht="12.75" customHeight="1" x14ac:dyDescent="0.25">
      <c r="A2683" s="72" t="s">
        <v>20</v>
      </c>
      <c r="B2683" s="43" t="s">
        <v>2240</v>
      </c>
      <c r="C2683" s="44" t="s">
        <v>2841</v>
      </c>
      <c r="D2683" s="45">
        <f>MROUND(MID($C2683,6,3)/Basis!$E$3,0.5)</f>
        <v>35.5</v>
      </c>
      <c r="E2683" s="45">
        <f>MROUND(MID($C2683,9,3)/Basis!$E$3,0.5)</f>
        <v>19.5</v>
      </c>
      <c r="F2683" s="124" t="s">
        <v>2943</v>
      </c>
      <c r="G2683" s="45">
        <f>ROUND((ROUNDDOWN($F2683/5,0)*5+1.8)/Basis!$E$3,1)</f>
        <v>4.5999999999999996</v>
      </c>
      <c r="H2683" s="120">
        <f>ROUND($P2683*Basis!$E$2*((TaH-TrH)/LN(1/µ)/Basis!$E$7)^$N2683*$AA$4*Glycol,0)</f>
        <v>1498</v>
      </c>
      <c r="I2683" s="83">
        <f>ROUND(H2683/(MID($C2683,9,3)/Basis!$E$3/Basis!$E$9)*Basis!$E$11,0)</f>
        <v>913</v>
      </c>
      <c r="J2683" s="123">
        <f>IF(Basis!$E$1=1,ROUND(H2683/((TaH-TrH)*1.163)/3600,3),ROUND(H2683/(500*(TaH-TrH)),2))</f>
        <v>0.15</v>
      </c>
      <c r="K2683" s="84"/>
      <c r="L2683" s="177">
        <f>CHOOSE(Basis!$E$1,((AJ2683*(J2683*3600/Basis!$E$5)^AK2683*(((MID(C2683,9,3)*10)-144)/1000)*AL2683+AM2683*(J2683*3600/Basis!$E$5)^2)*0.0098)/Basis!$E$10,((AJ2683*(J2683/Basis!$E$5)^AK2683*(((MID(C2683,9,3)*10)-144)/1000)*AL2683+AM2683*(J2683/Basis!$E$5)^2)*0.0098)/Basis!$E$10)</f>
        <v>1.8145437966383313E-3</v>
      </c>
      <c r="M2683" s="85"/>
      <c r="N2683" s="110">
        <v>1.3480000000000001</v>
      </c>
      <c r="O2683" s="74"/>
      <c r="P2683" s="73">
        <v>685</v>
      </c>
      <c r="Q2683" s="74"/>
      <c r="R2683" s="75"/>
      <c r="S2683" s="75"/>
      <c r="T2683" s="75"/>
      <c r="U2683" s="75"/>
      <c r="V2683" s="75"/>
      <c r="W2683" s="74"/>
      <c r="X2683" s="76"/>
      <c r="Y2683" s="76"/>
      <c r="Z2683" s="76"/>
      <c r="AA2683" s="76"/>
      <c r="AB2683" s="76"/>
      <c r="AC2683" s="74"/>
      <c r="AD2683" s="77"/>
      <c r="AE2683" s="77"/>
      <c r="AF2683" s="77"/>
      <c r="AG2683" s="77"/>
      <c r="AH2683" s="77"/>
      <c r="AI2683" s="68"/>
      <c r="AJ2683" s="213">
        <v>3.9689999999999994E-4</v>
      </c>
      <c r="AK2683" s="213">
        <v>1.7345999999999999</v>
      </c>
      <c r="AL2683" s="213">
        <v>2</v>
      </c>
      <c r="AM2683" s="213">
        <v>3.6734700000000002E-4</v>
      </c>
      <c r="AN2683" s="74"/>
      <c r="AO2683" s="73"/>
      <c r="AP2683" s="73"/>
      <c r="AQ2683" s="73"/>
      <c r="AR2683" s="73"/>
      <c r="AS2683" s="73"/>
      <c r="AT2683" s="74"/>
      <c r="AU2683" s="47"/>
      <c r="AV2683" s="48"/>
    </row>
    <row r="2684" spans="1:48" ht="12.75" customHeight="1" x14ac:dyDescent="0.25">
      <c r="A2684" s="72" t="s">
        <v>20</v>
      </c>
      <c r="B2684" s="43" t="s">
        <v>2240</v>
      </c>
      <c r="C2684" s="44" t="s">
        <v>2842</v>
      </c>
      <c r="D2684" s="45">
        <f>MROUND(MID($C2684,6,3)/Basis!$E$3,0.5)</f>
        <v>35.5</v>
      </c>
      <c r="E2684" s="45">
        <f>MROUND(MID($C2684,9,3)/Basis!$E$3,0.5)</f>
        <v>19.5</v>
      </c>
      <c r="F2684" s="124" t="s">
        <v>2946</v>
      </c>
      <c r="G2684" s="45">
        <f>ROUND((ROUNDDOWN($F2684/5,0)*5+1.8)/Basis!$E$3,1)</f>
        <v>4.5999999999999996</v>
      </c>
      <c r="H2684" s="120">
        <f>ROUND($P2684*Basis!$E$2*((TaH-TrH)/LN(1/µ)/Basis!$E$7)^$N2684*$AA$4*Glycol,0)</f>
        <v>1868</v>
      </c>
      <c r="I2684" s="83">
        <f>ROUND(H2684/(MID($C2684,9,3)/Basis!$E$3/Basis!$E$9)*Basis!$E$11,0)</f>
        <v>1139</v>
      </c>
      <c r="J2684" s="123">
        <f>IF(Basis!$E$1=1,ROUND(H2684/((TaH-TrH)*1.163)/3600,3),ROUND(H2684/(500*(TaH-TrH)),2))</f>
        <v>0.19</v>
      </c>
      <c r="K2684" s="84"/>
      <c r="L2684" s="177">
        <f>CHOOSE(Basis!$E$1,((AJ2684*(J2684*3600/Basis!$E$5)^AK2684*(((MID(C2684,9,3)*10)-144)/1000)*AL2684+AM2684*(J2684*3600/Basis!$E$5)^2)*0.0098)/Basis!$E$10,((AJ2684*(J2684/Basis!$E$5)^AK2684*(((MID(C2684,9,3)*10)-144)/1000)*AL2684+AM2684*(J2684/Basis!$E$5)^2)*0.0098)/Basis!$E$10)</f>
        <v>4.7639186378598125E-3</v>
      </c>
      <c r="M2684" s="85"/>
      <c r="N2684" s="109">
        <v>1.4339999999999999</v>
      </c>
      <c r="O2684" s="68"/>
      <c r="P2684" s="67">
        <v>879</v>
      </c>
      <c r="Q2684" s="68"/>
      <c r="R2684" s="69"/>
      <c r="S2684" s="69"/>
      <c r="T2684" s="69"/>
      <c r="U2684" s="69"/>
      <c r="V2684" s="69"/>
      <c r="W2684" s="68"/>
      <c r="X2684" s="70"/>
      <c r="Y2684" s="70"/>
      <c r="Z2684" s="70"/>
      <c r="AA2684" s="70"/>
      <c r="AB2684" s="70"/>
      <c r="AC2684" s="68"/>
      <c r="AD2684" s="71"/>
      <c r="AE2684" s="71"/>
      <c r="AF2684" s="71"/>
      <c r="AG2684" s="71"/>
      <c r="AH2684" s="71"/>
      <c r="AI2684" s="68"/>
      <c r="AJ2684" s="214">
        <v>3.9689999999999994E-4</v>
      </c>
      <c r="AK2684" s="214">
        <v>1.7345999999999999</v>
      </c>
      <c r="AL2684" s="214">
        <v>4</v>
      </c>
      <c r="AM2684" s="214">
        <v>5.7428799999999995E-4</v>
      </c>
      <c r="AN2684" s="68"/>
      <c r="AO2684" s="67"/>
      <c r="AP2684" s="67"/>
      <c r="AQ2684" s="67"/>
      <c r="AR2684" s="67"/>
      <c r="AS2684" s="67"/>
      <c r="AT2684" s="68"/>
      <c r="AU2684" s="49"/>
      <c r="AV2684" s="50"/>
    </row>
    <row r="2685" spans="1:48" ht="12.75" customHeight="1" x14ac:dyDescent="0.25">
      <c r="A2685" s="72" t="s">
        <v>20</v>
      </c>
      <c r="B2685" s="43" t="s">
        <v>2240</v>
      </c>
      <c r="C2685" s="44" t="s">
        <v>2843</v>
      </c>
      <c r="D2685" s="45">
        <f>MROUND(MID($C2685,6,3)/Basis!$E$3,0.5)</f>
        <v>35.5</v>
      </c>
      <c r="E2685" s="45">
        <f>MROUND(MID($C2685,9,3)/Basis!$E$3,0.5)</f>
        <v>19.5</v>
      </c>
      <c r="F2685" s="124" t="s">
        <v>2944</v>
      </c>
      <c r="G2685" s="45">
        <f>ROUND((ROUNDDOWN($F2685/5,0)*5+1.8)/Basis!$E$3,1)</f>
        <v>6.6</v>
      </c>
      <c r="H2685" s="120">
        <f>ROUND($P2685*Basis!$E$2*((TaH-TrH)/LN(1/µ)/Basis!$E$7)^$N2685*$AA$4*Glycol,0)</f>
        <v>2335</v>
      </c>
      <c r="I2685" s="83">
        <f>ROUND(H2685/(MID($C2685,9,3)/Basis!$E$3/Basis!$E$9)*Basis!$E$11,0)</f>
        <v>1423</v>
      </c>
      <c r="J2685" s="123">
        <f>IF(Basis!$E$1=1,ROUND(H2685/((TaH-TrH)*1.163)/3600,3),ROUND(H2685/(500*(TaH-TrH)),2))</f>
        <v>0.23</v>
      </c>
      <c r="K2685" s="84"/>
      <c r="L2685" s="177">
        <f>CHOOSE(Basis!$E$1,((AJ2685*(J2685*3600/Basis!$E$5)^AK2685*(((MID(C2685,9,3)*10)-144)/1000)*AL2685+AM2685*(J2685*3600/Basis!$E$5)^2)*0.0098)/Basis!$E$10,((AJ2685*(J2685/Basis!$E$5)^AK2685*(((MID(C2685,9,3)*10)-144)/1000)*AL2685+AM2685*(J2685/Basis!$E$5)^2)*0.0098)/Basis!$E$10)</f>
        <v>4.5648566867699724E-3</v>
      </c>
      <c r="M2685" s="85"/>
      <c r="N2685" s="110">
        <v>1.3260000000000001</v>
      </c>
      <c r="O2685" s="74"/>
      <c r="P2685" s="73">
        <v>1060</v>
      </c>
      <c r="Q2685" s="74"/>
      <c r="R2685" s="75"/>
      <c r="S2685" s="75"/>
      <c r="T2685" s="75"/>
      <c r="U2685" s="75"/>
      <c r="V2685" s="75"/>
      <c r="W2685" s="74"/>
      <c r="X2685" s="76"/>
      <c r="Y2685" s="76"/>
      <c r="Z2685" s="76"/>
      <c r="AA2685" s="76"/>
      <c r="AB2685" s="76"/>
      <c r="AC2685" s="74"/>
      <c r="AD2685" s="77"/>
      <c r="AE2685" s="77"/>
      <c r="AF2685" s="77"/>
      <c r="AG2685" s="77"/>
      <c r="AH2685" s="77"/>
      <c r="AI2685" s="68"/>
      <c r="AJ2685" s="213">
        <v>2.0829999999999999E-4</v>
      </c>
      <c r="AK2685" s="213">
        <v>1.724</v>
      </c>
      <c r="AL2685" s="213">
        <v>2</v>
      </c>
      <c r="AM2685" s="213">
        <v>4.6182900000000003E-4</v>
      </c>
      <c r="AN2685" s="74"/>
      <c r="AO2685" s="73"/>
      <c r="AP2685" s="73"/>
      <c r="AQ2685" s="73"/>
      <c r="AR2685" s="73"/>
      <c r="AS2685" s="73"/>
      <c r="AT2685" s="74"/>
      <c r="AU2685" s="47"/>
      <c r="AV2685" s="48"/>
    </row>
    <row r="2686" spans="1:48" ht="12.75" customHeight="1" x14ac:dyDescent="0.25">
      <c r="A2686" s="72" t="s">
        <v>20</v>
      </c>
      <c r="B2686" s="43" t="s">
        <v>2240</v>
      </c>
      <c r="C2686" s="44" t="s">
        <v>2844</v>
      </c>
      <c r="D2686" s="45">
        <f>MROUND(MID($C2686,6,3)/Basis!$E$3,0.5)</f>
        <v>35.5</v>
      </c>
      <c r="E2686" s="45">
        <f>MROUND(MID($C2686,9,3)/Basis!$E$3,0.5)</f>
        <v>19.5</v>
      </c>
      <c r="F2686" s="124" t="s">
        <v>2947</v>
      </c>
      <c r="G2686" s="45">
        <f>ROUND((ROUNDDOWN($F2686/5,0)*5+1.8)/Basis!$E$3,1)</f>
        <v>6.6</v>
      </c>
      <c r="H2686" s="120">
        <f>ROUND($P2686*Basis!$E$2*((TaH-TrH)/LN(1/µ)/Basis!$E$7)^$N2686*$AA$4*Glycol,0)</f>
        <v>2717</v>
      </c>
      <c r="I2686" s="83">
        <f>ROUND(H2686/(MID($C2686,9,3)/Basis!$E$3/Basis!$E$9)*Basis!$E$11,0)</f>
        <v>1656</v>
      </c>
      <c r="J2686" s="123">
        <f>IF(Basis!$E$1=1,ROUND(H2686/((TaH-TrH)*1.163)/3600,3),ROUND(H2686/(500*(TaH-TrH)),2))</f>
        <v>0.27</v>
      </c>
      <c r="K2686" s="84"/>
      <c r="L2686" s="177">
        <f>CHOOSE(Basis!$E$1,((AJ2686*(J2686*3600/Basis!$E$5)^AK2686*(((MID(C2686,9,3)*10)-144)/1000)*AL2686+AM2686*(J2686*3600/Basis!$E$5)^2)*0.0098)/Basis!$E$10,((AJ2686*(J2686/Basis!$E$5)^AK2686*(((MID(C2686,9,3)*10)-144)/1000)*AL2686+AM2686*(J2686/Basis!$E$5)^2)*0.0098)/Basis!$E$10)</f>
        <v>1.8296954294083134E-2</v>
      </c>
      <c r="M2686" s="85"/>
      <c r="N2686" s="109">
        <v>1.48</v>
      </c>
      <c r="O2686" s="68"/>
      <c r="P2686" s="67">
        <v>1298</v>
      </c>
      <c r="Q2686" s="68"/>
      <c r="R2686" s="69"/>
      <c r="S2686" s="69"/>
      <c r="T2686" s="69"/>
      <c r="U2686" s="69"/>
      <c r="V2686" s="69"/>
      <c r="W2686" s="68"/>
      <c r="X2686" s="70"/>
      <c r="Y2686" s="70"/>
      <c r="Z2686" s="70"/>
      <c r="AA2686" s="70"/>
      <c r="AB2686" s="70"/>
      <c r="AC2686" s="68"/>
      <c r="AD2686" s="71"/>
      <c r="AE2686" s="71"/>
      <c r="AF2686" s="71"/>
      <c r="AG2686" s="71"/>
      <c r="AH2686" s="71"/>
      <c r="AI2686" s="68"/>
      <c r="AJ2686" s="214">
        <v>2.0829999999999999E-4</v>
      </c>
      <c r="AK2686" s="214">
        <v>1.724</v>
      </c>
      <c r="AL2686" s="214">
        <v>4</v>
      </c>
      <c r="AM2686" s="214">
        <v>1.392796E-3</v>
      </c>
      <c r="AN2686" s="68"/>
      <c r="AO2686" s="67"/>
      <c r="AP2686" s="67"/>
      <c r="AQ2686" s="67"/>
      <c r="AR2686" s="67"/>
      <c r="AS2686" s="67"/>
      <c r="AT2686" s="68"/>
      <c r="AU2686" s="49"/>
      <c r="AV2686" s="50"/>
    </row>
    <row r="2687" spans="1:48" ht="12.75" customHeight="1" x14ac:dyDescent="0.25">
      <c r="A2687" s="72" t="s">
        <v>20</v>
      </c>
      <c r="B2687" s="43" t="s">
        <v>2240</v>
      </c>
      <c r="C2687" s="44" t="s">
        <v>2845</v>
      </c>
      <c r="D2687" s="45">
        <f>MROUND(MID($C2687,6,3)/Basis!$E$3,0.5)</f>
        <v>35.5</v>
      </c>
      <c r="E2687" s="45">
        <f>MROUND(MID($C2687,9,3)/Basis!$E$3,0.5)</f>
        <v>19.5</v>
      </c>
      <c r="F2687" s="124" t="s">
        <v>2945</v>
      </c>
      <c r="G2687" s="45">
        <f>ROUND((ROUNDDOWN($F2687/5,0)*5+1.8)/Basis!$E$3,1)</f>
        <v>8.6</v>
      </c>
      <c r="H2687" s="120">
        <f>ROUND($P2687*Basis!$E$2*((TaH-TrH)/LN(1/µ)/Basis!$E$7)^$N2687*$AA$4*Glycol,0)</f>
        <v>3258</v>
      </c>
      <c r="I2687" s="83">
        <f>ROUND(H2687/(MID($C2687,9,3)/Basis!$E$3/Basis!$E$9)*Basis!$E$11,0)</f>
        <v>1986</v>
      </c>
      <c r="J2687" s="123">
        <f>IF(Basis!$E$1=1,ROUND(H2687/((TaH-TrH)*1.163)/3600,3),ROUND(H2687/(500*(TaH-TrH)),2))</f>
        <v>0.33</v>
      </c>
      <c r="K2687" s="84"/>
      <c r="L2687" s="177">
        <f>CHOOSE(Basis!$E$1,((AJ2687*(J2687*3600/Basis!$E$5)^AK2687*(((MID(C2687,9,3)*10)-144)/1000)*AL2687+AM2687*(J2687*3600/Basis!$E$5)^2)*0.0098)/Basis!$E$10,((AJ2687*(J2687/Basis!$E$5)^AK2687*(((MID(C2687,9,3)*10)-144)/1000)*AL2687+AM2687*(J2687/Basis!$E$5)^2)*0.0098)/Basis!$E$10)</f>
        <v>7.4200247142886663E-3</v>
      </c>
      <c r="M2687" s="85"/>
      <c r="N2687" s="110">
        <v>1.3260000000000001</v>
      </c>
      <c r="O2687" s="74"/>
      <c r="P2687" s="73">
        <v>1479</v>
      </c>
      <c r="Q2687" s="74"/>
      <c r="R2687" s="75"/>
      <c r="S2687" s="75"/>
      <c r="T2687" s="75"/>
      <c r="U2687" s="75"/>
      <c r="V2687" s="75"/>
      <c r="W2687" s="74"/>
      <c r="X2687" s="76"/>
      <c r="Y2687" s="76"/>
      <c r="Z2687" s="76"/>
      <c r="AA2687" s="76"/>
      <c r="AB2687" s="76"/>
      <c r="AC2687" s="74"/>
      <c r="AD2687" s="77"/>
      <c r="AE2687" s="77"/>
      <c r="AF2687" s="77"/>
      <c r="AG2687" s="77"/>
      <c r="AH2687" s="77"/>
      <c r="AI2687" s="68"/>
      <c r="AJ2687" s="214">
        <v>1.2760000000000001E-4</v>
      </c>
      <c r="AK2687" s="214">
        <v>1.7219</v>
      </c>
      <c r="AL2687" s="214">
        <v>2</v>
      </c>
      <c r="AM2687" s="214">
        <v>3.76611E-4</v>
      </c>
      <c r="AN2687" s="74"/>
      <c r="AO2687" s="73"/>
      <c r="AP2687" s="73"/>
      <c r="AQ2687" s="73"/>
      <c r="AR2687" s="73"/>
      <c r="AS2687" s="73"/>
      <c r="AT2687" s="74"/>
      <c r="AU2687" s="47"/>
      <c r="AV2687" s="48"/>
    </row>
    <row r="2688" spans="1:48" ht="12.75" customHeight="1" x14ac:dyDescent="0.25">
      <c r="A2688" s="72" t="s">
        <v>20</v>
      </c>
      <c r="B2688" s="43" t="s">
        <v>2240</v>
      </c>
      <c r="C2688" s="44" t="s">
        <v>2846</v>
      </c>
      <c r="D2688" s="45">
        <f>MROUND(MID($C2688,6,3)/Basis!$E$3,0.5)</f>
        <v>35.5</v>
      </c>
      <c r="E2688" s="45">
        <f>MROUND(MID($C2688,9,3)/Basis!$E$3,0.5)</f>
        <v>19.5</v>
      </c>
      <c r="F2688" s="124" t="s">
        <v>2948</v>
      </c>
      <c r="G2688" s="45">
        <f>ROUND((ROUNDDOWN($F2688/5,0)*5+1.8)/Basis!$E$3,1)</f>
        <v>8.6</v>
      </c>
      <c r="H2688" s="120">
        <f>ROUND($P2688*Basis!$E$2*((TaH-TrH)/LN(1/µ)/Basis!$E$7)^$N2688*$AA$4*Glycol,0)</f>
        <v>3897</v>
      </c>
      <c r="I2688" s="83">
        <f>ROUND(H2688/(MID($C2688,9,3)/Basis!$E$3/Basis!$E$9)*Basis!$E$11,0)</f>
        <v>2376</v>
      </c>
      <c r="J2688" s="123">
        <f>IF(Basis!$E$1=1,ROUND(H2688/((TaH-TrH)*1.163)/3600,3),ROUND(H2688/(500*(TaH-TrH)),2))</f>
        <v>0.39</v>
      </c>
      <c r="K2688" s="84"/>
      <c r="L2688" s="177">
        <f>CHOOSE(Basis!$E$1,((AJ2688*(J2688*3600/Basis!$E$5)^AK2688*(((MID(C2688,9,3)*10)-144)/1000)*AL2688+AM2688*(J2688*3600/Basis!$E$5)^2)*0.0098)/Basis!$E$10,((AJ2688*(J2688/Basis!$E$5)^AK2688*(((MID(C2688,9,3)*10)-144)/1000)*AL2688+AM2688*(J2688/Basis!$E$5)^2)*0.0098)/Basis!$E$10)</f>
        <v>1.4531292182419876E-2</v>
      </c>
      <c r="M2688" s="85"/>
      <c r="N2688" s="109">
        <v>1.518</v>
      </c>
      <c r="O2688" s="68"/>
      <c r="P2688" s="67">
        <v>1885</v>
      </c>
      <c r="Q2688" s="68"/>
      <c r="R2688" s="69"/>
      <c r="S2688" s="69"/>
      <c r="T2688" s="69"/>
      <c r="U2688" s="69"/>
      <c r="V2688" s="69"/>
      <c r="W2688" s="68"/>
      <c r="X2688" s="70"/>
      <c r="Y2688" s="70"/>
      <c r="Z2688" s="70"/>
      <c r="AA2688" s="70"/>
      <c r="AB2688" s="70"/>
      <c r="AC2688" s="68"/>
      <c r="AD2688" s="71"/>
      <c r="AE2688" s="71"/>
      <c r="AF2688" s="71"/>
      <c r="AG2688" s="71"/>
      <c r="AH2688" s="71"/>
      <c r="AI2688" s="68"/>
      <c r="AJ2688" s="214">
        <v>1.2760000000000001E-4</v>
      </c>
      <c r="AK2688" s="214">
        <v>1.7219</v>
      </c>
      <c r="AL2688" s="214">
        <v>4</v>
      </c>
      <c r="AM2688" s="214">
        <v>5.1420100000000005E-4</v>
      </c>
      <c r="AN2688" s="68"/>
      <c r="AO2688" s="67"/>
      <c r="AP2688" s="67"/>
      <c r="AQ2688" s="67"/>
      <c r="AR2688" s="67"/>
      <c r="AS2688" s="67"/>
      <c r="AT2688" s="68"/>
      <c r="AU2688" s="49"/>
      <c r="AV2688" s="50"/>
    </row>
    <row r="2689" spans="1:48" ht="12.75" customHeight="1" x14ac:dyDescent="0.25">
      <c r="A2689" s="72" t="s">
        <v>20</v>
      </c>
      <c r="B2689" s="43" t="s">
        <v>2240</v>
      </c>
      <c r="C2689" s="44" t="s">
        <v>2847</v>
      </c>
      <c r="D2689" s="45">
        <f>MROUND(MID($C2689,6,3)/Basis!$E$3,0.5)</f>
        <v>35.5</v>
      </c>
      <c r="E2689" s="45">
        <f>MROUND(MID($C2689,9,3)/Basis!$E$3,0.5)</f>
        <v>23.5</v>
      </c>
      <c r="F2689" s="124" t="s">
        <v>2943</v>
      </c>
      <c r="G2689" s="45">
        <f>ROUND((ROUNDDOWN($F2689/5,0)*5+1.8)/Basis!$E$3,1)</f>
        <v>4.5999999999999996</v>
      </c>
      <c r="H2689" s="120">
        <f>ROUND($P2689*Basis!$E$2*((TaH-TrH)/LN(1/µ)/Basis!$E$7)^$N2689*$AA$4*Glycol,0)</f>
        <v>1795</v>
      </c>
      <c r="I2689" s="83">
        <f>ROUND(H2689/(MID($C2689,9,3)/Basis!$E$3/Basis!$E$9)*Basis!$E$11,0)</f>
        <v>912</v>
      </c>
      <c r="J2689" s="123">
        <f>IF(Basis!$E$1=1,ROUND(H2689/((TaH-TrH)*1.163)/3600,3),ROUND(H2689/(500*(TaH-TrH)),2))</f>
        <v>0.18</v>
      </c>
      <c r="K2689" s="84"/>
      <c r="L2689" s="177">
        <f>CHOOSE(Basis!$E$1,((AJ2689*(J2689*3600/Basis!$E$5)^AK2689*(((MID(C2689,9,3)*10)-144)/1000)*AL2689+AM2689*(J2689*3600/Basis!$E$5)^2)*0.0098)/Basis!$E$10,((AJ2689*(J2689/Basis!$E$5)^AK2689*(((MID(C2689,9,3)*10)-144)/1000)*AL2689+AM2689*(J2689/Basis!$E$5)^2)*0.0098)/Basis!$E$10)</f>
        <v>2.7463752348444274E-3</v>
      </c>
      <c r="M2689" s="85"/>
      <c r="N2689" s="110">
        <v>1.3480000000000001</v>
      </c>
      <c r="O2689" s="74"/>
      <c r="P2689" s="73">
        <v>821</v>
      </c>
      <c r="Q2689" s="74"/>
      <c r="R2689" s="75"/>
      <c r="S2689" s="75"/>
      <c r="T2689" s="75"/>
      <c r="U2689" s="75"/>
      <c r="V2689" s="75"/>
      <c r="W2689" s="74"/>
      <c r="X2689" s="76"/>
      <c r="Y2689" s="76"/>
      <c r="Z2689" s="76"/>
      <c r="AA2689" s="76"/>
      <c r="AB2689" s="76"/>
      <c r="AC2689" s="74"/>
      <c r="AD2689" s="77"/>
      <c r="AE2689" s="77"/>
      <c r="AF2689" s="77"/>
      <c r="AG2689" s="77"/>
      <c r="AH2689" s="77"/>
      <c r="AI2689" s="68"/>
      <c r="AJ2689" s="213">
        <v>3.9689999999999994E-4</v>
      </c>
      <c r="AK2689" s="213">
        <v>1.7345999999999999</v>
      </c>
      <c r="AL2689" s="213">
        <v>2</v>
      </c>
      <c r="AM2689" s="213">
        <v>3.6734700000000002E-4</v>
      </c>
      <c r="AN2689" s="74"/>
      <c r="AO2689" s="73"/>
      <c r="AP2689" s="73"/>
      <c r="AQ2689" s="73"/>
      <c r="AR2689" s="73"/>
      <c r="AS2689" s="73"/>
      <c r="AT2689" s="74"/>
      <c r="AU2689" s="47"/>
      <c r="AV2689" s="48"/>
    </row>
    <row r="2690" spans="1:48" ht="12.75" customHeight="1" x14ac:dyDescent="0.25">
      <c r="A2690" s="72" t="s">
        <v>20</v>
      </c>
      <c r="B2690" s="43" t="s">
        <v>2240</v>
      </c>
      <c r="C2690" s="44" t="s">
        <v>2848</v>
      </c>
      <c r="D2690" s="45">
        <f>MROUND(MID($C2690,6,3)/Basis!$E$3,0.5)</f>
        <v>35.5</v>
      </c>
      <c r="E2690" s="45">
        <f>MROUND(MID($C2690,9,3)/Basis!$E$3,0.5)</f>
        <v>23.5</v>
      </c>
      <c r="F2690" s="124" t="s">
        <v>2946</v>
      </c>
      <c r="G2690" s="45">
        <f>ROUND((ROUNDDOWN($F2690/5,0)*5+1.8)/Basis!$E$3,1)</f>
        <v>4.5999999999999996</v>
      </c>
      <c r="H2690" s="120">
        <f>ROUND($P2690*Basis!$E$2*((TaH-TrH)/LN(1/µ)/Basis!$E$7)^$N2690*$AA$4*Glycol,0)</f>
        <v>2243</v>
      </c>
      <c r="I2690" s="83">
        <f>ROUND(H2690/(MID($C2690,9,3)/Basis!$E$3/Basis!$E$9)*Basis!$E$11,0)</f>
        <v>1139</v>
      </c>
      <c r="J2690" s="123">
        <f>IF(Basis!$E$1=1,ROUND(H2690/((TaH-TrH)*1.163)/3600,3),ROUND(H2690/(500*(TaH-TrH)),2))</f>
        <v>0.22</v>
      </c>
      <c r="K2690" s="84"/>
      <c r="L2690" s="177">
        <f>CHOOSE(Basis!$E$1,((AJ2690*(J2690*3600/Basis!$E$5)^AK2690*(((MID(C2690,9,3)*10)-144)/1000)*AL2690+AM2690*(J2690*3600/Basis!$E$5)^2)*0.0098)/Basis!$E$10,((AJ2690*(J2690/Basis!$E$5)^AK2690*(((MID(C2690,9,3)*10)-144)/1000)*AL2690+AM2690*(J2690/Basis!$E$5)^2)*0.0098)/Basis!$E$10)</f>
        <v>6.7812359960494097E-3</v>
      </c>
      <c r="M2690" s="85"/>
      <c r="N2690" s="109">
        <v>1.4339999999999999</v>
      </c>
      <c r="O2690" s="68"/>
      <c r="P2690" s="67">
        <v>1055</v>
      </c>
      <c r="Q2690" s="68"/>
      <c r="R2690" s="69"/>
      <c r="S2690" s="69"/>
      <c r="T2690" s="69"/>
      <c r="U2690" s="69"/>
      <c r="V2690" s="69"/>
      <c r="W2690" s="68"/>
      <c r="X2690" s="70"/>
      <c r="Y2690" s="70"/>
      <c r="Z2690" s="70"/>
      <c r="AA2690" s="70"/>
      <c r="AB2690" s="70"/>
      <c r="AC2690" s="68"/>
      <c r="AD2690" s="71"/>
      <c r="AE2690" s="71"/>
      <c r="AF2690" s="71"/>
      <c r="AG2690" s="71"/>
      <c r="AH2690" s="71"/>
      <c r="AI2690" s="68"/>
      <c r="AJ2690" s="214">
        <v>3.9689999999999994E-4</v>
      </c>
      <c r="AK2690" s="214">
        <v>1.7345999999999999</v>
      </c>
      <c r="AL2690" s="214">
        <v>4</v>
      </c>
      <c r="AM2690" s="214">
        <v>5.7428799999999995E-4</v>
      </c>
      <c r="AN2690" s="68"/>
      <c r="AO2690" s="67"/>
      <c r="AP2690" s="67"/>
      <c r="AQ2690" s="67"/>
      <c r="AR2690" s="67"/>
      <c r="AS2690" s="67"/>
      <c r="AT2690" s="68"/>
      <c r="AU2690" s="49"/>
      <c r="AV2690" s="50"/>
    </row>
    <row r="2691" spans="1:48" ht="12.75" customHeight="1" x14ac:dyDescent="0.25">
      <c r="A2691" s="72" t="s">
        <v>20</v>
      </c>
      <c r="B2691" s="43" t="s">
        <v>2240</v>
      </c>
      <c r="C2691" s="44" t="s">
        <v>2849</v>
      </c>
      <c r="D2691" s="45">
        <f>MROUND(MID($C2691,6,3)/Basis!$E$3,0.5)</f>
        <v>35.5</v>
      </c>
      <c r="E2691" s="45">
        <f>MROUND(MID($C2691,9,3)/Basis!$E$3,0.5)</f>
        <v>23.5</v>
      </c>
      <c r="F2691" s="124" t="s">
        <v>2944</v>
      </c>
      <c r="G2691" s="45">
        <f>ROUND((ROUNDDOWN($F2691/5,0)*5+1.8)/Basis!$E$3,1)</f>
        <v>6.6</v>
      </c>
      <c r="H2691" s="120">
        <f>ROUND($P2691*Basis!$E$2*((TaH-TrH)/LN(1/µ)/Basis!$E$7)^$N2691*$AA$4*Glycol,0)</f>
        <v>2802</v>
      </c>
      <c r="I2691" s="83">
        <f>ROUND(H2691/(MID($C2691,9,3)/Basis!$E$3/Basis!$E$9)*Basis!$E$11,0)</f>
        <v>1423</v>
      </c>
      <c r="J2691" s="123">
        <f>IF(Basis!$E$1=1,ROUND(H2691/((TaH-TrH)*1.163)/3600,3),ROUND(H2691/(500*(TaH-TrH)),2))</f>
        <v>0.28000000000000003</v>
      </c>
      <c r="K2691" s="84"/>
      <c r="L2691" s="177">
        <f>CHOOSE(Basis!$E$1,((AJ2691*(J2691*3600/Basis!$E$5)^AK2691*(((MID(C2691,9,3)*10)-144)/1000)*AL2691+AM2691*(J2691*3600/Basis!$E$5)^2)*0.0098)/Basis!$E$10,((AJ2691*(J2691/Basis!$E$5)^AK2691*(((MID(C2691,9,3)*10)-144)/1000)*AL2691+AM2691*(J2691/Basis!$E$5)^2)*0.0098)/Basis!$E$10)</f>
        <v>6.9056435337784029E-3</v>
      </c>
      <c r="M2691" s="85"/>
      <c r="N2691" s="109">
        <v>1.3260000000000001</v>
      </c>
      <c r="O2691" s="68"/>
      <c r="P2691" s="67">
        <v>1272</v>
      </c>
      <c r="Q2691" s="68"/>
      <c r="R2691" s="69"/>
      <c r="S2691" s="69"/>
      <c r="T2691" s="69"/>
      <c r="U2691" s="69"/>
      <c r="V2691" s="69"/>
      <c r="W2691" s="68"/>
      <c r="X2691" s="70"/>
      <c r="Y2691" s="70"/>
      <c r="Z2691" s="70"/>
      <c r="AA2691" s="70"/>
      <c r="AB2691" s="70"/>
      <c r="AC2691" s="68"/>
      <c r="AD2691" s="71"/>
      <c r="AE2691" s="71"/>
      <c r="AF2691" s="71"/>
      <c r="AG2691" s="71"/>
      <c r="AH2691" s="71"/>
      <c r="AI2691" s="68"/>
      <c r="AJ2691" s="214">
        <v>2.0829999999999999E-4</v>
      </c>
      <c r="AK2691" s="214">
        <v>1.724</v>
      </c>
      <c r="AL2691" s="214">
        <v>2</v>
      </c>
      <c r="AM2691" s="214">
        <v>4.6182900000000003E-4</v>
      </c>
      <c r="AN2691" s="68"/>
      <c r="AO2691" s="67"/>
      <c r="AP2691" s="67"/>
      <c r="AQ2691" s="67"/>
      <c r="AR2691" s="67"/>
      <c r="AS2691" s="67"/>
      <c r="AT2691" s="68"/>
      <c r="AU2691" s="49"/>
      <c r="AV2691" s="50"/>
    </row>
    <row r="2692" spans="1:48" ht="12.75" customHeight="1" x14ac:dyDescent="0.25">
      <c r="A2692" s="72" t="s">
        <v>20</v>
      </c>
      <c r="B2692" s="43" t="s">
        <v>2240</v>
      </c>
      <c r="C2692" s="44" t="s">
        <v>2850</v>
      </c>
      <c r="D2692" s="45">
        <f>MROUND(MID($C2692,6,3)/Basis!$E$3,0.5)</f>
        <v>35.5</v>
      </c>
      <c r="E2692" s="45">
        <f>MROUND(MID($C2692,9,3)/Basis!$E$3,0.5)</f>
        <v>23.5</v>
      </c>
      <c r="F2692" s="124" t="s">
        <v>2947</v>
      </c>
      <c r="G2692" s="45">
        <f>ROUND((ROUNDDOWN($F2692/5,0)*5+1.8)/Basis!$E$3,1)</f>
        <v>6.6</v>
      </c>
      <c r="H2692" s="120">
        <f>ROUND($P2692*Basis!$E$2*((TaH-TrH)/LN(1/µ)/Basis!$E$7)^$N2692*$AA$4*Glycol,0)</f>
        <v>3262</v>
      </c>
      <c r="I2692" s="83">
        <f>ROUND(H2692/(MID($C2692,9,3)/Basis!$E$3/Basis!$E$9)*Basis!$E$11,0)</f>
        <v>1657</v>
      </c>
      <c r="J2692" s="123">
        <f>IF(Basis!$E$1=1,ROUND(H2692/((TaH-TrH)*1.163)/3600,3),ROUND(H2692/(500*(TaH-TrH)),2))</f>
        <v>0.33</v>
      </c>
      <c r="K2692" s="84"/>
      <c r="L2692" s="177">
        <f>CHOOSE(Basis!$E$1,((AJ2692*(J2692*3600/Basis!$E$5)^AK2692*(((MID(C2692,9,3)*10)-144)/1000)*AL2692+AM2692*(J2692*3600/Basis!$E$5)^2)*0.0098)/Basis!$E$10,((AJ2692*(J2692/Basis!$E$5)^AK2692*(((MID(C2692,9,3)*10)-144)/1000)*AL2692+AM2692*(J2692/Basis!$E$5)^2)*0.0098)/Basis!$E$10)</f>
        <v>2.7703153890646277E-2</v>
      </c>
      <c r="M2692" s="85"/>
      <c r="N2692" s="110">
        <v>1.48</v>
      </c>
      <c r="O2692" s="74"/>
      <c r="P2692" s="73">
        <v>1558</v>
      </c>
      <c r="Q2692" s="74"/>
      <c r="R2692" s="75"/>
      <c r="S2692" s="75"/>
      <c r="T2692" s="75"/>
      <c r="U2692" s="75"/>
      <c r="V2692" s="75"/>
      <c r="W2692" s="74"/>
      <c r="X2692" s="76"/>
      <c r="Y2692" s="76"/>
      <c r="Z2692" s="76"/>
      <c r="AA2692" s="76"/>
      <c r="AB2692" s="76"/>
      <c r="AC2692" s="74"/>
      <c r="AD2692" s="77"/>
      <c r="AE2692" s="77"/>
      <c r="AF2692" s="77"/>
      <c r="AG2692" s="77"/>
      <c r="AH2692" s="77"/>
      <c r="AI2692" s="68"/>
      <c r="AJ2692" s="213">
        <v>2.0829999999999999E-4</v>
      </c>
      <c r="AK2692" s="213">
        <v>1.724</v>
      </c>
      <c r="AL2692" s="213">
        <v>4</v>
      </c>
      <c r="AM2692" s="213">
        <v>1.392796E-3</v>
      </c>
      <c r="AN2692" s="74"/>
      <c r="AO2692" s="73"/>
      <c r="AP2692" s="73"/>
      <c r="AQ2692" s="73"/>
      <c r="AR2692" s="73"/>
      <c r="AS2692" s="73"/>
      <c r="AT2692" s="74"/>
      <c r="AU2692" s="47"/>
      <c r="AV2692" s="48"/>
    </row>
    <row r="2693" spans="1:48" ht="12.75" customHeight="1" x14ac:dyDescent="0.25">
      <c r="A2693" s="72" t="s">
        <v>20</v>
      </c>
      <c r="B2693" s="43" t="s">
        <v>2240</v>
      </c>
      <c r="C2693" s="44" t="s">
        <v>2851</v>
      </c>
      <c r="D2693" s="45">
        <f>MROUND(MID($C2693,6,3)/Basis!$E$3,0.5)</f>
        <v>35.5</v>
      </c>
      <c r="E2693" s="45">
        <f>MROUND(MID($C2693,9,3)/Basis!$E$3,0.5)</f>
        <v>23.5</v>
      </c>
      <c r="F2693" s="124" t="s">
        <v>2945</v>
      </c>
      <c r="G2693" s="45">
        <f>ROUND((ROUNDDOWN($F2693/5,0)*5+1.8)/Basis!$E$3,1)</f>
        <v>8.6</v>
      </c>
      <c r="H2693" s="120">
        <f>ROUND($P2693*Basis!$E$2*((TaH-TrH)/LN(1/µ)/Basis!$E$7)^$N2693*$AA$4*Glycol,0)</f>
        <v>3908</v>
      </c>
      <c r="I2693" s="83">
        <f>ROUND(H2693/(MID($C2693,9,3)/Basis!$E$3/Basis!$E$9)*Basis!$E$11,0)</f>
        <v>1985</v>
      </c>
      <c r="J2693" s="123">
        <f>IF(Basis!$E$1=1,ROUND(H2693/((TaH-TrH)*1.163)/3600,3),ROUND(H2693/(500*(TaH-TrH)),2))</f>
        <v>0.39</v>
      </c>
      <c r="K2693" s="84"/>
      <c r="L2693" s="177">
        <f>CHOOSE(Basis!$E$1,((AJ2693*(J2693*3600/Basis!$E$5)^AK2693*(((MID(C2693,9,3)*10)-144)/1000)*AL2693+AM2693*(J2693*3600/Basis!$E$5)^2)*0.0098)/Basis!$E$10,((AJ2693*(J2693/Basis!$E$5)^AK2693*(((MID(C2693,9,3)*10)-144)/1000)*AL2693+AM2693*(J2693/Basis!$E$5)^2)*0.0098)/Basis!$E$10)</f>
        <v>1.0519801607939607E-2</v>
      </c>
      <c r="M2693" s="85"/>
      <c r="N2693" s="110">
        <v>1.3260000000000001</v>
      </c>
      <c r="O2693" s="74"/>
      <c r="P2693" s="73">
        <v>1774</v>
      </c>
      <c r="Q2693" s="74"/>
      <c r="R2693" s="75"/>
      <c r="S2693" s="75"/>
      <c r="T2693" s="75"/>
      <c r="U2693" s="75"/>
      <c r="V2693" s="75"/>
      <c r="W2693" s="74"/>
      <c r="X2693" s="76"/>
      <c r="Y2693" s="76"/>
      <c r="Z2693" s="76"/>
      <c r="AA2693" s="76"/>
      <c r="AB2693" s="76"/>
      <c r="AC2693" s="74"/>
      <c r="AD2693" s="77"/>
      <c r="AE2693" s="77"/>
      <c r="AF2693" s="77"/>
      <c r="AG2693" s="77"/>
      <c r="AH2693" s="77"/>
      <c r="AI2693" s="68"/>
      <c r="AJ2693" s="214">
        <v>1.2760000000000001E-4</v>
      </c>
      <c r="AK2693" s="214">
        <v>1.7219</v>
      </c>
      <c r="AL2693" s="214">
        <v>2</v>
      </c>
      <c r="AM2693" s="214">
        <v>3.76611E-4</v>
      </c>
      <c r="AN2693" s="74"/>
      <c r="AO2693" s="73"/>
      <c r="AP2693" s="73"/>
      <c r="AQ2693" s="73"/>
      <c r="AR2693" s="73"/>
      <c r="AS2693" s="73"/>
      <c r="AT2693" s="74"/>
      <c r="AU2693" s="47"/>
      <c r="AV2693" s="48"/>
    </row>
    <row r="2694" spans="1:48" ht="12.75" customHeight="1" x14ac:dyDescent="0.25">
      <c r="A2694" s="72" t="s">
        <v>20</v>
      </c>
      <c r="B2694" s="43" t="s">
        <v>2240</v>
      </c>
      <c r="C2694" s="44" t="s">
        <v>2852</v>
      </c>
      <c r="D2694" s="45">
        <f>MROUND(MID($C2694,6,3)/Basis!$E$3,0.5)</f>
        <v>35.5</v>
      </c>
      <c r="E2694" s="45">
        <f>MROUND(MID($C2694,9,3)/Basis!$E$3,0.5)</f>
        <v>23.5</v>
      </c>
      <c r="F2694" s="124" t="s">
        <v>2948</v>
      </c>
      <c r="G2694" s="45">
        <f>ROUND((ROUNDDOWN($F2694/5,0)*5+1.8)/Basis!$E$3,1)</f>
        <v>8.6</v>
      </c>
      <c r="H2694" s="120">
        <f>ROUND($P2694*Basis!$E$2*((TaH-TrH)/LN(1/µ)/Basis!$E$7)^$N2694*$AA$4*Glycol,0)</f>
        <v>4677</v>
      </c>
      <c r="I2694" s="83">
        <f>ROUND(H2694/(MID($C2694,9,3)/Basis!$E$3/Basis!$E$9)*Basis!$E$11,0)</f>
        <v>2376</v>
      </c>
      <c r="J2694" s="123">
        <f>IF(Basis!$E$1=1,ROUND(H2694/((TaH-TrH)*1.163)/3600,3),ROUND(H2694/(500*(TaH-TrH)),2))</f>
        <v>0.47</v>
      </c>
      <c r="K2694" s="84"/>
      <c r="L2694" s="177">
        <f>CHOOSE(Basis!$E$1,((AJ2694*(J2694*3600/Basis!$E$5)^AK2694*(((MID(C2694,9,3)*10)-144)/1000)*AL2694+AM2694*(J2694*3600/Basis!$E$5)^2)*0.0098)/Basis!$E$10,((AJ2694*(J2694/Basis!$E$5)^AK2694*(((MID(C2694,9,3)*10)-144)/1000)*AL2694+AM2694*(J2694/Basis!$E$5)^2)*0.0098)/Basis!$E$10)</f>
        <v>2.1524781815841925E-2</v>
      </c>
      <c r="M2694" s="85"/>
      <c r="N2694" s="109">
        <v>1.518</v>
      </c>
      <c r="O2694" s="68"/>
      <c r="P2694" s="67">
        <v>2262</v>
      </c>
      <c r="Q2694" s="68"/>
      <c r="R2694" s="69"/>
      <c r="S2694" s="69"/>
      <c r="T2694" s="69"/>
      <c r="U2694" s="69"/>
      <c r="V2694" s="69"/>
      <c r="W2694" s="68"/>
      <c r="X2694" s="70"/>
      <c r="Y2694" s="70"/>
      <c r="Z2694" s="70"/>
      <c r="AA2694" s="70"/>
      <c r="AB2694" s="70"/>
      <c r="AC2694" s="68"/>
      <c r="AD2694" s="71"/>
      <c r="AE2694" s="71"/>
      <c r="AF2694" s="71"/>
      <c r="AG2694" s="71"/>
      <c r="AH2694" s="71"/>
      <c r="AI2694" s="68"/>
      <c r="AJ2694" s="214">
        <v>1.2760000000000001E-4</v>
      </c>
      <c r="AK2694" s="214">
        <v>1.7219</v>
      </c>
      <c r="AL2694" s="214">
        <v>4</v>
      </c>
      <c r="AM2694" s="214">
        <v>5.1420100000000005E-4</v>
      </c>
      <c r="AN2694" s="68"/>
      <c r="AO2694" s="67"/>
      <c r="AP2694" s="67"/>
      <c r="AQ2694" s="67"/>
      <c r="AR2694" s="67"/>
      <c r="AS2694" s="67"/>
      <c r="AT2694" s="68"/>
      <c r="AU2694" s="49"/>
      <c r="AV2694" s="50"/>
    </row>
    <row r="2695" spans="1:48" ht="12.75" customHeight="1" x14ac:dyDescent="0.25">
      <c r="A2695" s="72" t="s">
        <v>20</v>
      </c>
      <c r="B2695" s="43" t="s">
        <v>2240</v>
      </c>
      <c r="C2695" s="44" t="s">
        <v>2853</v>
      </c>
      <c r="D2695" s="45">
        <f>MROUND(MID($C2695,6,3)/Basis!$E$3,0.5)</f>
        <v>35.5</v>
      </c>
      <c r="E2695" s="45">
        <f>MROUND(MID($C2695,9,3)/Basis!$E$3,0.5)</f>
        <v>27.5</v>
      </c>
      <c r="F2695" s="124" t="s">
        <v>2943</v>
      </c>
      <c r="G2695" s="45">
        <f>ROUND((ROUNDDOWN($F2695/5,0)*5+1.8)/Basis!$E$3,1)</f>
        <v>4.5999999999999996</v>
      </c>
      <c r="H2695" s="120">
        <f>ROUND($P2695*Basis!$E$2*((TaH-TrH)/LN(1/µ)/Basis!$E$7)^$N2695*$AA$4*Glycol,0)</f>
        <v>2095</v>
      </c>
      <c r="I2695" s="83">
        <f>ROUND(H2695/(MID($C2695,9,3)/Basis!$E$3/Basis!$E$9)*Basis!$E$11,0)</f>
        <v>912</v>
      </c>
      <c r="J2695" s="123">
        <f>IF(Basis!$E$1=1,ROUND(H2695/((TaH-TrH)*1.163)/3600,3),ROUND(H2695/(500*(TaH-TrH)),2))</f>
        <v>0.21</v>
      </c>
      <c r="K2695" s="84"/>
      <c r="L2695" s="177">
        <f>CHOOSE(Basis!$E$1,((AJ2695*(J2695*3600/Basis!$E$5)^AK2695*(((MID(C2695,9,3)*10)-144)/1000)*AL2695+AM2695*(J2695*3600/Basis!$E$5)^2)*0.0098)/Basis!$E$10,((AJ2695*(J2695/Basis!$E$5)^AK2695*(((MID(C2695,9,3)*10)-144)/1000)*AL2695+AM2695*(J2695/Basis!$E$5)^2)*0.0098)/Basis!$E$10)</f>
        <v>3.9095090178842707E-3</v>
      </c>
      <c r="M2695" s="85"/>
      <c r="N2695" s="109">
        <v>1.3480000000000001</v>
      </c>
      <c r="O2695" s="68"/>
      <c r="P2695" s="67">
        <v>958</v>
      </c>
      <c r="Q2695" s="68"/>
      <c r="R2695" s="69"/>
      <c r="S2695" s="69"/>
      <c r="T2695" s="69"/>
      <c r="U2695" s="69"/>
      <c r="V2695" s="69"/>
      <c r="W2695" s="68"/>
      <c r="X2695" s="70"/>
      <c r="Y2695" s="70"/>
      <c r="Z2695" s="70"/>
      <c r="AA2695" s="70"/>
      <c r="AB2695" s="70"/>
      <c r="AC2695" s="68"/>
      <c r="AD2695" s="71"/>
      <c r="AE2695" s="71"/>
      <c r="AF2695" s="71"/>
      <c r="AG2695" s="71"/>
      <c r="AH2695" s="71"/>
      <c r="AI2695" s="68"/>
      <c r="AJ2695" s="214">
        <v>3.9689999999999994E-4</v>
      </c>
      <c r="AK2695" s="214">
        <v>1.7345999999999999</v>
      </c>
      <c r="AL2695" s="214">
        <v>2</v>
      </c>
      <c r="AM2695" s="214">
        <v>3.6734700000000002E-4</v>
      </c>
      <c r="AN2695" s="68"/>
      <c r="AO2695" s="67"/>
      <c r="AP2695" s="67"/>
      <c r="AQ2695" s="67"/>
      <c r="AR2695" s="67"/>
      <c r="AS2695" s="67"/>
      <c r="AT2695" s="68"/>
      <c r="AU2695" s="49"/>
      <c r="AV2695" s="50"/>
    </row>
    <row r="2696" spans="1:48" ht="12.75" customHeight="1" x14ac:dyDescent="0.25">
      <c r="A2696" s="72" t="s">
        <v>20</v>
      </c>
      <c r="B2696" s="43" t="s">
        <v>2240</v>
      </c>
      <c r="C2696" s="44" t="s">
        <v>2854</v>
      </c>
      <c r="D2696" s="45">
        <f>MROUND(MID($C2696,6,3)/Basis!$E$3,0.5)</f>
        <v>35.5</v>
      </c>
      <c r="E2696" s="45">
        <f>MROUND(MID($C2696,9,3)/Basis!$E$3,0.5)</f>
        <v>27.5</v>
      </c>
      <c r="F2696" s="124" t="s">
        <v>2946</v>
      </c>
      <c r="G2696" s="45">
        <f>ROUND((ROUNDDOWN($F2696/5,0)*5+1.8)/Basis!$E$3,1)</f>
        <v>4.5999999999999996</v>
      </c>
      <c r="H2696" s="120">
        <f>ROUND($P2696*Basis!$E$2*((TaH-TrH)/LN(1/µ)/Basis!$E$7)^$N2696*$AA$4*Glycol,0)</f>
        <v>2617</v>
      </c>
      <c r="I2696" s="83">
        <f>ROUND(H2696/(MID($C2696,9,3)/Basis!$E$3/Basis!$E$9)*Basis!$E$11,0)</f>
        <v>1140</v>
      </c>
      <c r="J2696" s="123">
        <f>IF(Basis!$E$1=1,ROUND(H2696/((TaH-TrH)*1.163)/3600,3),ROUND(H2696/(500*(TaH-TrH)),2))</f>
        <v>0.26</v>
      </c>
      <c r="K2696" s="84"/>
      <c r="L2696" s="177">
        <f>CHOOSE(Basis!$E$1,((AJ2696*(J2696*3600/Basis!$E$5)^AK2696*(((MID(C2696,9,3)*10)-144)/1000)*AL2696+AM2696*(J2696*3600/Basis!$E$5)^2)*0.0098)/Basis!$E$10,((AJ2696*(J2696/Basis!$E$5)^AK2696*(((MID(C2696,9,3)*10)-144)/1000)*AL2696+AM2696*(J2696/Basis!$E$5)^2)*0.0098)/Basis!$E$10)</f>
        <v>9.9577968324637816E-3</v>
      </c>
      <c r="M2696" s="85"/>
      <c r="N2696" s="110">
        <v>1.4339999999999999</v>
      </c>
      <c r="O2696" s="74"/>
      <c r="P2696" s="73">
        <v>1231</v>
      </c>
      <c r="Q2696" s="74"/>
      <c r="R2696" s="75"/>
      <c r="S2696" s="75"/>
      <c r="T2696" s="75"/>
      <c r="U2696" s="75"/>
      <c r="V2696" s="75"/>
      <c r="W2696" s="74"/>
      <c r="X2696" s="76"/>
      <c r="Y2696" s="76"/>
      <c r="Z2696" s="76"/>
      <c r="AA2696" s="76"/>
      <c r="AB2696" s="76"/>
      <c r="AC2696" s="74"/>
      <c r="AD2696" s="77"/>
      <c r="AE2696" s="77"/>
      <c r="AF2696" s="77"/>
      <c r="AG2696" s="77"/>
      <c r="AH2696" s="77"/>
      <c r="AI2696" s="68"/>
      <c r="AJ2696" s="213">
        <v>3.9689999999999994E-4</v>
      </c>
      <c r="AK2696" s="213">
        <v>1.7345999999999999</v>
      </c>
      <c r="AL2696" s="213">
        <v>4</v>
      </c>
      <c r="AM2696" s="213">
        <v>5.7428799999999995E-4</v>
      </c>
      <c r="AN2696" s="74"/>
      <c r="AO2696" s="73"/>
      <c r="AP2696" s="73"/>
      <c r="AQ2696" s="73"/>
      <c r="AR2696" s="73"/>
      <c r="AS2696" s="73"/>
      <c r="AT2696" s="74"/>
      <c r="AU2696" s="47"/>
      <c r="AV2696" s="48"/>
    </row>
    <row r="2697" spans="1:48" ht="12.75" customHeight="1" x14ac:dyDescent="0.25">
      <c r="A2697" s="72" t="s">
        <v>20</v>
      </c>
      <c r="B2697" s="43" t="s">
        <v>2240</v>
      </c>
      <c r="C2697" s="44" t="s">
        <v>2855</v>
      </c>
      <c r="D2697" s="45">
        <f>MROUND(MID($C2697,6,3)/Basis!$E$3,0.5)</f>
        <v>35.5</v>
      </c>
      <c r="E2697" s="45">
        <f>MROUND(MID($C2697,9,3)/Basis!$E$3,0.5)</f>
        <v>27.5</v>
      </c>
      <c r="F2697" s="124" t="s">
        <v>2944</v>
      </c>
      <c r="G2697" s="45">
        <f>ROUND((ROUNDDOWN($F2697/5,0)*5+1.8)/Basis!$E$3,1)</f>
        <v>6.6</v>
      </c>
      <c r="H2697" s="120">
        <f>ROUND($P2697*Basis!$E$2*((TaH-TrH)/LN(1/µ)/Basis!$E$7)^$N2697*$AA$4*Glycol,0)</f>
        <v>3269</v>
      </c>
      <c r="I2697" s="83">
        <f>ROUND(H2697/(MID($C2697,9,3)/Basis!$E$3/Basis!$E$9)*Basis!$E$11,0)</f>
        <v>1423</v>
      </c>
      <c r="J2697" s="123">
        <f>IF(Basis!$E$1=1,ROUND(H2697/((TaH-TrH)*1.163)/3600,3),ROUND(H2697/(500*(TaH-TrH)),2))</f>
        <v>0.33</v>
      </c>
      <c r="K2697" s="84"/>
      <c r="L2697" s="177">
        <f>CHOOSE(Basis!$E$1,((AJ2697*(J2697*3600/Basis!$E$5)^AK2697*(((MID(C2697,9,3)*10)-144)/1000)*AL2697+AM2697*(J2697*3600/Basis!$E$5)^2)*0.0098)/Basis!$E$10,((AJ2697*(J2697/Basis!$E$5)^AK2697*(((MID(C2697,9,3)*10)-144)/1000)*AL2697+AM2697*(J2697/Basis!$E$5)^2)*0.0098)/Basis!$E$10)</f>
        <v>9.7754350889440005E-3</v>
      </c>
      <c r="M2697" s="85"/>
      <c r="N2697" s="110">
        <v>1.3260000000000001</v>
      </c>
      <c r="O2697" s="74"/>
      <c r="P2697" s="73">
        <v>1484</v>
      </c>
      <c r="Q2697" s="74"/>
      <c r="R2697" s="75"/>
      <c r="S2697" s="75"/>
      <c r="T2697" s="75"/>
      <c r="U2697" s="75"/>
      <c r="V2697" s="75"/>
      <c r="W2697" s="74"/>
      <c r="X2697" s="76"/>
      <c r="Y2697" s="76"/>
      <c r="Z2697" s="76"/>
      <c r="AA2697" s="76"/>
      <c r="AB2697" s="76"/>
      <c r="AC2697" s="74"/>
      <c r="AD2697" s="77"/>
      <c r="AE2697" s="77"/>
      <c r="AF2697" s="77"/>
      <c r="AG2697" s="77"/>
      <c r="AH2697" s="77"/>
      <c r="AI2697" s="68"/>
      <c r="AJ2697" s="213">
        <v>2.0829999999999999E-4</v>
      </c>
      <c r="AK2697" s="213">
        <v>1.724</v>
      </c>
      <c r="AL2697" s="213">
        <v>2</v>
      </c>
      <c r="AM2697" s="213">
        <v>4.6182900000000003E-4</v>
      </c>
      <c r="AN2697" s="74"/>
      <c r="AO2697" s="73"/>
      <c r="AP2697" s="73"/>
      <c r="AQ2697" s="73"/>
      <c r="AR2697" s="73"/>
      <c r="AS2697" s="73"/>
      <c r="AT2697" s="74"/>
      <c r="AU2697" s="47"/>
      <c r="AV2697" s="48"/>
    </row>
    <row r="2698" spans="1:48" ht="12.75" customHeight="1" x14ac:dyDescent="0.25">
      <c r="A2698" s="72" t="s">
        <v>20</v>
      </c>
      <c r="B2698" s="43" t="s">
        <v>2240</v>
      </c>
      <c r="C2698" s="44" t="s">
        <v>2856</v>
      </c>
      <c r="D2698" s="45">
        <f>MROUND(MID($C2698,6,3)/Basis!$E$3,0.5)</f>
        <v>35.5</v>
      </c>
      <c r="E2698" s="45">
        <f>MROUND(MID($C2698,9,3)/Basis!$E$3,0.5)</f>
        <v>27.5</v>
      </c>
      <c r="F2698" s="124" t="s">
        <v>2947</v>
      </c>
      <c r="G2698" s="45">
        <f>ROUND((ROUNDDOWN($F2698/5,0)*5+1.8)/Basis!$E$3,1)</f>
        <v>6.6</v>
      </c>
      <c r="H2698" s="120">
        <f>ROUND($P2698*Basis!$E$2*((TaH-TrH)/LN(1/µ)/Basis!$E$7)^$N2698*$AA$4*Glycol,0)</f>
        <v>3804</v>
      </c>
      <c r="I2698" s="83">
        <f>ROUND(H2698/(MID($C2698,9,3)/Basis!$E$3/Basis!$E$9)*Basis!$E$11,0)</f>
        <v>1656</v>
      </c>
      <c r="J2698" s="123">
        <f>IF(Basis!$E$1=1,ROUND(H2698/((TaH-TrH)*1.163)/3600,3),ROUND(H2698/(500*(TaH-TrH)),2))</f>
        <v>0.38</v>
      </c>
      <c r="K2698" s="84"/>
      <c r="L2698" s="177">
        <f>CHOOSE(Basis!$E$1,((AJ2698*(J2698*3600/Basis!$E$5)^AK2698*(((MID(C2698,9,3)*10)-144)/1000)*AL2698+AM2698*(J2698*3600/Basis!$E$5)^2)*0.0098)/Basis!$E$10,((AJ2698*(J2698/Basis!$E$5)^AK2698*(((MID(C2698,9,3)*10)-144)/1000)*AL2698+AM2698*(J2698/Basis!$E$5)^2)*0.0098)/Basis!$E$10)</f>
        <v>3.7219607178618844E-2</v>
      </c>
      <c r="M2698" s="85"/>
      <c r="N2698" s="109">
        <v>1.48</v>
      </c>
      <c r="O2698" s="68"/>
      <c r="P2698" s="67">
        <v>1817</v>
      </c>
      <c r="Q2698" s="68"/>
      <c r="R2698" s="69"/>
      <c r="S2698" s="69"/>
      <c r="T2698" s="69"/>
      <c r="U2698" s="69"/>
      <c r="V2698" s="69"/>
      <c r="W2698" s="68"/>
      <c r="X2698" s="70"/>
      <c r="Y2698" s="70"/>
      <c r="Z2698" s="70"/>
      <c r="AA2698" s="70"/>
      <c r="AB2698" s="70"/>
      <c r="AC2698" s="68"/>
      <c r="AD2698" s="71"/>
      <c r="AE2698" s="71"/>
      <c r="AF2698" s="71"/>
      <c r="AG2698" s="71"/>
      <c r="AH2698" s="71"/>
      <c r="AI2698" s="68"/>
      <c r="AJ2698" s="214">
        <v>2.0829999999999999E-4</v>
      </c>
      <c r="AK2698" s="214">
        <v>1.724</v>
      </c>
      <c r="AL2698" s="214">
        <v>4</v>
      </c>
      <c r="AM2698" s="214">
        <v>1.392796E-3</v>
      </c>
      <c r="AN2698" s="68"/>
      <c r="AO2698" s="67"/>
      <c r="AP2698" s="67"/>
      <c r="AQ2698" s="67"/>
      <c r="AR2698" s="67"/>
      <c r="AS2698" s="67"/>
      <c r="AT2698" s="68"/>
      <c r="AU2698" s="49"/>
      <c r="AV2698" s="50"/>
    </row>
    <row r="2699" spans="1:48" ht="12.75" customHeight="1" x14ac:dyDescent="0.25">
      <c r="A2699" s="72" t="s">
        <v>20</v>
      </c>
      <c r="B2699" s="43" t="s">
        <v>2240</v>
      </c>
      <c r="C2699" s="44" t="s">
        <v>2857</v>
      </c>
      <c r="D2699" s="45">
        <f>MROUND(MID($C2699,6,3)/Basis!$E$3,0.5)</f>
        <v>35.5</v>
      </c>
      <c r="E2699" s="45">
        <f>MROUND(MID($C2699,9,3)/Basis!$E$3,0.5)</f>
        <v>27.5</v>
      </c>
      <c r="F2699" s="124" t="s">
        <v>2945</v>
      </c>
      <c r="G2699" s="45">
        <f>ROUND((ROUNDDOWN($F2699/5,0)*5+1.8)/Basis!$E$3,1)</f>
        <v>8.6</v>
      </c>
      <c r="H2699" s="120">
        <f>ROUND($P2699*Basis!$E$2*((TaH-TrH)/LN(1/µ)/Basis!$E$7)^$N2699*$AA$4*Glycol,0)</f>
        <v>4560</v>
      </c>
      <c r="I2699" s="83">
        <f>ROUND(H2699/(MID($C2699,9,3)/Basis!$E$3/Basis!$E$9)*Basis!$E$11,0)</f>
        <v>1986</v>
      </c>
      <c r="J2699" s="123">
        <f>IF(Basis!$E$1=1,ROUND(H2699/((TaH-TrH)*1.163)/3600,3),ROUND(H2699/(500*(TaH-TrH)),2))</f>
        <v>0.46</v>
      </c>
      <c r="K2699" s="84"/>
      <c r="L2699" s="177">
        <f>CHOOSE(Basis!$E$1,((AJ2699*(J2699*3600/Basis!$E$5)^AK2699*(((MID(C2699,9,3)*10)-144)/1000)*AL2699+AM2699*(J2699*3600/Basis!$E$5)^2)*0.0098)/Basis!$E$10,((AJ2699*(J2699/Basis!$E$5)^AK2699*(((MID(C2699,9,3)*10)-144)/1000)*AL2699+AM2699*(J2699/Basis!$E$5)^2)*0.0098)/Basis!$E$10)</f>
        <v>1.4831490587558801E-2</v>
      </c>
      <c r="M2699" s="85"/>
      <c r="N2699" s="109">
        <v>1.3260000000000001</v>
      </c>
      <c r="O2699" s="68"/>
      <c r="P2699" s="67">
        <v>2070</v>
      </c>
      <c r="Q2699" s="68"/>
      <c r="R2699" s="69"/>
      <c r="S2699" s="69"/>
      <c r="T2699" s="69"/>
      <c r="U2699" s="69"/>
      <c r="V2699" s="69"/>
      <c r="W2699" s="68"/>
      <c r="X2699" s="70"/>
      <c r="Y2699" s="70"/>
      <c r="Z2699" s="70"/>
      <c r="AA2699" s="70"/>
      <c r="AB2699" s="70"/>
      <c r="AC2699" s="68"/>
      <c r="AD2699" s="71"/>
      <c r="AE2699" s="71"/>
      <c r="AF2699" s="71"/>
      <c r="AG2699" s="71"/>
      <c r="AH2699" s="71"/>
      <c r="AI2699" s="68"/>
      <c r="AJ2699" s="214">
        <v>1.2760000000000001E-4</v>
      </c>
      <c r="AK2699" s="214">
        <v>1.7219</v>
      </c>
      <c r="AL2699" s="214">
        <v>2</v>
      </c>
      <c r="AM2699" s="214">
        <v>3.76611E-4</v>
      </c>
      <c r="AN2699" s="68"/>
      <c r="AO2699" s="67"/>
      <c r="AP2699" s="67"/>
      <c r="AQ2699" s="67"/>
      <c r="AR2699" s="67"/>
      <c r="AS2699" s="67"/>
      <c r="AT2699" s="68"/>
      <c r="AU2699" s="49"/>
      <c r="AV2699" s="50"/>
    </row>
    <row r="2700" spans="1:48" ht="12.75" customHeight="1" x14ac:dyDescent="0.25">
      <c r="A2700" s="72" t="s">
        <v>20</v>
      </c>
      <c r="B2700" s="43" t="s">
        <v>2240</v>
      </c>
      <c r="C2700" s="44" t="s">
        <v>2858</v>
      </c>
      <c r="D2700" s="45">
        <f>MROUND(MID($C2700,6,3)/Basis!$E$3,0.5)</f>
        <v>35.5</v>
      </c>
      <c r="E2700" s="45">
        <f>MROUND(MID($C2700,9,3)/Basis!$E$3,0.5)</f>
        <v>27.5</v>
      </c>
      <c r="F2700" s="124" t="s">
        <v>2948</v>
      </c>
      <c r="G2700" s="45">
        <f>ROUND((ROUNDDOWN($F2700/5,0)*5+1.8)/Basis!$E$3,1)</f>
        <v>8.6</v>
      </c>
      <c r="H2700" s="120">
        <f>ROUND($P2700*Basis!$E$2*((TaH-TrH)/LN(1/µ)/Basis!$E$7)^$N2700*$AA$4*Glycol,0)</f>
        <v>5456</v>
      </c>
      <c r="I2700" s="83">
        <f>ROUND(H2700/(MID($C2700,9,3)/Basis!$E$3/Basis!$E$9)*Basis!$E$11,0)</f>
        <v>2376</v>
      </c>
      <c r="J2700" s="123">
        <f>IF(Basis!$E$1=1,ROUND(H2700/((TaH-TrH)*1.163)/3600,3),ROUND(H2700/(500*(TaH-TrH)),2))</f>
        <v>0.55000000000000004</v>
      </c>
      <c r="K2700" s="84"/>
      <c r="L2700" s="177">
        <f>CHOOSE(Basis!$E$1,((AJ2700*(J2700*3600/Basis!$E$5)^AK2700*(((MID(C2700,9,3)*10)-144)/1000)*AL2700+AM2700*(J2700*3600/Basis!$E$5)^2)*0.0098)/Basis!$E$10,((AJ2700*(J2700/Basis!$E$5)^AK2700*(((MID(C2700,9,3)*10)-144)/1000)*AL2700+AM2700*(J2700/Basis!$E$5)^2)*0.0098)/Basis!$E$10)</f>
        <v>3.0017559546009744E-2</v>
      </c>
      <c r="M2700" s="85"/>
      <c r="N2700" s="110">
        <v>1.518</v>
      </c>
      <c r="O2700" s="74"/>
      <c r="P2700" s="73">
        <v>2639</v>
      </c>
      <c r="Q2700" s="74"/>
      <c r="R2700" s="75"/>
      <c r="S2700" s="75"/>
      <c r="T2700" s="75"/>
      <c r="U2700" s="75"/>
      <c r="V2700" s="75"/>
      <c r="W2700" s="74"/>
      <c r="X2700" s="76"/>
      <c r="Y2700" s="76"/>
      <c r="Z2700" s="76"/>
      <c r="AA2700" s="76"/>
      <c r="AB2700" s="76"/>
      <c r="AC2700" s="74"/>
      <c r="AD2700" s="77"/>
      <c r="AE2700" s="77"/>
      <c r="AF2700" s="77"/>
      <c r="AG2700" s="77"/>
      <c r="AH2700" s="77"/>
      <c r="AI2700" s="68"/>
      <c r="AJ2700" s="213">
        <v>1.2760000000000001E-4</v>
      </c>
      <c r="AK2700" s="213">
        <v>1.7219</v>
      </c>
      <c r="AL2700" s="213">
        <v>4</v>
      </c>
      <c r="AM2700" s="213">
        <v>5.1420100000000005E-4</v>
      </c>
      <c r="AN2700" s="74"/>
      <c r="AO2700" s="73"/>
      <c r="AP2700" s="73"/>
      <c r="AQ2700" s="73"/>
      <c r="AR2700" s="73"/>
      <c r="AS2700" s="73"/>
      <c r="AT2700" s="74"/>
      <c r="AU2700" s="47"/>
      <c r="AV2700" s="48"/>
    </row>
    <row r="2701" spans="1:48" ht="12.75" customHeight="1" x14ac:dyDescent="0.25">
      <c r="A2701" s="72" t="s">
        <v>20</v>
      </c>
      <c r="B2701" s="43" t="s">
        <v>2240</v>
      </c>
      <c r="C2701" s="44" t="s">
        <v>2859</v>
      </c>
      <c r="D2701" s="45">
        <f>MROUND(MID($C2701,6,3)/Basis!$E$3,0.5)</f>
        <v>35.5</v>
      </c>
      <c r="E2701" s="45">
        <f>MROUND(MID($C2701,9,3)/Basis!$E$3,0.5)</f>
        <v>31.5</v>
      </c>
      <c r="F2701" s="124" t="s">
        <v>2943</v>
      </c>
      <c r="G2701" s="45">
        <f>ROUND((ROUNDDOWN($F2701/5,0)*5+1.8)/Basis!$E$3,1)</f>
        <v>4.5999999999999996</v>
      </c>
      <c r="H2701" s="120">
        <f>ROUND($P2701*Basis!$E$2*((TaH-TrH)/LN(1/µ)/Basis!$E$7)^$N2701*$AA$4*Glycol,0)</f>
        <v>2395</v>
      </c>
      <c r="I2701" s="83">
        <f>ROUND(H2701/(MID($C2701,9,3)/Basis!$E$3/Basis!$E$9)*Basis!$E$11,0)</f>
        <v>912</v>
      </c>
      <c r="J2701" s="123">
        <f>IF(Basis!$E$1=1,ROUND(H2701/((TaH-TrH)*1.163)/3600,3),ROUND(H2701/(500*(TaH-TrH)),2))</f>
        <v>0.24</v>
      </c>
      <c r="K2701" s="84"/>
      <c r="L2701" s="177">
        <f>CHOOSE(Basis!$E$1,((AJ2701*(J2701*3600/Basis!$E$5)^AK2701*(((MID(C2701,9,3)*10)-144)/1000)*AL2701+AM2701*(J2701*3600/Basis!$E$5)^2)*0.0098)/Basis!$E$10,((AJ2701*(J2701/Basis!$E$5)^AK2701*(((MID(C2701,9,3)*10)-144)/1000)*AL2701+AM2701*(J2701/Basis!$E$5)^2)*0.0098)/Basis!$E$10)</f>
        <v>5.3196471560655973E-3</v>
      </c>
      <c r="M2701" s="85"/>
      <c r="N2701" s="110">
        <v>1.3480000000000001</v>
      </c>
      <c r="O2701" s="74"/>
      <c r="P2701" s="73">
        <v>1095</v>
      </c>
      <c r="Q2701" s="74"/>
      <c r="R2701" s="75"/>
      <c r="S2701" s="75"/>
      <c r="T2701" s="75"/>
      <c r="U2701" s="75"/>
      <c r="V2701" s="75"/>
      <c r="W2701" s="74"/>
      <c r="X2701" s="76"/>
      <c r="Y2701" s="76"/>
      <c r="Z2701" s="76"/>
      <c r="AA2701" s="76"/>
      <c r="AB2701" s="76"/>
      <c r="AC2701" s="74"/>
      <c r="AD2701" s="77"/>
      <c r="AE2701" s="77"/>
      <c r="AF2701" s="77"/>
      <c r="AG2701" s="77"/>
      <c r="AH2701" s="77"/>
      <c r="AI2701" s="68"/>
      <c r="AJ2701" s="213">
        <v>3.9689999999999994E-4</v>
      </c>
      <c r="AK2701" s="213">
        <v>1.7345999999999999</v>
      </c>
      <c r="AL2701" s="213">
        <v>2</v>
      </c>
      <c r="AM2701" s="213">
        <v>3.6734700000000002E-4</v>
      </c>
      <c r="AN2701" s="74"/>
      <c r="AO2701" s="73"/>
      <c r="AP2701" s="73"/>
      <c r="AQ2701" s="73"/>
      <c r="AR2701" s="73"/>
      <c r="AS2701" s="73"/>
      <c r="AT2701" s="74"/>
      <c r="AU2701" s="47"/>
      <c r="AV2701" s="48"/>
    </row>
    <row r="2702" spans="1:48" ht="12.75" customHeight="1" x14ac:dyDescent="0.25">
      <c r="A2702" s="72" t="s">
        <v>20</v>
      </c>
      <c r="B2702" s="43" t="s">
        <v>2240</v>
      </c>
      <c r="C2702" s="44" t="s">
        <v>2860</v>
      </c>
      <c r="D2702" s="45">
        <f>MROUND(MID($C2702,6,3)/Basis!$E$3,0.5)</f>
        <v>35.5</v>
      </c>
      <c r="E2702" s="45">
        <f>MROUND(MID($C2702,9,3)/Basis!$E$3,0.5)</f>
        <v>31.5</v>
      </c>
      <c r="F2702" s="124" t="s">
        <v>2946</v>
      </c>
      <c r="G2702" s="45">
        <f>ROUND((ROUNDDOWN($F2702/5,0)*5+1.8)/Basis!$E$3,1)</f>
        <v>4.5999999999999996</v>
      </c>
      <c r="H2702" s="120">
        <f>ROUND($P2702*Basis!$E$2*((TaH-TrH)/LN(1/µ)/Basis!$E$7)^$N2702*$AA$4*Glycol,0)</f>
        <v>2989</v>
      </c>
      <c r="I2702" s="83">
        <f>ROUND(H2702/(MID($C2702,9,3)/Basis!$E$3/Basis!$E$9)*Basis!$E$11,0)</f>
        <v>1139</v>
      </c>
      <c r="J2702" s="123">
        <f>IF(Basis!$E$1=1,ROUND(H2702/((TaH-TrH)*1.163)/3600,3),ROUND(H2702/(500*(TaH-TrH)),2))</f>
        <v>0.3</v>
      </c>
      <c r="K2702" s="84"/>
      <c r="L2702" s="177">
        <f>CHOOSE(Basis!$E$1,((AJ2702*(J2702*3600/Basis!$E$5)^AK2702*(((MID(C2702,9,3)*10)-144)/1000)*AL2702+AM2702*(J2702*3600/Basis!$E$5)^2)*0.0098)/Basis!$E$10,((AJ2702*(J2702/Basis!$E$5)^AK2702*(((MID(C2702,9,3)*10)-144)/1000)*AL2702+AM2702*(J2702/Basis!$E$5)^2)*0.0098)/Basis!$E$10)</f>
        <v>1.3874286774563243E-2</v>
      </c>
      <c r="M2702" s="85"/>
      <c r="N2702" s="109">
        <v>1.4339999999999999</v>
      </c>
      <c r="O2702" s="68"/>
      <c r="P2702" s="67">
        <v>1406</v>
      </c>
      <c r="Q2702" s="68"/>
      <c r="R2702" s="69"/>
      <c r="S2702" s="69"/>
      <c r="T2702" s="69"/>
      <c r="U2702" s="69"/>
      <c r="V2702" s="69"/>
      <c r="W2702" s="68"/>
      <c r="X2702" s="70"/>
      <c r="Y2702" s="70"/>
      <c r="Z2702" s="70"/>
      <c r="AA2702" s="70"/>
      <c r="AB2702" s="70"/>
      <c r="AC2702" s="68"/>
      <c r="AD2702" s="71"/>
      <c r="AE2702" s="71"/>
      <c r="AF2702" s="71"/>
      <c r="AG2702" s="71"/>
      <c r="AH2702" s="71"/>
      <c r="AI2702" s="68"/>
      <c r="AJ2702" s="214">
        <v>3.9689999999999994E-4</v>
      </c>
      <c r="AK2702" s="214">
        <v>1.7345999999999999</v>
      </c>
      <c r="AL2702" s="214">
        <v>4</v>
      </c>
      <c r="AM2702" s="214">
        <v>5.7428799999999995E-4</v>
      </c>
      <c r="AN2702" s="68"/>
      <c r="AO2702" s="67"/>
      <c r="AP2702" s="67"/>
      <c r="AQ2702" s="67"/>
      <c r="AR2702" s="67"/>
      <c r="AS2702" s="67"/>
      <c r="AT2702" s="68"/>
      <c r="AU2702" s="49"/>
      <c r="AV2702" s="50"/>
    </row>
    <row r="2703" spans="1:48" ht="12.75" customHeight="1" x14ac:dyDescent="0.25">
      <c r="A2703" s="72" t="s">
        <v>20</v>
      </c>
      <c r="B2703" s="43" t="s">
        <v>2240</v>
      </c>
      <c r="C2703" s="44" t="s">
        <v>2861</v>
      </c>
      <c r="D2703" s="45">
        <f>MROUND(MID($C2703,6,3)/Basis!$E$3,0.5)</f>
        <v>35.5</v>
      </c>
      <c r="E2703" s="45">
        <f>MROUND(MID($C2703,9,3)/Basis!$E$3,0.5)</f>
        <v>31.5</v>
      </c>
      <c r="F2703" s="124" t="s">
        <v>2944</v>
      </c>
      <c r="G2703" s="45">
        <f>ROUND((ROUNDDOWN($F2703/5,0)*5+1.8)/Basis!$E$3,1)</f>
        <v>6.6</v>
      </c>
      <c r="H2703" s="120">
        <f>ROUND($P2703*Basis!$E$2*((TaH-TrH)/LN(1/µ)/Basis!$E$7)^$N2703*$AA$4*Glycol,0)</f>
        <v>3736</v>
      </c>
      <c r="I2703" s="83">
        <f>ROUND(H2703/(MID($C2703,9,3)/Basis!$E$3/Basis!$E$9)*Basis!$E$11,0)</f>
        <v>1423</v>
      </c>
      <c r="J2703" s="123">
        <f>IF(Basis!$E$1=1,ROUND(H2703/((TaH-TrH)*1.163)/3600,3),ROUND(H2703/(500*(TaH-TrH)),2))</f>
        <v>0.37</v>
      </c>
      <c r="K2703" s="84"/>
      <c r="L2703" s="177">
        <f>CHOOSE(Basis!$E$1,((AJ2703*(J2703*3600/Basis!$E$5)^AK2703*(((MID(C2703,9,3)*10)-144)/1000)*AL2703+AM2703*(J2703*3600/Basis!$E$5)^2)*0.0098)/Basis!$E$10,((AJ2703*(J2703/Basis!$E$5)^AK2703*(((MID(C2703,9,3)*10)-144)/1000)*AL2703+AM2703*(J2703/Basis!$E$5)^2)*0.0098)/Basis!$E$10)</f>
        <v>1.2521503545399319E-2</v>
      </c>
      <c r="M2703" s="85"/>
      <c r="N2703" s="109">
        <v>1.3260000000000001</v>
      </c>
      <c r="O2703" s="68"/>
      <c r="P2703" s="67">
        <v>1696</v>
      </c>
      <c r="Q2703" s="68"/>
      <c r="R2703" s="69"/>
      <c r="S2703" s="69"/>
      <c r="T2703" s="69"/>
      <c r="U2703" s="69"/>
      <c r="V2703" s="69"/>
      <c r="W2703" s="68"/>
      <c r="X2703" s="70"/>
      <c r="Y2703" s="70"/>
      <c r="Z2703" s="70"/>
      <c r="AA2703" s="70"/>
      <c r="AB2703" s="70"/>
      <c r="AC2703" s="68"/>
      <c r="AD2703" s="71"/>
      <c r="AE2703" s="71"/>
      <c r="AF2703" s="71"/>
      <c r="AG2703" s="71"/>
      <c r="AH2703" s="71"/>
      <c r="AI2703" s="68"/>
      <c r="AJ2703" s="214">
        <v>2.0829999999999999E-4</v>
      </c>
      <c r="AK2703" s="214">
        <v>1.724</v>
      </c>
      <c r="AL2703" s="214">
        <v>2</v>
      </c>
      <c r="AM2703" s="214">
        <v>4.6182900000000003E-4</v>
      </c>
      <c r="AN2703" s="68"/>
      <c r="AO2703" s="67"/>
      <c r="AP2703" s="67"/>
      <c r="AQ2703" s="67"/>
      <c r="AR2703" s="67"/>
      <c r="AS2703" s="67"/>
      <c r="AT2703" s="68"/>
      <c r="AU2703" s="49"/>
      <c r="AV2703" s="50"/>
    </row>
    <row r="2704" spans="1:48" ht="12.75" customHeight="1" x14ac:dyDescent="0.25">
      <c r="A2704" s="72" t="s">
        <v>20</v>
      </c>
      <c r="B2704" s="43" t="s">
        <v>2240</v>
      </c>
      <c r="C2704" s="44" t="s">
        <v>2862</v>
      </c>
      <c r="D2704" s="45">
        <f>MROUND(MID($C2704,6,3)/Basis!$E$3,0.5)</f>
        <v>35.5</v>
      </c>
      <c r="E2704" s="45">
        <f>MROUND(MID($C2704,9,3)/Basis!$E$3,0.5)</f>
        <v>31.5</v>
      </c>
      <c r="F2704" s="124" t="s">
        <v>2947</v>
      </c>
      <c r="G2704" s="45">
        <f>ROUND((ROUNDDOWN($F2704/5,0)*5+1.8)/Basis!$E$3,1)</f>
        <v>6.6</v>
      </c>
      <c r="H2704" s="120">
        <f>ROUND($P2704*Basis!$E$2*((TaH-TrH)/LN(1/µ)/Basis!$E$7)^$N2704*$AA$4*Glycol,0)</f>
        <v>4348</v>
      </c>
      <c r="I2704" s="83">
        <f>ROUND(H2704/(MID($C2704,9,3)/Basis!$E$3/Basis!$E$9)*Basis!$E$11,0)</f>
        <v>1657</v>
      </c>
      <c r="J2704" s="123">
        <f>IF(Basis!$E$1=1,ROUND(H2704/((TaH-TrH)*1.163)/3600,3),ROUND(H2704/(500*(TaH-TrH)),2))</f>
        <v>0.43</v>
      </c>
      <c r="K2704" s="84"/>
      <c r="L2704" s="177">
        <f>CHOOSE(Basis!$E$1,((AJ2704*(J2704*3600/Basis!$E$5)^AK2704*(((MID(C2704,9,3)*10)-144)/1000)*AL2704+AM2704*(J2704*3600/Basis!$E$5)^2)*0.0098)/Basis!$E$10,((AJ2704*(J2704/Basis!$E$5)^AK2704*(((MID(C2704,9,3)*10)-144)/1000)*AL2704+AM2704*(J2704/Basis!$E$5)^2)*0.0098)/Basis!$E$10)</f>
        <v>4.8250803789048842E-2</v>
      </c>
      <c r="M2704" s="85"/>
      <c r="N2704" s="110">
        <v>1.48</v>
      </c>
      <c r="O2704" s="74"/>
      <c r="P2704" s="73">
        <v>2077</v>
      </c>
      <c r="Q2704" s="74"/>
      <c r="R2704" s="75"/>
      <c r="S2704" s="75"/>
      <c r="T2704" s="75"/>
      <c r="U2704" s="75"/>
      <c r="V2704" s="75"/>
      <c r="W2704" s="74"/>
      <c r="X2704" s="76"/>
      <c r="Y2704" s="76"/>
      <c r="Z2704" s="76"/>
      <c r="AA2704" s="76"/>
      <c r="AB2704" s="76"/>
      <c r="AC2704" s="74"/>
      <c r="AD2704" s="77"/>
      <c r="AE2704" s="77"/>
      <c r="AF2704" s="77"/>
      <c r="AG2704" s="77"/>
      <c r="AH2704" s="77"/>
      <c r="AI2704" s="68"/>
      <c r="AJ2704" s="213">
        <v>2.0829999999999999E-4</v>
      </c>
      <c r="AK2704" s="213">
        <v>1.724</v>
      </c>
      <c r="AL2704" s="213">
        <v>4</v>
      </c>
      <c r="AM2704" s="213">
        <v>1.392796E-3</v>
      </c>
      <c r="AN2704" s="74"/>
      <c r="AO2704" s="73"/>
      <c r="AP2704" s="73"/>
      <c r="AQ2704" s="73"/>
      <c r="AR2704" s="73"/>
      <c r="AS2704" s="73"/>
      <c r="AT2704" s="74"/>
      <c r="AU2704" s="47"/>
      <c r="AV2704" s="48"/>
    </row>
    <row r="2705" spans="1:48" ht="12.75" customHeight="1" x14ac:dyDescent="0.25">
      <c r="A2705" s="72" t="s">
        <v>20</v>
      </c>
      <c r="B2705" s="43" t="s">
        <v>2240</v>
      </c>
      <c r="C2705" s="44" t="s">
        <v>2863</v>
      </c>
      <c r="D2705" s="45">
        <f>MROUND(MID($C2705,6,3)/Basis!$E$3,0.5)</f>
        <v>35.5</v>
      </c>
      <c r="E2705" s="45">
        <f>MROUND(MID($C2705,9,3)/Basis!$E$3,0.5)</f>
        <v>31.5</v>
      </c>
      <c r="F2705" s="124" t="s">
        <v>2945</v>
      </c>
      <c r="G2705" s="45">
        <f>ROUND((ROUNDDOWN($F2705/5,0)*5+1.8)/Basis!$E$3,1)</f>
        <v>8.6</v>
      </c>
      <c r="H2705" s="120">
        <f>ROUND($P2705*Basis!$E$2*((TaH-TrH)/LN(1/µ)/Basis!$E$7)^$N2705*$AA$4*Glycol,0)</f>
        <v>5212</v>
      </c>
      <c r="I2705" s="83">
        <f>ROUND(H2705/(MID($C2705,9,3)/Basis!$E$3/Basis!$E$9)*Basis!$E$11,0)</f>
        <v>1986</v>
      </c>
      <c r="J2705" s="123">
        <f>IF(Basis!$E$1=1,ROUND(H2705/((TaH-TrH)*1.163)/3600,3),ROUND(H2705/(500*(TaH-TrH)),2))</f>
        <v>0.52</v>
      </c>
      <c r="K2705" s="84"/>
      <c r="L2705" s="177">
        <f>CHOOSE(Basis!$E$1,((AJ2705*(J2705*3600/Basis!$E$5)^AK2705*(((MID(C2705,9,3)*10)-144)/1000)*AL2705+AM2705*(J2705*3600/Basis!$E$5)^2)*0.0098)/Basis!$E$10,((AJ2705*(J2705/Basis!$E$5)^AK2705*(((MID(C2705,9,3)*10)-144)/1000)*AL2705+AM2705*(J2705/Basis!$E$5)^2)*0.0098)/Basis!$E$10)</f>
        <v>1.9202130998549598E-2</v>
      </c>
      <c r="M2705" s="85"/>
      <c r="N2705" s="110">
        <v>1.3260000000000001</v>
      </c>
      <c r="O2705" s="74"/>
      <c r="P2705" s="73">
        <v>2366</v>
      </c>
      <c r="Q2705" s="74"/>
      <c r="R2705" s="75"/>
      <c r="S2705" s="75"/>
      <c r="T2705" s="75"/>
      <c r="U2705" s="75"/>
      <c r="V2705" s="75"/>
      <c r="W2705" s="74"/>
      <c r="X2705" s="76"/>
      <c r="Y2705" s="76"/>
      <c r="Z2705" s="76"/>
      <c r="AA2705" s="76"/>
      <c r="AB2705" s="76"/>
      <c r="AC2705" s="74"/>
      <c r="AD2705" s="77"/>
      <c r="AE2705" s="77"/>
      <c r="AF2705" s="77"/>
      <c r="AG2705" s="77"/>
      <c r="AH2705" s="77"/>
      <c r="AI2705" s="68"/>
      <c r="AJ2705" s="214">
        <v>1.2760000000000001E-4</v>
      </c>
      <c r="AK2705" s="214">
        <v>1.7219</v>
      </c>
      <c r="AL2705" s="214">
        <v>2</v>
      </c>
      <c r="AM2705" s="214">
        <v>3.76611E-4</v>
      </c>
      <c r="AN2705" s="74"/>
      <c r="AO2705" s="73"/>
      <c r="AP2705" s="73"/>
      <c r="AQ2705" s="73"/>
      <c r="AR2705" s="73"/>
      <c r="AS2705" s="73"/>
      <c r="AT2705" s="74"/>
      <c r="AU2705" s="47"/>
      <c r="AV2705" s="48"/>
    </row>
    <row r="2706" spans="1:48" ht="12.75" customHeight="1" x14ac:dyDescent="0.25">
      <c r="A2706" s="72" t="s">
        <v>20</v>
      </c>
      <c r="B2706" s="43" t="s">
        <v>2240</v>
      </c>
      <c r="C2706" s="44" t="s">
        <v>2864</v>
      </c>
      <c r="D2706" s="45">
        <f>MROUND(MID($C2706,6,3)/Basis!$E$3,0.5)</f>
        <v>35.5</v>
      </c>
      <c r="E2706" s="45">
        <f>MROUND(MID($C2706,9,3)/Basis!$E$3,0.5)</f>
        <v>31.5</v>
      </c>
      <c r="F2706" s="124" t="s">
        <v>2948</v>
      </c>
      <c r="G2706" s="45">
        <f>ROUND((ROUNDDOWN($F2706/5,0)*5+1.8)/Basis!$E$3,1)</f>
        <v>8.6</v>
      </c>
      <c r="H2706" s="120">
        <f>ROUND($P2706*Basis!$E$2*((TaH-TrH)/LN(1/µ)/Basis!$E$7)^$N2706*$AA$4*Glycol,0)</f>
        <v>6236</v>
      </c>
      <c r="I2706" s="83">
        <f>ROUND(H2706/(MID($C2706,9,3)/Basis!$E$3/Basis!$E$9)*Basis!$E$11,0)</f>
        <v>2376</v>
      </c>
      <c r="J2706" s="123">
        <f>IF(Basis!$E$1=1,ROUND(H2706/((TaH-TrH)*1.163)/3600,3),ROUND(H2706/(500*(TaH-TrH)),2))</f>
        <v>0.62</v>
      </c>
      <c r="K2706" s="84"/>
      <c r="L2706" s="177">
        <f>CHOOSE(Basis!$E$1,((AJ2706*(J2706*3600/Basis!$E$5)^AK2706*(((MID(C2706,9,3)*10)-144)/1000)*AL2706+AM2706*(J2706*3600/Basis!$E$5)^2)*0.0098)/Basis!$E$10,((AJ2706*(J2706/Basis!$E$5)^AK2706*(((MID(C2706,9,3)*10)-144)/1000)*AL2706+AM2706*(J2706/Basis!$E$5)^2)*0.0098)/Basis!$E$10)</f>
        <v>3.8823139108161951E-2</v>
      </c>
      <c r="M2706" s="85"/>
      <c r="N2706" s="109">
        <v>1.518</v>
      </c>
      <c r="O2706" s="68"/>
      <c r="P2706" s="67">
        <v>3016</v>
      </c>
      <c r="Q2706" s="68"/>
      <c r="R2706" s="69"/>
      <c r="S2706" s="69"/>
      <c r="T2706" s="69"/>
      <c r="U2706" s="69"/>
      <c r="V2706" s="69"/>
      <c r="W2706" s="68"/>
      <c r="X2706" s="70"/>
      <c r="Y2706" s="70"/>
      <c r="Z2706" s="70"/>
      <c r="AA2706" s="70"/>
      <c r="AB2706" s="70"/>
      <c r="AC2706" s="68"/>
      <c r="AD2706" s="71"/>
      <c r="AE2706" s="71"/>
      <c r="AF2706" s="71"/>
      <c r="AG2706" s="71"/>
      <c r="AH2706" s="71"/>
      <c r="AI2706" s="68"/>
      <c r="AJ2706" s="214">
        <v>1.2760000000000001E-4</v>
      </c>
      <c r="AK2706" s="214">
        <v>1.7219</v>
      </c>
      <c r="AL2706" s="214">
        <v>4</v>
      </c>
      <c r="AM2706" s="214">
        <v>5.1420100000000005E-4</v>
      </c>
      <c r="AN2706" s="68"/>
      <c r="AO2706" s="67"/>
      <c r="AP2706" s="67"/>
      <c r="AQ2706" s="67"/>
      <c r="AR2706" s="67"/>
      <c r="AS2706" s="67"/>
      <c r="AT2706" s="68"/>
      <c r="AU2706" s="49"/>
      <c r="AV2706" s="50"/>
    </row>
    <row r="2707" spans="1:48" ht="12.75" customHeight="1" x14ac:dyDescent="0.25">
      <c r="A2707" s="72" t="s">
        <v>20</v>
      </c>
      <c r="B2707" s="43" t="s">
        <v>2240</v>
      </c>
      <c r="C2707" s="44" t="s">
        <v>2865</v>
      </c>
      <c r="D2707" s="45">
        <f>MROUND(MID($C2707,6,3)/Basis!$E$3,0.5)</f>
        <v>35.5</v>
      </c>
      <c r="E2707" s="45">
        <f>MROUND(MID($C2707,9,3)/Basis!$E$3,0.5)</f>
        <v>35.5</v>
      </c>
      <c r="F2707" s="124" t="s">
        <v>2943</v>
      </c>
      <c r="G2707" s="45">
        <f>ROUND((ROUNDDOWN($F2707/5,0)*5+1.8)/Basis!$E$3,1)</f>
        <v>4.5999999999999996</v>
      </c>
      <c r="H2707" s="120">
        <f>ROUND($P2707*Basis!$E$2*((TaH-TrH)/LN(1/µ)/Basis!$E$7)^$N2707*$AA$4*Glycol,0)</f>
        <v>2694</v>
      </c>
      <c r="I2707" s="83">
        <f>ROUND(H2707/(MID($C2707,9,3)/Basis!$E$3/Basis!$E$9)*Basis!$E$11,0)</f>
        <v>912</v>
      </c>
      <c r="J2707" s="123">
        <f>IF(Basis!$E$1=1,ROUND(H2707/((TaH-TrH)*1.163)/3600,3),ROUND(H2707/(500*(TaH-TrH)),2))</f>
        <v>0.27</v>
      </c>
      <c r="K2707" s="84"/>
      <c r="L2707" s="177">
        <f>CHOOSE(Basis!$E$1,((AJ2707*(J2707*3600/Basis!$E$5)^AK2707*(((MID(C2707,9,3)*10)-144)/1000)*AL2707+AM2707*(J2707*3600/Basis!$E$5)^2)*0.0098)/Basis!$E$10,((AJ2707*(J2707/Basis!$E$5)^AK2707*(((MID(C2707,9,3)*10)-144)/1000)*AL2707+AM2707*(J2707/Basis!$E$5)^2)*0.0098)/Basis!$E$10)</f>
        <v>6.991859437002537E-3</v>
      </c>
      <c r="M2707" s="85"/>
      <c r="N2707" s="109">
        <v>1.3480000000000001</v>
      </c>
      <c r="O2707" s="68"/>
      <c r="P2707" s="67">
        <v>1232</v>
      </c>
      <c r="Q2707" s="68"/>
      <c r="R2707" s="69"/>
      <c r="S2707" s="69"/>
      <c r="T2707" s="69"/>
      <c r="U2707" s="69"/>
      <c r="V2707" s="69"/>
      <c r="W2707" s="68"/>
      <c r="X2707" s="70"/>
      <c r="Y2707" s="70"/>
      <c r="Z2707" s="70"/>
      <c r="AA2707" s="70"/>
      <c r="AB2707" s="70"/>
      <c r="AC2707" s="68"/>
      <c r="AD2707" s="71"/>
      <c r="AE2707" s="71"/>
      <c r="AF2707" s="71"/>
      <c r="AG2707" s="71"/>
      <c r="AH2707" s="71"/>
      <c r="AI2707" s="68"/>
      <c r="AJ2707" s="214">
        <v>3.9689999999999994E-4</v>
      </c>
      <c r="AK2707" s="214">
        <v>1.7345999999999999</v>
      </c>
      <c r="AL2707" s="214">
        <v>2</v>
      </c>
      <c r="AM2707" s="214">
        <v>3.6734700000000002E-4</v>
      </c>
      <c r="AN2707" s="68"/>
      <c r="AO2707" s="67"/>
      <c r="AP2707" s="67"/>
      <c r="AQ2707" s="67"/>
      <c r="AR2707" s="67"/>
      <c r="AS2707" s="67"/>
      <c r="AT2707" s="68"/>
      <c r="AU2707" s="49"/>
      <c r="AV2707" s="50"/>
    </row>
    <row r="2708" spans="1:48" ht="12.75" customHeight="1" x14ac:dyDescent="0.25">
      <c r="A2708" s="72" t="s">
        <v>20</v>
      </c>
      <c r="B2708" s="43" t="s">
        <v>2240</v>
      </c>
      <c r="C2708" s="44" t="s">
        <v>2866</v>
      </c>
      <c r="D2708" s="45">
        <f>MROUND(MID($C2708,6,3)/Basis!$E$3,0.5)</f>
        <v>35.5</v>
      </c>
      <c r="E2708" s="45">
        <f>MROUND(MID($C2708,9,3)/Basis!$E$3,0.5)</f>
        <v>35.5</v>
      </c>
      <c r="F2708" s="124" t="s">
        <v>2946</v>
      </c>
      <c r="G2708" s="45">
        <f>ROUND((ROUNDDOWN($F2708/5,0)*5+1.8)/Basis!$E$3,1)</f>
        <v>4.5999999999999996</v>
      </c>
      <c r="H2708" s="120">
        <f>ROUND($P2708*Basis!$E$2*((TaH-TrH)/LN(1/µ)/Basis!$E$7)^$N2708*$AA$4*Glycol,0)</f>
        <v>3363</v>
      </c>
      <c r="I2708" s="83">
        <f>ROUND(H2708/(MID($C2708,9,3)/Basis!$E$3/Basis!$E$9)*Basis!$E$11,0)</f>
        <v>1139</v>
      </c>
      <c r="J2708" s="123">
        <f>IF(Basis!$E$1=1,ROUND(H2708/((TaH-TrH)*1.163)/3600,3),ROUND(H2708/(500*(TaH-TrH)),2))</f>
        <v>0.34</v>
      </c>
      <c r="K2708" s="84"/>
      <c r="L2708" s="177">
        <f>CHOOSE(Basis!$E$1,((AJ2708*(J2708*3600/Basis!$E$5)^AK2708*(((MID(C2708,9,3)*10)-144)/1000)*AL2708+AM2708*(J2708*3600/Basis!$E$5)^2)*0.0098)/Basis!$E$10,((AJ2708*(J2708/Basis!$E$5)^AK2708*(((MID(C2708,9,3)*10)-144)/1000)*AL2708+AM2708*(J2708/Basis!$E$5)^2)*0.0098)/Basis!$E$10)</f>
        <v>1.858099255299973E-2</v>
      </c>
      <c r="M2708" s="85"/>
      <c r="N2708" s="110">
        <v>1.4339999999999999</v>
      </c>
      <c r="O2708" s="74"/>
      <c r="P2708" s="73">
        <v>1582</v>
      </c>
      <c r="Q2708" s="74"/>
      <c r="R2708" s="75"/>
      <c r="S2708" s="75"/>
      <c r="T2708" s="75"/>
      <c r="U2708" s="75"/>
      <c r="V2708" s="75"/>
      <c r="W2708" s="74"/>
      <c r="X2708" s="76"/>
      <c r="Y2708" s="76"/>
      <c r="Z2708" s="76"/>
      <c r="AA2708" s="76"/>
      <c r="AB2708" s="76"/>
      <c r="AC2708" s="74"/>
      <c r="AD2708" s="77"/>
      <c r="AE2708" s="77"/>
      <c r="AF2708" s="77"/>
      <c r="AG2708" s="77"/>
      <c r="AH2708" s="77"/>
      <c r="AI2708" s="68"/>
      <c r="AJ2708" s="213">
        <v>3.9689999999999994E-4</v>
      </c>
      <c r="AK2708" s="213">
        <v>1.7345999999999999</v>
      </c>
      <c r="AL2708" s="213">
        <v>4</v>
      </c>
      <c r="AM2708" s="213">
        <v>5.7428799999999995E-4</v>
      </c>
      <c r="AN2708" s="74"/>
      <c r="AO2708" s="73"/>
      <c r="AP2708" s="73"/>
      <c r="AQ2708" s="73"/>
      <c r="AR2708" s="73"/>
      <c r="AS2708" s="73"/>
      <c r="AT2708" s="74"/>
      <c r="AU2708" s="47"/>
      <c r="AV2708" s="48"/>
    </row>
    <row r="2709" spans="1:48" ht="12.75" customHeight="1" x14ac:dyDescent="0.25">
      <c r="A2709" s="72" t="s">
        <v>20</v>
      </c>
      <c r="B2709" s="43" t="s">
        <v>2240</v>
      </c>
      <c r="C2709" s="44" t="s">
        <v>2867</v>
      </c>
      <c r="D2709" s="45">
        <f>MROUND(MID($C2709,6,3)/Basis!$E$3,0.5)</f>
        <v>35.5</v>
      </c>
      <c r="E2709" s="45">
        <f>MROUND(MID($C2709,9,3)/Basis!$E$3,0.5)</f>
        <v>35.5</v>
      </c>
      <c r="F2709" s="124" t="s">
        <v>2944</v>
      </c>
      <c r="G2709" s="45">
        <f>ROUND((ROUNDDOWN($F2709/5,0)*5+1.8)/Basis!$E$3,1)</f>
        <v>6.6</v>
      </c>
      <c r="H2709" s="120">
        <f>ROUND($P2709*Basis!$E$2*((TaH-TrH)/LN(1/µ)/Basis!$E$7)^$N2709*$AA$4*Glycol,0)</f>
        <v>4203</v>
      </c>
      <c r="I2709" s="83">
        <f>ROUND(H2709/(MID($C2709,9,3)/Basis!$E$3/Basis!$E$9)*Basis!$E$11,0)</f>
        <v>1423</v>
      </c>
      <c r="J2709" s="123">
        <f>IF(Basis!$E$1=1,ROUND(H2709/((TaH-TrH)*1.163)/3600,3),ROUND(H2709/(500*(TaH-TrH)),2))</f>
        <v>0.42</v>
      </c>
      <c r="K2709" s="84"/>
      <c r="L2709" s="177">
        <f>CHOOSE(Basis!$E$1,((AJ2709*(J2709*3600/Basis!$E$5)^AK2709*(((MID(C2709,9,3)*10)-144)/1000)*AL2709+AM2709*(J2709*3600/Basis!$E$5)^2)*0.0098)/Basis!$E$10,((AJ2709*(J2709/Basis!$E$5)^AK2709*(((MID(C2709,9,3)*10)-144)/1000)*AL2709+AM2709*(J2709/Basis!$E$5)^2)*0.0098)/Basis!$E$10)</f>
        <v>1.640437508650907E-2</v>
      </c>
      <c r="M2709" s="85"/>
      <c r="N2709" s="110">
        <v>1.3260000000000001</v>
      </c>
      <c r="O2709" s="74"/>
      <c r="P2709" s="73">
        <v>1908</v>
      </c>
      <c r="Q2709" s="74"/>
      <c r="R2709" s="75"/>
      <c r="S2709" s="75"/>
      <c r="T2709" s="75"/>
      <c r="U2709" s="75"/>
      <c r="V2709" s="75"/>
      <c r="W2709" s="74"/>
      <c r="X2709" s="76"/>
      <c r="Y2709" s="76"/>
      <c r="Z2709" s="76"/>
      <c r="AA2709" s="76"/>
      <c r="AB2709" s="76"/>
      <c r="AC2709" s="74"/>
      <c r="AD2709" s="77"/>
      <c r="AE2709" s="77"/>
      <c r="AF2709" s="77"/>
      <c r="AG2709" s="77"/>
      <c r="AH2709" s="77"/>
      <c r="AI2709" s="68"/>
      <c r="AJ2709" s="213">
        <v>2.0829999999999999E-4</v>
      </c>
      <c r="AK2709" s="213">
        <v>1.724</v>
      </c>
      <c r="AL2709" s="213">
        <v>2</v>
      </c>
      <c r="AM2709" s="213">
        <v>4.6182900000000003E-4</v>
      </c>
      <c r="AN2709" s="74"/>
      <c r="AO2709" s="73"/>
      <c r="AP2709" s="73"/>
      <c r="AQ2709" s="73"/>
      <c r="AR2709" s="73"/>
      <c r="AS2709" s="73"/>
      <c r="AT2709" s="74"/>
      <c r="AU2709" s="47"/>
      <c r="AV2709" s="48"/>
    </row>
    <row r="2710" spans="1:48" ht="12.75" customHeight="1" x14ac:dyDescent="0.25">
      <c r="A2710" s="72" t="s">
        <v>20</v>
      </c>
      <c r="B2710" s="43" t="s">
        <v>2240</v>
      </c>
      <c r="C2710" s="44" t="s">
        <v>2868</v>
      </c>
      <c r="D2710" s="45">
        <f>MROUND(MID($C2710,6,3)/Basis!$E$3,0.5)</f>
        <v>35.5</v>
      </c>
      <c r="E2710" s="45">
        <f>MROUND(MID($C2710,9,3)/Basis!$E$3,0.5)</f>
        <v>35.5</v>
      </c>
      <c r="F2710" s="124" t="s">
        <v>2947</v>
      </c>
      <c r="G2710" s="45">
        <f>ROUND((ROUNDDOWN($F2710/5,0)*5+1.8)/Basis!$E$3,1)</f>
        <v>6.6</v>
      </c>
      <c r="H2710" s="120">
        <f>ROUND($P2710*Basis!$E$2*((TaH-TrH)/LN(1/µ)/Basis!$E$7)^$N2710*$AA$4*Glycol,0)</f>
        <v>4891</v>
      </c>
      <c r="I2710" s="83">
        <f>ROUND(H2710/(MID($C2710,9,3)/Basis!$E$3/Basis!$E$9)*Basis!$E$11,0)</f>
        <v>1656</v>
      </c>
      <c r="J2710" s="123">
        <f>IF(Basis!$E$1=1,ROUND(H2710/((TaH-TrH)*1.163)/3600,3),ROUND(H2710/(500*(TaH-TrH)),2))</f>
        <v>0.49</v>
      </c>
      <c r="K2710" s="84"/>
      <c r="L2710" s="177">
        <f>CHOOSE(Basis!$E$1,((AJ2710*(J2710*3600/Basis!$E$5)^AK2710*(((MID(C2710,9,3)*10)-144)/1000)*AL2710+AM2710*(J2710*3600/Basis!$E$5)^2)*0.0098)/Basis!$E$10,((AJ2710*(J2710/Basis!$E$5)^AK2710*(((MID(C2710,9,3)*10)-144)/1000)*AL2710+AM2710*(J2710/Basis!$E$5)^2)*0.0098)/Basis!$E$10)</f>
        <v>6.3353353353110972E-2</v>
      </c>
      <c r="M2710" s="85"/>
      <c r="N2710" s="109">
        <v>1.48</v>
      </c>
      <c r="O2710" s="68"/>
      <c r="P2710" s="67">
        <v>2336</v>
      </c>
      <c r="Q2710" s="68"/>
      <c r="R2710" s="69"/>
      <c r="S2710" s="69"/>
      <c r="T2710" s="69"/>
      <c r="U2710" s="69"/>
      <c r="V2710" s="69"/>
      <c r="W2710" s="68"/>
      <c r="X2710" s="70"/>
      <c r="Y2710" s="70"/>
      <c r="Z2710" s="70"/>
      <c r="AA2710" s="70"/>
      <c r="AB2710" s="70"/>
      <c r="AC2710" s="68"/>
      <c r="AD2710" s="71"/>
      <c r="AE2710" s="71"/>
      <c r="AF2710" s="71"/>
      <c r="AG2710" s="71"/>
      <c r="AH2710" s="71"/>
      <c r="AI2710" s="68"/>
      <c r="AJ2710" s="214">
        <v>2.0829999999999999E-4</v>
      </c>
      <c r="AK2710" s="214">
        <v>1.724</v>
      </c>
      <c r="AL2710" s="214">
        <v>4</v>
      </c>
      <c r="AM2710" s="214">
        <v>1.392796E-3</v>
      </c>
      <c r="AN2710" s="68"/>
      <c r="AO2710" s="67"/>
      <c r="AP2710" s="67"/>
      <c r="AQ2710" s="67"/>
      <c r="AR2710" s="67"/>
      <c r="AS2710" s="67"/>
      <c r="AT2710" s="68"/>
      <c r="AU2710" s="49"/>
      <c r="AV2710" s="50"/>
    </row>
    <row r="2711" spans="1:48" ht="12.75" customHeight="1" x14ac:dyDescent="0.25">
      <c r="A2711" s="72" t="s">
        <v>20</v>
      </c>
      <c r="B2711" s="43" t="s">
        <v>2240</v>
      </c>
      <c r="C2711" s="44" t="s">
        <v>2869</v>
      </c>
      <c r="D2711" s="45">
        <f>MROUND(MID($C2711,6,3)/Basis!$E$3,0.5)</f>
        <v>35.5</v>
      </c>
      <c r="E2711" s="45">
        <f>MROUND(MID($C2711,9,3)/Basis!$E$3,0.5)</f>
        <v>35.5</v>
      </c>
      <c r="F2711" s="124" t="s">
        <v>2945</v>
      </c>
      <c r="G2711" s="45">
        <f>ROUND((ROUNDDOWN($F2711/5,0)*5+1.8)/Basis!$E$3,1)</f>
        <v>8.6</v>
      </c>
      <c r="H2711" s="120">
        <f>ROUND($P2711*Basis!$E$2*((TaH-TrH)/LN(1/µ)/Basis!$E$7)^$N2711*$AA$4*Glycol,0)</f>
        <v>5861</v>
      </c>
      <c r="I2711" s="83">
        <f>ROUND(H2711/(MID($C2711,9,3)/Basis!$E$3/Basis!$E$9)*Basis!$E$11,0)</f>
        <v>1985</v>
      </c>
      <c r="J2711" s="123">
        <f>IF(Basis!$E$1=1,ROUND(H2711/((TaH-TrH)*1.163)/3600,3),ROUND(H2711/(500*(TaH-TrH)),2))</f>
        <v>0.59</v>
      </c>
      <c r="K2711" s="84"/>
      <c r="L2711" s="177">
        <f>CHOOSE(Basis!$E$1,((AJ2711*(J2711*3600/Basis!$E$5)^AK2711*(((MID(C2711,9,3)*10)-144)/1000)*AL2711+AM2711*(J2711*3600/Basis!$E$5)^2)*0.0098)/Basis!$E$10,((AJ2711*(J2711/Basis!$E$5)^AK2711*(((MID(C2711,9,3)*10)-144)/1000)*AL2711+AM2711*(J2711/Basis!$E$5)^2)*0.0098)/Basis!$E$10)</f>
        <v>2.5013683375779184E-2</v>
      </c>
      <c r="M2711" s="85"/>
      <c r="N2711" s="109">
        <v>1.3260000000000001</v>
      </c>
      <c r="O2711" s="68"/>
      <c r="P2711" s="67">
        <v>2661</v>
      </c>
      <c r="Q2711" s="68"/>
      <c r="R2711" s="69"/>
      <c r="S2711" s="69"/>
      <c r="T2711" s="69"/>
      <c r="U2711" s="69"/>
      <c r="V2711" s="69"/>
      <c r="W2711" s="68"/>
      <c r="X2711" s="70"/>
      <c r="Y2711" s="70"/>
      <c r="Z2711" s="70"/>
      <c r="AA2711" s="70"/>
      <c r="AB2711" s="70"/>
      <c r="AC2711" s="68"/>
      <c r="AD2711" s="71"/>
      <c r="AE2711" s="71"/>
      <c r="AF2711" s="71"/>
      <c r="AG2711" s="71"/>
      <c r="AH2711" s="71"/>
      <c r="AI2711" s="68"/>
      <c r="AJ2711" s="214">
        <v>1.2760000000000001E-4</v>
      </c>
      <c r="AK2711" s="214">
        <v>1.7219</v>
      </c>
      <c r="AL2711" s="214">
        <v>2</v>
      </c>
      <c r="AM2711" s="214">
        <v>3.76611E-4</v>
      </c>
      <c r="AN2711" s="68"/>
      <c r="AO2711" s="67"/>
      <c r="AP2711" s="67"/>
      <c r="AQ2711" s="67"/>
      <c r="AR2711" s="67"/>
      <c r="AS2711" s="67"/>
      <c r="AT2711" s="68"/>
      <c r="AU2711" s="49"/>
      <c r="AV2711" s="50"/>
    </row>
    <row r="2712" spans="1:48" ht="12.75" customHeight="1" x14ac:dyDescent="0.25">
      <c r="A2712" s="72" t="s">
        <v>20</v>
      </c>
      <c r="B2712" s="43" t="s">
        <v>2240</v>
      </c>
      <c r="C2712" s="44" t="s">
        <v>2870</v>
      </c>
      <c r="D2712" s="45">
        <f>MROUND(MID($C2712,6,3)/Basis!$E$3,0.5)</f>
        <v>35.5</v>
      </c>
      <c r="E2712" s="45">
        <f>MROUND(MID($C2712,9,3)/Basis!$E$3,0.5)</f>
        <v>35.5</v>
      </c>
      <c r="F2712" s="124" t="s">
        <v>2948</v>
      </c>
      <c r="G2712" s="45">
        <f>ROUND((ROUNDDOWN($F2712/5,0)*5+1.8)/Basis!$E$3,1)</f>
        <v>8.6</v>
      </c>
      <c r="H2712" s="120">
        <f>ROUND($P2712*Basis!$E$2*((TaH-TrH)/LN(1/µ)/Basis!$E$7)^$N2712*$AA$4*Glycol,0)</f>
        <v>7015</v>
      </c>
      <c r="I2712" s="83">
        <f>ROUND(H2712/(MID($C2712,9,3)/Basis!$E$3/Basis!$E$9)*Basis!$E$11,0)</f>
        <v>2376</v>
      </c>
      <c r="J2712" s="123">
        <f>IF(Basis!$E$1=1,ROUND(H2712/((TaH-TrH)*1.163)/3600,3),ROUND(H2712/(500*(TaH-TrH)),2))</f>
        <v>0.7</v>
      </c>
      <c r="K2712" s="84"/>
      <c r="L2712" s="177">
        <f>CHOOSE(Basis!$E$1,((AJ2712*(J2712*3600/Basis!$E$5)^AK2712*(((MID(C2712,9,3)*10)-144)/1000)*AL2712+AM2712*(J2712*3600/Basis!$E$5)^2)*0.0098)/Basis!$E$10,((AJ2712*(J2712/Basis!$E$5)^AK2712*(((MID(C2712,9,3)*10)-144)/1000)*AL2712+AM2712*(J2712/Basis!$E$5)^2)*0.0098)/Basis!$E$10)</f>
        <v>5.0286661928413842E-2</v>
      </c>
      <c r="M2712" s="85"/>
      <c r="N2712" s="110">
        <v>1.518</v>
      </c>
      <c r="O2712" s="74"/>
      <c r="P2712" s="73">
        <v>3393</v>
      </c>
      <c r="Q2712" s="74"/>
      <c r="R2712" s="75"/>
      <c r="S2712" s="75"/>
      <c r="T2712" s="75"/>
      <c r="U2712" s="75"/>
      <c r="V2712" s="75"/>
      <c r="W2712" s="74"/>
      <c r="X2712" s="76"/>
      <c r="Y2712" s="76"/>
      <c r="Z2712" s="76"/>
      <c r="AA2712" s="76"/>
      <c r="AB2712" s="76"/>
      <c r="AC2712" s="74"/>
      <c r="AD2712" s="77"/>
      <c r="AE2712" s="77"/>
      <c r="AF2712" s="77"/>
      <c r="AG2712" s="77"/>
      <c r="AH2712" s="77"/>
      <c r="AI2712" s="68"/>
      <c r="AJ2712" s="213">
        <v>1.2760000000000001E-4</v>
      </c>
      <c r="AK2712" s="213">
        <v>1.7219</v>
      </c>
      <c r="AL2712" s="213">
        <v>4</v>
      </c>
      <c r="AM2712" s="213">
        <v>5.1420100000000005E-4</v>
      </c>
      <c r="AN2712" s="74"/>
      <c r="AO2712" s="73"/>
      <c r="AP2712" s="73"/>
      <c r="AQ2712" s="73"/>
      <c r="AR2712" s="73"/>
      <c r="AS2712" s="73"/>
      <c r="AT2712" s="74"/>
      <c r="AU2712" s="47"/>
      <c r="AV2712" s="48"/>
    </row>
    <row r="2713" spans="1:48" ht="12.75" customHeight="1" x14ac:dyDescent="0.25">
      <c r="A2713" s="72" t="s">
        <v>20</v>
      </c>
      <c r="B2713" s="43" t="s">
        <v>2240</v>
      </c>
      <c r="C2713" s="44" t="s">
        <v>2871</v>
      </c>
      <c r="D2713" s="45">
        <f>MROUND(MID($C2713,6,3)/Basis!$E$3,0.5)</f>
        <v>35.5</v>
      </c>
      <c r="E2713" s="45">
        <f>MROUND(MID($C2713,9,3)/Basis!$E$3,0.5)</f>
        <v>39.5</v>
      </c>
      <c r="F2713" s="124" t="s">
        <v>2943</v>
      </c>
      <c r="G2713" s="45">
        <f>ROUND((ROUNDDOWN($F2713/5,0)*5+1.8)/Basis!$E$3,1)</f>
        <v>4.5999999999999996</v>
      </c>
      <c r="H2713" s="120">
        <f>ROUND($P2713*Basis!$E$2*((TaH-TrH)/LN(1/µ)/Basis!$E$7)^$N2713*$AA$4*Glycol,0)</f>
        <v>2994</v>
      </c>
      <c r="I2713" s="83">
        <f>ROUND(H2713/(MID($C2713,9,3)/Basis!$E$3/Basis!$E$9)*Basis!$E$11,0)</f>
        <v>913</v>
      </c>
      <c r="J2713" s="123">
        <f>IF(Basis!$E$1=1,ROUND(H2713/((TaH-TrH)*1.163)/3600,3),ROUND(H2713/(500*(TaH-TrH)),2))</f>
        <v>0.3</v>
      </c>
      <c r="K2713" s="84"/>
      <c r="L2713" s="177">
        <f>CHOOSE(Basis!$E$1,((AJ2713*(J2713*3600/Basis!$E$5)^AK2713*(((MID(C2713,9,3)*10)-144)/1000)*AL2713+AM2713*(J2713*3600/Basis!$E$5)^2)*0.0098)/Basis!$E$10,((AJ2713*(J2713/Basis!$E$5)^AK2713*(((MID(C2713,9,3)*10)-144)/1000)*AL2713+AM2713*(J2713/Basis!$E$5)^2)*0.0098)/Basis!$E$10)</f>
        <v>8.9406889971013256E-3</v>
      </c>
      <c r="M2713" s="85"/>
      <c r="N2713" s="110">
        <v>1.3480000000000001</v>
      </c>
      <c r="O2713" s="74"/>
      <c r="P2713" s="73">
        <v>1369</v>
      </c>
      <c r="Q2713" s="74"/>
      <c r="R2713" s="75"/>
      <c r="S2713" s="75"/>
      <c r="T2713" s="75"/>
      <c r="U2713" s="75"/>
      <c r="V2713" s="75"/>
      <c r="W2713" s="74"/>
      <c r="X2713" s="76"/>
      <c r="Y2713" s="76"/>
      <c r="Z2713" s="76"/>
      <c r="AA2713" s="76"/>
      <c r="AB2713" s="76"/>
      <c r="AC2713" s="74"/>
      <c r="AD2713" s="77"/>
      <c r="AE2713" s="77"/>
      <c r="AF2713" s="77"/>
      <c r="AG2713" s="77"/>
      <c r="AH2713" s="77"/>
      <c r="AI2713" s="68"/>
      <c r="AJ2713" s="213">
        <v>3.9689999999999994E-4</v>
      </c>
      <c r="AK2713" s="213">
        <v>1.7345999999999999</v>
      </c>
      <c r="AL2713" s="213">
        <v>2</v>
      </c>
      <c r="AM2713" s="213">
        <v>3.6734700000000002E-4</v>
      </c>
      <c r="AN2713" s="74"/>
      <c r="AO2713" s="73"/>
      <c r="AP2713" s="73"/>
      <c r="AQ2713" s="73"/>
      <c r="AR2713" s="73"/>
      <c r="AS2713" s="73"/>
      <c r="AT2713" s="74"/>
      <c r="AU2713" s="47"/>
      <c r="AV2713" s="48"/>
    </row>
    <row r="2714" spans="1:48" ht="12.75" customHeight="1" x14ac:dyDescent="0.25">
      <c r="A2714" s="72" t="s">
        <v>20</v>
      </c>
      <c r="B2714" s="43" t="s">
        <v>2240</v>
      </c>
      <c r="C2714" s="44" t="s">
        <v>2872</v>
      </c>
      <c r="D2714" s="45">
        <f>MROUND(MID($C2714,6,3)/Basis!$E$3,0.5)</f>
        <v>35.5</v>
      </c>
      <c r="E2714" s="45">
        <f>MROUND(MID($C2714,9,3)/Basis!$E$3,0.5)</f>
        <v>39.5</v>
      </c>
      <c r="F2714" s="124" t="s">
        <v>2946</v>
      </c>
      <c r="G2714" s="45">
        <f>ROUND((ROUNDDOWN($F2714/5,0)*5+1.8)/Basis!$E$3,1)</f>
        <v>4.5999999999999996</v>
      </c>
      <c r="H2714" s="120">
        <f>ROUND($P2714*Basis!$E$2*((TaH-TrH)/LN(1/µ)/Basis!$E$7)^$N2714*$AA$4*Glycol,0)</f>
        <v>3737</v>
      </c>
      <c r="I2714" s="83">
        <f>ROUND(H2714/(MID($C2714,9,3)/Basis!$E$3/Basis!$E$9)*Basis!$E$11,0)</f>
        <v>1139</v>
      </c>
      <c r="J2714" s="123">
        <f>IF(Basis!$E$1=1,ROUND(H2714/((TaH-TrH)*1.163)/3600,3),ROUND(H2714/(500*(TaH-TrH)),2))</f>
        <v>0.37</v>
      </c>
      <c r="K2714" s="84"/>
      <c r="L2714" s="177">
        <f>CHOOSE(Basis!$E$1,((AJ2714*(J2714*3600/Basis!$E$5)^AK2714*(((MID(C2714,9,3)*10)-144)/1000)*AL2714+AM2714*(J2714*3600/Basis!$E$5)^2)*0.0098)/Basis!$E$10,((AJ2714*(J2714/Basis!$E$5)^AK2714*(((MID(C2714,9,3)*10)-144)/1000)*AL2714+AM2714*(J2714/Basis!$E$5)^2)*0.0098)/Basis!$E$10)</f>
        <v>2.294153590349993E-2</v>
      </c>
      <c r="M2714" s="85"/>
      <c r="N2714" s="109">
        <v>1.4339999999999999</v>
      </c>
      <c r="O2714" s="68"/>
      <c r="P2714" s="67">
        <v>1758</v>
      </c>
      <c r="Q2714" s="68"/>
      <c r="R2714" s="69"/>
      <c r="S2714" s="69"/>
      <c r="T2714" s="69"/>
      <c r="U2714" s="69"/>
      <c r="V2714" s="69"/>
      <c r="W2714" s="68"/>
      <c r="X2714" s="70"/>
      <c r="Y2714" s="70"/>
      <c r="Z2714" s="70"/>
      <c r="AA2714" s="70"/>
      <c r="AB2714" s="70"/>
      <c r="AC2714" s="68"/>
      <c r="AD2714" s="71"/>
      <c r="AE2714" s="71"/>
      <c r="AF2714" s="71"/>
      <c r="AG2714" s="71"/>
      <c r="AH2714" s="71"/>
      <c r="AI2714" s="68"/>
      <c r="AJ2714" s="214">
        <v>3.9689999999999994E-4</v>
      </c>
      <c r="AK2714" s="214">
        <v>1.7345999999999999</v>
      </c>
      <c r="AL2714" s="214">
        <v>4</v>
      </c>
      <c r="AM2714" s="214">
        <v>5.7428799999999995E-4</v>
      </c>
      <c r="AN2714" s="68"/>
      <c r="AO2714" s="67"/>
      <c r="AP2714" s="67"/>
      <c r="AQ2714" s="67"/>
      <c r="AR2714" s="67"/>
      <c r="AS2714" s="67"/>
      <c r="AT2714" s="68"/>
      <c r="AU2714" s="49"/>
      <c r="AV2714" s="50"/>
    </row>
    <row r="2715" spans="1:48" ht="12.75" customHeight="1" x14ac:dyDescent="0.25">
      <c r="A2715" s="72" t="s">
        <v>20</v>
      </c>
      <c r="B2715" s="43" t="s">
        <v>2240</v>
      </c>
      <c r="C2715" s="44" t="s">
        <v>2873</v>
      </c>
      <c r="D2715" s="45">
        <f>MROUND(MID($C2715,6,3)/Basis!$E$3,0.5)</f>
        <v>35.5</v>
      </c>
      <c r="E2715" s="45">
        <f>MROUND(MID($C2715,9,3)/Basis!$E$3,0.5)</f>
        <v>39.5</v>
      </c>
      <c r="F2715" s="124" t="s">
        <v>2944</v>
      </c>
      <c r="G2715" s="45">
        <f>ROUND((ROUNDDOWN($F2715/5,0)*5+1.8)/Basis!$E$3,1)</f>
        <v>6.6</v>
      </c>
      <c r="H2715" s="120">
        <f>ROUND($P2715*Basis!$E$2*((TaH-TrH)/LN(1/µ)/Basis!$E$7)^$N2715*$AA$4*Glycol,0)</f>
        <v>4670</v>
      </c>
      <c r="I2715" s="83">
        <f>ROUND(H2715/(MID($C2715,9,3)/Basis!$E$3/Basis!$E$9)*Basis!$E$11,0)</f>
        <v>1423</v>
      </c>
      <c r="J2715" s="123">
        <f>IF(Basis!$E$1=1,ROUND(H2715/((TaH-TrH)*1.163)/3600,3),ROUND(H2715/(500*(TaH-TrH)),2))</f>
        <v>0.47</v>
      </c>
      <c r="K2715" s="84"/>
      <c r="L2715" s="177">
        <f>CHOOSE(Basis!$E$1,((AJ2715*(J2715*3600/Basis!$E$5)^AK2715*(((MID(C2715,9,3)*10)-144)/1000)*AL2715+AM2715*(J2715*3600/Basis!$E$5)^2)*0.0098)/Basis!$E$10,((AJ2715*(J2715/Basis!$E$5)^AK2715*(((MID(C2715,9,3)*10)-144)/1000)*AL2715+AM2715*(J2715/Basis!$E$5)^2)*0.0098)/Basis!$E$10)</f>
        <v>2.0868406871441179E-2</v>
      </c>
      <c r="M2715" s="85"/>
      <c r="N2715" s="109">
        <v>1.3260000000000001</v>
      </c>
      <c r="O2715" s="68"/>
      <c r="P2715" s="67">
        <v>2120</v>
      </c>
      <c r="Q2715" s="68"/>
      <c r="R2715" s="69"/>
      <c r="S2715" s="69"/>
      <c r="T2715" s="69"/>
      <c r="U2715" s="69"/>
      <c r="V2715" s="69"/>
      <c r="W2715" s="68"/>
      <c r="X2715" s="70"/>
      <c r="Y2715" s="70"/>
      <c r="Z2715" s="70"/>
      <c r="AA2715" s="70"/>
      <c r="AB2715" s="70"/>
      <c r="AC2715" s="68"/>
      <c r="AD2715" s="71"/>
      <c r="AE2715" s="71"/>
      <c r="AF2715" s="71"/>
      <c r="AG2715" s="71"/>
      <c r="AH2715" s="71"/>
      <c r="AI2715" s="68"/>
      <c r="AJ2715" s="214">
        <v>2.0829999999999999E-4</v>
      </c>
      <c r="AK2715" s="214">
        <v>1.724</v>
      </c>
      <c r="AL2715" s="214">
        <v>2</v>
      </c>
      <c r="AM2715" s="214">
        <v>4.6182900000000003E-4</v>
      </c>
      <c r="AN2715" s="68"/>
      <c r="AO2715" s="67"/>
      <c r="AP2715" s="67"/>
      <c r="AQ2715" s="67"/>
      <c r="AR2715" s="67"/>
      <c r="AS2715" s="67"/>
      <c r="AT2715" s="68"/>
      <c r="AU2715" s="49"/>
      <c r="AV2715" s="50"/>
    </row>
    <row r="2716" spans="1:48" ht="12.75" customHeight="1" x14ac:dyDescent="0.25">
      <c r="A2716" s="72" t="s">
        <v>20</v>
      </c>
      <c r="B2716" s="43" t="s">
        <v>2240</v>
      </c>
      <c r="C2716" s="44" t="s">
        <v>2874</v>
      </c>
      <c r="D2716" s="45">
        <f>MROUND(MID($C2716,6,3)/Basis!$E$3,0.5)</f>
        <v>35.5</v>
      </c>
      <c r="E2716" s="45">
        <f>MROUND(MID($C2716,9,3)/Basis!$E$3,0.5)</f>
        <v>39.5</v>
      </c>
      <c r="F2716" s="124" t="s">
        <v>2947</v>
      </c>
      <c r="G2716" s="45">
        <f>ROUND((ROUNDDOWN($F2716/5,0)*5+1.8)/Basis!$E$3,1)</f>
        <v>6.6</v>
      </c>
      <c r="H2716" s="120">
        <f>ROUND($P2716*Basis!$E$2*((TaH-TrH)/LN(1/µ)/Basis!$E$7)^$N2716*$AA$4*Glycol,0)</f>
        <v>5435</v>
      </c>
      <c r="I2716" s="83">
        <f>ROUND(H2716/(MID($C2716,9,3)/Basis!$E$3/Basis!$E$9)*Basis!$E$11,0)</f>
        <v>1657</v>
      </c>
      <c r="J2716" s="123">
        <f>IF(Basis!$E$1=1,ROUND(H2716/((TaH-TrH)*1.163)/3600,3),ROUND(H2716/(500*(TaH-TrH)),2))</f>
        <v>0.54</v>
      </c>
      <c r="K2716" s="84"/>
      <c r="L2716" s="177">
        <f>CHOOSE(Basis!$E$1,((AJ2716*(J2716*3600/Basis!$E$5)^AK2716*(((MID(C2716,9,3)*10)-144)/1000)*AL2716+AM2716*(J2716*3600/Basis!$E$5)^2)*0.0098)/Basis!$E$10,((AJ2716*(J2716/Basis!$E$5)^AK2716*(((MID(C2716,9,3)*10)-144)/1000)*AL2716+AM2716*(J2716/Basis!$E$5)^2)*0.0098)/Basis!$E$10)</f>
        <v>7.7805667040376558E-2</v>
      </c>
      <c r="M2716" s="85"/>
      <c r="N2716" s="110">
        <v>1.48</v>
      </c>
      <c r="O2716" s="74"/>
      <c r="P2716" s="73">
        <v>2596</v>
      </c>
      <c r="Q2716" s="74"/>
      <c r="R2716" s="75"/>
      <c r="S2716" s="75"/>
      <c r="T2716" s="75"/>
      <c r="U2716" s="75"/>
      <c r="V2716" s="75"/>
      <c r="W2716" s="74"/>
      <c r="X2716" s="76"/>
      <c r="Y2716" s="76"/>
      <c r="Z2716" s="76"/>
      <c r="AA2716" s="76"/>
      <c r="AB2716" s="76"/>
      <c r="AC2716" s="74"/>
      <c r="AD2716" s="77"/>
      <c r="AE2716" s="77"/>
      <c r="AF2716" s="77"/>
      <c r="AG2716" s="77"/>
      <c r="AH2716" s="77"/>
      <c r="AI2716" s="68"/>
      <c r="AJ2716" s="213">
        <v>2.0829999999999999E-4</v>
      </c>
      <c r="AK2716" s="213">
        <v>1.724</v>
      </c>
      <c r="AL2716" s="213">
        <v>4</v>
      </c>
      <c r="AM2716" s="213">
        <v>1.392796E-3</v>
      </c>
      <c r="AN2716" s="74"/>
      <c r="AO2716" s="73"/>
      <c r="AP2716" s="73"/>
      <c r="AQ2716" s="73"/>
      <c r="AR2716" s="73"/>
      <c r="AS2716" s="73"/>
      <c r="AT2716" s="74"/>
      <c r="AU2716" s="47"/>
      <c r="AV2716" s="48"/>
    </row>
    <row r="2717" spans="1:48" ht="12.75" customHeight="1" x14ac:dyDescent="0.25">
      <c r="A2717" s="72" t="s">
        <v>20</v>
      </c>
      <c r="B2717" s="43" t="s">
        <v>2240</v>
      </c>
      <c r="C2717" s="44" t="s">
        <v>2875</v>
      </c>
      <c r="D2717" s="45">
        <f>MROUND(MID($C2717,6,3)/Basis!$E$3,0.5)</f>
        <v>35.5</v>
      </c>
      <c r="E2717" s="45">
        <f>MROUND(MID($C2717,9,3)/Basis!$E$3,0.5)</f>
        <v>39.5</v>
      </c>
      <c r="F2717" s="124" t="s">
        <v>2945</v>
      </c>
      <c r="G2717" s="45">
        <f>ROUND((ROUNDDOWN($F2717/5,0)*5+1.8)/Basis!$E$3,1)</f>
        <v>8.6</v>
      </c>
      <c r="H2717" s="120">
        <f>ROUND($P2717*Basis!$E$2*((TaH-TrH)/LN(1/µ)/Basis!$E$7)^$N2717*$AA$4*Glycol,0)</f>
        <v>6513</v>
      </c>
      <c r="I2717" s="83">
        <f>ROUND(H2717/(MID($C2717,9,3)/Basis!$E$3/Basis!$E$9)*Basis!$E$11,0)</f>
        <v>1985</v>
      </c>
      <c r="J2717" s="123">
        <f>IF(Basis!$E$1=1,ROUND(H2717/((TaH-TrH)*1.163)/3600,3),ROUND(H2717/(500*(TaH-TrH)),2))</f>
        <v>0.65</v>
      </c>
      <c r="K2717" s="84"/>
      <c r="L2717" s="177">
        <f>CHOOSE(Basis!$E$1,((AJ2717*(J2717*3600/Basis!$E$5)^AK2717*(((MID(C2717,9,3)*10)-144)/1000)*AL2717+AM2717*(J2717*3600/Basis!$E$5)^2)*0.0098)/Basis!$E$10,((AJ2717*(J2717/Basis!$E$5)^AK2717*(((MID(C2717,9,3)*10)-144)/1000)*AL2717+AM2717*(J2717/Basis!$E$5)^2)*0.0098)/Basis!$E$10)</f>
        <v>3.0719739862680933E-2</v>
      </c>
      <c r="M2717" s="85"/>
      <c r="N2717" s="110">
        <v>1.3260000000000001</v>
      </c>
      <c r="O2717" s="74"/>
      <c r="P2717" s="73">
        <v>2957</v>
      </c>
      <c r="Q2717" s="74"/>
      <c r="R2717" s="75"/>
      <c r="S2717" s="75"/>
      <c r="T2717" s="75"/>
      <c r="U2717" s="75"/>
      <c r="V2717" s="75"/>
      <c r="W2717" s="74"/>
      <c r="X2717" s="76"/>
      <c r="Y2717" s="76"/>
      <c r="Z2717" s="76"/>
      <c r="AA2717" s="76"/>
      <c r="AB2717" s="76"/>
      <c r="AC2717" s="74"/>
      <c r="AD2717" s="77"/>
      <c r="AE2717" s="77"/>
      <c r="AF2717" s="77"/>
      <c r="AG2717" s="77"/>
      <c r="AH2717" s="77"/>
      <c r="AI2717" s="68"/>
      <c r="AJ2717" s="214">
        <v>1.2760000000000001E-4</v>
      </c>
      <c r="AK2717" s="214">
        <v>1.7219</v>
      </c>
      <c r="AL2717" s="214">
        <v>2</v>
      </c>
      <c r="AM2717" s="214">
        <v>3.76611E-4</v>
      </c>
      <c r="AN2717" s="74"/>
      <c r="AO2717" s="73"/>
      <c r="AP2717" s="73"/>
      <c r="AQ2717" s="73"/>
      <c r="AR2717" s="73"/>
      <c r="AS2717" s="73"/>
      <c r="AT2717" s="74"/>
      <c r="AU2717" s="47"/>
      <c r="AV2717" s="48"/>
    </row>
    <row r="2718" spans="1:48" ht="12.75" customHeight="1" x14ac:dyDescent="0.25">
      <c r="A2718" s="72" t="s">
        <v>20</v>
      </c>
      <c r="B2718" s="43" t="s">
        <v>2240</v>
      </c>
      <c r="C2718" s="44" t="s">
        <v>2876</v>
      </c>
      <c r="D2718" s="45">
        <f>MROUND(MID($C2718,6,3)/Basis!$E$3,0.5)</f>
        <v>35.5</v>
      </c>
      <c r="E2718" s="45">
        <f>MROUND(MID($C2718,9,3)/Basis!$E$3,0.5)</f>
        <v>39.5</v>
      </c>
      <c r="F2718" s="124" t="s">
        <v>2948</v>
      </c>
      <c r="G2718" s="45">
        <f>ROUND((ROUNDDOWN($F2718/5,0)*5+1.8)/Basis!$E$3,1)</f>
        <v>8.6</v>
      </c>
      <c r="H2718" s="120">
        <f>ROUND($P2718*Basis!$E$2*((TaH-TrH)/LN(1/µ)/Basis!$E$7)^$N2718*$AA$4*Glycol,0)</f>
        <v>7794</v>
      </c>
      <c r="I2718" s="83">
        <f>ROUND(H2718/(MID($C2718,9,3)/Basis!$E$3/Basis!$E$9)*Basis!$E$11,0)</f>
        <v>2376</v>
      </c>
      <c r="J2718" s="123">
        <f>IF(Basis!$E$1=1,ROUND(H2718/((TaH-TrH)*1.163)/3600,3),ROUND(H2718/(500*(TaH-TrH)),2))</f>
        <v>0.78</v>
      </c>
      <c r="K2718" s="84"/>
      <c r="L2718" s="177">
        <f>CHOOSE(Basis!$E$1,((AJ2718*(J2718*3600/Basis!$E$5)^AK2718*(((MID(C2718,9,3)*10)-144)/1000)*AL2718+AM2718*(J2718*3600/Basis!$E$5)^2)*0.0098)/Basis!$E$10,((AJ2718*(J2718/Basis!$E$5)^AK2718*(((MID(C2718,9,3)*10)-144)/1000)*AL2718+AM2718*(J2718/Basis!$E$5)^2)*0.0098)/Basis!$E$10)</f>
        <v>6.3392149605039361E-2</v>
      </c>
      <c r="M2718" s="85"/>
      <c r="N2718" s="109">
        <v>1.518</v>
      </c>
      <c r="O2718" s="68"/>
      <c r="P2718" s="67">
        <v>3770</v>
      </c>
      <c r="Q2718" s="68"/>
      <c r="R2718" s="69"/>
      <c r="S2718" s="69"/>
      <c r="T2718" s="69"/>
      <c r="U2718" s="69"/>
      <c r="V2718" s="69"/>
      <c r="W2718" s="68"/>
      <c r="X2718" s="70"/>
      <c r="Y2718" s="70"/>
      <c r="Z2718" s="70"/>
      <c r="AA2718" s="70"/>
      <c r="AB2718" s="70"/>
      <c r="AC2718" s="68"/>
      <c r="AD2718" s="71"/>
      <c r="AE2718" s="71"/>
      <c r="AF2718" s="71"/>
      <c r="AG2718" s="71"/>
      <c r="AH2718" s="71"/>
      <c r="AI2718" s="68"/>
      <c r="AJ2718" s="214">
        <v>1.2760000000000001E-4</v>
      </c>
      <c r="AK2718" s="214">
        <v>1.7219</v>
      </c>
      <c r="AL2718" s="214">
        <v>4</v>
      </c>
      <c r="AM2718" s="214">
        <v>5.1420100000000005E-4</v>
      </c>
      <c r="AN2718" s="68"/>
      <c r="AO2718" s="67"/>
      <c r="AP2718" s="67"/>
      <c r="AQ2718" s="67"/>
      <c r="AR2718" s="67"/>
      <c r="AS2718" s="67"/>
      <c r="AT2718" s="68"/>
      <c r="AU2718" s="49"/>
      <c r="AV2718" s="50"/>
    </row>
    <row r="2719" spans="1:48" ht="12.75" customHeight="1" x14ac:dyDescent="0.25">
      <c r="A2719" s="72" t="s">
        <v>20</v>
      </c>
      <c r="B2719" s="43" t="s">
        <v>2240</v>
      </c>
      <c r="C2719" s="44" t="s">
        <v>2877</v>
      </c>
      <c r="D2719" s="45">
        <f>MROUND(MID($C2719,6,3)/Basis!$E$3,0.5)</f>
        <v>35.5</v>
      </c>
      <c r="E2719" s="45">
        <f>MROUND(MID($C2719,9,3)/Basis!$E$3,0.5)</f>
        <v>43.5</v>
      </c>
      <c r="F2719" s="124" t="s">
        <v>2943</v>
      </c>
      <c r="G2719" s="45">
        <f>ROUND((ROUNDDOWN($F2719/5,0)*5+1.8)/Basis!$E$3,1)</f>
        <v>4.5999999999999996</v>
      </c>
      <c r="H2719" s="120">
        <f>ROUND($P2719*Basis!$E$2*((TaH-TrH)/LN(1/µ)/Basis!$E$7)^$N2719*$AA$4*Glycol,0)</f>
        <v>3293</v>
      </c>
      <c r="I2719" s="83">
        <f>ROUND(H2719/(MID($C2719,9,3)/Basis!$E$3/Basis!$E$9)*Basis!$E$11,0)</f>
        <v>912</v>
      </c>
      <c r="J2719" s="123">
        <f>IF(Basis!$E$1=1,ROUND(H2719/((TaH-TrH)*1.163)/3600,3),ROUND(H2719/(500*(TaH-TrH)),2))</f>
        <v>0.33</v>
      </c>
      <c r="K2719" s="84"/>
      <c r="L2719" s="177">
        <f>CHOOSE(Basis!$E$1,((AJ2719*(J2719*3600/Basis!$E$5)^AK2719*(((MID(C2719,9,3)*10)-144)/1000)*AL2719+AM2719*(J2719*3600/Basis!$E$5)^2)*0.0098)/Basis!$E$10,((AJ2719*(J2719/Basis!$E$5)^AK2719*(((MID(C2719,9,3)*10)-144)/1000)*AL2719+AM2719*(J2719/Basis!$E$5)^2)*0.0098)/Basis!$E$10)</f>
        <v>1.1180229965988931E-2</v>
      </c>
      <c r="M2719" s="85"/>
      <c r="N2719" s="109">
        <v>1.3480000000000001</v>
      </c>
      <c r="O2719" s="68"/>
      <c r="P2719" s="67">
        <v>1506</v>
      </c>
      <c r="Q2719" s="68"/>
      <c r="R2719" s="69"/>
      <c r="S2719" s="69"/>
      <c r="T2719" s="69"/>
      <c r="U2719" s="69"/>
      <c r="V2719" s="69"/>
      <c r="W2719" s="68"/>
      <c r="X2719" s="70"/>
      <c r="Y2719" s="70"/>
      <c r="Z2719" s="70"/>
      <c r="AA2719" s="70"/>
      <c r="AB2719" s="70"/>
      <c r="AC2719" s="68"/>
      <c r="AD2719" s="71"/>
      <c r="AE2719" s="71"/>
      <c r="AF2719" s="71"/>
      <c r="AG2719" s="71"/>
      <c r="AH2719" s="71"/>
      <c r="AI2719" s="68"/>
      <c r="AJ2719" s="214">
        <v>3.9689999999999994E-4</v>
      </c>
      <c r="AK2719" s="214">
        <v>1.7345999999999999</v>
      </c>
      <c r="AL2719" s="214">
        <v>2</v>
      </c>
      <c r="AM2719" s="214">
        <v>3.6734700000000002E-4</v>
      </c>
      <c r="AN2719" s="68"/>
      <c r="AO2719" s="67"/>
      <c r="AP2719" s="67"/>
      <c r="AQ2719" s="67"/>
      <c r="AR2719" s="67"/>
      <c r="AS2719" s="67"/>
      <c r="AT2719" s="68"/>
      <c r="AU2719" s="49"/>
      <c r="AV2719" s="50"/>
    </row>
    <row r="2720" spans="1:48" ht="12.75" customHeight="1" x14ac:dyDescent="0.25">
      <c r="A2720" s="72" t="s">
        <v>20</v>
      </c>
      <c r="B2720" s="43" t="s">
        <v>2240</v>
      </c>
      <c r="C2720" s="44" t="s">
        <v>2878</v>
      </c>
      <c r="D2720" s="45">
        <f>MROUND(MID($C2720,6,3)/Basis!$E$3,0.5)</f>
        <v>35.5</v>
      </c>
      <c r="E2720" s="45">
        <f>MROUND(MID($C2720,9,3)/Basis!$E$3,0.5)</f>
        <v>43.5</v>
      </c>
      <c r="F2720" s="124" t="s">
        <v>2946</v>
      </c>
      <c r="G2720" s="45">
        <f>ROUND((ROUNDDOWN($F2720/5,0)*5+1.8)/Basis!$E$3,1)</f>
        <v>4.5999999999999996</v>
      </c>
      <c r="H2720" s="120">
        <f>ROUND($P2720*Basis!$E$2*((TaH-TrH)/LN(1/µ)/Basis!$E$7)^$N2720*$AA$4*Glycol,0)</f>
        <v>4111</v>
      </c>
      <c r="I2720" s="83">
        <f>ROUND(H2720/(MID($C2720,9,3)/Basis!$E$3/Basis!$E$9)*Basis!$E$11,0)</f>
        <v>1139</v>
      </c>
      <c r="J2720" s="123">
        <f>IF(Basis!$E$1=1,ROUND(H2720/((TaH-TrH)*1.163)/3600,3),ROUND(H2720/(500*(TaH-TrH)),2))</f>
        <v>0.41</v>
      </c>
      <c r="K2720" s="84"/>
      <c r="L2720" s="177">
        <f>CHOOSE(Basis!$E$1,((AJ2720*(J2720*3600/Basis!$E$5)^AK2720*(((MID(C2720,9,3)*10)-144)/1000)*AL2720+AM2720*(J2720*3600/Basis!$E$5)^2)*0.0098)/Basis!$E$10,((AJ2720*(J2720/Basis!$E$5)^AK2720*(((MID(C2720,9,3)*10)-144)/1000)*AL2720+AM2720*(J2720/Basis!$E$5)^2)*0.0098)/Basis!$E$10)</f>
        <v>2.9201853299195661E-2</v>
      </c>
      <c r="M2720" s="85"/>
      <c r="N2720" s="110">
        <v>1.4339999999999999</v>
      </c>
      <c r="O2720" s="74"/>
      <c r="P2720" s="73">
        <v>1934</v>
      </c>
      <c r="Q2720" s="74"/>
      <c r="R2720" s="75"/>
      <c r="S2720" s="75"/>
      <c r="T2720" s="75"/>
      <c r="U2720" s="75"/>
      <c r="V2720" s="75"/>
      <c r="W2720" s="74"/>
      <c r="X2720" s="76"/>
      <c r="Y2720" s="76"/>
      <c r="Z2720" s="76"/>
      <c r="AA2720" s="76"/>
      <c r="AB2720" s="76"/>
      <c r="AC2720" s="74"/>
      <c r="AD2720" s="77"/>
      <c r="AE2720" s="77"/>
      <c r="AF2720" s="77"/>
      <c r="AG2720" s="77"/>
      <c r="AH2720" s="77"/>
      <c r="AI2720" s="68"/>
      <c r="AJ2720" s="213">
        <v>3.9689999999999994E-4</v>
      </c>
      <c r="AK2720" s="213">
        <v>1.7345999999999999</v>
      </c>
      <c r="AL2720" s="213">
        <v>4</v>
      </c>
      <c r="AM2720" s="213">
        <v>5.7428799999999995E-4</v>
      </c>
      <c r="AN2720" s="74"/>
      <c r="AO2720" s="73"/>
      <c r="AP2720" s="73"/>
      <c r="AQ2720" s="73"/>
      <c r="AR2720" s="73"/>
      <c r="AS2720" s="73"/>
      <c r="AT2720" s="74"/>
      <c r="AU2720" s="47"/>
      <c r="AV2720" s="48"/>
    </row>
    <row r="2721" spans="1:48" ht="12.75" customHeight="1" x14ac:dyDescent="0.25">
      <c r="A2721" s="72" t="s">
        <v>20</v>
      </c>
      <c r="B2721" s="43" t="s">
        <v>2240</v>
      </c>
      <c r="C2721" s="44" t="s">
        <v>2879</v>
      </c>
      <c r="D2721" s="45">
        <f>MROUND(MID($C2721,6,3)/Basis!$E$3,0.5)</f>
        <v>35.5</v>
      </c>
      <c r="E2721" s="45">
        <f>MROUND(MID($C2721,9,3)/Basis!$E$3,0.5)</f>
        <v>43.5</v>
      </c>
      <c r="F2721" s="124" t="s">
        <v>2944</v>
      </c>
      <c r="G2721" s="45">
        <f>ROUND((ROUNDDOWN($F2721/5,0)*5+1.8)/Basis!$E$3,1)</f>
        <v>6.6</v>
      </c>
      <c r="H2721" s="120">
        <f>ROUND($P2721*Basis!$E$2*((TaH-TrH)/LN(1/µ)/Basis!$E$7)^$N2721*$AA$4*Glycol,0)</f>
        <v>5137</v>
      </c>
      <c r="I2721" s="83">
        <f>ROUND(H2721/(MID($C2721,9,3)/Basis!$E$3/Basis!$E$9)*Basis!$E$11,0)</f>
        <v>1423</v>
      </c>
      <c r="J2721" s="123">
        <f>IF(Basis!$E$1=1,ROUND(H2721/((TaH-TrH)*1.163)/3600,3),ROUND(H2721/(500*(TaH-TrH)),2))</f>
        <v>0.51</v>
      </c>
      <c r="K2721" s="84"/>
      <c r="L2721" s="177">
        <f>CHOOSE(Basis!$E$1,((AJ2721*(J2721*3600/Basis!$E$5)^AK2721*(((MID(C2721,9,3)*10)-144)/1000)*AL2721+AM2721*(J2721*3600/Basis!$E$5)^2)*0.0098)/Basis!$E$10,((AJ2721*(J2721/Basis!$E$5)^AK2721*(((MID(C2721,9,3)*10)-144)/1000)*AL2721+AM2721*(J2721/Basis!$E$5)^2)*0.0098)/Basis!$E$10)</f>
        <v>2.4967898735454578E-2</v>
      </c>
      <c r="M2721" s="85"/>
      <c r="N2721" s="110">
        <v>1.3260000000000001</v>
      </c>
      <c r="O2721" s="74"/>
      <c r="P2721" s="73">
        <v>2332</v>
      </c>
      <c r="Q2721" s="74"/>
      <c r="R2721" s="75"/>
      <c r="S2721" s="75"/>
      <c r="T2721" s="75"/>
      <c r="U2721" s="75"/>
      <c r="V2721" s="75"/>
      <c r="W2721" s="74"/>
      <c r="X2721" s="76"/>
      <c r="Y2721" s="76"/>
      <c r="Z2721" s="76"/>
      <c r="AA2721" s="76"/>
      <c r="AB2721" s="76"/>
      <c r="AC2721" s="74"/>
      <c r="AD2721" s="77"/>
      <c r="AE2721" s="77"/>
      <c r="AF2721" s="77"/>
      <c r="AG2721" s="77"/>
      <c r="AH2721" s="77"/>
      <c r="AI2721" s="68"/>
      <c r="AJ2721" s="213">
        <v>2.0829999999999999E-4</v>
      </c>
      <c r="AK2721" s="213">
        <v>1.724</v>
      </c>
      <c r="AL2721" s="213">
        <v>2</v>
      </c>
      <c r="AM2721" s="213">
        <v>4.6182900000000003E-4</v>
      </c>
      <c r="AN2721" s="74"/>
      <c r="AO2721" s="73"/>
      <c r="AP2721" s="73"/>
      <c r="AQ2721" s="73"/>
      <c r="AR2721" s="73"/>
      <c r="AS2721" s="73"/>
      <c r="AT2721" s="74"/>
      <c r="AU2721" s="47"/>
      <c r="AV2721" s="48"/>
    </row>
    <row r="2722" spans="1:48" ht="12.75" customHeight="1" x14ac:dyDescent="0.25">
      <c r="A2722" s="72" t="s">
        <v>20</v>
      </c>
      <c r="B2722" s="43" t="s">
        <v>2240</v>
      </c>
      <c r="C2722" s="44" t="s">
        <v>2880</v>
      </c>
      <c r="D2722" s="45">
        <f>MROUND(MID($C2722,6,3)/Basis!$E$3,0.5)</f>
        <v>35.5</v>
      </c>
      <c r="E2722" s="45">
        <f>MROUND(MID($C2722,9,3)/Basis!$E$3,0.5)</f>
        <v>43.5</v>
      </c>
      <c r="F2722" s="124" t="s">
        <v>2947</v>
      </c>
      <c r="G2722" s="45">
        <f>ROUND((ROUNDDOWN($F2722/5,0)*5+1.8)/Basis!$E$3,1)</f>
        <v>6.6</v>
      </c>
      <c r="H2722" s="120">
        <f>ROUND($P2722*Basis!$E$2*((TaH-TrH)/LN(1/µ)/Basis!$E$7)^$N2722*$AA$4*Glycol,0)</f>
        <v>5979</v>
      </c>
      <c r="I2722" s="83">
        <f>ROUND(H2722/(MID($C2722,9,3)/Basis!$E$3/Basis!$E$9)*Basis!$E$11,0)</f>
        <v>1657</v>
      </c>
      <c r="J2722" s="123">
        <f>IF(Basis!$E$1=1,ROUND(H2722/((TaH-TrH)*1.163)/3600,3),ROUND(H2722/(500*(TaH-TrH)),2))</f>
        <v>0.6</v>
      </c>
      <c r="K2722" s="84"/>
      <c r="L2722" s="177">
        <f>CHOOSE(Basis!$E$1,((AJ2722*(J2722*3600/Basis!$E$5)^AK2722*(((MID(C2722,9,3)*10)-144)/1000)*AL2722+AM2722*(J2722*3600/Basis!$E$5)^2)*0.0098)/Basis!$E$10,((AJ2722*(J2722/Basis!$E$5)^AK2722*(((MID(C2722,9,3)*10)-144)/1000)*AL2722+AM2722*(J2722/Basis!$E$5)^2)*0.0098)/Basis!$E$10)</f>
        <v>9.7030386249295192E-2</v>
      </c>
      <c r="M2722" s="85"/>
      <c r="N2722" s="109">
        <v>1.48</v>
      </c>
      <c r="O2722" s="68"/>
      <c r="P2722" s="67">
        <v>2856</v>
      </c>
      <c r="Q2722" s="68"/>
      <c r="R2722" s="69"/>
      <c r="S2722" s="69"/>
      <c r="T2722" s="69"/>
      <c r="U2722" s="69"/>
      <c r="V2722" s="69"/>
      <c r="W2722" s="68"/>
      <c r="X2722" s="70"/>
      <c r="Y2722" s="70"/>
      <c r="Z2722" s="70"/>
      <c r="AA2722" s="70"/>
      <c r="AB2722" s="70"/>
      <c r="AC2722" s="68"/>
      <c r="AD2722" s="71"/>
      <c r="AE2722" s="71"/>
      <c r="AF2722" s="71"/>
      <c r="AG2722" s="71"/>
      <c r="AH2722" s="71"/>
      <c r="AI2722" s="68"/>
      <c r="AJ2722" s="214">
        <v>2.0829999999999999E-4</v>
      </c>
      <c r="AK2722" s="214">
        <v>1.724</v>
      </c>
      <c r="AL2722" s="214">
        <v>4</v>
      </c>
      <c r="AM2722" s="214">
        <v>1.392796E-3</v>
      </c>
      <c r="AN2722" s="68"/>
      <c r="AO2722" s="67"/>
      <c r="AP2722" s="67"/>
      <c r="AQ2722" s="67"/>
      <c r="AR2722" s="67"/>
      <c r="AS2722" s="67"/>
      <c r="AT2722" s="68"/>
      <c r="AU2722" s="49"/>
      <c r="AV2722" s="50"/>
    </row>
    <row r="2723" spans="1:48" ht="12.75" customHeight="1" x14ac:dyDescent="0.25">
      <c r="A2723" s="72" t="s">
        <v>20</v>
      </c>
      <c r="B2723" s="43" t="s">
        <v>2240</v>
      </c>
      <c r="C2723" s="44" t="s">
        <v>2881</v>
      </c>
      <c r="D2723" s="45">
        <f>MROUND(MID($C2723,6,3)/Basis!$E$3,0.5)</f>
        <v>35.5</v>
      </c>
      <c r="E2723" s="45">
        <f>MROUND(MID($C2723,9,3)/Basis!$E$3,0.5)</f>
        <v>43.5</v>
      </c>
      <c r="F2723" s="124" t="s">
        <v>2945</v>
      </c>
      <c r="G2723" s="45">
        <f>ROUND((ROUNDDOWN($F2723/5,0)*5+1.8)/Basis!$E$3,1)</f>
        <v>8.6</v>
      </c>
      <c r="H2723" s="120">
        <f>ROUND($P2723*Basis!$E$2*((TaH-TrH)/LN(1/µ)/Basis!$E$7)^$N2723*$AA$4*Glycol,0)</f>
        <v>7165</v>
      </c>
      <c r="I2723" s="83">
        <f>ROUND(H2723/(MID($C2723,9,3)/Basis!$E$3/Basis!$E$9)*Basis!$E$11,0)</f>
        <v>1985</v>
      </c>
      <c r="J2723" s="123">
        <f>IF(Basis!$E$1=1,ROUND(H2723/((TaH-TrH)*1.163)/3600,3),ROUND(H2723/(500*(TaH-TrH)),2))</f>
        <v>0.72</v>
      </c>
      <c r="K2723" s="84"/>
      <c r="L2723" s="177">
        <f>CHOOSE(Basis!$E$1,((AJ2723*(J2723*3600/Basis!$E$5)^AK2723*(((MID(C2723,9,3)*10)-144)/1000)*AL2723+AM2723*(J2723*3600/Basis!$E$5)^2)*0.0098)/Basis!$E$10,((AJ2723*(J2723/Basis!$E$5)^AK2723*(((MID(C2723,9,3)*10)-144)/1000)*AL2723+AM2723*(J2723/Basis!$E$5)^2)*0.0098)/Basis!$E$10)</f>
        <v>3.809976424893418E-2</v>
      </c>
      <c r="M2723" s="85"/>
      <c r="N2723" s="109">
        <v>1.3260000000000001</v>
      </c>
      <c r="O2723" s="68"/>
      <c r="P2723" s="67">
        <v>3253</v>
      </c>
      <c r="Q2723" s="68"/>
      <c r="R2723" s="69"/>
      <c r="S2723" s="69"/>
      <c r="T2723" s="69"/>
      <c r="U2723" s="69"/>
      <c r="V2723" s="69"/>
      <c r="W2723" s="68"/>
      <c r="X2723" s="70"/>
      <c r="Y2723" s="70"/>
      <c r="Z2723" s="70"/>
      <c r="AA2723" s="70"/>
      <c r="AB2723" s="70"/>
      <c r="AC2723" s="68"/>
      <c r="AD2723" s="71"/>
      <c r="AE2723" s="71"/>
      <c r="AF2723" s="71"/>
      <c r="AG2723" s="71"/>
      <c r="AH2723" s="71"/>
      <c r="AI2723" s="68"/>
      <c r="AJ2723" s="214">
        <v>1.2760000000000001E-4</v>
      </c>
      <c r="AK2723" s="214">
        <v>1.7219</v>
      </c>
      <c r="AL2723" s="214">
        <v>2</v>
      </c>
      <c r="AM2723" s="214">
        <v>3.76611E-4</v>
      </c>
      <c r="AN2723" s="68"/>
      <c r="AO2723" s="67"/>
      <c r="AP2723" s="67"/>
      <c r="AQ2723" s="67"/>
      <c r="AR2723" s="67"/>
      <c r="AS2723" s="67"/>
      <c r="AT2723" s="68"/>
      <c r="AU2723" s="49"/>
      <c r="AV2723" s="50"/>
    </row>
    <row r="2724" spans="1:48" ht="12.75" customHeight="1" x14ac:dyDescent="0.25">
      <c r="A2724" s="72" t="s">
        <v>20</v>
      </c>
      <c r="B2724" s="43" t="s">
        <v>2240</v>
      </c>
      <c r="C2724" s="44" t="s">
        <v>2882</v>
      </c>
      <c r="D2724" s="45">
        <f>MROUND(MID($C2724,6,3)/Basis!$E$3,0.5)</f>
        <v>35.5</v>
      </c>
      <c r="E2724" s="45">
        <f>MROUND(MID($C2724,9,3)/Basis!$E$3,0.5)</f>
        <v>43.5</v>
      </c>
      <c r="F2724" s="124" t="s">
        <v>2948</v>
      </c>
      <c r="G2724" s="45">
        <f>ROUND((ROUNDDOWN($F2724/5,0)*5+1.8)/Basis!$E$3,1)</f>
        <v>8.6</v>
      </c>
      <c r="H2724" s="120">
        <f>ROUND($P2724*Basis!$E$2*((TaH-TrH)/LN(1/µ)/Basis!$E$7)^$N2724*$AA$4*Glycol,0)</f>
        <v>8574</v>
      </c>
      <c r="I2724" s="83">
        <f>ROUND(H2724/(MID($C2724,9,3)/Basis!$E$3/Basis!$E$9)*Basis!$E$11,0)</f>
        <v>2376</v>
      </c>
      <c r="J2724" s="123">
        <f>IF(Basis!$E$1=1,ROUND(H2724/((TaH-TrH)*1.163)/3600,3),ROUND(H2724/(500*(TaH-TrH)),2))</f>
        <v>0.86</v>
      </c>
      <c r="K2724" s="84"/>
      <c r="L2724" s="177">
        <f>CHOOSE(Basis!$E$1,((AJ2724*(J2724*3600/Basis!$E$5)^AK2724*(((MID(C2724,9,3)*10)-144)/1000)*AL2724+AM2724*(J2724*3600/Basis!$E$5)^2)*0.0098)/Basis!$E$10,((AJ2724*(J2724/Basis!$E$5)^AK2724*(((MID(C2724,9,3)*10)-144)/1000)*AL2724+AM2724*(J2724/Basis!$E$5)^2)*0.0098)/Basis!$E$10)</f>
        <v>7.8185048374375538E-2</v>
      </c>
      <c r="M2724" s="85"/>
      <c r="N2724" s="110">
        <v>1.518</v>
      </c>
      <c r="O2724" s="74"/>
      <c r="P2724" s="73">
        <v>4147</v>
      </c>
      <c r="Q2724" s="74"/>
      <c r="R2724" s="75"/>
      <c r="S2724" s="75"/>
      <c r="T2724" s="75"/>
      <c r="U2724" s="75"/>
      <c r="V2724" s="75"/>
      <c r="W2724" s="74"/>
      <c r="X2724" s="76"/>
      <c r="Y2724" s="76"/>
      <c r="Z2724" s="76"/>
      <c r="AA2724" s="76"/>
      <c r="AB2724" s="76"/>
      <c r="AC2724" s="74"/>
      <c r="AD2724" s="77"/>
      <c r="AE2724" s="77"/>
      <c r="AF2724" s="77"/>
      <c r="AG2724" s="77"/>
      <c r="AH2724" s="77"/>
      <c r="AI2724" s="68"/>
      <c r="AJ2724" s="213">
        <v>1.2760000000000001E-4</v>
      </c>
      <c r="AK2724" s="213">
        <v>1.7219</v>
      </c>
      <c r="AL2724" s="213">
        <v>4</v>
      </c>
      <c r="AM2724" s="213">
        <v>5.1420100000000005E-4</v>
      </c>
      <c r="AN2724" s="74"/>
      <c r="AO2724" s="73"/>
      <c r="AP2724" s="73"/>
      <c r="AQ2724" s="73"/>
      <c r="AR2724" s="73"/>
      <c r="AS2724" s="73"/>
      <c r="AT2724" s="74"/>
      <c r="AU2724" s="47"/>
      <c r="AV2724" s="48"/>
    </row>
    <row r="2725" spans="1:48" ht="12.75" customHeight="1" x14ac:dyDescent="0.25">
      <c r="A2725" s="72" t="s">
        <v>20</v>
      </c>
      <c r="B2725" s="43" t="s">
        <v>2240</v>
      </c>
      <c r="C2725" s="44" t="s">
        <v>2883</v>
      </c>
      <c r="D2725" s="45">
        <f>MROUND(MID($C2725,6,3)/Basis!$E$3,0.5)</f>
        <v>35.5</v>
      </c>
      <c r="E2725" s="45">
        <f>MROUND(MID($C2725,9,3)/Basis!$E$3,0.5)</f>
        <v>47</v>
      </c>
      <c r="F2725" s="124" t="s">
        <v>2943</v>
      </c>
      <c r="G2725" s="45">
        <f>ROUND((ROUNDDOWN($F2725/5,0)*5+1.8)/Basis!$E$3,1)</f>
        <v>4.5999999999999996</v>
      </c>
      <c r="H2725" s="120">
        <f>ROUND($P2725*Basis!$E$2*((TaH-TrH)/LN(1/µ)/Basis!$E$7)^$N2725*$AA$4*Glycol,0)</f>
        <v>3593</v>
      </c>
      <c r="I2725" s="83">
        <f>ROUND(H2725/(MID($C2725,9,3)/Basis!$E$3/Basis!$E$9)*Basis!$E$11,0)</f>
        <v>913</v>
      </c>
      <c r="J2725" s="123">
        <f>IF(Basis!$E$1=1,ROUND(H2725/((TaH-TrH)*1.163)/3600,3),ROUND(H2725/(500*(TaH-TrH)),2))</f>
        <v>0.36</v>
      </c>
      <c r="K2725" s="84"/>
      <c r="L2725" s="177">
        <f>CHOOSE(Basis!$E$1,((AJ2725*(J2725*3600/Basis!$E$5)^AK2725*(((MID(C2725,9,3)*10)-144)/1000)*AL2725+AM2725*(J2725*3600/Basis!$E$5)^2)*0.0098)/Basis!$E$10,((AJ2725*(J2725/Basis!$E$5)^AK2725*(((MID(C2725,9,3)*10)-144)/1000)*AL2725+AM2725*(J2725/Basis!$E$5)^2)*0.0098)/Basis!$E$10)</f>
        <v>1.3724186733245053E-2</v>
      </c>
      <c r="M2725" s="85"/>
      <c r="N2725" s="110">
        <v>1.3480000000000001</v>
      </c>
      <c r="O2725" s="74"/>
      <c r="P2725" s="73">
        <v>1643</v>
      </c>
      <c r="Q2725" s="74"/>
      <c r="R2725" s="75"/>
      <c r="S2725" s="75"/>
      <c r="T2725" s="75"/>
      <c r="U2725" s="75"/>
      <c r="V2725" s="75"/>
      <c r="W2725" s="74"/>
      <c r="X2725" s="76"/>
      <c r="Y2725" s="76"/>
      <c r="Z2725" s="76"/>
      <c r="AA2725" s="76"/>
      <c r="AB2725" s="76"/>
      <c r="AC2725" s="74"/>
      <c r="AD2725" s="77"/>
      <c r="AE2725" s="77"/>
      <c r="AF2725" s="77"/>
      <c r="AG2725" s="77"/>
      <c r="AH2725" s="77"/>
      <c r="AI2725" s="68"/>
      <c r="AJ2725" s="213">
        <v>3.9689999999999994E-4</v>
      </c>
      <c r="AK2725" s="213">
        <v>1.7345999999999999</v>
      </c>
      <c r="AL2725" s="213">
        <v>2</v>
      </c>
      <c r="AM2725" s="213">
        <v>3.6734700000000002E-4</v>
      </c>
      <c r="AN2725" s="74"/>
      <c r="AO2725" s="73"/>
      <c r="AP2725" s="73"/>
      <c r="AQ2725" s="73"/>
      <c r="AR2725" s="73"/>
      <c r="AS2725" s="73"/>
      <c r="AT2725" s="74"/>
      <c r="AU2725" s="47"/>
      <c r="AV2725" s="48"/>
    </row>
    <row r="2726" spans="1:48" ht="12.75" customHeight="1" x14ac:dyDescent="0.25">
      <c r="A2726" s="72" t="s">
        <v>20</v>
      </c>
      <c r="B2726" s="43" t="s">
        <v>2240</v>
      </c>
      <c r="C2726" s="44" t="s">
        <v>2884</v>
      </c>
      <c r="D2726" s="45">
        <f>MROUND(MID($C2726,6,3)/Basis!$E$3,0.5)</f>
        <v>35.5</v>
      </c>
      <c r="E2726" s="45">
        <f>MROUND(MID($C2726,9,3)/Basis!$E$3,0.5)</f>
        <v>47</v>
      </c>
      <c r="F2726" s="124" t="s">
        <v>2946</v>
      </c>
      <c r="G2726" s="45">
        <f>ROUND((ROUNDDOWN($F2726/5,0)*5+1.8)/Basis!$E$3,1)</f>
        <v>4.5999999999999996</v>
      </c>
      <c r="H2726" s="120">
        <f>ROUND($P2726*Basis!$E$2*((TaH-TrH)/LN(1/µ)/Basis!$E$7)^$N2726*$AA$4*Glycol,0)</f>
        <v>4485</v>
      </c>
      <c r="I2726" s="83">
        <f>ROUND(H2726/(MID($C2726,9,3)/Basis!$E$3/Basis!$E$9)*Basis!$E$11,0)</f>
        <v>1139</v>
      </c>
      <c r="J2726" s="123">
        <f>IF(Basis!$E$1=1,ROUND(H2726/((TaH-TrH)*1.163)/3600,3),ROUND(H2726/(500*(TaH-TrH)),2))</f>
        <v>0.45</v>
      </c>
      <c r="K2726" s="84"/>
      <c r="L2726" s="177">
        <f>CHOOSE(Basis!$E$1,((AJ2726*(J2726*3600/Basis!$E$5)^AK2726*(((MID(C2726,9,3)*10)-144)/1000)*AL2726+AM2726*(J2726*3600/Basis!$E$5)^2)*0.0098)/Basis!$E$10,((AJ2726*(J2726/Basis!$E$5)^AK2726*(((MID(C2726,9,3)*10)-144)/1000)*AL2726+AM2726*(J2726/Basis!$E$5)^2)*0.0098)/Basis!$E$10)</f>
        <v>3.6386096444901678E-2</v>
      </c>
      <c r="M2726" s="85"/>
      <c r="N2726" s="109">
        <v>1.4339999999999999</v>
      </c>
      <c r="O2726" s="68"/>
      <c r="P2726" s="67">
        <v>2110</v>
      </c>
      <c r="Q2726" s="68"/>
      <c r="R2726" s="69"/>
      <c r="S2726" s="69"/>
      <c r="T2726" s="69"/>
      <c r="U2726" s="69"/>
      <c r="V2726" s="69"/>
      <c r="W2726" s="68"/>
      <c r="X2726" s="70"/>
      <c r="Y2726" s="70"/>
      <c r="Z2726" s="70"/>
      <c r="AA2726" s="70"/>
      <c r="AB2726" s="70"/>
      <c r="AC2726" s="68"/>
      <c r="AD2726" s="71"/>
      <c r="AE2726" s="71"/>
      <c r="AF2726" s="71"/>
      <c r="AG2726" s="71"/>
      <c r="AH2726" s="71"/>
      <c r="AI2726" s="68"/>
      <c r="AJ2726" s="214">
        <v>3.9689999999999994E-4</v>
      </c>
      <c r="AK2726" s="214">
        <v>1.7345999999999999</v>
      </c>
      <c r="AL2726" s="214">
        <v>4</v>
      </c>
      <c r="AM2726" s="214">
        <v>5.7428799999999995E-4</v>
      </c>
      <c r="AN2726" s="68"/>
      <c r="AO2726" s="67"/>
      <c r="AP2726" s="67"/>
      <c r="AQ2726" s="67"/>
      <c r="AR2726" s="67"/>
      <c r="AS2726" s="67"/>
      <c r="AT2726" s="68"/>
      <c r="AU2726" s="49"/>
      <c r="AV2726" s="50"/>
    </row>
    <row r="2727" spans="1:48" ht="12.75" customHeight="1" x14ac:dyDescent="0.25">
      <c r="A2727" s="72" t="s">
        <v>20</v>
      </c>
      <c r="B2727" s="43" t="s">
        <v>2240</v>
      </c>
      <c r="C2727" s="44" t="s">
        <v>2885</v>
      </c>
      <c r="D2727" s="45">
        <f>MROUND(MID($C2727,6,3)/Basis!$E$3,0.5)</f>
        <v>35.5</v>
      </c>
      <c r="E2727" s="45">
        <f>MROUND(MID($C2727,9,3)/Basis!$E$3,0.5)</f>
        <v>47</v>
      </c>
      <c r="F2727" s="124" t="s">
        <v>2944</v>
      </c>
      <c r="G2727" s="45">
        <f>ROUND((ROUNDDOWN($F2727/5,0)*5+1.8)/Basis!$E$3,1)</f>
        <v>6.6</v>
      </c>
      <c r="H2727" s="120">
        <f>ROUND($P2727*Basis!$E$2*((TaH-TrH)/LN(1/µ)/Basis!$E$7)^$N2727*$AA$4*Glycol,0)</f>
        <v>5604</v>
      </c>
      <c r="I2727" s="83">
        <f>ROUND(H2727/(MID($C2727,9,3)/Basis!$E$3/Basis!$E$9)*Basis!$E$11,0)</f>
        <v>1423</v>
      </c>
      <c r="J2727" s="123">
        <f>IF(Basis!$E$1=1,ROUND(H2727/((TaH-TrH)*1.163)/3600,3),ROUND(H2727/(500*(TaH-TrH)),2))</f>
        <v>0.56000000000000005</v>
      </c>
      <c r="K2727" s="84"/>
      <c r="L2727" s="177">
        <f>CHOOSE(Basis!$E$1,((AJ2727*(J2727*3600/Basis!$E$5)^AK2727*(((MID(C2727,9,3)*10)-144)/1000)*AL2727+AM2727*(J2727*3600/Basis!$E$5)^2)*0.0098)/Basis!$E$10,((AJ2727*(J2727/Basis!$E$5)^AK2727*(((MID(C2727,9,3)*10)-144)/1000)*AL2727+AM2727*(J2727/Basis!$E$5)^2)*0.0098)/Basis!$E$10)</f>
        <v>3.0537436140340664E-2</v>
      </c>
      <c r="M2727" s="85"/>
      <c r="N2727" s="109">
        <v>1.3260000000000001</v>
      </c>
      <c r="O2727" s="68"/>
      <c r="P2727" s="67">
        <v>2544</v>
      </c>
      <c r="Q2727" s="68"/>
      <c r="R2727" s="69"/>
      <c r="S2727" s="69"/>
      <c r="T2727" s="69"/>
      <c r="U2727" s="69"/>
      <c r="V2727" s="69"/>
      <c r="W2727" s="68"/>
      <c r="X2727" s="70"/>
      <c r="Y2727" s="70"/>
      <c r="Z2727" s="70"/>
      <c r="AA2727" s="70"/>
      <c r="AB2727" s="70"/>
      <c r="AC2727" s="68"/>
      <c r="AD2727" s="71"/>
      <c r="AE2727" s="71"/>
      <c r="AF2727" s="71"/>
      <c r="AG2727" s="71"/>
      <c r="AH2727" s="71"/>
      <c r="AI2727" s="68"/>
      <c r="AJ2727" s="214">
        <v>2.0829999999999999E-4</v>
      </c>
      <c r="AK2727" s="214">
        <v>1.724</v>
      </c>
      <c r="AL2727" s="214">
        <v>2</v>
      </c>
      <c r="AM2727" s="214">
        <v>4.6182900000000003E-4</v>
      </c>
      <c r="AN2727" s="68"/>
      <c r="AO2727" s="67"/>
      <c r="AP2727" s="67"/>
      <c r="AQ2727" s="67"/>
      <c r="AR2727" s="67"/>
      <c r="AS2727" s="67"/>
      <c r="AT2727" s="68"/>
      <c r="AU2727" s="49"/>
      <c r="AV2727" s="50"/>
    </row>
    <row r="2728" spans="1:48" ht="12.75" customHeight="1" x14ac:dyDescent="0.25">
      <c r="A2728" s="72" t="s">
        <v>20</v>
      </c>
      <c r="B2728" s="43" t="s">
        <v>2240</v>
      </c>
      <c r="C2728" s="44" t="s">
        <v>2886</v>
      </c>
      <c r="D2728" s="45">
        <f>MROUND(MID($C2728,6,3)/Basis!$E$3,0.5)</f>
        <v>35.5</v>
      </c>
      <c r="E2728" s="45">
        <f>MROUND(MID($C2728,9,3)/Basis!$E$3,0.5)</f>
        <v>47</v>
      </c>
      <c r="F2728" s="124" t="s">
        <v>2947</v>
      </c>
      <c r="G2728" s="45">
        <f>ROUND((ROUNDDOWN($F2728/5,0)*5+1.8)/Basis!$E$3,1)</f>
        <v>6.6</v>
      </c>
      <c r="H2728" s="120">
        <f>ROUND($P2728*Basis!$E$2*((TaH-TrH)/LN(1/µ)/Basis!$E$7)^$N2728*$AA$4*Glycol,0)</f>
        <v>6521</v>
      </c>
      <c r="I2728" s="83">
        <f>ROUND(H2728/(MID($C2728,9,3)/Basis!$E$3/Basis!$E$9)*Basis!$E$11,0)</f>
        <v>1656</v>
      </c>
      <c r="J2728" s="123">
        <f>IF(Basis!$E$1=1,ROUND(H2728/((TaH-TrH)*1.163)/3600,3),ROUND(H2728/(500*(TaH-TrH)),2))</f>
        <v>0.65</v>
      </c>
      <c r="K2728" s="84"/>
      <c r="L2728" s="177">
        <f>CHOOSE(Basis!$E$1,((AJ2728*(J2728*3600/Basis!$E$5)^AK2728*(((MID(C2728,9,3)*10)-144)/1000)*AL2728+AM2728*(J2728*3600/Basis!$E$5)^2)*0.0098)/Basis!$E$10,((AJ2728*(J2728/Basis!$E$5)^AK2728*(((MID(C2728,9,3)*10)-144)/1000)*AL2728+AM2728*(J2728/Basis!$E$5)^2)*0.0098)/Basis!$E$10)</f>
        <v>0.11505245290597133</v>
      </c>
      <c r="M2728" s="85"/>
      <c r="N2728" s="110">
        <v>1.48</v>
      </c>
      <c r="O2728" s="74"/>
      <c r="P2728" s="73">
        <v>3115</v>
      </c>
      <c r="Q2728" s="74"/>
      <c r="R2728" s="75"/>
      <c r="S2728" s="75"/>
      <c r="T2728" s="75"/>
      <c r="U2728" s="75"/>
      <c r="V2728" s="75"/>
      <c r="W2728" s="74"/>
      <c r="X2728" s="76"/>
      <c r="Y2728" s="76"/>
      <c r="Z2728" s="76"/>
      <c r="AA2728" s="76"/>
      <c r="AB2728" s="76"/>
      <c r="AC2728" s="74"/>
      <c r="AD2728" s="77"/>
      <c r="AE2728" s="77"/>
      <c r="AF2728" s="77"/>
      <c r="AG2728" s="77"/>
      <c r="AH2728" s="77"/>
      <c r="AI2728" s="68"/>
      <c r="AJ2728" s="213">
        <v>2.0829999999999999E-4</v>
      </c>
      <c r="AK2728" s="213">
        <v>1.724</v>
      </c>
      <c r="AL2728" s="213">
        <v>4</v>
      </c>
      <c r="AM2728" s="213">
        <v>1.392796E-3</v>
      </c>
      <c r="AN2728" s="74"/>
      <c r="AO2728" s="73"/>
      <c r="AP2728" s="73"/>
      <c r="AQ2728" s="73"/>
      <c r="AR2728" s="73"/>
      <c r="AS2728" s="73"/>
      <c r="AT2728" s="74"/>
      <c r="AU2728" s="47"/>
      <c r="AV2728" s="48"/>
    </row>
    <row r="2729" spans="1:48" ht="12.75" customHeight="1" x14ac:dyDescent="0.25">
      <c r="A2729" s="72" t="s">
        <v>20</v>
      </c>
      <c r="B2729" s="43" t="s">
        <v>2240</v>
      </c>
      <c r="C2729" s="44" t="s">
        <v>2887</v>
      </c>
      <c r="D2729" s="45">
        <f>MROUND(MID($C2729,6,3)/Basis!$E$3,0.5)</f>
        <v>35.5</v>
      </c>
      <c r="E2729" s="45">
        <f>MROUND(MID($C2729,9,3)/Basis!$E$3,0.5)</f>
        <v>47</v>
      </c>
      <c r="F2729" s="124" t="s">
        <v>2945</v>
      </c>
      <c r="G2729" s="45">
        <f>ROUND((ROUNDDOWN($F2729/5,0)*5+1.8)/Basis!$E$3,1)</f>
        <v>8.6</v>
      </c>
      <c r="H2729" s="120">
        <f>ROUND($P2729*Basis!$E$2*((TaH-TrH)/LN(1/µ)/Basis!$E$7)^$N2729*$AA$4*Glycol,0)</f>
        <v>7815</v>
      </c>
      <c r="I2729" s="83">
        <f>ROUND(H2729/(MID($C2729,9,3)/Basis!$E$3/Basis!$E$9)*Basis!$E$11,0)</f>
        <v>1985</v>
      </c>
      <c r="J2729" s="123">
        <f>IF(Basis!$E$1=1,ROUND(H2729/((TaH-TrH)*1.163)/3600,3),ROUND(H2729/(500*(TaH-TrH)),2))</f>
        <v>0.78</v>
      </c>
      <c r="K2729" s="84"/>
      <c r="L2729" s="177">
        <f>CHOOSE(Basis!$E$1,((AJ2729*(J2729*3600/Basis!$E$5)^AK2729*(((MID(C2729,9,3)*10)-144)/1000)*AL2729+AM2729*(J2729*3600/Basis!$E$5)^2)*0.0098)/Basis!$E$10,((AJ2729*(J2729/Basis!$E$5)^AK2729*(((MID(C2729,9,3)*10)-144)/1000)*AL2729+AM2729*(J2729/Basis!$E$5)^2)*0.0098)/Basis!$E$10)</f>
        <v>4.5201394205827507E-2</v>
      </c>
      <c r="M2729" s="85"/>
      <c r="N2729" s="110">
        <v>1.3260000000000001</v>
      </c>
      <c r="O2729" s="74"/>
      <c r="P2729" s="73">
        <v>3548</v>
      </c>
      <c r="Q2729" s="74"/>
      <c r="R2729" s="75"/>
      <c r="S2729" s="75"/>
      <c r="T2729" s="75"/>
      <c r="U2729" s="75"/>
      <c r="V2729" s="75"/>
      <c r="W2729" s="74"/>
      <c r="X2729" s="76"/>
      <c r="Y2729" s="76"/>
      <c r="Z2729" s="76"/>
      <c r="AA2729" s="76"/>
      <c r="AB2729" s="76"/>
      <c r="AC2729" s="74"/>
      <c r="AD2729" s="77"/>
      <c r="AE2729" s="77"/>
      <c r="AF2729" s="77"/>
      <c r="AG2729" s="77"/>
      <c r="AH2729" s="77"/>
      <c r="AI2729" s="68"/>
      <c r="AJ2729" s="214">
        <v>1.2760000000000001E-4</v>
      </c>
      <c r="AK2729" s="214">
        <v>1.7219</v>
      </c>
      <c r="AL2729" s="214">
        <v>2</v>
      </c>
      <c r="AM2729" s="214">
        <v>3.76611E-4</v>
      </c>
      <c r="AN2729" s="74"/>
      <c r="AO2729" s="73"/>
      <c r="AP2729" s="73"/>
      <c r="AQ2729" s="73"/>
      <c r="AR2729" s="73"/>
      <c r="AS2729" s="73"/>
      <c r="AT2729" s="74"/>
      <c r="AU2729" s="47"/>
      <c r="AV2729" s="48"/>
    </row>
    <row r="2730" spans="1:48" ht="12.75" customHeight="1" x14ac:dyDescent="0.25">
      <c r="A2730" s="72" t="s">
        <v>20</v>
      </c>
      <c r="B2730" s="43" t="s">
        <v>2240</v>
      </c>
      <c r="C2730" s="44" t="s">
        <v>2888</v>
      </c>
      <c r="D2730" s="45">
        <f>MROUND(MID($C2730,6,3)/Basis!$E$3,0.5)</f>
        <v>35.5</v>
      </c>
      <c r="E2730" s="45">
        <f>MROUND(MID($C2730,9,3)/Basis!$E$3,0.5)</f>
        <v>47</v>
      </c>
      <c r="F2730" s="124" t="s">
        <v>2948</v>
      </c>
      <c r="G2730" s="45">
        <f>ROUND((ROUNDDOWN($F2730/5,0)*5+1.8)/Basis!$E$3,1)</f>
        <v>8.6</v>
      </c>
      <c r="H2730" s="120">
        <f>ROUND($P2730*Basis!$E$2*((TaH-TrH)/LN(1/µ)/Basis!$E$7)^$N2730*$AA$4*Glycol,0)</f>
        <v>9353</v>
      </c>
      <c r="I2730" s="83">
        <f>ROUND(H2730/(MID($C2730,9,3)/Basis!$E$3/Basis!$E$9)*Basis!$E$11,0)</f>
        <v>2376</v>
      </c>
      <c r="J2730" s="123">
        <f>IF(Basis!$E$1=1,ROUND(H2730/((TaH-TrH)*1.163)/3600,3),ROUND(H2730/(500*(TaH-TrH)),2))</f>
        <v>0.94</v>
      </c>
      <c r="K2730" s="84"/>
      <c r="L2730" s="177">
        <f>CHOOSE(Basis!$E$1,((AJ2730*(J2730*3600/Basis!$E$5)^AK2730*(((MID(C2730,9,3)*10)-144)/1000)*AL2730+AM2730*(J2730*3600/Basis!$E$5)^2)*0.0098)/Basis!$E$10,((AJ2730*(J2730/Basis!$E$5)^AK2730*(((MID(C2730,9,3)*10)-144)/1000)*AL2730+AM2730*(J2730/Basis!$E$5)^2)*0.0098)/Basis!$E$10)</f>
        <v>9.4709464650765948E-2</v>
      </c>
      <c r="M2730" s="85"/>
      <c r="N2730" s="109">
        <v>1.518</v>
      </c>
      <c r="O2730" s="68"/>
      <c r="P2730" s="67">
        <v>4524</v>
      </c>
      <c r="Q2730" s="68"/>
      <c r="R2730" s="69"/>
      <c r="S2730" s="69"/>
      <c r="T2730" s="69"/>
      <c r="U2730" s="69"/>
      <c r="V2730" s="69"/>
      <c r="W2730" s="68"/>
      <c r="X2730" s="70"/>
      <c r="Y2730" s="70"/>
      <c r="Z2730" s="70"/>
      <c r="AA2730" s="70"/>
      <c r="AB2730" s="70"/>
      <c r="AC2730" s="68"/>
      <c r="AD2730" s="71"/>
      <c r="AE2730" s="71"/>
      <c r="AF2730" s="71"/>
      <c r="AG2730" s="71"/>
      <c r="AH2730" s="71"/>
      <c r="AI2730" s="68"/>
      <c r="AJ2730" s="214">
        <v>1.2760000000000001E-4</v>
      </c>
      <c r="AK2730" s="214">
        <v>1.7219</v>
      </c>
      <c r="AL2730" s="214">
        <v>4</v>
      </c>
      <c r="AM2730" s="214">
        <v>5.1420100000000005E-4</v>
      </c>
      <c r="AN2730" s="68"/>
      <c r="AO2730" s="67"/>
      <c r="AP2730" s="67"/>
      <c r="AQ2730" s="67"/>
      <c r="AR2730" s="67"/>
      <c r="AS2730" s="67"/>
      <c r="AT2730" s="68"/>
      <c r="AU2730" s="49"/>
      <c r="AV2730" s="50"/>
    </row>
    <row r="2731" spans="1:48" ht="12.75" customHeight="1" x14ac:dyDescent="0.25">
      <c r="A2731" s="72" t="s">
        <v>20</v>
      </c>
      <c r="B2731" s="43" t="s">
        <v>2240</v>
      </c>
      <c r="C2731" s="44" t="s">
        <v>2889</v>
      </c>
      <c r="D2731" s="45">
        <f>MROUND(MID($C2731,6,3)/Basis!$E$3,0.5)</f>
        <v>35.5</v>
      </c>
      <c r="E2731" s="45">
        <f>MROUND(MID($C2731,9,3)/Basis!$E$3,0.5)</f>
        <v>55</v>
      </c>
      <c r="F2731" s="124" t="s">
        <v>2943</v>
      </c>
      <c r="G2731" s="45">
        <f>ROUND((ROUNDDOWN($F2731/5,0)*5+1.8)/Basis!$E$3,1)</f>
        <v>4.5999999999999996</v>
      </c>
      <c r="H2731" s="120">
        <f>ROUND($P2731*Basis!$E$2*((TaH-TrH)/LN(1/µ)/Basis!$E$7)^$N2731*$AA$4*Glycol,0)</f>
        <v>4192</v>
      </c>
      <c r="I2731" s="83">
        <f>ROUND(H2731/(MID($C2731,9,3)/Basis!$E$3/Basis!$E$9)*Basis!$E$11,0)</f>
        <v>913</v>
      </c>
      <c r="J2731" s="123">
        <f>IF(Basis!$E$1=1,ROUND(H2731/((TaH-TrH)*1.163)/3600,3),ROUND(H2731/(500*(TaH-TrH)),2))</f>
        <v>0.42</v>
      </c>
      <c r="K2731" s="84"/>
      <c r="L2731" s="177">
        <f>CHOOSE(Basis!$E$1,((AJ2731*(J2731*3600/Basis!$E$5)^AK2731*(((MID(C2731,9,3)*10)-144)/1000)*AL2731+AM2731*(J2731*3600/Basis!$E$5)^2)*0.0098)/Basis!$E$10,((AJ2731*(J2731/Basis!$E$5)^AK2731*(((MID(C2731,9,3)*10)-144)/1000)*AL2731+AM2731*(J2731/Basis!$E$5)^2)*0.0098)/Basis!$E$10)</f>
        <v>1.9778486844570061E-2</v>
      </c>
      <c r="M2731" s="85"/>
      <c r="N2731" s="109">
        <v>1.3480000000000001</v>
      </c>
      <c r="O2731" s="68"/>
      <c r="P2731" s="67">
        <v>1917</v>
      </c>
      <c r="Q2731" s="68"/>
      <c r="R2731" s="69"/>
      <c r="S2731" s="69"/>
      <c r="T2731" s="69"/>
      <c r="U2731" s="69"/>
      <c r="V2731" s="69"/>
      <c r="W2731" s="68"/>
      <c r="X2731" s="70"/>
      <c r="Y2731" s="70"/>
      <c r="Z2731" s="70"/>
      <c r="AA2731" s="70"/>
      <c r="AB2731" s="70"/>
      <c r="AC2731" s="68"/>
      <c r="AD2731" s="71"/>
      <c r="AE2731" s="71"/>
      <c r="AF2731" s="71"/>
      <c r="AG2731" s="71"/>
      <c r="AH2731" s="71"/>
      <c r="AI2731" s="68"/>
      <c r="AJ2731" s="214">
        <v>3.9689999999999994E-4</v>
      </c>
      <c r="AK2731" s="214">
        <v>1.7345999999999999</v>
      </c>
      <c r="AL2731" s="214">
        <v>2</v>
      </c>
      <c r="AM2731" s="214">
        <v>3.6734700000000002E-4</v>
      </c>
      <c r="AN2731" s="68"/>
      <c r="AO2731" s="67"/>
      <c r="AP2731" s="67"/>
      <c r="AQ2731" s="67"/>
      <c r="AR2731" s="67"/>
      <c r="AS2731" s="67"/>
      <c r="AT2731" s="68"/>
      <c r="AU2731" s="49"/>
      <c r="AV2731" s="50"/>
    </row>
    <row r="2732" spans="1:48" ht="12.75" customHeight="1" x14ac:dyDescent="0.25">
      <c r="A2732" s="72" t="s">
        <v>20</v>
      </c>
      <c r="B2732" s="43" t="s">
        <v>2240</v>
      </c>
      <c r="C2732" s="44" t="s">
        <v>2890</v>
      </c>
      <c r="D2732" s="45">
        <f>MROUND(MID($C2732,6,3)/Basis!$E$3,0.5)</f>
        <v>35.5</v>
      </c>
      <c r="E2732" s="45">
        <f>MROUND(MID($C2732,9,3)/Basis!$E$3,0.5)</f>
        <v>55</v>
      </c>
      <c r="F2732" s="124" t="s">
        <v>2946</v>
      </c>
      <c r="G2732" s="45">
        <f>ROUND((ROUNDDOWN($F2732/5,0)*5+1.8)/Basis!$E$3,1)</f>
        <v>4.5999999999999996</v>
      </c>
      <c r="H2732" s="120">
        <f>ROUND($P2732*Basis!$E$2*((TaH-TrH)/LN(1/µ)/Basis!$E$7)^$N2732*$AA$4*Glycol,0)</f>
        <v>5231</v>
      </c>
      <c r="I2732" s="83">
        <f>ROUND(H2732/(MID($C2732,9,3)/Basis!$E$3/Basis!$E$9)*Basis!$E$11,0)</f>
        <v>1139</v>
      </c>
      <c r="J2732" s="123">
        <f>IF(Basis!$E$1=1,ROUND(H2732/((TaH-TrH)*1.163)/3600,3),ROUND(H2732/(500*(TaH-TrH)),2))</f>
        <v>0.52</v>
      </c>
      <c r="K2732" s="84"/>
      <c r="L2732" s="177">
        <f>CHOOSE(Basis!$E$1,((AJ2732*(J2732*3600/Basis!$E$5)^AK2732*(((MID(C2732,9,3)*10)-144)/1000)*AL2732+AM2732*(J2732*3600/Basis!$E$5)^2)*0.0098)/Basis!$E$10,((AJ2732*(J2732/Basis!$E$5)^AK2732*(((MID(C2732,9,3)*10)-144)/1000)*AL2732+AM2732*(J2732/Basis!$E$5)^2)*0.0098)/Basis!$E$10)</f>
        <v>5.1825318718556598E-2</v>
      </c>
      <c r="M2732" s="85"/>
      <c r="N2732" s="110">
        <v>1.4339999999999999</v>
      </c>
      <c r="O2732" s="74"/>
      <c r="P2732" s="73">
        <v>2461</v>
      </c>
      <c r="Q2732" s="74"/>
      <c r="R2732" s="75"/>
      <c r="S2732" s="75"/>
      <c r="T2732" s="75"/>
      <c r="U2732" s="75"/>
      <c r="V2732" s="75"/>
      <c r="W2732" s="74"/>
      <c r="X2732" s="76"/>
      <c r="Y2732" s="76"/>
      <c r="Z2732" s="76"/>
      <c r="AA2732" s="76"/>
      <c r="AB2732" s="76"/>
      <c r="AC2732" s="74"/>
      <c r="AD2732" s="77"/>
      <c r="AE2732" s="77"/>
      <c r="AF2732" s="77"/>
      <c r="AG2732" s="77"/>
      <c r="AH2732" s="77"/>
      <c r="AI2732" s="68"/>
      <c r="AJ2732" s="213">
        <v>3.9689999999999994E-4</v>
      </c>
      <c r="AK2732" s="213">
        <v>1.7345999999999999</v>
      </c>
      <c r="AL2732" s="213">
        <v>4</v>
      </c>
      <c r="AM2732" s="213">
        <v>5.7428799999999995E-4</v>
      </c>
      <c r="AN2732" s="74"/>
      <c r="AO2732" s="73"/>
      <c r="AP2732" s="73"/>
      <c r="AQ2732" s="73"/>
      <c r="AR2732" s="73"/>
      <c r="AS2732" s="73"/>
      <c r="AT2732" s="74"/>
      <c r="AU2732" s="47"/>
      <c r="AV2732" s="48"/>
    </row>
    <row r="2733" spans="1:48" ht="12.75" customHeight="1" x14ac:dyDescent="0.25">
      <c r="A2733" s="72" t="s">
        <v>20</v>
      </c>
      <c r="B2733" s="43" t="s">
        <v>2240</v>
      </c>
      <c r="C2733" s="44" t="s">
        <v>2891</v>
      </c>
      <c r="D2733" s="45">
        <f>MROUND(MID($C2733,6,3)/Basis!$E$3,0.5)</f>
        <v>35.5</v>
      </c>
      <c r="E2733" s="45">
        <f>MROUND(MID($C2733,9,3)/Basis!$E$3,0.5)</f>
        <v>55</v>
      </c>
      <c r="F2733" s="124" t="s">
        <v>2944</v>
      </c>
      <c r="G2733" s="45">
        <f>ROUND((ROUNDDOWN($F2733/5,0)*5+1.8)/Basis!$E$3,1)</f>
        <v>6.6</v>
      </c>
      <c r="H2733" s="120">
        <f>ROUND($P2733*Basis!$E$2*((TaH-TrH)/LN(1/µ)/Basis!$E$7)^$N2733*$AA$4*Glycol,0)</f>
        <v>6538</v>
      </c>
      <c r="I2733" s="83">
        <f>ROUND(H2733/(MID($C2733,9,3)/Basis!$E$3/Basis!$E$9)*Basis!$E$11,0)</f>
        <v>1423</v>
      </c>
      <c r="J2733" s="123">
        <f>IF(Basis!$E$1=1,ROUND(H2733/((TaH-TrH)*1.163)/3600,3),ROUND(H2733/(500*(TaH-TrH)),2))</f>
        <v>0.65</v>
      </c>
      <c r="K2733" s="84"/>
      <c r="L2733" s="177">
        <f>CHOOSE(Basis!$E$1,((AJ2733*(J2733*3600/Basis!$E$5)^AK2733*(((MID(C2733,9,3)*10)-144)/1000)*AL2733+AM2733*(J2733*3600/Basis!$E$5)^2)*0.0098)/Basis!$E$10,((AJ2733*(J2733/Basis!$E$5)^AK2733*(((MID(C2733,9,3)*10)-144)/1000)*AL2733+AM2733*(J2733/Basis!$E$5)^2)*0.0098)/Basis!$E$10)</f>
        <v>4.2306089383159627E-2</v>
      </c>
      <c r="M2733" s="85"/>
      <c r="N2733" s="110">
        <v>1.3260000000000001</v>
      </c>
      <c r="O2733" s="74"/>
      <c r="P2733" s="73">
        <v>2968</v>
      </c>
      <c r="Q2733" s="74"/>
      <c r="R2733" s="75"/>
      <c r="S2733" s="75"/>
      <c r="T2733" s="75"/>
      <c r="U2733" s="75"/>
      <c r="V2733" s="75"/>
      <c r="W2733" s="74"/>
      <c r="X2733" s="76"/>
      <c r="Y2733" s="76"/>
      <c r="Z2733" s="76"/>
      <c r="AA2733" s="76"/>
      <c r="AB2733" s="76"/>
      <c r="AC2733" s="74"/>
      <c r="AD2733" s="77"/>
      <c r="AE2733" s="77"/>
      <c r="AF2733" s="77"/>
      <c r="AG2733" s="77"/>
      <c r="AH2733" s="77"/>
      <c r="AI2733" s="68"/>
      <c r="AJ2733" s="213">
        <v>2.0829999999999999E-4</v>
      </c>
      <c r="AK2733" s="213">
        <v>1.724</v>
      </c>
      <c r="AL2733" s="213">
        <v>2</v>
      </c>
      <c r="AM2733" s="213">
        <v>4.6182900000000003E-4</v>
      </c>
      <c r="AN2733" s="74"/>
      <c r="AO2733" s="73"/>
      <c r="AP2733" s="73"/>
      <c r="AQ2733" s="73"/>
      <c r="AR2733" s="73"/>
      <c r="AS2733" s="73"/>
      <c r="AT2733" s="74"/>
      <c r="AU2733" s="47"/>
      <c r="AV2733" s="48"/>
    </row>
    <row r="2734" spans="1:48" ht="12.75" customHeight="1" x14ac:dyDescent="0.25">
      <c r="A2734" s="72" t="s">
        <v>20</v>
      </c>
      <c r="B2734" s="43" t="s">
        <v>2240</v>
      </c>
      <c r="C2734" s="44" t="s">
        <v>2892</v>
      </c>
      <c r="D2734" s="45">
        <f>MROUND(MID($C2734,6,3)/Basis!$E$3,0.5)</f>
        <v>35.5</v>
      </c>
      <c r="E2734" s="45">
        <f>MROUND(MID($C2734,9,3)/Basis!$E$3,0.5)</f>
        <v>55</v>
      </c>
      <c r="F2734" s="124" t="s">
        <v>2947</v>
      </c>
      <c r="G2734" s="45">
        <f>ROUND((ROUNDDOWN($F2734/5,0)*5+1.8)/Basis!$E$3,1)</f>
        <v>6.6</v>
      </c>
      <c r="H2734" s="120">
        <f>ROUND($P2734*Basis!$E$2*((TaH-TrH)/LN(1/µ)/Basis!$E$7)^$N2734*$AA$4*Glycol,0)</f>
        <v>7608</v>
      </c>
      <c r="I2734" s="83">
        <f>ROUND(H2734/(MID($C2734,9,3)/Basis!$E$3/Basis!$E$9)*Basis!$E$11,0)</f>
        <v>1656</v>
      </c>
      <c r="J2734" s="123">
        <f>IF(Basis!$E$1=1,ROUND(H2734/((TaH-TrH)*1.163)/3600,3),ROUND(H2734/(500*(TaH-TrH)),2))</f>
        <v>0.76</v>
      </c>
      <c r="K2734" s="84"/>
      <c r="L2734" s="177">
        <f>CHOOSE(Basis!$E$1,((AJ2734*(J2734*3600/Basis!$E$5)^AK2734*(((MID(C2734,9,3)*10)-144)/1000)*AL2734+AM2734*(J2734*3600/Basis!$E$5)^2)*0.0098)/Basis!$E$10,((AJ2734*(J2734/Basis!$E$5)^AK2734*(((MID(C2734,9,3)*10)-144)/1000)*AL2734+AM2734*(J2734/Basis!$E$5)^2)*0.0098)/Basis!$E$10)</f>
        <v>0.16029371341930995</v>
      </c>
      <c r="M2734" s="85"/>
      <c r="N2734" s="109">
        <v>1.48</v>
      </c>
      <c r="O2734" s="68"/>
      <c r="P2734" s="67">
        <v>3634</v>
      </c>
      <c r="Q2734" s="68"/>
      <c r="R2734" s="69"/>
      <c r="S2734" s="69"/>
      <c r="T2734" s="69"/>
      <c r="U2734" s="69"/>
      <c r="V2734" s="69"/>
      <c r="W2734" s="68"/>
      <c r="X2734" s="70"/>
      <c r="Y2734" s="70"/>
      <c r="Z2734" s="70"/>
      <c r="AA2734" s="70"/>
      <c r="AB2734" s="70"/>
      <c r="AC2734" s="68"/>
      <c r="AD2734" s="71"/>
      <c r="AE2734" s="71"/>
      <c r="AF2734" s="71"/>
      <c r="AG2734" s="71"/>
      <c r="AH2734" s="71"/>
      <c r="AI2734" s="68"/>
      <c r="AJ2734" s="214">
        <v>2.0829999999999999E-4</v>
      </c>
      <c r="AK2734" s="214">
        <v>1.724</v>
      </c>
      <c r="AL2734" s="214">
        <v>4</v>
      </c>
      <c r="AM2734" s="214">
        <v>1.392796E-3</v>
      </c>
      <c r="AN2734" s="68"/>
      <c r="AO2734" s="67"/>
      <c r="AP2734" s="67"/>
      <c r="AQ2734" s="67"/>
      <c r="AR2734" s="67"/>
      <c r="AS2734" s="67"/>
      <c r="AT2734" s="68"/>
      <c r="AU2734" s="49"/>
      <c r="AV2734" s="50"/>
    </row>
    <row r="2735" spans="1:48" ht="12.75" customHeight="1" x14ac:dyDescent="0.25">
      <c r="A2735" s="72" t="s">
        <v>20</v>
      </c>
      <c r="B2735" s="43" t="s">
        <v>2240</v>
      </c>
      <c r="C2735" s="44" t="s">
        <v>2893</v>
      </c>
      <c r="D2735" s="45">
        <f>MROUND(MID($C2735,6,3)/Basis!$E$3,0.5)</f>
        <v>35.5</v>
      </c>
      <c r="E2735" s="45">
        <f>MROUND(MID($C2735,9,3)/Basis!$E$3,0.5)</f>
        <v>55</v>
      </c>
      <c r="F2735" s="124" t="s">
        <v>2945</v>
      </c>
      <c r="G2735" s="45">
        <f>ROUND((ROUNDDOWN($F2735/5,0)*5+1.8)/Basis!$E$3,1)</f>
        <v>8.6</v>
      </c>
      <c r="H2735" s="120">
        <f>ROUND($P2735*Basis!$E$2*((TaH-TrH)/LN(1/µ)/Basis!$E$7)^$N2735*$AA$4*Glycol,0)</f>
        <v>9119</v>
      </c>
      <c r="I2735" s="83">
        <f>ROUND(H2735/(MID($C2735,9,3)/Basis!$E$3/Basis!$E$9)*Basis!$E$11,0)</f>
        <v>1985</v>
      </c>
      <c r="J2735" s="123">
        <f>IF(Basis!$E$1=1,ROUND(H2735/((TaH-TrH)*1.163)/3600,3),ROUND(H2735/(500*(TaH-TrH)),2))</f>
        <v>0.91</v>
      </c>
      <c r="K2735" s="84"/>
      <c r="L2735" s="177">
        <f>CHOOSE(Basis!$E$1,((AJ2735*(J2735*3600/Basis!$E$5)^AK2735*(((MID(C2735,9,3)*10)-144)/1000)*AL2735+AM2735*(J2735*3600/Basis!$E$5)^2)*0.0098)/Basis!$E$10,((AJ2735*(J2735/Basis!$E$5)^AK2735*(((MID(C2735,9,3)*10)-144)/1000)*AL2735+AM2735*(J2735/Basis!$E$5)^2)*0.0098)/Basis!$E$10)</f>
        <v>6.2768409157783076E-2</v>
      </c>
      <c r="M2735" s="85"/>
      <c r="N2735" s="109">
        <v>1.3260000000000001</v>
      </c>
      <c r="O2735" s="68"/>
      <c r="P2735" s="67">
        <v>4140</v>
      </c>
      <c r="Q2735" s="68"/>
      <c r="R2735" s="69"/>
      <c r="S2735" s="69"/>
      <c r="T2735" s="69"/>
      <c r="U2735" s="69"/>
      <c r="V2735" s="69"/>
      <c r="W2735" s="68"/>
      <c r="X2735" s="70"/>
      <c r="Y2735" s="70"/>
      <c r="Z2735" s="70"/>
      <c r="AA2735" s="70"/>
      <c r="AB2735" s="70"/>
      <c r="AC2735" s="68"/>
      <c r="AD2735" s="71"/>
      <c r="AE2735" s="71"/>
      <c r="AF2735" s="71"/>
      <c r="AG2735" s="71"/>
      <c r="AH2735" s="71"/>
      <c r="AI2735" s="68"/>
      <c r="AJ2735" s="214">
        <v>1.2760000000000001E-4</v>
      </c>
      <c r="AK2735" s="214">
        <v>1.7219</v>
      </c>
      <c r="AL2735" s="214">
        <v>2</v>
      </c>
      <c r="AM2735" s="214">
        <v>3.76611E-4</v>
      </c>
      <c r="AN2735" s="68"/>
      <c r="AO2735" s="67"/>
      <c r="AP2735" s="67"/>
      <c r="AQ2735" s="67"/>
      <c r="AR2735" s="67"/>
      <c r="AS2735" s="67"/>
      <c r="AT2735" s="68"/>
      <c r="AU2735" s="49"/>
      <c r="AV2735" s="50"/>
    </row>
    <row r="2736" spans="1:48" ht="12.75" customHeight="1" x14ac:dyDescent="0.25">
      <c r="A2736" s="72" t="s">
        <v>20</v>
      </c>
      <c r="B2736" s="43" t="s">
        <v>2240</v>
      </c>
      <c r="C2736" s="44" t="s">
        <v>2894</v>
      </c>
      <c r="D2736" s="45">
        <f>MROUND(MID($C2736,6,3)/Basis!$E$3,0.5)</f>
        <v>35.5</v>
      </c>
      <c r="E2736" s="45">
        <f>MROUND(MID($C2736,9,3)/Basis!$E$3,0.5)</f>
        <v>55</v>
      </c>
      <c r="F2736" s="124" t="s">
        <v>2948</v>
      </c>
      <c r="G2736" s="45">
        <f>ROUND((ROUNDDOWN($F2736/5,0)*5+1.8)/Basis!$E$3,1)</f>
        <v>8.6</v>
      </c>
      <c r="H2736" s="120">
        <f>ROUND($P2736*Basis!$E$2*((TaH-TrH)/LN(1/µ)/Basis!$E$7)^$N2736*$AA$4*Glycol,0)</f>
        <v>10912</v>
      </c>
      <c r="I2736" s="83">
        <f>ROUND(H2736/(MID($C2736,9,3)/Basis!$E$3/Basis!$E$9)*Basis!$E$11,0)</f>
        <v>2376</v>
      </c>
      <c r="J2736" s="123">
        <f>IF(Basis!$E$1=1,ROUND(H2736/((TaH-TrH)*1.163)/3600,3),ROUND(H2736/(500*(TaH-TrH)),2))</f>
        <v>1.0900000000000001</v>
      </c>
      <c r="K2736" s="84"/>
      <c r="L2736" s="177">
        <f>CHOOSE(Basis!$E$1,((AJ2736*(J2736*3600/Basis!$E$5)^AK2736*(((MID(C2736,9,3)*10)-144)/1000)*AL2736+AM2736*(J2736*3600/Basis!$E$5)^2)*0.0098)/Basis!$E$10,((AJ2736*(J2736/Basis!$E$5)^AK2736*(((MID(C2736,9,3)*10)-144)/1000)*AL2736+AM2736*(J2736/Basis!$E$5)^2)*0.0098)/Basis!$E$10)</f>
        <v>0.13078446733564825</v>
      </c>
      <c r="M2736" s="85"/>
      <c r="N2736" s="110">
        <v>1.518</v>
      </c>
      <c r="O2736" s="74"/>
      <c r="P2736" s="73">
        <v>5278</v>
      </c>
      <c r="Q2736" s="74"/>
      <c r="R2736" s="75"/>
      <c r="S2736" s="75"/>
      <c r="T2736" s="75"/>
      <c r="U2736" s="75"/>
      <c r="V2736" s="75"/>
      <c r="W2736" s="74"/>
      <c r="X2736" s="76"/>
      <c r="Y2736" s="76"/>
      <c r="Z2736" s="76"/>
      <c r="AA2736" s="76"/>
      <c r="AB2736" s="76"/>
      <c r="AC2736" s="74"/>
      <c r="AD2736" s="77"/>
      <c r="AE2736" s="77"/>
      <c r="AF2736" s="77"/>
      <c r="AG2736" s="77"/>
      <c r="AH2736" s="77"/>
      <c r="AI2736" s="68"/>
      <c r="AJ2736" s="213">
        <v>1.2760000000000001E-4</v>
      </c>
      <c r="AK2736" s="213">
        <v>1.7219</v>
      </c>
      <c r="AL2736" s="213">
        <v>4</v>
      </c>
      <c r="AM2736" s="213">
        <v>5.1420100000000005E-4</v>
      </c>
      <c r="AN2736" s="74"/>
      <c r="AO2736" s="73"/>
      <c r="AP2736" s="73"/>
      <c r="AQ2736" s="73"/>
      <c r="AR2736" s="73"/>
      <c r="AS2736" s="73"/>
      <c r="AT2736" s="74"/>
      <c r="AU2736" s="47"/>
      <c r="AV2736" s="48"/>
    </row>
    <row r="2737" spans="1:48" ht="12.75" customHeight="1" x14ac:dyDescent="0.25">
      <c r="A2737" s="72" t="s">
        <v>20</v>
      </c>
      <c r="B2737" s="43" t="s">
        <v>2240</v>
      </c>
      <c r="C2737" s="44" t="s">
        <v>2895</v>
      </c>
      <c r="D2737" s="45">
        <f>MROUND(MID($C2737,6,3)/Basis!$E$3,0.5)</f>
        <v>35.5</v>
      </c>
      <c r="E2737" s="45">
        <f>MROUND(MID($C2737,9,3)/Basis!$E$3,0.5)</f>
        <v>63</v>
      </c>
      <c r="F2737" s="124" t="s">
        <v>2943</v>
      </c>
      <c r="G2737" s="45">
        <f>ROUND((ROUNDDOWN($F2737/5,0)*5+1.8)/Basis!$E$3,1)</f>
        <v>4.5999999999999996</v>
      </c>
      <c r="H2737" s="120">
        <f>ROUND($P2737*Basis!$E$2*((TaH-TrH)/LN(1/µ)/Basis!$E$7)^$N2737*$AA$4*Glycol,0)</f>
        <v>4789</v>
      </c>
      <c r="I2737" s="83">
        <f>ROUND(H2737/(MID($C2737,9,3)/Basis!$E$3/Basis!$E$9)*Basis!$E$11,0)</f>
        <v>912</v>
      </c>
      <c r="J2737" s="123">
        <f>IF(Basis!$E$1=1,ROUND(H2737/((TaH-TrH)*1.163)/3600,3),ROUND(H2737/(500*(TaH-TrH)),2))</f>
        <v>0.48</v>
      </c>
      <c r="K2737" s="84"/>
      <c r="L2737" s="177">
        <f>CHOOSE(Basis!$E$1,((AJ2737*(J2737*3600/Basis!$E$5)^AK2737*(((MID(C2737,9,3)*10)-144)/1000)*AL2737+AM2737*(J2737*3600/Basis!$E$5)^2)*0.0098)/Basis!$E$10,((AJ2737*(J2737/Basis!$E$5)^AK2737*(((MID(C2737,9,3)*10)-144)/1000)*AL2737+AM2737*(J2737/Basis!$E$5)^2)*0.0098)/Basis!$E$10)</f>
        <v>2.7206989821726511E-2</v>
      </c>
      <c r="M2737" s="85"/>
      <c r="N2737" s="110">
        <v>1.3480000000000001</v>
      </c>
      <c r="O2737" s="74"/>
      <c r="P2737" s="73">
        <v>2190</v>
      </c>
      <c r="Q2737" s="74"/>
      <c r="R2737" s="75"/>
      <c r="S2737" s="75"/>
      <c r="T2737" s="75"/>
      <c r="U2737" s="75"/>
      <c r="V2737" s="75"/>
      <c r="W2737" s="74"/>
      <c r="X2737" s="76"/>
      <c r="Y2737" s="76"/>
      <c r="Z2737" s="76"/>
      <c r="AA2737" s="76"/>
      <c r="AB2737" s="76"/>
      <c r="AC2737" s="74"/>
      <c r="AD2737" s="77"/>
      <c r="AE2737" s="77"/>
      <c r="AF2737" s="77"/>
      <c r="AG2737" s="77"/>
      <c r="AH2737" s="77"/>
      <c r="AI2737" s="68"/>
      <c r="AJ2737" s="213">
        <v>3.9689999999999994E-4</v>
      </c>
      <c r="AK2737" s="213">
        <v>1.7345999999999999</v>
      </c>
      <c r="AL2737" s="213">
        <v>2</v>
      </c>
      <c r="AM2737" s="213">
        <v>3.6734700000000002E-4</v>
      </c>
      <c r="AN2737" s="74"/>
      <c r="AO2737" s="73"/>
      <c r="AP2737" s="73"/>
      <c r="AQ2737" s="73"/>
      <c r="AR2737" s="73"/>
      <c r="AS2737" s="73"/>
      <c r="AT2737" s="74"/>
      <c r="AU2737" s="47"/>
      <c r="AV2737" s="48"/>
    </row>
    <row r="2738" spans="1:48" ht="12.75" customHeight="1" x14ac:dyDescent="0.25">
      <c r="A2738" s="72" t="s">
        <v>20</v>
      </c>
      <c r="B2738" s="43" t="s">
        <v>2240</v>
      </c>
      <c r="C2738" s="44" t="s">
        <v>2896</v>
      </c>
      <c r="D2738" s="45">
        <f>MROUND(MID($C2738,6,3)/Basis!$E$3,0.5)</f>
        <v>35.5</v>
      </c>
      <c r="E2738" s="45">
        <f>MROUND(MID($C2738,9,3)/Basis!$E$3,0.5)</f>
        <v>63</v>
      </c>
      <c r="F2738" s="124" t="s">
        <v>2946</v>
      </c>
      <c r="G2738" s="45">
        <f>ROUND((ROUNDDOWN($F2738/5,0)*5+1.8)/Basis!$E$3,1)</f>
        <v>4.5999999999999996</v>
      </c>
      <c r="H2738" s="120">
        <f>ROUND($P2738*Basis!$E$2*((TaH-TrH)/LN(1/µ)/Basis!$E$7)^$N2738*$AA$4*Glycol,0)</f>
        <v>5979</v>
      </c>
      <c r="I2738" s="83">
        <f>ROUND(H2738/(MID($C2738,9,3)/Basis!$E$3/Basis!$E$9)*Basis!$E$11,0)</f>
        <v>1139</v>
      </c>
      <c r="J2738" s="123">
        <f>IF(Basis!$E$1=1,ROUND(H2738/((TaH-TrH)*1.163)/3600,3),ROUND(H2738/(500*(TaH-TrH)),2))</f>
        <v>0.6</v>
      </c>
      <c r="K2738" s="84"/>
      <c r="L2738" s="177">
        <f>CHOOSE(Basis!$E$1,((AJ2738*(J2738*3600/Basis!$E$5)^AK2738*(((MID(C2738,9,3)*10)-144)/1000)*AL2738+AM2738*(J2738*3600/Basis!$E$5)^2)*0.0098)/Basis!$E$10,((AJ2738*(J2738/Basis!$E$5)^AK2738*(((MID(C2738,9,3)*10)-144)/1000)*AL2738+AM2738*(J2738/Basis!$E$5)^2)*0.0098)/Basis!$E$10)</f>
        <v>7.2958089934837739E-2</v>
      </c>
      <c r="M2738" s="85"/>
      <c r="N2738" s="109">
        <v>1.4339999999999999</v>
      </c>
      <c r="O2738" s="68"/>
      <c r="P2738" s="67">
        <v>2813</v>
      </c>
      <c r="Q2738" s="68"/>
      <c r="R2738" s="69"/>
      <c r="S2738" s="69"/>
      <c r="T2738" s="69"/>
      <c r="U2738" s="69"/>
      <c r="V2738" s="69"/>
      <c r="W2738" s="68"/>
      <c r="X2738" s="70"/>
      <c r="Y2738" s="70"/>
      <c r="Z2738" s="70"/>
      <c r="AA2738" s="70"/>
      <c r="AB2738" s="70"/>
      <c r="AC2738" s="68"/>
      <c r="AD2738" s="71"/>
      <c r="AE2738" s="71"/>
      <c r="AF2738" s="71"/>
      <c r="AG2738" s="71"/>
      <c r="AH2738" s="71"/>
      <c r="AI2738" s="68"/>
      <c r="AJ2738" s="214">
        <v>3.9689999999999994E-4</v>
      </c>
      <c r="AK2738" s="214">
        <v>1.7345999999999999</v>
      </c>
      <c r="AL2738" s="214">
        <v>4</v>
      </c>
      <c r="AM2738" s="214">
        <v>5.7428799999999995E-4</v>
      </c>
      <c r="AN2738" s="68"/>
      <c r="AO2738" s="67"/>
      <c r="AP2738" s="67"/>
      <c r="AQ2738" s="67"/>
      <c r="AR2738" s="67"/>
      <c r="AS2738" s="67"/>
      <c r="AT2738" s="68"/>
      <c r="AU2738" s="49"/>
      <c r="AV2738" s="50"/>
    </row>
    <row r="2739" spans="1:48" ht="12.75" customHeight="1" x14ac:dyDescent="0.25">
      <c r="A2739" s="72" t="s">
        <v>20</v>
      </c>
      <c r="B2739" s="43" t="s">
        <v>2240</v>
      </c>
      <c r="C2739" s="44" t="s">
        <v>2897</v>
      </c>
      <c r="D2739" s="45">
        <f>MROUND(MID($C2739,6,3)/Basis!$E$3,0.5)</f>
        <v>35.5</v>
      </c>
      <c r="E2739" s="45">
        <f>MROUND(MID($C2739,9,3)/Basis!$E$3,0.5)</f>
        <v>63</v>
      </c>
      <c r="F2739" s="124" t="s">
        <v>2944</v>
      </c>
      <c r="G2739" s="45">
        <f>ROUND((ROUNDDOWN($F2739/5,0)*5+1.8)/Basis!$E$3,1)</f>
        <v>6.6</v>
      </c>
      <c r="H2739" s="120">
        <f>ROUND($P2739*Basis!$E$2*((TaH-TrH)/LN(1/µ)/Basis!$E$7)^$N2739*$AA$4*Glycol,0)</f>
        <v>7472</v>
      </c>
      <c r="I2739" s="83">
        <f>ROUND(H2739/(MID($C2739,9,3)/Basis!$E$3/Basis!$E$9)*Basis!$E$11,0)</f>
        <v>1423</v>
      </c>
      <c r="J2739" s="123">
        <f>IF(Basis!$E$1=1,ROUND(H2739/((TaH-TrH)*1.163)/3600,3),ROUND(H2739/(500*(TaH-TrH)),2))</f>
        <v>0.75</v>
      </c>
      <c r="K2739" s="84"/>
      <c r="L2739" s="177">
        <f>CHOOSE(Basis!$E$1,((AJ2739*(J2739*3600/Basis!$E$5)^AK2739*(((MID(C2739,9,3)*10)-144)/1000)*AL2739+AM2739*(J2739*3600/Basis!$E$5)^2)*0.0098)/Basis!$E$10,((AJ2739*(J2739/Basis!$E$5)^AK2739*(((MID(C2739,9,3)*10)-144)/1000)*AL2739+AM2739*(J2739/Basis!$E$5)^2)*0.0098)/Basis!$E$10)</f>
        <v>5.7754852106636723E-2</v>
      </c>
      <c r="M2739" s="85"/>
      <c r="N2739" s="109">
        <v>1.3260000000000001</v>
      </c>
      <c r="O2739" s="68"/>
      <c r="P2739" s="67">
        <v>3392</v>
      </c>
      <c r="Q2739" s="68"/>
      <c r="R2739" s="69"/>
      <c r="S2739" s="69"/>
      <c r="T2739" s="69"/>
      <c r="U2739" s="69"/>
      <c r="V2739" s="69"/>
      <c r="W2739" s="68"/>
      <c r="X2739" s="70"/>
      <c r="Y2739" s="70"/>
      <c r="Z2739" s="70"/>
      <c r="AA2739" s="70"/>
      <c r="AB2739" s="70"/>
      <c r="AC2739" s="68"/>
      <c r="AD2739" s="71"/>
      <c r="AE2739" s="71"/>
      <c r="AF2739" s="71"/>
      <c r="AG2739" s="71"/>
      <c r="AH2739" s="71"/>
      <c r="AI2739" s="68"/>
      <c r="AJ2739" s="214">
        <v>2.0829999999999999E-4</v>
      </c>
      <c r="AK2739" s="214">
        <v>1.724</v>
      </c>
      <c r="AL2739" s="214">
        <v>2</v>
      </c>
      <c r="AM2739" s="214">
        <v>4.6182900000000003E-4</v>
      </c>
      <c r="AN2739" s="68"/>
      <c r="AO2739" s="67"/>
      <c r="AP2739" s="67"/>
      <c r="AQ2739" s="67"/>
      <c r="AR2739" s="67"/>
      <c r="AS2739" s="67"/>
      <c r="AT2739" s="68"/>
      <c r="AU2739" s="49"/>
      <c r="AV2739" s="50"/>
    </row>
    <row r="2740" spans="1:48" ht="12.75" customHeight="1" x14ac:dyDescent="0.25">
      <c r="A2740" s="72" t="s">
        <v>20</v>
      </c>
      <c r="B2740" s="43" t="s">
        <v>2240</v>
      </c>
      <c r="C2740" s="44" t="s">
        <v>2898</v>
      </c>
      <c r="D2740" s="45">
        <f>MROUND(MID($C2740,6,3)/Basis!$E$3,0.5)</f>
        <v>35.5</v>
      </c>
      <c r="E2740" s="45">
        <f>MROUND(MID($C2740,9,3)/Basis!$E$3,0.5)</f>
        <v>63</v>
      </c>
      <c r="F2740" s="124" t="s">
        <v>2947</v>
      </c>
      <c r="G2740" s="45">
        <f>ROUND((ROUNDDOWN($F2740/5,0)*5+1.8)/Basis!$E$3,1)</f>
        <v>6.6</v>
      </c>
      <c r="H2740" s="120">
        <f>ROUND($P2740*Basis!$E$2*((TaH-TrH)/LN(1/µ)/Basis!$E$7)^$N2740*$AA$4*Glycol,0)</f>
        <v>8697</v>
      </c>
      <c r="I2740" s="83">
        <f>ROUND(H2740/(MID($C2740,9,3)/Basis!$E$3/Basis!$E$9)*Basis!$E$11,0)</f>
        <v>1657</v>
      </c>
      <c r="J2740" s="123">
        <f>IF(Basis!$E$1=1,ROUND(H2740/((TaH-TrH)*1.163)/3600,3),ROUND(H2740/(500*(TaH-TrH)),2))</f>
        <v>0.87</v>
      </c>
      <c r="K2740" s="84"/>
      <c r="L2740" s="177">
        <f>CHOOSE(Basis!$E$1,((AJ2740*(J2740*3600/Basis!$E$5)^AK2740*(((MID(C2740,9,3)*10)-144)/1000)*AL2740+AM2740*(J2740*3600/Basis!$E$5)^2)*0.0098)/Basis!$E$10,((AJ2740*(J2740/Basis!$E$5)^AK2740*(((MID(C2740,9,3)*10)-144)/1000)*AL2740+AM2740*(J2740/Basis!$E$5)^2)*0.0098)/Basis!$E$10)</f>
        <v>0.21381749435222561</v>
      </c>
      <c r="M2740" s="85"/>
      <c r="N2740" s="110">
        <v>1.48</v>
      </c>
      <c r="O2740" s="74"/>
      <c r="P2740" s="73">
        <v>4154</v>
      </c>
      <c r="Q2740" s="74"/>
      <c r="R2740" s="75"/>
      <c r="S2740" s="75"/>
      <c r="T2740" s="75"/>
      <c r="U2740" s="75"/>
      <c r="V2740" s="75"/>
      <c r="W2740" s="74"/>
      <c r="X2740" s="76"/>
      <c r="Y2740" s="76"/>
      <c r="Z2740" s="76"/>
      <c r="AA2740" s="76"/>
      <c r="AB2740" s="76"/>
      <c r="AC2740" s="74"/>
      <c r="AD2740" s="77"/>
      <c r="AE2740" s="77"/>
      <c r="AF2740" s="77"/>
      <c r="AG2740" s="77"/>
      <c r="AH2740" s="77"/>
      <c r="AI2740" s="68"/>
      <c r="AJ2740" s="213">
        <v>2.0829999999999999E-4</v>
      </c>
      <c r="AK2740" s="213">
        <v>1.724</v>
      </c>
      <c r="AL2740" s="213">
        <v>4</v>
      </c>
      <c r="AM2740" s="213">
        <v>1.392796E-3</v>
      </c>
      <c r="AN2740" s="74"/>
      <c r="AO2740" s="73"/>
      <c r="AP2740" s="73"/>
      <c r="AQ2740" s="73"/>
      <c r="AR2740" s="73"/>
      <c r="AS2740" s="73"/>
      <c r="AT2740" s="74"/>
      <c r="AU2740" s="47"/>
      <c r="AV2740" s="48"/>
    </row>
    <row r="2741" spans="1:48" ht="12.75" customHeight="1" x14ac:dyDescent="0.25">
      <c r="A2741" s="72" t="s">
        <v>20</v>
      </c>
      <c r="B2741" s="43" t="s">
        <v>2240</v>
      </c>
      <c r="C2741" s="44" t="s">
        <v>2899</v>
      </c>
      <c r="D2741" s="45">
        <f>MROUND(MID($C2741,6,3)/Basis!$E$3,0.5)</f>
        <v>35.5</v>
      </c>
      <c r="E2741" s="45">
        <f>MROUND(MID($C2741,9,3)/Basis!$E$3,0.5)</f>
        <v>63</v>
      </c>
      <c r="F2741" s="124" t="s">
        <v>2945</v>
      </c>
      <c r="G2741" s="45">
        <f>ROUND((ROUNDDOWN($F2741/5,0)*5+1.8)/Basis!$E$3,1)</f>
        <v>8.6</v>
      </c>
      <c r="H2741" s="120">
        <f>ROUND($P2741*Basis!$E$2*((TaH-TrH)/LN(1/µ)/Basis!$E$7)^$N2741*$AA$4*Glycol,0)</f>
        <v>10421</v>
      </c>
      <c r="I2741" s="83">
        <f>ROUND(H2741/(MID($C2741,9,3)/Basis!$E$3/Basis!$E$9)*Basis!$E$11,0)</f>
        <v>1985</v>
      </c>
      <c r="J2741" s="123">
        <f>IF(Basis!$E$1=1,ROUND(H2741/((TaH-TrH)*1.163)/3600,3),ROUND(H2741/(500*(TaH-TrH)),2))</f>
        <v>1.04</v>
      </c>
      <c r="K2741" s="84"/>
      <c r="L2741" s="177">
        <f>CHOOSE(Basis!$E$1,((AJ2741*(J2741*3600/Basis!$E$5)^AK2741*(((MID(C2741,9,3)*10)-144)/1000)*AL2741+AM2741*(J2741*3600/Basis!$E$5)^2)*0.0098)/Basis!$E$10,((AJ2741*(J2741/Basis!$E$5)^AK2741*(((MID(C2741,9,3)*10)-144)/1000)*AL2741+AM2741*(J2741/Basis!$E$5)^2)*0.0098)/Basis!$E$10)</f>
        <v>8.3536301732843904E-2</v>
      </c>
      <c r="M2741" s="85"/>
      <c r="N2741" s="110">
        <v>1.3260000000000001</v>
      </c>
      <c r="O2741" s="74"/>
      <c r="P2741" s="73">
        <v>4731</v>
      </c>
      <c r="Q2741" s="74"/>
      <c r="R2741" s="75"/>
      <c r="S2741" s="75"/>
      <c r="T2741" s="75"/>
      <c r="U2741" s="75"/>
      <c r="V2741" s="75"/>
      <c r="W2741" s="74"/>
      <c r="X2741" s="76"/>
      <c r="Y2741" s="76"/>
      <c r="Z2741" s="76"/>
      <c r="AA2741" s="76"/>
      <c r="AB2741" s="76"/>
      <c r="AC2741" s="74"/>
      <c r="AD2741" s="77"/>
      <c r="AE2741" s="77"/>
      <c r="AF2741" s="77"/>
      <c r="AG2741" s="77"/>
      <c r="AH2741" s="77"/>
      <c r="AI2741" s="68"/>
      <c r="AJ2741" s="214">
        <v>1.2760000000000001E-4</v>
      </c>
      <c r="AK2741" s="214">
        <v>1.7219</v>
      </c>
      <c r="AL2741" s="214">
        <v>2</v>
      </c>
      <c r="AM2741" s="214">
        <v>3.76611E-4</v>
      </c>
      <c r="AN2741" s="74"/>
      <c r="AO2741" s="73"/>
      <c r="AP2741" s="73"/>
      <c r="AQ2741" s="73"/>
      <c r="AR2741" s="73"/>
      <c r="AS2741" s="73"/>
      <c r="AT2741" s="74"/>
      <c r="AU2741" s="47"/>
      <c r="AV2741" s="48"/>
    </row>
    <row r="2742" spans="1:48" ht="12.75" customHeight="1" x14ac:dyDescent="0.25">
      <c r="A2742" s="72" t="s">
        <v>20</v>
      </c>
      <c r="B2742" s="43" t="s">
        <v>2240</v>
      </c>
      <c r="C2742" s="44" t="s">
        <v>2900</v>
      </c>
      <c r="D2742" s="45">
        <f>MROUND(MID($C2742,6,3)/Basis!$E$3,0.5)</f>
        <v>35.5</v>
      </c>
      <c r="E2742" s="45">
        <f>MROUND(MID($C2742,9,3)/Basis!$E$3,0.5)</f>
        <v>63</v>
      </c>
      <c r="F2742" s="124" t="s">
        <v>2948</v>
      </c>
      <c r="G2742" s="45">
        <f>ROUND((ROUNDDOWN($F2742/5,0)*5+1.8)/Basis!$E$3,1)</f>
        <v>8.6</v>
      </c>
      <c r="H2742" s="120">
        <f>ROUND($P2742*Basis!$E$2*((TaH-TrH)/LN(1/µ)/Basis!$E$7)^$N2742*$AA$4*Glycol,0)</f>
        <v>12471</v>
      </c>
      <c r="I2742" s="83">
        <f>ROUND(H2742/(MID($C2742,9,3)/Basis!$E$3/Basis!$E$9)*Basis!$E$11,0)</f>
        <v>2376</v>
      </c>
      <c r="J2742" s="123">
        <f>IF(Basis!$E$1=1,ROUND(H2742/((TaH-TrH)*1.163)/3600,3),ROUND(H2742/(500*(TaH-TrH)),2))</f>
        <v>1.25</v>
      </c>
      <c r="K2742" s="84"/>
      <c r="L2742" s="177">
        <f>CHOOSE(Basis!$E$1,((AJ2742*(J2742*3600/Basis!$E$5)^AK2742*(((MID(C2742,9,3)*10)-144)/1000)*AL2742+AM2742*(J2742*3600/Basis!$E$5)^2)*0.0098)/Basis!$E$10,((AJ2742*(J2742/Basis!$E$5)^AK2742*(((MID(C2742,9,3)*10)-144)/1000)*AL2742+AM2742*(J2742/Basis!$E$5)^2)*0.0098)/Basis!$E$10)</f>
        <v>0.17622654771908849</v>
      </c>
      <c r="M2742" s="85"/>
      <c r="N2742" s="109">
        <v>1.518</v>
      </c>
      <c r="O2742" s="68"/>
      <c r="P2742" s="67">
        <v>6032</v>
      </c>
      <c r="Q2742" s="68"/>
      <c r="R2742" s="69"/>
      <c r="S2742" s="69"/>
      <c r="T2742" s="69"/>
      <c r="U2742" s="69"/>
      <c r="V2742" s="69"/>
      <c r="W2742" s="68"/>
      <c r="X2742" s="70"/>
      <c r="Y2742" s="70"/>
      <c r="Z2742" s="70"/>
      <c r="AA2742" s="70"/>
      <c r="AB2742" s="70"/>
      <c r="AC2742" s="68"/>
      <c r="AD2742" s="71"/>
      <c r="AE2742" s="71"/>
      <c r="AF2742" s="71"/>
      <c r="AG2742" s="71"/>
      <c r="AH2742" s="71"/>
      <c r="AI2742" s="68"/>
      <c r="AJ2742" s="214">
        <v>1.2760000000000001E-4</v>
      </c>
      <c r="AK2742" s="214">
        <v>1.7219</v>
      </c>
      <c r="AL2742" s="214">
        <v>4</v>
      </c>
      <c r="AM2742" s="214">
        <v>5.1420100000000005E-4</v>
      </c>
      <c r="AN2742" s="68"/>
      <c r="AO2742" s="67"/>
      <c r="AP2742" s="67"/>
      <c r="AQ2742" s="67"/>
      <c r="AR2742" s="67"/>
      <c r="AS2742" s="67"/>
      <c r="AT2742" s="68"/>
      <c r="AU2742" s="49"/>
      <c r="AV2742" s="50"/>
    </row>
    <row r="2743" spans="1:48" ht="12.75" customHeight="1" x14ac:dyDescent="0.25">
      <c r="A2743" s="72" t="s">
        <v>20</v>
      </c>
      <c r="B2743" s="43" t="s">
        <v>2240</v>
      </c>
      <c r="C2743" s="44" t="s">
        <v>2901</v>
      </c>
      <c r="D2743" s="45">
        <f>MROUND(MID($C2743,6,3)/Basis!$E$3,0.5)</f>
        <v>35.5</v>
      </c>
      <c r="E2743" s="45">
        <f>MROUND(MID($C2743,9,3)/Basis!$E$3,0.5)</f>
        <v>71</v>
      </c>
      <c r="F2743" s="124" t="s">
        <v>2943</v>
      </c>
      <c r="G2743" s="45">
        <f>ROUND((ROUNDDOWN($F2743/5,0)*5+1.8)/Basis!$E$3,1)</f>
        <v>4.5999999999999996</v>
      </c>
      <c r="H2743" s="120">
        <f>ROUND($P2743*Basis!$E$2*((TaH-TrH)/LN(1/µ)/Basis!$E$7)^$N2743*$AA$4*Glycol,0)</f>
        <v>5388</v>
      </c>
      <c r="I2743" s="83">
        <f>ROUND(H2743/(MID($C2743,9,3)/Basis!$E$3/Basis!$E$9)*Basis!$E$11,0)</f>
        <v>912</v>
      </c>
      <c r="J2743" s="123">
        <f>IF(Basis!$E$1=1,ROUND(H2743/((TaH-TrH)*1.163)/3600,3),ROUND(H2743/(500*(TaH-TrH)),2))</f>
        <v>0.54</v>
      </c>
      <c r="K2743" s="84"/>
      <c r="L2743" s="177">
        <f>CHOOSE(Basis!$E$1,((AJ2743*(J2743*3600/Basis!$E$5)^AK2743*(((MID(C2743,9,3)*10)-144)/1000)*AL2743+AM2743*(J2743*3600/Basis!$E$5)^2)*0.0098)/Basis!$E$10,((AJ2743*(J2743/Basis!$E$5)^AK2743*(((MID(C2743,9,3)*10)-144)/1000)*AL2743+AM2743*(J2743/Basis!$E$5)^2)*0.0098)/Basis!$E$10)</f>
        <v>3.6109073771917716E-2</v>
      </c>
      <c r="M2743" s="85"/>
      <c r="N2743" s="109">
        <v>1.3480000000000001</v>
      </c>
      <c r="O2743" s="68"/>
      <c r="P2743" s="67">
        <v>2464</v>
      </c>
      <c r="Q2743" s="68"/>
      <c r="R2743" s="69"/>
      <c r="S2743" s="69"/>
      <c r="T2743" s="69"/>
      <c r="U2743" s="69"/>
      <c r="V2743" s="69"/>
      <c r="W2743" s="68"/>
      <c r="X2743" s="70"/>
      <c r="Y2743" s="70"/>
      <c r="Z2743" s="70"/>
      <c r="AA2743" s="70"/>
      <c r="AB2743" s="70"/>
      <c r="AC2743" s="68"/>
      <c r="AD2743" s="71"/>
      <c r="AE2743" s="71"/>
      <c r="AF2743" s="71"/>
      <c r="AG2743" s="71"/>
      <c r="AH2743" s="71"/>
      <c r="AI2743" s="68"/>
      <c r="AJ2743" s="214">
        <v>3.9689999999999994E-4</v>
      </c>
      <c r="AK2743" s="214">
        <v>1.7345999999999999</v>
      </c>
      <c r="AL2743" s="214">
        <v>2</v>
      </c>
      <c r="AM2743" s="214">
        <v>3.6734700000000002E-4</v>
      </c>
      <c r="AN2743" s="68"/>
      <c r="AO2743" s="67"/>
      <c r="AP2743" s="67"/>
      <c r="AQ2743" s="67"/>
      <c r="AR2743" s="67"/>
      <c r="AS2743" s="67"/>
      <c r="AT2743" s="68"/>
      <c r="AU2743" s="49"/>
      <c r="AV2743" s="50"/>
    </row>
    <row r="2744" spans="1:48" ht="12.75" customHeight="1" x14ac:dyDescent="0.25">
      <c r="A2744" s="72" t="s">
        <v>20</v>
      </c>
      <c r="B2744" s="43" t="s">
        <v>2240</v>
      </c>
      <c r="C2744" s="44" t="s">
        <v>2902</v>
      </c>
      <c r="D2744" s="45">
        <f>MROUND(MID($C2744,6,3)/Basis!$E$3,0.5)</f>
        <v>35.5</v>
      </c>
      <c r="E2744" s="45">
        <f>MROUND(MID($C2744,9,3)/Basis!$E$3,0.5)</f>
        <v>71</v>
      </c>
      <c r="F2744" s="124" t="s">
        <v>2946</v>
      </c>
      <c r="G2744" s="45">
        <f>ROUND((ROUNDDOWN($F2744/5,0)*5+1.8)/Basis!$E$3,1)</f>
        <v>4.5999999999999996</v>
      </c>
      <c r="H2744" s="120">
        <f>ROUND($P2744*Basis!$E$2*((TaH-TrH)/LN(1/µ)/Basis!$E$7)^$N2744*$AA$4*Glycol,0)</f>
        <v>6725</v>
      </c>
      <c r="I2744" s="83">
        <f>ROUND(H2744/(MID($C2744,9,3)/Basis!$E$3/Basis!$E$9)*Basis!$E$11,0)</f>
        <v>1139</v>
      </c>
      <c r="J2744" s="123">
        <f>IF(Basis!$E$1=1,ROUND(H2744/((TaH-TrH)*1.163)/3600,3),ROUND(H2744/(500*(TaH-TrH)),2))</f>
        <v>0.67</v>
      </c>
      <c r="K2744" s="84"/>
      <c r="L2744" s="177">
        <f>CHOOSE(Basis!$E$1,((AJ2744*(J2744*3600/Basis!$E$5)^AK2744*(((MID(C2744,9,3)*10)-144)/1000)*AL2744+AM2744*(J2744*3600/Basis!$E$5)^2)*0.0098)/Basis!$E$10,((AJ2744*(J2744/Basis!$E$5)^AK2744*(((MID(C2744,9,3)*10)-144)/1000)*AL2744+AM2744*(J2744/Basis!$E$5)^2)*0.0098)/Basis!$E$10)</f>
        <v>9.5939319365252768E-2</v>
      </c>
      <c r="M2744" s="85"/>
      <c r="N2744" s="110">
        <v>1.4339999999999999</v>
      </c>
      <c r="O2744" s="74"/>
      <c r="P2744" s="73">
        <v>3164</v>
      </c>
      <c r="Q2744" s="74"/>
      <c r="R2744" s="75"/>
      <c r="S2744" s="75"/>
      <c r="T2744" s="75"/>
      <c r="U2744" s="75"/>
      <c r="V2744" s="75"/>
      <c r="W2744" s="74"/>
      <c r="X2744" s="76"/>
      <c r="Y2744" s="76"/>
      <c r="Z2744" s="76"/>
      <c r="AA2744" s="76"/>
      <c r="AB2744" s="76"/>
      <c r="AC2744" s="74"/>
      <c r="AD2744" s="77"/>
      <c r="AE2744" s="77"/>
      <c r="AF2744" s="77"/>
      <c r="AG2744" s="77"/>
      <c r="AH2744" s="77"/>
      <c r="AI2744" s="68"/>
      <c r="AJ2744" s="213">
        <v>3.9689999999999994E-4</v>
      </c>
      <c r="AK2744" s="213">
        <v>1.7345999999999999</v>
      </c>
      <c r="AL2744" s="213">
        <v>4</v>
      </c>
      <c r="AM2744" s="213">
        <v>5.7428799999999995E-4</v>
      </c>
      <c r="AN2744" s="74"/>
      <c r="AO2744" s="73"/>
      <c r="AP2744" s="73"/>
      <c r="AQ2744" s="73"/>
      <c r="AR2744" s="73"/>
      <c r="AS2744" s="73"/>
      <c r="AT2744" s="74"/>
      <c r="AU2744" s="47"/>
      <c r="AV2744" s="48"/>
    </row>
    <row r="2745" spans="1:48" ht="12.75" customHeight="1" x14ac:dyDescent="0.25">
      <c r="A2745" s="72" t="s">
        <v>20</v>
      </c>
      <c r="B2745" s="43" t="s">
        <v>2240</v>
      </c>
      <c r="C2745" s="44" t="s">
        <v>2903</v>
      </c>
      <c r="D2745" s="45">
        <f>MROUND(MID($C2745,6,3)/Basis!$E$3,0.5)</f>
        <v>35.5</v>
      </c>
      <c r="E2745" s="45">
        <f>MROUND(MID($C2745,9,3)/Basis!$E$3,0.5)</f>
        <v>71</v>
      </c>
      <c r="F2745" s="124" t="s">
        <v>2944</v>
      </c>
      <c r="G2745" s="45">
        <f>ROUND((ROUNDDOWN($F2745/5,0)*5+1.8)/Basis!$E$3,1)</f>
        <v>6.6</v>
      </c>
      <c r="H2745" s="120">
        <f>ROUND($P2745*Basis!$E$2*((TaH-TrH)/LN(1/µ)/Basis!$E$7)^$N2745*$AA$4*Glycol,0)</f>
        <v>8406</v>
      </c>
      <c r="I2745" s="83">
        <f>ROUND(H2745/(MID($C2745,9,3)/Basis!$E$3/Basis!$E$9)*Basis!$E$11,0)</f>
        <v>1423</v>
      </c>
      <c r="J2745" s="123">
        <f>IF(Basis!$E$1=1,ROUND(H2745/((TaH-TrH)*1.163)/3600,3),ROUND(H2745/(500*(TaH-TrH)),2))</f>
        <v>0.84</v>
      </c>
      <c r="K2745" s="84"/>
      <c r="L2745" s="177">
        <f>CHOOSE(Basis!$E$1,((AJ2745*(J2745*3600/Basis!$E$5)^AK2745*(((MID(C2745,9,3)*10)-144)/1000)*AL2745+AM2745*(J2745*3600/Basis!$E$5)^2)*0.0098)/Basis!$E$10,((AJ2745*(J2745/Basis!$E$5)^AK2745*(((MID(C2745,9,3)*10)-144)/1000)*AL2745+AM2745*(J2745/Basis!$E$5)^2)*0.0098)/Basis!$E$10)</f>
        <v>7.4236939969069188E-2</v>
      </c>
      <c r="M2745" s="85"/>
      <c r="N2745" s="110">
        <v>1.3260000000000001</v>
      </c>
      <c r="O2745" s="74"/>
      <c r="P2745" s="73">
        <v>3816</v>
      </c>
      <c r="Q2745" s="74"/>
      <c r="R2745" s="75"/>
      <c r="S2745" s="75"/>
      <c r="T2745" s="75"/>
      <c r="U2745" s="75"/>
      <c r="V2745" s="75"/>
      <c r="W2745" s="74"/>
      <c r="X2745" s="76"/>
      <c r="Y2745" s="76"/>
      <c r="Z2745" s="76"/>
      <c r="AA2745" s="76"/>
      <c r="AB2745" s="76"/>
      <c r="AC2745" s="74"/>
      <c r="AD2745" s="77"/>
      <c r="AE2745" s="77"/>
      <c r="AF2745" s="77"/>
      <c r="AG2745" s="77"/>
      <c r="AH2745" s="77"/>
      <c r="AI2745" s="68"/>
      <c r="AJ2745" s="213">
        <v>2.0829999999999999E-4</v>
      </c>
      <c r="AK2745" s="213">
        <v>1.724</v>
      </c>
      <c r="AL2745" s="213">
        <v>2</v>
      </c>
      <c r="AM2745" s="213">
        <v>4.6182900000000003E-4</v>
      </c>
      <c r="AN2745" s="74"/>
      <c r="AO2745" s="73"/>
      <c r="AP2745" s="73"/>
      <c r="AQ2745" s="73"/>
      <c r="AR2745" s="73"/>
      <c r="AS2745" s="73"/>
      <c r="AT2745" s="74"/>
      <c r="AU2745" s="47"/>
      <c r="AV2745" s="48"/>
    </row>
    <row r="2746" spans="1:48" ht="12.75" customHeight="1" x14ac:dyDescent="0.25">
      <c r="A2746" s="72" t="s">
        <v>20</v>
      </c>
      <c r="B2746" s="43" t="s">
        <v>2240</v>
      </c>
      <c r="C2746" s="44" t="s">
        <v>2904</v>
      </c>
      <c r="D2746" s="45">
        <f>MROUND(MID($C2746,6,3)/Basis!$E$3,0.5)</f>
        <v>35.5</v>
      </c>
      <c r="E2746" s="45">
        <f>MROUND(MID($C2746,9,3)/Basis!$E$3,0.5)</f>
        <v>71</v>
      </c>
      <c r="F2746" s="124" t="s">
        <v>2947</v>
      </c>
      <c r="G2746" s="45">
        <f>ROUND((ROUNDDOWN($F2746/5,0)*5+1.8)/Basis!$E$3,1)</f>
        <v>6.6</v>
      </c>
      <c r="H2746" s="120">
        <f>ROUND($P2746*Basis!$E$2*((TaH-TrH)/LN(1/µ)/Basis!$E$7)^$N2746*$AA$4*Glycol,0)</f>
        <v>9783</v>
      </c>
      <c r="I2746" s="83">
        <f>ROUND(H2746/(MID($C2746,9,3)/Basis!$E$3/Basis!$E$9)*Basis!$E$11,0)</f>
        <v>1657</v>
      </c>
      <c r="J2746" s="123">
        <f>IF(Basis!$E$1=1,ROUND(H2746/((TaH-TrH)*1.163)/3600,3),ROUND(H2746/(500*(TaH-TrH)),2))</f>
        <v>0.98</v>
      </c>
      <c r="K2746" s="84"/>
      <c r="L2746" s="177">
        <f>CHOOSE(Basis!$E$1,((AJ2746*(J2746*3600/Basis!$E$5)^AK2746*(((MID(C2746,9,3)*10)-144)/1000)*AL2746+AM2746*(J2746*3600/Basis!$E$5)^2)*0.0098)/Basis!$E$10,((AJ2746*(J2746/Basis!$E$5)^AK2746*(((MID(C2746,9,3)*10)-144)/1000)*AL2746+AM2746*(J2746/Basis!$E$5)^2)*0.0098)/Basis!$E$10)</f>
        <v>0.27590009099077439</v>
      </c>
      <c r="M2746" s="85"/>
      <c r="N2746" s="109">
        <v>1.48</v>
      </c>
      <c r="O2746" s="68"/>
      <c r="P2746" s="67">
        <v>4673</v>
      </c>
      <c r="Q2746" s="68"/>
      <c r="R2746" s="69"/>
      <c r="S2746" s="69"/>
      <c r="T2746" s="69"/>
      <c r="U2746" s="69"/>
      <c r="V2746" s="69"/>
      <c r="W2746" s="68"/>
      <c r="X2746" s="70"/>
      <c r="Y2746" s="70"/>
      <c r="Z2746" s="70"/>
      <c r="AA2746" s="70"/>
      <c r="AB2746" s="70"/>
      <c r="AC2746" s="68"/>
      <c r="AD2746" s="71"/>
      <c r="AE2746" s="71"/>
      <c r="AF2746" s="71"/>
      <c r="AG2746" s="71"/>
      <c r="AH2746" s="71"/>
      <c r="AI2746" s="68"/>
      <c r="AJ2746" s="214">
        <v>2.0829999999999999E-4</v>
      </c>
      <c r="AK2746" s="214">
        <v>1.724</v>
      </c>
      <c r="AL2746" s="214">
        <v>4</v>
      </c>
      <c r="AM2746" s="214">
        <v>1.392796E-3</v>
      </c>
      <c r="AN2746" s="68"/>
      <c r="AO2746" s="67"/>
      <c r="AP2746" s="67"/>
      <c r="AQ2746" s="67"/>
      <c r="AR2746" s="67"/>
      <c r="AS2746" s="67"/>
      <c r="AT2746" s="68"/>
      <c r="AU2746" s="49"/>
      <c r="AV2746" s="50"/>
    </row>
    <row r="2747" spans="1:48" ht="12.75" customHeight="1" x14ac:dyDescent="0.25">
      <c r="A2747" s="72" t="s">
        <v>20</v>
      </c>
      <c r="B2747" s="43" t="s">
        <v>2240</v>
      </c>
      <c r="C2747" s="44" t="s">
        <v>2905</v>
      </c>
      <c r="D2747" s="45">
        <f>MROUND(MID($C2747,6,3)/Basis!$E$3,0.5)</f>
        <v>35.5</v>
      </c>
      <c r="E2747" s="45">
        <f>MROUND(MID($C2747,9,3)/Basis!$E$3,0.5)</f>
        <v>71</v>
      </c>
      <c r="F2747" s="124" t="s">
        <v>2945</v>
      </c>
      <c r="G2747" s="45">
        <f>ROUND((ROUNDDOWN($F2747/5,0)*5+1.8)/Basis!$E$3,1)</f>
        <v>8.6</v>
      </c>
      <c r="H2747" s="120">
        <f>ROUND($P2747*Basis!$E$2*((TaH-TrH)/LN(1/µ)/Basis!$E$7)^$N2747*$AA$4*Glycol,0)</f>
        <v>11725</v>
      </c>
      <c r="I2747" s="83">
        <f>ROUND(H2747/(MID($C2747,9,3)/Basis!$E$3/Basis!$E$9)*Basis!$E$11,0)</f>
        <v>1985</v>
      </c>
      <c r="J2747" s="123">
        <f>IF(Basis!$E$1=1,ROUND(H2747/((TaH-TrH)*1.163)/3600,3),ROUND(H2747/(500*(TaH-TrH)),2))</f>
        <v>1.17</v>
      </c>
      <c r="K2747" s="84"/>
      <c r="L2747" s="177">
        <f>CHOOSE(Basis!$E$1,((AJ2747*(J2747*3600/Basis!$E$5)^AK2747*(((MID(C2747,9,3)*10)-144)/1000)*AL2747+AM2747*(J2747*3600/Basis!$E$5)^2)*0.0098)/Basis!$E$10,((AJ2747*(J2747/Basis!$E$5)^AK2747*(((MID(C2747,9,3)*10)-144)/1000)*AL2747+AM2747*(J2747/Basis!$E$5)^2)*0.0098)/Basis!$E$10)</f>
        <v>0.10761588359421316</v>
      </c>
      <c r="M2747" s="85"/>
      <c r="N2747" s="109">
        <v>1.3260000000000001</v>
      </c>
      <c r="O2747" s="68"/>
      <c r="P2747" s="67">
        <v>5323</v>
      </c>
      <c r="Q2747" s="68"/>
      <c r="R2747" s="69"/>
      <c r="S2747" s="69"/>
      <c r="T2747" s="69"/>
      <c r="U2747" s="69"/>
      <c r="V2747" s="69"/>
      <c r="W2747" s="68"/>
      <c r="X2747" s="70"/>
      <c r="Y2747" s="70"/>
      <c r="Z2747" s="70"/>
      <c r="AA2747" s="70"/>
      <c r="AB2747" s="70"/>
      <c r="AC2747" s="68"/>
      <c r="AD2747" s="71"/>
      <c r="AE2747" s="71"/>
      <c r="AF2747" s="71"/>
      <c r="AG2747" s="71"/>
      <c r="AH2747" s="71"/>
      <c r="AI2747" s="68"/>
      <c r="AJ2747" s="214">
        <v>1.2760000000000001E-4</v>
      </c>
      <c r="AK2747" s="214">
        <v>1.7219</v>
      </c>
      <c r="AL2747" s="214">
        <v>2</v>
      </c>
      <c r="AM2747" s="214">
        <v>3.76611E-4</v>
      </c>
      <c r="AN2747" s="68"/>
      <c r="AO2747" s="67"/>
      <c r="AP2747" s="67"/>
      <c r="AQ2747" s="67"/>
      <c r="AR2747" s="67"/>
      <c r="AS2747" s="67"/>
      <c r="AT2747" s="68"/>
      <c r="AU2747" s="49"/>
      <c r="AV2747" s="50"/>
    </row>
    <row r="2748" spans="1:48" ht="12.75" customHeight="1" x14ac:dyDescent="0.25">
      <c r="A2748" s="72" t="s">
        <v>20</v>
      </c>
      <c r="B2748" s="43" t="s">
        <v>2240</v>
      </c>
      <c r="C2748" s="44" t="s">
        <v>2906</v>
      </c>
      <c r="D2748" s="45">
        <f>MROUND(MID($C2748,6,3)/Basis!$E$3,0.5)</f>
        <v>35.5</v>
      </c>
      <c r="E2748" s="45">
        <f>MROUND(MID($C2748,9,3)/Basis!$E$3,0.5)</f>
        <v>71</v>
      </c>
      <c r="F2748" s="124" t="s">
        <v>2948</v>
      </c>
      <c r="G2748" s="45">
        <f>ROUND((ROUNDDOWN($F2748/5,0)*5+1.8)/Basis!$E$3,1)</f>
        <v>8.6</v>
      </c>
      <c r="H2748" s="120">
        <f>ROUND($P2748*Basis!$E$2*((TaH-TrH)/LN(1/µ)/Basis!$E$7)^$N2748*$AA$4*Glycol,0)</f>
        <v>14030</v>
      </c>
      <c r="I2748" s="83">
        <f>ROUND(H2748/(MID($C2748,9,3)/Basis!$E$3/Basis!$E$9)*Basis!$E$11,0)</f>
        <v>2376</v>
      </c>
      <c r="J2748" s="123">
        <f>IF(Basis!$E$1=1,ROUND(H2748/((TaH-TrH)*1.163)/3600,3),ROUND(H2748/(500*(TaH-TrH)),2))</f>
        <v>1.4</v>
      </c>
      <c r="K2748" s="84"/>
      <c r="L2748" s="177">
        <f>CHOOSE(Basis!$E$1,((AJ2748*(J2748*3600/Basis!$E$5)^AK2748*(((MID(C2748,9,3)*10)-144)/1000)*AL2748+AM2748*(J2748*3600/Basis!$E$5)^2)*0.0098)/Basis!$E$10,((AJ2748*(J2748/Basis!$E$5)^AK2748*(((MID(C2748,9,3)*10)-144)/1000)*AL2748+AM2748*(J2748/Basis!$E$5)^2)*0.0098)/Basis!$E$10)</f>
        <v>0.22627129978324645</v>
      </c>
      <c r="M2748" s="85"/>
      <c r="N2748" s="110">
        <v>1.518</v>
      </c>
      <c r="O2748" s="74"/>
      <c r="P2748" s="73">
        <v>6786</v>
      </c>
      <c r="Q2748" s="74"/>
      <c r="R2748" s="75"/>
      <c r="S2748" s="75"/>
      <c r="T2748" s="75"/>
      <c r="U2748" s="75"/>
      <c r="V2748" s="75"/>
      <c r="W2748" s="74"/>
      <c r="X2748" s="76"/>
      <c r="Y2748" s="76"/>
      <c r="Z2748" s="76"/>
      <c r="AA2748" s="76"/>
      <c r="AB2748" s="76"/>
      <c r="AC2748" s="74"/>
      <c r="AD2748" s="77"/>
      <c r="AE2748" s="77"/>
      <c r="AF2748" s="77"/>
      <c r="AG2748" s="77"/>
      <c r="AH2748" s="77"/>
      <c r="AI2748" s="68"/>
      <c r="AJ2748" s="213">
        <v>1.2760000000000001E-4</v>
      </c>
      <c r="AK2748" s="213">
        <v>1.7219</v>
      </c>
      <c r="AL2748" s="213">
        <v>4</v>
      </c>
      <c r="AM2748" s="213">
        <v>5.1420100000000005E-4</v>
      </c>
      <c r="AN2748" s="74"/>
      <c r="AO2748" s="73"/>
      <c r="AP2748" s="73"/>
      <c r="AQ2748" s="73"/>
      <c r="AR2748" s="73"/>
      <c r="AS2748" s="73"/>
      <c r="AT2748" s="74"/>
      <c r="AU2748" s="47"/>
      <c r="AV2748" s="48"/>
    </row>
    <row r="2749" spans="1:48" ht="12.75" customHeight="1" x14ac:dyDescent="0.25">
      <c r="A2749" s="72" t="s">
        <v>20</v>
      </c>
      <c r="B2749" s="43" t="s">
        <v>2240</v>
      </c>
      <c r="C2749" s="44" t="s">
        <v>2907</v>
      </c>
      <c r="D2749" s="45">
        <f>MROUND(MID($C2749,6,3)/Basis!$E$3,0.5)</f>
        <v>35.5</v>
      </c>
      <c r="E2749" s="45">
        <f>MROUND(MID($C2749,9,3)/Basis!$E$3,0.5)</f>
        <v>78.5</v>
      </c>
      <c r="F2749" s="124" t="s">
        <v>2943</v>
      </c>
      <c r="G2749" s="45">
        <f>ROUND((ROUNDDOWN($F2749/5,0)*5+1.8)/Basis!$E$3,1)</f>
        <v>4.5999999999999996</v>
      </c>
      <c r="H2749" s="120">
        <f>ROUND($P2749*Basis!$E$2*((TaH-TrH)/LN(1/µ)/Basis!$E$7)^$N2749*$AA$4*Glycol,0)</f>
        <v>5987</v>
      </c>
      <c r="I2749" s="83">
        <f>ROUND(H2749/(MID($C2749,9,3)/Basis!$E$3/Basis!$E$9)*Basis!$E$11,0)</f>
        <v>912</v>
      </c>
      <c r="J2749" s="123">
        <f>IF(Basis!$E$1=1,ROUND(H2749/((TaH-TrH)*1.163)/3600,3),ROUND(H2749/(500*(TaH-TrH)),2))</f>
        <v>0.6</v>
      </c>
      <c r="K2749" s="84"/>
      <c r="L2749" s="177">
        <f>CHOOSE(Basis!$E$1,((AJ2749*(J2749*3600/Basis!$E$5)^AK2749*(((MID(C2749,9,3)*10)-144)/1000)*AL2749+AM2749*(J2749*3600/Basis!$E$5)^2)*0.0098)/Basis!$E$10,((AJ2749*(J2749/Basis!$E$5)^AK2749*(((MID(C2749,9,3)*10)-144)/1000)*AL2749+AM2749*(J2749/Basis!$E$5)^2)*0.0098)/Basis!$E$10)</f>
        <v>4.6580747807873975E-2</v>
      </c>
      <c r="M2749" s="85"/>
      <c r="N2749" s="110">
        <v>1.3480000000000001</v>
      </c>
      <c r="O2749" s="74"/>
      <c r="P2749" s="73">
        <v>2738</v>
      </c>
      <c r="Q2749" s="74"/>
      <c r="R2749" s="75"/>
      <c r="S2749" s="75"/>
      <c r="T2749" s="75"/>
      <c r="U2749" s="75"/>
      <c r="V2749" s="75"/>
      <c r="W2749" s="74"/>
      <c r="X2749" s="76"/>
      <c r="Y2749" s="76"/>
      <c r="Z2749" s="76"/>
      <c r="AA2749" s="76"/>
      <c r="AB2749" s="76"/>
      <c r="AC2749" s="74"/>
      <c r="AD2749" s="77"/>
      <c r="AE2749" s="77"/>
      <c r="AF2749" s="77"/>
      <c r="AG2749" s="77"/>
      <c r="AH2749" s="77"/>
      <c r="AI2749" s="68"/>
      <c r="AJ2749" s="213">
        <v>3.9689999999999994E-4</v>
      </c>
      <c r="AK2749" s="213">
        <v>1.7345999999999999</v>
      </c>
      <c r="AL2749" s="213">
        <v>2</v>
      </c>
      <c r="AM2749" s="213">
        <v>3.6734700000000002E-4</v>
      </c>
      <c r="AN2749" s="74"/>
      <c r="AO2749" s="73"/>
      <c r="AP2749" s="73"/>
      <c r="AQ2749" s="73"/>
      <c r="AR2749" s="73"/>
      <c r="AS2749" s="73"/>
      <c r="AT2749" s="74"/>
      <c r="AU2749" s="47"/>
      <c r="AV2749" s="48"/>
    </row>
    <row r="2750" spans="1:48" ht="12.75" customHeight="1" x14ac:dyDescent="0.25">
      <c r="A2750" s="72" t="s">
        <v>20</v>
      </c>
      <c r="B2750" s="43" t="s">
        <v>2240</v>
      </c>
      <c r="C2750" s="44" t="s">
        <v>2908</v>
      </c>
      <c r="D2750" s="45">
        <f>MROUND(MID($C2750,6,3)/Basis!$E$3,0.5)</f>
        <v>35.5</v>
      </c>
      <c r="E2750" s="45">
        <f>MROUND(MID($C2750,9,3)/Basis!$E$3,0.5)</f>
        <v>78.5</v>
      </c>
      <c r="F2750" s="124" t="s">
        <v>2946</v>
      </c>
      <c r="G2750" s="45">
        <f>ROUND((ROUNDDOWN($F2750/5,0)*5+1.8)/Basis!$E$3,1)</f>
        <v>4.5999999999999996</v>
      </c>
      <c r="H2750" s="120">
        <f>ROUND($P2750*Basis!$E$2*((TaH-TrH)/LN(1/µ)/Basis!$E$7)^$N2750*$AA$4*Glycol,0)</f>
        <v>7474</v>
      </c>
      <c r="I2750" s="83">
        <f>ROUND(H2750/(MID($C2750,9,3)/Basis!$E$3/Basis!$E$9)*Basis!$E$11,0)</f>
        <v>1139</v>
      </c>
      <c r="J2750" s="123">
        <f>IF(Basis!$E$1=1,ROUND(H2750/((TaH-TrH)*1.163)/3600,3),ROUND(H2750/(500*(TaH-TrH)),2))</f>
        <v>0.75</v>
      </c>
      <c r="K2750" s="84"/>
      <c r="L2750" s="177">
        <f>CHOOSE(Basis!$E$1,((AJ2750*(J2750*3600/Basis!$E$5)^AK2750*(((MID(C2750,9,3)*10)-144)/1000)*AL2750+AM2750*(J2750*3600/Basis!$E$5)^2)*0.0098)/Basis!$E$10,((AJ2750*(J2750/Basis!$E$5)^AK2750*(((MID(C2750,9,3)*10)-144)/1000)*AL2750+AM2750*(J2750/Basis!$E$5)^2)*0.0098)/Basis!$E$10)</f>
        <v>0.1259838903087411</v>
      </c>
      <c r="M2750" s="85"/>
      <c r="N2750" s="109">
        <v>1.4339999999999999</v>
      </c>
      <c r="O2750" s="68"/>
      <c r="P2750" s="67">
        <v>3516</v>
      </c>
      <c r="Q2750" s="68"/>
      <c r="R2750" s="69"/>
      <c r="S2750" s="69"/>
      <c r="T2750" s="69"/>
      <c r="U2750" s="69"/>
      <c r="V2750" s="69"/>
      <c r="W2750" s="68"/>
      <c r="X2750" s="70"/>
      <c r="Y2750" s="70"/>
      <c r="Z2750" s="70"/>
      <c r="AA2750" s="70"/>
      <c r="AB2750" s="70"/>
      <c r="AC2750" s="68"/>
      <c r="AD2750" s="71"/>
      <c r="AE2750" s="71"/>
      <c r="AF2750" s="71"/>
      <c r="AG2750" s="71"/>
      <c r="AH2750" s="71"/>
      <c r="AI2750" s="68"/>
      <c r="AJ2750" s="214">
        <v>3.9689999999999994E-4</v>
      </c>
      <c r="AK2750" s="214">
        <v>1.7345999999999999</v>
      </c>
      <c r="AL2750" s="214">
        <v>4</v>
      </c>
      <c r="AM2750" s="214">
        <v>5.7428799999999995E-4</v>
      </c>
      <c r="AN2750" s="68"/>
      <c r="AO2750" s="67"/>
      <c r="AP2750" s="67"/>
      <c r="AQ2750" s="67"/>
      <c r="AR2750" s="67"/>
      <c r="AS2750" s="67"/>
      <c r="AT2750" s="68"/>
      <c r="AU2750" s="49"/>
      <c r="AV2750" s="50"/>
    </row>
    <row r="2751" spans="1:48" ht="12.75" customHeight="1" x14ac:dyDescent="0.25">
      <c r="A2751" s="72" t="s">
        <v>20</v>
      </c>
      <c r="B2751" s="43" t="s">
        <v>2240</v>
      </c>
      <c r="C2751" s="44" t="s">
        <v>2909</v>
      </c>
      <c r="D2751" s="45">
        <f>MROUND(MID($C2751,6,3)/Basis!$E$3,0.5)</f>
        <v>35.5</v>
      </c>
      <c r="E2751" s="45">
        <f>MROUND(MID($C2751,9,3)/Basis!$E$3,0.5)</f>
        <v>78.5</v>
      </c>
      <c r="F2751" s="124" t="s">
        <v>2944</v>
      </c>
      <c r="G2751" s="45">
        <f>ROUND((ROUNDDOWN($F2751/5,0)*5+1.8)/Basis!$E$3,1)</f>
        <v>6.6</v>
      </c>
      <c r="H2751" s="120">
        <f>ROUND($P2751*Basis!$E$2*((TaH-TrH)/LN(1/µ)/Basis!$E$7)^$N2751*$AA$4*Glycol,0)</f>
        <v>9340</v>
      </c>
      <c r="I2751" s="83">
        <f>ROUND(H2751/(MID($C2751,9,3)/Basis!$E$3/Basis!$E$9)*Basis!$E$11,0)</f>
        <v>1423</v>
      </c>
      <c r="J2751" s="123">
        <f>IF(Basis!$E$1=1,ROUND(H2751/((TaH-TrH)*1.163)/3600,3),ROUND(H2751/(500*(TaH-TrH)),2))</f>
        <v>0.93</v>
      </c>
      <c r="K2751" s="84"/>
      <c r="L2751" s="177">
        <f>CHOOSE(Basis!$E$1,((AJ2751*(J2751*3600/Basis!$E$5)^AK2751*(((MID(C2751,9,3)*10)-144)/1000)*AL2751+AM2751*(J2751*3600/Basis!$E$5)^2)*0.0098)/Basis!$E$10,((AJ2751*(J2751/Basis!$E$5)^AK2751*(((MID(C2751,9,3)*10)-144)/1000)*AL2751+AM2751*(J2751/Basis!$E$5)^2)*0.0098)/Basis!$E$10)</f>
        <v>9.3116776765041417E-2</v>
      </c>
      <c r="M2751" s="85"/>
      <c r="N2751" s="109">
        <v>1.3260000000000001</v>
      </c>
      <c r="O2751" s="68"/>
      <c r="P2751" s="67">
        <v>4240</v>
      </c>
      <c r="Q2751" s="68"/>
      <c r="R2751" s="69"/>
      <c r="S2751" s="69"/>
      <c r="T2751" s="69"/>
      <c r="U2751" s="69"/>
      <c r="V2751" s="69"/>
      <c r="W2751" s="68"/>
      <c r="X2751" s="70"/>
      <c r="Y2751" s="70"/>
      <c r="Z2751" s="70"/>
      <c r="AA2751" s="70"/>
      <c r="AB2751" s="70"/>
      <c r="AC2751" s="68"/>
      <c r="AD2751" s="71"/>
      <c r="AE2751" s="71"/>
      <c r="AF2751" s="71"/>
      <c r="AG2751" s="71"/>
      <c r="AH2751" s="71"/>
      <c r="AI2751" s="68"/>
      <c r="AJ2751" s="214">
        <v>2.0829999999999999E-4</v>
      </c>
      <c r="AK2751" s="214">
        <v>1.724</v>
      </c>
      <c r="AL2751" s="214">
        <v>2</v>
      </c>
      <c r="AM2751" s="214">
        <v>4.6182900000000003E-4</v>
      </c>
      <c r="AN2751" s="68"/>
      <c r="AO2751" s="67"/>
      <c r="AP2751" s="67"/>
      <c r="AQ2751" s="67"/>
      <c r="AR2751" s="67"/>
      <c r="AS2751" s="67"/>
      <c r="AT2751" s="68"/>
      <c r="AU2751" s="49"/>
      <c r="AV2751" s="50"/>
    </row>
    <row r="2752" spans="1:48" ht="12.75" customHeight="1" x14ac:dyDescent="0.25">
      <c r="A2752" s="72" t="s">
        <v>20</v>
      </c>
      <c r="B2752" s="43" t="s">
        <v>2240</v>
      </c>
      <c r="C2752" s="44" t="s">
        <v>2910</v>
      </c>
      <c r="D2752" s="45">
        <f>MROUND(MID($C2752,6,3)/Basis!$E$3,0.5)</f>
        <v>35.5</v>
      </c>
      <c r="E2752" s="45">
        <f>MROUND(MID($C2752,9,3)/Basis!$E$3,0.5)</f>
        <v>78.5</v>
      </c>
      <c r="F2752" s="124" t="s">
        <v>2947</v>
      </c>
      <c r="G2752" s="45">
        <f>ROUND((ROUNDDOWN($F2752/5,0)*5+1.8)/Basis!$E$3,1)</f>
        <v>6.6</v>
      </c>
      <c r="H2752" s="120">
        <f>ROUND($P2752*Basis!$E$2*((TaH-TrH)/LN(1/µ)/Basis!$E$7)^$N2752*$AA$4*Glycol,0)</f>
        <v>10870</v>
      </c>
      <c r="I2752" s="83">
        <f>ROUND(H2752/(MID($C2752,9,3)/Basis!$E$3/Basis!$E$9)*Basis!$E$11,0)</f>
        <v>1657</v>
      </c>
      <c r="J2752" s="123">
        <f>IF(Basis!$E$1=1,ROUND(H2752/((TaH-TrH)*1.163)/3600,3),ROUND(H2752/(500*(TaH-TrH)),2))</f>
        <v>1.0900000000000001</v>
      </c>
      <c r="K2752" s="84"/>
      <c r="L2752" s="177">
        <f>CHOOSE(Basis!$E$1,((AJ2752*(J2752*3600/Basis!$E$5)^AK2752*(((MID(C2752,9,3)*10)-144)/1000)*AL2752+AM2752*(J2752*3600/Basis!$E$5)^2)*0.0098)/Basis!$E$10,((AJ2752*(J2752/Basis!$E$5)^AK2752*(((MID(C2752,9,3)*10)-144)/1000)*AL2752+AM2752*(J2752/Basis!$E$5)^2)*0.0098)/Basis!$E$10)</f>
        <v>0.34680798743085905</v>
      </c>
      <c r="M2752" s="85"/>
      <c r="N2752" s="110">
        <v>1.48</v>
      </c>
      <c r="O2752" s="74"/>
      <c r="P2752" s="73">
        <v>5192</v>
      </c>
      <c r="Q2752" s="74"/>
      <c r="R2752" s="75"/>
      <c r="S2752" s="75"/>
      <c r="T2752" s="75"/>
      <c r="U2752" s="75"/>
      <c r="V2752" s="75"/>
      <c r="W2752" s="74"/>
      <c r="X2752" s="76"/>
      <c r="Y2752" s="76"/>
      <c r="Z2752" s="76"/>
      <c r="AA2752" s="76"/>
      <c r="AB2752" s="76"/>
      <c r="AC2752" s="74"/>
      <c r="AD2752" s="77"/>
      <c r="AE2752" s="77"/>
      <c r="AF2752" s="77"/>
      <c r="AG2752" s="77"/>
      <c r="AH2752" s="77"/>
      <c r="AI2752" s="68"/>
      <c r="AJ2752" s="213">
        <v>2.0829999999999999E-4</v>
      </c>
      <c r="AK2752" s="213">
        <v>1.724</v>
      </c>
      <c r="AL2752" s="213">
        <v>4</v>
      </c>
      <c r="AM2752" s="213">
        <v>1.392796E-3</v>
      </c>
      <c r="AN2752" s="74"/>
      <c r="AO2752" s="73"/>
      <c r="AP2752" s="73"/>
      <c r="AQ2752" s="73"/>
      <c r="AR2752" s="73"/>
      <c r="AS2752" s="73"/>
      <c r="AT2752" s="74"/>
      <c r="AU2752" s="47"/>
      <c r="AV2752" s="48"/>
    </row>
    <row r="2753" spans="1:48" ht="12.75" customHeight="1" x14ac:dyDescent="0.25">
      <c r="A2753" s="72" t="s">
        <v>20</v>
      </c>
      <c r="B2753" s="43" t="s">
        <v>2240</v>
      </c>
      <c r="C2753" s="44" t="s">
        <v>2911</v>
      </c>
      <c r="D2753" s="45">
        <f>MROUND(MID($C2753,6,3)/Basis!$E$3,0.5)</f>
        <v>35.5</v>
      </c>
      <c r="E2753" s="45">
        <f>MROUND(MID($C2753,9,3)/Basis!$E$3,0.5)</f>
        <v>78.5</v>
      </c>
      <c r="F2753" s="124" t="s">
        <v>2945</v>
      </c>
      <c r="G2753" s="45">
        <f>ROUND((ROUNDDOWN($F2753/5,0)*5+1.8)/Basis!$E$3,1)</f>
        <v>8.6</v>
      </c>
      <c r="H2753" s="120">
        <f>ROUND($P2753*Basis!$E$2*((TaH-TrH)/LN(1/µ)/Basis!$E$7)^$N2753*$AA$4*Glycol,0)</f>
        <v>13027</v>
      </c>
      <c r="I2753" s="83">
        <f>ROUND(H2753/(MID($C2753,9,3)/Basis!$E$3/Basis!$E$9)*Basis!$E$11,0)</f>
        <v>1985</v>
      </c>
      <c r="J2753" s="123">
        <f>IF(Basis!$E$1=1,ROUND(H2753/((TaH-TrH)*1.163)/3600,3),ROUND(H2753/(500*(TaH-TrH)),2))</f>
        <v>1.3</v>
      </c>
      <c r="K2753" s="84"/>
      <c r="L2753" s="177">
        <f>CHOOSE(Basis!$E$1,((AJ2753*(J2753*3600/Basis!$E$5)^AK2753*(((MID(C2753,9,3)*10)-144)/1000)*AL2753+AM2753*(J2753*3600/Basis!$E$5)^2)*0.0098)/Basis!$E$10,((AJ2753*(J2753/Basis!$E$5)^AK2753*(((MID(C2753,9,3)*10)-144)/1000)*AL2753+AM2753*(J2753/Basis!$E$5)^2)*0.0098)/Basis!$E$10)</f>
        <v>0.13511403254223261</v>
      </c>
      <c r="M2753" s="85"/>
      <c r="N2753" s="110">
        <v>1.3260000000000001</v>
      </c>
      <c r="O2753" s="74"/>
      <c r="P2753" s="73">
        <v>5914</v>
      </c>
      <c r="Q2753" s="74"/>
      <c r="R2753" s="75"/>
      <c r="S2753" s="75"/>
      <c r="T2753" s="75"/>
      <c r="U2753" s="75"/>
      <c r="V2753" s="75"/>
      <c r="W2753" s="74"/>
      <c r="X2753" s="76"/>
      <c r="Y2753" s="76"/>
      <c r="Z2753" s="76"/>
      <c r="AA2753" s="76"/>
      <c r="AB2753" s="76"/>
      <c r="AC2753" s="74"/>
      <c r="AD2753" s="77"/>
      <c r="AE2753" s="77"/>
      <c r="AF2753" s="77"/>
      <c r="AG2753" s="77"/>
      <c r="AH2753" s="77"/>
      <c r="AI2753" s="68"/>
      <c r="AJ2753" s="214">
        <v>1.2760000000000001E-4</v>
      </c>
      <c r="AK2753" s="214">
        <v>1.7219</v>
      </c>
      <c r="AL2753" s="214">
        <v>2</v>
      </c>
      <c r="AM2753" s="214">
        <v>3.76611E-4</v>
      </c>
      <c r="AN2753" s="74"/>
      <c r="AO2753" s="73"/>
      <c r="AP2753" s="73"/>
      <c r="AQ2753" s="73"/>
      <c r="AR2753" s="73"/>
      <c r="AS2753" s="73"/>
      <c r="AT2753" s="74"/>
      <c r="AU2753" s="47"/>
      <c r="AV2753" s="48"/>
    </row>
    <row r="2754" spans="1:48" ht="12.75" customHeight="1" x14ac:dyDescent="0.25">
      <c r="A2754" s="72" t="s">
        <v>20</v>
      </c>
      <c r="B2754" s="43" t="s">
        <v>2240</v>
      </c>
      <c r="C2754" s="44" t="s">
        <v>2912</v>
      </c>
      <c r="D2754" s="45">
        <f>MROUND(MID($C2754,6,3)/Basis!$E$3,0.5)</f>
        <v>35.5</v>
      </c>
      <c r="E2754" s="45">
        <f>MROUND(MID($C2754,9,3)/Basis!$E$3,0.5)</f>
        <v>78.5</v>
      </c>
      <c r="F2754" s="124" t="s">
        <v>2948</v>
      </c>
      <c r="G2754" s="45">
        <f>ROUND((ROUNDDOWN($F2754/5,0)*5+1.8)/Basis!$E$3,1)</f>
        <v>8.6</v>
      </c>
      <c r="H2754" s="120">
        <f>ROUND($P2754*Basis!$E$2*((TaH-TrH)/LN(1/µ)/Basis!$E$7)^$N2754*$AA$4*Glycol,0)</f>
        <v>15589</v>
      </c>
      <c r="I2754" s="83">
        <f>ROUND(H2754/(MID($C2754,9,3)/Basis!$E$3/Basis!$E$9)*Basis!$E$11,0)</f>
        <v>2376</v>
      </c>
      <c r="J2754" s="123">
        <f>IF(Basis!$E$1=1,ROUND(H2754/((TaH-TrH)*1.163)/3600,3),ROUND(H2754/(500*(TaH-TrH)),2))</f>
        <v>1.56</v>
      </c>
      <c r="K2754" s="84"/>
      <c r="L2754" s="177">
        <f>CHOOSE(Basis!$E$1,((AJ2754*(J2754*3600/Basis!$E$5)^AK2754*(((MID(C2754,9,3)*10)-144)/1000)*AL2754+AM2754*(J2754*3600/Basis!$E$5)^2)*0.0098)/Basis!$E$10,((AJ2754*(J2754/Basis!$E$5)^AK2754*(((MID(C2754,9,3)*10)-144)/1000)*AL2754+AM2754*(J2754/Basis!$E$5)^2)*0.0098)/Basis!$E$10)</f>
        <v>0.28706350349843851</v>
      </c>
      <c r="M2754" s="85"/>
      <c r="N2754" s="109">
        <v>1.518</v>
      </c>
      <c r="O2754" s="68"/>
      <c r="P2754" s="67">
        <v>7540</v>
      </c>
      <c r="Q2754" s="68"/>
      <c r="R2754" s="69"/>
      <c r="S2754" s="69"/>
      <c r="T2754" s="69"/>
      <c r="U2754" s="69"/>
      <c r="V2754" s="69"/>
      <c r="W2754" s="68"/>
      <c r="X2754" s="70"/>
      <c r="Y2754" s="70"/>
      <c r="Z2754" s="70"/>
      <c r="AA2754" s="70"/>
      <c r="AB2754" s="70"/>
      <c r="AC2754" s="68"/>
      <c r="AD2754" s="71"/>
      <c r="AE2754" s="71"/>
      <c r="AF2754" s="71"/>
      <c r="AG2754" s="71"/>
      <c r="AH2754" s="71"/>
      <c r="AI2754" s="68"/>
      <c r="AJ2754" s="214">
        <v>1.2760000000000001E-4</v>
      </c>
      <c r="AK2754" s="214">
        <v>1.7219</v>
      </c>
      <c r="AL2754" s="214">
        <v>4</v>
      </c>
      <c r="AM2754" s="214">
        <v>5.1420100000000005E-4</v>
      </c>
      <c r="AN2754" s="68"/>
      <c r="AO2754" s="67"/>
      <c r="AP2754" s="67"/>
      <c r="AQ2754" s="67"/>
      <c r="AR2754" s="67"/>
      <c r="AS2754" s="67"/>
      <c r="AT2754" s="68"/>
      <c r="AU2754" s="49"/>
      <c r="AV2754" s="50"/>
    </row>
    <row r="2755" spans="1:48" ht="12.75" customHeight="1" x14ac:dyDescent="0.25">
      <c r="A2755" s="72" t="s">
        <v>20</v>
      </c>
      <c r="B2755" s="43" t="s">
        <v>2240</v>
      </c>
      <c r="C2755" s="44" t="s">
        <v>2913</v>
      </c>
      <c r="D2755" s="45">
        <f>MROUND(MID($C2755,6,3)/Basis!$E$3,0.5)</f>
        <v>35.5</v>
      </c>
      <c r="E2755" s="45">
        <f>MROUND(MID($C2755,9,3)/Basis!$E$3,0.5)</f>
        <v>86.5</v>
      </c>
      <c r="F2755" s="124" t="s">
        <v>2943</v>
      </c>
      <c r="G2755" s="45">
        <f>ROUND((ROUNDDOWN($F2755/5,0)*5+1.8)/Basis!$E$3,1)</f>
        <v>4.5999999999999996</v>
      </c>
      <c r="H2755" s="120">
        <f>ROUND($P2755*Basis!$E$2*((TaH-TrH)/LN(1/µ)/Basis!$E$7)^$N2755*$AA$4*Glycol,0)</f>
        <v>6587</v>
      </c>
      <c r="I2755" s="83">
        <f>ROUND(H2755/(MID($C2755,9,3)/Basis!$E$3/Basis!$E$9)*Basis!$E$11,0)</f>
        <v>913</v>
      </c>
      <c r="J2755" s="123">
        <f>IF(Basis!$E$1=1,ROUND(H2755/((TaH-TrH)*1.163)/3600,3),ROUND(H2755/(500*(TaH-TrH)),2))</f>
        <v>0.66</v>
      </c>
      <c r="K2755" s="84"/>
      <c r="L2755" s="177">
        <f>CHOOSE(Basis!$E$1,((AJ2755*(J2755*3600/Basis!$E$5)^AK2755*(((MID(C2755,9,3)*10)-144)/1000)*AL2755+AM2755*(J2755*3600/Basis!$E$5)^2)*0.0098)/Basis!$E$10,((AJ2755*(J2755/Basis!$E$5)^AK2755*(((MID(C2755,9,3)*10)-144)/1000)*AL2755+AM2755*(J2755/Basis!$E$5)^2)*0.0098)/Basis!$E$10)</f>
        <v>5.8715136483732319E-2</v>
      </c>
      <c r="M2755" s="85"/>
      <c r="N2755" s="109">
        <v>1.3480000000000001</v>
      </c>
      <c r="O2755" s="68"/>
      <c r="P2755" s="67">
        <v>3012</v>
      </c>
      <c r="Q2755" s="68"/>
      <c r="R2755" s="69"/>
      <c r="S2755" s="69"/>
      <c r="T2755" s="69"/>
      <c r="U2755" s="69"/>
      <c r="V2755" s="69"/>
      <c r="W2755" s="68"/>
      <c r="X2755" s="70"/>
      <c r="Y2755" s="70"/>
      <c r="Z2755" s="70"/>
      <c r="AA2755" s="70"/>
      <c r="AB2755" s="70"/>
      <c r="AC2755" s="68"/>
      <c r="AD2755" s="71"/>
      <c r="AE2755" s="71"/>
      <c r="AF2755" s="71"/>
      <c r="AG2755" s="71"/>
      <c r="AH2755" s="71"/>
      <c r="AI2755" s="68"/>
      <c r="AJ2755" s="214">
        <v>3.9689999999999994E-4</v>
      </c>
      <c r="AK2755" s="214">
        <v>1.7345999999999999</v>
      </c>
      <c r="AL2755" s="214">
        <v>2</v>
      </c>
      <c r="AM2755" s="214">
        <v>3.6734700000000002E-4</v>
      </c>
      <c r="AN2755" s="68"/>
      <c r="AO2755" s="67"/>
      <c r="AP2755" s="67"/>
      <c r="AQ2755" s="67"/>
      <c r="AR2755" s="67"/>
      <c r="AS2755" s="67"/>
      <c r="AT2755" s="68"/>
      <c r="AU2755" s="49"/>
      <c r="AV2755" s="50"/>
    </row>
    <row r="2756" spans="1:48" ht="12.75" customHeight="1" x14ac:dyDescent="0.25">
      <c r="A2756" s="72" t="s">
        <v>20</v>
      </c>
      <c r="B2756" s="43" t="s">
        <v>2240</v>
      </c>
      <c r="C2756" s="44" t="s">
        <v>2914</v>
      </c>
      <c r="D2756" s="45">
        <f>MROUND(MID($C2756,6,3)/Basis!$E$3,0.5)</f>
        <v>35.5</v>
      </c>
      <c r="E2756" s="45">
        <f>MROUND(MID($C2756,9,3)/Basis!$E$3,0.5)</f>
        <v>86.5</v>
      </c>
      <c r="F2756" s="124" t="s">
        <v>2946</v>
      </c>
      <c r="G2756" s="45">
        <f>ROUND((ROUNDDOWN($F2756/5,0)*5+1.8)/Basis!$E$3,1)</f>
        <v>4.5999999999999996</v>
      </c>
      <c r="H2756" s="120">
        <f>ROUND($P2756*Basis!$E$2*((TaH-TrH)/LN(1/µ)/Basis!$E$7)^$N2756*$AA$4*Glycol,0)</f>
        <v>8222</v>
      </c>
      <c r="I2756" s="83">
        <f>ROUND(H2756/(MID($C2756,9,3)/Basis!$E$3/Basis!$E$9)*Basis!$E$11,0)</f>
        <v>1139</v>
      </c>
      <c r="J2756" s="123">
        <f>IF(Basis!$E$1=1,ROUND(H2756/((TaH-TrH)*1.163)/3600,3),ROUND(H2756/(500*(TaH-TrH)),2))</f>
        <v>0.82</v>
      </c>
      <c r="K2756" s="84"/>
      <c r="L2756" s="177">
        <f>CHOOSE(Basis!$E$1,((AJ2756*(J2756*3600/Basis!$E$5)^AK2756*(((MID(C2756,9,3)*10)-144)/1000)*AL2756+AM2756*(J2756*3600/Basis!$E$5)^2)*0.0098)/Basis!$E$10,((AJ2756*(J2756/Basis!$E$5)^AK2756*(((MID(C2756,9,3)*10)-144)/1000)*AL2756+AM2756*(J2756/Basis!$E$5)^2)*0.0098)/Basis!$E$10)</f>
        <v>0.15759229289230692</v>
      </c>
      <c r="M2756" s="85"/>
      <c r="N2756" s="110">
        <v>1.4339999999999999</v>
      </c>
      <c r="O2756" s="74"/>
      <c r="P2756" s="73">
        <v>3868</v>
      </c>
      <c r="Q2756" s="74"/>
      <c r="R2756" s="75"/>
      <c r="S2756" s="75"/>
      <c r="T2756" s="75"/>
      <c r="U2756" s="75"/>
      <c r="V2756" s="75"/>
      <c r="W2756" s="74"/>
      <c r="X2756" s="76"/>
      <c r="Y2756" s="76"/>
      <c r="Z2756" s="76"/>
      <c r="AA2756" s="76"/>
      <c r="AB2756" s="76"/>
      <c r="AC2756" s="74"/>
      <c r="AD2756" s="77"/>
      <c r="AE2756" s="77"/>
      <c r="AF2756" s="77"/>
      <c r="AG2756" s="77"/>
      <c r="AH2756" s="77"/>
      <c r="AI2756" s="68"/>
      <c r="AJ2756" s="213">
        <v>3.9689999999999994E-4</v>
      </c>
      <c r="AK2756" s="213">
        <v>1.7345999999999999</v>
      </c>
      <c r="AL2756" s="213">
        <v>4</v>
      </c>
      <c r="AM2756" s="213">
        <v>5.7428799999999995E-4</v>
      </c>
      <c r="AN2756" s="74"/>
      <c r="AO2756" s="73"/>
      <c r="AP2756" s="73"/>
      <c r="AQ2756" s="73"/>
      <c r="AR2756" s="73"/>
      <c r="AS2756" s="73"/>
      <c r="AT2756" s="74"/>
      <c r="AU2756" s="47"/>
      <c r="AV2756" s="48"/>
    </row>
    <row r="2757" spans="1:48" ht="12.75" customHeight="1" x14ac:dyDescent="0.25">
      <c r="A2757" s="72" t="s">
        <v>20</v>
      </c>
      <c r="B2757" s="43" t="s">
        <v>2240</v>
      </c>
      <c r="C2757" s="44" t="s">
        <v>2915</v>
      </c>
      <c r="D2757" s="45">
        <f>MROUND(MID($C2757,6,3)/Basis!$E$3,0.5)</f>
        <v>35.5</v>
      </c>
      <c r="E2757" s="45">
        <f>MROUND(MID($C2757,9,3)/Basis!$E$3,0.5)</f>
        <v>86.5</v>
      </c>
      <c r="F2757" s="124" t="s">
        <v>2944</v>
      </c>
      <c r="G2757" s="45">
        <f>ROUND((ROUNDDOWN($F2757/5,0)*5+1.8)/Basis!$E$3,1)</f>
        <v>6.6</v>
      </c>
      <c r="H2757" s="120">
        <f>ROUND($P2757*Basis!$E$2*((TaH-TrH)/LN(1/µ)/Basis!$E$7)^$N2757*$AA$4*Glycol,0)</f>
        <v>10274</v>
      </c>
      <c r="I2757" s="83">
        <f>ROUND(H2757/(MID($C2757,9,3)/Basis!$E$3/Basis!$E$9)*Basis!$E$11,0)</f>
        <v>1423</v>
      </c>
      <c r="J2757" s="123">
        <f>IF(Basis!$E$1=1,ROUND(H2757/((TaH-TrH)*1.163)/3600,3),ROUND(H2757/(500*(TaH-TrH)),2))</f>
        <v>1.03</v>
      </c>
      <c r="K2757" s="84"/>
      <c r="L2757" s="177">
        <f>CHOOSE(Basis!$E$1,((AJ2757*(J2757*3600/Basis!$E$5)^AK2757*(((MID(C2757,9,3)*10)-144)/1000)*AL2757+AM2757*(J2757*3600/Basis!$E$5)^2)*0.0098)/Basis!$E$10,((AJ2757*(J2757/Basis!$E$5)^AK2757*(((MID(C2757,9,3)*10)-144)/1000)*AL2757+AM2757*(J2757/Basis!$E$5)^2)*0.0098)/Basis!$E$10)</f>
        <v>0.11664903917876361</v>
      </c>
      <c r="M2757" s="85"/>
      <c r="N2757" s="110">
        <v>1.3260000000000001</v>
      </c>
      <c r="O2757" s="74"/>
      <c r="P2757" s="73">
        <v>4664</v>
      </c>
      <c r="Q2757" s="74"/>
      <c r="R2757" s="75"/>
      <c r="S2757" s="75"/>
      <c r="T2757" s="75"/>
      <c r="U2757" s="75"/>
      <c r="V2757" s="75"/>
      <c r="W2757" s="74"/>
      <c r="X2757" s="76"/>
      <c r="Y2757" s="76"/>
      <c r="Z2757" s="76"/>
      <c r="AA2757" s="76"/>
      <c r="AB2757" s="76"/>
      <c r="AC2757" s="74"/>
      <c r="AD2757" s="77"/>
      <c r="AE2757" s="77"/>
      <c r="AF2757" s="77"/>
      <c r="AG2757" s="77"/>
      <c r="AH2757" s="77"/>
      <c r="AI2757" s="68"/>
      <c r="AJ2757" s="213">
        <v>2.0829999999999999E-4</v>
      </c>
      <c r="AK2757" s="213">
        <v>1.724</v>
      </c>
      <c r="AL2757" s="213">
        <v>2</v>
      </c>
      <c r="AM2757" s="213">
        <v>4.6182900000000003E-4</v>
      </c>
      <c r="AN2757" s="74"/>
      <c r="AO2757" s="73"/>
      <c r="AP2757" s="73"/>
      <c r="AQ2757" s="73"/>
      <c r="AR2757" s="73"/>
      <c r="AS2757" s="73"/>
      <c r="AT2757" s="74"/>
      <c r="AU2757" s="47"/>
      <c r="AV2757" s="48"/>
    </row>
    <row r="2758" spans="1:48" ht="12.75" customHeight="1" x14ac:dyDescent="0.25">
      <c r="A2758" s="72" t="s">
        <v>20</v>
      </c>
      <c r="B2758" s="43" t="s">
        <v>2240</v>
      </c>
      <c r="C2758" s="44" t="s">
        <v>2916</v>
      </c>
      <c r="D2758" s="45">
        <f>MROUND(MID($C2758,6,3)/Basis!$E$3,0.5)</f>
        <v>35.5</v>
      </c>
      <c r="E2758" s="45">
        <f>MROUND(MID($C2758,9,3)/Basis!$E$3,0.5)</f>
        <v>86.5</v>
      </c>
      <c r="F2758" s="124" t="s">
        <v>2947</v>
      </c>
      <c r="G2758" s="45">
        <f>ROUND((ROUNDDOWN($F2758/5,0)*5+1.8)/Basis!$E$3,1)</f>
        <v>6.6</v>
      </c>
      <c r="H2758" s="120">
        <f>ROUND($P2758*Basis!$E$2*((TaH-TrH)/LN(1/µ)/Basis!$E$7)^$N2758*$AA$4*Glycol,0)</f>
        <v>11956</v>
      </c>
      <c r="I2758" s="83">
        <f>ROUND(H2758/(MID($C2758,9,3)/Basis!$E$3/Basis!$E$9)*Basis!$E$11,0)</f>
        <v>1656</v>
      </c>
      <c r="J2758" s="123">
        <f>IF(Basis!$E$1=1,ROUND(H2758/((TaH-TrH)*1.163)/3600,3),ROUND(H2758/(500*(TaH-TrH)),2))</f>
        <v>1.2</v>
      </c>
      <c r="K2758" s="84"/>
      <c r="L2758" s="177">
        <f>CHOOSE(Basis!$E$1,((AJ2758*(J2758*3600/Basis!$E$5)^AK2758*(((MID(C2758,9,3)*10)-144)/1000)*AL2758+AM2758*(J2758*3600/Basis!$E$5)^2)*0.0098)/Basis!$E$10,((AJ2758*(J2758/Basis!$E$5)^AK2758*(((MID(C2758,9,3)*10)-144)/1000)*AL2758+AM2758*(J2758/Basis!$E$5)^2)*0.0098)/Basis!$E$10)</f>
        <v>0.42679928858617971</v>
      </c>
      <c r="M2758" s="85"/>
      <c r="N2758" s="109">
        <v>1.48</v>
      </c>
      <c r="O2758" s="68"/>
      <c r="P2758" s="67">
        <v>5711</v>
      </c>
      <c r="Q2758" s="68"/>
      <c r="R2758" s="69"/>
      <c r="S2758" s="69"/>
      <c r="T2758" s="69"/>
      <c r="U2758" s="69"/>
      <c r="V2758" s="69"/>
      <c r="W2758" s="68"/>
      <c r="X2758" s="70"/>
      <c r="Y2758" s="70"/>
      <c r="Z2758" s="70"/>
      <c r="AA2758" s="70"/>
      <c r="AB2758" s="70"/>
      <c r="AC2758" s="68"/>
      <c r="AD2758" s="71"/>
      <c r="AE2758" s="71"/>
      <c r="AF2758" s="71"/>
      <c r="AG2758" s="71"/>
      <c r="AH2758" s="71"/>
      <c r="AI2758" s="68"/>
      <c r="AJ2758" s="214">
        <v>2.0829999999999999E-4</v>
      </c>
      <c r="AK2758" s="214">
        <v>1.724</v>
      </c>
      <c r="AL2758" s="214">
        <v>4</v>
      </c>
      <c r="AM2758" s="214">
        <v>1.392796E-3</v>
      </c>
      <c r="AN2758" s="68"/>
      <c r="AO2758" s="67"/>
      <c r="AP2758" s="67"/>
      <c r="AQ2758" s="67"/>
      <c r="AR2758" s="67"/>
      <c r="AS2758" s="67"/>
      <c r="AT2758" s="68"/>
      <c r="AU2758" s="49"/>
      <c r="AV2758" s="50"/>
    </row>
    <row r="2759" spans="1:48" ht="12.75" customHeight="1" x14ac:dyDescent="0.25">
      <c r="A2759" s="72" t="s">
        <v>20</v>
      </c>
      <c r="B2759" s="43" t="s">
        <v>2240</v>
      </c>
      <c r="C2759" s="44" t="s">
        <v>2917</v>
      </c>
      <c r="D2759" s="45">
        <f>MROUND(MID($C2759,6,3)/Basis!$E$3,0.5)</f>
        <v>35.5</v>
      </c>
      <c r="E2759" s="45">
        <f>MROUND(MID($C2759,9,3)/Basis!$E$3,0.5)</f>
        <v>86.5</v>
      </c>
      <c r="F2759" s="124" t="s">
        <v>2945</v>
      </c>
      <c r="G2759" s="45">
        <f>ROUND((ROUNDDOWN($F2759/5,0)*5+1.8)/Basis!$E$3,1)</f>
        <v>8.6</v>
      </c>
      <c r="H2759" s="120">
        <f>ROUND($P2759*Basis!$E$2*((TaH-TrH)/LN(1/µ)/Basis!$E$7)^$N2759*$AA$4*Glycol,0)</f>
        <v>14329</v>
      </c>
      <c r="I2759" s="83">
        <f>ROUND(H2759/(MID($C2759,9,3)/Basis!$E$3/Basis!$E$9)*Basis!$E$11,0)</f>
        <v>1985</v>
      </c>
      <c r="J2759" s="123">
        <f>IF(Basis!$E$1=1,ROUND(H2759/((TaH-TrH)*1.163)/3600,3),ROUND(H2759/(500*(TaH-TrH)),2))</f>
        <v>1.43</v>
      </c>
      <c r="K2759" s="84"/>
      <c r="L2759" s="177">
        <f>CHOOSE(Basis!$E$1,((AJ2759*(J2759*3600/Basis!$E$5)^AK2759*(((MID(C2759,9,3)*10)-144)/1000)*AL2759+AM2759*(J2759*3600/Basis!$E$5)^2)*0.0098)/Basis!$E$10,((AJ2759*(J2759/Basis!$E$5)^AK2759*(((MID(C2759,9,3)*10)-144)/1000)*AL2759+AM2759*(J2759/Basis!$E$5)^2)*0.0098)/Basis!$E$10)</f>
        <v>0.16613426351577867</v>
      </c>
      <c r="M2759" s="85"/>
      <c r="N2759" s="109">
        <v>1.3260000000000001</v>
      </c>
      <c r="O2759" s="68"/>
      <c r="P2759" s="67">
        <v>6505</v>
      </c>
      <c r="Q2759" s="68"/>
      <c r="R2759" s="69"/>
      <c r="S2759" s="69"/>
      <c r="T2759" s="69"/>
      <c r="U2759" s="69"/>
      <c r="V2759" s="69"/>
      <c r="W2759" s="68"/>
      <c r="X2759" s="70"/>
      <c r="Y2759" s="70"/>
      <c r="Z2759" s="70"/>
      <c r="AA2759" s="70"/>
      <c r="AB2759" s="70"/>
      <c r="AC2759" s="68"/>
      <c r="AD2759" s="71"/>
      <c r="AE2759" s="71"/>
      <c r="AF2759" s="71"/>
      <c r="AG2759" s="71"/>
      <c r="AH2759" s="71"/>
      <c r="AI2759" s="68"/>
      <c r="AJ2759" s="214">
        <v>1.2760000000000001E-4</v>
      </c>
      <c r="AK2759" s="214">
        <v>1.7219</v>
      </c>
      <c r="AL2759" s="214">
        <v>2</v>
      </c>
      <c r="AM2759" s="214">
        <v>3.76611E-4</v>
      </c>
      <c r="AN2759" s="68"/>
      <c r="AO2759" s="67"/>
      <c r="AP2759" s="67"/>
      <c r="AQ2759" s="67"/>
      <c r="AR2759" s="67"/>
      <c r="AS2759" s="67"/>
      <c r="AT2759" s="68"/>
      <c r="AU2759" s="49"/>
      <c r="AV2759" s="50"/>
    </row>
    <row r="2760" spans="1:48" ht="12.75" customHeight="1" x14ac:dyDescent="0.25">
      <c r="A2760" s="72" t="s">
        <v>20</v>
      </c>
      <c r="B2760" s="43" t="s">
        <v>2240</v>
      </c>
      <c r="C2760" s="44" t="s">
        <v>2918</v>
      </c>
      <c r="D2760" s="45">
        <f>MROUND(MID($C2760,6,3)/Basis!$E$3,0.5)</f>
        <v>35.5</v>
      </c>
      <c r="E2760" s="45">
        <f>MROUND(MID($C2760,9,3)/Basis!$E$3,0.5)</f>
        <v>86.5</v>
      </c>
      <c r="F2760" s="124" t="s">
        <v>2948</v>
      </c>
      <c r="G2760" s="45">
        <f>ROUND((ROUNDDOWN($F2760/5,0)*5+1.8)/Basis!$E$3,1)</f>
        <v>8.6</v>
      </c>
      <c r="H2760" s="120">
        <f>ROUND($P2760*Basis!$E$2*((TaH-TrH)/LN(1/µ)/Basis!$E$7)^$N2760*$AA$4*Glycol,0)</f>
        <v>17148</v>
      </c>
      <c r="I2760" s="83">
        <f>ROUND(H2760/(MID($C2760,9,3)/Basis!$E$3/Basis!$E$9)*Basis!$E$11,0)</f>
        <v>2376</v>
      </c>
      <c r="J2760" s="123">
        <f>IF(Basis!$E$1=1,ROUND(H2760/((TaH-TrH)*1.163)/3600,3),ROUND(H2760/(500*(TaH-TrH)),2))</f>
        <v>1.71</v>
      </c>
      <c r="K2760" s="84"/>
      <c r="L2760" s="177">
        <f>CHOOSE(Basis!$E$1,((AJ2760*(J2760*3600/Basis!$E$5)^AK2760*(((MID(C2760,9,3)*10)-144)/1000)*AL2760+AM2760*(J2760*3600/Basis!$E$5)^2)*0.0098)/Basis!$E$10,((AJ2760*(J2760/Basis!$E$5)^AK2760*(((MID(C2760,9,3)*10)-144)/1000)*AL2760+AM2760*(J2760/Basis!$E$5)^2)*0.0098)/Basis!$E$10)</f>
        <v>0.35221202007914931</v>
      </c>
      <c r="M2760" s="85"/>
      <c r="N2760" s="110">
        <v>1.518</v>
      </c>
      <c r="O2760" s="74"/>
      <c r="P2760" s="73">
        <v>8294</v>
      </c>
      <c r="Q2760" s="74"/>
      <c r="R2760" s="75"/>
      <c r="S2760" s="75"/>
      <c r="T2760" s="75"/>
      <c r="U2760" s="75"/>
      <c r="V2760" s="75"/>
      <c r="W2760" s="74"/>
      <c r="X2760" s="76"/>
      <c r="Y2760" s="76"/>
      <c r="Z2760" s="76"/>
      <c r="AA2760" s="76"/>
      <c r="AB2760" s="76"/>
      <c r="AC2760" s="74"/>
      <c r="AD2760" s="77"/>
      <c r="AE2760" s="77"/>
      <c r="AF2760" s="77"/>
      <c r="AG2760" s="77"/>
      <c r="AH2760" s="77"/>
      <c r="AI2760" s="68"/>
      <c r="AJ2760" s="213">
        <v>1.2760000000000001E-4</v>
      </c>
      <c r="AK2760" s="213">
        <v>1.7219</v>
      </c>
      <c r="AL2760" s="213">
        <v>4</v>
      </c>
      <c r="AM2760" s="213">
        <v>5.1420100000000005E-4</v>
      </c>
      <c r="AN2760" s="74"/>
      <c r="AO2760" s="73"/>
      <c r="AP2760" s="73"/>
      <c r="AQ2760" s="73"/>
      <c r="AR2760" s="73"/>
      <c r="AS2760" s="73"/>
      <c r="AT2760" s="74"/>
      <c r="AU2760" s="47"/>
      <c r="AV2760" s="48"/>
    </row>
    <row r="2761" spans="1:48" ht="12.75" customHeight="1" x14ac:dyDescent="0.25">
      <c r="A2761" s="72" t="s">
        <v>20</v>
      </c>
      <c r="B2761" s="43" t="s">
        <v>2240</v>
      </c>
      <c r="C2761" s="44" t="s">
        <v>2919</v>
      </c>
      <c r="D2761" s="45">
        <f>MROUND(MID($C2761,6,3)/Basis!$E$3,0.5)</f>
        <v>35.5</v>
      </c>
      <c r="E2761" s="45">
        <f>MROUND(MID($C2761,9,3)/Basis!$E$3,0.5)</f>
        <v>94.5</v>
      </c>
      <c r="F2761" s="124" t="s">
        <v>2943</v>
      </c>
      <c r="G2761" s="45">
        <f>ROUND((ROUNDDOWN($F2761/5,0)*5+1.8)/Basis!$E$3,1)</f>
        <v>4.5999999999999996</v>
      </c>
      <c r="H2761" s="120">
        <f>ROUND($P2761*Basis!$E$2*((TaH-TrH)/LN(1/µ)/Basis!$E$7)^$N2761*$AA$4*Glycol,0)</f>
        <v>7186</v>
      </c>
      <c r="I2761" s="83">
        <f>ROUND(H2761/(MID($C2761,9,3)/Basis!$E$3/Basis!$E$9)*Basis!$E$11,0)</f>
        <v>913</v>
      </c>
      <c r="J2761" s="123">
        <f>IF(Basis!$E$1=1,ROUND(H2761/((TaH-TrH)*1.163)/3600,3),ROUND(H2761/(500*(TaH-TrH)),2))</f>
        <v>0.72</v>
      </c>
      <c r="K2761" s="84"/>
      <c r="L2761" s="177">
        <f>CHOOSE(Basis!$E$1,((AJ2761*(J2761*3600/Basis!$E$5)^AK2761*(((MID(C2761,9,3)*10)-144)/1000)*AL2761+AM2761*(J2761*3600/Basis!$E$5)^2)*0.0098)/Basis!$E$10,((AJ2761*(J2761/Basis!$E$5)^AK2761*(((MID(C2761,9,3)*10)-144)/1000)*AL2761+AM2761*(J2761/Basis!$E$5)^2)*0.0098)/Basis!$E$10)</f>
        <v>7.2602851952025524E-2</v>
      </c>
      <c r="M2761" s="85"/>
      <c r="N2761" s="110">
        <v>1.3480000000000001</v>
      </c>
      <c r="O2761" s="74"/>
      <c r="P2761" s="73">
        <v>3286</v>
      </c>
      <c r="Q2761" s="74"/>
      <c r="R2761" s="75"/>
      <c r="S2761" s="75"/>
      <c r="T2761" s="75"/>
      <c r="U2761" s="75"/>
      <c r="V2761" s="75"/>
      <c r="W2761" s="74"/>
      <c r="X2761" s="76"/>
      <c r="Y2761" s="76"/>
      <c r="Z2761" s="76"/>
      <c r="AA2761" s="76"/>
      <c r="AB2761" s="76"/>
      <c r="AC2761" s="74"/>
      <c r="AD2761" s="77"/>
      <c r="AE2761" s="77"/>
      <c r="AF2761" s="77"/>
      <c r="AG2761" s="77"/>
      <c r="AH2761" s="77"/>
      <c r="AI2761" s="68"/>
      <c r="AJ2761" s="213">
        <v>3.9689999999999994E-4</v>
      </c>
      <c r="AK2761" s="213">
        <v>1.7345999999999999</v>
      </c>
      <c r="AL2761" s="213">
        <v>2</v>
      </c>
      <c r="AM2761" s="213">
        <v>3.6734700000000002E-4</v>
      </c>
      <c r="AN2761" s="74"/>
      <c r="AO2761" s="73"/>
      <c r="AP2761" s="73"/>
      <c r="AQ2761" s="73"/>
      <c r="AR2761" s="73"/>
      <c r="AS2761" s="73"/>
      <c r="AT2761" s="74"/>
      <c r="AU2761" s="47"/>
      <c r="AV2761" s="48"/>
    </row>
    <row r="2762" spans="1:48" ht="12.75" customHeight="1" x14ac:dyDescent="0.25">
      <c r="A2762" s="72" t="s">
        <v>20</v>
      </c>
      <c r="B2762" s="43" t="s">
        <v>2240</v>
      </c>
      <c r="C2762" s="44" t="s">
        <v>2920</v>
      </c>
      <c r="D2762" s="45">
        <f>MROUND(MID($C2762,6,3)/Basis!$E$3,0.5)</f>
        <v>35.5</v>
      </c>
      <c r="E2762" s="45">
        <f>MROUND(MID($C2762,9,3)/Basis!$E$3,0.5)</f>
        <v>94.5</v>
      </c>
      <c r="F2762" s="124" t="s">
        <v>2946</v>
      </c>
      <c r="G2762" s="45">
        <f>ROUND((ROUNDDOWN($F2762/5,0)*5+1.8)/Basis!$E$3,1)</f>
        <v>4.5999999999999996</v>
      </c>
      <c r="H2762" s="120">
        <f>ROUND($P2762*Basis!$E$2*((TaH-TrH)/LN(1/µ)/Basis!$E$7)^$N2762*$AA$4*Glycol,0)</f>
        <v>8968</v>
      </c>
      <c r="I2762" s="83">
        <f>ROUND(H2762/(MID($C2762,9,3)/Basis!$E$3/Basis!$E$9)*Basis!$E$11,0)</f>
        <v>1139</v>
      </c>
      <c r="J2762" s="123">
        <f>IF(Basis!$E$1=1,ROUND(H2762/((TaH-TrH)*1.163)/3600,3),ROUND(H2762/(500*(TaH-TrH)),2))</f>
        <v>0.9</v>
      </c>
      <c r="K2762" s="84"/>
      <c r="L2762" s="177">
        <f>CHOOSE(Basis!$E$1,((AJ2762*(J2762*3600/Basis!$E$5)^AK2762*(((MID(C2762,9,3)*10)-144)/1000)*AL2762+AM2762*(J2762*3600/Basis!$E$5)^2)*0.0098)/Basis!$E$10,((AJ2762*(J2762/Basis!$E$5)^AK2762*(((MID(C2762,9,3)*10)-144)/1000)*AL2762+AM2762*(J2762/Basis!$E$5)^2)*0.0098)/Basis!$E$10)</f>
        <v>0.19769424495721491</v>
      </c>
      <c r="M2762" s="85"/>
      <c r="N2762" s="109">
        <v>1.4339999999999999</v>
      </c>
      <c r="O2762" s="68"/>
      <c r="P2762" s="67">
        <v>4219</v>
      </c>
      <c r="Q2762" s="68"/>
      <c r="R2762" s="69"/>
      <c r="S2762" s="69"/>
      <c r="T2762" s="69"/>
      <c r="U2762" s="69"/>
      <c r="V2762" s="69"/>
      <c r="W2762" s="68"/>
      <c r="X2762" s="70"/>
      <c r="Y2762" s="70"/>
      <c r="Z2762" s="70"/>
      <c r="AA2762" s="70"/>
      <c r="AB2762" s="70"/>
      <c r="AC2762" s="68"/>
      <c r="AD2762" s="71"/>
      <c r="AE2762" s="71"/>
      <c r="AF2762" s="71"/>
      <c r="AG2762" s="71"/>
      <c r="AH2762" s="71"/>
      <c r="AI2762" s="68"/>
      <c r="AJ2762" s="214">
        <v>3.9689999999999994E-4</v>
      </c>
      <c r="AK2762" s="214">
        <v>1.7345999999999999</v>
      </c>
      <c r="AL2762" s="214">
        <v>4</v>
      </c>
      <c r="AM2762" s="214">
        <v>5.7428799999999995E-4</v>
      </c>
      <c r="AN2762" s="68"/>
      <c r="AO2762" s="67"/>
      <c r="AP2762" s="67"/>
      <c r="AQ2762" s="67"/>
      <c r="AR2762" s="67"/>
      <c r="AS2762" s="67"/>
      <c r="AT2762" s="68"/>
      <c r="AU2762" s="49"/>
      <c r="AV2762" s="50"/>
    </row>
    <row r="2763" spans="1:48" ht="12.75" customHeight="1" x14ac:dyDescent="0.25">
      <c r="A2763" s="72" t="s">
        <v>20</v>
      </c>
      <c r="B2763" s="43" t="s">
        <v>2240</v>
      </c>
      <c r="C2763" s="44" t="s">
        <v>2921</v>
      </c>
      <c r="D2763" s="45">
        <f>MROUND(MID($C2763,6,3)/Basis!$E$3,0.5)</f>
        <v>35.5</v>
      </c>
      <c r="E2763" s="45">
        <f>MROUND(MID($C2763,9,3)/Basis!$E$3,0.5)</f>
        <v>94.5</v>
      </c>
      <c r="F2763" s="124" t="s">
        <v>2944</v>
      </c>
      <c r="G2763" s="45">
        <f>ROUND((ROUNDDOWN($F2763/5,0)*5+1.8)/Basis!$E$3,1)</f>
        <v>6.6</v>
      </c>
      <c r="H2763" s="120">
        <f>ROUND($P2763*Basis!$E$2*((TaH-TrH)/LN(1/µ)/Basis!$E$7)^$N2763*$AA$4*Glycol,0)</f>
        <v>11208</v>
      </c>
      <c r="I2763" s="83">
        <f>ROUND(H2763/(MID($C2763,9,3)/Basis!$E$3/Basis!$E$9)*Basis!$E$11,0)</f>
        <v>1423</v>
      </c>
      <c r="J2763" s="123">
        <f>IF(Basis!$E$1=1,ROUND(H2763/((TaH-TrH)*1.163)/3600,3),ROUND(H2763/(500*(TaH-TrH)),2))</f>
        <v>1.1200000000000001</v>
      </c>
      <c r="K2763" s="84"/>
      <c r="L2763" s="177">
        <f>CHOOSE(Basis!$E$1,((AJ2763*(J2763*3600/Basis!$E$5)^AK2763*(((MID(C2763,9,3)*10)-144)/1000)*AL2763+AM2763*(J2763*3600/Basis!$E$5)^2)*0.0098)/Basis!$E$10,((AJ2763*(J2763/Basis!$E$5)^AK2763*(((MID(C2763,9,3)*10)-144)/1000)*AL2763+AM2763*(J2763/Basis!$E$5)^2)*0.0098)/Basis!$E$10)</f>
        <v>0.14082809027339224</v>
      </c>
      <c r="M2763" s="85"/>
      <c r="N2763" s="109">
        <v>1.3260000000000001</v>
      </c>
      <c r="O2763" s="68"/>
      <c r="P2763" s="67">
        <v>5088</v>
      </c>
      <c r="Q2763" s="68"/>
      <c r="R2763" s="69"/>
      <c r="S2763" s="69"/>
      <c r="T2763" s="69"/>
      <c r="U2763" s="69"/>
      <c r="V2763" s="69"/>
      <c r="W2763" s="68"/>
      <c r="X2763" s="70"/>
      <c r="Y2763" s="70"/>
      <c r="Z2763" s="70"/>
      <c r="AA2763" s="70"/>
      <c r="AB2763" s="70"/>
      <c r="AC2763" s="68"/>
      <c r="AD2763" s="71"/>
      <c r="AE2763" s="71"/>
      <c r="AF2763" s="71"/>
      <c r="AG2763" s="71"/>
      <c r="AH2763" s="71"/>
      <c r="AI2763" s="68"/>
      <c r="AJ2763" s="214">
        <v>2.0829999999999999E-4</v>
      </c>
      <c r="AK2763" s="214">
        <v>1.724</v>
      </c>
      <c r="AL2763" s="214">
        <v>2</v>
      </c>
      <c r="AM2763" s="214">
        <v>4.6182900000000003E-4</v>
      </c>
      <c r="AN2763" s="68"/>
      <c r="AO2763" s="67"/>
      <c r="AP2763" s="67"/>
      <c r="AQ2763" s="67"/>
      <c r="AR2763" s="67"/>
      <c r="AS2763" s="67"/>
      <c r="AT2763" s="68"/>
      <c r="AU2763" s="49"/>
      <c r="AV2763" s="50"/>
    </row>
    <row r="2764" spans="1:48" ht="12.75" customHeight="1" x14ac:dyDescent="0.25">
      <c r="A2764" s="72" t="s">
        <v>20</v>
      </c>
      <c r="B2764" s="43" t="s">
        <v>2240</v>
      </c>
      <c r="C2764" s="44" t="s">
        <v>2922</v>
      </c>
      <c r="D2764" s="45">
        <f>MROUND(MID($C2764,6,3)/Basis!$E$3,0.5)</f>
        <v>35.5</v>
      </c>
      <c r="E2764" s="45">
        <f>MROUND(MID($C2764,9,3)/Basis!$E$3,0.5)</f>
        <v>94.5</v>
      </c>
      <c r="F2764" s="124" t="s">
        <v>2947</v>
      </c>
      <c r="G2764" s="45">
        <f>ROUND((ROUNDDOWN($F2764/5,0)*5+1.8)/Basis!$E$3,1)</f>
        <v>6.6</v>
      </c>
      <c r="H2764" s="120">
        <f>ROUND($P2764*Basis!$E$2*((TaH-TrH)/LN(1/µ)/Basis!$E$7)^$N2764*$AA$4*Glycol,0)</f>
        <v>13043</v>
      </c>
      <c r="I2764" s="83">
        <f>ROUND(H2764/(MID($C2764,9,3)/Basis!$E$3/Basis!$E$9)*Basis!$E$11,0)</f>
        <v>1656</v>
      </c>
      <c r="J2764" s="123">
        <f>IF(Basis!$E$1=1,ROUND(H2764/((TaH-TrH)*1.163)/3600,3),ROUND(H2764/(500*(TaH-TrH)),2))</f>
        <v>1.3</v>
      </c>
      <c r="K2764" s="84"/>
      <c r="L2764" s="177">
        <f>CHOOSE(Basis!$E$1,((AJ2764*(J2764*3600/Basis!$E$5)^AK2764*(((MID(C2764,9,3)*10)-144)/1000)*AL2764+AM2764*(J2764*3600/Basis!$E$5)^2)*0.0098)/Basis!$E$10,((AJ2764*(J2764/Basis!$E$5)^AK2764*(((MID(C2764,9,3)*10)-144)/1000)*AL2764+AM2764*(J2764/Basis!$E$5)^2)*0.0098)/Basis!$E$10)</f>
        <v>0.50851067272106298</v>
      </c>
      <c r="M2764" s="85"/>
      <c r="N2764" s="110">
        <v>1.48</v>
      </c>
      <c r="O2764" s="74"/>
      <c r="P2764" s="73">
        <v>6230</v>
      </c>
      <c r="Q2764" s="74"/>
      <c r="R2764" s="75"/>
      <c r="S2764" s="75"/>
      <c r="T2764" s="75"/>
      <c r="U2764" s="75"/>
      <c r="V2764" s="75"/>
      <c r="W2764" s="74"/>
      <c r="X2764" s="76"/>
      <c r="Y2764" s="76"/>
      <c r="Z2764" s="76"/>
      <c r="AA2764" s="76"/>
      <c r="AB2764" s="76"/>
      <c r="AC2764" s="74"/>
      <c r="AD2764" s="77"/>
      <c r="AE2764" s="77"/>
      <c r="AF2764" s="77"/>
      <c r="AG2764" s="77"/>
      <c r="AH2764" s="77"/>
      <c r="AI2764" s="68"/>
      <c r="AJ2764" s="213">
        <v>2.0829999999999999E-4</v>
      </c>
      <c r="AK2764" s="213">
        <v>1.724</v>
      </c>
      <c r="AL2764" s="213">
        <v>4</v>
      </c>
      <c r="AM2764" s="213">
        <v>1.392796E-3</v>
      </c>
      <c r="AN2764" s="74"/>
      <c r="AO2764" s="73"/>
      <c r="AP2764" s="73"/>
      <c r="AQ2764" s="73"/>
      <c r="AR2764" s="73"/>
      <c r="AS2764" s="73"/>
      <c r="AT2764" s="74"/>
      <c r="AU2764" s="47"/>
      <c r="AV2764" s="48"/>
    </row>
    <row r="2765" spans="1:48" ht="12.75" customHeight="1" x14ac:dyDescent="0.25">
      <c r="A2765" s="72" t="s">
        <v>20</v>
      </c>
      <c r="B2765" s="43" t="s">
        <v>2240</v>
      </c>
      <c r="C2765" s="44" t="s">
        <v>2923</v>
      </c>
      <c r="D2765" s="45">
        <f>MROUND(MID($C2765,6,3)/Basis!$E$3,0.5)</f>
        <v>35.5</v>
      </c>
      <c r="E2765" s="45">
        <f>MROUND(MID($C2765,9,3)/Basis!$E$3,0.5)</f>
        <v>94.5</v>
      </c>
      <c r="F2765" s="124" t="s">
        <v>2945</v>
      </c>
      <c r="G2765" s="45">
        <f>ROUND((ROUNDDOWN($F2765/5,0)*5+1.8)/Basis!$E$3,1)</f>
        <v>8.6</v>
      </c>
      <c r="H2765" s="120">
        <f>ROUND($P2765*Basis!$E$2*((TaH-TrH)/LN(1/µ)/Basis!$E$7)^$N2765*$AA$4*Glycol,0)</f>
        <v>15633</v>
      </c>
      <c r="I2765" s="83">
        <f>ROUND(H2765/(MID($C2765,9,3)/Basis!$E$3/Basis!$E$9)*Basis!$E$11,0)</f>
        <v>1985</v>
      </c>
      <c r="J2765" s="123">
        <f>IF(Basis!$E$1=1,ROUND(H2765/((TaH-TrH)*1.163)/3600,3),ROUND(H2765/(500*(TaH-TrH)),2))</f>
        <v>1.56</v>
      </c>
      <c r="K2765" s="84"/>
      <c r="L2765" s="177">
        <f>CHOOSE(Basis!$E$1,((AJ2765*(J2765*3600/Basis!$E$5)^AK2765*(((MID(C2765,9,3)*10)-144)/1000)*AL2765+AM2765*(J2765*3600/Basis!$E$5)^2)*0.0098)/Basis!$E$10,((AJ2765*(J2765/Basis!$E$5)^AK2765*(((MID(C2765,9,3)*10)-144)/1000)*AL2765+AM2765*(J2765/Basis!$E$5)^2)*0.0098)/Basis!$E$10)</f>
        <v>0.20077716658203487</v>
      </c>
      <c r="M2765" s="85"/>
      <c r="N2765" s="110">
        <v>1.3260000000000001</v>
      </c>
      <c r="O2765" s="74"/>
      <c r="P2765" s="73">
        <v>7097</v>
      </c>
      <c r="Q2765" s="74"/>
      <c r="R2765" s="75"/>
      <c r="S2765" s="75"/>
      <c r="T2765" s="75"/>
      <c r="U2765" s="75"/>
      <c r="V2765" s="75"/>
      <c r="W2765" s="74"/>
      <c r="X2765" s="76"/>
      <c r="Y2765" s="76"/>
      <c r="Z2765" s="76"/>
      <c r="AA2765" s="76"/>
      <c r="AB2765" s="76"/>
      <c r="AC2765" s="74"/>
      <c r="AD2765" s="77"/>
      <c r="AE2765" s="77"/>
      <c r="AF2765" s="77"/>
      <c r="AG2765" s="77"/>
      <c r="AH2765" s="77"/>
      <c r="AI2765" s="68"/>
      <c r="AJ2765" s="214">
        <v>1.2760000000000001E-4</v>
      </c>
      <c r="AK2765" s="214">
        <v>1.7219</v>
      </c>
      <c r="AL2765" s="214">
        <v>2</v>
      </c>
      <c r="AM2765" s="214">
        <v>3.76611E-4</v>
      </c>
      <c r="AN2765" s="74"/>
      <c r="AO2765" s="73"/>
      <c r="AP2765" s="73"/>
      <c r="AQ2765" s="73"/>
      <c r="AR2765" s="73"/>
      <c r="AS2765" s="73"/>
      <c r="AT2765" s="74"/>
      <c r="AU2765" s="47"/>
      <c r="AV2765" s="48"/>
    </row>
    <row r="2766" spans="1:48" ht="12.75" customHeight="1" x14ac:dyDescent="0.25">
      <c r="A2766" s="72" t="s">
        <v>20</v>
      </c>
      <c r="B2766" s="43" t="s">
        <v>2240</v>
      </c>
      <c r="C2766" s="44" t="s">
        <v>2924</v>
      </c>
      <c r="D2766" s="45">
        <f>MROUND(MID($C2766,6,3)/Basis!$E$3,0.5)</f>
        <v>35.5</v>
      </c>
      <c r="E2766" s="45">
        <f>MROUND(MID($C2766,9,3)/Basis!$E$3,0.5)</f>
        <v>94.5</v>
      </c>
      <c r="F2766" s="124" t="s">
        <v>2948</v>
      </c>
      <c r="G2766" s="45">
        <f>ROUND((ROUNDDOWN($F2766/5,0)*5+1.8)/Basis!$E$3,1)</f>
        <v>8.6</v>
      </c>
      <c r="H2766" s="120">
        <f>ROUND($P2766*Basis!$E$2*((TaH-TrH)/LN(1/µ)/Basis!$E$7)^$N2766*$AA$4*Glycol,0)</f>
        <v>18707</v>
      </c>
      <c r="I2766" s="83">
        <f>ROUND(H2766/(MID($C2766,9,3)/Basis!$E$3/Basis!$E$9)*Basis!$E$11,0)</f>
        <v>2376</v>
      </c>
      <c r="J2766" s="123">
        <f>IF(Basis!$E$1=1,ROUND(H2766/((TaH-TrH)*1.163)/3600,3),ROUND(H2766/(500*(TaH-TrH)),2))</f>
        <v>1.87</v>
      </c>
      <c r="K2766" s="84"/>
      <c r="L2766" s="177">
        <f>CHOOSE(Basis!$E$1,((AJ2766*(J2766*3600/Basis!$E$5)^AK2766*(((MID(C2766,9,3)*10)-144)/1000)*AL2766+AM2766*(J2766*3600/Basis!$E$5)^2)*0.0098)/Basis!$E$10,((AJ2766*(J2766/Basis!$E$5)^AK2766*(((MID(C2766,9,3)*10)-144)/1000)*AL2766+AM2766*(J2766/Basis!$E$5)^2)*0.0098)/Basis!$E$10)</f>
        <v>0.42949851875961781</v>
      </c>
      <c r="M2766" s="85"/>
      <c r="N2766" s="109">
        <v>1.518</v>
      </c>
      <c r="O2766" s="68"/>
      <c r="P2766" s="67">
        <v>9048</v>
      </c>
      <c r="Q2766" s="68"/>
      <c r="R2766" s="69"/>
      <c r="S2766" s="69"/>
      <c r="T2766" s="69"/>
      <c r="U2766" s="69"/>
      <c r="V2766" s="69"/>
      <c r="W2766" s="68"/>
      <c r="X2766" s="70"/>
      <c r="Y2766" s="70"/>
      <c r="Z2766" s="70"/>
      <c r="AA2766" s="70"/>
      <c r="AB2766" s="70"/>
      <c r="AC2766" s="68"/>
      <c r="AD2766" s="71"/>
      <c r="AE2766" s="71"/>
      <c r="AF2766" s="71"/>
      <c r="AG2766" s="71"/>
      <c r="AH2766" s="71"/>
      <c r="AI2766" s="68"/>
      <c r="AJ2766" s="214">
        <v>1.2760000000000001E-4</v>
      </c>
      <c r="AK2766" s="214">
        <v>1.7219</v>
      </c>
      <c r="AL2766" s="214">
        <v>4</v>
      </c>
      <c r="AM2766" s="214">
        <v>5.1420100000000005E-4</v>
      </c>
      <c r="AN2766" s="68"/>
      <c r="AO2766" s="67"/>
      <c r="AP2766" s="67"/>
      <c r="AQ2766" s="67"/>
      <c r="AR2766" s="67"/>
      <c r="AS2766" s="67"/>
      <c r="AT2766" s="68"/>
      <c r="AU2766" s="49"/>
      <c r="AV2766" s="50"/>
    </row>
    <row r="2767" spans="1:48" ht="12.75" customHeight="1" x14ac:dyDescent="0.25">
      <c r="A2767" s="72" t="s">
        <v>20</v>
      </c>
      <c r="B2767" s="43" t="s">
        <v>2240</v>
      </c>
      <c r="C2767" s="44" t="s">
        <v>2925</v>
      </c>
      <c r="D2767" s="45">
        <f>MROUND(MID($C2767,6,3)/Basis!$E$3,0.5)</f>
        <v>35.5</v>
      </c>
      <c r="E2767" s="45">
        <f>MROUND(MID($C2767,9,3)/Basis!$E$3,0.5)</f>
        <v>102.5</v>
      </c>
      <c r="F2767" s="124" t="s">
        <v>2943</v>
      </c>
      <c r="G2767" s="45">
        <f>ROUND((ROUNDDOWN($F2767/5,0)*5+1.8)/Basis!$E$3,1)</f>
        <v>4.5999999999999996</v>
      </c>
      <c r="H2767" s="120">
        <f>ROUND($P2767*Basis!$E$2*((TaH-TrH)/LN(1/µ)/Basis!$E$7)^$N2767*$AA$4*Glycol,0)</f>
        <v>7783</v>
      </c>
      <c r="I2767" s="83">
        <f>ROUND(H2767/(MID($C2767,9,3)/Basis!$E$3/Basis!$E$9)*Basis!$E$11,0)</f>
        <v>912</v>
      </c>
      <c r="J2767" s="123">
        <f>IF(Basis!$E$1=1,ROUND(H2767/((TaH-TrH)*1.163)/3600,3),ROUND(H2767/(500*(TaH-TrH)),2))</f>
        <v>0.78</v>
      </c>
      <c r="K2767" s="84"/>
      <c r="L2767" s="177">
        <f>CHOOSE(Basis!$E$1,((AJ2767*(J2767*3600/Basis!$E$5)^AK2767*(((MID(C2767,9,3)*10)-144)/1000)*AL2767+AM2767*(J2767*3600/Basis!$E$5)^2)*0.0098)/Basis!$E$10,((AJ2767*(J2767/Basis!$E$5)^AK2767*(((MID(C2767,9,3)*10)-144)/1000)*AL2767+AM2767*(J2767/Basis!$E$5)^2)*0.0098)/Basis!$E$10)</f>
        <v>8.8332287945830673E-2</v>
      </c>
      <c r="M2767" s="85"/>
      <c r="N2767" s="109">
        <v>1.3480000000000001</v>
      </c>
      <c r="O2767" s="68"/>
      <c r="P2767" s="67">
        <v>3559</v>
      </c>
      <c r="Q2767" s="68"/>
      <c r="R2767" s="69"/>
      <c r="S2767" s="69"/>
      <c r="T2767" s="69"/>
      <c r="U2767" s="69"/>
      <c r="V2767" s="69"/>
      <c r="W2767" s="68"/>
      <c r="X2767" s="70"/>
      <c r="Y2767" s="70"/>
      <c r="Z2767" s="70"/>
      <c r="AA2767" s="70"/>
      <c r="AB2767" s="70"/>
      <c r="AC2767" s="68"/>
      <c r="AD2767" s="71"/>
      <c r="AE2767" s="71"/>
      <c r="AF2767" s="71"/>
      <c r="AG2767" s="71"/>
      <c r="AH2767" s="71"/>
      <c r="AI2767" s="68"/>
      <c r="AJ2767" s="214">
        <v>3.9689999999999994E-4</v>
      </c>
      <c r="AK2767" s="214">
        <v>1.7345999999999999</v>
      </c>
      <c r="AL2767" s="214">
        <v>2</v>
      </c>
      <c r="AM2767" s="214">
        <v>3.6734700000000002E-4</v>
      </c>
      <c r="AN2767" s="68"/>
      <c r="AO2767" s="67"/>
      <c r="AP2767" s="67"/>
      <c r="AQ2767" s="67"/>
      <c r="AR2767" s="67"/>
      <c r="AS2767" s="67"/>
      <c r="AT2767" s="68"/>
      <c r="AU2767" s="49"/>
      <c r="AV2767" s="50"/>
    </row>
    <row r="2768" spans="1:48" ht="12.75" customHeight="1" x14ac:dyDescent="0.25">
      <c r="A2768" s="72" t="s">
        <v>20</v>
      </c>
      <c r="B2768" s="43" t="s">
        <v>2240</v>
      </c>
      <c r="C2768" s="44" t="s">
        <v>2926</v>
      </c>
      <c r="D2768" s="45">
        <f>MROUND(MID($C2768,6,3)/Basis!$E$3,0.5)</f>
        <v>35.5</v>
      </c>
      <c r="E2768" s="45">
        <f>MROUND(MID($C2768,9,3)/Basis!$E$3,0.5)</f>
        <v>102.5</v>
      </c>
      <c r="F2768" s="124" t="s">
        <v>2946</v>
      </c>
      <c r="G2768" s="45">
        <f>ROUND((ROUNDDOWN($F2768/5,0)*5+1.8)/Basis!$E$3,1)</f>
        <v>4.5999999999999996</v>
      </c>
      <c r="H2768" s="120">
        <f>ROUND($P2768*Basis!$E$2*((TaH-TrH)/LN(1/µ)/Basis!$E$7)^$N2768*$AA$4*Glycol,0)</f>
        <v>9716</v>
      </c>
      <c r="I2768" s="83">
        <f>ROUND(H2768/(MID($C2768,9,3)/Basis!$E$3/Basis!$E$9)*Basis!$E$11,0)</f>
        <v>1139</v>
      </c>
      <c r="J2768" s="123">
        <f>IF(Basis!$E$1=1,ROUND(H2768/((TaH-TrH)*1.163)/3600,3),ROUND(H2768/(500*(TaH-TrH)),2))</f>
        <v>0.97</v>
      </c>
      <c r="K2768" s="84"/>
      <c r="L2768" s="177">
        <f>CHOOSE(Basis!$E$1,((AJ2768*(J2768*3600/Basis!$E$5)^AK2768*(((MID(C2768,9,3)*10)-144)/1000)*AL2768+AM2768*(J2768*3600/Basis!$E$5)^2)*0.0098)/Basis!$E$10,((AJ2768*(J2768/Basis!$E$5)^AK2768*(((MID(C2768,9,3)*10)-144)/1000)*AL2768+AM2768*(J2768/Basis!$E$5)^2)*0.0098)/Basis!$E$10)</f>
        <v>0.2389534260698111</v>
      </c>
      <c r="M2768" s="85"/>
      <c r="N2768" s="110">
        <v>1.4339999999999999</v>
      </c>
      <c r="O2768" s="74"/>
      <c r="P2768" s="73">
        <v>4571</v>
      </c>
      <c r="Q2768" s="74"/>
      <c r="R2768" s="75"/>
      <c r="S2768" s="75"/>
      <c r="T2768" s="75"/>
      <c r="U2768" s="75"/>
      <c r="V2768" s="75"/>
      <c r="W2768" s="74"/>
      <c r="X2768" s="76"/>
      <c r="Y2768" s="76"/>
      <c r="Z2768" s="76"/>
      <c r="AA2768" s="76"/>
      <c r="AB2768" s="76"/>
      <c r="AC2768" s="74"/>
      <c r="AD2768" s="77"/>
      <c r="AE2768" s="77"/>
      <c r="AF2768" s="77"/>
      <c r="AG2768" s="77"/>
      <c r="AH2768" s="77"/>
      <c r="AI2768" s="68"/>
      <c r="AJ2768" s="213">
        <v>3.9689999999999994E-4</v>
      </c>
      <c r="AK2768" s="213">
        <v>1.7345999999999999</v>
      </c>
      <c r="AL2768" s="213">
        <v>4</v>
      </c>
      <c r="AM2768" s="213">
        <v>5.7428799999999995E-4</v>
      </c>
      <c r="AN2768" s="74"/>
      <c r="AO2768" s="73"/>
      <c r="AP2768" s="73"/>
      <c r="AQ2768" s="73"/>
      <c r="AR2768" s="73"/>
      <c r="AS2768" s="73"/>
      <c r="AT2768" s="74"/>
      <c r="AU2768" s="47"/>
      <c r="AV2768" s="48"/>
    </row>
    <row r="2769" spans="1:48" ht="12.75" customHeight="1" x14ac:dyDescent="0.25">
      <c r="A2769" s="72" t="s">
        <v>20</v>
      </c>
      <c r="B2769" s="43" t="s">
        <v>2240</v>
      </c>
      <c r="C2769" s="44" t="s">
        <v>2927</v>
      </c>
      <c r="D2769" s="45">
        <f>MROUND(MID($C2769,6,3)/Basis!$E$3,0.5)</f>
        <v>35.5</v>
      </c>
      <c r="E2769" s="45">
        <f>MROUND(MID($C2769,9,3)/Basis!$E$3,0.5)</f>
        <v>102.5</v>
      </c>
      <c r="F2769" s="124" t="s">
        <v>2944</v>
      </c>
      <c r="G2769" s="45">
        <f>ROUND((ROUNDDOWN($F2769/5,0)*5+1.8)/Basis!$E$3,1)</f>
        <v>6.6</v>
      </c>
      <c r="H2769" s="120">
        <f>ROUND($P2769*Basis!$E$2*((TaH-TrH)/LN(1/µ)/Basis!$E$7)^$N2769*$AA$4*Glycol,0)</f>
        <v>12141</v>
      </c>
      <c r="I2769" s="83">
        <f>ROUND(H2769/(MID($C2769,9,3)/Basis!$E$3/Basis!$E$9)*Basis!$E$11,0)</f>
        <v>1423</v>
      </c>
      <c r="J2769" s="123">
        <f>IF(Basis!$E$1=1,ROUND(H2769/((TaH-TrH)*1.163)/3600,3),ROUND(H2769/(500*(TaH-TrH)),2))</f>
        <v>1.21</v>
      </c>
      <c r="K2769" s="84"/>
      <c r="L2769" s="177">
        <f>CHOOSE(Basis!$E$1,((AJ2769*(J2769*3600/Basis!$E$5)^AK2769*(((MID(C2769,9,3)*10)-144)/1000)*AL2769+AM2769*(J2769*3600/Basis!$E$5)^2)*0.0098)/Basis!$E$10,((AJ2769*(J2769/Basis!$E$5)^AK2769*(((MID(C2769,9,3)*10)-144)/1000)*AL2769+AM2769*(J2769/Basis!$E$5)^2)*0.0098)/Basis!$E$10)</f>
        <v>0.16767542363899826</v>
      </c>
      <c r="M2769" s="85"/>
      <c r="N2769" s="110">
        <v>1.3260000000000001</v>
      </c>
      <c r="O2769" s="74"/>
      <c r="P2769" s="73">
        <v>5512</v>
      </c>
      <c r="Q2769" s="74"/>
      <c r="R2769" s="75"/>
      <c r="S2769" s="75"/>
      <c r="T2769" s="75"/>
      <c r="U2769" s="75"/>
      <c r="V2769" s="75"/>
      <c r="W2769" s="74"/>
      <c r="X2769" s="76"/>
      <c r="Y2769" s="76"/>
      <c r="Z2769" s="76"/>
      <c r="AA2769" s="76"/>
      <c r="AB2769" s="76"/>
      <c r="AC2769" s="74"/>
      <c r="AD2769" s="77"/>
      <c r="AE2769" s="77"/>
      <c r="AF2769" s="77"/>
      <c r="AG2769" s="77"/>
      <c r="AH2769" s="77"/>
      <c r="AI2769" s="68"/>
      <c r="AJ2769" s="213">
        <v>2.0829999999999999E-4</v>
      </c>
      <c r="AK2769" s="213">
        <v>1.724</v>
      </c>
      <c r="AL2769" s="213">
        <v>2</v>
      </c>
      <c r="AM2769" s="213">
        <v>4.6182900000000003E-4</v>
      </c>
      <c r="AN2769" s="74"/>
      <c r="AO2769" s="73"/>
      <c r="AP2769" s="73"/>
      <c r="AQ2769" s="73"/>
      <c r="AR2769" s="73"/>
      <c r="AS2769" s="73"/>
      <c r="AT2769" s="74"/>
      <c r="AU2769" s="47"/>
      <c r="AV2769" s="48"/>
    </row>
    <row r="2770" spans="1:48" ht="12.75" customHeight="1" x14ac:dyDescent="0.25">
      <c r="A2770" s="72" t="s">
        <v>20</v>
      </c>
      <c r="B2770" s="43" t="s">
        <v>2240</v>
      </c>
      <c r="C2770" s="44" t="s">
        <v>2928</v>
      </c>
      <c r="D2770" s="45">
        <f>MROUND(MID($C2770,6,3)/Basis!$E$3,0.5)</f>
        <v>35.5</v>
      </c>
      <c r="E2770" s="45">
        <f>MROUND(MID($C2770,9,3)/Basis!$E$3,0.5)</f>
        <v>102.5</v>
      </c>
      <c r="F2770" s="124" t="s">
        <v>2947</v>
      </c>
      <c r="G2770" s="45">
        <f>ROUND((ROUNDDOWN($F2770/5,0)*5+1.8)/Basis!$E$3,1)</f>
        <v>6.6</v>
      </c>
      <c r="H2770" s="120">
        <f>ROUND($P2770*Basis!$E$2*((TaH-TrH)/LN(1/µ)/Basis!$E$7)^$N2770*$AA$4*Glycol,0)</f>
        <v>14132</v>
      </c>
      <c r="I2770" s="83">
        <f>ROUND(H2770/(MID($C2770,9,3)/Basis!$E$3/Basis!$E$9)*Basis!$E$11,0)</f>
        <v>1657</v>
      </c>
      <c r="J2770" s="123">
        <f>IF(Basis!$E$1=1,ROUND(H2770/((TaH-TrH)*1.163)/3600,3),ROUND(H2770/(500*(TaH-TrH)),2))</f>
        <v>1.41</v>
      </c>
      <c r="K2770" s="84"/>
      <c r="L2770" s="177">
        <f>CHOOSE(Basis!$E$1,((AJ2770*(J2770*3600/Basis!$E$5)^AK2770*(((MID(C2770,9,3)*10)-144)/1000)*AL2770+AM2770*(J2770*3600/Basis!$E$5)^2)*0.0098)/Basis!$E$10,((AJ2770*(J2770/Basis!$E$5)^AK2770*(((MID(C2770,9,3)*10)-144)/1000)*AL2770+AM2770*(J2770/Basis!$E$5)^2)*0.0098)/Basis!$E$10)</f>
        <v>0.60666916306133445</v>
      </c>
      <c r="M2770" s="85"/>
      <c r="N2770" s="109">
        <v>1.48</v>
      </c>
      <c r="O2770" s="68"/>
      <c r="P2770" s="67">
        <v>6750</v>
      </c>
      <c r="Q2770" s="68"/>
      <c r="R2770" s="69"/>
      <c r="S2770" s="69"/>
      <c r="T2770" s="69"/>
      <c r="U2770" s="69"/>
      <c r="V2770" s="69"/>
      <c r="W2770" s="68"/>
      <c r="X2770" s="70"/>
      <c r="Y2770" s="70"/>
      <c r="Z2770" s="70"/>
      <c r="AA2770" s="70"/>
      <c r="AB2770" s="70"/>
      <c r="AC2770" s="68"/>
      <c r="AD2770" s="71"/>
      <c r="AE2770" s="71"/>
      <c r="AF2770" s="71"/>
      <c r="AG2770" s="71"/>
      <c r="AH2770" s="71"/>
      <c r="AI2770" s="68"/>
      <c r="AJ2770" s="214">
        <v>2.0829999999999999E-4</v>
      </c>
      <c r="AK2770" s="214">
        <v>1.724</v>
      </c>
      <c r="AL2770" s="214">
        <v>4</v>
      </c>
      <c r="AM2770" s="214">
        <v>1.392796E-3</v>
      </c>
      <c r="AN2770" s="68"/>
      <c r="AO2770" s="67"/>
      <c r="AP2770" s="67"/>
      <c r="AQ2770" s="67"/>
      <c r="AR2770" s="67"/>
      <c r="AS2770" s="67"/>
      <c r="AT2770" s="68"/>
      <c r="AU2770" s="49"/>
      <c r="AV2770" s="50"/>
    </row>
    <row r="2771" spans="1:48" ht="12.75" customHeight="1" x14ac:dyDescent="0.25">
      <c r="A2771" s="72" t="s">
        <v>20</v>
      </c>
      <c r="B2771" s="43" t="s">
        <v>2240</v>
      </c>
      <c r="C2771" s="44" t="s">
        <v>2929</v>
      </c>
      <c r="D2771" s="45">
        <f>MROUND(MID($C2771,6,3)/Basis!$E$3,0.5)</f>
        <v>35.5</v>
      </c>
      <c r="E2771" s="45">
        <f>MROUND(MID($C2771,9,3)/Basis!$E$3,0.5)</f>
        <v>102.5</v>
      </c>
      <c r="F2771" s="124" t="s">
        <v>2945</v>
      </c>
      <c r="G2771" s="45">
        <f>ROUND((ROUNDDOWN($F2771/5,0)*5+1.8)/Basis!$E$3,1)</f>
        <v>8.6</v>
      </c>
      <c r="H2771" s="120">
        <f>ROUND($P2771*Basis!$E$2*((TaH-TrH)/LN(1/µ)/Basis!$E$7)^$N2771*$AA$4*Glycol,0)</f>
        <v>16935</v>
      </c>
      <c r="I2771" s="83">
        <f>ROUND(H2771/(MID($C2771,9,3)/Basis!$E$3/Basis!$E$9)*Basis!$E$11,0)</f>
        <v>1985</v>
      </c>
      <c r="J2771" s="123">
        <f>IF(Basis!$E$1=1,ROUND(H2771/((TaH-TrH)*1.163)/3600,3),ROUND(H2771/(500*(TaH-TrH)),2))</f>
        <v>1.69</v>
      </c>
      <c r="K2771" s="84"/>
      <c r="L2771" s="177">
        <f>CHOOSE(Basis!$E$1,((AJ2771*(J2771*3600/Basis!$E$5)^AK2771*(((MID(C2771,9,3)*10)-144)/1000)*AL2771+AM2771*(J2771*3600/Basis!$E$5)^2)*0.0098)/Basis!$E$10,((AJ2771*(J2771/Basis!$E$5)^AK2771*(((MID(C2771,9,3)*10)-144)/1000)*AL2771+AM2771*(J2771/Basis!$E$5)^2)*0.0098)/Basis!$E$10)</f>
        <v>0.23914075245254723</v>
      </c>
      <c r="M2771" s="85"/>
      <c r="N2771" s="109">
        <v>1.3260000000000001</v>
      </c>
      <c r="O2771" s="68"/>
      <c r="P2771" s="67">
        <v>7688</v>
      </c>
      <c r="Q2771" s="68"/>
      <c r="R2771" s="69"/>
      <c r="S2771" s="69"/>
      <c r="T2771" s="69"/>
      <c r="U2771" s="69"/>
      <c r="V2771" s="69"/>
      <c r="W2771" s="68"/>
      <c r="X2771" s="70"/>
      <c r="Y2771" s="70"/>
      <c r="Z2771" s="70"/>
      <c r="AA2771" s="70"/>
      <c r="AB2771" s="70"/>
      <c r="AC2771" s="68"/>
      <c r="AD2771" s="71"/>
      <c r="AE2771" s="71"/>
      <c r="AF2771" s="71"/>
      <c r="AG2771" s="71"/>
      <c r="AH2771" s="71"/>
      <c r="AI2771" s="68"/>
      <c r="AJ2771" s="214">
        <v>1.2760000000000001E-4</v>
      </c>
      <c r="AK2771" s="214">
        <v>1.7219</v>
      </c>
      <c r="AL2771" s="214">
        <v>2</v>
      </c>
      <c r="AM2771" s="214">
        <v>3.76611E-4</v>
      </c>
      <c r="AN2771" s="68"/>
      <c r="AO2771" s="67"/>
      <c r="AP2771" s="67"/>
      <c r="AQ2771" s="67"/>
      <c r="AR2771" s="67"/>
      <c r="AS2771" s="67"/>
      <c r="AT2771" s="68"/>
      <c r="AU2771" s="49"/>
      <c r="AV2771" s="50"/>
    </row>
    <row r="2772" spans="1:48" ht="12.75" customHeight="1" x14ac:dyDescent="0.25">
      <c r="A2772" s="72" t="s">
        <v>20</v>
      </c>
      <c r="B2772" s="43" t="s">
        <v>2240</v>
      </c>
      <c r="C2772" s="44" t="s">
        <v>2930</v>
      </c>
      <c r="D2772" s="45">
        <f>MROUND(MID($C2772,6,3)/Basis!$E$3,0.5)</f>
        <v>35.5</v>
      </c>
      <c r="E2772" s="45">
        <f>MROUND(MID($C2772,9,3)/Basis!$E$3,0.5)</f>
        <v>102.5</v>
      </c>
      <c r="F2772" s="124" t="s">
        <v>2948</v>
      </c>
      <c r="G2772" s="45">
        <f>ROUND((ROUNDDOWN($F2772/5,0)*5+1.8)/Basis!$E$3,1)</f>
        <v>8.6</v>
      </c>
      <c r="H2772" s="120">
        <f>ROUND($P2772*Basis!$E$2*((TaH-TrH)/LN(1/µ)/Basis!$E$7)^$N2772*$AA$4*Glycol,0)</f>
        <v>20265</v>
      </c>
      <c r="I2772" s="83">
        <f>ROUND(H2772/(MID($C2772,9,3)/Basis!$E$3/Basis!$E$9)*Basis!$E$11,0)</f>
        <v>2376</v>
      </c>
      <c r="J2772" s="123">
        <f>IF(Basis!$E$1=1,ROUND(H2772/((TaH-TrH)*1.163)/3600,3),ROUND(H2772/(500*(TaH-TrH)),2))</f>
        <v>2.0299999999999998</v>
      </c>
      <c r="K2772" s="84"/>
      <c r="L2772" s="177">
        <f>CHOOSE(Basis!$E$1,((AJ2772*(J2772*3600/Basis!$E$5)^AK2772*(((MID(C2772,9,3)*10)-144)/1000)*AL2772+AM2772*(J2772*3600/Basis!$E$5)^2)*0.0098)/Basis!$E$10,((AJ2772*(J2772/Basis!$E$5)^AK2772*(((MID(C2772,9,3)*10)-144)/1000)*AL2772+AM2772*(J2772/Basis!$E$5)^2)*0.0098)/Basis!$E$10)</f>
        <v>0.51567047177623415</v>
      </c>
      <c r="M2772" s="85"/>
      <c r="N2772" s="110">
        <v>1.518</v>
      </c>
      <c r="O2772" s="74"/>
      <c r="P2772" s="73">
        <v>9802</v>
      </c>
      <c r="Q2772" s="74"/>
      <c r="R2772" s="75"/>
      <c r="S2772" s="75"/>
      <c r="T2772" s="75"/>
      <c r="U2772" s="75"/>
      <c r="V2772" s="75"/>
      <c r="W2772" s="74"/>
      <c r="X2772" s="76"/>
      <c r="Y2772" s="76"/>
      <c r="Z2772" s="76"/>
      <c r="AA2772" s="76"/>
      <c r="AB2772" s="76"/>
      <c r="AC2772" s="74"/>
      <c r="AD2772" s="77"/>
      <c r="AE2772" s="77"/>
      <c r="AF2772" s="77"/>
      <c r="AG2772" s="77"/>
      <c r="AH2772" s="77"/>
      <c r="AI2772" s="68"/>
      <c r="AJ2772" s="213">
        <v>1.2760000000000001E-4</v>
      </c>
      <c r="AK2772" s="213">
        <v>1.7219</v>
      </c>
      <c r="AL2772" s="213">
        <v>4</v>
      </c>
      <c r="AM2772" s="213">
        <v>5.1420100000000005E-4</v>
      </c>
      <c r="AN2772" s="74"/>
      <c r="AO2772" s="73"/>
      <c r="AP2772" s="73"/>
      <c r="AQ2772" s="73"/>
      <c r="AR2772" s="73"/>
      <c r="AS2772" s="73"/>
      <c r="AT2772" s="74"/>
      <c r="AU2772" s="47"/>
      <c r="AV2772" s="48"/>
    </row>
    <row r="2773" spans="1:48" ht="12.75" customHeight="1" x14ac:dyDescent="0.25">
      <c r="A2773" s="72" t="s">
        <v>20</v>
      </c>
      <c r="B2773" s="43" t="s">
        <v>2240</v>
      </c>
      <c r="C2773" s="44" t="s">
        <v>2931</v>
      </c>
      <c r="D2773" s="45">
        <f>MROUND(MID($C2773,6,3)/Basis!$E$3,0.5)</f>
        <v>35.5</v>
      </c>
      <c r="E2773" s="45">
        <f>MROUND(MID($C2773,9,3)/Basis!$E$3,0.5)</f>
        <v>110</v>
      </c>
      <c r="F2773" s="124" t="s">
        <v>2943</v>
      </c>
      <c r="G2773" s="45">
        <f>ROUND((ROUNDDOWN($F2773/5,0)*5+1.8)/Basis!$E$3,1)</f>
        <v>4.5999999999999996</v>
      </c>
      <c r="H2773" s="120">
        <f>ROUND($P2773*Basis!$E$2*((TaH-TrH)/LN(1/µ)/Basis!$E$7)^$N2773*$AA$4*Glycol,0)</f>
        <v>8382</v>
      </c>
      <c r="I2773" s="83">
        <f>ROUND(H2773/(MID($C2773,9,3)/Basis!$E$3/Basis!$E$9)*Basis!$E$11,0)</f>
        <v>912</v>
      </c>
      <c r="J2773" s="123">
        <f>IF(Basis!$E$1=1,ROUND(H2773/((TaH-TrH)*1.163)/3600,3),ROUND(H2773/(500*(TaH-TrH)),2))</f>
        <v>0.84</v>
      </c>
      <c r="K2773" s="84"/>
      <c r="L2773" s="177">
        <f>CHOOSE(Basis!$E$1,((AJ2773*(J2773*3600/Basis!$E$5)^AK2773*(((MID(C2773,9,3)*10)-144)/1000)*AL2773+AM2773*(J2773*3600/Basis!$E$5)^2)*0.0098)/Basis!$E$10,((AJ2773*(J2773/Basis!$E$5)^AK2773*(((MID(C2773,9,3)*10)-144)/1000)*AL2773+AM2773*(J2773/Basis!$E$5)^2)*0.0098)/Basis!$E$10)</f>
        <v>0.10598985728736783</v>
      </c>
      <c r="M2773" s="85"/>
      <c r="N2773" s="110">
        <v>1.3480000000000001</v>
      </c>
      <c r="O2773" s="74"/>
      <c r="P2773" s="73">
        <v>3833</v>
      </c>
      <c r="Q2773" s="74"/>
      <c r="R2773" s="75"/>
      <c r="S2773" s="75"/>
      <c r="T2773" s="75"/>
      <c r="U2773" s="75"/>
      <c r="V2773" s="75"/>
      <c r="W2773" s="74"/>
      <c r="X2773" s="76"/>
      <c r="Y2773" s="76"/>
      <c r="Z2773" s="76"/>
      <c r="AA2773" s="76"/>
      <c r="AB2773" s="76"/>
      <c r="AC2773" s="74"/>
      <c r="AD2773" s="77"/>
      <c r="AE2773" s="77"/>
      <c r="AF2773" s="77"/>
      <c r="AG2773" s="77"/>
      <c r="AH2773" s="77"/>
      <c r="AI2773" s="68"/>
      <c r="AJ2773" s="213">
        <v>3.9689999999999994E-4</v>
      </c>
      <c r="AK2773" s="213">
        <v>1.7345999999999999</v>
      </c>
      <c r="AL2773" s="213">
        <v>2</v>
      </c>
      <c r="AM2773" s="213">
        <v>3.6734700000000002E-4</v>
      </c>
      <c r="AN2773" s="74"/>
      <c r="AO2773" s="73"/>
      <c r="AP2773" s="73"/>
      <c r="AQ2773" s="73"/>
      <c r="AR2773" s="73"/>
      <c r="AS2773" s="73"/>
      <c r="AT2773" s="74"/>
      <c r="AU2773" s="47"/>
      <c r="AV2773" s="48"/>
    </row>
    <row r="2774" spans="1:48" ht="12.75" customHeight="1" x14ac:dyDescent="0.25">
      <c r="A2774" s="72" t="s">
        <v>20</v>
      </c>
      <c r="B2774" s="43" t="s">
        <v>2240</v>
      </c>
      <c r="C2774" s="44" t="s">
        <v>2932</v>
      </c>
      <c r="D2774" s="45">
        <f>MROUND(MID($C2774,6,3)/Basis!$E$3,0.5)</f>
        <v>35.5</v>
      </c>
      <c r="E2774" s="45">
        <f>MROUND(MID($C2774,9,3)/Basis!$E$3,0.5)</f>
        <v>110</v>
      </c>
      <c r="F2774" s="124" t="s">
        <v>2946</v>
      </c>
      <c r="G2774" s="45">
        <f>ROUND((ROUNDDOWN($F2774/5,0)*5+1.8)/Basis!$E$3,1)</f>
        <v>4.5999999999999996</v>
      </c>
      <c r="H2774" s="120">
        <f>ROUND($P2774*Basis!$E$2*((TaH-TrH)/LN(1/µ)/Basis!$E$7)^$N2774*$AA$4*Glycol,0)</f>
        <v>10462</v>
      </c>
      <c r="I2774" s="83">
        <f>ROUND(H2774/(MID($C2774,9,3)/Basis!$E$3/Basis!$E$9)*Basis!$E$11,0)</f>
        <v>1139</v>
      </c>
      <c r="J2774" s="123">
        <f>IF(Basis!$E$1=1,ROUND(H2774/((TaH-TrH)*1.163)/3600,3),ROUND(H2774/(500*(TaH-TrH)),2))</f>
        <v>1.05</v>
      </c>
      <c r="K2774" s="84"/>
      <c r="L2774" s="177">
        <f>CHOOSE(Basis!$E$1,((AJ2774*(J2774*3600/Basis!$E$5)^AK2774*(((MID(C2774,9,3)*10)-144)/1000)*AL2774+AM2774*(J2774*3600/Basis!$E$5)^2)*0.0098)/Basis!$E$10,((AJ2774*(J2774/Basis!$E$5)^AK2774*(((MID(C2774,9,3)*10)-144)/1000)*AL2774+AM2774*(J2774/Basis!$E$5)^2)*0.0098)/Basis!$E$10)</f>
        <v>0.29019962617405237</v>
      </c>
      <c r="M2774" s="85"/>
      <c r="N2774" s="109">
        <v>1.4339999999999999</v>
      </c>
      <c r="O2774" s="68"/>
      <c r="P2774" s="67">
        <v>4922</v>
      </c>
      <c r="Q2774" s="68"/>
      <c r="R2774" s="69"/>
      <c r="S2774" s="69"/>
      <c r="T2774" s="69"/>
      <c r="U2774" s="69"/>
      <c r="V2774" s="69"/>
      <c r="W2774" s="68"/>
      <c r="X2774" s="70"/>
      <c r="Y2774" s="70"/>
      <c r="Z2774" s="70"/>
      <c r="AA2774" s="70"/>
      <c r="AB2774" s="70"/>
      <c r="AC2774" s="68"/>
      <c r="AD2774" s="71"/>
      <c r="AE2774" s="71"/>
      <c r="AF2774" s="71"/>
      <c r="AG2774" s="71"/>
      <c r="AH2774" s="71"/>
      <c r="AI2774" s="68"/>
      <c r="AJ2774" s="214">
        <v>3.9689999999999994E-4</v>
      </c>
      <c r="AK2774" s="214">
        <v>1.7345999999999999</v>
      </c>
      <c r="AL2774" s="214">
        <v>4</v>
      </c>
      <c r="AM2774" s="214">
        <v>5.7428799999999995E-4</v>
      </c>
      <c r="AN2774" s="68"/>
      <c r="AO2774" s="67"/>
      <c r="AP2774" s="67"/>
      <c r="AQ2774" s="67"/>
      <c r="AR2774" s="67"/>
      <c r="AS2774" s="67"/>
      <c r="AT2774" s="68"/>
      <c r="AU2774" s="49"/>
      <c r="AV2774" s="50"/>
    </row>
    <row r="2775" spans="1:48" ht="12.75" customHeight="1" x14ac:dyDescent="0.25">
      <c r="A2775" s="72" t="s">
        <v>20</v>
      </c>
      <c r="B2775" s="43" t="s">
        <v>2240</v>
      </c>
      <c r="C2775" s="44" t="s">
        <v>2933</v>
      </c>
      <c r="D2775" s="45">
        <f>MROUND(MID($C2775,6,3)/Basis!$E$3,0.5)</f>
        <v>35.5</v>
      </c>
      <c r="E2775" s="45">
        <f>MROUND(MID($C2775,9,3)/Basis!$E$3,0.5)</f>
        <v>110</v>
      </c>
      <c r="F2775" s="124" t="s">
        <v>2944</v>
      </c>
      <c r="G2775" s="45">
        <f>ROUND((ROUNDDOWN($F2775/5,0)*5+1.8)/Basis!$E$3,1)</f>
        <v>6.6</v>
      </c>
      <c r="H2775" s="120">
        <f>ROUND($P2775*Basis!$E$2*((TaH-TrH)/LN(1/µ)/Basis!$E$7)^$N2775*$AA$4*Glycol,0)</f>
        <v>13075</v>
      </c>
      <c r="I2775" s="83">
        <f>ROUND(H2775/(MID($C2775,9,3)/Basis!$E$3/Basis!$E$9)*Basis!$E$11,0)</f>
        <v>1423</v>
      </c>
      <c r="J2775" s="123">
        <f>IF(Basis!$E$1=1,ROUND(H2775/((TaH-TrH)*1.163)/3600,3),ROUND(H2775/(500*(TaH-TrH)),2))</f>
        <v>1.31</v>
      </c>
      <c r="K2775" s="84"/>
      <c r="L2775" s="177">
        <f>CHOOSE(Basis!$E$1,((AJ2775*(J2775*3600/Basis!$E$5)^AK2775*(((MID(C2775,9,3)*10)-144)/1000)*AL2775+AM2775*(J2775*3600/Basis!$E$5)^2)*0.0098)/Basis!$E$10,((AJ2775*(J2775/Basis!$E$5)^AK2775*(((MID(C2775,9,3)*10)-144)/1000)*AL2775+AM2775*(J2775/Basis!$E$5)^2)*0.0098)/Basis!$E$10)</f>
        <v>0.20018070080461428</v>
      </c>
      <c r="M2775" s="85"/>
      <c r="N2775" s="109">
        <v>1.3260000000000001</v>
      </c>
      <c r="O2775" s="68"/>
      <c r="P2775" s="67">
        <v>5936</v>
      </c>
      <c r="Q2775" s="68"/>
      <c r="R2775" s="69"/>
      <c r="S2775" s="69"/>
      <c r="T2775" s="69"/>
      <c r="U2775" s="69"/>
      <c r="V2775" s="69"/>
      <c r="W2775" s="68"/>
      <c r="X2775" s="70"/>
      <c r="Y2775" s="70"/>
      <c r="Z2775" s="70"/>
      <c r="AA2775" s="70"/>
      <c r="AB2775" s="70"/>
      <c r="AC2775" s="68"/>
      <c r="AD2775" s="71"/>
      <c r="AE2775" s="71"/>
      <c r="AF2775" s="71"/>
      <c r="AG2775" s="71"/>
      <c r="AH2775" s="71"/>
      <c r="AI2775" s="68"/>
      <c r="AJ2775" s="214">
        <v>2.0829999999999999E-4</v>
      </c>
      <c r="AK2775" s="214">
        <v>1.724</v>
      </c>
      <c r="AL2775" s="214">
        <v>2</v>
      </c>
      <c r="AM2775" s="214">
        <v>4.6182900000000003E-4</v>
      </c>
      <c r="AN2775" s="68"/>
      <c r="AO2775" s="67"/>
      <c r="AP2775" s="67"/>
      <c r="AQ2775" s="67"/>
      <c r="AR2775" s="67"/>
      <c r="AS2775" s="67"/>
      <c r="AT2775" s="68"/>
      <c r="AU2775" s="49"/>
      <c r="AV2775" s="50"/>
    </row>
    <row r="2776" spans="1:48" ht="12.75" customHeight="1" x14ac:dyDescent="0.25">
      <c r="A2776" s="72" t="s">
        <v>20</v>
      </c>
      <c r="B2776" s="43" t="s">
        <v>2240</v>
      </c>
      <c r="C2776" s="44" t="s">
        <v>2934</v>
      </c>
      <c r="D2776" s="45">
        <f>MROUND(MID($C2776,6,3)/Basis!$E$3,0.5)</f>
        <v>35.5</v>
      </c>
      <c r="E2776" s="45">
        <f>MROUND(MID($C2776,9,3)/Basis!$E$3,0.5)</f>
        <v>110</v>
      </c>
      <c r="F2776" s="124" t="s">
        <v>2947</v>
      </c>
      <c r="G2776" s="45">
        <f>ROUND((ROUNDDOWN($F2776/5,0)*5+1.8)/Basis!$E$3,1)</f>
        <v>6.6</v>
      </c>
      <c r="H2776" s="120">
        <f>ROUND($P2776*Basis!$E$2*((TaH-TrH)/LN(1/µ)/Basis!$E$7)^$N2776*$AA$4*Glycol,0)</f>
        <v>15218</v>
      </c>
      <c r="I2776" s="83">
        <f>ROUND(H2776/(MID($C2776,9,3)/Basis!$E$3/Basis!$E$9)*Basis!$E$11,0)</f>
        <v>1657</v>
      </c>
      <c r="J2776" s="123">
        <f>IF(Basis!$E$1=1,ROUND(H2776/((TaH-TrH)*1.163)/3600,3),ROUND(H2776/(500*(TaH-TrH)),2))</f>
        <v>1.52</v>
      </c>
      <c r="K2776" s="84"/>
      <c r="L2776" s="177">
        <f>CHOOSE(Basis!$E$1,((AJ2776*(J2776*3600/Basis!$E$5)^AK2776*(((MID(C2776,9,3)*10)-144)/1000)*AL2776+AM2776*(J2776*3600/Basis!$E$5)^2)*0.0098)/Basis!$E$10,((AJ2776*(J2776/Basis!$E$5)^AK2776*(((MID(C2776,9,3)*10)-144)/1000)*AL2776+AM2776*(J2776/Basis!$E$5)^2)*0.0098)/Basis!$E$10)</f>
        <v>0.71463134046964472</v>
      </c>
      <c r="M2776" s="85"/>
      <c r="N2776" s="110">
        <v>1.48</v>
      </c>
      <c r="O2776" s="74"/>
      <c r="P2776" s="73">
        <v>7269</v>
      </c>
      <c r="Q2776" s="74"/>
      <c r="R2776" s="75"/>
      <c r="S2776" s="75"/>
      <c r="T2776" s="75"/>
      <c r="U2776" s="75"/>
      <c r="V2776" s="75"/>
      <c r="W2776" s="74"/>
      <c r="X2776" s="76"/>
      <c r="Y2776" s="76"/>
      <c r="Z2776" s="76"/>
      <c r="AA2776" s="76"/>
      <c r="AB2776" s="76"/>
      <c r="AC2776" s="74"/>
      <c r="AD2776" s="77"/>
      <c r="AE2776" s="77"/>
      <c r="AF2776" s="77"/>
      <c r="AG2776" s="77"/>
      <c r="AH2776" s="77"/>
      <c r="AI2776" s="68"/>
      <c r="AJ2776" s="213">
        <v>2.0829999999999999E-4</v>
      </c>
      <c r="AK2776" s="213">
        <v>1.724</v>
      </c>
      <c r="AL2776" s="213">
        <v>4</v>
      </c>
      <c r="AM2776" s="213">
        <v>1.392796E-3</v>
      </c>
      <c r="AN2776" s="74"/>
      <c r="AO2776" s="73"/>
      <c r="AP2776" s="73"/>
      <c r="AQ2776" s="73"/>
      <c r="AR2776" s="73"/>
      <c r="AS2776" s="73"/>
      <c r="AT2776" s="74"/>
      <c r="AU2776" s="47"/>
      <c r="AV2776" s="48"/>
    </row>
    <row r="2777" spans="1:48" ht="12.75" customHeight="1" x14ac:dyDescent="0.25">
      <c r="A2777" s="72" t="s">
        <v>20</v>
      </c>
      <c r="B2777" s="43" t="s">
        <v>2240</v>
      </c>
      <c r="C2777" s="44" t="s">
        <v>2935</v>
      </c>
      <c r="D2777" s="45">
        <f>MROUND(MID($C2777,6,3)/Basis!$E$3,0.5)</f>
        <v>35.5</v>
      </c>
      <c r="E2777" s="45">
        <f>MROUND(MID($C2777,9,3)/Basis!$E$3,0.5)</f>
        <v>110</v>
      </c>
      <c r="F2777" s="124" t="s">
        <v>2945</v>
      </c>
      <c r="G2777" s="45">
        <f>ROUND((ROUNDDOWN($F2777/5,0)*5+1.8)/Basis!$E$3,1)</f>
        <v>8.6</v>
      </c>
      <c r="H2777" s="120">
        <f>ROUND($P2777*Basis!$E$2*((TaH-TrH)/LN(1/µ)/Basis!$E$7)^$N2777*$AA$4*Glycol,0)</f>
        <v>18239</v>
      </c>
      <c r="I2777" s="83">
        <f>ROUND(H2777/(MID($C2777,9,3)/Basis!$E$3/Basis!$E$9)*Basis!$E$11,0)</f>
        <v>1985</v>
      </c>
      <c r="J2777" s="123">
        <f>IF(Basis!$E$1=1,ROUND(H2777/((TaH-TrH)*1.163)/3600,3),ROUND(H2777/(500*(TaH-TrH)),2))</f>
        <v>1.82</v>
      </c>
      <c r="K2777" s="84"/>
      <c r="L2777" s="177">
        <f>CHOOSE(Basis!$E$1,((AJ2777*(J2777*3600/Basis!$E$5)^AK2777*(((MID(C2777,9,3)*10)-144)/1000)*AL2777+AM2777*(J2777*3600/Basis!$E$5)^2)*0.0098)/Basis!$E$10,((AJ2777*(J2777/Basis!$E$5)^AK2777*(((MID(C2777,9,3)*10)-144)/1000)*AL2777+AM2777*(J2777/Basis!$E$5)^2)*0.0098)/Basis!$E$10)</f>
        <v>0.28132073128408569</v>
      </c>
      <c r="M2777" s="85"/>
      <c r="N2777" s="110">
        <v>1.3260000000000001</v>
      </c>
      <c r="O2777" s="74"/>
      <c r="P2777" s="73">
        <v>8280</v>
      </c>
      <c r="Q2777" s="74"/>
      <c r="R2777" s="75"/>
      <c r="S2777" s="75"/>
      <c r="T2777" s="75"/>
      <c r="U2777" s="75"/>
      <c r="V2777" s="75"/>
      <c r="W2777" s="74"/>
      <c r="X2777" s="76"/>
      <c r="Y2777" s="76"/>
      <c r="Z2777" s="76"/>
      <c r="AA2777" s="76"/>
      <c r="AB2777" s="76"/>
      <c r="AC2777" s="74"/>
      <c r="AD2777" s="77"/>
      <c r="AE2777" s="77"/>
      <c r="AF2777" s="77"/>
      <c r="AG2777" s="77"/>
      <c r="AH2777" s="77"/>
      <c r="AI2777" s="68"/>
      <c r="AJ2777" s="214">
        <v>1.2760000000000001E-4</v>
      </c>
      <c r="AK2777" s="214">
        <v>1.7219</v>
      </c>
      <c r="AL2777" s="214">
        <v>2</v>
      </c>
      <c r="AM2777" s="214">
        <v>3.76611E-4</v>
      </c>
      <c r="AN2777" s="74"/>
      <c r="AO2777" s="73"/>
      <c r="AP2777" s="73"/>
      <c r="AQ2777" s="73"/>
      <c r="AR2777" s="73"/>
      <c r="AS2777" s="73"/>
      <c r="AT2777" s="74"/>
      <c r="AU2777" s="47"/>
      <c r="AV2777" s="48"/>
    </row>
    <row r="2778" spans="1:48" ht="12.75" customHeight="1" x14ac:dyDescent="0.25">
      <c r="A2778" s="72" t="s">
        <v>20</v>
      </c>
      <c r="B2778" s="43" t="s">
        <v>2240</v>
      </c>
      <c r="C2778" s="44" t="s">
        <v>2936</v>
      </c>
      <c r="D2778" s="45">
        <f>MROUND(MID($C2778,6,3)/Basis!$E$3,0.5)</f>
        <v>35.5</v>
      </c>
      <c r="E2778" s="45">
        <f>MROUND(MID($C2778,9,3)/Basis!$E$3,0.5)</f>
        <v>110</v>
      </c>
      <c r="F2778" s="124" t="s">
        <v>2948</v>
      </c>
      <c r="G2778" s="45">
        <f>ROUND((ROUNDDOWN($F2778/5,0)*5+1.8)/Basis!$E$3,1)</f>
        <v>8.6</v>
      </c>
      <c r="H2778" s="120">
        <f>ROUND($P2778*Basis!$E$2*((TaH-TrH)/LN(1/µ)/Basis!$E$7)^$N2778*$AA$4*Glycol,0)</f>
        <v>21824</v>
      </c>
      <c r="I2778" s="83">
        <f>ROUND(H2778/(MID($C2778,9,3)/Basis!$E$3/Basis!$E$9)*Basis!$E$11,0)</f>
        <v>2376</v>
      </c>
      <c r="J2778" s="123">
        <f>IF(Basis!$E$1=1,ROUND(H2778/((TaH-TrH)*1.163)/3600,3),ROUND(H2778/(500*(TaH-TrH)),2))</f>
        <v>2.1800000000000002</v>
      </c>
      <c r="K2778" s="84"/>
      <c r="L2778" s="177">
        <f>CHOOSE(Basis!$E$1,((AJ2778*(J2778*3600/Basis!$E$5)^AK2778*(((MID(C2778,9,3)*10)-144)/1000)*AL2778+AM2778*(J2778*3600/Basis!$E$5)^2)*0.0098)/Basis!$E$10,((AJ2778*(J2778/Basis!$E$5)^AK2778*(((MID(C2778,9,3)*10)-144)/1000)*AL2778+AM2778*(J2778/Basis!$E$5)^2)*0.0098)/Basis!$E$10)</f>
        <v>0.60568176744460211</v>
      </c>
      <c r="M2778" s="85"/>
      <c r="N2778" s="109">
        <v>1.518</v>
      </c>
      <c r="O2778" s="68"/>
      <c r="P2778" s="67">
        <v>10556</v>
      </c>
      <c r="Q2778" s="68"/>
      <c r="R2778" s="69"/>
      <c r="S2778" s="69"/>
      <c r="T2778" s="69"/>
      <c r="U2778" s="69"/>
      <c r="V2778" s="69"/>
      <c r="W2778" s="68"/>
      <c r="X2778" s="70"/>
      <c r="Y2778" s="70"/>
      <c r="Z2778" s="70"/>
      <c r="AA2778" s="70"/>
      <c r="AB2778" s="70"/>
      <c r="AC2778" s="68"/>
      <c r="AD2778" s="71"/>
      <c r="AE2778" s="71"/>
      <c r="AF2778" s="71"/>
      <c r="AG2778" s="71"/>
      <c r="AH2778" s="71"/>
      <c r="AI2778" s="68"/>
      <c r="AJ2778" s="214">
        <v>1.2760000000000001E-4</v>
      </c>
      <c r="AK2778" s="214">
        <v>1.7219</v>
      </c>
      <c r="AL2778" s="214">
        <v>4</v>
      </c>
      <c r="AM2778" s="214">
        <v>5.1420100000000005E-4</v>
      </c>
      <c r="AN2778" s="68"/>
      <c r="AO2778" s="67"/>
      <c r="AP2778" s="67"/>
      <c r="AQ2778" s="67"/>
      <c r="AR2778" s="67"/>
      <c r="AS2778" s="67"/>
      <c r="AT2778" s="68"/>
      <c r="AU2778" s="49"/>
      <c r="AV2778" s="50"/>
    </row>
    <row r="2779" spans="1:48" ht="12.75" customHeight="1" x14ac:dyDescent="0.25">
      <c r="A2779" s="72" t="s">
        <v>20</v>
      </c>
      <c r="B2779" s="43" t="s">
        <v>2240</v>
      </c>
      <c r="C2779" s="44" t="s">
        <v>2937</v>
      </c>
      <c r="D2779" s="45">
        <f>MROUND(MID($C2779,6,3)/Basis!$E$3,0.5)</f>
        <v>35.5</v>
      </c>
      <c r="E2779" s="45">
        <f>MROUND(MID($C2779,9,3)/Basis!$E$3,0.5)</f>
        <v>118</v>
      </c>
      <c r="F2779" s="124" t="s">
        <v>2943</v>
      </c>
      <c r="G2779" s="45">
        <f>ROUND((ROUNDDOWN($F2779/5,0)*5+1.8)/Basis!$E$3,1)</f>
        <v>4.5999999999999996</v>
      </c>
      <c r="H2779" s="120">
        <f>ROUND($P2779*Basis!$E$2*((TaH-TrH)/LN(1/µ)/Basis!$E$7)^$N2779*$AA$4*Glycol,0)</f>
        <v>8981</v>
      </c>
      <c r="I2779" s="83">
        <f>ROUND(H2779/(MID($C2779,9,3)/Basis!$E$3/Basis!$E$9)*Basis!$E$11,0)</f>
        <v>912</v>
      </c>
      <c r="J2779" s="123">
        <f>IF(Basis!$E$1=1,ROUND(H2779/((TaH-TrH)*1.163)/3600,3),ROUND(H2779/(500*(TaH-TrH)),2))</f>
        <v>0.9</v>
      </c>
      <c r="K2779" s="84"/>
      <c r="L2779" s="177">
        <f>CHOOSE(Basis!$E$1,((AJ2779*(J2779*3600/Basis!$E$5)^AK2779*(((MID(C2779,9,3)*10)-144)/1000)*AL2779+AM2779*(J2779*3600/Basis!$E$5)^2)*0.0098)/Basis!$E$10,((AJ2779*(J2779/Basis!$E$5)^AK2779*(((MID(C2779,9,3)*10)-144)/1000)*AL2779+AM2779*(J2779/Basis!$E$5)^2)*0.0098)/Basis!$E$10)</f>
        <v>0.12566018736034676</v>
      </c>
      <c r="M2779" s="85"/>
      <c r="N2779" s="109">
        <v>1.3480000000000001</v>
      </c>
      <c r="O2779" s="68"/>
      <c r="P2779" s="67">
        <v>4107</v>
      </c>
      <c r="Q2779" s="68"/>
      <c r="R2779" s="69"/>
      <c r="S2779" s="69"/>
      <c r="T2779" s="69"/>
      <c r="U2779" s="69"/>
      <c r="V2779" s="69"/>
      <c r="W2779" s="68"/>
      <c r="X2779" s="70"/>
      <c r="Y2779" s="70"/>
      <c r="Z2779" s="70"/>
      <c r="AA2779" s="70"/>
      <c r="AB2779" s="70"/>
      <c r="AC2779" s="68"/>
      <c r="AD2779" s="71"/>
      <c r="AE2779" s="71"/>
      <c r="AF2779" s="71"/>
      <c r="AG2779" s="71"/>
      <c r="AH2779" s="71"/>
      <c r="AI2779" s="68"/>
      <c r="AJ2779" s="214">
        <v>3.9689999999999994E-4</v>
      </c>
      <c r="AK2779" s="214">
        <v>1.7345999999999999</v>
      </c>
      <c r="AL2779" s="214">
        <v>2</v>
      </c>
      <c r="AM2779" s="214">
        <v>3.6734700000000002E-4</v>
      </c>
      <c r="AN2779" s="68"/>
      <c r="AO2779" s="67"/>
      <c r="AP2779" s="67"/>
      <c r="AQ2779" s="67"/>
      <c r="AR2779" s="67"/>
      <c r="AS2779" s="67"/>
      <c r="AT2779" s="68"/>
      <c r="AU2779" s="49"/>
      <c r="AV2779" s="50"/>
    </row>
    <row r="2780" spans="1:48" ht="12.75" customHeight="1" x14ac:dyDescent="0.25">
      <c r="A2780" s="72" t="s">
        <v>20</v>
      </c>
      <c r="B2780" s="43" t="s">
        <v>2240</v>
      </c>
      <c r="C2780" s="44" t="s">
        <v>2938</v>
      </c>
      <c r="D2780" s="45">
        <f>MROUND(MID($C2780,6,3)/Basis!$E$3,0.5)</f>
        <v>35.5</v>
      </c>
      <c r="E2780" s="45">
        <f>MROUND(MID($C2780,9,3)/Basis!$E$3,0.5)</f>
        <v>118</v>
      </c>
      <c r="F2780" s="124" t="s">
        <v>2946</v>
      </c>
      <c r="G2780" s="45">
        <f>ROUND((ROUNDDOWN($F2780/5,0)*5+1.8)/Basis!$E$3,1)</f>
        <v>4.5999999999999996</v>
      </c>
      <c r="H2780" s="120">
        <f>ROUND($P2780*Basis!$E$2*((TaH-TrH)/LN(1/µ)/Basis!$E$7)^$N2780*$AA$4*Glycol,0)</f>
        <v>11210</v>
      </c>
      <c r="I2780" s="83">
        <f>ROUND(H2780/(MID($C2780,9,3)/Basis!$E$3/Basis!$E$9)*Basis!$E$11,0)</f>
        <v>1139</v>
      </c>
      <c r="J2780" s="123">
        <f>IF(Basis!$E$1=1,ROUND(H2780/((TaH-TrH)*1.163)/3600,3),ROUND(H2780/(500*(TaH-TrH)),2))</f>
        <v>1.1200000000000001</v>
      </c>
      <c r="K2780" s="84"/>
      <c r="L2780" s="177">
        <f>CHOOSE(Basis!$E$1,((AJ2780*(J2780*3600/Basis!$E$5)^AK2780*(((MID(C2780,9,3)*10)-144)/1000)*AL2780+AM2780*(J2780*3600/Basis!$E$5)^2)*0.0098)/Basis!$E$10,((AJ2780*(J2780/Basis!$E$5)^AK2780*(((MID(C2780,9,3)*10)-144)/1000)*AL2780+AM2780*(J2780/Basis!$E$5)^2)*0.0098)/Basis!$E$10)</f>
        <v>0.34208545055860462</v>
      </c>
      <c r="M2780" s="85"/>
      <c r="N2780" s="110">
        <v>1.4339999999999999</v>
      </c>
      <c r="O2780" s="74"/>
      <c r="P2780" s="73">
        <v>5274</v>
      </c>
      <c r="Q2780" s="74"/>
      <c r="R2780" s="75"/>
      <c r="S2780" s="75"/>
      <c r="T2780" s="75"/>
      <c r="U2780" s="75"/>
      <c r="V2780" s="75"/>
      <c r="W2780" s="74"/>
      <c r="X2780" s="76"/>
      <c r="Y2780" s="76"/>
      <c r="Z2780" s="76"/>
      <c r="AA2780" s="76"/>
      <c r="AB2780" s="76"/>
      <c r="AC2780" s="74"/>
      <c r="AD2780" s="77"/>
      <c r="AE2780" s="77"/>
      <c r="AF2780" s="77"/>
      <c r="AG2780" s="77"/>
      <c r="AH2780" s="77"/>
      <c r="AI2780" s="68"/>
      <c r="AJ2780" s="213">
        <v>3.9689999999999994E-4</v>
      </c>
      <c r="AK2780" s="213">
        <v>1.7345999999999999</v>
      </c>
      <c r="AL2780" s="213">
        <v>4</v>
      </c>
      <c r="AM2780" s="213">
        <v>5.7428799999999995E-4</v>
      </c>
      <c r="AN2780" s="74"/>
      <c r="AO2780" s="73"/>
      <c r="AP2780" s="73"/>
      <c r="AQ2780" s="73"/>
      <c r="AR2780" s="73"/>
      <c r="AS2780" s="73"/>
      <c r="AT2780" s="74"/>
      <c r="AU2780" s="47"/>
      <c r="AV2780" s="48"/>
    </row>
    <row r="2781" spans="1:48" ht="12.75" customHeight="1" x14ac:dyDescent="0.25">
      <c r="A2781" s="72" t="s">
        <v>20</v>
      </c>
      <c r="B2781" s="43" t="s">
        <v>2240</v>
      </c>
      <c r="C2781" s="44" t="s">
        <v>2939</v>
      </c>
      <c r="D2781" s="45">
        <f>MROUND(MID($C2781,6,3)/Basis!$E$3,0.5)</f>
        <v>35.5</v>
      </c>
      <c r="E2781" s="45">
        <f>MROUND(MID($C2781,9,3)/Basis!$E$3,0.5)</f>
        <v>118</v>
      </c>
      <c r="F2781" s="124" t="s">
        <v>2944</v>
      </c>
      <c r="G2781" s="45">
        <f>ROUND((ROUNDDOWN($F2781/5,0)*5+1.8)/Basis!$E$3,1)</f>
        <v>6.6</v>
      </c>
      <c r="H2781" s="120">
        <f>ROUND($P2781*Basis!$E$2*((TaH-TrH)/LN(1/µ)/Basis!$E$7)^$N2781*$AA$4*Glycol,0)</f>
        <v>14009</v>
      </c>
      <c r="I2781" s="83">
        <f>ROUND(H2781/(MID($C2781,9,3)/Basis!$E$3/Basis!$E$9)*Basis!$E$11,0)</f>
        <v>1423</v>
      </c>
      <c r="J2781" s="123">
        <f>IF(Basis!$E$1=1,ROUND(H2781/((TaH-TrH)*1.163)/3600,3),ROUND(H2781/(500*(TaH-TrH)),2))</f>
        <v>1.4</v>
      </c>
      <c r="K2781" s="84"/>
      <c r="L2781" s="177">
        <f>CHOOSE(Basis!$E$1,((AJ2781*(J2781*3600/Basis!$E$5)^AK2781*(((MID(C2781,9,3)*10)-144)/1000)*AL2781+AM2781*(J2781*3600/Basis!$E$5)^2)*0.0098)/Basis!$E$10,((AJ2781*(J2781/Basis!$E$5)^AK2781*(((MID(C2781,9,3)*10)-144)/1000)*AL2781+AM2781*(J2781/Basis!$E$5)^2)*0.0098)/Basis!$E$10)</f>
        <v>0.23286656645864515</v>
      </c>
      <c r="M2781" s="85"/>
      <c r="N2781" s="110">
        <v>1.3260000000000001</v>
      </c>
      <c r="O2781" s="74"/>
      <c r="P2781" s="73">
        <v>6360</v>
      </c>
      <c r="Q2781" s="74"/>
      <c r="R2781" s="75"/>
      <c r="S2781" s="75"/>
      <c r="T2781" s="75"/>
      <c r="U2781" s="75"/>
      <c r="V2781" s="75"/>
      <c r="W2781" s="74"/>
      <c r="X2781" s="76"/>
      <c r="Y2781" s="76"/>
      <c r="Z2781" s="76"/>
      <c r="AA2781" s="76"/>
      <c r="AB2781" s="76"/>
      <c r="AC2781" s="74"/>
      <c r="AD2781" s="77"/>
      <c r="AE2781" s="77"/>
      <c r="AF2781" s="77"/>
      <c r="AG2781" s="77"/>
      <c r="AH2781" s="77"/>
      <c r="AI2781" s="68"/>
      <c r="AJ2781" s="213">
        <v>2.0829999999999999E-4</v>
      </c>
      <c r="AK2781" s="213">
        <v>1.724</v>
      </c>
      <c r="AL2781" s="213">
        <v>2</v>
      </c>
      <c r="AM2781" s="213">
        <v>4.6182900000000003E-4</v>
      </c>
      <c r="AN2781" s="74"/>
      <c r="AO2781" s="73"/>
      <c r="AP2781" s="73"/>
      <c r="AQ2781" s="73"/>
      <c r="AR2781" s="73"/>
      <c r="AS2781" s="73"/>
      <c r="AT2781" s="74"/>
      <c r="AU2781" s="47"/>
      <c r="AV2781" s="48"/>
    </row>
    <row r="2782" spans="1:48" ht="12.75" customHeight="1" x14ac:dyDescent="0.25">
      <c r="A2782" s="72" t="s">
        <v>20</v>
      </c>
      <c r="B2782" s="43" t="s">
        <v>2240</v>
      </c>
      <c r="C2782" s="44" t="s">
        <v>2940</v>
      </c>
      <c r="D2782" s="45">
        <f>MROUND(MID($C2782,6,3)/Basis!$E$3,0.5)</f>
        <v>35.5</v>
      </c>
      <c r="E2782" s="45">
        <f>MROUND(MID($C2782,9,3)/Basis!$E$3,0.5)</f>
        <v>118</v>
      </c>
      <c r="F2782" s="124" t="s">
        <v>2947</v>
      </c>
      <c r="G2782" s="45">
        <f>ROUND((ROUNDDOWN($F2782/5,0)*5+1.8)/Basis!$E$3,1)</f>
        <v>6.6</v>
      </c>
      <c r="H2782" s="120">
        <f>ROUND($P2782*Basis!$E$2*((TaH-TrH)/LN(1/µ)/Basis!$E$7)^$N2782*$AA$4*Glycol,0)</f>
        <v>16305</v>
      </c>
      <c r="I2782" s="83">
        <f>ROUND(H2782/(MID($C2782,9,3)/Basis!$E$3/Basis!$E$9)*Basis!$E$11,0)</f>
        <v>1657</v>
      </c>
      <c r="J2782" s="123">
        <f>IF(Basis!$E$1=1,ROUND(H2782/((TaH-TrH)*1.163)/3600,3),ROUND(H2782/(500*(TaH-TrH)),2))</f>
        <v>1.63</v>
      </c>
      <c r="K2782" s="84"/>
      <c r="L2782" s="177">
        <f>CHOOSE(Basis!$E$1,((AJ2782*(J2782*3600/Basis!$E$5)^AK2782*(((MID(C2782,9,3)*10)-144)/1000)*AL2782+AM2782*(J2782*3600/Basis!$E$5)^2)*0.0098)/Basis!$E$10,((AJ2782*(J2782/Basis!$E$5)^AK2782*(((MID(C2782,9,3)*10)-144)/1000)*AL2782+AM2782*(J2782/Basis!$E$5)^2)*0.0098)/Basis!$E$10)</f>
        <v>0.8326310212086746</v>
      </c>
      <c r="M2782" s="85"/>
      <c r="N2782" s="109">
        <v>1.48</v>
      </c>
      <c r="O2782" s="68"/>
      <c r="P2782" s="67">
        <v>7788</v>
      </c>
      <c r="Q2782" s="68"/>
      <c r="R2782" s="69"/>
      <c r="S2782" s="69"/>
      <c r="T2782" s="69"/>
      <c r="U2782" s="69"/>
      <c r="V2782" s="69"/>
      <c r="W2782" s="68"/>
      <c r="X2782" s="70"/>
      <c r="Y2782" s="70"/>
      <c r="Z2782" s="70"/>
      <c r="AA2782" s="70"/>
      <c r="AB2782" s="70"/>
      <c r="AC2782" s="68"/>
      <c r="AD2782" s="71"/>
      <c r="AE2782" s="71"/>
      <c r="AF2782" s="71"/>
      <c r="AG2782" s="71"/>
      <c r="AH2782" s="71"/>
      <c r="AI2782" s="68"/>
      <c r="AJ2782" s="214">
        <v>2.0829999999999999E-4</v>
      </c>
      <c r="AK2782" s="214">
        <v>1.724</v>
      </c>
      <c r="AL2782" s="214">
        <v>4</v>
      </c>
      <c r="AM2782" s="214">
        <v>1.392796E-3</v>
      </c>
      <c r="AN2782" s="68"/>
      <c r="AO2782" s="67"/>
      <c r="AP2782" s="67"/>
      <c r="AQ2782" s="67"/>
      <c r="AR2782" s="67"/>
      <c r="AS2782" s="67"/>
      <c r="AT2782" s="68"/>
      <c r="AU2782" s="49"/>
      <c r="AV2782" s="50"/>
    </row>
    <row r="2783" spans="1:48" ht="12.75" customHeight="1" x14ac:dyDescent="0.25">
      <c r="A2783" s="72" t="s">
        <v>20</v>
      </c>
      <c r="B2783" s="43" t="s">
        <v>2240</v>
      </c>
      <c r="C2783" s="44" t="s">
        <v>2941</v>
      </c>
      <c r="D2783" s="45">
        <f>MROUND(MID($C2783,6,3)/Basis!$E$3,0.5)</f>
        <v>35.5</v>
      </c>
      <c r="E2783" s="45">
        <f>MROUND(MID($C2783,9,3)/Basis!$E$3,0.5)</f>
        <v>118</v>
      </c>
      <c r="F2783" s="124" t="s">
        <v>2945</v>
      </c>
      <c r="G2783" s="45">
        <f>ROUND((ROUNDDOWN($F2783/5,0)*5+1.8)/Basis!$E$3,1)</f>
        <v>8.6</v>
      </c>
      <c r="H2783" s="120">
        <f>ROUND($P2783*Basis!$E$2*((TaH-TrH)/LN(1/µ)/Basis!$E$7)^$N2783*$AA$4*Glycol,0)</f>
        <v>19540</v>
      </c>
      <c r="I2783" s="83">
        <f>ROUND(H2783/(MID($C2783,9,3)/Basis!$E$3/Basis!$E$9)*Basis!$E$11,0)</f>
        <v>1985</v>
      </c>
      <c r="J2783" s="123">
        <f>IF(Basis!$E$1=1,ROUND(H2783/((TaH-TrH)*1.163)/3600,3),ROUND(H2783/(500*(TaH-TrH)),2))</f>
        <v>1.95</v>
      </c>
      <c r="K2783" s="84"/>
      <c r="L2783" s="177">
        <f>CHOOSE(Basis!$E$1,((AJ2783*(J2783*3600/Basis!$E$5)^AK2783*(((MID(C2783,9,3)*10)-144)/1000)*AL2783+AM2783*(J2783*3600/Basis!$E$5)^2)*0.0098)/Basis!$E$10,((AJ2783*(J2783/Basis!$E$5)^AK2783*(((MID(C2783,9,3)*10)-144)/1000)*AL2783+AM2783*(J2783/Basis!$E$5)^2)*0.0098)/Basis!$E$10)</f>
        <v>0.32741074187890401</v>
      </c>
      <c r="M2783" s="85"/>
      <c r="N2783" s="109">
        <v>1.3260000000000001</v>
      </c>
      <c r="O2783" s="68"/>
      <c r="P2783" s="67">
        <v>8871</v>
      </c>
      <c r="Q2783" s="68"/>
      <c r="R2783" s="69"/>
      <c r="S2783" s="69"/>
      <c r="T2783" s="69"/>
      <c r="U2783" s="69"/>
      <c r="V2783" s="69"/>
      <c r="W2783" s="68"/>
      <c r="X2783" s="70"/>
      <c r="Y2783" s="70"/>
      <c r="Z2783" s="70"/>
      <c r="AA2783" s="70"/>
      <c r="AB2783" s="70"/>
      <c r="AC2783" s="68"/>
      <c r="AD2783" s="71"/>
      <c r="AE2783" s="71"/>
      <c r="AF2783" s="71"/>
      <c r="AG2783" s="71"/>
      <c r="AH2783" s="71"/>
      <c r="AI2783" s="68"/>
      <c r="AJ2783" s="214">
        <v>1.2760000000000001E-4</v>
      </c>
      <c r="AK2783" s="214">
        <v>1.7219</v>
      </c>
      <c r="AL2783" s="214">
        <v>2</v>
      </c>
      <c r="AM2783" s="214">
        <v>3.76611E-4</v>
      </c>
      <c r="AN2783" s="68"/>
      <c r="AO2783" s="67"/>
      <c r="AP2783" s="67"/>
      <c r="AQ2783" s="67"/>
      <c r="AR2783" s="67"/>
      <c r="AS2783" s="67"/>
      <c r="AT2783" s="68"/>
      <c r="AU2783" s="49"/>
      <c r="AV2783" s="50"/>
    </row>
    <row r="2784" spans="1:48" ht="12.75" customHeight="1" x14ac:dyDescent="0.25">
      <c r="A2784" s="72" t="s">
        <v>20</v>
      </c>
      <c r="B2784" s="43" t="s">
        <v>2240</v>
      </c>
      <c r="C2784" s="44" t="s">
        <v>2942</v>
      </c>
      <c r="D2784" s="45">
        <f>MROUND(MID($C2784,6,3)/Basis!$E$3,0.5)</f>
        <v>35.5</v>
      </c>
      <c r="E2784" s="45">
        <f>MROUND(MID($C2784,9,3)/Basis!$E$3,0.5)</f>
        <v>118</v>
      </c>
      <c r="F2784" s="124" t="s">
        <v>2948</v>
      </c>
      <c r="G2784" s="45">
        <f>ROUND((ROUNDDOWN($F2784/5,0)*5+1.8)/Basis!$E$3,1)</f>
        <v>8.6</v>
      </c>
      <c r="H2784" s="120">
        <f>ROUND($P2784*Basis!$E$2*((TaH-TrH)/LN(1/µ)/Basis!$E$7)^$N2784*$AA$4*Glycol,0)</f>
        <v>23383</v>
      </c>
      <c r="I2784" s="83">
        <f>ROUND(H2784/(MID($C2784,9,3)/Basis!$E$3/Basis!$E$9)*Basis!$E$11,0)</f>
        <v>2376</v>
      </c>
      <c r="J2784" s="123">
        <f>IF(Basis!$E$1=1,ROUND(H2784/((TaH-TrH)*1.163)/3600,3),ROUND(H2784/(500*(TaH-TrH)),2))</f>
        <v>2.34</v>
      </c>
      <c r="K2784" s="84"/>
      <c r="L2784" s="177">
        <f>CHOOSE(Basis!$E$1,((AJ2784*(J2784*3600/Basis!$E$5)^AK2784*(((MID(C2784,9,3)*10)-144)/1000)*AL2784+AM2784*(J2784*3600/Basis!$E$5)^2)*0.0098)/Basis!$E$10,((AJ2784*(J2784/Basis!$E$5)^AK2784*(((MID(C2784,9,3)*10)-144)/1000)*AL2784+AM2784*(J2784/Basis!$E$5)^2)*0.0098)/Basis!$E$10)</f>
        <v>0.70996445823537435</v>
      </c>
      <c r="M2784" s="85"/>
      <c r="N2784" s="110">
        <v>1.518</v>
      </c>
      <c r="O2784" s="74"/>
      <c r="P2784" s="73">
        <v>11310</v>
      </c>
      <c r="Q2784" s="74"/>
      <c r="R2784" s="75"/>
      <c r="S2784" s="75"/>
      <c r="T2784" s="75"/>
      <c r="U2784" s="75"/>
      <c r="V2784" s="75"/>
      <c r="W2784" s="74"/>
      <c r="X2784" s="76"/>
      <c r="Y2784" s="76"/>
      <c r="Z2784" s="76"/>
      <c r="AA2784" s="76"/>
      <c r="AB2784" s="76"/>
      <c r="AC2784" s="74"/>
      <c r="AD2784" s="77"/>
      <c r="AE2784" s="77"/>
      <c r="AF2784" s="77"/>
      <c r="AG2784" s="77"/>
      <c r="AH2784" s="77"/>
      <c r="AI2784" s="68"/>
      <c r="AJ2784" s="213">
        <v>1.2760000000000001E-4</v>
      </c>
      <c r="AK2784" s="213">
        <v>1.7219</v>
      </c>
      <c r="AL2784" s="213">
        <v>4</v>
      </c>
      <c r="AM2784" s="213">
        <v>5.1420100000000005E-4</v>
      </c>
      <c r="AN2784" s="74"/>
      <c r="AO2784" s="73"/>
      <c r="AP2784" s="73"/>
      <c r="AQ2784" s="73"/>
      <c r="AR2784" s="73"/>
      <c r="AS2784" s="73"/>
      <c r="AT2784" s="74"/>
      <c r="AU2784" s="47"/>
      <c r="AV2784" s="48"/>
    </row>
    <row r="2785" spans="36:39" ht="12.75" hidden="1" customHeight="1" x14ac:dyDescent="0.2">
      <c r="AJ2785" s="215"/>
      <c r="AK2785" s="215"/>
      <c r="AL2785" s="215"/>
      <c r="AM2785" s="215"/>
    </row>
    <row r="2786" spans="36:39" ht="12.75" hidden="1" customHeight="1" x14ac:dyDescent="0.2">
      <c r="AJ2786" s="215"/>
      <c r="AK2786" s="215"/>
      <c r="AL2786" s="215"/>
      <c r="AM2786" s="215"/>
    </row>
    <row r="2787" spans="36:39" ht="12.75" hidden="1" customHeight="1" x14ac:dyDescent="0.2">
      <c r="AJ2787" s="215"/>
      <c r="AK2787" s="215"/>
      <c r="AL2787" s="215"/>
      <c r="AM2787" s="215"/>
    </row>
    <row r="2788" spans="36:39" ht="12.75" hidden="1" customHeight="1" x14ac:dyDescent="0.2">
      <c r="AJ2788" s="215"/>
      <c r="AK2788" s="215"/>
      <c r="AL2788" s="215"/>
      <c r="AM2788" s="215"/>
    </row>
    <row r="2789" spans="36:39" ht="12.75" hidden="1" customHeight="1" x14ac:dyDescent="0.2">
      <c r="AJ2789" s="215"/>
      <c r="AK2789" s="215"/>
      <c r="AL2789" s="215"/>
      <c r="AM2789" s="215"/>
    </row>
    <row r="2790" spans="36:39" ht="12.75" hidden="1" customHeight="1" x14ac:dyDescent="0.2">
      <c r="AJ2790" s="215"/>
      <c r="AK2790" s="215"/>
      <c r="AL2790" s="215"/>
      <c r="AM2790" s="215"/>
    </row>
    <row r="2791" spans="36:39" ht="12.75" hidden="1" customHeight="1" x14ac:dyDescent="0.2">
      <c r="AJ2791" s="215"/>
      <c r="AK2791" s="215"/>
      <c r="AL2791" s="215"/>
      <c r="AM2791" s="215"/>
    </row>
    <row r="2792" spans="36:39" ht="12.75" hidden="1" customHeight="1" x14ac:dyDescent="0.2">
      <c r="AJ2792" s="215"/>
      <c r="AK2792" s="215"/>
      <c r="AL2792" s="215"/>
      <c r="AM2792" s="215"/>
    </row>
    <row r="2793" spans="36:39" ht="12.75" hidden="1" customHeight="1" x14ac:dyDescent="0.2">
      <c r="AJ2793" s="215"/>
      <c r="AK2793" s="215"/>
      <c r="AL2793" s="215"/>
      <c r="AM2793" s="215"/>
    </row>
    <row r="2794" spans="36:39" ht="12.75" hidden="1" customHeight="1" x14ac:dyDescent="0.2">
      <c r="AJ2794" s="215"/>
      <c r="AK2794" s="215"/>
      <c r="AL2794" s="215"/>
      <c r="AM2794" s="215"/>
    </row>
    <row r="2795" spans="36:39" ht="12.75" hidden="1" customHeight="1" x14ac:dyDescent="0.2">
      <c r="AJ2795" s="215"/>
      <c r="AK2795" s="215"/>
      <c r="AL2795" s="215"/>
      <c r="AM2795" s="215"/>
    </row>
    <row r="2796" spans="36:39" ht="12.75" hidden="1" customHeight="1" x14ac:dyDescent="0.2">
      <c r="AJ2796" s="215"/>
      <c r="AK2796" s="215"/>
      <c r="AL2796" s="215"/>
      <c r="AM2796" s="215"/>
    </row>
    <row r="2797" spans="36:39" ht="12.75" hidden="1" customHeight="1" x14ac:dyDescent="0.2">
      <c r="AJ2797" s="215"/>
      <c r="AK2797" s="215"/>
      <c r="AL2797" s="215"/>
      <c r="AM2797" s="215"/>
    </row>
    <row r="2798" spans="36:39" ht="12.75" hidden="1" customHeight="1" x14ac:dyDescent="0.2">
      <c r="AJ2798" s="215"/>
      <c r="AK2798" s="215"/>
      <c r="AL2798" s="215"/>
      <c r="AM2798" s="215"/>
    </row>
    <row r="2799" spans="36:39" ht="12.75" hidden="1" customHeight="1" x14ac:dyDescent="0.2">
      <c r="AJ2799" s="215"/>
      <c r="AK2799" s="215"/>
      <c r="AL2799" s="215"/>
      <c r="AM2799" s="215"/>
    </row>
    <row r="2800" spans="36:39" ht="12.75" hidden="1" customHeight="1" x14ac:dyDescent="0.2">
      <c r="AJ2800" s="215"/>
      <c r="AK2800" s="215"/>
      <c r="AL2800" s="215"/>
      <c r="AM2800" s="215"/>
    </row>
    <row r="2801" spans="36:39" ht="12.75" hidden="1" customHeight="1" x14ac:dyDescent="0.2">
      <c r="AJ2801" s="215"/>
      <c r="AK2801" s="215"/>
      <c r="AL2801" s="215"/>
      <c r="AM2801" s="215"/>
    </row>
    <row r="2802" spans="36:39" ht="12.75" hidden="1" customHeight="1" x14ac:dyDescent="0.2">
      <c r="AJ2802" s="215"/>
      <c r="AK2802" s="215"/>
      <c r="AL2802" s="215"/>
      <c r="AM2802" s="215"/>
    </row>
    <row r="2803" spans="36:39" ht="12.75" hidden="1" customHeight="1" x14ac:dyDescent="0.2">
      <c r="AJ2803" s="215"/>
      <c r="AK2803" s="215"/>
      <c r="AL2803" s="215"/>
      <c r="AM2803" s="215"/>
    </row>
    <row r="2804" spans="36:39" ht="12.75" hidden="1" customHeight="1" x14ac:dyDescent="0.2">
      <c r="AJ2804" s="215"/>
      <c r="AK2804" s="215"/>
      <c r="AL2804" s="215"/>
      <c r="AM2804" s="215"/>
    </row>
    <row r="2805" spans="36:39" ht="12.75" hidden="1" customHeight="1" x14ac:dyDescent="0.2">
      <c r="AJ2805" s="215"/>
      <c r="AK2805" s="215"/>
      <c r="AL2805" s="215"/>
      <c r="AM2805" s="215"/>
    </row>
    <row r="2806" spans="36:39" ht="12.75" hidden="1" customHeight="1" x14ac:dyDescent="0.2">
      <c r="AJ2806" s="215"/>
      <c r="AK2806" s="215"/>
      <c r="AL2806" s="215"/>
      <c r="AM2806" s="215"/>
    </row>
    <row r="2807" spans="36:39" ht="12.75" hidden="1" customHeight="1" x14ac:dyDescent="0.2">
      <c r="AJ2807" s="215"/>
      <c r="AK2807" s="215"/>
      <c r="AL2807" s="215"/>
      <c r="AM2807" s="215"/>
    </row>
    <row r="2808" spans="36:39" ht="12.75" hidden="1" customHeight="1" x14ac:dyDescent="0.2">
      <c r="AJ2808" s="215"/>
      <c r="AK2808" s="215"/>
      <c r="AL2808" s="215"/>
      <c r="AM2808" s="215"/>
    </row>
    <row r="2809" spans="36:39" ht="12.75" hidden="1" customHeight="1" x14ac:dyDescent="0.2">
      <c r="AJ2809" s="215"/>
      <c r="AK2809" s="215"/>
      <c r="AL2809" s="215"/>
      <c r="AM2809" s="215"/>
    </row>
    <row r="2810" spans="36:39" ht="12.75" hidden="1" customHeight="1" x14ac:dyDescent="0.2">
      <c r="AJ2810" s="215"/>
      <c r="AK2810" s="215"/>
      <c r="AL2810" s="215"/>
      <c r="AM2810" s="215"/>
    </row>
    <row r="2811" spans="36:39" ht="12.75" hidden="1" customHeight="1" x14ac:dyDescent="0.2">
      <c r="AJ2811" s="215"/>
      <c r="AK2811" s="215"/>
      <c r="AL2811" s="215"/>
      <c r="AM2811" s="215"/>
    </row>
    <row r="2812" spans="36:39" ht="12.75" hidden="1" customHeight="1" x14ac:dyDescent="0.2">
      <c r="AJ2812" s="215"/>
      <c r="AK2812" s="215"/>
      <c r="AL2812" s="215"/>
      <c r="AM2812" s="215"/>
    </row>
    <row r="2813" spans="36:39" ht="12.75" hidden="1" customHeight="1" x14ac:dyDescent="0.2">
      <c r="AJ2813" s="215"/>
      <c r="AK2813" s="215"/>
      <c r="AL2813" s="215"/>
      <c r="AM2813" s="215"/>
    </row>
    <row r="2814" spans="36:39" ht="12.75" hidden="1" customHeight="1" x14ac:dyDescent="0.2">
      <c r="AJ2814" s="215"/>
      <c r="AK2814" s="215"/>
      <c r="AL2814" s="215"/>
      <c r="AM2814" s="215"/>
    </row>
    <row r="2815" spans="36:39" ht="12.75" hidden="1" customHeight="1" x14ac:dyDescent="0.2">
      <c r="AJ2815" s="215"/>
      <c r="AK2815" s="215"/>
      <c r="AL2815" s="215"/>
      <c r="AM2815" s="215"/>
    </row>
    <row r="2816" spans="36:39" ht="12.75" hidden="1" customHeight="1" x14ac:dyDescent="0.2">
      <c r="AJ2816" s="215"/>
      <c r="AK2816" s="215"/>
      <c r="AL2816" s="215"/>
      <c r="AM2816" s="215"/>
    </row>
    <row r="2817" spans="36:39" ht="12.75" hidden="1" customHeight="1" x14ac:dyDescent="0.2">
      <c r="AJ2817" s="215"/>
      <c r="AK2817" s="215"/>
      <c r="AL2817" s="215"/>
      <c r="AM2817" s="215"/>
    </row>
    <row r="2818" spans="36:39" ht="12.75" hidden="1" customHeight="1" x14ac:dyDescent="0.2">
      <c r="AJ2818" s="215"/>
      <c r="AK2818" s="215"/>
      <c r="AL2818" s="215"/>
      <c r="AM2818" s="215"/>
    </row>
    <row r="2819" spans="36:39" ht="12.75" hidden="1" customHeight="1" x14ac:dyDescent="0.2">
      <c r="AJ2819" s="215"/>
      <c r="AK2819" s="215"/>
      <c r="AL2819" s="215"/>
      <c r="AM2819" s="215"/>
    </row>
    <row r="2820" spans="36:39" ht="12.75" hidden="1" customHeight="1" x14ac:dyDescent="0.2">
      <c r="AJ2820" s="215"/>
      <c r="AK2820" s="215"/>
      <c r="AL2820" s="215"/>
      <c r="AM2820" s="215"/>
    </row>
    <row r="2821" spans="36:39" ht="12.75" hidden="1" customHeight="1" x14ac:dyDescent="0.2">
      <c r="AJ2821" s="215"/>
      <c r="AK2821" s="215"/>
      <c r="AL2821" s="215"/>
      <c r="AM2821" s="215"/>
    </row>
    <row r="2822" spans="36:39" ht="12.75" hidden="1" customHeight="1" x14ac:dyDescent="0.2">
      <c r="AJ2822" s="215"/>
      <c r="AK2822" s="215"/>
      <c r="AL2822" s="215"/>
      <c r="AM2822" s="215"/>
    </row>
    <row r="2823" spans="36:39" ht="12.75" hidden="1" customHeight="1" x14ac:dyDescent="0.2">
      <c r="AJ2823" s="215"/>
      <c r="AK2823" s="215"/>
      <c r="AL2823" s="215"/>
      <c r="AM2823" s="215"/>
    </row>
    <row r="2824" spans="36:39" ht="12.75" hidden="1" customHeight="1" x14ac:dyDescent="0.2">
      <c r="AJ2824" s="215"/>
      <c r="AK2824" s="215"/>
      <c r="AL2824" s="215"/>
      <c r="AM2824" s="215"/>
    </row>
    <row r="2825" spans="36:39" ht="12.75" hidden="1" customHeight="1" x14ac:dyDescent="0.2">
      <c r="AJ2825" s="215"/>
      <c r="AK2825" s="215"/>
      <c r="AL2825" s="215"/>
      <c r="AM2825" s="215"/>
    </row>
    <row r="2826" spans="36:39" ht="12.75" hidden="1" customHeight="1" x14ac:dyDescent="0.2">
      <c r="AJ2826" s="215"/>
      <c r="AK2826" s="215"/>
      <c r="AL2826" s="215"/>
      <c r="AM2826" s="215"/>
    </row>
    <row r="2827" spans="36:39" ht="12.75" hidden="1" customHeight="1" x14ac:dyDescent="0.2">
      <c r="AJ2827" s="215"/>
      <c r="AK2827" s="215"/>
      <c r="AL2827" s="215"/>
      <c r="AM2827" s="215"/>
    </row>
    <row r="2828" spans="36:39" ht="12.75" hidden="1" customHeight="1" x14ac:dyDescent="0.2">
      <c r="AJ2828" s="215"/>
      <c r="AK2828" s="215"/>
      <c r="AL2828" s="215"/>
      <c r="AM2828" s="215"/>
    </row>
    <row r="2829" spans="36:39" ht="12.75" hidden="1" customHeight="1" x14ac:dyDescent="0.2">
      <c r="AJ2829" s="215"/>
      <c r="AK2829" s="215"/>
      <c r="AL2829" s="215"/>
      <c r="AM2829" s="215"/>
    </row>
    <row r="2830" spans="36:39" ht="12.75" hidden="1" customHeight="1" x14ac:dyDescent="0.2">
      <c r="AJ2830" s="215"/>
      <c r="AK2830" s="215"/>
      <c r="AL2830" s="215"/>
      <c r="AM2830" s="215"/>
    </row>
    <row r="2831" spans="36:39" ht="12.75" hidden="1" customHeight="1" x14ac:dyDescent="0.2">
      <c r="AJ2831" s="215"/>
      <c r="AK2831" s="215"/>
      <c r="AL2831" s="215"/>
      <c r="AM2831" s="215"/>
    </row>
    <row r="2832" spans="36:39" ht="12.75" hidden="1" customHeight="1" x14ac:dyDescent="0.2">
      <c r="AJ2832" s="215"/>
      <c r="AK2832" s="215"/>
      <c r="AL2832" s="215"/>
      <c r="AM2832" s="215"/>
    </row>
    <row r="2833" spans="36:39" ht="12.75" hidden="1" customHeight="1" x14ac:dyDescent="0.2">
      <c r="AJ2833" s="215"/>
      <c r="AK2833" s="215"/>
      <c r="AL2833" s="215"/>
      <c r="AM2833" s="215"/>
    </row>
    <row r="2834" spans="36:39" ht="12.75" hidden="1" customHeight="1" x14ac:dyDescent="0.2">
      <c r="AJ2834" s="215"/>
      <c r="AK2834" s="215"/>
      <c r="AL2834" s="215"/>
      <c r="AM2834" s="215"/>
    </row>
    <row r="2835" spans="36:39" ht="12.75" hidden="1" customHeight="1" x14ac:dyDescent="0.2">
      <c r="AJ2835" s="215"/>
      <c r="AK2835" s="215"/>
      <c r="AL2835" s="215"/>
      <c r="AM2835" s="215"/>
    </row>
    <row r="2836" spans="36:39" ht="12.75" hidden="1" customHeight="1" x14ac:dyDescent="0.2">
      <c r="AJ2836" s="215"/>
      <c r="AK2836" s="215"/>
      <c r="AL2836" s="215"/>
      <c r="AM2836" s="215"/>
    </row>
    <row r="2837" spans="36:39" ht="12.75" hidden="1" customHeight="1" x14ac:dyDescent="0.2">
      <c r="AJ2837" s="215"/>
      <c r="AK2837" s="215"/>
      <c r="AL2837" s="215"/>
      <c r="AM2837" s="215"/>
    </row>
    <row r="2838" spans="36:39" ht="12.75" hidden="1" customHeight="1" x14ac:dyDescent="0.2">
      <c r="AJ2838" s="215"/>
      <c r="AK2838" s="215"/>
      <c r="AL2838" s="215"/>
      <c r="AM2838" s="215"/>
    </row>
    <row r="2839" spans="36:39" ht="12.75" hidden="1" customHeight="1" x14ac:dyDescent="0.2">
      <c r="AJ2839" s="215"/>
      <c r="AK2839" s="215"/>
      <c r="AL2839" s="215"/>
      <c r="AM2839" s="215"/>
    </row>
    <row r="2840" spans="36:39" ht="12.75" hidden="1" customHeight="1" x14ac:dyDescent="0.2">
      <c r="AJ2840" s="215"/>
      <c r="AK2840" s="215"/>
      <c r="AL2840" s="215"/>
      <c r="AM2840" s="215"/>
    </row>
    <row r="2841" spans="36:39" ht="12.75" hidden="1" customHeight="1" x14ac:dyDescent="0.2">
      <c r="AJ2841" s="215"/>
      <c r="AK2841" s="215"/>
      <c r="AL2841" s="215"/>
      <c r="AM2841" s="215"/>
    </row>
    <row r="2842" spans="36:39" ht="12.75" hidden="1" customHeight="1" x14ac:dyDescent="0.2">
      <c r="AJ2842" s="215"/>
      <c r="AK2842" s="215"/>
      <c r="AL2842" s="215"/>
      <c r="AM2842" s="215"/>
    </row>
    <row r="2843" spans="36:39" ht="12.75" hidden="1" customHeight="1" x14ac:dyDescent="0.2">
      <c r="AJ2843" s="215"/>
      <c r="AK2843" s="215"/>
      <c r="AL2843" s="215"/>
      <c r="AM2843" s="215"/>
    </row>
    <row r="2844" spans="36:39" ht="12.75" hidden="1" customHeight="1" x14ac:dyDescent="0.2">
      <c r="AJ2844" s="215"/>
      <c r="AK2844" s="215"/>
      <c r="AL2844" s="215"/>
      <c r="AM2844" s="215"/>
    </row>
    <row r="2845" spans="36:39" ht="12.75" hidden="1" customHeight="1" x14ac:dyDescent="0.2">
      <c r="AJ2845" s="215"/>
      <c r="AK2845" s="215"/>
      <c r="AL2845" s="215"/>
      <c r="AM2845" s="215"/>
    </row>
    <row r="2846" spans="36:39" ht="12.75" hidden="1" customHeight="1" x14ac:dyDescent="0.2">
      <c r="AJ2846" s="215"/>
      <c r="AK2846" s="215"/>
      <c r="AL2846" s="215"/>
      <c r="AM2846" s="215"/>
    </row>
    <row r="2847" spans="36:39" ht="12.75" hidden="1" customHeight="1" x14ac:dyDescent="0.2">
      <c r="AJ2847" s="215"/>
      <c r="AK2847" s="215"/>
      <c r="AL2847" s="215"/>
      <c r="AM2847" s="215"/>
    </row>
    <row r="2848" spans="36:39" ht="12.75" hidden="1" customHeight="1" x14ac:dyDescent="0.2">
      <c r="AJ2848" s="215"/>
      <c r="AK2848" s="215"/>
      <c r="AL2848" s="215"/>
      <c r="AM2848" s="215"/>
    </row>
    <row r="2849" spans="36:39" ht="12.75" hidden="1" customHeight="1" x14ac:dyDescent="0.2">
      <c r="AJ2849" s="215"/>
      <c r="AK2849" s="215"/>
      <c r="AL2849" s="215"/>
      <c r="AM2849" s="215"/>
    </row>
    <row r="2850" spans="36:39" ht="12.75" hidden="1" customHeight="1" x14ac:dyDescent="0.2">
      <c r="AJ2850" s="215"/>
      <c r="AK2850" s="215"/>
      <c r="AL2850" s="215"/>
      <c r="AM2850" s="215"/>
    </row>
    <row r="2851" spans="36:39" ht="12.75" hidden="1" customHeight="1" x14ac:dyDescent="0.2">
      <c r="AJ2851" s="215"/>
      <c r="AK2851" s="215"/>
      <c r="AL2851" s="215"/>
      <c r="AM2851" s="215"/>
    </row>
    <row r="2852" spans="36:39" ht="12.75" hidden="1" customHeight="1" x14ac:dyDescent="0.2">
      <c r="AJ2852" s="215"/>
      <c r="AK2852" s="215"/>
      <c r="AL2852" s="215"/>
      <c r="AM2852" s="215"/>
    </row>
    <row r="2853" spans="36:39" ht="12.75" hidden="1" customHeight="1" x14ac:dyDescent="0.2">
      <c r="AJ2853" s="215"/>
      <c r="AK2853" s="215"/>
      <c r="AL2853" s="215"/>
      <c r="AM2853" s="215"/>
    </row>
    <row r="2854" spans="36:39" ht="12.75" hidden="1" customHeight="1" x14ac:dyDescent="0.2">
      <c r="AJ2854" s="215"/>
      <c r="AK2854" s="215"/>
      <c r="AL2854" s="215"/>
      <c r="AM2854" s="215"/>
    </row>
    <row r="2855" spans="36:39" ht="12.75" hidden="1" customHeight="1" x14ac:dyDescent="0.2">
      <c r="AJ2855" s="215"/>
      <c r="AK2855" s="215"/>
      <c r="AL2855" s="215"/>
      <c r="AM2855" s="215"/>
    </row>
    <row r="2856" spans="36:39" ht="12.75" hidden="1" customHeight="1" x14ac:dyDescent="0.2">
      <c r="AJ2856" s="215"/>
      <c r="AK2856" s="215"/>
      <c r="AL2856" s="215"/>
      <c r="AM2856" s="215"/>
    </row>
    <row r="2857" spans="36:39" ht="12.75" hidden="1" customHeight="1" x14ac:dyDescent="0.2">
      <c r="AJ2857" s="215"/>
      <c r="AK2857" s="215"/>
      <c r="AL2857" s="215"/>
      <c r="AM2857" s="215"/>
    </row>
    <row r="2858" spans="36:39" ht="12.75" hidden="1" customHeight="1" x14ac:dyDescent="0.2">
      <c r="AJ2858" s="215"/>
      <c r="AK2858" s="215"/>
      <c r="AL2858" s="215"/>
      <c r="AM2858" s="215"/>
    </row>
    <row r="2859" spans="36:39" ht="12.75" hidden="1" customHeight="1" x14ac:dyDescent="0.2">
      <c r="AJ2859" s="215"/>
      <c r="AK2859" s="215"/>
      <c r="AL2859" s="215"/>
      <c r="AM2859" s="215"/>
    </row>
    <row r="2860" spans="36:39" ht="12.75" hidden="1" customHeight="1" x14ac:dyDescent="0.2">
      <c r="AJ2860" s="215"/>
      <c r="AK2860" s="215"/>
      <c r="AL2860" s="215"/>
      <c r="AM2860" s="215"/>
    </row>
    <row r="2861" spans="36:39" ht="12.75" hidden="1" customHeight="1" x14ac:dyDescent="0.2">
      <c r="AJ2861" s="215"/>
      <c r="AK2861" s="215"/>
      <c r="AL2861" s="215"/>
      <c r="AM2861" s="215"/>
    </row>
    <row r="2862" spans="36:39" ht="12.75" hidden="1" customHeight="1" x14ac:dyDescent="0.2">
      <c r="AJ2862" s="215"/>
      <c r="AK2862" s="215"/>
      <c r="AL2862" s="215"/>
      <c r="AM2862" s="215"/>
    </row>
    <row r="2863" spans="36:39" ht="12.75" hidden="1" customHeight="1" x14ac:dyDescent="0.2">
      <c r="AJ2863" s="215"/>
      <c r="AK2863" s="215"/>
      <c r="AL2863" s="215"/>
      <c r="AM2863" s="215"/>
    </row>
    <row r="2864" spans="36:39" ht="12.75" hidden="1" customHeight="1" x14ac:dyDescent="0.2">
      <c r="AJ2864" s="215"/>
      <c r="AK2864" s="215"/>
      <c r="AL2864" s="215"/>
      <c r="AM2864" s="215"/>
    </row>
    <row r="2865" spans="36:39" ht="12.75" hidden="1" customHeight="1" x14ac:dyDescent="0.2">
      <c r="AJ2865" s="215"/>
      <c r="AK2865" s="215"/>
      <c r="AL2865" s="215"/>
      <c r="AM2865" s="215"/>
    </row>
    <row r="2866" spans="36:39" ht="12.75" hidden="1" customHeight="1" x14ac:dyDescent="0.2">
      <c r="AJ2866" s="215"/>
      <c r="AK2866" s="215"/>
      <c r="AL2866" s="215"/>
      <c r="AM2866" s="215"/>
    </row>
    <row r="2867" spans="36:39" ht="12.75" hidden="1" customHeight="1" x14ac:dyDescent="0.2">
      <c r="AJ2867" s="215"/>
      <c r="AK2867" s="215"/>
      <c r="AL2867" s="215"/>
      <c r="AM2867" s="215"/>
    </row>
    <row r="2868" spans="36:39" ht="12.75" hidden="1" customHeight="1" x14ac:dyDescent="0.2">
      <c r="AJ2868" s="215"/>
      <c r="AK2868" s="215"/>
      <c r="AL2868" s="215"/>
      <c r="AM2868" s="215"/>
    </row>
    <row r="2869" spans="36:39" ht="12.75" hidden="1" customHeight="1" x14ac:dyDescent="0.2">
      <c r="AJ2869" s="215"/>
      <c r="AK2869" s="215"/>
      <c r="AL2869" s="215"/>
      <c r="AM2869" s="215"/>
    </row>
    <row r="2870" spans="36:39" ht="12.75" hidden="1" customHeight="1" x14ac:dyDescent="0.2">
      <c r="AJ2870" s="215"/>
      <c r="AK2870" s="215"/>
      <c r="AL2870" s="215"/>
      <c r="AM2870" s="215"/>
    </row>
    <row r="2871" spans="36:39" ht="12.75" hidden="1" customHeight="1" x14ac:dyDescent="0.2">
      <c r="AJ2871" s="215"/>
      <c r="AK2871" s="215"/>
      <c r="AL2871" s="215"/>
      <c r="AM2871" s="215"/>
    </row>
    <row r="2872" spans="36:39" ht="12.75" hidden="1" customHeight="1" x14ac:dyDescent="0.2">
      <c r="AJ2872" s="215"/>
      <c r="AK2872" s="215"/>
      <c r="AL2872" s="215"/>
      <c r="AM2872" s="215"/>
    </row>
    <row r="2873" spans="36:39" ht="12.75" hidden="1" customHeight="1" x14ac:dyDescent="0.2">
      <c r="AJ2873" s="215"/>
      <c r="AK2873" s="215"/>
      <c r="AL2873" s="215"/>
      <c r="AM2873" s="215"/>
    </row>
    <row r="2874" spans="36:39" ht="12.75" hidden="1" customHeight="1" x14ac:dyDescent="0.2">
      <c r="AJ2874" s="215"/>
      <c r="AK2874" s="215"/>
      <c r="AL2874" s="215"/>
      <c r="AM2874" s="215"/>
    </row>
    <row r="2875" spans="36:39" ht="12.75" hidden="1" customHeight="1" x14ac:dyDescent="0.2">
      <c r="AJ2875" s="215"/>
      <c r="AK2875" s="215"/>
      <c r="AL2875" s="215"/>
      <c r="AM2875" s="215"/>
    </row>
    <row r="2876" spans="36:39" ht="12.75" hidden="1" customHeight="1" x14ac:dyDescent="0.2">
      <c r="AJ2876" s="215"/>
      <c r="AK2876" s="215"/>
      <c r="AL2876" s="215"/>
      <c r="AM2876" s="215"/>
    </row>
    <row r="2877" spans="36:39" ht="12.75" hidden="1" customHeight="1" x14ac:dyDescent="0.2">
      <c r="AJ2877" s="215"/>
      <c r="AK2877" s="215"/>
      <c r="AL2877" s="215"/>
      <c r="AM2877" s="215"/>
    </row>
    <row r="2878" spans="36:39" ht="12.75" hidden="1" customHeight="1" x14ac:dyDescent="0.2">
      <c r="AJ2878" s="215"/>
      <c r="AK2878" s="215"/>
      <c r="AL2878" s="215"/>
      <c r="AM2878" s="215"/>
    </row>
    <row r="2879" spans="36:39" ht="12.75" hidden="1" customHeight="1" x14ac:dyDescent="0.2">
      <c r="AJ2879" s="215"/>
      <c r="AK2879" s="215"/>
      <c r="AL2879" s="215"/>
      <c r="AM2879" s="215"/>
    </row>
    <row r="2880" spans="36:39" ht="12.75" hidden="1" customHeight="1" x14ac:dyDescent="0.2">
      <c r="AJ2880" s="215"/>
      <c r="AK2880" s="215"/>
      <c r="AL2880" s="215"/>
      <c r="AM2880" s="215"/>
    </row>
    <row r="2881" spans="36:39" ht="12.75" hidden="1" customHeight="1" x14ac:dyDescent="0.2">
      <c r="AJ2881" s="215"/>
      <c r="AK2881" s="215"/>
      <c r="AL2881" s="215"/>
      <c r="AM2881" s="215"/>
    </row>
    <row r="2882" spans="36:39" ht="12.75" hidden="1" customHeight="1" x14ac:dyDescent="0.2">
      <c r="AJ2882" s="215"/>
      <c r="AK2882" s="215"/>
      <c r="AL2882" s="215"/>
      <c r="AM2882" s="215"/>
    </row>
    <row r="2883" spans="36:39" ht="12.75" hidden="1" customHeight="1" x14ac:dyDescent="0.2">
      <c r="AJ2883" s="215"/>
      <c r="AK2883" s="215"/>
      <c r="AL2883" s="215"/>
      <c r="AM2883" s="215"/>
    </row>
    <row r="2884" spans="36:39" ht="12.75" hidden="1" customHeight="1" x14ac:dyDescent="0.2">
      <c r="AJ2884" s="215"/>
      <c r="AK2884" s="215"/>
      <c r="AL2884" s="215"/>
      <c r="AM2884" s="215"/>
    </row>
    <row r="2885" spans="36:39" ht="12.75" hidden="1" customHeight="1" x14ac:dyDescent="0.2">
      <c r="AJ2885" s="215"/>
      <c r="AK2885" s="215"/>
      <c r="AL2885" s="215"/>
      <c r="AM2885" s="215"/>
    </row>
    <row r="2886" spans="36:39" ht="12.75" hidden="1" customHeight="1" x14ac:dyDescent="0.2">
      <c r="AJ2886" s="215"/>
      <c r="AK2886" s="215"/>
      <c r="AL2886" s="215"/>
      <c r="AM2886" s="215"/>
    </row>
    <row r="2887" spans="36:39" ht="12.75" hidden="1" customHeight="1" x14ac:dyDescent="0.2">
      <c r="AJ2887" s="215"/>
      <c r="AK2887" s="215"/>
      <c r="AL2887" s="215"/>
      <c r="AM2887" s="215"/>
    </row>
    <row r="2888" spans="36:39" ht="12.75" hidden="1" customHeight="1" x14ac:dyDescent="0.2">
      <c r="AJ2888" s="215"/>
      <c r="AK2888" s="215"/>
      <c r="AL2888" s="215"/>
      <c r="AM2888" s="215"/>
    </row>
    <row r="2889" spans="36:39" ht="12.75" hidden="1" customHeight="1" x14ac:dyDescent="0.2">
      <c r="AJ2889" s="215"/>
      <c r="AK2889" s="215"/>
      <c r="AL2889" s="215"/>
      <c r="AM2889" s="215"/>
    </row>
    <row r="2890" spans="36:39" ht="12.75" hidden="1" customHeight="1" x14ac:dyDescent="0.2">
      <c r="AJ2890" s="215"/>
      <c r="AK2890" s="215"/>
      <c r="AL2890" s="215"/>
      <c r="AM2890" s="215"/>
    </row>
    <row r="2891" spans="36:39" ht="12.75" hidden="1" customHeight="1" x14ac:dyDescent="0.2">
      <c r="AJ2891" s="215"/>
      <c r="AK2891" s="215"/>
      <c r="AL2891" s="215"/>
      <c r="AM2891" s="215"/>
    </row>
    <row r="2892" spans="36:39" ht="12.75" hidden="1" customHeight="1" x14ac:dyDescent="0.2">
      <c r="AJ2892" s="215"/>
      <c r="AK2892" s="215"/>
      <c r="AL2892" s="215"/>
      <c r="AM2892" s="215"/>
    </row>
    <row r="2893" spans="36:39" ht="12.75" hidden="1" customHeight="1" x14ac:dyDescent="0.2">
      <c r="AJ2893" s="215"/>
      <c r="AK2893" s="215"/>
      <c r="AL2893" s="215"/>
      <c r="AM2893" s="215"/>
    </row>
    <row r="2894" spans="36:39" ht="12.75" hidden="1" customHeight="1" x14ac:dyDescent="0.2">
      <c r="AJ2894" s="215"/>
      <c r="AK2894" s="215"/>
      <c r="AL2894" s="215"/>
      <c r="AM2894" s="215"/>
    </row>
    <row r="2895" spans="36:39" ht="12.75" hidden="1" customHeight="1" x14ac:dyDescent="0.2">
      <c r="AJ2895" s="215"/>
      <c r="AK2895" s="215"/>
      <c r="AL2895" s="215"/>
      <c r="AM2895" s="215"/>
    </row>
    <row r="2896" spans="36:39" ht="12.75" hidden="1" customHeight="1" x14ac:dyDescent="0.2">
      <c r="AJ2896" s="215"/>
      <c r="AK2896" s="215"/>
      <c r="AL2896" s="215"/>
      <c r="AM2896" s="215"/>
    </row>
    <row r="2897" spans="36:39" ht="12.75" hidden="1" customHeight="1" x14ac:dyDescent="0.2">
      <c r="AJ2897" s="215"/>
      <c r="AK2897" s="215"/>
      <c r="AL2897" s="215"/>
      <c r="AM2897" s="215"/>
    </row>
    <row r="2898" spans="36:39" ht="12.75" hidden="1" customHeight="1" x14ac:dyDescent="0.2">
      <c r="AJ2898" s="215"/>
      <c r="AK2898" s="215"/>
      <c r="AL2898" s="215"/>
      <c r="AM2898" s="215"/>
    </row>
    <row r="2899" spans="36:39" ht="12.75" hidden="1" customHeight="1" x14ac:dyDescent="0.2">
      <c r="AJ2899" s="215"/>
      <c r="AK2899" s="215"/>
      <c r="AL2899" s="215"/>
      <c r="AM2899" s="215"/>
    </row>
    <row r="2900" spans="36:39" ht="12.75" hidden="1" customHeight="1" x14ac:dyDescent="0.2">
      <c r="AJ2900" s="215"/>
      <c r="AK2900" s="215"/>
      <c r="AL2900" s="215"/>
      <c r="AM2900" s="215"/>
    </row>
    <row r="2901" spans="36:39" ht="12.75" hidden="1" customHeight="1" x14ac:dyDescent="0.2">
      <c r="AJ2901" s="215"/>
      <c r="AK2901" s="215"/>
      <c r="AL2901" s="215"/>
      <c r="AM2901" s="215"/>
    </row>
    <row r="2902" spans="36:39" ht="12.75" hidden="1" customHeight="1" x14ac:dyDescent="0.2">
      <c r="AJ2902" s="215"/>
      <c r="AK2902" s="215"/>
      <c r="AL2902" s="215"/>
      <c r="AM2902" s="215"/>
    </row>
    <row r="2903" spans="36:39" ht="12.75" hidden="1" customHeight="1" x14ac:dyDescent="0.2">
      <c r="AJ2903" s="215"/>
      <c r="AK2903" s="215"/>
      <c r="AL2903" s="215"/>
      <c r="AM2903" s="215"/>
    </row>
    <row r="2904" spans="36:39" ht="12.75" hidden="1" customHeight="1" x14ac:dyDescent="0.2">
      <c r="AJ2904" s="215"/>
      <c r="AK2904" s="215"/>
      <c r="AL2904" s="215"/>
      <c r="AM2904" s="215"/>
    </row>
    <row r="2905" spans="36:39" ht="12.75" hidden="1" customHeight="1" x14ac:dyDescent="0.2">
      <c r="AJ2905" s="215"/>
      <c r="AK2905" s="215"/>
      <c r="AL2905" s="215"/>
      <c r="AM2905" s="215"/>
    </row>
    <row r="2906" spans="36:39" ht="12.75" hidden="1" customHeight="1" x14ac:dyDescent="0.2">
      <c r="AJ2906" s="215"/>
      <c r="AK2906" s="215"/>
      <c r="AL2906" s="215"/>
      <c r="AM2906" s="215"/>
    </row>
    <row r="2907" spans="36:39" ht="12.75" hidden="1" customHeight="1" x14ac:dyDescent="0.2">
      <c r="AJ2907" s="215"/>
      <c r="AK2907" s="215"/>
      <c r="AL2907" s="215"/>
      <c r="AM2907" s="215"/>
    </row>
    <row r="2908" spans="36:39" ht="12.75" hidden="1" customHeight="1" x14ac:dyDescent="0.2">
      <c r="AJ2908" s="215"/>
      <c r="AK2908" s="215"/>
      <c r="AL2908" s="215"/>
      <c r="AM2908" s="215"/>
    </row>
    <row r="2909" spans="36:39" ht="12.75" hidden="1" customHeight="1" x14ac:dyDescent="0.2">
      <c r="AJ2909" s="215"/>
      <c r="AK2909" s="215"/>
      <c r="AL2909" s="215"/>
      <c r="AM2909" s="215"/>
    </row>
    <row r="2910" spans="36:39" ht="12.75" hidden="1" customHeight="1" x14ac:dyDescent="0.2">
      <c r="AJ2910" s="215"/>
      <c r="AK2910" s="215"/>
      <c r="AL2910" s="215"/>
      <c r="AM2910" s="215"/>
    </row>
    <row r="2911" spans="36:39" ht="12.75" hidden="1" customHeight="1" x14ac:dyDescent="0.2">
      <c r="AJ2911" s="215"/>
      <c r="AK2911" s="215"/>
      <c r="AL2911" s="215"/>
      <c r="AM2911" s="215"/>
    </row>
    <row r="2912" spans="36:39" ht="12.75" hidden="1" customHeight="1" x14ac:dyDescent="0.2">
      <c r="AJ2912" s="215"/>
      <c r="AK2912" s="215"/>
      <c r="AL2912" s="215"/>
      <c r="AM2912" s="215"/>
    </row>
    <row r="2913" spans="36:39" ht="12.75" hidden="1" customHeight="1" x14ac:dyDescent="0.2">
      <c r="AJ2913" s="215"/>
      <c r="AK2913" s="215"/>
      <c r="AL2913" s="215"/>
      <c r="AM2913" s="215"/>
    </row>
    <row r="2914" spans="36:39" ht="12.75" hidden="1" customHeight="1" x14ac:dyDescent="0.2">
      <c r="AJ2914" s="215"/>
      <c r="AK2914" s="215"/>
      <c r="AL2914" s="215"/>
      <c r="AM2914" s="215"/>
    </row>
    <row r="2915" spans="36:39" ht="12.75" hidden="1" customHeight="1" x14ac:dyDescent="0.2">
      <c r="AJ2915" s="215"/>
      <c r="AK2915" s="215"/>
      <c r="AL2915" s="215"/>
      <c r="AM2915" s="215"/>
    </row>
    <row r="2916" spans="36:39" ht="12.75" hidden="1" customHeight="1" x14ac:dyDescent="0.2">
      <c r="AJ2916" s="215"/>
      <c r="AK2916" s="215"/>
      <c r="AL2916" s="215"/>
      <c r="AM2916" s="215"/>
    </row>
    <row r="2917" spans="36:39" ht="12.75" hidden="1" customHeight="1" x14ac:dyDescent="0.2">
      <c r="AJ2917" s="215"/>
      <c r="AK2917" s="215"/>
      <c r="AL2917" s="215"/>
      <c r="AM2917" s="215"/>
    </row>
    <row r="2918" spans="36:39" ht="12.75" hidden="1" customHeight="1" x14ac:dyDescent="0.2">
      <c r="AJ2918" s="215"/>
      <c r="AK2918" s="215"/>
      <c r="AL2918" s="215"/>
      <c r="AM2918" s="215"/>
    </row>
    <row r="2919" spans="36:39" ht="12.75" hidden="1" customHeight="1" x14ac:dyDescent="0.2">
      <c r="AJ2919" s="215"/>
      <c r="AK2919" s="215"/>
      <c r="AL2919" s="215"/>
      <c r="AM2919" s="215"/>
    </row>
    <row r="2920" spans="36:39" ht="12.75" hidden="1" customHeight="1" x14ac:dyDescent="0.2">
      <c r="AJ2920" s="215"/>
      <c r="AK2920" s="215"/>
      <c r="AL2920" s="215"/>
      <c r="AM2920" s="215"/>
    </row>
    <row r="2921" spans="36:39" ht="12.75" hidden="1" customHeight="1" x14ac:dyDescent="0.2">
      <c r="AJ2921" s="215"/>
      <c r="AK2921" s="215"/>
      <c r="AL2921" s="215"/>
      <c r="AM2921" s="215"/>
    </row>
    <row r="2922" spans="36:39" ht="12.75" hidden="1" customHeight="1" x14ac:dyDescent="0.2">
      <c r="AJ2922" s="215"/>
      <c r="AK2922" s="215"/>
      <c r="AL2922" s="215"/>
      <c r="AM2922" s="215"/>
    </row>
    <row r="2923" spans="36:39" ht="12.75" hidden="1" customHeight="1" x14ac:dyDescent="0.2">
      <c r="AJ2923" s="215"/>
      <c r="AK2923" s="215"/>
      <c r="AL2923" s="215"/>
      <c r="AM2923" s="215"/>
    </row>
    <row r="2924" spans="36:39" ht="12.75" hidden="1" customHeight="1" x14ac:dyDescent="0.2">
      <c r="AJ2924" s="215"/>
      <c r="AK2924" s="215"/>
      <c r="AL2924" s="215"/>
      <c r="AM2924" s="215"/>
    </row>
    <row r="2925" spans="36:39" ht="12.75" hidden="1" customHeight="1" x14ac:dyDescent="0.2">
      <c r="AJ2925" s="215"/>
      <c r="AK2925" s="215"/>
      <c r="AL2925" s="215"/>
      <c r="AM2925" s="215"/>
    </row>
    <row r="2926" spans="36:39" ht="12.75" hidden="1" customHeight="1" x14ac:dyDescent="0.2">
      <c r="AJ2926" s="215"/>
      <c r="AK2926" s="215"/>
      <c r="AL2926" s="215"/>
      <c r="AM2926" s="215"/>
    </row>
    <row r="2927" spans="36:39" ht="12.75" hidden="1" customHeight="1" x14ac:dyDescent="0.2">
      <c r="AJ2927" s="215"/>
      <c r="AK2927" s="215"/>
      <c r="AL2927" s="215"/>
      <c r="AM2927" s="215"/>
    </row>
    <row r="2928" spans="36:39" ht="12.75" hidden="1" customHeight="1" x14ac:dyDescent="0.2">
      <c r="AJ2928" s="215"/>
      <c r="AK2928" s="215"/>
      <c r="AL2928" s="215"/>
      <c r="AM2928" s="215"/>
    </row>
    <row r="2929" spans="36:39" ht="12.75" hidden="1" customHeight="1" x14ac:dyDescent="0.2">
      <c r="AJ2929" s="215"/>
      <c r="AK2929" s="215"/>
      <c r="AL2929" s="215"/>
      <c r="AM2929" s="215"/>
    </row>
    <row r="2930" spans="36:39" ht="12.75" hidden="1" customHeight="1" x14ac:dyDescent="0.2">
      <c r="AJ2930" s="215"/>
      <c r="AK2930" s="215"/>
      <c r="AL2930" s="215"/>
      <c r="AM2930" s="215"/>
    </row>
    <row r="2931" spans="36:39" ht="12.75" hidden="1" customHeight="1" x14ac:dyDescent="0.2">
      <c r="AJ2931" s="215"/>
      <c r="AK2931" s="215"/>
      <c r="AL2931" s="215"/>
      <c r="AM2931" s="215"/>
    </row>
    <row r="2932" spans="36:39" ht="12.75" hidden="1" customHeight="1" x14ac:dyDescent="0.2">
      <c r="AJ2932" s="215"/>
      <c r="AK2932" s="215"/>
      <c r="AL2932" s="215"/>
      <c r="AM2932" s="215"/>
    </row>
    <row r="2933" spans="36:39" ht="12.75" hidden="1" customHeight="1" x14ac:dyDescent="0.2">
      <c r="AJ2933" s="215"/>
      <c r="AK2933" s="215"/>
      <c r="AL2933" s="215"/>
      <c r="AM2933" s="215"/>
    </row>
    <row r="2934" spans="36:39" ht="12.75" hidden="1" customHeight="1" x14ac:dyDescent="0.2">
      <c r="AJ2934" s="215"/>
      <c r="AK2934" s="215"/>
      <c r="AL2934" s="215"/>
      <c r="AM2934" s="215"/>
    </row>
    <row r="2935" spans="36:39" ht="12.75" hidden="1" customHeight="1" x14ac:dyDescent="0.2">
      <c r="AJ2935" s="215"/>
      <c r="AK2935" s="215"/>
      <c r="AL2935" s="215"/>
      <c r="AM2935" s="215"/>
    </row>
    <row r="2936" spans="36:39" ht="12.75" hidden="1" customHeight="1" x14ac:dyDescent="0.2">
      <c r="AJ2936" s="215"/>
      <c r="AK2936" s="215"/>
      <c r="AL2936" s="215"/>
      <c r="AM2936" s="215"/>
    </row>
    <row r="2937" spans="36:39" ht="12.75" hidden="1" customHeight="1" x14ac:dyDescent="0.2">
      <c r="AJ2937" s="215"/>
      <c r="AK2937" s="215"/>
      <c r="AL2937" s="215"/>
      <c r="AM2937" s="215"/>
    </row>
    <row r="2938" spans="36:39" ht="12.75" hidden="1" customHeight="1" x14ac:dyDescent="0.2">
      <c r="AJ2938" s="215"/>
      <c r="AK2938" s="215"/>
      <c r="AL2938" s="215"/>
      <c r="AM2938" s="215"/>
    </row>
    <row r="2939" spans="36:39" ht="12.75" hidden="1" customHeight="1" x14ac:dyDescent="0.2">
      <c r="AJ2939" s="215"/>
      <c r="AK2939" s="215"/>
      <c r="AL2939" s="215"/>
      <c r="AM2939" s="215"/>
    </row>
    <row r="2940" spans="36:39" ht="12.75" hidden="1" customHeight="1" x14ac:dyDescent="0.2">
      <c r="AJ2940" s="215"/>
      <c r="AK2940" s="215"/>
      <c r="AL2940" s="215"/>
      <c r="AM2940" s="215"/>
    </row>
    <row r="2941" spans="36:39" ht="12.75" hidden="1" customHeight="1" x14ac:dyDescent="0.2">
      <c r="AJ2941" s="215"/>
      <c r="AK2941" s="215"/>
      <c r="AL2941" s="215"/>
      <c r="AM2941" s="215"/>
    </row>
    <row r="2942" spans="36:39" ht="12.75" hidden="1" customHeight="1" x14ac:dyDescent="0.2">
      <c r="AJ2942" s="215"/>
      <c r="AK2942" s="215"/>
      <c r="AL2942" s="215"/>
      <c r="AM2942" s="215"/>
    </row>
    <row r="2943" spans="36:39" ht="12.75" hidden="1" customHeight="1" x14ac:dyDescent="0.2">
      <c r="AJ2943" s="215"/>
      <c r="AK2943" s="215"/>
      <c r="AL2943" s="215"/>
      <c r="AM2943" s="215"/>
    </row>
    <row r="2944" spans="36:39" ht="12.75" hidden="1" customHeight="1" x14ac:dyDescent="0.2">
      <c r="AJ2944" s="215"/>
      <c r="AK2944" s="215"/>
      <c r="AL2944" s="215"/>
      <c r="AM2944" s="215"/>
    </row>
    <row r="2945" spans="36:39" ht="12.75" hidden="1" customHeight="1" x14ac:dyDescent="0.2">
      <c r="AJ2945" s="215"/>
      <c r="AK2945" s="215"/>
      <c r="AL2945" s="215"/>
      <c r="AM2945" s="215"/>
    </row>
    <row r="2946" spans="36:39" ht="12.75" hidden="1" customHeight="1" x14ac:dyDescent="0.2">
      <c r="AJ2946" s="215"/>
      <c r="AK2946" s="215"/>
      <c r="AL2946" s="215"/>
      <c r="AM2946" s="215"/>
    </row>
    <row r="2947" spans="36:39" ht="12.75" hidden="1" customHeight="1" x14ac:dyDescent="0.2">
      <c r="AJ2947" s="215"/>
      <c r="AK2947" s="215"/>
      <c r="AL2947" s="215"/>
      <c r="AM2947" s="215"/>
    </row>
    <row r="2948" spans="36:39" ht="12.75" hidden="1" customHeight="1" x14ac:dyDescent="0.2">
      <c r="AJ2948" s="215"/>
      <c r="AK2948" s="215"/>
      <c r="AL2948" s="215"/>
      <c r="AM2948" s="215"/>
    </row>
    <row r="2949" spans="36:39" ht="12.75" hidden="1" customHeight="1" x14ac:dyDescent="0.2">
      <c r="AJ2949" s="215"/>
      <c r="AK2949" s="215"/>
      <c r="AL2949" s="215"/>
      <c r="AM2949" s="215"/>
    </row>
    <row r="2950" spans="36:39" ht="12.75" hidden="1" customHeight="1" x14ac:dyDescent="0.2">
      <c r="AJ2950" s="215"/>
      <c r="AK2950" s="215"/>
      <c r="AL2950" s="215"/>
      <c r="AM2950" s="215"/>
    </row>
    <row r="2951" spans="36:39" ht="12.75" hidden="1" customHeight="1" x14ac:dyDescent="0.2">
      <c r="AJ2951" s="215"/>
      <c r="AK2951" s="215"/>
      <c r="AL2951" s="215"/>
      <c r="AM2951" s="215"/>
    </row>
    <row r="2952" spans="36:39" ht="12.75" hidden="1" customHeight="1" x14ac:dyDescent="0.2">
      <c r="AJ2952" s="215"/>
      <c r="AK2952" s="215"/>
      <c r="AL2952" s="215"/>
      <c r="AM2952" s="215"/>
    </row>
    <row r="2953" spans="36:39" ht="12.75" hidden="1" customHeight="1" x14ac:dyDescent="0.2">
      <c r="AJ2953" s="215"/>
      <c r="AK2953" s="215"/>
      <c r="AL2953" s="215"/>
      <c r="AM2953" s="215"/>
    </row>
    <row r="2954" spans="36:39" ht="12.75" hidden="1" customHeight="1" x14ac:dyDescent="0.2">
      <c r="AJ2954" s="215"/>
      <c r="AK2954" s="215"/>
      <c r="AL2954" s="215"/>
      <c r="AM2954" s="215"/>
    </row>
    <row r="2955" spans="36:39" ht="12.75" hidden="1" customHeight="1" x14ac:dyDescent="0.2">
      <c r="AJ2955" s="215"/>
      <c r="AK2955" s="215"/>
      <c r="AL2955" s="215"/>
      <c r="AM2955" s="215"/>
    </row>
    <row r="2956" spans="36:39" ht="12.75" hidden="1" customHeight="1" x14ac:dyDescent="0.2">
      <c r="AJ2956" s="215"/>
      <c r="AK2956" s="215"/>
      <c r="AL2956" s="215"/>
      <c r="AM2956" s="215"/>
    </row>
    <row r="2957" spans="36:39" ht="12.75" hidden="1" customHeight="1" x14ac:dyDescent="0.2">
      <c r="AJ2957" s="215"/>
      <c r="AK2957" s="215"/>
      <c r="AL2957" s="215"/>
      <c r="AM2957" s="215"/>
    </row>
    <row r="2958" spans="36:39" ht="12.75" hidden="1" customHeight="1" x14ac:dyDescent="0.2">
      <c r="AJ2958" s="215"/>
      <c r="AK2958" s="215"/>
      <c r="AL2958" s="215"/>
      <c r="AM2958" s="215"/>
    </row>
    <row r="2959" spans="36:39" ht="12.75" hidden="1" customHeight="1" x14ac:dyDescent="0.2">
      <c r="AJ2959" s="215"/>
      <c r="AK2959" s="215"/>
      <c r="AL2959" s="215"/>
      <c r="AM2959" s="215"/>
    </row>
    <row r="2960" spans="36:39" ht="12.75" hidden="1" customHeight="1" x14ac:dyDescent="0.2">
      <c r="AJ2960" s="215"/>
      <c r="AK2960" s="215"/>
      <c r="AL2960" s="215"/>
      <c r="AM2960" s="215"/>
    </row>
    <row r="2961" spans="36:39" ht="12.75" hidden="1" customHeight="1" x14ac:dyDescent="0.2">
      <c r="AJ2961" s="215"/>
      <c r="AK2961" s="215"/>
      <c r="AL2961" s="215"/>
      <c r="AM2961" s="215"/>
    </row>
    <row r="2962" spans="36:39" ht="12.75" hidden="1" customHeight="1" x14ac:dyDescent="0.2">
      <c r="AJ2962" s="215"/>
      <c r="AK2962" s="215"/>
      <c r="AL2962" s="215"/>
      <c r="AM2962" s="215"/>
    </row>
    <row r="2963" spans="36:39" ht="12.75" hidden="1" customHeight="1" x14ac:dyDescent="0.2">
      <c r="AJ2963" s="215"/>
      <c r="AK2963" s="215"/>
      <c r="AL2963" s="215"/>
      <c r="AM2963" s="215"/>
    </row>
    <row r="2964" spans="36:39" ht="12.75" hidden="1" customHeight="1" x14ac:dyDescent="0.2">
      <c r="AJ2964" s="215"/>
      <c r="AK2964" s="215"/>
      <c r="AL2964" s="215"/>
      <c r="AM2964" s="215"/>
    </row>
    <row r="2965" spans="36:39" ht="12.75" hidden="1" customHeight="1" x14ac:dyDescent="0.2">
      <c r="AJ2965" s="215"/>
      <c r="AK2965" s="215"/>
      <c r="AL2965" s="215"/>
      <c r="AM2965" s="215"/>
    </row>
    <row r="2966" spans="36:39" ht="12.75" hidden="1" customHeight="1" x14ac:dyDescent="0.2">
      <c r="AJ2966" s="215"/>
      <c r="AK2966" s="215"/>
      <c r="AL2966" s="215"/>
      <c r="AM2966" s="215"/>
    </row>
    <row r="2967" spans="36:39" ht="12.75" hidden="1" customHeight="1" x14ac:dyDescent="0.2">
      <c r="AJ2967" s="215"/>
      <c r="AK2967" s="215"/>
      <c r="AL2967" s="215"/>
      <c r="AM2967" s="215"/>
    </row>
    <row r="2968" spans="36:39" ht="12.75" hidden="1" customHeight="1" x14ac:dyDescent="0.2">
      <c r="AJ2968" s="215"/>
      <c r="AK2968" s="215"/>
      <c r="AL2968" s="215"/>
      <c r="AM2968" s="215"/>
    </row>
    <row r="2969" spans="36:39" ht="12.75" hidden="1" customHeight="1" x14ac:dyDescent="0.2">
      <c r="AJ2969" s="215"/>
      <c r="AK2969" s="215"/>
      <c r="AL2969" s="215"/>
      <c r="AM2969" s="215"/>
    </row>
    <row r="2970" spans="36:39" ht="12.75" hidden="1" customHeight="1" x14ac:dyDescent="0.2">
      <c r="AJ2970" s="215"/>
      <c r="AK2970" s="215"/>
      <c r="AL2970" s="215"/>
      <c r="AM2970" s="215"/>
    </row>
    <row r="2971" spans="36:39" ht="12.75" hidden="1" customHeight="1" x14ac:dyDescent="0.2">
      <c r="AJ2971" s="215"/>
      <c r="AK2971" s="215"/>
      <c r="AL2971" s="215"/>
      <c r="AM2971" s="215"/>
    </row>
    <row r="2972" spans="36:39" ht="12.75" hidden="1" customHeight="1" x14ac:dyDescent="0.2">
      <c r="AJ2972" s="215"/>
      <c r="AK2972" s="215"/>
      <c r="AL2972" s="215"/>
      <c r="AM2972" s="215"/>
    </row>
    <row r="2973" spans="36:39" ht="12.75" hidden="1" customHeight="1" x14ac:dyDescent="0.2">
      <c r="AJ2973" s="215"/>
      <c r="AK2973" s="215"/>
      <c r="AL2973" s="215"/>
      <c r="AM2973" s="215"/>
    </row>
    <row r="2974" spans="36:39" ht="12.75" hidden="1" customHeight="1" x14ac:dyDescent="0.2">
      <c r="AJ2974" s="215"/>
      <c r="AK2974" s="215"/>
      <c r="AL2974" s="215"/>
      <c r="AM2974" s="215"/>
    </row>
    <row r="2975" spans="36:39" ht="12.75" hidden="1" customHeight="1" x14ac:dyDescent="0.2">
      <c r="AJ2975" s="215"/>
      <c r="AK2975" s="215"/>
      <c r="AL2975" s="215"/>
      <c r="AM2975" s="215"/>
    </row>
    <row r="2976" spans="36:39" ht="12.75" hidden="1" customHeight="1" x14ac:dyDescent="0.2">
      <c r="AJ2976" s="215"/>
      <c r="AK2976" s="215"/>
      <c r="AL2976" s="215"/>
      <c r="AM2976" s="215"/>
    </row>
    <row r="2977" spans="36:39" ht="12.75" hidden="1" customHeight="1" x14ac:dyDescent="0.2">
      <c r="AJ2977" s="215"/>
      <c r="AK2977" s="215"/>
      <c r="AL2977" s="215"/>
      <c r="AM2977" s="215"/>
    </row>
    <row r="2978" spans="36:39" ht="12.75" hidden="1" customHeight="1" x14ac:dyDescent="0.2">
      <c r="AJ2978" s="215"/>
      <c r="AK2978" s="215"/>
      <c r="AL2978" s="215"/>
      <c r="AM2978" s="215"/>
    </row>
    <row r="2979" spans="36:39" ht="12.75" hidden="1" customHeight="1" x14ac:dyDescent="0.2">
      <c r="AJ2979" s="215"/>
      <c r="AK2979" s="215"/>
      <c r="AL2979" s="215"/>
      <c r="AM2979" s="215"/>
    </row>
    <row r="2980" spans="36:39" ht="12.75" hidden="1" customHeight="1" x14ac:dyDescent="0.2">
      <c r="AJ2980" s="215"/>
      <c r="AK2980" s="215"/>
      <c r="AL2980" s="215"/>
      <c r="AM2980" s="215"/>
    </row>
    <row r="2981" spans="36:39" ht="12.75" hidden="1" customHeight="1" x14ac:dyDescent="0.2">
      <c r="AJ2981" s="215"/>
      <c r="AK2981" s="215"/>
      <c r="AL2981" s="215"/>
      <c r="AM2981" s="215"/>
    </row>
    <row r="2982" spans="36:39" ht="12.75" hidden="1" customHeight="1" x14ac:dyDescent="0.2">
      <c r="AJ2982" s="215"/>
      <c r="AK2982" s="215"/>
      <c r="AL2982" s="215"/>
      <c r="AM2982" s="215"/>
    </row>
    <row r="2983" spans="36:39" ht="12.75" hidden="1" customHeight="1" x14ac:dyDescent="0.2">
      <c r="AJ2983" s="215"/>
      <c r="AK2983" s="215"/>
      <c r="AL2983" s="215"/>
      <c r="AM2983" s="215"/>
    </row>
    <row r="2984" spans="36:39" ht="12.75" hidden="1" customHeight="1" x14ac:dyDescent="0.2">
      <c r="AJ2984" s="215"/>
      <c r="AK2984" s="215"/>
      <c r="AL2984" s="215"/>
      <c r="AM2984" s="215"/>
    </row>
    <row r="2985" spans="36:39" ht="12.75" hidden="1" customHeight="1" x14ac:dyDescent="0.2">
      <c r="AJ2985" s="215"/>
      <c r="AK2985" s="215"/>
      <c r="AL2985" s="215"/>
      <c r="AM2985" s="215"/>
    </row>
    <row r="2986" spans="36:39" ht="12.75" hidden="1" customHeight="1" x14ac:dyDescent="0.2">
      <c r="AJ2986" s="215"/>
      <c r="AK2986" s="215"/>
      <c r="AL2986" s="215"/>
      <c r="AM2986" s="215"/>
    </row>
    <row r="2987" spans="36:39" ht="12.75" hidden="1" customHeight="1" x14ac:dyDescent="0.2">
      <c r="AJ2987" s="215"/>
      <c r="AK2987" s="215"/>
      <c r="AL2987" s="215"/>
      <c r="AM2987" s="215"/>
    </row>
    <row r="2988" spans="36:39" ht="12.75" hidden="1" customHeight="1" x14ac:dyDescent="0.2">
      <c r="AJ2988" s="215"/>
      <c r="AK2988" s="215"/>
      <c r="AL2988" s="215"/>
      <c r="AM2988" s="215"/>
    </row>
    <row r="2989" spans="36:39" ht="12.75" hidden="1" customHeight="1" x14ac:dyDescent="0.2">
      <c r="AJ2989" s="215"/>
      <c r="AK2989" s="215"/>
      <c r="AL2989" s="215"/>
      <c r="AM2989" s="215"/>
    </row>
    <row r="2990" spans="36:39" ht="12.75" hidden="1" customHeight="1" x14ac:dyDescent="0.2">
      <c r="AJ2990" s="215"/>
      <c r="AK2990" s="215"/>
      <c r="AL2990" s="215"/>
      <c r="AM2990" s="215"/>
    </row>
    <row r="2991" spans="36:39" ht="12.75" hidden="1" customHeight="1" x14ac:dyDescent="0.2">
      <c r="AJ2991" s="215"/>
      <c r="AK2991" s="215"/>
      <c r="AL2991" s="215"/>
      <c r="AM2991" s="215"/>
    </row>
    <row r="2992" spans="36:39" ht="12.75" hidden="1" customHeight="1" x14ac:dyDescent="0.2">
      <c r="AJ2992" s="215"/>
      <c r="AK2992" s="215"/>
      <c r="AL2992" s="215"/>
      <c r="AM2992" s="215"/>
    </row>
    <row r="2993" spans="36:39" ht="12.75" hidden="1" customHeight="1" x14ac:dyDescent="0.2">
      <c r="AJ2993" s="215"/>
      <c r="AK2993" s="215"/>
      <c r="AL2993" s="215"/>
      <c r="AM2993" s="215"/>
    </row>
    <row r="2994" spans="36:39" ht="12.75" hidden="1" customHeight="1" x14ac:dyDescent="0.2">
      <c r="AJ2994" s="215"/>
      <c r="AK2994" s="215"/>
      <c r="AL2994" s="215"/>
      <c r="AM2994" s="215"/>
    </row>
    <row r="2995" spans="36:39" ht="12.75" hidden="1" customHeight="1" x14ac:dyDescent="0.2">
      <c r="AJ2995" s="215"/>
      <c r="AK2995" s="215"/>
      <c r="AL2995" s="215"/>
      <c r="AM2995" s="215"/>
    </row>
    <row r="2996" spans="36:39" ht="12.75" hidden="1" customHeight="1" x14ac:dyDescent="0.2">
      <c r="AJ2996" s="215"/>
      <c r="AK2996" s="215"/>
      <c r="AL2996" s="215"/>
      <c r="AM2996" s="215"/>
    </row>
    <row r="2997" spans="36:39" ht="12.75" hidden="1" customHeight="1" x14ac:dyDescent="0.2">
      <c r="AJ2997" s="215"/>
      <c r="AK2997" s="215"/>
      <c r="AL2997" s="215"/>
      <c r="AM2997" s="215"/>
    </row>
    <row r="2998" spans="36:39" ht="12.75" hidden="1" customHeight="1" x14ac:dyDescent="0.2">
      <c r="AJ2998" s="215"/>
      <c r="AK2998" s="215"/>
      <c r="AL2998" s="215"/>
      <c r="AM2998" s="215"/>
    </row>
    <row r="2999" spans="36:39" ht="12.75" hidden="1" customHeight="1" x14ac:dyDescent="0.2">
      <c r="AJ2999" s="215"/>
      <c r="AK2999" s="215"/>
      <c r="AL2999" s="215"/>
      <c r="AM2999" s="215"/>
    </row>
    <row r="3000" spans="36:39" ht="12.75" hidden="1" customHeight="1" x14ac:dyDescent="0.2">
      <c r="AJ3000" s="215"/>
      <c r="AK3000" s="215"/>
      <c r="AL3000" s="215"/>
      <c r="AM3000" s="215"/>
    </row>
    <row r="3001" spans="36:39" ht="12.75" hidden="1" customHeight="1" x14ac:dyDescent="0.2">
      <c r="AJ3001" s="215"/>
      <c r="AK3001" s="215"/>
      <c r="AL3001" s="215"/>
      <c r="AM3001" s="215"/>
    </row>
    <row r="3002" spans="36:39" ht="12.75" hidden="1" customHeight="1" x14ac:dyDescent="0.2">
      <c r="AJ3002" s="215"/>
      <c r="AK3002" s="215"/>
      <c r="AL3002" s="215"/>
      <c r="AM3002" s="215"/>
    </row>
    <row r="3003" spans="36:39" ht="12.75" hidden="1" customHeight="1" x14ac:dyDescent="0.2">
      <c r="AJ3003" s="215"/>
      <c r="AK3003" s="215"/>
      <c r="AL3003" s="215"/>
      <c r="AM3003" s="215"/>
    </row>
    <row r="3004" spans="36:39" ht="12.75" hidden="1" customHeight="1" x14ac:dyDescent="0.2">
      <c r="AJ3004" s="215"/>
      <c r="AK3004" s="215"/>
      <c r="AL3004" s="215"/>
      <c r="AM3004" s="215"/>
    </row>
    <row r="3005" spans="36:39" ht="12.75" hidden="1" customHeight="1" x14ac:dyDescent="0.2">
      <c r="AJ3005" s="215"/>
      <c r="AK3005" s="215"/>
      <c r="AL3005" s="215"/>
      <c r="AM3005" s="215"/>
    </row>
    <row r="3006" spans="36:39" ht="12.75" hidden="1" customHeight="1" x14ac:dyDescent="0.2">
      <c r="AJ3006" s="215"/>
      <c r="AK3006" s="215"/>
      <c r="AL3006" s="215"/>
      <c r="AM3006" s="215"/>
    </row>
    <row r="3007" spans="36:39" ht="12.75" hidden="1" customHeight="1" x14ac:dyDescent="0.2">
      <c r="AJ3007" s="215"/>
      <c r="AK3007" s="215"/>
      <c r="AL3007" s="215"/>
      <c r="AM3007" s="215"/>
    </row>
    <row r="3008" spans="36:39" ht="12.75" hidden="1" customHeight="1" x14ac:dyDescent="0.2">
      <c r="AJ3008" s="215"/>
      <c r="AK3008" s="215"/>
      <c r="AL3008" s="215"/>
      <c r="AM3008" s="215"/>
    </row>
    <row r="3009" spans="36:39" ht="12.75" hidden="1" customHeight="1" x14ac:dyDescent="0.2">
      <c r="AJ3009" s="215"/>
      <c r="AK3009" s="215"/>
      <c r="AL3009" s="215"/>
      <c r="AM3009" s="215"/>
    </row>
    <row r="3010" spans="36:39" ht="12.75" hidden="1" customHeight="1" x14ac:dyDescent="0.2">
      <c r="AJ3010" s="215"/>
      <c r="AK3010" s="215"/>
      <c r="AL3010" s="215"/>
      <c r="AM3010" s="215"/>
    </row>
    <row r="3011" spans="36:39" ht="12.75" hidden="1" customHeight="1" x14ac:dyDescent="0.2">
      <c r="AJ3011" s="215"/>
      <c r="AK3011" s="215"/>
      <c r="AL3011" s="215"/>
      <c r="AM3011" s="215"/>
    </row>
    <row r="3012" spans="36:39" ht="12.75" hidden="1" customHeight="1" x14ac:dyDescent="0.2">
      <c r="AJ3012" s="215"/>
      <c r="AK3012" s="215"/>
      <c r="AL3012" s="215"/>
      <c r="AM3012" s="215"/>
    </row>
    <row r="3013" spans="36:39" ht="12.75" hidden="1" customHeight="1" x14ac:dyDescent="0.2">
      <c r="AJ3013" s="215"/>
      <c r="AK3013" s="215"/>
      <c r="AL3013" s="215"/>
      <c r="AM3013" s="215"/>
    </row>
    <row r="3014" spans="36:39" ht="12.75" hidden="1" customHeight="1" x14ac:dyDescent="0.2">
      <c r="AJ3014" s="215"/>
      <c r="AK3014" s="215"/>
      <c r="AL3014" s="215"/>
      <c r="AM3014" s="215"/>
    </row>
    <row r="3015" spans="36:39" ht="12.75" hidden="1" customHeight="1" x14ac:dyDescent="0.2">
      <c r="AJ3015" s="215"/>
      <c r="AK3015" s="215"/>
      <c r="AL3015" s="215"/>
      <c r="AM3015" s="215"/>
    </row>
    <row r="3016" spans="36:39" ht="12.75" hidden="1" customHeight="1" x14ac:dyDescent="0.2">
      <c r="AJ3016" s="215"/>
      <c r="AK3016" s="215"/>
      <c r="AL3016" s="215"/>
      <c r="AM3016" s="215"/>
    </row>
    <row r="3017" spans="36:39" ht="12.75" hidden="1" customHeight="1" x14ac:dyDescent="0.2">
      <c r="AJ3017" s="215"/>
      <c r="AK3017" s="215"/>
      <c r="AL3017" s="215"/>
      <c r="AM3017" s="215"/>
    </row>
    <row r="3018" spans="36:39" ht="12.75" hidden="1" customHeight="1" x14ac:dyDescent="0.2">
      <c r="AJ3018" s="215"/>
      <c r="AK3018" s="215"/>
      <c r="AL3018" s="215"/>
      <c r="AM3018" s="215"/>
    </row>
    <row r="3019" spans="36:39" ht="12.75" hidden="1" customHeight="1" x14ac:dyDescent="0.2">
      <c r="AJ3019" s="215"/>
      <c r="AK3019" s="215"/>
      <c r="AL3019" s="215"/>
      <c r="AM3019" s="215"/>
    </row>
    <row r="3020" spans="36:39" ht="12.75" hidden="1" customHeight="1" x14ac:dyDescent="0.2">
      <c r="AJ3020" s="215"/>
      <c r="AK3020" s="215"/>
      <c r="AL3020" s="215"/>
      <c r="AM3020" s="215"/>
    </row>
    <row r="3021" spans="36:39" ht="12.75" hidden="1" customHeight="1" x14ac:dyDescent="0.2">
      <c r="AJ3021" s="215"/>
      <c r="AK3021" s="215"/>
      <c r="AL3021" s="215"/>
      <c r="AM3021" s="215"/>
    </row>
    <row r="3022" spans="36:39" ht="12.75" hidden="1" customHeight="1" x14ac:dyDescent="0.2">
      <c r="AJ3022" s="215"/>
      <c r="AK3022" s="215"/>
      <c r="AL3022" s="215"/>
      <c r="AM3022" s="215"/>
    </row>
    <row r="3023" spans="36:39" ht="12.75" hidden="1" customHeight="1" x14ac:dyDescent="0.2">
      <c r="AJ3023" s="215"/>
      <c r="AK3023" s="215"/>
      <c r="AL3023" s="215"/>
      <c r="AM3023" s="215"/>
    </row>
    <row r="3024" spans="36:39" ht="12.75" hidden="1" customHeight="1" x14ac:dyDescent="0.2">
      <c r="AJ3024" s="215"/>
      <c r="AK3024" s="215"/>
      <c r="AL3024" s="215"/>
      <c r="AM3024" s="215"/>
    </row>
    <row r="3025" spans="36:39" ht="12.75" hidden="1" customHeight="1" x14ac:dyDescent="0.2">
      <c r="AJ3025" s="215"/>
      <c r="AK3025" s="215"/>
      <c r="AL3025" s="215"/>
      <c r="AM3025" s="215"/>
    </row>
    <row r="3026" spans="36:39" ht="12.75" hidden="1" customHeight="1" x14ac:dyDescent="0.2">
      <c r="AJ3026" s="215"/>
      <c r="AK3026" s="215"/>
      <c r="AL3026" s="215"/>
      <c r="AM3026" s="215"/>
    </row>
    <row r="3027" spans="36:39" ht="12.75" hidden="1" customHeight="1" x14ac:dyDescent="0.2">
      <c r="AJ3027" s="215"/>
      <c r="AK3027" s="215"/>
      <c r="AL3027" s="215"/>
      <c r="AM3027" s="215"/>
    </row>
    <row r="3028" spans="36:39" ht="12.75" hidden="1" customHeight="1" x14ac:dyDescent="0.2">
      <c r="AJ3028" s="215"/>
      <c r="AK3028" s="215"/>
      <c r="AL3028" s="215"/>
      <c r="AM3028" s="215"/>
    </row>
    <row r="3029" spans="36:39" ht="12.75" hidden="1" customHeight="1" x14ac:dyDescent="0.2">
      <c r="AJ3029" s="215"/>
      <c r="AK3029" s="215"/>
      <c r="AL3029" s="215"/>
      <c r="AM3029" s="215"/>
    </row>
    <row r="3030" spans="36:39" ht="12.75" hidden="1" customHeight="1" x14ac:dyDescent="0.2">
      <c r="AJ3030" s="215"/>
      <c r="AK3030" s="215"/>
      <c r="AL3030" s="215"/>
      <c r="AM3030" s="215"/>
    </row>
    <row r="3031" spans="36:39" ht="12.75" hidden="1" customHeight="1" x14ac:dyDescent="0.2">
      <c r="AJ3031" s="215"/>
      <c r="AK3031" s="215"/>
      <c r="AL3031" s="215"/>
      <c r="AM3031" s="215"/>
    </row>
    <row r="3032" spans="36:39" ht="12.75" hidden="1" customHeight="1" x14ac:dyDescent="0.2">
      <c r="AJ3032" s="215"/>
      <c r="AK3032" s="215"/>
      <c r="AL3032" s="215"/>
      <c r="AM3032" s="215"/>
    </row>
    <row r="3033" spans="36:39" ht="12.75" hidden="1" customHeight="1" x14ac:dyDescent="0.2">
      <c r="AJ3033" s="215"/>
      <c r="AK3033" s="215"/>
      <c r="AL3033" s="215"/>
      <c r="AM3033" s="215"/>
    </row>
    <row r="3034" spans="36:39" ht="12.75" hidden="1" customHeight="1" x14ac:dyDescent="0.2">
      <c r="AJ3034" s="215"/>
      <c r="AK3034" s="215"/>
      <c r="AL3034" s="215"/>
      <c r="AM3034" s="215"/>
    </row>
    <row r="3035" spans="36:39" ht="12.75" hidden="1" customHeight="1" x14ac:dyDescent="0.2">
      <c r="AJ3035" s="215"/>
      <c r="AK3035" s="215"/>
      <c r="AL3035" s="215"/>
      <c r="AM3035" s="215"/>
    </row>
    <row r="3036" spans="36:39" ht="12.75" hidden="1" customHeight="1" x14ac:dyDescent="0.2">
      <c r="AJ3036" s="215"/>
      <c r="AK3036" s="215"/>
      <c r="AL3036" s="215"/>
      <c r="AM3036" s="215"/>
    </row>
    <row r="3037" spans="36:39" ht="12.75" hidden="1" customHeight="1" x14ac:dyDescent="0.2">
      <c r="AJ3037" s="215"/>
      <c r="AK3037" s="215"/>
      <c r="AL3037" s="215"/>
      <c r="AM3037" s="215"/>
    </row>
    <row r="3038" spans="36:39" ht="12.75" hidden="1" customHeight="1" x14ac:dyDescent="0.2">
      <c r="AJ3038" s="215"/>
      <c r="AK3038" s="215"/>
      <c r="AL3038" s="215"/>
      <c r="AM3038" s="215"/>
    </row>
    <row r="3039" spans="36:39" ht="12.75" hidden="1" customHeight="1" x14ac:dyDescent="0.2">
      <c r="AJ3039" s="215"/>
      <c r="AK3039" s="215"/>
      <c r="AL3039" s="215"/>
      <c r="AM3039" s="215"/>
    </row>
    <row r="3040" spans="36:39" ht="12.75" hidden="1" customHeight="1" x14ac:dyDescent="0.2">
      <c r="AJ3040" s="215"/>
      <c r="AK3040" s="215"/>
      <c r="AL3040" s="215"/>
      <c r="AM3040" s="215"/>
    </row>
    <row r="3041" spans="36:39" ht="12.75" hidden="1" customHeight="1" x14ac:dyDescent="0.2">
      <c r="AJ3041" s="215"/>
      <c r="AK3041" s="215"/>
      <c r="AL3041" s="215"/>
      <c r="AM3041" s="215"/>
    </row>
    <row r="3042" spans="36:39" ht="12.75" hidden="1" customHeight="1" x14ac:dyDescent="0.2">
      <c r="AJ3042" s="215"/>
      <c r="AK3042" s="215"/>
      <c r="AL3042" s="215"/>
      <c r="AM3042" s="215"/>
    </row>
    <row r="3043" spans="36:39" ht="12.75" hidden="1" customHeight="1" x14ac:dyDescent="0.2">
      <c r="AJ3043" s="215"/>
      <c r="AK3043" s="215"/>
      <c r="AL3043" s="215"/>
      <c r="AM3043" s="215"/>
    </row>
    <row r="3044" spans="36:39" ht="12.75" hidden="1" customHeight="1" x14ac:dyDescent="0.2">
      <c r="AJ3044" s="215"/>
      <c r="AK3044" s="215"/>
      <c r="AL3044" s="215"/>
      <c r="AM3044" s="215"/>
    </row>
    <row r="3045" spans="36:39" ht="12.75" hidden="1" customHeight="1" x14ac:dyDescent="0.2">
      <c r="AJ3045" s="215"/>
      <c r="AK3045" s="215"/>
      <c r="AL3045" s="215"/>
      <c r="AM3045" s="215"/>
    </row>
    <row r="3046" spans="36:39" ht="12.75" hidden="1" customHeight="1" x14ac:dyDescent="0.2">
      <c r="AJ3046" s="215"/>
      <c r="AK3046" s="215"/>
      <c r="AL3046" s="215"/>
      <c r="AM3046" s="215"/>
    </row>
    <row r="3047" spans="36:39" ht="12.75" hidden="1" customHeight="1" x14ac:dyDescent="0.2">
      <c r="AJ3047" s="215"/>
      <c r="AK3047" s="215"/>
      <c r="AL3047" s="215"/>
      <c r="AM3047" s="215"/>
    </row>
    <row r="3048" spans="36:39" ht="12.75" hidden="1" customHeight="1" x14ac:dyDescent="0.2">
      <c r="AJ3048" s="215"/>
      <c r="AK3048" s="215"/>
      <c r="AL3048" s="215"/>
      <c r="AM3048" s="215"/>
    </row>
    <row r="3049" spans="36:39" ht="12.75" hidden="1" customHeight="1" x14ac:dyDescent="0.2">
      <c r="AJ3049" s="215"/>
      <c r="AK3049" s="215"/>
      <c r="AL3049" s="215"/>
      <c r="AM3049" s="215"/>
    </row>
    <row r="3050" spans="36:39" ht="12.75" hidden="1" customHeight="1" x14ac:dyDescent="0.2">
      <c r="AJ3050" s="215"/>
      <c r="AK3050" s="215"/>
      <c r="AL3050" s="215"/>
      <c r="AM3050" s="215"/>
    </row>
    <row r="3051" spans="36:39" ht="12.75" hidden="1" customHeight="1" x14ac:dyDescent="0.2">
      <c r="AJ3051" s="215"/>
      <c r="AK3051" s="215"/>
      <c r="AL3051" s="215"/>
      <c r="AM3051" s="215"/>
    </row>
    <row r="3052" spans="36:39" ht="12.75" hidden="1" customHeight="1" x14ac:dyDescent="0.2">
      <c r="AJ3052" s="215"/>
      <c r="AK3052" s="215"/>
      <c r="AL3052" s="215"/>
      <c r="AM3052" s="215"/>
    </row>
    <row r="3053" spans="36:39" ht="12.75" hidden="1" customHeight="1" x14ac:dyDescent="0.2">
      <c r="AJ3053" s="215"/>
      <c r="AK3053" s="215"/>
      <c r="AL3053" s="215"/>
      <c r="AM3053" s="215"/>
    </row>
    <row r="3054" spans="36:39" ht="12.75" hidden="1" customHeight="1" x14ac:dyDescent="0.2">
      <c r="AJ3054" s="215"/>
      <c r="AK3054" s="215"/>
      <c r="AL3054" s="215"/>
      <c r="AM3054" s="215"/>
    </row>
    <row r="3055" spans="36:39" ht="12.75" hidden="1" customHeight="1" x14ac:dyDescent="0.2">
      <c r="AJ3055" s="215"/>
      <c r="AK3055" s="215"/>
      <c r="AL3055" s="215"/>
      <c r="AM3055" s="215"/>
    </row>
    <row r="3056" spans="36:39" ht="12.75" hidden="1" customHeight="1" x14ac:dyDescent="0.2">
      <c r="AJ3056" s="215"/>
      <c r="AK3056" s="215"/>
      <c r="AL3056" s="215"/>
      <c r="AM3056" s="215"/>
    </row>
    <row r="3057" spans="36:39" ht="12.75" hidden="1" customHeight="1" x14ac:dyDescent="0.2">
      <c r="AJ3057" s="215"/>
      <c r="AK3057" s="215"/>
      <c r="AL3057" s="215"/>
      <c r="AM3057" s="215"/>
    </row>
    <row r="3058" spans="36:39" ht="12.75" hidden="1" customHeight="1" x14ac:dyDescent="0.2">
      <c r="AJ3058" s="215"/>
      <c r="AK3058" s="215"/>
      <c r="AL3058" s="215"/>
      <c r="AM3058" s="215"/>
    </row>
    <row r="3059" spans="36:39" ht="12.75" hidden="1" customHeight="1" x14ac:dyDescent="0.2">
      <c r="AJ3059" s="215"/>
      <c r="AK3059" s="215"/>
      <c r="AL3059" s="215"/>
      <c r="AM3059" s="215"/>
    </row>
    <row r="3060" spans="36:39" ht="12.75" hidden="1" customHeight="1" x14ac:dyDescent="0.2">
      <c r="AJ3060" s="215"/>
      <c r="AK3060" s="215"/>
      <c r="AL3060" s="215"/>
      <c r="AM3060" s="215"/>
    </row>
    <row r="3061" spans="36:39" ht="12.75" hidden="1" customHeight="1" x14ac:dyDescent="0.2">
      <c r="AJ3061" s="215"/>
      <c r="AK3061" s="215"/>
      <c r="AL3061" s="215"/>
      <c r="AM3061" s="215"/>
    </row>
    <row r="3062" spans="36:39" ht="12.75" hidden="1" customHeight="1" x14ac:dyDescent="0.2">
      <c r="AJ3062" s="215"/>
      <c r="AK3062" s="215"/>
      <c r="AL3062" s="215"/>
      <c r="AM3062" s="215"/>
    </row>
    <row r="3063" spans="36:39" ht="12.75" hidden="1" customHeight="1" x14ac:dyDescent="0.2">
      <c r="AJ3063" s="215"/>
      <c r="AK3063" s="215"/>
      <c r="AL3063" s="215"/>
      <c r="AM3063" s="215"/>
    </row>
    <row r="3064" spans="36:39" ht="12.75" hidden="1" customHeight="1" x14ac:dyDescent="0.2">
      <c r="AJ3064" s="215"/>
      <c r="AK3064" s="215"/>
      <c r="AL3064" s="215"/>
      <c r="AM3064" s="215"/>
    </row>
    <row r="3065" spans="36:39" ht="12.75" hidden="1" customHeight="1" x14ac:dyDescent="0.2">
      <c r="AJ3065" s="215"/>
      <c r="AK3065" s="215"/>
      <c r="AL3065" s="215"/>
      <c r="AM3065" s="215"/>
    </row>
    <row r="3066" spans="36:39" ht="12.75" hidden="1" customHeight="1" x14ac:dyDescent="0.2">
      <c r="AJ3066" s="215"/>
      <c r="AK3066" s="215"/>
      <c r="AL3066" s="215"/>
      <c r="AM3066" s="215"/>
    </row>
    <row r="3067" spans="36:39" ht="12.75" hidden="1" customHeight="1" x14ac:dyDescent="0.2">
      <c r="AJ3067" s="215"/>
      <c r="AK3067" s="215"/>
      <c r="AL3067" s="215"/>
      <c r="AM3067" s="215"/>
    </row>
    <row r="3068" spans="36:39" ht="12.75" hidden="1" customHeight="1" x14ac:dyDescent="0.2">
      <c r="AJ3068" s="215"/>
      <c r="AK3068" s="215"/>
      <c r="AL3068" s="215"/>
      <c r="AM3068" s="215"/>
    </row>
    <row r="3069" spans="36:39" ht="12.75" hidden="1" customHeight="1" x14ac:dyDescent="0.2">
      <c r="AJ3069" s="215"/>
      <c r="AK3069" s="215"/>
      <c r="AL3069" s="215"/>
      <c r="AM3069" s="215"/>
    </row>
    <row r="3070" spans="36:39" ht="12.75" hidden="1" customHeight="1" x14ac:dyDescent="0.2">
      <c r="AJ3070" s="215"/>
      <c r="AK3070" s="215"/>
      <c r="AL3070" s="215"/>
      <c r="AM3070" s="215"/>
    </row>
    <row r="3071" spans="36:39" ht="12.75" hidden="1" customHeight="1" x14ac:dyDescent="0.2">
      <c r="AJ3071" s="215"/>
      <c r="AK3071" s="215"/>
      <c r="AL3071" s="215"/>
      <c r="AM3071" s="215"/>
    </row>
    <row r="3072" spans="36:39" ht="12.75" hidden="1" customHeight="1" x14ac:dyDescent="0.2">
      <c r="AJ3072" s="215"/>
      <c r="AK3072" s="215"/>
      <c r="AL3072" s="215"/>
      <c r="AM3072" s="215"/>
    </row>
    <row r="3073" spans="36:39" ht="12.75" hidden="1" customHeight="1" x14ac:dyDescent="0.2">
      <c r="AJ3073" s="215"/>
      <c r="AK3073" s="215"/>
      <c r="AL3073" s="215"/>
      <c r="AM3073" s="215"/>
    </row>
    <row r="3074" spans="36:39" ht="12.75" hidden="1" customHeight="1" x14ac:dyDescent="0.2">
      <c r="AJ3074" s="215"/>
      <c r="AK3074" s="215"/>
      <c r="AL3074" s="215"/>
      <c r="AM3074" s="215"/>
    </row>
    <row r="3075" spans="36:39" ht="12.75" hidden="1" customHeight="1" x14ac:dyDescent="0.2">
      <c r="AJ3075" s="215"/>
      <c r="AK3075" s="215"/>
      <c r="AL3075" s="215"/>
      <c r="AM3075" s="215"/>
    </row>
    <row r="3076" spans="36:39" ht="12.75" hidden="1" customHeight="1" x14ac:dyDescent="0.2">
      <c r="AJ3076" s="215"/>
      <c r="AK3076" s="215"/>
      <c r="AL3076" s="215"/>
      <c r="AM3076" s="215"/>
    </row>
    <row r="3077" spans="36:39" ht="12.75" hidden="1" customHeight="1" x14ac:dyDescent="0.2">
      <c r="AJ3077" s="215"/>
      <c r="AK3077" s="215"/>
      <c r="AL3077" s="215"/>
      <c r="AM3077" s="215"/>
    </row>
    <row r="3078" spans="36:39" ht="12.75" hidden="1" customHeight="1" x14ac:dyDescent="0.2">
      <c r="AJ3078" s="215"/>
      <c r="AK3078" s="215"/>
      <c r="AL3078" s="215"/>
      <c r="AM3078" s="215"/>
    </row>
    <row r="3079" spans="36:39" ht="12.75" hidden="1" customHeight="1" x14ac:dyDescent="0.2">
      <c r="AJ3079" s="215"/>
      <c r="AK3079" s="215"/>
      <c r="AL3079" s="215"/>
      <c r="AM3079" s="215"/>
    </row>
    <row r="3080" spans="36:39" ht="12.75" hidden="1" customHeight="1" x14ac:dyDescent="0.2">
      <c r="AJ3080" s="215"/>
      <c r="AK3080" s="215"/>
      <c r="AL3080" s="215"/>
      <c r="AM3080" s="215"/>
    </row>
    <row r="3081" spans="36:39" ht="12.75" hidden="1" customHeight="1" x14ac:dyDescent="0.2">
      <c r="AJ3081" s="215"/>
      <c r="AK3081" s="215"/>
      <c r="AL3081" s="215"/>
      <c r="AM3081" s="215"/>
    </row>
    <row r="3082" spans="36:39" ht="12.75" hidden="1" customHeight="1" x14ac:dyDescent="0.2">
      <c r="AJ3082" s="215"/>
      <c r="AK3082" s="215"/>
      <c r="AL3082" s="215"/>
      <c r="AM3082" s="215"/>
    </row>
    <row r="3083" spans="36:39" ht="12.75" hidden="1" customHeight="1" x14ac:dyDescent="0.2">
      <c r="AJ3083" s="215"/>
      <c r="AK3083" s="215"/>
      <c r="AL3083" s="215"/>
      <c r="AM3083" s="215"/>
    </row>
    <row r="3084" spans="36:39" ht="12.75" hidden="1" customHeight="1" x14ac:dyDescent="0.2">
      <c r="AJ3084" s="215"/>
      <c r="AK3084" s="215"/>
      <c r="AL3084" s="215"/>
      <c r="AM3084" s="215"/>
    </row>
    <row r="3085" spans="36:39" ht="12.75" hidden="1" customHeight="1" x14ac:dyDescent="0.2">
      <c r="AJ3085" s="215"/>
      <c r="AK3085" s="215"/>
      <c r="AL3085" s="215"/>
      <c r="AM3085" s="215"/>
    </row>
    <row r="3086" spans="36:39" ht="12.75" hidden="1" customHeight="1" x14ac:dyDescent="0.2">
      <c r="AJ3086" s="215"/>
      <c r="AK3086" s="215"/>
      <c r="AL3086" s="215"/>
      <c r="AM3086" s="215"/>
    </row>
    <row r="3087" spans="36:39" ht="12.75" hidden="1" customHeight="1" x14ac:dyDescent="0.2">
      <c r="AJ3087" s="215"/>
      <c r="AK3087" s="215"/>
      <c r="AL3087" s="215"/>
      <c r="AM3087" s="215"/>
    </row>
    <row r="3088" spans="36:39" ht="12.75" hidden="1" customHeight="1" x14ac:dyDescent="0.2">
      <c r="AJ3088" s="215"/>
      <c r="AK3088" s="215"/>
      <c r="AL3088" s="215"/>
      <c r="AM3088" s="215"/>
    </row>
    <row r="3089" spans="36:39" ht="12.75" hidden="1" customHeight="1" x14ac:dyDescent="0.2">
      <c r="AJ3089" s="215"/>
      <c r="AK3089" s="215"/>
      <c r="AL3089" s="215"/>
      <c r="AM3089" s="215"/>
    </row>
    <row r="3090" spans="36:39" ht="12.75" hidden="1" customHeight="1" x14ac:dyDescent="0.2">
      <c r="AJ3090" s="215"/>
      <c r="AK3090" s="215"/>
      <c r="AL3090" s="215"/>
      <c r="AM3090" s="215"/>
    </row>
    <row r="3091" spans="36:39" ht="12.75" hidden="1" customHeight="1" x14ac:dyDescent="0.2">
      <c r="AJ3091" s="215"/>
      <c r="AK3091" s="215"/>
      <c r="AL3091" s="215"/>
      <c r="AM3091" s="215"/>
    </row>
    <row r="3092" spans="36:39" ht="12.75" hidden="1" customHeight="1" x14ac:dyDescent="0.2">
      <c r="AJ3092" s="215"/>
      <c r="AK3092" s="215"/>
      <c r="AL3092" s="215"/>
      <c r="AM3092" s="215"/>
    </row>
    <row r="3093" spans="36:39" ht="12.75" hidden="1" customHeight="1" x14ac:dyDescent="0.2">
      <c r="AJ3093" s="215"/>
      <c r="AK3093" s="215"/>
      <c r="AL3093" s="215"/>
      <c r="AM3093" s="215"/>
    </row>
    <row r="3094" spans="36:39" ht="12.75" hidden="1" customHeight="1" x14ac:dyDescent="0.2">
      <c r="AJ3094" s="215"/>
      <c r="AK3094" s="215"/>
      <c r="AL3094" s="215"/>
      <c r="AM3094" s="215"/>
    </row>
    <row r="3095" spans="36:39" ht="12.75" hidden="1" customHeight="1" x14ac:dyDescent="0.2">
      <c r="AJ3095" s="215"/>
      <c r="AK3095" s="215"/>
      <c r="AL3095" s="215"/>
      <c r="AM3095" s="215"/>
    </row>
    <row r="3096" spans="36:39" ht="12.75" hidden="1" customHeight="1" x14ac:dyDescent="0.2">
      <c r="AJ3096" s="215"/>
      <c r="AK3096" s="215"/>
      <c r="AL3096" s="215"/>
      <c r="AM3096" s="215"/>
    </row>
    <row r="3097" spans="36:39" ht="12.75" hidden="1" customHeight="1" x14ac:dyDescent="0.2">
      <c r="AJ3097" s="215"/>
      <c r="AK3097" s="215"/>
      <c r="AL3097" s="215"/>
      <c r="AM3097" s="215"/>
    </row>
    <row r="3098" spans="36:39" ht="12.75" hidden="1" customHeight="1" x14ac:dyDescent="0.2">
      <c r="AJ3098" s="215"/>
      <c r="AK3098" s="215"/>
      <c r="AL3098" s="215"/>
      <c r="AM3098" s="215"/>
    </row>
    <row r="3099" spans="36:39" ht="12.75" hidden="1" customHeight="1" x14ac:dyDescent="0.2">
      <c r="AJ3099" s="215"/>
      <c r="AK3099" s="215"/>
      <c r="AL3099" s="215"/>
      <c r="AM3099" s="215"/>
    </row>
    <row r="3100" spans="36:39" ht="12.75" hidden="1" customHeight="1" x14ac:dyDescent="0.2">
      <c r="AJ3100" s="215"/>
      <c r="AK3100" s="215"/>
      <c r="AL3100" s="215"/>
      <c r="AM3100" s="215"/>
    </row>
    <row r="3101" spans="36:39" ht="12.75" hidden="1" customHeight="1" x14ac:dyDescent="0.2">
      <c r="AJ3101" s="215"/>
      <c r="AK3101" s="215"/>
      <c r="AL3101" s="215"/>
      <c r="AM3101" s="215"/>
    </row>
    <row r="3102" spans="36:39" ht="12.75" hidden="1" customHeight="1" x14ac:dyDescent="0.2">
      <c r="AJ3102" s="215"/>
      <c r="AK3102" s="215"/>
      <c r="AL3102" s="215"/>
      <c r="AM3102" s="215"/>
    </row>
    <row r="3103" spans="36:39" ht="12.75" hidden="1" customHeight="1" x14ac:dyDescent="0.2">
      <c r="AJ3103" s="215"/>
      <c r="AK3103" s="215"/>
      <c r="AL3103" s="215"/>
      <c r="AM3103" s="215"/>
    </row>
    <row r="3104" spans="36:39" ht="12.75" hidden="1" customHeight="1" x14ac:dyDescent="0.2">
      <c r="AJ3104" s="215"/>
      <c r="AK3104" s="215"/>
      <c r="AL3104" s="215"/>
      <c r="AM3104" s="215"/>
    </row>
    <row r="3105" spans="36:39" ht="12.75" hidden="1" customHeight="1" x14ac:dyDescent="0.2">
      <c r="AJ3105" s="215"/>
      <c r="AK3105" s="215"/>
      <c r="AL3105" s="215"/>
      <c r="AM3105" s="215"/>
    </row>
    <row r="3106" spans="36:39" ht="12.75" hidden="1" customHeight="1" x14ac:dyDescent="0.2">
      <c r="AJ3106" s="215"/>
      <c r="AK3106" s="215"/>
      <c r="AL3106" s="215"/>
      <c r="AM3106" s="215"/>
    </row>
    <row r="3107" spans="36:39" ht="12.75" hidden="1" customHeight="1" x14ac:dyDescent="0.2">
      <c r="AJ3107" s="215"/>
      <c r="AK3107" s="215"/>
      <c r="AL3107" s="215"/>
      <c r="AM3107" s="215"/>
    </row>
    <row r="3108" spans="36:39" ht="12.75" hidden="1" customHeight="1" x14ac:dyDescent="0.2">
      <c r="AJ3108" s="215"/>
      <c r="AK3108" s="215"/>
      <c r="AL3108" s="215"/>
      <c r="AM3108" s="215"/>
    </row>
    <row r="3109" spans="36:39" ht="12.75" hidden="1" customHeight="1" x14ac:dyDescent="0.2">
      <c r="AJ3109" s="215"/>
      <c r="AK3109" s="215"/>
      <c r="AL3109" s="215"/>
      <c r="AM3109" s="215"/>
    </row>
    <row r="3110" spans="36:39" ht="12.75" hidden="1" customHeight="1" x14ac:dyDescent="0.2">
      <c r="AJ3110" s="215"/>
      <c r="AK3110" s="215"/>
      <c r="AL3110" s="215"/>
      <c r="AM3110" s="215"/>
    </row>
    <row r="3111" spans="36:39" ht="12.75" hidden="1" customHeight="1" x14ac:dyDescent="0.2">
      <c r="AJ3111" s="215"/>
      <c r="AK3111" s="215"/>
      <c r="AL3111" s="215"/>
      <c r="AM3111" s="215"/>
    </row>
    <row r="3112" spans="36:39" ht="12.75" hidden="1" customHeight="1" x14ac:dyDescent="0.2">
      <c r="AJ3112" s="215"/>
      <c r="AK3112" s="215"/>
      <c r="AL3112" s="215"/>
      <c r="AM3112" s="215"/>
    </row>
    <row r="3113" spans="36:39" ht="12.75" hidden="1" customHeight="1" x14ac:dyDescent="0.2">
      <c r="AJ3113" s="215"/>
      <c r="AK3113" s="215"/>
      <c r="AL3113" s="215"/>
      <c r="AM3113" s="215"/>
    </row>
    <row r="3114" spans="36:39" ht="12.75" hidden="1" customHeight="1" x14ac:dyDescent="0.2">
      <c r="AJ3114" s="215"/>
      <c r="AK3114" s="215"/>
      <c r="AL3114" s="215"/>
      <c r="AM3114" s="215"/>
    </row>
    <row r="3115" spans="36:39" ht="12.75" hidden="1" customHeight="1" x14ac:dyDescent="0.2">
      <c r="AJ3115" s="215"/>
      <c r="AK3115" s="215"/>
      <c r="AL3115" s="215"/>
      <c r="AM3115" s="215"/>
    </row>
    <row r="3116" spans="36:39" ht="12.75" hidden="1" customHeight="1" x14ac:dyDescent="0.2">
      <c r="AJ3116" s="215"/>
      <c r="AK3116" s="215"/>
      <c r="AL3116" s="215"/>
      <c r="AM3116" s="215"/>
    </row>
    <row r="3117" spans="36:39" ht="12.75" hidden="1" customHeight="1" x14ac:dyDescent="0.2">
      <c r="AJ3117" s="215"/>
      <c r="AK3117" s="215"/>
      <c r="AL3117" s="215"/>
      <c r="AM3117" s="215"/>
    </row>
    <row r="3118" spans="36:39" ht="12.75" hidden="1" customHeight="1" x14ac:dyDescent="0.2">
      <c r="AJ3118" s="215"/>
      <c r="AK3118" s="215"/>
      <c r="AL3118" s="215"/>
      <c r="AM3118" s="215"/>
    </row>
    <row r="3119" spans="36:39" ht="12.75" hidden="1" customHeight="1" x14ac:dyDescent="0.2">
      <c r="AJ3119" s="215"/>
      <c r="AK3119" s="215"/>
      <c r="AL3119" s="215"/>
      <c r="AM3119" s="215"/>
    </row>
    <row r="3120" spans="36:39" ht="12.75" hidden="1" customHeight="1" x14ac:dyDescent="0.2">
      <c r="AJ3120" s="215"/>
      <c r="AK3120" s="215"/>
      <c r="AL3120" s="215"/>
      <c r="AM3120" s="215"/>
    </row>
    <row r="3121" spans="36:39" ht="12.75" hidden="1" customHeight="1" x14ac:dyDescent="0.2">
      <c r="AJ3121" s="215"/>
      <c r="AK3121" s="215"/>
      <c r="AL3121" s="215"/>
      <c r="AM3121" s="215"/>
    </row>
    <row r="3122" spans="36:39" ht="12.75" hidden="1" customHeight="1" x14ac:dyDescent="0.2">
      <c r="AJ3122" s="215"/>
      <c r="AK3122" s="215"/>
      <c r="AL3122" s="215"/>
      <c r="AM3122" s="215"/>
    </row>
    <row r="3123" spans="36:39" ht="12.75" hidden="1" customHeight="1" x14ac:dyDescent="0.2">
      <c r="AJ3123" s="215"/>
      <c r="AK3123" s="215"/>
      <c r="AL3123" s="215"/>
      <c r="AM3123" s="215"/>
    </row>
    <row r="3124" spans="36:39" ht="12.75" hidden="1" customHeight="1" x14ac:dyDescent="0.2">
      <c r="AJ3124" s="215"/>
      <c r="AK3124" s="215"/>
      <c r="AL3124" s="215"/>
      <c r="AM3124" s="215"/>
    </row>
    <row r="3125" spans="36:39" ht="12.75" hidden="1" customHeight="1" x14ac:dyDescent="0.2">
      <c r="AJ3125" s="215"/>
      <c r="AK3125" s="215"/>
      <c r="AL3125" s="215"/>
      <c r="AM3125" s="215"/>
    </row>
    <row r="3126" spans="36:39" ht="12.75" hidden="1" customHeight="1" x14ac:dyDescent="0.2">
      <c r="AJ3126" s="215"/>
      <c r="AK3126" s="215"/>
      <c r="AL3126" s="215"/>
      <c r="AM3126" s="215"/>
    </row>
    <row r="3127" spans="36:39" ht="12.75" hidden="1" customHeight="1" x14ac:dyDescent="0.2">
      <c r="AJ3127" s="215"/>
      <c r="AK3127" s="215"/>
      <c r="AL3127" s="215"/>
      <c r="AM3127" s="215"/>
    </row>
    <row r="3128" spans="36:39" ht="12.75" hidden="1" customHeight="1" x14ac:dyDescent="0.2">
      <c r="AJ3128" s="215"/>
      <c r="AK3128" s="215"/>
      <c r="AL3128" s="215"/>
      <c r="AM3128" s="215"/>
    </row>
    <row r="3129" spans="36:39" ht="12.75" hidden="1" customHeight="1" x14ac:dyDescent="0.2">
      <c r="AJ3129" s="215"/>
      <c r="AK3129" s="215"/>
      <c r="AL3129" s="215"/>
      <c r="AM3129" s="215"/>
    </row>
    <row r="3130" spans="36:39" ht="12.75" hidden="1" customHeight="1" x14ac:dyDescent="0.2">
      <c r="AJ3130" s="215"/>
      <c r="AK3130" s="215"/>
      <c r="AL3130" s="215"/>
      <c r="AM3130" s="215"/>
    </row>
    <row r="3131" spans="36:39" ht="12.75" hidden="1" customHeight="1" x14ac:dyDescent="0.2">
      <c r="AJ3131" s="215"/>
      <c r="AK3131" s="215"/>
      <c r="AL3131" s="215"/>
      <c r="AM3131" s="215"/>
    </row>
    <row r="3132" spans="36:39" ht="12.75" hidden="1" customHeight="1" x14ac:dyDescent="0.2">
      <c r="AJ3132" s="215"/>
      <c r="AK3132" s="215"/>
      <c r="AL3132" s="215"/>
      <c r="AM3132" s="215"/>
    </row>
    <row r="3133" spans="36:39" ht="12.75" hidden="1" customHeight="1" x14ac:dyDescent="0.2">
      <c r="AJ3133" s="215"/>
      <c r="AK3133" s="215"/>
      <c r="AL3133" s="215"/>
      <c r="AM3133" s="215"/>
    </row>
    <row r="3134" spans="36:39" ht="12.75" hidden="1" customHeight="1" x14ac:dyDescent="0.2">
      <c r="AJ3134" s="215"/>
      <c r="AK3134" s="215"/>
      <c r="AL3134" s="215"/>
      <c r="AM3134" s="215"/>
    </row>
    <row r="3135" spans="36:39" ht="12.75" hidden="1" customHeight="1" x14ac:dyDescent="0.2">
      <c r="AJ3135" s="215"/>
      <c r="AK3135" s="215"/>
      <c r="AL3135" s="215"/>
      <c r="AM3135" s="215"/>
    </row>
    <row r="3136" spans="36:39" ht="12.75" hidden="1" customHeight="1" x14ac:dyDescent="0.2">
      <c r="AJ3136" s="215"/>
      <c r="AK3136" s="215"/>
      <c r="AL3136" s="215"/>
      <c r="AM3136" s="215"/>
    </row>
    <row r="3137" spans="36:39" ht="12.75" hidden="1" customHeight="1" x14ac:dyDescent="0.2">
      <c r="AJ3137" s="215"/>
      <c r="AK3137" s="215"/>
      <c r="AL3137" s="215"/>
      <c r="AM3137" s="215"/>
    </row>
    <row r="3138" spans="36:39" ht="12.75" hidden="1" customHeight="1" x14ac:dyDescent="0.2">
      <c r="AJ3138" s="215"/>
      <c r="AK3138" s="215"/>
      <c r="AL3138" s="215"/>
      <c r="AM3138" s="215"/>
    </row>
    <row r="3139" spans="36:39" ht="12.75" hidden="1" customHeight="1" x14ac:dyDescent="0.2">
      <c r="AJ3139" s="215"/>
      <c r="AK3139" s="215"/>
      <c r="AL3139" s="215"/>
      <c r="AM3139" s="215"/>
    </row>
    <row r="3140" spans="36:39" ht="12.75" hidden="1" customHeight="1" x14ac:dyDescent="0.2">
      <c r="AJ3140" s="215"/>
      <c r="AK3140" s="215"/>
      <c r="AL3140" s="215"/>
      <c r="AM3140" s="215"/>
    </row>
    <row r="3141" spans="36:39" ht="12.75" hidden="1" customHeight="1" x14ac:dyDescent="0.2">
      <c r="AJ3141" s="215"/>
      <c r="AK3141" s="215"/>
      <c r="AL3141" s="215"/>
      <c r="AM3141" s="215"/>
    </row>
    <row r="3142" spans="36:39" ht="12.75" hidden="1" customHeight="1" x14ac:dyDescent="0.2">
      <c r="AJ3142" s="215"/>
      <c r="AK3142" s="215"/>
      <c r="AL3142" s="215"/>
      <c r="AM3142" s="215"/>
    </row>
    <row r="3143" spans="36:39" ht="12.75" hidden="1" customHeight="1" x14ac:dyDescent="0.2">
      <c r="AJ3143" s="215"/>
      <c r="AK3143" s="215"/>
      <c r="AL3143" s="215"/>
      <c r="AM3143" s="215"/>
    </row>
    <row r="3144" spans="36:39" ht="12.75" hidden="1" customHeight="1" x14ac:dyDescent="0.2">
      <c r="AJ3144" s="215"/>
      <c r="AK3144" s="215"/>
      <c r="AL3144" s="215"/>
      <c r="AM3144" s="215"/>
    </row>
    <row r="3145" spans="36:39" ht="12.75" hidden="1" customHeight="1" x14ac:dyDescent="0.2">
      <c r="AJ3145" s="215"/>
      <c r="AK3145" s="215"/>
      <c r="AL3145" s="215"/>
      <c r="AM3145" s="215"/>
    </row>
    <row r="3146" spans="36:39" ht="12.75" hidden="1" customHeight="1" x14ac:dyDescent="0.2">
      <c r="AJ3146" s="215"/>
      <c r="AK3146" s="215"/>
      <c r="AL3146" s="215"/>
      <c r="AM3146" s="215"/>
    </row>
    <row r="3147" spans="36:39" ht="12.75" hidden="1" customHeight="1" x14ac:dyDescent="0.2">
      <c r="AJ3147" s="215"/>
      <c r="AK3147" s="215"/>
      <c r="AL3147" s="215"/>
      <c r="AM3147" s="215"/>
    </row>
    <row r="3148" spans="36:39" ht="12.75" hidden="1" customHeight="1" x14ac:dyDescent="0.2">
      <c r="AJ3148" s="215"/>
      <c r="AK3148" s="215"/>
      <c r="AL3148" s="215"/>
      <c r="AM3148" s="215"/>
    </row>
    <row r="3149" spans="36:39" ht="12.75" hidden="1" customHeight="1" x14ac:dyDescent="0.2">
      <c r="AJ3149" s="215"/>
      <c r="AK3149" s="215"/>
      <c r="AL3149" s="215"/>
      <c r="AM3149" s="215"/>
    </row>
    <row r="3150" spans="36:39" ht="12.75" hidden="1" customHeight="1" x14ac:dyDescent="0.2">
      <c r="AJ3150" s="215"/>
      <c r="AK3150" s="215"/>
      <c r="AL3150" s="215"/>
      <c r="AM3150" s="215"/>
    </row>
    <row r="3151" spans="36:39" ht="12.75" hidden="1" customHeight="1" x14ac:dyDescent="0.2">
      <c r="AJ3151" s="215"/>
      <c r="AK3151" s="215"/>
      <c r="AL3151" s="215"/>
      <c r="AM3151" s="215"/>
    </row>
    <row r="3152" spans="36:39" ht="12.75" hidden="1" customHeight="1" x14ac:dyDescent="0.2">
      <c r="AJ3152" s="215"/>
      <c r="AK3152" s="215"/>
      <c r="AL3152" s="215"/>
      <c r="AM3152" s="215"/>
    </row>
    <row r="3153" spans="36:39" ht="12.75" hidden="1" customHeight="1" x14ac:dyDescent="0.2">
      <c r="AJ3153" s="215"/>
      <c r="AK3153" s="215"/>
      <c r="AL3153" s="215"/>
      <c r="AM3153" s="215"/>
    </row>
    <row r="3154" spans="36:39" ht="12.75" hidden="1" customHeight="1" x14ac:dyDescent="0.2">
      <c r="AJ3154" s="215"/>
      <c r="AK3154" s="215"/>
      <c r="AL3154" s="215"/>
      <c r="AM3154" s="215"/>
    </row>
    <row r="3155" spans="36:39" ht="12.75" hidden="1" customHeight="1" x14ac:dyDescent="0.2">
      <c r="AJ3155" s="215"/>
      <c r="AK3155" s="215"/>
      <c r="AL3155" s="215"/>
      <c r="AM3155" s="215"/>
    </row>
    <row r="3156" spans="36:39" ht="12.75" hidden="1" customHeight="1" x14ac:dyDescent="0.2">
      <c r="AJ3156" s="215"/>
      <c r="AK3156" s="215"/>
      <c r="AL3156" s="215"/>
      <c r="AM3156" s="215"/>
    </row>
    <row r="3157" spans="36:39" ht="12.75" hidden="1" customHeight="1" x14ac:dyDescent="0.2">
      <c r="AJ3157" s="215"/>
      <c r="AK3157" s="215"/>
      <c r="AL3157" s="215"/>
      <c r="AM3157" s="215"/>
    </row>
    <row r="3158" spans="36:39" ht="12.75" hidden="1" customHeight="1" x14ac:dyDescent="0.2">
      <c r="AJ3158" s="215"/>
      <c r="AK3158" s="215"/>
      <c r="AL3158" s="215"/>
      <c r="AM3158" s="215"/>
    </row>
    <row r="3159" spans="36:39" ht="12.75" hidden="1" customHeight="1" x14ac:dyDescent="0.2">
      <c r="AJ3159" s="215"/>
      <c r="AK3159" s="215"/>
      <c r="AL3159" s="215"/>
      <c r="AM3159" s="215"/>
    </row>
    <row r="3160" spans="36:39" ht="12.75" hidden="1" customHeight="1" x14ac:dyDescent="0.2">
      <c r="AJ3160" s="215"/>
      <c r="AK3160" s="215"/>
      <c r="AL3160" s="215"/>
      <c r="AM3160" s="215"/>
    </row>
    <row r="3161" spans="36:39" ht="12.75" hidden="1" customHeight="1" x14ac:dyDescent="0.2">
      <c r="AJ3161" s="215"/>
      <c r="AK3161" s="215"/>
      <c r="AL3161" s="215"/>
      <c r="AM3161" s="215"/>
    </row>
    <row r="3162" spans="36:39" ht="12.75" hidden="1" customHeight="1" x14ac:dyDescent="0.2">
      <c r="AJ3162" s="215"/>
      <c r="AK3162" s="215"/>
      <c r="AL3162" s="215"/>
      <c r="AM3162" s="215"/>
    </row>
    <row r="3163" spans="36:39" ht="12.75" hidden="1" customHeight="1" x14ac:dyDescent="0.2">
      <c r="AJ3163" s="215"/>
      <c r="AK3163" s="215"/>
      <c r="AL3163" s="215"/>
      <c r="AM3163" s="215"/>
    </row>
    <row r="3164" spans="36:39" ht="12.75" hidden="1" customHeight="1" x14ac:dyDescent="0.2">
      <c r="AJ3164" s="215"/>
      <c r="AK3164" s="215"/>
      <c r="AL3164" s="215"/>
      <c r="AM3164" s="215"/>
    </row>
    <row r="3165" spans="36:39" ht="12.75" hidden="1" customHeight="1" x14ac:dyDescent="0.2">
      <c r="AJ3165" s="215"/>
      <c r="AK3165" s="215"/>
      <c r="AL3165" s="215"/>
      <c r="AM3165" s="215"/>
    </row>
    <row r="3166" spans="36:39" ht="12.75" hidden="1" customHeight="1" x14ac:dyDescent="0.2">
      <c r="AJ3166" s="215"/>
      <c r="AK3166" s="215"/>
      <c r="AL3166" s="215"/>
      <c r="AM3166" s="215"/>
    </row>
    <row r="3167" spans="36:39" ht="12.75" hidden="1" customHeight="1" x14ac:dyDescent="0.2">
      <c r="AJ3167" s="215"/>
      <c r="AK3167" s="215"/>
      <c r="AL3167" s="215"/>
      <c r="AM3167" s="215"/>
    </row>
    <row r="3168" spans="36:39" ht="12.75" hidden="1" customHeight="1" x14ac:dyDescent="0.2">
      <c r="AJ3168" s="215"/>
      <c r="AK3168" s="215"/>
      <c r="AL3168" s="215"/>
      <c r="AM3168" s="215"/>
    </row>
    <row r="3169" spans="36:39" ht="12.75" hidden="1" customHeight="1" x14ac:dyDescent="0.2">
      <c r="AJ3169" s="215"/>
      <c r="AK3169" s="215"/>
      <c r="AL3169" s="215"/>
      <c r="AM3169" s="215"/>
    </row>
    <row r="3170" spans="36:39" ht="12.75" hidden="1" customHeight="1" x14ac:dyDescent="0.2">
      <c r="AJ3170" s="215"/>
      <c r="AK3170" s="215"/>
      <c r="AL3170" s="215"/>
      <c r="AM3170" s="215"/>
    </row>
    <row r="3171" spans="36:39" ht="12.75" hidden="1" customHeight="1" x14ac:dyDescent="0.2">
      <c r="AJ3171" s="215"/>
      <c r="AK3171" s="215"/>
      <c r="AL3171" s="215"/>
      <c r="AM3171" s="215"/>
    </row>
    <row r="3172" spans="36:39" ht="12.75" hidden="1" customHeight="1" x14ac:dyDescent="0.2">
      <c r="AJ3172" s="215"/>
      <c r="AK3172" s="215"/>
      <c r="AL3172" s="215"/>
      <c r="AM3172" s="215"/>
    </row>
    <row r="3173" spans="36:39" ht="12.75" hidden="1" customHeight="1" x14ac:dyDescent="0.2">
      <c r="AJ3173" s="215"/>
      <c r="AK3173" s="215"/>
      <c r="AL3173" s="215"/>
      <c r="AM3173" s="215"/>
    </row>
    <row r="3174" spans="36:39" ht="12.75" hidden="1" customHeight="1" x14ac:dyDescent="0.2">
      <c r="AJ3174" s="215"/>
      <c r="AK3174" s="215"/>
      <c r="AL3174" s="215"/>
      <c r="AM3174" s="215"/>
    </row>
    <row r="3175" spans="36:39" ht="12.75" hidden="1" customHeight="1" x14ac:dyDescent="0.2">
      <c r="AJ3175" s="215"/>
      <c r="AK3175" s="215"/>
      <c r="AL3175" s="215"/>
      <c r="AM3175" s="215"/>
    </row>
    <row r="3176" spans="36:39" ht="12.75" hidden="1" customHeight="1" x14ac:dyDescent="0.2">
      <c r="AJ3176" s="215"/>
      <c r="AK3176" s="215"/>
      <c r="AL3176" s="215"/>
      <c r="AM3176" s="215"/>
    </row>
    <row r="3177" spans="36:39" ht="12.75" hidden="1" customHeight="1" x14ac:dyDescent="0.2">
      <c r="AJ3177" s="215"/>
      <c r="AK3177" s="215"/>
      <c r="AL3177" s="215"/>
      <c r="AM3177" s="215"/>
    </row>
    <row r="3178" spans="36:39" ht="12.75" hidden="1" customHeight="1" x14ac:dyDescent="0.2">
      <c r="AJ3178" s="215"/>
      <c r="AK3178" s="215"/>
      <c r="AL3178" s="215"/>
      <c r="AM3178" s="215"/>
    </row>
    <row r="3179" spans="36:39" ht="12.75" hidden="1" customHeight="1" x14ac:dyDescent="0.2">
      <c r="AJ3179" s="215"/>
      <c r="AK3179" s="215"/>
      <c r="AL3179" s="215"/>
      <c r="AM3179" s="215"/>
    </row>
    <row r="3180" spans="36:39" ht="12.75" hidden="1" customHeight="1" x14ac:dyDescent="0.2">
      <c r="AJ3180" s="215"/>
      <c r="AK3180" s="215"/>
      <c r="AL3180" s="215"/>
      <c r="AM3180" s="215"/>
    </row>
    <row r="3181" spans="36:39" ht="12.75" hidden="1" customHeight="1" x14ac:dyDescent="0.2">
      <c r="AJ3181" s="215"/>
      <c r="AK3181" s="215"/>
      <c r="AL3181" s="215"/>
      <c r="AM3181" s="215"/>
    </row>
    <row r="3182" spans="36:39" ht="12.75" hidden="1" customHeight="1" x14ac:dyDescent="0.2">
      <c r="AJ3182" s="215"/>
      <c r="AK3182" s="215"/>
      <c r="AL3182" s="215"/>
      <c r="AM3182" s="215"/>
    </row>
    <row r="3183" spans="36:39" ht="12.75" hidden="1" customHeight="1" x14ac:dyDescent="0.2">
      <c r="AJ3183" s="215"/>
      <c r="AK3183" s="215"/>
      <c r="AL3183" s="215"/>
      <c r="AM3183" s="215"/>
    </row>
    <row r="3184" spans="36:39" ht="12.75" hidden="1" customHeight="1" x14ac:dyDescent="0.2">
      <c r="AJ3184" s="215"/>
      <c r="AK3184" s="215"/>
      <c r="AL3184" s="215"/>
      <c r="AM3184" s="215"/>
    </row>
    <row r="3185" spans="36:39" ht="12.75" hidden="1" customHeight="1" x14ac:dyDescent="0.2">
      <c r="AJ3185" s="215"/>
      <c r="AK3185" s="215"/>
      <c r="AL3185" s="215"/>
      <c r="AM3185" s="215"/>
    </row>
    <row r="3186" spans="36:39" ht="12.75" hidden="1" customHeight="1" x14ac:dyDescent="0.2">
      <c r="AJ3186" s="215"/>
      <c r="AK3186" s="215"/>
      <c r="AL3186" s="215"/>
      <c r="AM3186" s="215"/>
    </row>
    <row r="3187" spans="36:39" ht="12.75" hidden="1" customHeight="1" x14ac:dyDescent="0.2">
      <c r="AJ3187" s="215"/>
      <c r="AK3187" s="215"/>
      <c r="AL3187" s="215"/>
      <c r="AM3187" s="215"/>
    </row>
    <row r="3188" spans="36:39" ht="12.75" hidden="1" customHeight="1" x14ac:dyDescent="0.2">
      <c r="AJ3188" s="215"/>
      <c r="AK3188" s="215"/>
      <c r="AL3188" s="215"/>
      <c r="AM3188" s="215"/>
    </row>
    <row r="3189" spans="36:39" ht="12.75" hidden="1" customHeight="1" x14ac:dyDescent="0.2">
      <c r="AJ3189" s="215"/>
      <c r="AK3189" s="215"/>
      <c r="AL3189" s="215"/>
      <c r="AM3189" s="215"/>
    </row>
    <row r="3190" spans="36:39" ht="12.75" hidden="1" customHeight="1" x14ac:dyDescent="0.2">
      <c r="AJ3190" s="215"/>
      <c r="AK3190" s="215"/>
      <c r="AL3190" s="215"/>
      <c r="AM3190" s="215"/>
    </row>
    <row r="3191" spans="36:39" ht="12.75" hidden="1" customHeight="1" x14ac:dyDescent="0.2">
      <c r="AJ3191" s="215"/>
      <c r="AK3191" s="215"/>
      <c r="AL3191" s="215"/>
      <c r="AM3191" s="215"/>
    </row>
    <row r="3192" spans="36:39" ht="12.75" hidden="1" customHeight="1" x14ac:dyDescent="0.2">
      <c r="AJ3192" s="215"/>
      <c r="AK3192" s="215"/>
      <c r="AL3192" s="215"/>
      <c r="AM3192" s="215"/>
    </row>
    <row r="3193" spans="36:39" ht="12.75" hidden="1" customHeight="1" x14ac:dyDescent="0.2">
      <c r="AJ3193" s="215"/>
      <c r="AK3193" s="215"/>
      <c r="AL3193" s="215"/>
      <c r="AM3193" s="215"/>
    </row>
    <row r="3194" spans="36:39" ht="12.75" hidden="1" customHeight="1" x14ac:dyDescent="0.2">
      <c r="AJ3194" s="215"/>
      <c r="AK3194" s="215"/>
      <c r="AL3194" s="215"/>
      <c r="AM3194" s="215"/>
    </row>
    <row r="3195" spans="36:39" ht="12.75" hidden="1" customHeight="1" x14ac:dyDescent="0.2">
      <c r="AJ3195" s="215"/>
      <c r="AK3195" s="215"/>
      <c r="AL3195" s="215"/>
      <c r="AM3195" s="215"/>
    </row>
    <row r="3196" spans="36:39" ht="12.75" hidden="1" customHeight="1" x14ac:dyDescent="0.2">
      <c r="AJ3196" s="215"/>
      <c r="AK3196" s="215"/>
      <c r="AL3196" s="215"/>
      <c r="AM3196" s="215"/>
    </row>
    <row r="3197" spans="36:39" ht="12.75" hidden="1" customHeight="1" x14ac:dyDescent="0.2">
      <c r="AJ3197" s="215"/>
      <c r="AK3197" s="215"/>
      <c r="AL3197" s="215"/>
      <c r="AM3197" s="215"/>
    </row>
    <row r="3198" spans="36:39" ht="12.75" hidden="1" customHeight="1" x14ac:dyDescent="0.2">
      <c r="AJ3198" s="215"/>
      <c r="AK3198" s="215"/>
      <c r="AL3198" s="215"/>
      <c r="AM3198" s="215"/>
    </row>
    <row r="3199" spans="36:39" ht="12.75" hidden="1" customHeight="1" x14ac:dyDescent="0.2">
      <c r="AJ3199" s="215"/>
      <c r="AK3199" s="215"/>
      <c r="AL3199" s="215"/>
      <c r="AM3199" s="215"/>
    </row>
    <row r="3200" spans="36:39" ht="12.75" hidden="1" customHeight="1" x14ac:dyDescent="0.2">
      <c r="AJ3200" s="215"/>
      <c r="AK3200" s="215"/>
      <c r="AL3200" s="215"/>
      <c r="AM3200" s="215"/>
    </row>
    <row r="3201" spans="36:39" ht="12.75" hidden="1" customHeight="1" x14ac:dyDescent="0.2">
      <c r="AJ3201" s="215"/>
      <c r="AK3201" s="215"/>
      <c r="AL3201" s="215"/>
      <c r="AM3201" s="215"/>
    </row>
    <row r="3202" spans="36:39" ht="12.75" hidden="1" customHeight="1" x14ac:dyDescent="0.2">
      <c r="AJ3202" s="215"/>
      <c r="AK3202" s="215"/>
      <c r="AL3202" s="215"/>
      <c r="AM3202" s="215"/>
    </row>
    <row r="3203" spans="36:39" ht="12.75" hidden="1" customHeight="1" x14ac:dyDescent="0.2">
      <c r="AJ3203" s="215"/>
      <c r="AK3203" s="215"/>
      <c r="AL3203" s="215"/>
      <c r="AM3203" s="215"/>
    </row>
    <row r="3204" spans="36:39" ht="12.75" hidden="1" customHeight="1" x14ac:dyDescent="0.2">
      <c r="AJ3204" s="215"/>
      <c r="AK3204" s="215"/>
      <c r="AL3204" s="215"/>
      <c r="AM3204" s="215"/>
    </row>
    <row r="3205" spans="36:39" ht="12.75" hidden="1" customHeight="1" x14ac:dyDescent="0.2">
      <c r="AJ3205" s="215"/>
      <c r="AK3205" s="215"/>
      <c r="AL3205" s="215"/>
      <c r="AM3205" s="215"/>
    </row>
    <row r="3206" spans="36:39" ht="12.75" hidden="1" customHeight="1" x14ac:dyDescent="0.2">
      <c r="AJ3206" s="215"/>
      <c r="AK3206" s="215"/>
      <c r="AL3206" s="215"/>
      <c r="AM3206" s="215"/>
    </row>
    <row r="3207" spans="36:39" ht="12.75" hidden="1" customHeight="1" x14ac:dyDescent="0.2">
      <c r="AJ3207" s="215"/>
      <c r="AK3207" s="215"/>
      <c r="AL3207" s="215"/>
      <c r="AM3207" s="215"/>
    </row>
    <row r="3208" spans="36:39" ht="12.75" hidden="1" customHeight="1" x14ac:dyDescent="0.2">
      <c r="AJ3208" s="215"/>
      <c r="AK3208" s="215"/>
      <c r="AL3208" s="215"/>
      <c r="AM3208" s="215"/>
    </row>
    <row r="3209" spans="36:39" ht="12.75" hidden="1" customHeight="1" x14ac:dyDescent="0.2">
      <c r="AJ3209" s="215"/>
      <c r="AK3209" s="215"/>
      <c r="AL3209" s="215"/>
      <c r="AM3209" s="215"/>
    </row>
    <row r="3210" spans="36:39" ht="12.75" hidden="1" customHeight="1" x14ac:dyDescent="0.2">
      <c r="AJ3210" s="215"/>
      <c r="AK3210" s="215"/>
      <c r="AL3210" s="215"/>
      <c r="AM3210" s="215"/>
    </row>
    <row r="3211" spans="36:39" ht="12.75" hidden="1" customHeight="1" x14ac:dyDescent="0.2">
      <c r="AJ3211" s="215"/>
      <c r="AK3211" s="215"/>
      <c r="AL3211" s="215"/>
      <c r="AM3211" s="215"/>
    </row>
    <row r="3212" spans="36:39" ht="12.75" hidden="1" customHeight="1" x14ac:dyDescent="0.2">
      <c r="AJ3212" s="215"/>
      <c r="AK3212" s="215"/>
      <c r="AL3212" s="215"/>
      <c r="AM3212" s="215"/>
    </row>
    <row r="3213" spans="36:39" ht="12.75" hidden="1" customHeight="1" x14ac:dyDescent="0.2">
      <c r="AJ3213" s="215"/>
      <c r="AK3213" s="215"/>
      <c r="AL3213" s="215"/>
      <c r="AM3213" s="215"/>
    </row>
    <row r="3214" spans="36:39" ht="12.75" hidden="1" customHeight="1" x14ac:dyDescent="0.2">
      <c r="AJ3214" s="215"/>
      <c r="AK3214" s="215"/>
      <c r="AL3214" s="215"/>
      <c r="AM3214" s="215"/>
    </row>
    <row r="3215" spans="36:39" ht="12.75" hidden="1" customHeight="1" x14ac:dyDescent="0.2">
      <c r="AJ3215" s="215"/>
      <c r="AK3215" s="215"/>
      <c r="AL3215" s="215"/>
      <c r="AM3215" s="215"/>
    </row>
    <row r="3216" spans="36:39" ht="12.75" hidden="1" customHeight="1" x14ac:dyDescent="0.2">
      <c r="AJ3216" s="215"/>
      <c r="AK3216" s="215"/>
      <c r="AL3216" s="215"/>
      <c r="AM3216" s="215"/>
    </row>
    <row r="3217" spans="36:39" ht="12.75" hidden="1" customHeight="1" x14ac:dyDescent="0.2">
      <c r="AJ3217" s="215"/>
      <c r="AK3217" s="215"/>
      <c r="AL3217" s="215"/>
      <c r="AM3217" s="215"/>
    </row>
    <row r="3218" spans="36:39" ht="12.75" hidden="1" customHeight="1" x14ac:dyDescent="0.2">
      <c r="AJ3218" s="215"/>
      <c r="AK3218" s="215"/>
      <c r="AL3218" s="215"/>
      <c r="AM3218" s="215"/>
    </row>
    <row r="3219" spans="36:39" ht="12.75" hidden="1" customHeight="1" x14ac:dyDescent="0.2">
      <c r="AJ3219" s="215"/>
      <c r="AK3219" s="215"/>
      <c r="AL3219" s="215"/>
      <c r="AM3219" s="215"/>
    </row>
    <row r="3220" spans="36:39" ht="12.75" hidden="1" customHeight="1" x14ac:dyDescent="0.2">
      <c r="AJ3220" s="215"/>
      <c r="AK3220" s="215"/>
      <c r="AL3220" s="215"/>
      <c r="AM3220" s="215"/>
    </row>
    <row r="3221" spans="36:39" ht="12.75" hidden="1" customHeight="1" x14ac:dyDescent="0.2">
      <c r="AJ3221" s="215"/>
      <c r="AK3221" s="215"/>
      <c r="AL3221" s="215"/>
      <c r="AM3221" s="215"/>
    </row>
    <row r="3222" spans="36:39" ht="12.75" hidden="1" customHeight="1" x14ac:dyDescent="0.2">
      <c r="AJ3222" s="215"/>
      <c r="AK3222" s="215"/>
      <c r="AL3222" s="215"/>
      <c r="AM3222" s="215"/>
    </row>
    <row r="3223" spans="36:39" ht="12.75" hidden="1" customHeight="1" x14ac:dyDescent="0.2">
      <c r="AJ3223" s="215"/>
      <c r="AK3223" s="215"/>
      <c r="AL3223" s="215"/>
      <c r="AM3223" s="215"/>
    </row>
    <row r="3224" spans="36:39" ht="12.75" hidden="1" customHeight="1" x14ac:dyDescent="0.2">
      <c r="AJ3224" s="215"/>
      <c r="AK3224" s="215"/>
      <c r="AL3224" s="215"/>
      <c r="AM3224" s="215"/>
    </row>
    <row r="3225" spans="36:39" ht="12.75" hidden="1" customHeight="1" x14ac:dyDescent="0.2">
      <c r="AJ3225" s="215"/>
      <c r="AK3225" s="215"/>
      <c r="AL3225" s="215"/>
      <c r="AM3225" s="215"/>
    </row>
    <row r="3226" spans="36:39" ht="12.75" hidden="1" customHeight="1" x14ac:dyDescent="0.2">
      <c r="AJ3226" s="215"/>
      <c r="AK3226" s="215"/>
      <c r="AL3226" s="215"/>
      <c r="AM3226" s="215"/>
    </row>
    <row r="3227" spans="36:39" ht="12.75" hidden="1" customHeight="1" x14ac:dyDescent="0.2">
      <c r="AJ3227" s="215"/>
      <c r="AK3227" s="215"/>
      <c r="AL3227" s="215"/>
      <c r="AM3227" s="215"/>
    </row>
    <row r="3228" spans="36:39" ht="12.75" hidden="1" customHeight="1" x14ac:dyDescent="0.2">
      <c r="AJ3228" s="215"/>
      <c r="AK3228" s="215"/>
      <c r="AL3228" s="215"/>
      <c r="AM3228" s="215"/>
    </row>
    <row r="3229" spans="36:39" ht="12.75" hidden="1" customHeight="1" x14ac:dyDescent="0.2">
      <c r="AJ3229" s="215"/>
      <c r="AK3229" s="215"/>
      <c r="AL3229" s="215"/>
      <c r="AM3229" s="215"/>
    </row>
    <row r="3230" spans="36:39" ht="12.75" hidden="1" customHeight="1" x14ac:dyDescent="0.2">
      <c r="AJ3230" s="215"/>
      <c r="AK3230" s="215"/>
      <c r="AL3230" s="215"/>
      <c r="AM3230" s="215"/>
    </row>
    <row r="3231" spans="36:39" ht="12.75" hidden="1" customHeight="1" x14ac:dyDescent="0.2">
      <c r="AJ3231" s="215"/>
      <c r="AK3231" s="215"/>
      <c r="AL3231" s="215"/>
      <c r="AM3231" s="215"/>
    </row>
    <row r="3232" spans="36:39" ht="12.75" hidden="1" customHeight="1" x14ac:dyDescent="0.2">
      <c r="AJ3232" s="215"/>
      <c r="AK3232" s="215"/>
      <c r="AL3232" s="215"/>
      <c r="AM3232" s="215"/>
    </row>
    <row r="3233" spans="36:39" ht="12.75" hidden="1" customHeight="1" x14ac:dyDescent="0.2">
      <c r="AJ3233" s="215"/>
      <c r="AK3233" s="215"/>
      <c r="AL3233" s="215"/>
      <c r="AM3233" s="215"/>
    </row>
    <row r="3234" spans="36:39" ht="12.75" hidden="1" customHeight="1" x14ac:dyDescent="0.2">
      <c r="AJ3234" s="215"/>
      <c r="AK3234" s="215"/>
      <c r="AL3234" s="215"/>
      <c r="AM3234" s="215"/>
    </row>
    <row r="3235" spans="36:39" ht="12.75" hidden="1" customHeight="1" x14ac:dyDescent="0.2">
      <c r="AJ3235" s="215"/>
      <c r="AK3235" s="215"/>
      <c r="AL3235" s="215"/>
      <c r="AM3235" s="215"/>
    </row>
    <row r="3236" spans="36:39" ht="12.75" hidden="1" customHeight="1" x14ac:dyDescent="0.2">
      <c r="AJ3236" s="215"/>
      <c r="AK3236" s="215"/>
      <c r="AL3236" s="215"/>
      <c r="AM3236" s="215"/>
    </row>
    <row r="3237" spans="36:39" ht="12.75" hidden="1" customHeight="1" x14ac:dyDescent="0.2">
      <c r="AJ3237" s="215"/>
      <c r="AK3237" s="215"/>
      <c r="AL3237" s="215"/>
      <c r="AM3237" s="215"/>
    </row>
    <row r="3238" spans="36:39" ht="12.75" hidden="1" customHeight="1" x14ac:dyDescent="0.2">
      <c r="AJ3238" s="215"/>
      <c r="AK3238" s="215"/>
      <c r="AL3238" s="215"/>
      <c r="AM3238" s="215"/>
    </row>
    <row r="3239" spans="36:39" ht="12.75" hidden="1" customHeight="1" x14ac:dyDescent="0.2">
      <c r="AJ3239" s="215"/>
      <c r="AK3239" s="215"/>
      <c r="AL3239" s="215"/>
      <c r="AM3239" s="215"/>
    </row>
    <row r="3240" spans="36:39" ht="12.75" hidden="1" customHeight="1" x14ac:dyDescent="0.2">
      <c r="AJ3240" s="215"/>
      <c r="AK3240" s="215"/>
      <c r="AL3240" s="215"/>
      <c r="AM3240" s="215"/>
    </row>
    <row r="3241" spans="36:39" ht="12.75" hidden="1" customHeight="1" x14ac:dyDescent="0.2">
      <c r="AJ3241" s="215"/>
      <c r="AK3241" s="215"/>
      <c r="AL3241" s="215"/>
      <c r="AM3241" s="215"/>
    </row>
    <row r="3242" spans="36:39" ht="12.75" hidden="1" customHeight="1" x14ac:dyDescent="0.2">
      <c r="AJ3242" s="215"/>
      <c r="AK3242" s="215"/>
      <c r="AL3242" s="215"/>
      <c r="AM3242" s="215"/>
    </row>
    <row r="3243" spans="36:39" ht="12.75" hidden="1" customHeight="1" x14ac:dyDescent="0.2">
      <c r="AJ3243" s="215"/>
      <c r="AK3243" s="215"/>
      <c r="AL3243" s="215"/>
      <c r="AM3243" s="215"/>
    </row>
    <row r="3244" spans="36:39" ht="12.75" hidden="1" customHeight="1" x14ac:dyDescent="0.2">
      <c r="AJ3244" s="215"/>
      <c r="AK3244" s="215"/>
      <c r="AL3244" s="215"/>
      <c r="AM3244" s="215"/>
    </row>
    <row r="3245" spans="36:39" ht="12.75" hidden="1" customHeight="1" x14ac:dyDescent="0.2">
      <c r="AJ3245" s="215"/>
      <c r="AK3245" s="215"/>
      <c r="AL3245" s="215"/>
      <c r="AM3245" s="215"/>
    </row>
    <row r="3246" spans="36:39" ht="12.75" hidden="1" customHeight="1" x14ac:dyDescent="0.2">
      <c r="AJ3246" s="215"/>
      <c r="AK3246" s="215"/>
      <c r="AL3246" s="215"/>
      <c r="AM3246" s="215"/>
    </row>
    <row r="3247" spans="36:39" ht="12.75" hidden="1" customHeight="1" x14ac:dyDescent="0.2">
      <c r="AJ3247" s="215"/>
      <c r="AK3247" s="215"/>
      <c r="AL3247" s="215"/>
      <c r="AM3247" s="215"/>
    </row>
    <row r="3248" spans="36:39" ht="12.75" hidden="1" customHeight="1" x14ac:dyDescent="0.2">
      <c r="AJ3248" s="215"/>
      <c r="AK3248" s="215"/>
      <c r="AL3248" s="215"/>
      <c r="AM3248" s="215"/>
    </row>
    <row r="3249" spans="36:39" ht="12.75" hidden="1" customHeight="1" x14ac:dyDescent="0.2">
      <c r="AJ3249" s="215"/>
      <c r="AK3249" s="215"/>
      <c r="AL3249" s="215"/>
      <c r="AM3249" s="215"/>
    </row>
    <row r="3250" spans="36:39" ht="12.75" hidden="1" customHeight="1" x14ac:dyDescent="0.2">
      <c r="AJ3250" s="215"/>
      <c r="AK3250" s="215"/>
      <c r="AL3250" s="215"/>
      <c r="AM3250" s="215"/>
    </row>
    <row r="3251" spans="36:39" ht="12.75" hidden="1" customHeight="1" x14ac:dyDescent="0.2">
      <c r="AJ3251" s="215"/>
      <c r="AK3251" s="215"/>
      <c r="AL3251" s="215"/>
      <c r="AM3251" s="215"/>
    </row>
    <row r="3252" spans="36:39" ht="12.75" hidden="1" customHeight="1" x14ac:dyDescent="0.2">
      <c r="AJ3252" s="215"/>
      <c r="AK3252" s="215"/>
      <c r="AL3252" s="215"/>
      <c r="AM3252" s="215"/>
    </row>
    <row r="3253" spans="36:39" ht="12.75" hidden="1" customHeight="1" x14ac:dyDescent="0.2">
      <c r="AJ3253" s="215"/>
      <c r="AK3253" s="215"/>
      <c r="AL3253" s="215"/>
      <c r="AM3253" s="215"/>
    </row>
    <row r="3254" spans="36:39" ht="12.75" hidden="1" customHeight="1" x14ac:dyDescent="0.2">
      <c r="AJ3254" s="215"/>
      <c r="AK3254" s="215"/>
      <c r="AL3254" s="215"/>
      <c r="AM3254" s="215"/>
    </row>
    <row r="3255" spans="36:39" ht="12.75" hidden="1" customHeight="1" x14ac:dyDescent="0.2">
      <c r="AJ3255" s="215"/>
      <c r="AK3255" s="215"/>
      <c r="AL3255" s="215"/>
      <c r="AM3255" s="215"/>
    </row>
    <row r="3256" spans="36:39" ht="12.75" hidden="1" customHeight="1" x14ac:dyDescent="0.2">
      <c r="AJ3256" s="215"/>
      <c r="AK3256" s="215"/>
      <c r="AL3256" s="215"/>
      <c r="AM3256" s="215"/>
    </row>
    <row r="3257" spans="36:39" ht="12.75" hidden="1" customHeight="1" x14ac:dyDescent="0.2">
      <c r="AJ3257" s="215"/>
      <c r="AK3257" s="215"/>
      <c r="AL3257" s="215"/>
      <c r="AM3257" s="215"/>
    </row>
    <row r="3258" spans="36:39" ht="12.75" hidden="1" customHeight="1" x14ac:dyDescent="0.2">
      <c r="AJ3258" s="215"/>
      <c r="AK3258" s="215"/>
      <c r="AL3258" s="215"/>
      <c r="AM3258" s="215"/>
    </row>
    <row r="3259" spans="36:39" ht="12.75" hidden="1" customHeight="1" x14ac:dyDescent="0.2">
      <c r="AJ3259" s="215"/>
      <c r="AK3259" s="215"/>
      <c r="AL3259" s="215"/>
      <c r="AM3259" s="215"/>
    </row>
    <row r="3260" spans="36:39" ht="12.75" hidden="1" customHeight="1" x14ac:dyDescent="0.2">
      <c r="AJ3260" s="215"/>
      <c r="AK3260" s="215"/>
      <c r="AL3260" s="215"/>
      <c r="AM3260" s="215"/>
    </row>
    <row r="3261" spans="36:39" ht="12.75" hidden="1" customHeight="1" x14ac:dyDescent="0.2">
      <c r="AJ3261" s="215"/>
      <c r="AK3261" s="215"/>
      <c r="AL3261" s="215"/>
      <c r="AM3261" s="215"/>
    </row>
    <row r="3262" spans="36:39" ht="12.75" hidden="1" customHeight="1" x14ac:dyDescent="0.2">
      <c r="AJ3262" s="215"/>
      <c r="AK3262" s="215"/>
      <c r="AL3262" s="215"/>
      <c r="AM3262" s="215"/>
    </row>
    <row r="3263" spans="36:39" ht="12.75" hidden="1" customHeight="1" x14ac:dyDescent="0.2">
      <c r="AJ3263" s="215"/>
      <c r="AK3263" s="215"/>
      <c r="AL3263" s="215"/>
      <c r="AM3263" s="215"/>
    </row>
    <row r="3264" spans="36:39" ht="12.75" hidden="1" customHeight="1" x14ac:dyDescent="0.2">
      <c r="AJ3264" s="215"/>
      <c r="AK3264" s="215"/>
      <c r="AL3264" s="215"/>
      <c r="AM3264" s="215"/>
    </row>
    <row r="3265" spans="36:39" ht="12.75" hidden="1" customHeight="1" x14ac:dyDescent="0.2">
      <c r="AJ3265" s="215"/>
      <c r="AK3265" s="215"/>
      <c r="AL3265" s="215"/>
      <c r="AM3265" s="215"/>
    </row>
    <row r="3266" spans="36:39" ht="12.75" hidden="1" customHeight="1" x14ac:dyDescent="0.2">
      <c r="AJ3266" s="215"/>
      <c r="AK3266" s="215"/>
      <c r="AL3266" s="215"/>
      <c r="AM3266" s="215"/>
    </row>
    <row r="3267" spans="36:39" ht="12.75" hidden="1" customHeight="1" x14ac:dyDescent="0.2">
      <c r="AJ3267" s="215"/>
      <c r="AK3267" s="215"/>
      <c r="AL3267" s="215"/>
      <c r="AM3267" s="215"/>
    </row>
    <row r="3268" spans="36:39" ht="12.75" hidden="1" customHeight="1" x14ac:dyDescent="0.2">
      <c r="AJ3268" s="215"/>
      <c r="AK3268" s="215"/>
      <c r="AL3268" s="215"/>
      <c r="AM3268" s="215"/>
    </row>
    <row r="3269" spans="36:39" ht="12.75" hidden="1" customHeight="1" x14ac:dyDescent="0.2">
      <c r="AJ3269" s="215"/>
      <c r="AK3269" s="215"/>
      <c r="AL3269" s="215"/>
      <c r="AM3269" s="215"/>
    </row>
    <row r="3270" spans="36:39" ht="12.75" hidden="1" customHeight="1" x14ac:dyDescent="0.2">
      <c r="AJ3270" s="215"/>
      <c r="AK3270" s="215"/>
      <c r="AL3270" s="215"/>
      <c r="AM3270" s="215"/>
    </row>
    <row r="3271" spans="36:39" ht="12.75" hidden="1" customHeight="1" x14ac:dyDescent="0.2">
      <c r="AJ3271" s="215"/>
      <c r="AK3271" s="215"/>
      <c r="AL3271" s="215"/>
      <c r="AM3271" s="215"/>
    </row>
    <row r="3272" spans="36:39" ht="12.75" hidden="1" customHeight="1" x14ac:dyDescent="0.2">
      <c r="AJ3272" s="215"/>
      <c r="AK3272" s="215"/>
      <c r="AL3272" s="215"/>
      <c r="AM3272" s="215"/>
    </row>
    <row r="3273" spans="36:39" ht="12.75" hidden="1" customHeight="1" x14ac:dyDescent="0.2">
      <c r="AJ3273" s="215"/>
      <c r="AK3273" s="215"/>
      <c r="AL3273" s="215"/>
      <c r="AM3273" s="215"/>
    </row>
    <row r="3274" spans="36:39" ht="12.75" hidden="1" customHeight="1" x14ac:dyDescent="0.2">
      <c r="AJ3274" s="215"/>
      <c r="AK3274" s="215"/>
      <c r="AL3274" s="215"/>
      <c r="AM3274" s="215"/>
    </row>
    <row r="3275" spans="36:39" ht="12.75" hidden="1" customHeight="1" x14ac:dyDescent="0.2">
      <c r="AJ3275" s="215"/>
      <c r="AK3275" s="215"/>
      <c r="AL3275" s="215"/>
      <c r="AM3275" s="215"/>
    </row>
    <row r="3276" spans="36:39" ht="12.75" hidden="1" customHeight="1" x14ac:dyDescent="0.2">
      <c r="AJ3276" s="215"/>
      <c r="AK3276" s="215"/>
      <c r="AL3276" s="215"/>
      <c r="AM3276" s="215"/>
    </row>
    <row r="3277" spans="36:39" ht="12.75" hidden="1" customHeight="1" x14ac:dyDescent="0.2">
      <c r="AJ3277" s="215"/>
      <c r="AK3277" s="215"/>
      <c r="AL3277" s="215"/>
      <c r="AM3277" s="215"/>
    </row>
    <row r="3278" spans="36:39" ht="12.75" hidden="1" customHeight="1" x14ac:dyDescent="0.2">
      <c r="AJ3278" s="215"/>
      <c r="AK3278" s="215"/>
      <c r="AL3278" s="215"/>
      <c r="AM3278" s="215"/>
    </row>
    <row r="3279" spans="36:39" ht="12.75" hidden="1" customHeight="1" x14ac:dyDescent="0.2">
      <c r="AJ3279" s="215"/>
      <c r="AK3279" s="215"/>
      <c r="AL3279" s="215"/>
      <c r="AM3279" s="215"/>
    </row>
    <row r="3280" spans="36:39" ht="12.75" hidden="1" customHeight="1" x14ac:dyDescent="0.2">
      <c r="AJ3280" s="215"/>
      <c r="AK3280" s="215"/>
      <c r="AL3280" s="215"/>
      <c r="AM3280" s="215"/>
    </row>
    <row r="3281" spans="36:39" ht="12.75" hidden="1" customHeight="1" x14ac:dyDescent="0.2">
      <c r="AJ3281" s="215"/>
      <c r="AK3281" s="215"/>
      <c r="AL3281" s="215"/>
      <c r="AM3281" s="215"/>
    </row>
    <row r="3282" spans="36:39" ht="12.75" hidden="1" customHeight="1" x14ac:dyDescent="0.2">
      <c r="AJ3282" s="215"/>
      <c r="AK3282" s="215"/>
      <c r="AL3282" s="215"/>
      <c r="AM3282" s="215"/>
    </row>
    <row r="3283" spans="36:39" ht="12.75" hidden="1" customHeight="1" x14ac:dyDescent="0.2">
      <c r="AJ3283" s="215"/>
      <c r="AK3283" s="215"/>
      <c r="AL3283" s="215"/>
      <c r="AM3283" s="215"/>
    </row>
    <row r="3284" spans="36:39" ht="12.75" hidden="1" customHeight="1" x14ac:dyDescent="0.2">
      <c r="AJ3284" s="215"/>
      <c r="AK3284" s="215"/>
      <c r="AL3284" s="215"/>
      <c r="AM3284" s="215"/>
    </row>
    <row r="3285" spans="36:39" ht="12.75" hidden="1" customHeight="1" x14ac:dyDescent="0.2">
      <c r="AJ3285" s="215"/>
      <c r="AK3285" s="215"/>
      <c r="AL3285" s="215"/>
      <c r="AM3285" s="215"/>
    </row>
    <row r="3286" spans="36:39" ht="12.75" hidden="1" customHeight="1" x14ac:dyDescent="0.2">
      <c r="AJ3286" s="215"/>
      <c r="AK3286" s="215"/>
      <c r="AL3286" s="215"/>
      <c r="AM3286" s="215"/>
    </row>
    <row r="3287" spans="36:39" ht="12.75" hidden="1" customHeight="1" x14ac:dyDescent="0.2">
      <c r="AJ3287" s="215"/>
      <c r="AK3287" s="215"/>
      <c r="AL3287" s="215"/>
      <c r="AM3287" s="215"/>
    </row>
    <row r="3288" spans="36:39" ht="12.75" hidden="1" customHeight="1" x14ac:dyDescent="0.2">
      <c r="AJ3288" s="215"/>
      <c r="AK3288" s="215"/>
      <c r="AL3288" s="215"/>
      <c r="AM3288" s="215"/>
    </row>
    <row r="3289" spans="36:39" ht="12.75" hidden="1" customHeight="1" x14ac:dyDescent="0.2">
      <c r="AJ3289" s="215"/>
      <c r="AK3289" s="215"/>
      <c r="AL3289" s="215"/>
      <c r="AM3289" s="215"/>
    </row>
    <row r="3290" spans="36:39" ht="12.75" hidden="1" customHeight="1" x14ac:dyDescent="0.2">
      <c r="AJ3290" s="215"/>
      <c r="AK3290" s="215"/>
      <c r="AL3290" s="215"/>
      <c r="AM3290" s="215"/>
    </row>
    <row r="3291" spans="36:39" ht="12.75" hidden="1" customHeight="1" x14ac:dyDescent="0.2">
      <c r="AJ3291" s="215"/>
      <c r="AK3291" s="215"/>
      <c r="AL3291" s="215"/>
      <c r="AM3291" s="215"/>
    </row>
    <row r="3292" spans="36:39" ht="12.75" hidden="1" customHeight="1" x14ac:dyDescent="0.2">
      <c r="AJ3292" s="215"/>
      <c r="AK3292" s="215"/>
      <c r="AL3292" s="215"/>
      <c r="AM3292" s="215"/>
    </row>
    <row r="3293" spans="36:39" ht="12.75" hidden="1" customHeight="1" x14ac:dyDescent="0.2">
      <c r="AJ3293" s="215"/>
      <c r="AK3293" s="215"/>
      <c r="AL3293" s="215"/>
      <c r="AM3293" s="215"/>
    </row>
    <row r="3294" spans="36:39" ht="12.75" hidden="1" customHeight="1" x14ac:dyDescent="0.2">
      <c r="AJ3294" s="215"/>
      <c r="AK3294" s="215"/>
      <c r="AL3294" s="215"/>
      <c r="AM3294" s="215"/>
    </row>
    <row r="3295" spans="36:39" ht="12.75" hidden="1" customHeight="1" x14ac:dyDescent="0.2">
      <c r="AJ3295" s="215"/>
      <c r="AK3295" s="215"/>
      <c r="AL3295" s="215"/>
      <c r="AM3295" s="215"/>
    </row>
    <row r="3296" spans="36:39" ht="12.75" hidden="1" customHeight="1" x14ac:dyDescent="0.2">
      <c r="AJ3296" s="215"/>
      <c r="AK3296" s="215"/>
      <c r="AL3296" s="215"/>
      <c r="AM3296" s="215"/>
    </row>
    <row r="3297" spans="36:39" ht="12.75" hidden="1" customHeight="1" x14ac:dyDescent="0.2">
      <c r="AJ3297" s="215"/>
      <c r="AK3297" s="215"/>
      <c r="AL3297" s="215"/>
      <c r="AM3297" s="215"/>
    </row>
    <row r="3298" spans="36:39" ht="12.75" hidden="1" customHeight="1" x14ac:dyDescent="0.2">
      <c r="AJ3298" s="215"/>
      <c r="AK3298" s="215"/>
      <c r="AL3298" s="215"/>
      <c r="AM3298" s="215"/>
    </row>
    <row r="3299" spans="36:39" ht="12.75" hidden="1" customHeight="1" x14ac:dyDescent="0.2">
      <c r="AJ3299" s="215"/>
      <c r="AK3299" s="215"/>
      <c r="AL3299" s="215"/>
      <c r="AM3299" s="215"/>
    </row>
    <row r="3300" spans="36:39" ht="12.75" hidden="1" customHeight="1" x14ac:dyDescent="0.2">
      <c r="AJ3300" s="215"/>
      <c r="AK3300" s="215"/>
      <c r="AL3300" s="215"/>
      <c r="AM3300" s="215"/>
    </row>
    <row r="3301" spans="36:39" ht="12.75" hidden="1" customHeight="1" x14ac:dyDescent="0.2">
      <c r="AJ3301" s="215"/>
      <c r="AK3301" s="215"/>
      <c r="AL3301" s="215"/>
      <c r="AM3301" s="215"/>
    </row>
    <row r="3302" spans="36:39" ht="12.75" hidden="1" customHeight="1" x14ac:dyDescent="0.2">
      <c r="AJ3302" s="215"/>
      <c r="AK3302" s="215"/>
      <c r="AL3302" s="215"/>
      <c r="AM3302" s="215"/>
    </row>
    <row r="3303" spans="36:39" ht="12.75" hidden="1" customHeight="1" x14ac:dyDescent="0.2">
      <c r="AJ3303" s="215"/>
      <c r="AK3303" s="215"/>
      <c r="AL3303" s="215"/>
      <c r="AM3303" s="215"/>
    </row>
    <row r="3304" spans="36:39" ht="12.75" hidden="1" customHeight="1" x14ac:dyDescent="0.2">
      <c r="AJ3304" s="215"/>
      <c r="AK3304" s="215"/>
      <c r="AL3304" s="215"/>
      <c r="AM3304" s="215"/>
    </row>
    <row r="3305" spans="36:39" ht="12.75" hidden="1" customHeight="1" x14ac:dyDescent="0.2">
      <c r="AJ3305" s="215"/>
      <c r="AK3305" s="215"/>
      <c r="AL3305" s="215"/>
      <c r="AM3305" s="215"/>
    </row>
    <row r="3306" spans="36:39" ht="12.75" hidden="1" customHeight="1" x14ac:dyDescent="0.2">
      <c r="AJ3306" s="215"/>
      <c r="AK3306" s="215"/>
      <c r="AL3306" s="215"/>
      <c r="AM3306" s="215"/>
    </row>
    <row r="3307" spans="36:39" ht="12.75" hidden="1" customHeight="1" x14ac:dyDescent="0.2">
      <c r="AJ3307" s="215"/>
      <c r="AK3307" s="215"/>
      <c r="AL3307" s="215"/>
      <c r="AM3307" s="215"/>
    </row>
    <row r="3308" spans="36:39" ht="12.75" hidden="1" customHeight="1" x14ac:dyDescent="0.2">
      <c r="AJ3308" s="215"/>
      <c r="AK3308" s="215"/>
      <c r="AL3308" s="215"/>
      <c r="AM3308" s="215"/>
    </row>
    <row r="3309" spans="36:39" ht="12.75" hidden="1" customHeight="1" x14ac:dyDescent="0.2">
      <c r="AJ3309" s="215"/>
      <c r="AK3309" s="215"/>
      <c r="AL3309" s="215"/>
      <c r="AM3309" s="215"/>
    </row>
    <row r="3310" spans="36:39" ht="12.75" hidden="1" customHeight="1" x14ac:dyDescent="0.2">
      <c r="AJ3310" s="215"/>
      <c r="AK3310" s="215"/>
      <c r="AL3310" s="215"/>
      <c r="AM3310" s="215"/>
    </row>
    <row r="3311" spans="36:39" ht="12.75" hidden="1" customHeight="1" x14ac:dyDescent="0.2">
      <c r="AJ3311" s="215"/>
      <c r="AK3311" s="215"/>
      <c r="AL3311" s="215"/>
      <c r="AM3311" s="215"/>
    </row>
    <row r="3312" spans="36:39" ht="12.75" hidden="1" customHeight="1" x14ac:dyDescent="0.2">
      <c r="AJ3312" s="215"/>
      <c r="AK3312" s="215"/>
      <c r="AL3312" s="215"/>
      <c r="AM3312" s="215"/>
    </row>
    <row r="3313" spans="36:39" ht="12.75" hidden="1" customHeight="1" x14ac:dyDescent="0.2">
      <c r="AJ3313" s="215"/>
      <c r="AK3313" s="215"/>
      <c r="AL3313" s="215"/>
      <c r="AM3313" s="215"/>
    </row>
    <row r="3314" spans="36:39" ht="12.75" hidden="1" customHeight="1" x14ac:dyDescent="0.2">
      <c r="AJ3314" s="215"/>
      <c r="AK3314" s="215"/>
      <c r="AL3314" s="215"/>
      <c r="AM3314" s="215"/>
    </row>
    <row r="3315" spans="36:39" ht="12.75" hidden="1" customHeight="1" x14ac:dyDescent="0.2">
      <c r="AJ3315" s="215"/>
      <c r="AK3315" s="215"/>
      <c r="AL3315" s="215"/>
      <c r="AM3315" s="215"/>
    </row>
    <row r="3316" spans="36:39" ht="12.75" hidden="1" customHeight="1" x14ac:dyDescent="0.2">
      <c r="AJ3316" s="215"/>
      <c r="AK3316" s="215"/>
      <c r="AL3316" s="215"/>
      <c r="AM3316" s="215"/>
    </row>
    <row r="3317" spans="36:39" ht="12.75" hidden="1" customHeight="1" x14ac:dyDescent="0.2">
      <c r="AJ3317" s="215"/>
      <c r="AK3317" s="215"/>
      <c r="AL3317" s="215"/>
      <c r="AM3317" s="215"/>
    </row>
    <row r="3318" spans="36:39" ht="12.75" hidden="1" customHeight="1" x14ac:dyDescent="0.2">
      <c r="AJ3318" s="215"/>
      <c r="AK3318" s="215"/>
      <c r="AL3318" s="215"/>
      <c r="AM3318" s="215"/>
    </row>
    <row r="3319" spans="36:39" ht="12.75" hidden="1" customHeight="1" x14ac:dyDescent="0.2">
      <c r="AJ3319" s="215"/>
      <c r="AK3319" s="215"/>
      <c r="AL3319" s="215"/>
      <c r="AM3319" s="215"/>
    </row>
    <row r="3320" spans="36:39" ht="12.75" hidden="1" customHeight="1" x14ac:dyDescent="0.2">
      <c r="AJ3320" s="215"/>
      <c r="AK3320" s="215"/>
      <c r="AL3320" s="215"/>
      <c r="AM3320" s="215"/>
    </row>
    <row r="3321" spans="36:39" ht="12.75" hidden="1" customHeight="1" x14ac:dyDescent="0.2">
      <c r="AJ3321" s="215"/>
      <c r="AK3321" s="215"/>
      <c r="AL3321" s="215"/>
      <c r="AM3321" s="215"/>
    </row>
    <row r="3322" spans="36:39" ht="12.75" hidden="1" customHeight="1" x14ac:dyDescent="0.2">
      <c r="AJ3322" s="215"/>
      <c r="AK3322" s="215"/>
      <c r="AL3322" s="215"/>
      <c r="AM3322" s="215"/>
    </row>
    <row r="3323" spans="36:39" ht="12.75" hidden="1" customHeight="1" x14ac:dyDescent="0.2">
      <c r="AJ3323" s="215"/>
      <c r="AK3323" s="215"/>
      <c r="AL3323" s="215"/>
      <c r="AM3323" s="215"/>
    </row>
    <row r="3324" spans="36:39" ht="12.75" hidden="1" customHeight="1" x14ac:dyDescent="0.2">
      <c r="AJ3324" s="215"/>
      <c r="AK3324" s="215"/>
      <c r="AL3324" s="215"/>
      <c r="AM3324" s="215"/>
    </row>
    <row r="3325" spans="36:39" ht="12.75" hidden="1" customHeight="1" x14ac:dyDescent="0.2">
      <c r="AJ3325" s="215"/>
      <c r="AK3325" s="215"/>
      <c r="AL3325" s="215"/>
      <c r="AM3325" s="215"/>
    </row>
    <row r="3326" spans="36:39" ht="12.75" hidden="1" customHeight="1" x14ac:dyDescent="0.2">
      <c r="AJ3326" s="215"/>
      <c r="AK3326" s="215"/>
      <c r="AL3326" s="215"/>
      <c r="AM3326" s="215"/>
    </row>
    <row r="3327" spans="36:39" ht="12.75" hidden="1" customHeight="1" x14ac:dyDescent="0.2">
      <c r="AJ3327" s="215"/>
      <c r="AK3327" s="215"/>
      <c r="AL3327" s="215"/>
      <c r="AM3327" s="215"/>
    </row>
    <row r="3328" spans="36:39" ht="12.75" hidden="1" customHeight="1" x14ac:dyDescent="0.2">
      <c r="AJ3328" s="215"/>
      <c r="AK3328" s="215"/>
      <c r="AL3328" s="215"/>
      <c r="AM3328" s="215"/>
    </row>
    <row r="3329" spans="36:39" ht="12.75" hidden="1" customHeight="1" x14ac:dyDescent="0.2">
      <c r="AJ3329" s="215"/>
      <c r="AK3329" s="215"/>
      <c r="AL3329" s="215"/>
      <c r="AM3329" s="215"/>
    </row>
    <row r="3330" spans="36:39" ht="12.75" hidden="1" customHeight="1" x14ac:dyDescent="0.2">
      <c r="AJ3330" s="215"/>
      <c r="AK3330" s="215"/>
      <c r="AL3330" s="215"/>
      <c r="AM3330" s="215"/>
    </row>
    <row r="3331" spans="36:39" ht="12.75" hidden="1" customHeight="1" x14ac:dyDescent="0.2">
      <c r="AJ3331" s="215"/>
      <c r="AK3331" s="215"/>
      <c r="AL3331" s="215"/>
      <c r="AM3331" s="215"/>
    </row>
    <row r="3332" spans="36:39" ht="12.75" hidden="1" customHeight="1" x14ac:dyDescent="0.2">
      <c r="AJ3332" s="215"/>
      <c r="AK3332" s="215"/>
      <c r="AL3332" s="215"/>
      <c r="AM3332" s="215"/>
    </row>
    <row r="3333" spans="36:39" ht="12.75" hidden="1" customHeight="1" x14ac:dyDescent="0.2">
      <c r="AJ3333" s="215"/>
      <c r="AK3333" s="215"/>
      <c r="AL3333" s="215"/>
      <c r="AM3333" s="215"/>
    </row>
    <row r="3334" spans="36:39" ht="12.75" hidden="1" customHeight="1" x14ac:dyDescent="0.2">
      <c r="AJ3334" s="215"/>
      <c r="AK3334" s="215"/>
      <c r="AL3334" s="215"/>
      <c r="AM3334" s="215"/>
    </row>
    <row r="3335" spans="36:39" ht="12.75" hidden="1" customHeight="1" x14ac:dyDescent="0.2">
      <c r="AJ3335" s="215"/>
      <c r="AK3335" s="215"/>
      <c r="AL3335" s="215"/>
      <c r="AM3335" s="215"/>
    </row>
    <row r="3336" spans="36:39" ht="12.75" hidden="1" customHeight="1" x14ac:dyDescent="0.2">
      <c r="AJ3336" s="215"/>
      <c r="AK3336" s="215"/>
      <c r="AL3336" s="215"/>
      <c r="AM3336" s="215"/>
    </row>
    <row r="3337" spans="36:39" ht="12.75" hidden="1" customHeight="1" x14ac:dyDescent="0.2">
      <c r="AJ3337" s="215"/>
      <c r="AK3337" s="215"/>
      <c r="AL3337" s="215"/>
      <c r="AM3337" s="215"/>
    </row>
    <row r="3338" spans="36:39" ht="12.75" hidden="1" customHeight="1" x14ac:dyDescent="0.2">
      <c r="AJ3338" s="215"/>
      <c r="AK3338" s="215"/>
      <c r="AL3338" s="215"/>
      <c r="AM3338" s="215"/>
    </row>
    <row r="3339" spans="36:39" ht="12.75" hidden="1" customHeight="1" x14ac:dyDescent="0.2">
      <c r="AJ3339" s="215"/>
      <c r="AK3339" s="215"/>
      <c r="AL3339" s="215"/>
      <c r="AM3339" s="215"/>
    </row>
    <row r="3340" spans="36:39" ht="12.75" hidden="1" customHeight="1" x14ac:dyDescent="0.2">
      <c r="AJ3340" s="215"/>
      <c r="AK3340" s="215"/>
      <c r="AL3340" s="215"/>
      <c r="AM3340" s="215"/>
    </row>
    <row r="3341" spans="36:39" ht="12.75" hidden="1" customHeight="1" x14ac:dyDescent="0.2">
      <c r="AJ3341" s="215"/>
      <c r="AK3341" s="215"/>
      <c r="AL3341" s="215"/>
      <c r="AM3341" s="215"/>
    </row>
    <row r="3342" spans="36:39" ht="12.75" hidden="1" customHeight="1" x14ac:dyDescent="0.2">
      <c r="AJ3342" s="215"/>
      <c r="AK3342" s="215"/>
      <c r="AL3342" s="215"/>
      <c r="AM3342" s="215"/>
    </row>
    <row r="3343" spans="36:39" ht="12.75" hidden="1" customHeight="1" x14ac:dyDescent="0.2">
      <c r="AJ3343" s="215"/>
      <c r="AK3343" s="215"/>
      <c r="AL3343" s="215"/>
      <c r="AM3343" s="215"/>
    </row>
    <row r="3344" spans="36:39" ht="12.75" hidden="1" customHeight="1" x14ac:dyDescent="0.2">
      <c r="AJ3344" s="215"/>
      <c r="AK3344" s="215"/>
      <c r="AL3344" s="215"/>
      <c r="AM3344" s="215"/>
    </row>
    <row r="3345" spans="36:39" ht="12.75" hidden="1" customHeight="1" x14ac:dyDescent="0.2">
      <c r="AJ3345" s="215"/>
      <c r="AK3345" s="215"/>
      <c r="AL3345" s="215"/>
      <c r="AM3345" s="215"/>
    </row>
    <row r="3346" spans="36:39" ht="12.75" hidden="1" customHeight="1" x14ac:dyDescent="0.2">
      <c r="AJ3346" s="215"/>
      <c r="AK3346" s="215"/>
      <c r="AL3346" s="215"/>
      <c r="AM3346" s="215"/>
    </row>
    <row r="3347" spans="36:39" ht="12.75" hidden="1" customHeight="1" x14ac:dyDescent="0.2">
      <c r="AJ3347" s="215"/>
      <c r="AK3347" s="215"/>
      <c r="AL3347" s="215"/>
      <c r="AM3347" s="215"/>
    </row>
    <row r="3348" spans="36:39" ht="12.75" hidden="1" customHeight="1" x14ac:dyDescent="0.2">
      <c r="AJ3348" s="215"/>
      <c r="AK3348" s="215"/>
      <c r="AL3348" s="215"/>
      <c r="AM3348" s="215"/>
    </row>
    <row r="3349" spans="36:39" ht="12.75" hidden="1" customHeight="1" x14ac:dyDescent="0.2">
      <c r="AJ3349" s="215"/>
      <c r="AK3349" s="215"/>
      <c r="AL3349" s="215"/>
      <c r="AM3349" s="215"/>
    </row>
    <row r="3350" spans="36:39" ht="12.75" hidden="1" customHeight="1" x14ac:dyDescent="0.2">
      <c r="AJ3350" s="215"/>
      <c r="AK3350" s="215"/>
      <c r="AL3350" s="215"/>
      <c r="AM3350" s="215"/>
    </row>
    <row r="3351" spans="36:39" ht="12.75" hidden="1" customHeight="1" x14ac:dyDescent="0.2">
      <c r="AJ3351" s="215"/>
      <c r="AK3351" s="215"/>
      <c r="AL3351" s="215"/>
      <c r="AM3351" s="215"/>
    </row>
    <row r="3352" spans="36:39" ht="12.75" hidden="1" customHeight="1" x14ac:dyDescent="0.2">
      <c r="AJ3352" s="215"/>
      <c r="AK3352" s="215"/>
      <c r="AL3352" s="215"/>
      <c r="AM3352" s="215"/>
    </row>
    <row r="3353" spans="36:39" ht="12.75" hidden="1" customHeight="1" x14ac:dyDescent="0.2">
      <c r="AJ3353" s="215"/>
      <c r="AK3353" s="215"/>
      <c r="AL3353" s="215"/>
      <c r="AM3353" s="215"/>
    </row>
    <row r="3354" spans="36:39" ht="12.75" hidden="1" customHeight="1" x14ac:dyDescent="0.2">
      <c r="AJ3354" s="215"/>
      <c r="AK3354" s="215"/>
      <c r="AL3354" s="215"/>
      <c r="AM3354" s="215"/>
    </row>
    <row r="3355" spans="36:39" ht="12.75" hidden="1" customHeight="1" x14ac:dyDescent="0.2">
      <c r="AJ3355" s="215"/>
      <c r="AK3355" s="215"/>
      <c r="AL3355" s="215"/>
      <c r="AM3355" s="215"/>
    </row>
    <row r="3356" spans="36:39" ht="12.75" hidden="1" customHeight="1" x14ac:dyDescent="0.2">
      <c r="AJ3356" s="215"/>
      <c r="AK3356" s="215"/>
      <c r="AL3356" s="215"/>
      <c r="AM3356" s="215"/>
    </row>
    <row r="3357" spans="36:39" ht="12.75" hidden="1" customHeight="1" x14ac:dyDescent="0.2">
      <c r="AJ3357" s="215"/>
      <c r="AK3357" s="215"/>
      <c r="AL3357" s="215"/>
      <c r="AM3357" s="215"/>
    </row>
    <row r="3358" spans="36:39" ht="12.75" hidden="1" customHeight="1" x14ac:dyDescent="0.2">
      <c r="AJ3358" s="215"/>
      <c r="AK3358" s="215"/>
      <c r="AL3358" s="215"/>
      <c r="AM3358" s="215"/>
    </row>
    <row r="3359" spans="36:39" ht="12.75" hidden="1" customHeight="1" x14ac:dyDescent="0.2">
      <c r="AJ3359" s="215"/>
      <c r="AK3359" s="215"/>
      <c r="AL3359" s="215"/>
      <c r="AM3359" s="215"/>
    </row>
    <row r="3360" spans="36:39" ht="12.75" hidden="1" customHeight="1" x14ac:dyDescent="0.2">
      <c r="AJ3360" s="215"/>
      <c r="AK3360" s="215"/>
      <c r="AL3360" s="215"/>
      <c r="AM3360" s="215"/>
    </row>
    <row r="3361" spans="36:39" ht="12.75" hidden="1" customHeight="1" x14ac:dyDescent="0.2">
      <c r="AJ3361" s="215"/>
      <c r="AK3361" s="215"/>
      <c r="AL3361" s="215"/>
      <c r="AM3361" s="215"/>
    </row>
    <row r="3362" spans="36:39" ht="12.75" hidden="1" customHeight="1" x14ac:dyDescent="0.2">
      <c r="AJ3362" s="215"/>
      <c r="AK3362" s="215"/>
      <c r="AL3362" s="215"/>
      <c r="AM3362" s="215"/>
    </row>
    <row r="3363" spans="36:39" ht="12.75" hidden="1" customHeight="1" x14ac:dyDescent="0.2">
      <c r="AJ3363" s="215"/>
      <c r="AK3363" s="215"/>
      <c r="AL3363" s="215"/>
      <c r="AM3363" s="215"/>
    </row>
    <row r="3364" spans="36:39" ht="12.75" hidden="1" customHeight="1" x14ac:dyDescent="0.2">
      <c r="AJ3364" s="215"/>
      <c r="AK3364" s="215"/>
      <c r="AL3364" s="215"/>
      <c r="AM3364" s="215"/>
    </row>
    <row r="3365" spans="36:39" ht="12.75" hidden="1" customHeight="1" x14ac:dyDescent="0.2">
      <c r="AJ3365" s="215"/>
      <c r="AK3365" s="215"/>
      <c r="AL3365" s="215"/>
      <c r="AM3365" s="215"/>
    </row>
    <row r="3366" spans="36:39" ht="12.75" hidden="1" customHeight="1" x14ac:dyDescent="0.2">
      <c r="AJ3366" s="215"/>
      <c r="AK3366" s="215"/>
      <c r="AL3366" s="215"/>
      <c r="AM3366" s="215"/>
    </row>
    <row r="3367" spans="36:39" ht="12.75" hidden="1" customHeight="1" x14ac:dyDescent="0.2">
      <c r="AJ3367" s="215"/>
      <c r="AK3367" s="215"/>
      <c r="AL3367" s="215"/>
      <c r="AM3367" s="215"/>
    </row>
    <row r="3368" spans="36:39" ht="12.75" hidden="1" customHeight="1" x14ac:dyDescent="0.2">
      <c r="AJ3368" s="215"/>
      <c r="AK3368" s="215"/>
      <c r="AL3368" s="215"/>
      <c r="AM3368" s="215"/>
    </row>
    <row r="3369" spans="36:39" ht="12.75" hidden="1" customHeight="1" x14ac:dyDescent="0.2">
      <c r="AJ3369" s="215"/>
      <c r="AK3369" s="215"/>
      <c r="AL3369" s="215"/>
      <c r="AM3369" s="215"/>
    </row>
    <row r="3370" spans="36:39" ht="12.75" hidden="1" customHeight="1" x14ac:dyDescent="0.2">
      <c r="AJ3370" s="215"/>
      <c r="AK3370" s="215"/>
      <c r="AL3370" s="215"/>
      <c r="AM3370" s="215"/>
    </row>
    <row r="3371" spans="36:39" ht="12.75" hidden="1" customHeight="1" x14ac:dyDescent="0.2">
      <c r="AJ3371" s="215"/>
      <c r="AK3371" s="215"/>
      <c r="AL3371" s="215"/>
      <c r="AM3371" s="215"/>
    </row>
    <row r="3372" spans="36:39" ht="12.75" hidden="1" customHeight="1" x14ac:dyDescent="0.2">
      <c r="AJ3372" s="215"/>
      <c r="AK3372" s="215"/>
      <c r="AL3372" s="215"/>
      <c r="AM3372" s="215"/>
    </row>
    <row r="3373" spans="36:39" ht="12.75" hidden="1" customHeight="1" x14ac:dyDescent="0.2">
      <c r="AJ3373" s="215"/>
      <c r="AK3373" s="215"/>
      <c r="AL3373" s="215"/>
      <c r="AM3373" s="215"/>
    </row>
    <row r="3374" spans="36:39" ht="12.75" hidden="1" customHeight="1" x14ac:dyDescent="0.2">
      <c r="AJ3374" s="215"/>
      <c r="AK3374" s="215"/>
      <c r="AL3374" s="215"/>
      <c r="AM3374" s="215"/>
    </row>
    <row r="3375" spans="36:39" ht="12.75" hidden="1" customHeight="1" x14ac:dyDescent="0.2">
      <c r="AJ3375" s="215"/>
      <c r="AK3375" s="215"/>
      <c r="AL3375" s="215"/>
      <c r="AM3375" s="215"/>
    </row>
    <row r="3376" spans="36:39" ht="12.75" hidden="1" customHeight="1" x14ac:dyDescent="0.2">
      <c r="AJ3376" s="215"/>
      <c r="AK3376" s="215"/>
      <c r="AL3376" s="215"/>
      <c r="AM3376" s="215"/>
    </row>
    <row r="3377" spans="36:39" ht="12.75" hidden="1" customHeight="1" x14ac:dyDescent="0.2">
      <c r="AJ3377" s="215"/>
      <c r="AK3377" s="215"/>
      <c r="AL3377" s="215"/>
      <c r="AM3377" s="215"/>
    </row>
    <row r="3378" spans="36:39" ht="12.75" hidden="1" customHeight="1" x14ac:dyDescent="0.2">
      <c r="AJ3378" s="215"/>
      <c r="AK3378" s="215"/>
      <c r="AL3378" s="215"/>
      <c r="AM3378" s="215"/>
    </row>
    <row r="3379" spans="36:39" ht="12.75" hidden="1" customHeight="1" x14ac:dyDescent="0.2">
      <c r="AJ3379" s="215"/>
      <c r="AK3379" s="215"/>
      <c r="AL3379" s="215"/>
      <c r="AM3379" s="215"/>
    </row>
    <row r="3380" spans="36:39" ht="12.75" hidden="1" customHeight="1" x14ac:dyDescent="0.2">
      <c r="AJ3380" s="215"/>
      <c r="AK3380" s="215"/>
      <c r="AL3380" s="215"/>
      <c r="AM3380" s="215"/>
    </row>
    <row r="3381" spans="36:39" ht="12.75" hidden="1" customHeight="1" x14ac:dyDescent="0.2">
      <c r="AJ3381" s="215"/>
      <c r="AK3381" s="215"/>
      <c r="AL3381" s="215"/>
      <c r="AM3381" s="215"/>
    </row>
    <row r="3382" spans="36:39" ht="12.75" hidden="1" customHeight="1" x14ac:dyDescent="0.2">
      <c r="AJ3382" s="215"/>
      <c r="AK3382" s="215"/>
      <c r="AL3382" s="215"/>
      <c r="AM3382" s="215"/>
    </row>
    <row r="3383" spans="36:39" ht="12.75" hidden="1" customHeight="1" x14ac:dyDescent="0.2">
      <c r="AJ3383" s="215"/>
      <c r="AK3383" s="215"/>
      <c r="AL3383" s="215"/>
      <c r="AM3383" s="215"/>
    </row>
    <row r="3384" spans="36:39" ht="12.75" hidden="1" customHeight="1" x14ac:dyDescent="0.2">
      <c r="AJ3384" s="215"/>
      <c r="AK3384" s="215"/>
      <c r="AL3384" s="215"/>
      <c r="AM3384" s="215"/>
    </row>
    <row r="3385" spans="36:39" ht="12.75" hidden="1" customHeight="1" x14ac:dyDescent="0.2">
      <c r="AJ3385" s="215"/>
      <c r="AK3385" s="215"/>
      <c r="AL3385" s="215"/>
      <c r="AM3385" s="215"/>
    </row>
    <row r="3386" spans="36:39" ht="12.75" hidden="1" customHeight="1" x14ac:dyDescent="0.2">
      <c r="AJ3386" s="215"/>
      <c r="AK3386" s="215"/>
      <c r="AL3386" s="215"/>
      <c r="AM3386" s="215"/>
    </row>
    <row r="3387" spans="36:39" ht="12.75" hidden="1" customHeight="1" x14ac:dyDescent="0.2">
      <c r="AJ3387" s="215"/>
      <c r="AK3387" s="215"/>
      <c r="AL3387" s="215"/>
      <c r="AM3387" s="215"/>
    </row>
    <row r="3388" spans="36:39" ht="12.75" hidden="1" customHeight="1" x14ac:dyDescent="0.2">
      <c r="AJ3388" s="215"/>
      <c r="AK3388" s="215"/>
      <c r="AL3388" s="215"/>
      <c r="AM3388" s="215"/>
    </row>
    <row r="3389" spans="36:39" ht="12.75" hidden="1" customHeight="1" x14ac:dyDescent="0.2">
      <c r="AJ3389" s="215"/>
      <c r="AK3389" s="215"/>
      <c r="AL3389" s="215"/>
      <c r="AM3389" s="215"/>
    </row>
    <row r="3390" spans="36:39" ht="12.75" hidden="1" customHeight="1" x14ac:dyDescent="0.2">
      <c r="AJ3390" s="215"/>
      <c r="AK3390" s="215"/>
      <c r="AL3390" s="215"/>
      <c r="AM3390" s="215"/>
    </row>
    <row r="3391" spans="36:39" ht="12.75" hidden="1" customHeight="1" x14ac:dyDescent="0.2">
      <c r="AJ3391" s="215"/>
      <c r="AK3391" s="215"/>
      <c r="AL3391" s="215"/>
      <c r="AM3391" s="215"/>
    </row>
    <row r="3392" spans="36:39" ht="12.75" hidden="1" customHeight="1" x14ac:dyDescent="0.2">
      <c r="AJ3392" s="215"/>
      <c r="AK3392" s="215"/>
      <c r="AL3392" s="215"/>
      <c r="AM3392" s="215"/>
    </row>
    <row r="3393" spans="36:39" ht="12.75" hidden="1" customHeight="1" x14ac:dyDescent="0.2">
      <c r="AJ3393" s="215"/>
      <c r="AK3393" s="215"/>
      <c r="AL3393" s="215"/>
      <c r="AM3393" s="215"/>
    </row>
    <row r="3394" spans="36:39" ht="12.75" hidden="1" customHeight="1" x14ac:dyDescent="0.2">
      <c r="AJ3394" s="215"/>
      <c r="AK3394" s="215"/>
      <c r="AL3394" s="215"/>
      <c r="AM3394" s="215"/>
    </row>
    <row r="3395" spans="36:39" ht="12.75" hidden="1" customHeight="1" x14ac:dyDescent="0.2">
      <c r="AJ3395" s="215"/>
      <c r="AK3395" s="215"/>
      <c r="AL3395" s="215"/>
      <c r="AM3395" s="215"/>
    </row>
    <row r="3396" spans="36:39" ht="12.75" hidden="1" customHeight="1" x14ac:dyDescent="0.2">
      <c r="AJ3396" s="215"/>
      <c r="AK3396" s="215"/>
      <c r="AL3396" s="215"/>
      <c r="AM3396" s="215"/>
    </row>
    <row r="3397" spans="36:39" ht="12.75" hidden="1" customHeight="1" x14ac:dyDescent="0.2">
      <c r="AJ3397" s="215"/>
      <c r="AK3397" s="215"/>
      <c r="AL3397" s="215"/>
      <c r="AM3397" s="215"/>
    </row>
    <row r="3398" spans="36:39" ht="12.75" hidden="1" customHeight="1" x14ac:dyDescent="0.2">
      <c r="AJ3398" s="215"/>
      <c r="AK3398" s="215"/>
      <c r="AL3398" s="215"/>
      <c r="AM3398" s="215"/>
    </row>
    <row r="3399" spans="36:39" ht="12.75" hidden="1" customHeight="1" x14ac:dyDescent="0.2">
      <c r="AJ3399" s="215"/>
      <c r="AK3399" s="215"/>
      <c r="AL3399" s="215"/>
      <c r="AM3399" s="215"/>
    </row>
    <row r="3400" spans="36:39" ht="12.75" hidden="1" customHeight="1" x14ac:dyDescent="0.2">
      <c r="AJ3400" s="215"/>
      <c r="AK3400" s="215"/>
      <c r="AL3400" s="215"/>
      <c r="AM3400" s="215"/>
    </row>
    <row r="3401" spans="36:39" ht="12.75" hidden="1" customHeight="1" x14ac:dyDescent="0.2">
      <c r="AJ3401" s="215"/>
      <c r="AK3401" s="215"/>
      <c r="AL3401" s="215"/>
      <c r="AM3401" s="215"/>
    </row>
    <row r="3402" spans="36:39" ht="12.75" hidden="1" customHeight="1" x14ac:dyDescent="0.2">
      <c r="AJ3402" s="215"/>
      <c r="AK3402" s="215"/>
      <c r="AL3402" s="215"/>
      <c r="AM3402" s="215"/>
    </row>
    <row r="3403" spans="36:39" ht="12.75" hidden="1" customHeight="1" x14ac:dyDescent="0.2">
      <c r="AJ3403" s="215"/>
      <c r="AK3403" s="215"/>
      <c r="AL3403" s="215"/>
      <c r="AM3403" s="215"/>
    </row>
    <row r="3404" spans="36:39" ht="12.75" hidden="1" customHeight="1" x14ac:dyDescent="0.2">
      <c r="AJ3404" s="215"/>
      <c r="AK3404" s="215"/>
      <c r="AL3404" s="215"/>
      <c r="AM3404" s="215"/>
    </row>
    <row r="3405" spans="36:39" ht="12.75" hidden="1" customHeight="1" x14ac:dyDescent="0.2">
      <c r="AJ3405" s="215"/>
      <c r="AK3405" s="215"/>
      <c r="AL3405" s="215"/>
      <c r="AM3405" s="215"/>
    </row>
    <row r="3406" spans="36:39" ht="12.75" hidden="1" customHeight="1" x14ac:dyDescent="0.2">
      <c r="AJ3406" s="215"/>
      <c r="AK3406" s="215"/>
      <c r="AL3406" s="215"/>
      <c r="AM3406" s="215"/>
    </row>
    <row r="3407" spans="36:39" ht="12.75" hidden="1" customHeight="1" x14ac:dyDescent="0.2">
      <c r="AJ3407" s="215"/>
      <c r="AK3407" s="215"/>
      <c r="AL3407" s="215"/>
      <c r="AM3407" s="215"/>
    </row>
    <row r="3408" spans="36:39" ht="12.75" hidden="1" customHeight="1" x14ac:dyDescent="0.2">
      <c r="AJ3408" s="215"/>
      <c r="AK3408" s="215"/>
      <c r="AL3408" s="215"/>
      <c r="AM3408" s="215"/>
    </row>
    <row r="3409" spans="36:39" ht="12.75" hidden="1" customHeight="1" x14ac:dyDescent="0.2">
      <c r="AJ3409" s="215"/>
      <c r="AK3409" s="215"/>
      <c r="AL3409" s="215"/>
      <c r="AM3409" s="215"/>
    </row>
    <row r="3410" spans="36:39" ht="12.75" hidden="1" customHeight="1" x14ac:dyDescent="0.2">
      <c r="AJ3410" s="215"/>
      <c r="AK3410" s="215"/>
      <c r="AL3410" s="215"/>
      <c r="AM3410" s="215"/>
    </row>
    <row r="3411" spans="36:39" ht="12.75" hidden="1" customHeight="1" x14ac:dyDescent="0.2">
      <c r="AJ3411" s="215"/>
      <c r="AK3411" s="215"/>
      <c r="AL3411" s="215"/>
      <c r="AM3411" s="215"/>
    </row>
    <row r="3412" spans="36:39" ht="12.75" hidden="1" customHeight="1" x14ac:dyDescent="0.2">
      <c r="AJ3412" s="215"/>
      <c r="AK3412" s="215"/>
      <c r="AL3412" s="215"/>
      <c r="AM3412" s="215"/>
    </row>
    <row r="3413" spans="36:39" ht="12.75" hidden="1" customHeight="1" x14ac:dyDescent="0.2">
      <c r="AJ3413" s="215"/>
      <c r="AK3413" s="215"/>
      <c r="AL3413" s="215"/>
      <c r="AM3413" s="215"/>
    </row>
    <row r="3414" spans="36:39" ht="12.75" hidden="1" customHeight="1" x14ac:dyDescent="0.2">
      <c r="AJ3414" s="215"/>
      <c r="AK3414" s="215"/>
      <c r="AL3414" s="215"/>
      <c r="AM3414" s="215"/>
    </row>
    <row r="3415" spans="36:39" ht="12.75" hidden="1" customHeight="1" x14ac:dyDescent="0.2">
      <c r="AJ3415" s="215"/>
      <c r="AK3415" s="215"/>
      <c r="AL3415" s="215"/>
      <c r="AM3415" s="215"/>
    </row>
    <row r="3416" spans="36:39" ht="12.75" hidden="1" customHeight="1" x14ac:dyDescent="0.2">
      <c r="AJ3416" s="215"/>
      <c r="AK3416" s="215"/>
      <c r="AL3416" s="215"/>
      <c r="AM3416" s="215"/>
    </row>
    <row r="3417" spans="36:39" ht="12.75" hidden="1" customHeight="1" x14ac:dyDescent="0.2">
      <c r="AJ3417" s="215"/>
      <c r="AK3417" s="215"/>
      <c r="AL3417" s="215"/>
      <c r="AM3417" s="215"/>
    </row>
    <row r="3418" spans="36:39" ht="12.75" hidden="1" customHeight="1" x14ac:dyDescent="0.2">
      <c r="AJ3418" s="215"/>
      <c r="AK3418" s="215"/>
      <c r="AL3418" s="215"/>
      <c r="AM3418" s="215"/>
    </row>
    <row r="3419" spans="36:39" ht="12.75" hidden="1" customHeight="1" x14ac:dyDescent="0.2">
      <c r="AJ3419" s="215"/>
      <c r="AK3419" s="215"/>
      <c r="AL3419" s="215"/>
      <c r="AM3419" s="215"/>
    </row>
    <row r="3420" spans="36:39" ht="12.75" hidden="1" customHeight="1" x14ac:dyDescent="0.2">
      <c r="AJ3420" s="215"/>
      <c r="AK3420" s="215"/>
      <c r="AL3420" s="215"/>
      <c r="AM3420" s="215"/>
    </row>
    <row r="3421" spans="36:39" ht="12.75" hidden="1" customHeight="1" x14ac:dyDescent="0.2">
      <c r="AJ3421" s="215"/>
      <c r="AK3421" s="215"/>
      <c r="AL3421" s="215"/>
      <c r="AM3421" s="215"/>
    </row>
    <row r="3422" spans="36:39" ht="12.75" hidden="1" customHeight="1" x14ac:dyDescent="0.2">
      <c r="AJ3422" s="215"/>
      <c r="AK3422" s="215"/>
      <c r="AL3422" s="215"/>
      <c r="AM3422" s="215"/>
    </row>
    <row r="3423" spans="36:39" ht="12.75" hidden="1" customHeight="1" x14ac:dyDescent="0.2">
      <c r="AJ3423" s="215"/>
      <c r="AK3423" s="215"/>
      <c r="AL3423" s="215"/>
      <c r="AM3423" s="215"/>
    </row>
    <row r="3424" spans="36:39" ht="12.75" hidden="1" customHeight="1" x14ac:dyDescent="0.2">
      <c r="AJ3424" s="215"/>
      <c r="AK3424" s="215"/>
      <c r="AL3424" s="215"/>
      <c r="AM3424" s="215"/>
    </row>
    <row r="3425" spans="36:39" ht="12.75" hidden="1" customHeight="1" x14ac:dyDescent="0.2">
      <c r="AJ3425" s="215"/>
      <c r="AK3425" s="215"/>
      <c r="AL3425" s="215"/>
      <c r="AM3425" s="215"/>
    </row>
    <row r="3426" spans="36:39" ht="12.75" hidden="1" customHeight="1" x14ac:dyDescent="0.2">
      <c r="AJ3426" s="215"/>
      <c r="AK3426" s="215"/>
      <c r="AL3426" s="215"/>
      <c r="AM3426" s="215"/>
    </row>
    <row r="3427" spans="36:39" ht="12.75" hidden="1" customHeight="1" x14ac:dyDescent="0.2">
      <c r="AJ3427" s="215"/>
      <c r="AK3427" s="215"/>
      <c r="AL3427" s="215"/>
      <c r="AM3427" s="215"/>
    </row>
    <row r="3428" spans="36:39" ht="12.75" hidden="1" customHeight="1" x14ac:dyDescent="0.2">
      <c r="AJ3428" s="215"/>
      <c r="AK3428" s="215"/>
      <c r="AL3428" s="215"/>
      <c r="AM3428" s="215"/>
    </row>
    <row r="3429" spans="36:39" ht="12.75" hidden="1" customHeight="1" x14ac:dyDescent="0.2">
      <c r="AJ3429" s="215"/>
      <c r="AK3429" s="215"/>
      <c r="AL3429" s="215"/>
      <c r="AM3429" s="215"/>
    </row>
    <row r="3430" spans="36:39" ht="12.75" hidden="1" customHeight="1" x14ac:dyDescent="0.2">
      <c r="AJ3430" s="215"/>
      <c r="AK3430" s="215"/>
      <c r="AL3430" s="215"/>
      <c r="AM3430" s="215"/>
    </row>
    <row r="3431" spans="36:39" ht="12.75" hidden="1" customHeight="1" x14ac:dyDescent="0.2">
      <c r="AJ3431" s="215"/>
      <c r="AK3431" s="215"/>
      <c r="AL3431" s="215"/>
      <c r="AM3431" s="215"/>
    </row>
    <row r="3432" spans="36:39" ht="12.75" hidden="1" customHeight="1" x14ac:dyDescent="0.2">
      <c r="AJ3432" s="215"/>
      <c r="AK3432" s="215"/>
      <c r="AL3432" s="215"/>
      <c r="AM3432" s="215"/>
    </row>
    <row r="3433" spans="36:39" ht="12.75" hidden="1" customHeight="1" x14ac:dyDescent="0.2">
      <c r="AJ3433" s="215"/>
      <c r="AK3433" s="215"/>
      <c r="AL3433" s="215"/>
      <c r="AM3433" s="215"/>
    </row>
    <row r="3434" spans="36:39" ht="12.75" hidden="1" customHeight="1" x14ac:dyDescent="0.2">
      <c r="AJ3434" s="215"/>
      <c r="AK3434" s="215"/>
      <c r="AL3434" s="215"/>
      <c r="AM3434" s="215"/>
    </row>
    <row r="3435" spans="36:39" ht="12.75" hidden="1" customHeight="1" x14ac:dyDescent="0.2">
      <c r="AJ3435" s="215"/>
      <c r="AK3435" s="215"/>
      <c r="AL3435" s="215"/>
      <c r="AM3435" s="215"/>
    </row>
    <row r="3436" spans="36:39" ht="12.75" hidden="1" customHeight="1" x14ac:dyDescent="0.2">
      <c r="AJ3436" s="215"/>
      <c r="AK3436" s="215"/>
      <c r="AL3436" s="215"/>
      <c r="AM3436" s="215"/>
    </row>
    <row r="3437" spans="36:39" ht="12.75" hidden="1" customHeight="1" x14ac:dyDescent="0.2">
      <c r="AJ3437" s="215"/>
      <c r="AK3437" s="215"/>
      <c r="AL3437" s="215"/>
      <c r="AM3437" s="215"/>
    </row>
    <row r="3438" spans="36:39" ht="12.75" hidden="1" customHeight="1" x14ac:dyDescent="0.2">
      <c r="AJ3438" s="215"/>
      <c r="AK3438" s="215"/>
      <c r="AL3438" s="215"/>
      <c r="AM3438" s="215"/>
    </row>
    <row r="3439" spans="36:39" ht="12.75" hidden="1" customHeight="1" x14ac:dyDescent="0.2">
      <c r="AJ3439" s="215"/>
      <c r="AK3439" s="215"/>
      <c r="AL3439" s="215"/>
      <c r="AM3439" s="215"/>
    </row>
    <row r="3440" spans="36:39" ht="12.75" hidden="1" customHeight="1" x14ac:dyDescent="0.2">
      <c r="AJ3440" s="215"/>
      <c r="AK3440" s="215"/>
      <c r="AL3440" s="215"/>
      <c r="AM3440" s="215"/>
    </row>
    <row r="3441" spans="36:39" ht="12.75" hidden="1" customHeight="1" x14ac:dyDescent="0.2">
      <c r="AJ3441" s="215"/>
      <c r="AK3441" s="215"/>
      <c r="AL3441" s="215"/>
      <c r="AM3441" s="215"/>
    </row>
    <row r="3442" spans="36:39" ht="12.75" hidden="1" customHeight="1" x14ac:dyDescent="0.2">
      <c r="AJ3442" s="215"/>
      <c r="AK3442" s="215"/>
      <c r="AL3442" s="215"/>
      <c r="AM3442" s="215"/>
    </row>
    <row r="3443" spans="36:39" ht="12.75" hidden="1" customHeight="1" x14ac:dyDescent="0.2">
      <c r="AJ3443" s="215"/>
      <c r="AK3443" s="215"/>
      <c r="AL3443" s="215"/>
      <c r="AM3443" s="215"/>
    </row>
    <row r="3444" spans="36:39" ht="12.75" hidden="1" customHeight="1" x14ac:dyDescent="0.2">
      <c r="AJ3444" s="215"/>
      <c r="AK3444" s="215"/>
      <c r="AL3444" s="215"/>
      <c r="AM3444" s="215"/>
    </row>
    <row r="3445" spans="36:39" ht="12.75" hidden="1" customHeight="1" x14ac:dyDescent="0.2">
      <c r="AJ3445" s="215"/>
      <c r="AK3445" s="215"/>
      <c r="AL3445" s="215"/>
      <c r="AM3445" s="215"/>
    </row>
    <row r="3446" spans="36:39" ht="12.75" hidden="1" customHeight="1" x14ac:dyDescent="0.2">
      <c r="AJ3446" s="215"/>
      <c r="AK3446" s="215"/>
      <c r="AL3446" s="215"/>
      <c r="AM3446" s="215"/>
    </row>
    <row r="3447" spans="36:39" ht="12.75" hidden="1" customHeight="1" x14ac:dyDescent="0.2">
      <c r="AJ3447" s="215"/>
      <c r="AK3447" s="215"/>
      <c r="AL3447" s="215"/>
      <c r="AM3447" s="215"/>
    </row>
    <row r="3448" spans="36:39" ht="12.75" hidden="1" customHeight="1" x14ac:dyDescent="0.2">
      <c r="AJ3448" s="215"/>
      <c r="AK3448" s="215"/>
      <c r="AL3448" s="215"/>
      <c r="AM3448" s="215"/>
    </row>
    <row r="3449" spans="36:39" ht="12.75" hidden="1" customHeight="1" x14ac:dyDescent="0.2">
      <c r="AJ3449" s="215"/>
      <c r="AK3449" s="215"/>
      <c r="AL3449" s="215"/>
      <c r="AM3449" s="215"/>
    </row>
    <row r="3450" spans="36:39" ht="12.75" hidden="1" customHeight="1" x14ac:dyDescent="0.2">
      <c r="AJ3450" s="215"/>
      <c r="AK3450" s="215"/>
      <c r="AL3450" s="215"/>
      <c r="AM3450" s="215"/>
    </row>
    <row r="3451" spans="36:39" ht="12.75" hidden="1" customHeight="1" x14ac:dyDescent="0.2">
      <c r="AJ3451" s="215"/>
      <c r="AK3451" s="215"/>
      <c r="AL3451" s="215"/>
      <c r="AM3451" s="215"/>
    </row>
    <row r="3452" spans="36:39" ht="12.75" hidden="1" customHeight="1" x14ac:dyDescent="0.2">
      <c r="AJ3452" s="215"/>
      <c r="AK3452" s="215"/>
      <c r="AL3452" s="215"/>
      <c r="AM3452" s="215"/>
    </row>
    <row r="3453" spans="36:39" ht="12.75" hidden="1" customHeight="1" x14ac:dyDescent="0.2">
      <c r="AJ3453" s="215"/>
      <c r="AK3453" s="215"/>
      <c r="AL3453" s="215"/>
      <c r="AM3453" s="215"/>
    </row>
    <row r="3454" spans="36:39" ht="12.75" hidden="1" customHeight="1" x14ac:dyDescent="0.2">
      <c r="AJ3454" s="215"/>
      <c r="AK3454" s="215"/>
      <c r="AL3454" s="215"/>
      <c r="AM3454" s="215"/>
    </row>
    <row r="3455" spans="36:39" ht="12.75" hidden="1" customHeight="1" x14ac:dyDescent="0.2">
      <c r="AJ3455" s="215"/>
      <c r="AK3455" s="215"/>
      <c r="AL3455" s="215"/>
      <c r="AM3455" s="215"/>
    </row>
    <row r="3456" spans="36:39" ht="12.75" hidden="1" customHeight="1" x14ac:dyDescent="0.2">
      <c r="AJ3456" s="215"/>
      <c r="AK3456" s="215"/>
      <c r="AL3456" s="215"/>
      <c r="AM3456" s="215"/>
    </row>
    <row r="3457" spans="36:39" ht="12.75" hidden="1" customHeight="1" x14ac:dyDescent="0.2">
      <c r="AJ3457" s="215"/>
      <c r="AK3457" s="215"/>
      <c r="AL3457" s="215"/>
      <c r="AM3457" s="215"/>
    </row>
    <row r="3458" spans="36:39" ht="12.75" hidden="1" customHeight="1" x14ac:dyDescent="0.2">
      <c r="AJ3458" s="215"/>
      <c r="AK3458" s="215"/>
      <c r="AL3458" s="215"/>
      <c r="AM3458" s="215"/>
    </row>
    <row r="3459" spans="36:39" ht="12.75" hidden="1" customHeight="1" x14ac:dyDescent="0.2">
      <c r="AJ3459" s="215"/>
      <c r="AK3459" s="215"/>
      <c r="AL3459" s="215"/>
      <c r="AM3459" s="215"/>
    </row>
    <row r="3460" spans="36:39" ht="12.75" hidden="1" customHeight="1" x14ac:dyDescent="0.2">
      <c r="AJ3460" s="215"/>
      <c r="AK3460" s="215"/>
      <c r="AL3460" s="215"/>
      <c r="AM3460" s="215"/>
    </row>
    <row r="3461" spans="36:39" ht="12.75" hidden="1" customHeight="1" x14ac:dyDescent="0.2">
      <c r="AJ3461" s="215"/>
      <c r="AK3461" s="215"/>
      <c r="AL3461" s="215"/>
      <c r="AM3461" s="215"/>
    </row>
    <row r="3462" spans="36:39" ht="12.75" hidden="1" customHeight="1" x14ac:dyDescent="0.2">
      <c r="AJ3462" s="215"/>
      <c r="AK3462" s="215"/>
      <c r="AL3462" s="215"/>
      <c r="AM3462" s="215"/>
    </row>
    <row r="3463" spans="36:39" ht="12.75" hidden="1" customHeight="1" x14ac:dyDescent="0.2">
      <c r="AJ3463" s="215"/>
      <c r="AK3463" s="215"/>
      <c r="AL3463" s="215"/>
      <c r="AM3463" s="215"/>
    </row>
    <row r="3464" spans="36:39" ht="12.75" hidden="1" customHeight="1" x14ac:dyDescent="0.2">
      <c r="AJ3464" s="215"/>
      <c r="AK3464" s="215"/>
      <c r="AL3464" s="215"/>
      <c r="AM3464" s="215"/>
    </row>
    <row r="3465" spans="36:39" ht="12.75" hidden="1" customHeight="1" x14ac:dyDescent="0.2">
      <c r="AJ3465" s="215"/>
      <c r="AK3465" s="215"/>
      <c r="AL3465" s="215"/>
      <c r="AM3465" s="215"/>
    </row>
    <row r="3466" spans="36:39" ht="12.75" hidden="1" customHeight="1" x14ac:dyDescent="0.2">
      <c r="AJ3466" s="215"/>
      <c r="AK3466" s="215"/>
      <c r="AL3466" s="215"/>
      <c r="AM3466" s="215"/>
    </row>
    <row r="3467" spans="36:39" ht="12.75" hidden="1" customHeight="1" x14ac:dyDescent="0.2">
      <c r="AJ3467" s="215"/>
      <c r="AK3467" s="215"/>
      <c r="AL3467" s="215"/>
      <c r="AM3467" s="215"/>
    </row>
    <row r="3468" spans="36:39" ht="12.75" hidden="1" customHeight="1" x14ac:dyDescent="0.2">
      <c r="AJ3468" s="215"/>
      <c r="AK3468" s="215"/>
      <c r="AL3468" s="215"/>
      <c r="AM3468" s="215"/>
    </row>
    <row r="3469" spans="36:39" ht="12.75" hidden="1" customHeight="1" x14ac:dyDescent="0.2">
      <c r="AJ3469" s="215"/>
      <c r="AK3469" s="215"/>
      <c r="AL3469" s="215"/>
      <c r="AM3469" s="215"/>
    </row>
    <row r="3470" spans="36:39" ht="12.75" hidden="1" customHeight="1" x14ac:dyDescent="0.2">
      <c r="AJ3470" s="215"/>
      <c r="AK3470" s="215"/>
      <c r="AL3470" s="215"/>
      <c r="AM3470" s="215"/>
    </row>
    <row r="3471" spans="36:39" ht="12.75" hidden="1" customHeight="1" x14ac:dyDescent="0.2">
      <c r="AJ3471" s="215"/>
      <c r="AK3471" s="215"/>
      <c r="AL3471" s="215"/>
      <c r="AM3471" s="215"/>
    </row>
    <row r="3472" spans="36:39" ht="12.75" hidden="1" customHeight="1" x14ac:dyDescent="0.2">
      <c r="AJ3472" s="215"/>
      <c r="AK3472" s="215"/>
      <c r="AL3472" s="215"/>
      <c r="AM3472" s="215"/>
    </row>
    <row r="3473" spans="36:39" ht="12.75" hidden="1" customHeight="1" x14ac:dyDescent="0.2">
      <c r="AJ3473" s="215"/>
      <c r="AK3473" s="215"/>
      <c r="AL3473" s="215"/>
      <c r="AM3473" s="215"/>
    </row>
    <row r="3474" spans="36:39" ht="12.75" hidden="1" customHeight="1" x14ac:dyDescent="0.2">
      <c r="AJ3474" s="215"/>
      <c r="AK3474" s="215"/>
      <c r="AL3474" s="215"/>
      <c r="AM3474" s="215"/>
    </row>
    <row r="3475" spans="36:39" ht="12.75" hidden="1" customHeight="1" x14ac:dyDescent="0.2">
      <c r="AJ3475" s="215"/>
      <c r="AK3475" s="215"/>
      <c r="AL3475" s="215"/>
      <c r="AM3475" s="215"/>
    </row>
    <row r="3476" spans="36:39" ht="12.75" hidden="1" customHeight="1" x14ac:dyDescent="0.2">
      <c r="AJ3476" s="215"/>
      <c r="AK3476" s="215"/>
      <c r="AL3476" s="215"/>
      <c r="AM3476" s="215"/>
    </row>
    <row r="3477" spans="36:39" ht="12.75" hidden="1" customHeight="1" x14ac:dyDescent="0.2">
      <c r="AJ3477" s="215"/>
      <c r="AK3477" s="215"/>
      <c r="AL3477" s="215"/>
      <c r="AM3477" s="215"/>
    </row>
    <row r="3478" spans="36:39" ht="12.75" hidden="1" customHeight="1" x14ac:dyDescent="0.2">
      <c r="AJ3478" s="215"/>
      <c r="AK3478" s="215"/>
      <c r="AL3478" s="215"/>
      <c r="AM3478" s="215"/>
    </row>
    <row r="3479" spans="36:39" ht="12.75" hidden="1" customHeight="1" x14ac:dyDescent="0.2">
      <c r="AJ3479" s="215"/>
      <c r="AK3479" s="215"/>
      <c r="AL3479" s="215"/>
      <c r="AM3479" s="215"/>
    </row>
    <row r="3480" spans="36:39" ht="12.75" hidden="1" customHeight="1" x14ac:dyDescent="0.2">
      <c r="AJ3480" s="215"/>
      <c r="AK3480" s="215"/>
      <c r="AL3480" s="215"/>
      <c r="AM3480" s="215"/>
    </row>
    <row r="3481" spans="36:39" ht="12.75" hidden="1" customHeight="1" x14ac:dyDescent="0.2">
      <c r="AJ3481" s="215"/>
      <c r="AK3481" s="215"/>
      <c r="AL3481" s="215"/>
      <c r="AM3481" s="215"/>
    </row>
    <row r="3482" spans="36:39" ht="12.75" hidden="1" customHeight="1" x14ac:dyDescent="0.2">
      <c r="AJ3482" s="215"/>
      <c r="AK3482" s="215"/>
      <c r="AL3482" s="215"/>
      <c r="AM3482" s="215"/>
    </row>
    <row r="3483" spans="36:39" ht="12.75" hidden="1" customHeight="1" x14ac:dyDescent="0.2">
      <c r="AJ3483" s="215"/>
      <c r="AK3483" s="215"/>
      <c r="AL3483" s="215"/>
      <c r="AM3483" s="215"/>
    </row>
    <row r="3484" spans="36:39" ht="12.75" hidden="1" customHeight="1" x14ac:dyDescent="0.2">
      <c r="AJ3484" s="215"/>
      <c r="AK3484" s="215"/>
      <c r="AL3484" s="215"/>
      <c r="AM3484" s="215"/>
    </row>
    <row r="3485" spans="36:39" ht="12.75" hidden="1" customHeight="1" x14ac:dyDescent="0.2">
      <c r="AJ3485" s="215"/>
      <c r="AK3485" s="215"/>
      <c r="AL3485" s="215"/>
      <c r="AM3485" s="215"/>
    </row>
    <row r="3486" spans="36:39" ht="12.75" hidden="1" customHeight="1" x14ac:dyDescent="0.2">
      <c r="AJ3486" s="215"/>
      <c r="AK3486" s="215"/>
      <c r="AL3486" s="215"/>
      <c r="AM3486" s="215"/>
    </row>
    <row r="3487" spans="36:39" ht="12.75" hidden="1" customHeight="1" x14ac:dyDescent="0.2">
      <c r="AJ3487" s="215"/>
      <c r="AK3487" s="215"/>
      <c r="AL3487" s="215"/>
      <c r="AM3487" s="215"/>
    </row>
    <row r="3488" spans="36:39" ht="12.75" hidden="1" customHeight="1" x14ac:dyDescent="0.2">
      <c r="AJ3488" s="215"/>
      <c r="AK3488" s="215"/>
      <c r="AL3488" s="215"/>
      <c r="AM3488" s="215"/>
    </row>
    <row r="3489" spans="36:39" ht="12.75" hidden="1" customHeight="1" x14ac:dyDescent="0.2">
      <c r="AJ3489" s="215"/>
      <c r="AK3489" s="215"/>
      <c r="AL3489" s="215"/>
      <c r="AM3489" s="215"/>
    </row>
    <row r="3490" spans="36:39" ht="12.75" hidden="1" customHeight="1" x14ac:dyDescent="0.2">
      <c r="AJ3490" s="215"/>
      <c r="AK3490" s="215"/>
      <c r="AL3490" s="215"/>
      <c r="AM3490" s="215"/>
    </row>
    <row r="3491" spans="36:39" ht="12.75" hidden="1" customHeight="1" x14ac:dyDescent="0.2">
      <c r="AJ3491" s="215"/>
      <c r="AK3491" s="215"/>
      <c r="AL3491" s="215"/>
      <c r="AM3491" s="215"/>
    </row>
    <row r="3492" spans="36:39" ht="12.75" hidden="1" customHeight="1" x14ac:dyDescent="0.2">
      <c r="AJ3492" s="215"/>
      <c r="AK3492" s="215"/>
      <c r="AL3492" s="215"/>
      <c r="AM3492" s="215"/>
    </row>
    <row r="3493" spans="36:39" ht="12.75" hidden="1" customHeight="1" x14ac:dyDescent="0.2">
      <c r="AJ3493" s="215"/>
      <c r="AK3493" s="215"/>
      <c r="AL3493" s="215"/>
      <c r="AM3493" s="215"/>
    </row>
    <row r="3494" spans="36:39" ht="12.75" hidden="1" customHeight="1" x14ac:dyDescent="0.2">
      <c r="AJ3494" s="215"/>
      <c r="AK3494" s="215"/>
      <c r="AL3494" s="215"/>
      <c r="AM3494" s="215"/>
    </row>
    <row r="3495" spans="36:39" ht="12.75" hidden="1" customHeight="1" x14ac:dyDescent="0.2">
      <c r="AJ3495" s="215"/>
      <c r="AK3495" s="215"/>
      <c r="AL3495" s="215"/>
      <c r="AM3495" s="215"/>
    </row>
    <row r="3496" spans="36:39" ht="12.75" hidden="1" customHeight="1" x14ac:dyDescent="0.2">
      <c r="AJ3496" s="215"/>
      <c r="AK3496" s="215"/>
      <c r="AL3496" s="215"/>
      <c r="AM3496" s="215"/>
    </row>
    <row r="3497" spans="36:39" ht="12.75" hidden="1" customHeight="1" x14ac:dyDescent="0.2">
      <c r="AJ3497" s="215"/>
      <c r="AK3497" s="215"/>
      <c r="AL3497" s="215"/>
      <c r="AM3497" s="215"/>
    </row>
    <row r="3498" spans="36:39" ht="12.75" hidden="1" customHeight="1" x14ac:dyDescent="0.2">
      <c r="AJ3498" s="215"/>
      <c r="AK3498" s="215"/>
      <c r="AL3498" s="215"/>
      <c r="AM3498" s="215"/>
    </row>
    <row r="3499" spans="36:39" ht="12.75" hidden="1" customHeight="1" x14ac:dyDescent="0.2">
      <c r="AJ3499" s="215"/>
      <c r="AK3499" s="215"/>
      <c r="AL3499" s="215"/>
      <c r="AM3499" s="215"/>
    </row>
    <row r="3500" spans="36:39" ht="12.75" hidden="1" customHeight="1" x14ac:dyDescent="0.2">
      <c r="AJ3500" s="215"/>
      <c r="AK3500" s="215"/>
      <c r="AL3500" s="215"/>
      <c r="AM3500" s="215"/>
    </row>
    <row r="3501" spans="36:39" ht="12.75" hidden="1" customHeight="1" x14ac:dyDescent="0.2">
      <c r="AJ3501" s="215"/>
      <c r="AK3501" s="215"/>
      <c r="AL3501" s="215"/>
      <c r="AM3501" s="215"/>
    </row>
    <row r="3502" spans="36:39" ht="12.75" hidden="1" customHeight="1" x14ac:dyDescent="0.2">
      <c r="AJ3502" s="215"/>
      <c r="AK3502" s="215"/>
      <c r="AL3502" s="215"/>
      <c r="AM3502" s="215"/>
    </row>
    <row r="3503" spans="36:39" ht="12.75" hidden="1" customHeight="1" x14ac:dyDescent="0.2">
      <c r="AJ3503" s="215"/>
      <c r="AK3503" s="215"/>
      <c r="AL3503" s="215"/>
      <c r="AM3503" s="215"/>
    </row>
    <row r="3504" spans="36:39" ht="12.75" hidden="1" customHeight="1" x14ac:dyDescent="0.2">
      <c r="AJ3504" s="215"/>
      <c r="AK3504" s="215"/>
      <c r="AL3504" s="215"/>
      <c r="AM3504" s="215"/>
    </row>
    <row r="3505" spans="36:39" ht="12.75" hidden="1" customHeight="1" x14ac:dyDescent="0.2">
      <c r="AJ3505" s="215"/>
      <c r="AK3505" s="215"/>
      <c r="AL3505" s="215"/>
      <c r="AM3505" s="215"/>
    </row>
    <row r="3506" spans="36:39" ht="12.75" hidden="1" customHeight="1" x14ac:dyDescent="0.2">
      <c r="AJ3506" s="215"/>
      <c r="AK3506" s="215"/>
      <c r="AL3506" s="215"/>
      <c r="AM3506" s="215"/>
    </row>
    <row r="3507" spans="36:39" ht="12.75" hidden="1" customHeight="1" x14ac:dyDescent="0.2">
      <c r="AJ3507" s="215"/>
      <c r="AK3507" s="215"/>
      <c r="AL3507" s="215"/>
      <c r="AM3507" s="215"/>
    </row>
    <row r="3508" spans="36:39" ht="12.75" hidden="1" customHeight="1" x14ac:dyDescent="0.2">
      <c r="AJ3508" s="215"/>
      <c r="AK3508" s="215"/>
      <c r="AL3508" s="215"/>
      <c r="AM3508" s="215"/>
    </row>
    <row r="3509" spans="36:39" ht="12.75" hidden="1" customHeight="1" x14ac:dyDescent="0.2">
      <c r="AJ3509" s="215"/>
      <c r="AK3509" s="215"/>
      <c r="AL3509" s="215"/>
      <c r="AM3509" s="215"/>
    </row>
    <row r="3510" spans="36:39" ht="12.75" hidden="1" customHeight="1" x14ac:dyDescent="0.2">
      <c r="AJ3510" s="215"/>
      <c r="AK3510" s="215"/>
      <c r="AL3510" s="215"/>
      <c r="AM3510" s="215"/>
    </row>
    <row r="3511" spans="36:39" ht="12.75" hidden="1" customHeight="1" x14ac:dyDescent="0.2">
      <c r="AJ3511" s="215"/>
      <c r="AK3511" s="215"/>
      <c r="AL3511" s="215"/>
      <c r="AM3511" s="215"/>
    </row>
    <row r="3512" spans="36:39" ht="12.75" hidden="1" customHeight="1" x14ac:dyDescent="0.2">
      <c r="AJ3512" s="215"/>
      <c r="AK3512" s="215"/>
      <c r="AL3512" s="215"/>
      <c r="AM3512" s="215"/>
    </row>
    <row r="3513" spans="36:39" ht="12.75" hidden="1" customHeight="1" x14ac:dyDescent="0.2">
      <c r="AJ3513" s="215"/>
      <c r="AK3513" s="215"/>
      <c r="AL3513" s="215"/>
      <c r="AM3513" s="215"/>
    </row>
    <row r="3514" spans="36:39" ht="12.75" hidden="1" customHeight="1" x14ac:dyDescent="0.2">
      <c r="AJ3514" s="215"/>
      <c r="AK3514" s="215"/>
      <c r="AL3514" s="215"/>
      <c r="AM3514" s="215"/>
    </row>
    <row r="3515" spans="36:39" ht="12.75" hidden="1" customHeight="1" x14ac:dyDescent="0.2">
      <c r="AJ3515" s="215"/>
      <c r="AK3515" s="215"/>
      <c r="AL3515" s="215"/>
      <c r="AM3515" s="215"/>
    </row>
    <row r="3516" spans="36:39" ht="12.75" hidden="1" customHeight="1" x14ac:dyDescent="0.2">
      <c r="AJ3516" s="215"/>
      <c r="AK3516" s="215"/>
      <c r="AL3516" s="215"/>
      <c r="AM3516" s="215"/>
    </row>
    <row r="3517" spans="36:39" ht="12.75" hidden="1" customHeight="1" x14ac:dyDescent="0.2">
      <c r="AJ3517" s="215"/>
      <c r="AK3517" s="215"/>
      <c r="AL3517" s="215"/>
      <c r="AM3517" s="215"/>
    </row>
    <row r="3518" spans="36:39" ht="12.75" hidden="1" customHeight="1" x14ac:dyDescent="0.2">
      <c r="AJ3518" s="215"/>
      <c r="AK3518" s="215"/>
      <c r="AL3518" s="215"/>
      <c r="AM3518" s="215"/>
    </row>
    <row r="3519" spans="36:39" ht="12.75" hidden="1" customHeight="1" x14ac:dyDescent="0.2">
      <c r="AJ3519" s="215"/>
      <c r="AK3519" s="215"/>
      <c r="AL3519" s="215"/>
      <c r="AM3519" s="215"/>
    </row>
    <row r="3520" spans="36:39" ht="12.75" hidden="1" customHeight="1" x14ac:dyDescent="0.2">
      <c r="AJ3520" s="215"/>
      <c r="AK3520" s="215"/>
      <c r="AL3520" s="215"/>
      <c r="AM3520" s="215"/>
    </row>
    <row r="3521" spans="36:39" ht="12.75" hidden="1" customHeight="1" x14ac:dyDescent="0.2">
      <c r="AJ3521" s="215"/>
      <c r="AK3521" s="215"/>
      <c r="AL3521" s="215"/>
      <c r="AM3521" s="215"/>
    </row>
    <row r="3522" spans="36:39" ht="12.75" hidden="1" customHeight="1" x14ac:dyDescent="0.2">
      <c r="AJ3522" s="215"/>
      <c r="AK3522" s="215"/>
      <c r="AL3522" s="215"/>
      <c r="AM3522" s="215"/>
    </row>
    <row r="3523" spans="36:39" ht="12.75" hidden="1" customHeight="1" x14ac:dyDescent="0.2">
      <c r="AJ3523" s="215"/>
      <c r="AK3523" s="215"/>
      <c r="AL3523" s="215"/>
      <c r="AM3523" s="215"/>
    </row>
    <row r="3524" spans="36:39" ht="12.75" hidden="1" customHeight="1" x14ac:dyDescent="0.2">
      <c r="AJ3524" s="215"/>
      <c r="AK3524" s="215"/>
      <c r="AL3524" s="215"/>
      <c r="AM3524" s="215"/>
    </row>
    <row r="3525" spans="36:39" ht="12.75" hidden="1" customHeight="1" x14ac:dyDescent="0.2">
      <c r="AJ3525" s="215"/>
      <c r="AK3525" s="215"/>
      <c r="AL3525" s="215"/>
      <c r="AM3525" s="215"/>
    </row>
    <row r="3526" spans="36:39" ht="12.75" hidden="1" customHeight="1" x14ac:dyDescent="0.2">
      <c r="AJ3526" s="215"/>
      <c r="AK3526" s="215"/>
      <c r="AL3526" s="215"/>
      <c r="AM3526" s="215"/>
    </row>
    <row r="3527" spans="36:39" ht="12.75" hidden="1" customHeight="1" x14ac:dyDescent="0.2">
      <c r="AJ3527" s="215"/>
      <c r="AK3527" s="215"/>
      <c r="AL3527" s="215"/>
      <c r="AM3527" s="215"/>
    </row>
    <row r="3528" spans="36:39" ht="12.75" hidden="1" customHeight="1" x14ac:dyDescent="0.2">
      <c r="AJ3528" s="215"/>
      <c r="AK3528" s="215"/>
      <c r="AL3528" s="215"/>
      <c r="AM3528" s="215"/>
    </row>
    <row r="3529" spans="36:39" ht="12.75" hidden="1" customHeight="1" x14ac:dyDescent="0.2">
      <c r="AJ3529" s="215"/>
      <c r="AK3529" s="215"/>
      <c r="AL3529" s="215"/>
      <c r="AM3529" s="215"/>
    </row>
    <row r="3530" spans="36:39" ht="12.75" hidden="1" customHeight="1" x14ac:dyDescent="0.2">
      <c r="AJ3530" s="215"/>
      <c r="AK3530" s="215"/>
      <c r="AL3530" s="215"/>
      <c r="AM3530" s="215"/>
    </row>
    <row r="3531" spans="36:39" ht="12.75" hidden="1" customHeight="1" x14ac:dyDescent="0.2">
      <c r="AJ3531" s="215"/>
      <c r="AK3531" s="215"/>
      <c r="AL3531" s="215"/>
      <c r="AM3531" s="215"/>
    </row>
    <row r="3532" spans="36:39" ht="12.75" hidden="1" customHeight="1" x14ac:dyDescent="0.2">
      <c r="AJ3532" s="215"/>
      <c r="AK3532" s="215"/>
      <c r="AL3532" s="215"/>
      <c r="AM3532" s="215"/>
    </row>
    <row r="3533" spans="36:39" ht="12.75" hidden="1" customHeight="1" x14ac:dyDescent="0.2">
      <c r="AJ3533" s="215"/>
      <c r="AK3533" s="215"/>
      <c r="AL3533" s="215"/>
      <c r="AM3533" s="215"/>
    </row>
    <row r="3534" spans="36:39" ht="12.75" hidden="1" customHeight="1" x14ac:dyDescent="0.2">
      <c r="AJ3534" s="215"/>
      <c r="AK3534" s="215"/>
      <c r="AL3534" s="215"/>
      <c r="AM3534" s="215"/>
    </row>
    <row r="3535" spans="36:39" ht="12.75" hidden="1" customHeight="1" x14ac:dyDescent="0.2">
      <c r="AJ3535" s="215"/>
      <c r="AK3535" s="215"/>
      <c r="AL3535" s="215"/>
      <c r="AM3535" s="215"/>
    </row>
    <row r="3536" spans="36:39" ht="12.75" hidden="1" customHeight="1" x14ac:dyDescent="0.2">
      <c r="AJ3536" s="215"/>
      <c r="AK3536" s="215"/>
      <c r="AL3536" s="215"/>
      <c r="AM3536" s="215"/>
    </row>
    <row r="3537" spans="36:39" ht="12.75" hidden="1" customHeight="1" x14ac:dyDescent="0.2">
      <c r="AJ3537" s="215"/>
      <c r="AK3537" s="215"/>
      <c r="AL3537" s="215"/>
      <c r="AM3537" s="215"/>
    </row>
    <row r="3538" spans="36:39" ht="12.75" hidden="1" customHeight="1" x14ac:dyDescent="0.2">
      <c r="AJ3538" s="215"/>
      <c r="AK3538" s="215"/>
      <c r="AL3538" s="215"/>
      <c r="AM3538" s="215"/>
    </row>
    <row r="3539" spans="36:39" ht="12.75" hidden="1" customHeight="1" x14ac:dyDescent="0.2">
      <c r="AJ3539" s="215"/>
      <c r="AK3539" s="215"/>
      <c r="AL3539" s="215"/>
      <c r="AM3539" s="215"/>
    </row>
    <row r="3540" spans="36:39" ht="12.75" hidden="1" customHeight="1" x14ac:dyDescent="0.2">
      <c r="AJ3540" s="215"/>
      <c r="AK3540" s="215"/>
      <c r="AL3540" s="215"/>
      <c r="AM3540" s="215"/>
    </row>
    <row r="3541" spans="36:39" ht="12.75" hidden="1" customHeight="1" x14ac:dyDescent="0.2">
      <c r="AJ3541" s="215"/>
      <c r="AK3541" s="215"/>
      <c r="AL3541" s="215"/>
      <c r="AM3541" s="215"/>
    </row>
    <row r="3542" spans="36:39" ht="12.75" hidden="1" customHeight="1" x14ac:dyDescent="0.2">
      <c r="AJ3542" s="215"/>
      <c r="AK3542" s="215"/>
      <c r="AL3542" s="215"/>
      <c r="AM3542" s="215"/>
    </row>
    <row r="3543" spans="36:39" ht="12.75" hidden="1" customHeight="1" x14ac:dyDescent="0.2">
      <c r="AJ3543" s="215"/>
      <c r="AK3543" s="215"/>
      <c r="AL3543" s="215"/>
      <c r="AM3543" s="215"/>
    </row>
    <row r="3544" spans="36:39" ht="12.75" hidden="1" customHeight="1" x14ac:dyDescent="0.2">
      <c r="AJ3544" s="215"/>
      <c r="AK3544" s="215"/>
      <c r="AL3544" s="215"/>
      <c r="AM3544" s="215"/>
    </row>
    <row r="3545" spans="36:39" ht="12.75" hidden="1" customHeight="1" x14ac:dyDescent="0.2">
      <c r="AJ3545" s="215"/>
      <c r="AK3545" s="215"/>
      <c r="AL3545" s="215"/>
      <c r="AM3545" s="215"/>
    </row>
    <row r="3546" spans="36:39" ht="12.75" hidden="1" customHeight="1" x14ac:dyDescent="0.2">
      <c r="AJ3546" s="215"/>
      <c r="AK3546" s="215"/>
      <c r="AL3546" s="215"/>
      <c r="AM3546" s="215"/>
    </row>
    <row r="3547" spans="36:39" ht="12.75" hidden="1" customHeight="1" x14ac:dyDescent="0.2">
      <c r="AJ3547" s="215"/>
      <c r="AK3547" s="215"/>
      <c r="AL3547" s="215"/>
      <c r="AM3547" s="215"/>
    </row>
    <row r="3548" spans="36:39" ht="12.75" hidden="1" customHeight="1" x14ac:dyDescent="0.2">
      <c r="AJ3548" s="215"/>
      <c r="AK3548" s="215"/>
      <c r="AL3548" s="215"/>
      <c r="AM3548" s="215"/>
    </row>
    <row r="3549" spans="36:39" ht="12.75" hidden="1" customHeight="1" x14ac:dyDescent="0.2">
      <c r="AJ3549" s="215"/>
      <c r="AK3549" s="215"/>
      <c r="AL3549" s="215"/>
      <c r="AM3549" s="215"/>
    </row>
    <row r="3550" spans="36:39" ht="12.75" hidden="1" customHeight="1" x14ac:dyDescent="0.2">
      <c r="AJ3550" s="215"/>
      <c r="AK3550" s="215"/>
      <c r="AL3550" s="215"/>
      <c r="AM3550" s="215"/>
    </row>
    <row r="3551" spans="36:39" ht="12.75" hidden="1" customHeight="1" x14ac:dyDescent="0.2">
      <c r="AJ3551" s="215"/>
      <c r="AK3551" s="215"/>
      <c r="AL3551" s="215"/>
      <c r="AM3551" s="215"/>
    </row>
    <row r="3552" spans="36:39" ht="12.75" hidden="1" customHeight="1" x14ac:dyDescent="0.2">
      <c r="AJ3552" s="215"/>
      <c r="AK3552" s="215"/>
      <c r="AL3552" s="215"/>
      <c r="AM3552" s="215"/>
    </row>
    <row r="3553" spans="36:39" ht="12.75" hidden="1" customHeight="1" x14ac:dyDescent="0.2">
      <c r="AJ3553" s="215"/>
      <c r="AK3553" s="215"/>
      <c r="AL3553" s="215"/>
      <c r="AM3553" s="215"/>
    </row>
    <row r="3554" spans="36:39" ht="12.75" hidden="1" customHeight="1" x14ac:dyDescent="0.2">
      <c r="AJ3554" s="215"/>
      <c r="AK3554" s="215"/>
      <c r="AL3554" s="215"/>
      <c r="AM3554" s="215"/>
    </row>
    <row r="3555" spans="36:39" ht="12.75" hidden="1" customHeight="1" x14ac:dyDescent="0.2">
      <c r="AJ3555" s="215"/>
      <c r="AK3555" s="215"/>
      <c r="AL3555" s="215"/>
      <c r="AM3555" s="215"/>
    </row>
    <row r="3556" spans="36:39" ht="12.75" hidden="1" customHeight="1" x14ac:dyDescent="0.2">
      <c r="AJ3556" s="215"/>
      <c r="AK3556" s="215"/>
      <c r="AL3556" s="215"/>
      <c r="AM3556" s="215"/>
    </row>
    <row r="3557" spans="36:39" ht="12.75" hidden="1" customHeight="1" x14ac:dyDescent="0.2">
      <c r="AJ3557" s="215"/>
      <c r="AK3557" s="215"/>
      <c r="AL3557" s="215"/>
      <c r="AM3557" s="215"/>
    </row>
    <row r="3558" spans="36:39" ht="12.75" hidden="1" customHeight="1" x14ac:dyDescent="0.2">
      <c r="AJ3558" s="215"/>
      <c r="AK3558" s="215"/>
      <c r="AL3558" s="215"/>
      <c r="AM3558" s="215"/>
    </row>
    <row r="3559" spans="36:39" ht="12.75" hidden="1" customHeight="1" x14ac:dyDescent="0.2">
      <c r="AJ3559" s="215"/>
      <c r="AK3559" s="215"/>
      <c r="AL3559" s="215"/>
      <c r="AM3559" s="215"/>
    </row>
    <row r="3560" spans="36:39" ht="12.75" hidden="1" customHeight="1" x14ac:dyDescent="0.2">
      <c r="AJ3560" s="215"/>
      <c r="AK3560" s="215"/>
      <c r="AL3560" s="215"/>
      <c r="AM3560" s="215"/>
    </row>
    <row r="3561" spans="36:39" ht="12.75" hidden="1" customHeight="1" x14ac:dyDescent="0.2">
      <c r="AJ3561" s="215"/>
      <c r="AK3561" s="215"/>
      <c r="AL3561" s="215"/>
      <c r="AM3561" s="215"/>
    </row>
    <row r="3562" spans="36:39" ht="12.75" hidden="1" customHeight="1" x14ac:dyDescent="0.2">
      <c r="AJ3562" s="215"/>
      <c r="AK3562" s="215"/>
      <c r="AL3562" s="215"/>
      <c r="AM3562" s="215"/>
    </row>
    <row r="3563" spans="36:39" ht="12.75" hidden="1" customHeight="1" x14ac:dyDescent="0.2">
      <c r="AJ3563" s="215"/>
      <c r="AK3563" s="215"/>
      <c r="AL3563" s="215"/>
      <c r="AM3563" s="215"/>
    </row>
    <row r="3564" spans="36:39" ht="12.75" hidden="1" customHeight="1" x14ac:dyDescent="0.2">
      <c r="AJ3564" s="215"/>
      <c r="AK3564" s="215"/>
      <c r="AL3564" s="215"/>
      <c r="AM3564" s="215"/>
    </row>
    <row r="3565" spans="36:39" ht="12.75" hidden="1" customHeight="1" x14ac:dyDescent="0.2">
      <c r="AJ3565" s="215"/>
      <c r="AK3565" s="215"/>
      <c r="AL3565" s="215"/>
      <c r="AM3565" s="215"/>
    </row>
    <row r="3566" spans="36:39" ht="12.75" hidden="1" customHeight="1" x14ac:dyDescent="0.2">
      <c r="AJ3566" s="215"/>
      <c r="AK3566" s="215"/>
      <c r="AL3566" s="215"/>
      <c r="AM3566" s="215"/>
    </row>
    <row r="3567" spans="36:39" ht="12.75" hidden="1" customHeight="1" x14ac:dyDescent="0.2">
      <c r="AJ3567" s="215"/>
      <c r="AK3567" s="215"/>
      <c r="AL3567" s="215"/>
      <c r="AM3567" s="215"/>
    </row>
    <row r="3568" spans="36:39" ht="12.75" hidden="1" customHeight="1" x14ac:dyDescent="0.2">
      <c r="AJ3568" s="215"/>
      <c r="AK3568" s="215"/>
      <c r="AL3568" s="215"/>
      <c r="AM3568" s="215"/>
    </row>
    <row r="3569" spans="36:39" ht="12.75" hidden="1" customHeight="1" x14ac:dyDescent="0.2">
      <c r="AJ3569" s="215"/>
      <c r="AK3569" s="215"/>
      <c r="AL3569" s="215"/>
      <c r="AM3569" s="215"/>
    </row>
    <row r="3570" spans="36:39" ht="12.75" hidden="1" customHeight="1" x14ac:dyDescent="0.2">
      <c r="AJ3570" s="215"/>
      <c r="AK3570" s="215"/>
      <c r="AL3570" s="215"/>
      <c r="AM3570" s="215"/>
    </row>
    <row r="3571" spans="36:39" ht="12.75" hidden="1" customHeight="1" x14ac:dyDescent="0.2">
      <c r="AJ3571" s="215"/>
      <c r="AK3571" s="215"/>
      <c r="AL3571" s="215"/>
      <c r="AM3571" s="215"/>
    </row>
    <row r="3572" spans="36:39" ht="12.75" hidden="1" customHeight="1" x14ac:dyDescent="0.2">
      <c r="AJ3572" s="215"/>
      <c r="AK3572" s="215"/>
      <c r="AL3572" s="215"/>
      <c r="AM3572" s="215"/>
    </row>
    <row r="3573" spans="36:39" ht="12.75" hidden="1" customHeight="1" x14ac:dyDescent="0.2">
      <c r="AJ3573" s="215"/>
      <c r="AK3573" s="215"/>
      <c r="AL3573" s="215"/>
      <c r="AM3573" s="215"/>
    </row>
    <row r="3574" spans="36:39" ht="12.75" hidden="1" customHeight="1" x14ac:dyDescent="0.2">
      <c r="AJ3574" s="215"/>
      <c r="AK3574" s="215"/>
      <c r="AL3574" s="215"/>
      <c r="AM3574" s="215"/>
    </row>
    <row r="3575" spans="36:39" ht="12.75" hidden="1" customHeight="1" x14ac:dyDescent="0.2">
      <c r="AJ3575" s="215"/>
      <c r="AK3575" s="215"/>
      <c r="AL3575" s="215"/>
      <c r="AM3575" s="215"/>
    </row>
    <row r="3576" spans="36:39" ht="12.75" hidden="1" customHeight="1" x14ac:dyDescent="0.2">
      <c r="AJ3576" s="215"/>
      <c r="AK3576" s="215"/>
      <c r="AL3576" s="215"/>
      <c r="AM3576" s="215"/>
    </row>
    <row r="3577" spans="36:39" ht="12.75" hidden="1" customHeight="1" x14ac:dyDescent="0.2">
      <c r="AJ3577" s="215"/>
      <c r="AK3577" s="215"/>
      <c r="AL3577" s="215"/>
      <c r="AM3577" s="215"/>
    </row>
    <row r="3578" spans="36:39" ht="12.75" hidden="1" customHeight="1" x14ac:dyDescent="0.2">
      <c r="AJ3578" s="215"/>
      <c r="AK3578" s="215"/>
      <c r="AL3578" s="215"/>
      <c r="AM3578" s="215"/>
    </row>
    <row r="3579" spans="36:39" ht="12.75" hidden="1" customHeight="1" x14ac:dyDescent="0.2">
      <c r="AJ3579" s="215"/>
      <c r="AK3579" s="215"/>
      <c r="AL3579" s="215"/>
      <c r="AM3579" s="215"/>
    </row>
    <row r="3580" spans="36:39" ht="12.75" hidden="1" customHeight="1" x14ac:dyDescent="0.2">
      <c r="AJ3580" s="215"/>
      <c r="AK3580" s="215"/>
      <c r="AL3580" s="215"/>
      <c r="AM3580" s="215"/>
    </row>
    <row r="3581" spans="36:39" ht="12.75" hidden="1" customHeight="1" x14ac:dyDescent="0.2">
      <c r="AJ3581" s="215"/>
      <c r="AK3581" s="215"/>
      <c r="AL3581" s="215"/>
      <c r="AM3581" s="215"/>
    </row>
    <row r="3582" spans="36:39" ht="12.75" hidden="1" customHeight="1" x14ac:dyDescent="0.2">
      <c r="AJ3582" s="215"/>
      <c r="AK3582" s="215"/>
      <c r="AL3582" s="215"/>
      <c r="AM3582" s="215"/>
    </row>
    <row r="3583" spans="36:39" ht="12.75" hidden="1" customHeight="1" x14ac:dyDescent="0.2">
      <c r="AJ3583" s="215"/>
      <c r="AK3583" s="215"/>
      <c r="AL3583" s="215"/>
      <c r="AM3583" s="215"/>
    </row>
    <row r="3584" spans="36:39" ht="12.75" hidden="1" customHeight="1" x14ac:dyDescent="0.2">
      <c r="AJ3584" s="215"/>
      <c r="AK3584" s="215"/>
      <c r="AL3584" s="215"/>
      <c r="AM3584" s="215"/>
    </row>
    <row r="3585" spans="36:39" ht="12.75" hidden="1" customHeight="1" x14ac:dyDescent="0.2">
      <c r="AJ3585" s="215"/>
      <c r="AK3585" s="215"/>
      <c r="AL3585" s="215"/>
      <c r="AM3585" s="215"/>
    </row>
    <row r="3586" spans="36:39" ht="12.75" hidden="1" customHeight="1" x14ac:dyDescent="0.2">
      <c r="AJ3586" s="215"/>
      <c r="AK3586" s="215"/>
      <c r="AL3586" s="215"/>
      <c r="AM3586" s="215"/>
    </row>
    <row r="3587" spans="36:39" ht="12.75" hidden="1" customHeight="1" x14ac:dyDescent="0.2">
      <c r="AJ3587" s="215"/>
      <c r="AK3587" s="215"/>
      <c r="AL3587" s="215"/>
      <c r="AM3587" s="215"/>
    </row>
    <row r="3588" spans="36:39" ht="12.75" hidden="1" customHeight="1" x14ac:dyDescent="0.2">
      <c r="AJ3588" s="215"/>
      <c r="AK3588" s="215"/>
      <c r="AL3588" s="215"/>
      <c r="AM3588" s="215"/>
    </row>
    <row r="3589" spans="36:39" ht="12.75" hidden="1" customHeight="1" x14ac:dyDescent="0.2">
      <c r="AJ3589" s="215"/>
      <c r="AK3589" s="215"/>
      <c r="AL3589" s="215"/>
      <c r="AM3589" s="215"/>
    </row>
    <row r="3590" spans="36:39" ht="12.75" hidden="1" customHeight="1" x14ac:dyDescent="0.2">
      <c r="AJ3590" s="215"/>
      <c r="AK3590" s="215"/>
      <c r="AL3590" s="215"/>
      <c r="AM3590" s="215"/>
    </row>
    <row r="3591" spans="36:39" ht="12.75" hidden="1" customHeight="1" x14ac:dyDescent="0.2">
      <c r="AJ3591" s="215"/>
      <c r="AK3591" s="215"/>
      <c r="AL3591" s="215"/>
      <c r="AM3591" s="215"/>
    </row>
    <row r="3592" spans="36:39" ht="12.75" hidden="1" customHeight="1" x14ac:dyDescent="0.2">
      <c r="AJ3592" s="215"/>
      <c r="AK3592" s="215"/>
      <c r="AL3592" s="215"/>
      <c r="AM3592" s="215"/>
    </row>
    <row r="3593" spans="36:39" ht="12.75" hidden="1" customHeight="1" x14ac:dyDescent="0.2">
      <c r="AJ3593" s="215"/>
      <c r="AK3593" s="215"/>
      <c r="AL3593" s="215"/>
      <c r="AM3593" s="215"/>
    </row>
    <row r="3594" spans="36:39" ht="12.75" hidden="1" customHeight="1" x14ac:dyDescent="0.2">
      <c r="AJ3594" s="215"/>
      <c r="AK3594" s="215"/>
      <c r="AL3594" s="215"/>
      <c r="AM3594" s="215"/>
    </row>
    <row r="3595" spans="36:39" ht="12.75" hidden="1" customHeight="1" x14ac:dyDescent="0.2">
      <c r="AJ3595" s="215"/>
      <c r="AK3595" s="215"/>
      <c r="AL3595" s="215"/>
      <c r="AM3595" s="215"/>
    </row>
    <row r="3596" spans="36:39" ht="12.75" hidden="1" customHeight="1" x14ac:dyDescent="0.2">
      <c r="AJ3596" s="215"/>
      <c r="AK3596" s="215"/>
      <c r="AL3596" s="215"/>
      <c r="AM3596" s="215"/>
    </row>
    <row r="3597" spans="36:39" ht="12.75" hidden="1" customHeight="1" x14ac:dyDescent="0.2">
      <c r="AJ3597" s="215"/>
      <c r="AK3597" s="215"/>
      <c r="AL3597" s="215"/>
      <c r="AM3597" s="215"/>
    </row>
    <row r="3598" spans="36:39" ht="12.75" hidden="1" customHeight="1" x14ac:dyDescent="0.2">
      <c r="AJ3598" s="215"/>
      <c r="AK3598" s="215"/>
      <c r="AL3598" s="215"/>
      <c r="AM3598" s="215"/>
    </row>
    <row r="3599" spans="36:39" ht="12.75" hidden="1" customHeight="1" x14ac:dyDescent="0.2">
      <c r="AJ3599" s="215"/>
      <c r="AK3599" s="215"/>
      <c r="AL3599" s="215"/>
      <c r="AM3599" s="215"/>
    </row>
    <row r="3600" spans="36:39" ht="12.75" hidden="1" customHeight="1" x14ac:dyDescent="0.2">
      <c r="AJ3600" s="215"/>
      <c r="AK3600" s="215"/>
      <c r="AL3600" s="215"/>
      <c r="AM3600" s="215"/>
    </row>
    <row r="3601" spans="36:39" ht="12.75" hidden="1" customHeight="1" x14ac:dyDescent="0.2">
      <c r="AJ3601" s="215"/>
      <c r="AK3601" s="215"/>
      <c r="AL3601" s="215"/>
      <c r="AM3601" s="215"/>
    </row>
    <row r="3602" spans="36:39" ht="12.75" hidden="1" customHeight="1" x14ac:dyDescent="0.2">
      <c r="AJ3602" s="215"/>
      <c r="AK3602" s="215"/>
      <c r="AL3602" s="215"/>
      <c r="AM3602" s="215"/>
    </row>
    <row r="3603" spans="36:39" ht="12.75" hidden="1" customHeight="1" x14ac:dyDescent="0.2">
      <c r="AJ3603" s="215"/>
      <c r="AK3603" s="215"/>
      <c r="AL3603" s="215"/>
      <c r="AM3603" s="215"/>
    </row>
    <row r="3604" spans="36:39" ht="12.75" hidden="1" customHeight="1" x14ac:dyDescent="0.2">
      <c r="AJ3604" s="215"/>
      <c r="AK3604" s="215"/>
      <c r="AL3604" s="215"/>
      <c r="AM3604" s="215"/>
    </row>
    <row r="3605" spans="36:39" ht="12.75" hidden="1" customHeight="1" x14ac:dyDescent="0.2">
      <c r="AJ3605" s="215"/>
      <c r="AK3605" s="215"/>
      <c r="AL3605" s="215"/>
      <c r="AM3605" s="215"/>
    </row>
    <row r="3606" spans="36:39" ht="12.75" hidden="1" customHeight="1" x14ac:dyDescent="0.2">
      <c r="AJ3606" s="215"/>
      <c r="AK3606" s="215"/>
      <c r="AL3606" s="215"/>
      <c r="AM3606" s="215"/>
    </row>
    <row r="3607" spans="36:39" ht="12.75" hidden="1" customHeight="1" x14ac:dyDescent="0.2">
      <c r="AJ3607" s="215"/>
      <c r="AK3607" s="215"/>
      <c r="AL3607" s="215"/>
      <c r="AM3607" s="215"/>
    </row>
    <row r="3608" spans="36:39" ht="12.75" hidden="1" customHeight="1" x14ac:dyDescent="0.2">
      <c r="AJ3608" s="215"/>
      <c r="AK3608" s="215"/>
      <c r="AL3608" s="215"/>
      <c r="AM3608" s="215"/>
    </row>
    <row r="3609" spans="36:39" ht="12.75" hidden="1" customHeight="1" x14ac:dyDescent="0.2">
      <c r="AJ3609" s="215"/>
      <c r="AK3609" s="215"/>
      <c r="AL3609" s="215"/>
      <c r="AM3609" s="215"/>
    </row>
    <row r="3610" spans="36:39" ht="12.75" hidden="1" customHeight="1" x14ac:dyDescent="0.2">
      <c r="AJ3610" s="215"/>
      <c r="AK3610" s="215"/>
      <c r="AL3610" s="215"/>
      <c r="AM3610" s="215"/>
    </row>
    <row r="3611" spans="36:39" ht="12.75" hidden="1" customHeight="1" x14ac:dyDescent="0.2">
      <c r="AJ3611" s="215"/>
      <c r="AK3611" s="215"/>
      <c r="AL3611" s="215"/>
      <c r="AM3611" s="215"/>
    </row>
    <row r="3612" spans="36:39" ht="12.75" hidden="1" customHeight="1" x14ac:dyDescent="0.2">
      <c r="AJ3612" s="215"/>
      <c r="AK3612" s="215"/>
      <c r="AL3612" s="215"/>
      <c r="AM3612" s="215"/>
    </row>
    <row r="3613" spans="36:39" ht="12.75" hidden="1" customHeight="1" x14ac:dyDescent="0.2">
      <c r="AJ3613" s="215"/>
      <c r="AK3613" s="215"/>
      <c r="AL3613" s="215"/>
      <c r="AM3613" s="215"/>
    </row>
    <row r="3614" spans="36:39" ht="12.75" hidden="1" customHeight="1" x14ac:dyDescent="0.2">
      <c r="AJ3614" s="215"/>
      <c r="AK3614" s="215"/>
      <c r="AL3614" s="215"/>
      <c r="AM3614" s="215"/>
    </row>
    <row r="3615" spans="36:39" ht="12.75" hidden="1" customHeight="1" x14ac:dyDescent="0.2">
      <c r="AJ3615" s="215"/>
      <c r="AK3615" s="215"/>
      <c r="AL3615" s="215"/>
      <c r="AM3615" s="215"/>
    </row>
    <row r="3616" spans="36:39" ht="12.75" hidden="1" customHeight="1" x14ac:dyDescent="0.2">
      <c r="AJ3616" s="215"/>
      <c r="AK3616" s="215"/>
      <c r="AL3616" s="215"/>
      <c r="AM3616" s="215"/>
    </row>
    <row r="3617" spans="36:39" ht="12.75" hidden="1" customHeight="1" x14ac:dyDescent="0.2">
      <c r="AJ3617" s="215"/>
      <c r="AK3617" s="215"/>
      <c r="AL3617" s="215"/>
      <c r="AM3617" s="215"/>
    </row>
    <row r="3618" spans="36:39" ht="12.75" hidden="1" customHeight="1" x14ac:dyDescent="0.2">
      <c r="AJ3618" s="215"/>
      <c r="AK3618" s="215"/>
      <c r="AL3618" s="215"/>
      <c r="AM3618" s="215"/>
    </row>
    <row r="3619" spans="36:39" ht="12.75" hidden="1" customHeight="1" x14ac:dyDescent="0.2">
      <c r="AJ3619" s="215"/>
      <c r="AK3619" s="215"/>
      <c r="AL3619" s="215"/>
      <c r="AM3619" s="215"/>
    </row>
    <row r="3620" spans="36:39" ht="12.75" hidden="1" customHeight="1" x14ac:dyDescent="0.2">
      <c r="AJ3620" s="215"/>
      <c r="AK3620" s="215"/>
      <c r="AL3620" s="215"/>
      <c r="AM3620" s="215"/>
    </row>
    <row r="3621" spans="36:39" ht="12.75" hidden="1" customHeight="1" x14ac:dyDescent="0.2">
      <c r="AJ3621" s="215"/>
      <c r="AK3621" s="215"/>
      <c r="AL3621" s="215"/>
      <c r="AM3621" s="215"/>
    </row>
    <row r="3622" spans="36:39" ht="12.75" hidden="1" customHeight="1" x14ac:dyDescent="0.2">
      <c r="AJ3622" s="215"/>
      <c r="AK3622" s="215"/>
      <c r="AL3622" s="215"/>
      <c r="AM3622" s="215"/>
    </row>
    <row r="3623" spans="36:39" ht="12.75" hidden="1" customHeight="1" x14ac:dyDescent="0.2">
      <c r="AJ3623" s="215"/>
      <c r="AK3623" s="215"/>
      <c r="AL3623" s="215"/>
      <c r="AM3623" s="215"/>
    </row>
    <row r="3624" spans="36:39" ht="12.75" hidden="1" customHeight="1" x14ac:dyDescent="0.2">
      <c r="AJ3624" s="215"/>
      <c r="AK3624" s="215"/>
      <c r="AL3624" s="215"/>
      <c r="AM3624" s="215"/>
    </row>
    <row r="3625" spans="36:39" ht="12.75" hidden="1" customHeight="1" x14ac:dyDescent="0.2">
      <c r="AJ3625" s="215"/>
      <c r="AK3625" s="215"/>
      <c r="AL3625" s="215"/>
      <c r="AM3625" s="215"/>
    </row>
    <row r="3626" spans="36:39" ht="12.75" hidden="1" customHeight="1" x14ac:dyDescent="0.2">
      <c r="AJ3626" s="215"/>
      <c r="AK3626" s="215"/>
      <c r="AL3626" s="215"/>
      <c r="AM3626" s="215"/>
    </row>
    <row r="3627" spans="36:39" ht="12.75" hidden="1" customHeight="1" x14ac:dyDescent="0.2">
      <c r="AJ3627" s="215"/>
      <c r="AK3627" s="215"/>
      <c r="AL3627" s="215"/>
      <c r="AM3627" s="215"/>
    </row>
    <row r="3628" spans="36:39" ht="12.75" hidden="1" customHeight="1" x14ac:dyDescent="0.2">
      <c r="AJ3628" s="215"/>
      <c r="AK3628" s="215"/>
      <c r="AL3628" s="215"/>
      <c r="AM3628" s="215"/>
    </row>
    <row r="3629" spans="36:39" ht="12.75" hidden="1" customHeight="1" x14ac:dyDescent="0.2">
      <c r="AJ3629" s="215"/>
      <c r="AK3629" s="215"/>
      <c r="AL3629" s="215"/>
      <c r="AM3629" s="215"/>
    </row>
    <row r="3630" spans="36:39" ht="12.75" hidden="1" customHeight="1" x14ac:dyDescent="0.2">
      <c r="AJ3630" s="215"/>
      <c r="AK3630" s="215"/>
      <c r="AL3630" s="215"/>
      <c r="AM3630" s="215"/>
    </row>
    <row r="3631" spans="36:39" ht="12.75" hidden="1" customHeight="1" x14ac:dyDescent="0.2">
      <c r="AJ3631" s="215"/>
      <c r="AK3631" s="215"/>
      <c r="AL3631" s="215"/>
      <c r="AM3631" s="215"/>
    </row>
    <row r="3632" spans="36:39" ht="12.75" hidden="1" customHeight="1" x14ac:dyDescent="0.2">
      <c r="AJ3632" s="215"/>
      <c r="AK3632" s="215"/>
      <c r="AL3632" s="215"/>
      <c r="AM3632" s="215"/>
    </row>
    <row r="3633" spans="36:39" ht="12.75" hidden="1" customHeight="1" x14ac:dyDescent="0.2">
      <c r="AJ3633" s="215"/>
      <c r="AK3633" s="215"/>
      <c r="AL3633" s="215"/>
      <c r="AM3633" s="215"/>
    </row>
    <row r="3634" spans="36:39" ht="12.75" hidden="1" customHeight="1" x14ac:dyDescent="0.2">
      <c r="AJ3634" s="215"/>
      <c r="AK3634" s="215"/>
      <c r="AL3634" s="215"/>
      <c r="AM3634" s="215"/>
    </row>
    <row r="3635" spans="36:39" ht="12.75" hidden="1" customHeight="1" x14ac:dyDescent="0.2">
      <c r="AJ3635" s="215"/>
      <c r="AK3635" s="215"/>
      <c r="AL3635" s="215"/>
      <c r="AM3635" s="215"/>
    </row>
    <row r="3636" spans="36:39" ht="12.75" hidden="1" customHeight="1" x14ac:dyDescent="0.2">
      <c r="AJ3636" s="215"/>
      <c r="AK3636" s="215"/>
      <c r="AL3636" s="215"/>
      <c r="AM3636" s="215"/>
    </row>
    <row r="3637" spans="36:39" ht="12.75" hidden="1" customHeight="1" x14ac:dyDescent="0.2">
      <c r="AJ3637" s="215"/>
      <c r="AK3637" s="215"/>
      <c r="AL3637" s="215"/>
      <c r="AM3637" s="215"/>
    </row>
    <row r="3638" spans="36:39" ht="12.75" hidden="1" customHeight="1" x14ac:dyDescent="0.2">
      <c r="AJ3638" s="215"/>
      <c r="AK3638" s="215"/>
      <c r="AL3638" s="215"/>
      <c r="AM3638" s="215"/>
    </row>
    <row r="3639" spans="36:39" ht="12.75" hidden="1" customHeight="1" x14ac:dyDescent="0.2">
      <c r="AJ3639" s="215"/>
      <c r="AK3639" s="215"/>
      <c r="AL3639" s="215"/>
      <c r="AM3639" s="215"/>
    </row>
    <row r="3640" spans="36:39" ht="12.75" hidden="1" customHeight="1" x14ac:dyDescent="0.2">
      <c r="AJ3640" s="215"/>
      <c r="AK3640" s="215"/>
      <c r="AL3640" s="215"/>
      <c r="AM3640" s="215"/>
    </row>
    <row r="3641" spans="36:39" ht="12.75" hidden="1" customHeight="1" x14ac:dyDescent="0.2">
      <c r="AJ3641" s="215"/>
      <c r="AK3641" s="215"/>
      <c r="AL3641" s="215"/>
      <c r="AM3641" s="215"/>
    </row>
    <row r="3642" spans="36:39" ht="12.75" hidden="1" customHeight="1" x14ac:dyDescent="0.2">
      <c r="AJ3642" s="215"/>
      <c r="AK3642" s="215"/>
      <c r="AL3642" s="215"/>
      <c r="AM3642" s="215"/>
    </row>
    <row r="3643" spans="36:39" ht="12.75" hidden="1" customHeight="1" x14ac:dyDescent="0.2">
      <c r="AJ3643" s="215"/>
      <c r="AK3643" s="215"/>
      <c r="AL3643" s="215"/>
      <c r="AM3643" s="215"/>
    </row>
    <row r="3644" spans="36:39" ht="12.75" hidden="1" customHeight="1" x14ac:dyDescent="0.2">
      <c r="AJ3644" s="215"/>
      <c r="AK3644" s="215"/>
      <c r="AL3644" s="215"/>
      <c r="AM3644" s="215"/>
    </row>
    <row r="3645" spans="36:39" ht="12.75" hidden="1" customHeight="1" x14ac:dyDescent="0.2">
      <c r="AJ3645" s="215"/>
      <c r="AK3645" s="215"/>
      <c r="AL3645" s="215"/>
      <c r="AM3645" s="215"/>
    </row>
    <row r="3646" spans="36:39" ht="12.75" hidden="1" customHeight="1" x14ac:dyDescent="0.2">
      <c r="AJ3646" s="215"/>
      <c r="AK3646" s="215"/>
      <c r="AL3646" s="215"/>
      <c r="AM3646" s="215"/>
    </row>
    <row r="3647" spans="36:39" ht="12.75" hidden="1" customHeight="1" x14ac:dyDescent="0.2">
      <c r="AJ3647" s="215"/>
      <c r="AK3647" s="215"/>
      <c r="AL3647" s="215"/>
      <c r="AM3647" s="215"/>
    </row>
    <row r="3648" spans="36:39" ht="12.75" hidden="1" customHeight="1" x14ac:dyDescent="0.2">
      <c r="AJ3648" s="215"/>
      <c r="AK3648" s="215"/>
      <c r="AL3648" s="215"/>
      <c r="AM3648" s="215"/>
    </row>
    <row r="3649" spans="36:39" ht="12.75" hidden="1" customHeight="1" x14ac:dyDescent="0.2">
      <c r="AJ3649" s="215"/>
      <c r="AK3649" s="215"/>
      <c r="AL3649" s="215"/>
      <c r="AM3649" s="215"/>
    </row>
    <row r="3650" spans="36:39" ht="12.75" hidden="1" customHeight="1" x14ac:dyDescent="0.2">
      <c r="AJ3650" s="215"/>
      <c r="AK3650" s="215"/>
      <c r="AL3650" s="215"/>
      <c r="AM3650" s="215"/>
    </row>
    <row r="3651" spans="36:39" ht="12.75" hidden="1" customHeight="1" x14ac:dyDescent="0.2">
      <c r="AJ3651" s="215"/>
      <c r="AK3651" s="215"/>
      <c r="AL3651" s="215"/>
      <c r="AM3651" s="215"/>
    </row>
    <row r="3652" spans="36:39" ht="12.75" hidden="1" customHeight="1" x14ac:dyDescent="0.2">
      <c r="AJ3652" s="215"/>
      <c r="AK3652" s="215"/>
      <c r="AL3652" s="215"/>
      <c r="AM3652" s="215"/>
    </row>
    <row r="3653" spans="36:39" ht="12.75" hidden="1" customHeight="1" x14ac:dyDescent="0.2">
      <c r="AJ3653" s="215"/>
      <c r="AK3653" s="215"/>
      <c r="AL3653" s="215"/>
      <c r="AM3653" s="215"/>
    </row>
    <row r="3654" spans="36:39" ht="12.75" hidden="1" customHeight="1" x14ac:dyDescent="0.2">
      <c r="AJ3654" s="215"/>
      <c r="AK3654" s="215"/>
      <c r="AL3654" s="215"/>
      <c r="AM3654" s="215"/>
    </row>
    <row r="3655" spans="36:39" ht="12.75" hidden="1" customHeight="1" x14ac:dyDescent="0.2">
      <c r="AJ3655" s="215"/>
      <c r="AK3655" s="215"/>
      <c r="AL3655" s="215"/>
      <c r="AM3655" s="215"/>
    </row>
    <row r="3656" spans="36:39" ht="12.75" hidden="1" customHeight="1" x14ac:dyDescent="0.2">
      <c r="AJ3656" s="215"/>
      <c r="AK3656" s="215"/>
      <c r="AL3656" s="215"/>
      <c r="AM3656" s="215"/>
    </row>
    <row r="3657" spans="36:39" ht="12.75" hidden="1" customHeight="1" x14ac:dyDescent="0.2">
      <c r="AJ3657" s="215"/>
      <c r="AK3657" s="215"/>
      <c r="AL3657" s="215"/>
      <c r="AM3657" s="215"/>
    </row>
    <row r="3658" spans="36:39" ht="12.75" hidden="1" customHeight="1" x14ac:dyDescent="0.2">
      <c r="AJ3658" s="215"/>
      <c r="AK3658" s="215"/>
      <c r="AL3658" s="215"/>
      <c r="AM3658" s="215"/>
    </row>
    <row r="3659" spans="36:39" ht="12.75" hidden="1" customHeight="1" x14ac:dyDescent="0.2">
      <c r="AJ3659" s="215"/>
      <c r="AK3659" s="215"/>
      <c r="AL3659" s="215"/>
      <c r="AM3659" s="215"/>
    </row>
    <row r="3660" spans="36:39" ht="12.75" hidden="1" customHeight="1" x14ac:dyDescent="0.2">
      <c r="AJ3660" s="215"/>
      <c r="AK3660" s="215"/>
      <c r="AL3660" s="215"/>
      <c r="AM3660" s="215"/>
    </row>
    <row r="3661" spans="36:39" ht="12.75" hidden="1" customHeight="1" x14ac:dyDescent="0.2">
      <c r="AJ3661" s="215"/>
      <c r="AK3661" s="215"/>
      <c r="AL3661" s="215"/>
      <c r="AM3661" s="215"/>
    </row>
    <row r="3662" spans="36:39" ht="12.75" hidden="1" customHeight="1" x14ac:dyDescent="0.2">
      <c r="AJ3662" s="215"/>
      <c r="AK3662" s="215"/>
      <c r="AL3662" s="215"/>
      <c r="AM3662" s="215"/>
    </row>
    <row r="3663" spans="36:39" ht="12.75" hidden="1" customHeight="1" x14ac:dyDescent="0.2">
      <c r="AJ3663" s="215"/>
      <c r="AK3663" s="215"/>
      <c r="AL3663" s="215"/>
      <c r="AM3663" s="215"/>
    </row>
    <row r="3664" spans="36:39" ht="12.75" hidden="1" customHeight="1" x14ac:dyDescent="0.2">
      <c r="AJ3664" s="215"/>
      <c r="AK3664" s="215"/>
      <c r="AL3664" s="215"/>
      <c r="AM3664" s="215"/>
    </row>
    <row r="3665" spans="36:39" ht="12.75" hidden="1" customHeight="1" x14ac:dyDescent="0.2">
      <c r="AJ3665" s="215"/>
      <c r="AK3665" s="215"/>
      <c r="AL3665" s="215"/>
      <c r="AM3665" s="215"/>
    </row>
    <row r="3666" spans="36:39" ht="12.75" hidden="1" customHeight="1" x14ac:dyDescent="0.2">
      <c r="AJ3666" s="215"/>
      <c r="AK3666" s="215"/>
      <c r="AL3666" s="215"/>
      <c r="AM3666" s="215"/>
    </row>
    <row r="3667" spans="36:39" ht="12.75" hidden="1" customHeight="1" x14ac:dyDescent="0.2">
      <c r="AJ3667" s="215"/>
      <c r="AK3667" s="215"/>
      <c r="AL3667" s="215"/>
      <c r="AM3667" s="215"/>
    </row>
    <row r="3668" spans="36:39" ht="12.75" hidden="1" customHeight="1" x14ac:dyDescent="0.2">
      <c r="AJ3668" s="215"/>
      <c r="AK3668" s="215"/>
      <c r="AL3668" s="215"/>
      <c r="AM3668" s="215"/>
    </row>
    <row r="3669" spans="36:39" ht="12.75" hidden="1" customHeight="1" x14ac:dyDescent="0.2">
      <c r="AJ3669" s="215"/>
      <c r="AK3669" s="215"/>
      <c r="AL3669" s="215"/>
      <c r="AM3669" s="215"/>
    </row>
    <row r="3670" spans="36:39" ht="12.75" hidden="1" customHeight="1" x14ac:dyDescent="0.2">
      <c r="AJ3670" s="215"/>
      <c r="AK3670" s="215"/>
      <c r="AL3670" s="215"/>
      <c r="AM3670" s="215"/>
    </row>
    <row r="3671" spans="36:39" ht="12.75" hidden="1" customHeight="1" x14ac:dyDescent="0.2">
      <c r="AJ3671" s="215"/>
      <c r="AK3671" s="215"/>
      <c r="AL3671" s="215"/>
      <c r="AM3671" s="215"/>
    </row>
    <row r="3672" spans="36:39" ht="12.75" hidden="1" customHeight="1" x14ac:dyDescent="0.2">
      <c r="AJ3672" s="215"/>
      <c r="AK3672" s="215"/>
      <c r="AL3672" s="215"/>
      <c r="AM3672" s="215"/>
    </row>
    <row r="3673" spans="36:39" ht="12.75" hidden="1" customHeight="1" x14ac:dyDescent="0.2">
      <c r="AJ3673" s="215"/>
      <c r="AK3673" s="215"/>
      <c r="AL3673" s="215"/>
      <c r="AM3673" s="215"/>
    </row>
    <row r="3674" spans="36:39" ht="12.75" hidden="1" customHeight="1" x14ac:dyDescent="0.2">
      <c r="AJ3674" s="215"/>
      <c r="AK3674" s="215"/>
      <c r="AL3674" s="215"/>
      <c r="AM3674" s="215"/>
    </row>
    <row r="3675" spans="36:39" ht="12.75" hidden="1" customHeight="1" x14ac:dyDescent="0.2">
      <c r="AJ3675" s="215"/>
      <c r="AK3675" s="215"/>
      <c r="AL3675" s="215"/>
      <c r="AM3675" s="215"/>
    </row>
    <row r="3676" spans="36:39" ht="12.75" hidden="1" customHeight="1" x14ac:dyDescent="0.2">
      <c r="AJ3676" s="215"/>
      <c r="AK3676" s="215"/>
      <c r="AL3676" s="215"/>
      <c r="AM3676" s="215"/>
    </row>
    <row r="3677" spans="36:39" ht="12.75" hidden="1" customHeight="1" x14ac:dyDescent="0.2">
      <c r="AJ3677" s="215"/>
      <c r="AK3677" s="215"/>
      <c r="AL3677" s="215"/>
      <c r="AM3677" s="215"/>
    </row>
    <row r="3678" spans="36:39" ht="12.75" hidden="1" customHeight="1" x14ac:dyDescent="0.2">
      <c r="AJ3678" s="215"/>
      <c r="AK3678" s="215"/>
      <c r="AL3678" s="215"/>
      <c r="AM3678" s="215"/>
    </row>
    <row r="3679" spans="36:39" ht="12.75" hidden="1" customHeight="1" x14ac:dyDescent="0.2">
      <c r="AJ3679" s="215"/>
      <c r="AK3679" s="215"/>
      <c r="AL3679" s="215"/>
      <c r="AM3679" s="215"/>
    </row>
    <row r="3680" spans="36:39" ht="12.75" hidden="1" customHeight="1" x14ac:dyDescent="0.2">
      <c r="AJ3680" s="215"/>
      <c r="AK3680" s="215"/>
      <c r="AL3680" s="215"/>
      <c r="AM3680" s="215"/>
    </row>
    <row r="3681" spans="36:39" ht="12.75" hidden="1" customHeight="1" x14ac:dyDescent="0.2">
      <c r="AJ3681" s="215"/>
      <c r="AK3681" s="215"/>
      <c r="AL3681" s="215"/>
      <c r="AM3681" s="215"/>
    </row>
    <row r="3682" spans="36:39" ht="12.75" hidden="1" customHeight="1" x14ac:dyDescent="0.2">
      <c r="AJ3682" s="215"/>
      <c r="AK3682" s="215"/>
      <c r="AL3682" s="215"/>
      <c r="AM3682" s="215"/>
    </row>
    <row r="3683" spans="36:39" ht="12.75" hidden="1" customHeight="1" x14ac:dyDescent="0.2">
      <c r="AJ3683" s="215"/>
      <c r="AK3683" s="215"/>
      <c r="AL3683" s="215"/>
      <c r="AM3683" s="215"/>
    </row>
    <row r="3684" spans="36:39" ht="12.75" hidden="1" customHeight="1" x14ac:dyDescent="0.2">
      <c r="AJ3684" s="215"/>
      <c r="AK3684" s="215"/>
      <c r="AL3684" s="215"/>
      <c r="AM3684" s="215"/>
    </row>
    <row r="3685" spans="36:39" ht="12.75" hidden="1" customHeight="1" x14ac:dyDescent="0.2">
      <c r="AJ3685" s="215"/>
      <c r="AK3685" s="215"/>
      <c r="AL3685" s="215"/>
      <c r="AM3685" s="215"/>
    </row>
    <row r="3686" spans="36:39" ht="12.75" hidden="1" customHeight="1" x14ac:dyDescent="0.2">
      <c r="AJ3686" s="215"/>
      <c r="AK3686" s="215"/>
      <c r="AL3686" s="215"/>
      <c r="AM3686" s="215"/>
    </row>
    <row r="3687" spans="36:39" ht="12.75" hidden="1" customHeight="1" x14ac:dyDescent="0.2">
      <c r="AJ3687" s="215"/>
      <c r="AK3687" s="215"/>
      <c r="AL3687" s="215"/>
      <c r="AM3687" s="215"/>
    </row>
    <row r="3688" spans="36:39" ht="12.75" hidden="1" customHeight="1" x14ac:dyDescent="0.2">
      <c r="AJ3688" s="215"/>
      <c r="AK3688" s="215"/>
      <c r="AL3688" s="215"/>
      <c r="AM3688" s="215"/>
    </row>
    <row r="3689" spans="36:39" ht="12.75" hidden="1" customHeight="1" x14ac:dyDescent="0.2">
      <c r="AJ3689" s="215"/>
      <c r="AK3689" s="215"/>
      <c r="AL3689" s="215"/>
      <c r="AM3689" s="215"/>
    </row>
    <row r="3690" spans="36:39" ht="12.75" hidden="1" customHeight="1" x14ac:dyDescent="0.2">
      <c r="AJ3690" s="215"/>
      <c r="AK3690" s="215"/>
      <c r="AL3690" s="215"/>
      <c r="AM3690" s="215"/>
    </row>
    <row r="3691" spans="36:39" ht="12.75" hidden="1" customHeight="1" x14ac:dyDescent="0.2">
      <c r="AJ3691" s="215"/>
      <c r="AK3691" s="215"/>
      <c r="AL3691" s="215"/>
      <c r="AM3691" s="215"/>
    </row>
    <row r="3692" spans="36:39" ht="12.75" hidden="1" customHeight="1" x14ac:dyDescent="0.2">
      <c r="AJ3692" s="215"/>
      <c r="AK3692" s="215"/>
      <c r="AL3692" s="215"/>
      <c r="AM3692" s="215"/>
    </row>
    <row r="3693" spans="36:39" ht="12.75" hidden="1" customHeight="1" x14ac:dyDescent="0.2">
      <c r="AJ3693" s="215"/>
      <c r="AK3693" s="215"/>
      <c r="AL3693" s="215"/>
      <c r="AM3693" s="215"/>
    </row>
    <row r="3694" spans="36:39" ht="12.75" hidden="1" customHeight="1" x14ac:dyDescent="0.2">
      <c r="AJ3694" s="215"/>
      <c r="AK3694" s="215"/>
      <c r="AL3694" s="215"/>
      <c r="AM3694" s="215"/>
    </row>
    <row r="3695" spans="36:39" ht="12.75" hidden="1" customHeight="1" x14ac:dyDescent="0.2">
      <c r="AJ3695" s="215"/>
      <c r="AK3695" s="215"/>
      <c r="AL3695" s="215"/>
      <c r="AM3695" s="215"/>
    </row>
    <row r="3696" spans="36:39" ht="12.75" hidden="1" customHeight="1" x14ac:dyDescent="0.2">
      <c r="AJ3696" s="215"/>
      <c r="AK3696" s="215"/>
      <c r="AL3696" s="215"/>
      <c r="AM3696" s="215"/>
    </row>
    <row r="3697" spans="36:39" ht="12.75" hidden="1" customHeight="1" x14ac:dyDescent="0.2">
      <c r="AJ3697" s="215"/>
      <c r="AK3697" s="215"/>
      <c r="AL3697" s="215"/>
      <c r="AM3697" s="215"/>
    </row>
    <row r="3698" spans="36:39" ht="12.75" hidden="1" customHeight="1" x14ac:dyDescent="0.2">
      <c r="AJ3698" s="215"/>
      <c r="AK3698" s="215"/>
      <c r="AL3698" s="215"/>
      <c r="AM3698" s="215"/>
    </row>
    <row r="3699" spans="36:39" ht="12.75" hidden="1" customHeight="1" x14ac:dyDescent="0.2">
      <c r="AJ3699" s="215"/>
      <c r="AK3699" s="215"/>
      <c r="AL3699" s="215"/>
      <c r="AM3699" s="215"/>
    </row>
    <row r="3700" spans="36:39" ht="12.75" hidden="1" customHeight="1" x14ac:dyDescent="0.2">
      <c r="AJ3700" s="215"/>
      <c r="AK3700" s="215"/>
      <c r="AL3700" s="215"/>
      <c r="AM3700" s="215"/>
    </row>
    <row r="3701" spans="36:39" ht="12.75" hidden="1" customHeight="1" x14ac:dyDescent="0.2">
      <c r="AJ3701" s="215"/>
      <c r="AK3701" s="215"/>
      <c r="AL3701" s="215"/>
      <c r="AM3701" s="215"/>
    </row>
    <row r="3702" spans="36:39" ht="12.75" hidden="1" customHeight="1" x14ac:dyDescent="0.2">
      <c r="AJ3702" s="215"/>
      <c r="AK3702" s="215"/>
      <c r="AL3702" s="215"/>
      <c r="AM3702" s="215"/>
    </row>
    <row r="3703" spans="36:39" ht="12.75" hidden="1" customHeight="1" x14ac:dyDescent="0.2">
      <c r="AJ3703" s="215"/>
      <c r="AK3703" s="215"/>
      <c r="AL3703" s="215"/>
      <c r="AM3703" s="215"/>
    </row>
    <row r="3704" spans="36:39" ht="12.75" hidden="1" customHeight="1" x14ac:dyDescent="0.2">
      <c r="AJ3704" s="215"/>
      <c r="AK3704" s="215"/>
      <c r="AL3704" s="215"/>
      <c r="AM3704" s="215"/>
    </row>
    <row r="3705" spans="36:39" ht="12.75" hidden="1" customHeight="1" x14ac:dyDescent="0.2">
      <c r="AJ3705" s="215"/>
      <c r="AK3705" s="215"/>
      <c r="AL3705" s="215"/>
      <c r="AM3705" s="215"/>
    </row>
    <row r="3706" spans="36:39" ht="12.75" hidden="1" customHeight="1" x14ac:dyDescent="0.2">
      <c r="AJ3706" s="215"/>
      <c r="AK3706" s="215"/>
      <c r="AL3706" s="215"/>
      <c r="AM3706" s="215"/>
    </row>
    <row r="3707" spans="36:39" ht="12.75" hidden="1" customHeight="1" x14ac:dyDescent="0.2">
      <c r="AJ3707" s="215"/>
      <c r="AK3707" s="215"/>
      <c r="AL3707" s="215"/>
      <c r="AM3707" s="215"/>
    </row>
    <row r="3708" spans="36:39" ht="12.75" hidden="1" customHeight="1" x14ac:dyDescent="0.2">
      <c r="AJ3708" s="215"/>
      <c r="AK3708" s="215"/>
      <c r="AL3708" s="215"/>
      <c r="AM3708" s="215"/>
    </row>
    <row r="3709" spans="36:39" ht="12.75" hidden="1" customHeight="1" x14ac:dyDescent="0.2">
      <c r="AJ3709" s="215"/>
      <c r="AK3709" s="215"/>
      <c r="AL3709" s="215"/>
      <c r="AM3709" s="215"/>
    </row>
    <row r="3710" spans="36:39" ht="12.75" hidden="1" customHeight="1" x14ac:dyDescent="0.2">
      <c r="AJ3710" s="215"/>
      <c r="AK3710" s="215"/>
      <c r="AL3710" s="215"/>
      <c r="AM3710" s="215"/>
    </row>
    <row r="3711" spans="36:39" ht="12.75" hidden="1" customHeight="1" x14ac:dyDescent="0.2">
      <c r="AJ3711" s="215"/>
      <c r="AK3711" s="215"/>
      <c r="AL3711" s="215"/>
      <c r="AM3711" s="215"/>
    </row>
    <row r="3712" spans="36:39" ht="12.75" hidden="1" customHeight="1" x14ac:dyDescent="0.2">
      <c r="AJ3712" s="215"/>
      <c r="AK3712" s="215"/>
      <c r="AL3712" s="215"/>
      <c r="AM3712" s="215"/>
    </row>
    <row r="3713" spans="36:39" ht="12.75" hidden="1" customHeight="1" x14ac:dyDescent="0.2">
      <c r="AJ3713" s="215"/>
      <c r="AK3713" s="215"/>
      <c r="AL3713" s="215"/>
      <c r="AM3713" s="215"/>
    </row>
    <row r="3714" spans="36:39" ht="12.75" hidden="1" customHeight="1" x14ac:dyDescent="0.2">
      <c r="AJ3714" s="215"/>
      <c r="AK3714" s="215"/>
      <c r="AL3714" s="215"/>
      <c r="AM3714" s="215"/>
    </row>
    <row r="3715" spans="36:39" ht="12.75" hidden="1" customHeight="1" x14ac:dyDescent="0.2">
      <c r="AJ3715" s="215"/>
      <c r="AK3715" s="215"/>
      <c r="AL3715" s="215"/>
      <c r="AM3715" s="215"/>
    </row>
    <row r="3716" spans="36:39" ht="12.75" hidden="1" customHeight="1" x14ac:dyDescent="0.2">
      <c r="AJ3716" s="215"/>
      <c r="AK3716" s="215"/>
      <c r="AL3716" s="215"/>
      <c r="AM3716" s="215"/>
    </row>
    <row r="3717" spans="36:39" ht="12.75" hidden="1" customHeight="1" x14ac:dyDescent="0.2">
      <c r="AJ3717" s="215"/>
      <c r="AK3717" s="215"/>
      <c r="AL3717" s="215"/>
      <c r="AM3717" s="215"/>
    </row>
    <row r="3718" spans="36:39" ht="12.75" hidden="1" customHeight="1" x14ac:dyDescent="0.2">
      <c r="AJ3718" s="215"/>
      <c r="AK3718" s="215"/>
      <c r="AL3718" s="215"/>
      <c r="AM3718" s="215"/>
    </row>
    <row r="3719" spans="36:39" ht="12.75" hidden="1" customHeight="1" x14ac:dyDescent="0.2">
      <c r="AJ3719" s="215"/>
      <c r="AK3719" s="215"/>
      <c r="AL3719" s="215"/>
      <c r="AM3719" s="215"/>
    </row>
    <row r="3720" spans="36:39" ht="12.75" hidden="1" customHeight="1" x14ac:dyDescent="0.2">
      <c r="AJ3720" s="215"/>
      <c r="AK3720" s="215"/>
      <c r="AL3720" s="215"/>
      <c r="AM3720" s="215"/>
    </row>
    <row r="3721" spans="36:39" ht="12.75" hidden="1" customHeight="1" x14ac:dyDescent="0.2">
      <c r="AJ3721" s="215"/>
      <c r="AK3721" s="215"/>
      <c r="AL3721" s="215"/>
      <c r="AM3721" s="215"/>
    </row>
    <row r="3722" spans="36:39" ht="12.75" hidden="1" customHeight="1" x14ac:dyDescent="0.2">
      <c r="AJ3722" s="215"/>
      <c r="AK3722" s="215"/>
      <c r="AL3722" s="215"/>
      <c r="AM3722" s="215"/>
    </row>
    <row r="3723" spans="36:39" ht="12.75" hidden="1" customHeight="1" x14ac:dyDescent="0.2">
      <c r="AJ3723" s="215"/>
      <c r="AK3723" s="215"/>
      <c r="AL3723" s="215"/>
      <c r="AM3723" s="215"/>
    </row>
    <row r="3724" spans="36:39" ht="12.75" hidden="1" customHeight="1" x14ac:dyDescent="0.2">
      <c r="AJ3724" s="215"/>
      <c r="AK3724" s="215"/>
      <c r="AL3724" s="215"/>
      <c r="AM3724" s="215"/>
    </row>
    <row r="3725" spans="36:39" ht="12.75" hidden="1" customHeight="1" x14ac:dyDescent="0.2">
      <c r="AJ3725" s="215"/>
      <c r="AK3725" s="215"/>
      <c r="AL3725" s="215"/>
      <c r="AM3725" s="215"/>
    </row>
    <row r="3726" spans="36:39" ht="12.75" hidden="1" customHeight="1" x14ac:dyDescent="0.2">
      <c r="AJ3726" s="215"/>
      <c r="AK3726" s="215"/>
      <c r="AL3726" s="215"/>
      <c r="AM3726" s="215"/>
    </row>
    <row r="3727" spans="36:39" ht="12.75" hidden="1" customHeight="1" x14ac:dyDescent="0.2">
      <c r="AJ3727" s="215"/>
      <c r="AK3727" s="215"/>
      <c r="AL3727" s="215"/>
      <c r="AM3727" s="215"/>
    </row>
    <row r="3728" spans="36:39" ht="12.75" hidden="1" customHeight="1" x14ac:dyDescent="0.2">
      <c r="AJ3728" s="215"/>
      <c r="AK3728" s="215"/>
      <c r="AL3728" s="215"/>
      <c r="AM3728" s="215"/>
    </row>
    <row r="3729" spans="36:39" ht="12.75" hidden="1" customHeight="1" x14ac:dyDescent="0.2">
      <c r="AJ3729" s="215"/>
      <c r="AK3729" s="215"/>
      <c r="AL3729" s="215"/>
      <c r="AM3729" s="215"/>
    </row>
    <row r="3730" spans="36:39" ht="12.75" hidden="1" customHeight="1" x14ac:dyDescent="0.2">
      <c r="AJ3730" s="215"/>
      <c r="AK3730" s="215"/>
      <c r="AL3730" s="215"/>
      <c r="AM3730" s="215"/>
    </row>
    <row r="3731" spans="36:39" ht="12.75" hidden="1" customHeight="1" x14ac:dyDescent="0.2">
      <c r="AJ3731" s="215"/>
      <c r="AK3731" s="215"/>
      <c r="AL3731" s="215"/>
      <c r="AM3731" s="215"/>
    </row>
    <row r="3732" spans="36:39" ht="12.75" hidden="1" customHeight="1" x14ac:dyDescent="0.2">
      <c r="AJ3732" s="215"/>
      <c r="AK3732" s="215"/>
      <c r="AL3732" s="215"/>
      <c r="AM3732" s="215"/>
    </row>
    <row r="3733" spans="36:39" ht="12.75" hidden="1" customHeight="1" x14ac:dyDescent="0.2">
      <c r="AJ3733" s="215"/>
      <c r="AK3733" s="215"/>
      <c r="AL3733" s="215"/>
      <c r="AM3733" s="215"/>
    </row>
    <row r="3734" spans="36:39" ht="12.75" hidden="1" customHeight="1" x14ac:dyDescent="0.2">
      <c r="AJ3734" s="215"/>
      <c r="AK3734" s="215"/>
      <c r="AL3734" s="215"/>
      <c r="AM3734" s="215"/>
    </row>
    <row r="3735" spans="36:39" ht="12.75" hidden="1" customHeight="1" x14ac:dyDescent="0.2">
      <c r="AJ3735" s="215"/>
      <c r="AK3735" s="215"/>
      <c r="AL3735" s="215"/>
      <c r="AM3735" s="215"/>
    </row>
    <row r="3736" spans="36:39" ht="12.75" hidden="1" customHeight="1" x14ac:dyDescent="0.2">
      <c r="AJ3736" s="215"/>
      <c r="AK3736" s="215"/>
      <c r="AL3736" s="215"/>
      <c r="AM3736" s="215"/>
    </row>
    <row r="3737" spans="36:39" ht="12.75" hidden="1" customHeight="1" x14ac:dyDescent="0.2">
      <c r="AJ3737" s="215"/>
      <c r="AK3737" s="215"/>
      <c r="AL3737" s="215"/>
      <c r="AM3737" s="215"/>
    </row>
    <row r="3738" spans="36:39" ht="12.75" hidden="1" customHeight="1" x14ac:dyDescent="0.2">
      <c r="AJ3738" s="215"/>
      <c r="AK3738" s="215"/>
      <c r="AL3738" s="215"/>
      <c r="AM3738" s="215"/>
    </row>
    <row r="3739" spans="36:39" ht="12.75" hidden="1" customHeight="1" x14ac:dyDescent="0.2">
      <c r="AJ3739" s="215"/>
      <c r="AK3739" s="215"/>
      <c r="AL3739" s="215"/>
      <c r="AM3739" s="215"/>
    </row>
    <row r="3740" spans="36:39" ht="12.75" hidden="1" customHeight="1" x14ac:dyDescent="0.2">
      <c r="AJ3740" s="215"/>
      <c r="AK3740" s="215"/>
      <c r="AL3740" s="215"/>
      <c r="AM3740" s="215"/>
    </row>
    <row r="3741" spans="36:39" ht="12.75" hidden="1" customHeight="1" x14ac:dyDescent="0.2">
      <c r="AJ3741" s="215"/>
      <c r="AK3741" s="215"/>
      <c r="AL3741" s="215"/>
      <c r="AM3741" s="215"/>
    </row>
    <row r="3742" spans="36:39" ht="12.75" hidden="1" customHeight="1" x14ac:dyDescent="0.2">
      <c r="AJ3742" s="215"/>
      <c r="AK3742" s="215"/>
      <c r="AL3742" s="215"/>
      <c r="AM3742" s="215"/>
    </row>
    <row r="3743" spans="36:39" ht="12.75" hidden="1" customHeight="1" x14ac:dyDescent="0.2">
      <c r="AJ3743" s="215"/>
      <c r="AK3743" s="215"/>
      <c r="AL3743" s="215"/>
      <c r="AM3743" s="215"/>
    </row>
    <row r="3744" spans="36:39" ht="12.75" hidden="1" customHeight="1" x14ac:dyDescent="0.2">
      <c r="AJ3744" s="215"/>
      <c r="AK3744" s="215"/>
      <c r="AL3744" s="215"/>
      <c r="AM3744" s="215"/>
    </row>
    <row r="3745" spans="36:39" ht="12.75" hidden="1" customHeight="1" x14ac:dyDescent="0.2">
      <c r="AJ3745" s="215"/>
      <c r="AK3745" s="215"/>
      <c r="AL3745" s="215"/>
      <c r="AM3745" s="215"/>
    </row>
    <row r="3746" spans="36:39" ht="12.75" hidden="1" customHeight="1" x14ac:dyDescent="0.2">
      <c r="AJ3746" s="215"/>
      <c r="AK3746" s="215"/>
      <c r="AL3746" s="215"/>
      <c r="AM3746" s="215"/>
    </row>
    <row r="3747" spans="36:39" ht="12.75" hidden="1" customHeight="1" x14ac:dyDescent="0.2">
      <c r="AJ3747" s="215"/>
      <c r="AK3747" s="215"/>
      <c r="AL3747" s="215"/>
      <c r="AM3747" s="215"/>
    </row>
    <row r="3748" spans="36:39" ht="12.75" hidden="1" customHeight="1" x14ac:dyDescent="0.2">
      <c r="AJ3748" s="215"/>
      <c r="AK3748" s="215"/>
      <c r="AL3748" s="215"/>
      <c r="AM3748" s="215"/>
    </row>
    <row r="3749" spans="36:39" ht="12.75" hidden="1" customHeight="1" x14ac:dyDescent="0.2">
      <c r="AJ3749" s="215"/>
      <c r="AK3749" s="215"/>
      <c r="AL3749" s="215"/>
      <c r="AM3749" s="215"/>
    </row>
    <row r="3750" spans="36:39" ht="12.75" hidden="1" customHeight="1" x14ac:dyDescent="0.2">
      <c r="AJ3750" s="215"/>
      <c r="AK3750" s="215"/>
      <c r="AL3750" s="215"/>
      <c r="AM3750" s="215"/>
    </row>
    <row r="3751" spans="36:39" ht="12.75" hidden="1" customHeight="1" x14ac:dyDescent="0.2">
      <c r="AJ3751" s="215"/>
      <c r="AK3751" s="215"/>
      <c r="AL3751" s="215"/>
      <c r="AM3751" s="215"/>
    </row>
    <row r="3752" spans="36:39" ht="12.75" hidden="1" customHeight="1" x14ac:dyDescent="0.2">
      <c r="AJ3752" s="215"/>
      <c r="AK3752" s="215"/>
      <c r="AL3752" s="215"/>
      <c r="AM3752" s="215"/>
    </row>
    <row r="3753" spans="36:39" ht="12.75" hidden="1" customHeight="1" x14ac:dyDescent="0.2">
      <c r="AJ3753" s="215"/>
      <c r="AK3753" s="215"/>
      <c r="AL3753" s="215"/>
      <c r="AM3753" s="215"/>
    </row>
    <row r="3754" spans="36:39" ht="12.75" hidden="1" customHeight="1" x14ac:dyDescent="0.2">
      <c r="AJ3754" s="215"/>
      <c r="AK3754" s="215"/>
      <c r="AL3754" s="215"/>
      <c r="AM3754" s="215"/>
    </row>
    <row r="3755" spans="36:39" ht="12.75" hidden="1" customHeight="1" x14ac:dyDescent="0.2">
      <c r="AJ3755" s="215"/>
      <c r="AK3755" s="215"/>
      <c r="AL3755" s="215"/>
      <c r="AM3755" s="215"/>
    </row>
    <row r="3756" spans="36:39" ht="12.75" hidden="1" customHeight="1" x14ac:dyDescent="0.2">
      <c r="AJ3756" s="215"/>
      <c r="AK3756" s="215"/>
      <c r="AL3756" s="215"/>
      <c r="AM3756" s="215"/>
    </row>
    <row r="3757" spans="36:39" ht="12.75" hidden="1" customHeight="1" x14ac:dyDescent="0.2">
      <c r="AJ3757" s="215"/>
      <c r="AK3757" s="215"/>
      <c r="AL3757" s="215"/>
      <c r="AM3757" s="215"/>
    </row>
    <row r="3758" spans="36:39" ht="12.75" hidden="1" customHeight="1" x14ac:dyDescent="0.2">
      <c r="AJ3758" s="215"/>
      <c r="AK3758" s="215"/>
      <c r="AL3758" s="215"/>
      <c r="AM3758" s="215"/>
    </row>
    <row r="3759" spans="36:39" ht="12.75" hidden="1" customHeight="1" x14ac:dyDescent="0.2">
      <c r="AJ3759" s="215"/>
      <c r="AK3759" s="215"/>
      <c r="AL3759" s="215"/>
      <c r="AM3759" s="215"/>
    </row>
    <row r="3760" spans="36:39" ht="12.75" hidden="1" customHeight="1" x14ac:dyDescent="0.2">
      <c r="AJ3760" s="215"/>
      <c r="AK3760" s="215"/>
      <c r="AL3760" s="215"/>
      <c r="AM3760" s="215"/>
    </row>
    <row r="3761" spans="36:39" ht="12.75" hidden="1" customHeight="1" x14ac:dyDescent="0.2">
      <c r="AJ3761" s="215"/>
      <c r="AK3761" s="215"/>
      <c r="AL3761" s="215"/>
      <c r="AM3761" s="215"/>
    </row>
    <row r="3762" spans="36:39" ht="12.75" hidden="1" customHeight="1" x14ac:dyDescent="0.2">
      <c r="AJ3762" s="215"/>
      <c r="AK3762" s="215"/>
      <c r="AL3762" s="215"/>
      <c r="AM3762" s="215"/>
    </row>
    <row r="3763" spans="36:39" ht="12.75" hidden="1" customHeight="1" x14ac:dyDescent="0.2">
      <c r="AJ3763" s="215"/>
      <c r="AK3763" s="215"/>
      <c r="AL3763" s="215"/>
      <c r="AM3763" s="215"/>
    </row>
    <row r="3764" spans="36:39" ht="12.75" hidden="1" customHeight="1" x14ac:dyDescent="0.2">
      <c r="AJ3764" s="215"/>
      <c r="AK3764" s="215"/>
      <c r="AL3764" s="215"/>
      <c r="AM3764" s="215"/>
    </row>
    <row r="3765" spans="36:39" ht="12.75" hidden="1" customHeight="1" x14ac:dyDescent="0.2">
      <c r="AJ3765" s="215"/>
      <c r="AK3765" s="215"/>
      <c r="AL3765" s="215"/>
      <c r="AM3765" s="215"/>
    </row>
    <row r="3766" spans="36:39" ht="12.75" hidden="1" customHeight="1" x14ac:dyDescent="0.2">
      <c r="AJ3766" s="215"/>
      <c r="AK3766" s="215"/>
      <c r="AL3766" s="215"/>
      <c r="AM3766" s="215"/>
    </row>
    <row r="3767" spans="36:39" ht="12.75" hidden="1" customHeight="1" x14ac:dyDescent="0.2">
      <c r="AJ3767" s="215"/>
      <c r="AK3767" s="215"/>
      <c r="AL3767" s="215"/>
      <c r="AM3767" s="215"/>
    </row>
    <row r="3768" spans="36:39" ht="12.75" hidden="1" customHeight="1" x14ac:dyDescent="0.2">
      <c r="AJ3768" s="215"/>
      <c r="AK3768" s="215"/>
      <c r="AL3768" s="215"/>
      <c r="AM3768" s="215"/>
    </row>
    <row r="3769" spans="36:39" ht="12.75" hidden="1" customHeight="1" x14ac:dyDescent="0.2">
      <c r="AJ3769" s="215"/>
      <c r="AK3769" s="215"/>
      <c r="AL3769" s="215"/>
      <c r="AM3769" s="215"/>
    </row>
    <row r="3770" spans="36:39" ht="12.75" hidden="1" customHeight="1" x14ac:dyDescent="0.2">
      <c r="AJ3770" s="215"/>
      <c r="AK3770" s="215"/>
      <c r="AL3770" s="215"/>
      <c r="AM3770" s="215"/>
    </row>
    <row r="3771" spans="36:39" ht="12.75" hidden="1" customHeight="1" x14ac:dyDescent="0.2">
      <c r="AJ3771" s="215"/>
      <c r="AK3771" s="215"/>
      <c r="AL3771" s="215"/>
      <c r="AM3771" s="215"/>
    </row>
    <row r="3772" spans="36:39" ht="12.75" hidden="1" customHeight="1" x14ac:dyDescent="0.2">
      <c r="AJ3772" s="215"/>
      <c r="AK3772" s="215"/>
      <c r="AL3772" s="215"/>
      <c r="AM3772" s="215"/>
    </row>
    <row r="3773" spans="36:39" ht="12.75" hidden="1" customHeight="1" x14ac:dyDescent="0.2">
      <c r="AJ3773" s="215"/>
      <c r="AK3773" s="215"/>
      <c r="AL3773" s="215"/>
      <c r="AM3773" s="215"/>
    </row>
    <row r="3774" spans="36:39" ht="12.75" hidden="1" customHeight="1" x14ac:dyDescent="0.2">
      <c r="AJ3774" s="215"/>
      <c r="AK3774" s="215"/>
      <c r="AL3774" s="215"/>
      <c r="AM3774" s="215"/>
    </row>
    <row r="3775" spans="36:39" ht="12.75" hidden="1" customHeight="1" x14ac:dyDescent="0.2">
      <c r="AJ3775" s="215"/>
      <c r="AK3775" s="215"/>
      <c r="AL3775" s="215"/>
      <c r="AM3775" s="215"/>
    </row>
    <row r="3776" spans="36:39" ht="12.75" hidden="1" customHeight="1" x14ac:dyDescent="0.2">
      <c r="AJ3776" s="215"/>
      <c r="AK3776" s="215"/>
      <c r="AL3776" s="215"/>
      <c r="AM3776" s="215"/>
    </row>
    <row r="3777" spans="36:39" ht="12.75" hidden="1" customHeight="1" x14ac:dyDescent="0.2">
      <c r="AJ3777" s="215"/>
      <c r="AK3777" s="215"/>
      <c r="AL3777" s="215"/>
      <c r="AM3777" s="215"/>
    </row>
    <row r="3778" spans="36:39" ht="12.75" hidden="1" customHeight="1" x14ac:dyDescent="0.2">
      <c r="AJ3778" s="215"/>
      <c r="AK3778" s="215"/>
      <c r="AL3778" s="215"/>
      <c r="AM3778" s="215"/>
    </row>
    <row r="3779" spans="36:39" ht="12.75" hidden="1" customHeight="1" x14ac:dyDescent="0.2">
      <c r="AJ3779" s="215"/>
      <c r="AK3779" s="215"/>
      <c r="AL3779" s="215"/>
      <c r="AM3779" s="215"/>
    </row>
    <row r="3780" spans="36:39" ht="12.75" hidden="1" customHeight="1" x14ac:dyDescent="0.2">
      <c r="AJ3780" s="215"/>
      <c r="AK3780" s="215"/>
      <c r="AL3780" s="215"/>
      <c r="AM3780" s="215"/>
    </row>
    <row r="3781" spans="36:39" ht="12.75" hidden="1" customHeight="1" x14ac:dyDescent="0.2">
      <c r="AJ3781" s="215"/>
      <c r="AK3781" s="215"/>
      <c r="AL3781" s="215"/>
      <c r="AM3781" s="215"/>
    </row>
    <row r="3782" spans="36:39" ht="12.75" hidden="1" customHeight="1" x14ac:dyDescent="0.2">
      <c r="AJ3782" s="215"/>
      <c r="AK3782" s="215"/>
      <c r="AL3782" s="215"/>
      <c r="AM3782" s="215"/>
    </row>
    <row r="3783" spans="36:39" ht="12.75" hidden="1" customHeight="1" x14ac:dyDescent="0.2">
      <c r="AJ3783" s="215"/>
      <c r="AK3783" s="215"/>
      <c r="AL3783" s="215"/>
      <c r="AM3783" s="215"/>
    </row>
    <row r="3784" spans="36:39" ht="12.75" hidden="1" customHeight="1" x14ac:dyDescent="0.2">
      <c r="AJ3784" s="215"/>
      <c r="AK3784" s="215"/>
      <c r="AL3784" s="215"/>
      <c r="AM3784" s="215"/>
    </row>
    <row r="3785" spans="36:39" ht="12.75" hidden="1" customHeight="1" x14ac:dyDescent="0.2">
      <c r="AJ3785" s="215"/>
      <c r="AK3785" s="215"/>
      <c r="AL3785" s="215"/>
      <c r="AM3785" s="215"/>
    </row>
    <row r="3786" spans="36:39" ht="12.75" hidden="1" customHeight="1" x14ac:dyDescent="0.2">
      <c r="AJ3786" s="215"/>
      <c r="AK3786" s="215"/>
      <c r="AL3786" s="215"/>
      <c r="AM3786" s="215"/>
    </row>
    <row r="3787" spans="36:39" ht="12.75" hidden="1" customHeight="1" x14ac:dyDescent="0.2">
      <c r="AJ3787" s="215"/>
      <c r="AK3787" s="215"/>
      <c r="AL3787" s="215"/>
      <c r="AM3787" s="215"/>
    </row>
    <row r="3788" spans="36:39" ht="12.75" hidden="1" customHeight="1" x14ac:dyDescent="0.2">
      <c r="AJ3788" s="215"/>
      <c r="AK3788" s="215"/>
      <c r="AL3788" s="215"/>
      <c r="AM3788" s="215"/>
    </row>
    <row r="3789" spans="36:39" ht="12.75" hidden="1" customHeight="1" x14ac:dyDescent="0.2">
      <c r="AJ3789" s="215"/>
      <c r="AK3789" s="215"/>
      <c r="AL3789" s="215"/>
      <c r="AM3789" s="215"/>
    </row>
    <row r="3790" spans="36:39" ht="12.75" hidden="1" customHeight="1" x14ac:dyDescent="0.2">
      <c r="AJ3790" s="215"/>
      <c r="AK3790" s="215"/>
      <c r="AL3790" s="215"/>
      <c r="AM3790" s="215"/>
    </row>
    <row r="3791" spans="36:39" ht="12.75" hidden="1" customHeight="1" x14ac:dyDescent="0.2">
      <c r="AJ3791" s="215"/>
      <c r="AK3791" s="215"/>
      <c r="AL3791" s="215"/>
      <c r="AM3791" s="215"/>
    </row>
    <row r="3792" spans="36:39" ht="12.75" hidden="1" customHeight="1" x14ac:dyDescent="0.2">
      <c r="AJ3792" s="215"/>
      <c r="AK3792" s="215"/>
      <c r="AL3792" s="215"/>
      <c r="AM3792" s="215"/>
    </row>
    <row r="3793" spans="36:39" ht="12.75" hidden="1" customHeight="1" x14ac:dyDescent="0.2">
      <c r="AJ3793" s="215"/>
      <c r="AK3793" s="215"/>
      <c r="AL3793" s="215"/>
      <c r="AM3793" s="215"/>
    </row>
    <row r="3794" spans="36:39" ht="12.75" hidden="1" customHeight="1" x14ac:dyDescent="0.2">
      <c r="AJ3794" s="215"/>
      <c r="AK3794" s="215"/>
      <c r="AL3794" s="215"/>
      <c r="AM3794" s="215"/>
    </row>
    <row r="3795" spans="36:39" ht="12.75" hidden="1" customHeight="1" x14ac:dyDescent="0.2">
      <c r="AJ3795" s="215"/>
      <c r="AK3795" s="215"/>
      <c r="AL3795" s="215"/>
      <c r="AM3795" s="215"/>
    </row>
    <row r="3796" spans="36:39" ht="12.75" hidden="1" customHeight="1" x14ac:dyDescent="0.2">
      <c r="AJ3796" s="215"/>
      <c r="AK3796" s="215"/>
      <c r="AL3796" s="215"/>
      <c r="AM3796" s="215"/>
    </row>
    <row r="3797" spans="36:39" ht="12.75" hidden="1" customHeight="1" x14ac:dyDescent="0.2">
      <c r="AJ3797" s="215"/>
      <c r="AK3797" s="215"/>
      <c r="AL3797" s="215"/>
      <c r="AM3797" s="215"/>
    </row>
    <row r="3798" spans="36:39" ht="12.75" hidden="1" customHeight="1" x14ac:dyDescent="0.2">
      <c r="AJ3798" s="215"/>
      <c r="AK3798" s="215"/>
      <c r="AL3798" s="215"/>
      <c r="AM3798" s="215"/>
    </row>
    <row r="3799" spans="36:39" ht="12.75" hidden="1" customHeight="1" x14ac:dyDescent="0.2">
      <c r="AJ3799" s="215"/>
      <c r="AK3799" s="215"/>
      <c r="AL3799" s="215"/>
      <c r="AM3799" s="215"/>
    </row>
    <row r="3800" spans="36:39" ht="12.75" hidden="1" customHeight="1" x14ac:dyDescent="0.2">
      <c r="AJ3800" s="215"/>
      <c r="AK3800" s="215"/>
      <c r="AL3800" s="215"/>
      <c r="AM3800" s="215"/>
    </row>
    <row r="3801" spans="36:39" ht="12.75" hidden="1" customHeight="1" x14ac:dyDescent="0.2">
      <c r="AJ3801" s="215"/>
      <c r="AK3801" s="215"/>
      <c r="AL3801" s="215"/>
      <c r="AM3801" s="215"/>
    </row>
    <row r="3802" spans="36:39" ht="12.75" hidden="1" customHeight="1" x14ac:dyDescent="0.2">
      <c r="AJ3802" s="215"/>
      <c r="AK3802" s="215"/>
      <c r="AL3802" s="215"/>
      <c r="AM3802" s="215"/>
    </row>
    <row r="3803" spans="36:39" ht="12.75" hidden="1" customHeight="1" x14ac:dyDescent="0.2">
      <c r="AJ3803" s="215"/>
      <c r="AK3803" s="215"/>
      <c r="AL3803" s="215"/>
      <c r="AM3803" s="215"/>
    </row>
    <row r="3804" spans="36:39" ht="12.75" hidden="1" customHeight="1" x14ac:dyDescent="0.2">
      <c r="AJ3804" s="215"/>
      <c r="AK3804" s="215"/>
      <c r="AL3804" s="215"/>
      <c r="AM3804" s="215"/>
    </row>
    <row r="3805" spans="36:39" ht="12.75" hidden="1" customHeight="1" x14ac:dyDescent="0.2">
      <c r="AJ3805" s="215"/>
      <c r="AK3805" s="215"/>
      <c r="AL3805" s="215"/>
      <c r="AM3805" s="215"/>
    </row>
    <row r="3806" spans="36:39" ht="12.75" hidden="1" customHeight="1" x14ac:dyDescent="0.2">
      <c r="AJ3806" s="215"/>
      <c r="AK3806" s="215"/>
      <c r="AL3806" s="215"/>
      <c r="AM3806" s="215"/>
    </row>
    <row r="3807" spans="36:39" ht="12.75" hidden="1" customHeight="1" x14ac:dyDescent="0.2">
      <c r="AJ3807" s="215"/>
      <c r="AK3807" s="215"/>
      <c r="AL3807" s="215"/>
      <c r="AM3807" s="215"/>
    </row>
    <row r="3808" spans="36:39" ht="12.75" hidden="1" customHeight="1" x14ac:dyDescent="0.2">
      <c r="AJ3808" s="215"/>
      <c r="AK3808" s="215"/>
      <c r="AL3808" s="215"/>
      <c r="AM3808" s="215"/>
    </row>
    <row r="3809" spans="36:39" ht="12.75" hidden="1" customHeight="1" x14ac:dyDescent="0.2">
      <c r="AJ3809" s="215"/>
      <c r="AK3809" s="215"/>
      <c r="AL3809" s="215"/>
      <c r="AM3809" s="215"/>
    </row>
    <row r="3810" spans="36:39" ht="12.75" hidden="1" customHeight="1" x14ac:dyDescent="0.2">
      <c r="AJ3810" s="215"/>
      <c r="AK3810" s="215"/>
      <c r="AL3810" s="215"/>
      <c r="AM3810" s="215"/>
    </row>
    <row r="3811" spans="36:39" ht="12.75" hidden="1" customHeight="1" x14ac:dyDescent="0.2">
      <c r="AJ3811" s="215"/>
      <c r="AK3811" s="215"/>
      <c r="AL3811" s="215"/>
      <c r="AM3811" s="215"/>
    </row>
    <row r="3812" spans="36:39" ht="12.75" hidden="1" customHeight="1" x14ac:dyDescent="0.2">
      <c r="AJ3812" s="215"/>
      <c r="AK3812" s="215"/>
      <c r="AL3812" s="215"/>
      <c r="AM3812" s="215"/>
    </row>
    <row r="3813" spans="36:39" ht="12.75" hidden="1" customHeight="1" x14ac:dyDescent="0.2">
      <c r="AJ3813" s="215"/>
      <c r="AK3813" s="215"/>
      <c r="AL3813" s="215"/>
      <c r="AM3813" s="215"/>
    </row>
    <row r="3814" spans="36:39" ht="12.75" hidden="1" customHeight="1" x14ac:dyDescent="0.2">
      <c r="AJ3814" s="215"/>
      <c r="AK3814" s="215"/>
      <c r="AL3814" s="215"/>
      <c r="AM3814" s="215"/>
    </row>
    <row r="3815" spans="36:39" ht="12.75" hidden="1" customHeight="1" x14ac:dyDescent="0.2">
      <c r="AJ3815" s="215"/>
      <c r="AK3815" s="215"/>
      <c r="AL3815" s="215"/>
      <c r="AM3815" s="215"/>
    </row>
    <row r="3816" spans="36:39" ht="12.75" hidden="1" customHeight="1" x14ac:dyDescent="0.2">
      <c r="AJ3816" s="215"/>
      <c r="AK3816" s="215"/>
      <c r="AL3816" s="215"/>
      <c r="AM3816" s="215"/>
    </row>
    <row r="3817" spans="36:39" ht="12.75" hidden="1" customHeight="1" x14ac:dyDescent="0.2">
      <c r="AJ3817" s="215"/>
      <c r="AK3817" s="215"/>
      <c r="AL3817" s="215"/>
      <c r="AM3817" s="215"/>
    </row>
    <row r="3818" spans="36:39" ht="12.75" hidden="1" customHeight="1" x14ac:dyDescent="0.2">
      <c r="AJ3818" s="215"/>
      <c r="AK3818" s="215"/>
      <c r="AL3818" s="215"/>
      <c r="AM3818" s="215"/>
    </row>
    <row r="3819" spans="36:39" ht="12.75" hidden="1" customHeight="1" x14ac:dyDescent="0.2">
      <c r="AJ3819" s="215"/>
      <c r="AK3819" s="215"/>
      <c r="AL3819" s="215"/>
      <c r="AM3819" s="215"/>
    </row>
    <row r="3820" spans="36:39" ht="12.75" hidden="1" customHeight="1" x14ac:dyDescent="0.2">
      <c r="AJ3820" s="215"/>
      <c r="AK3820" s="215"/>
      <c r="AL3820" s="215"/>
      <c r="AM3820" s="215"/>
    </row>
    <row r="3821" spans="36:39" ht="12.75" hidden="1" customHeight="1" x14ac:dyDescent="0.2">
      <c r="AJ3821" s="215"/>
      <c r="AK3821" s="215"/>
      <c r="AL3821" s="215"/>
      <c r="AM3821" s="215"/>
    </row>
    <row r="3822" spans="36:39" ht="12.75" hidden="1" customHeight="1" x14ac:dyDescent="0.2">
      <c r="AJ3822" s="215"/>
      <c r="AK3822" s="215"/>
      <c r="AL3822" s="215"/>
      <c r="AM3822" s="215"/>
    </row>
    <row r="3823" spans="36:39" ht="12.75" hidden="1" customHeight="1" x14ac:dyDescent="0.2">
      <c r="AJ3823" s="215"/>
      <c r="AK3823" s="215"/>
      <c r="AL3823" s="215"/>
      <c r="AM3823" s="215"/>
    </row>
    <row r="3824" spans="36:39" ht="12.75" hidden="1" customHeight="1" x14ac:dyDescent="0.2">
      <c r="AJ3824" s="215"/>
      <c r="AK3824" s="215"/>
      <c r="AL3824" s="215"/>
      <c r="AM3824" s="215"/>
    </row>
    <row r="3825" spans="36:39" ht="12.75" hidden="1" customHeight="1" x14ac:dyDescent="0.2">
      <c r="AJ3825" s="215"/>
      <c r="AK3825" s="215"/>
      <c r="AL3825" s="215"/>
      <c r="AM3825" s="215"/>
    </row>
    <row r="3826" spans="36:39" ht="12.75" hidden="1" customHeight="1" x14ac:dyDescent="0.2">
      <c r="AJ3826" s="215"/>
      <c r="AK3826" s="215"/>
      <c r="AL3826" s="215"/>
      <c r="AM3826" s="215"/>
    </row>
    <row r="3827" spans="36:39" ht="12.75" hidden="1" customHeight="1" x14ac:dyDescent="0.2">
      <c r="AJ3827" s="215"/>
      <c r="AK3827" s="215"/>
      <c r="AL3827" s="215"/>
      <c r="AM3827" s="215"/>
    </row>
    <row r="3828" spans="36:39" ht="12.75" hidden="1" customHeight="1" x14ac:dyDescent="0.2">
      <c r="AJ3828" s="215"/>
      <c r="AK3828" s="215"/>
      <c r="AL3828" s="215"/>
      <c r="AM3828" s="215"/>
    </row>
    <row r="3829" spans="36:39" ht="12.75" hidden="1" customHeight="1" x14ac:dyDescent="0.2">
      <c r="AJ3829" s="215"/>
      <c r="AK3829" s="215"/>
      <c r="AL3829" s="215"/>
      <c r="AM3829" s="215"/>
    </row>
    <row r="3830" spans="36:39" ht="12.75" hidden="1" customHeight="1" x14ac:dyDescent="0.2">
      <c r="AJ3830" s="215"/>
      <c r="AK3830" s="215"/>
      <c r="AL3830" s="215"/>
      <c r="AM3830" s="215"/>
    </row>
    <row r="3831" spans="36:39" ht="12.75" hidden="1" customHeight="1" x14ac:dyDescent="0.2">
      <c r="AJ3831" s="215"/>
      <c r="AK3831" s="215"/>
      <c r="AL3831" s="215"/>
      <c r="AM3831" s="215"/>
    </row>
    <row r="3832" spans="36:39" ht="12.75" hidden="1" customHeight="1" x14ac:dyDescent="0.2">
      <c r="AJ3832" s="215"/>
      <c r="AK3832" s="215"/>
      <c r="AL3832" s="215"/>
      <c r="AM3832" s="215"/>
    </row>
    <row r="3833" spans="36:39" ht="12.75" hidden="1" customHeight="1" x14ac:dyDescent="0.2">
      <c r="AJ3833" s="215"/>
      <c r="AK3833" s="215"/>
      <c r="AL3833" s="215"/>
      <c r="AM3833" s="215"/>
    </row>
    <row r="3834" spans="36:39" ht="12.75" hidden="1" customHeight="1" x14ac:dyDescent="0.2">
      <c r="AJ3834" s="215"/>
      <c r="AK3834" s="215"/>
      <c r="AL3834" s="215"/>
      <c r="AM3834" s="215"/>
    </row>
    <row r="3835" spans="36:39" ht="12.75" hidden="1" customHeight="1" x14ac:dyDescent="0.2">
      <c r="AJ3835" s="215"/>
      <c r="AK3835" s="215"/>
      <c r="AL3835" s="215"/>
      <c r="AM3835" s="215"/>
    </row>
    <row r="3836" spans="36:39" ht="12.75" hidden="1" customHeight="1" x14ac:dyDescent="0.2">
      <c r="AJ3836" s="215"/>
      <c r="AK3836" s="215"/>
      <c r="AL3836" s="215"/>
      <c r="AM3836" s="215"/>
    </row>
    <row r="3837" spans="36:39" ht="12.75" hidden="1" customHeight="1" x14ac:dyDescent="0.2">
      <c r="AJ3837" s="215"/>
      <c r="AK3837" s="215"/>
      <c r="AL3837" s="215"/>
      <c r="AM3837" s="215"/>
    </row>
    <row r="3838" spans="36:39" ht="12.75" hidden="1" customHeight="1" x14ac:dyDescent="0.2">
      <c r="AJ3838" s="215"/>
      <c r="AK3838" s="215"/>
      <c r="AL3838" s="215"/>
      <c r="AM3838" s="215"/>
    </row>
    <row r="3839" spans="36:39" ht="12.75" hidden="1" customHeight="1" x14ac:dyDescent="0.2">
      <c r="AJ3839" s="215"/>
      <c r="AK3839" s="215"/>
      <c r="AL3839" s="215"/>
      <c r="AM3839" s="215"/>
    </row>
    <row r="3840" spans="36:39" ht="12.75" hidden="1" customHeight="1" x14ac:dyDescent="0.2">
      <c r="AJ3840" s="215"/>
      <c r="AK3840" s="215"/>
      <c r="AL3840" s="215"/>
      <c r="AM3840" s="215"/>
    </row>
    <row r="3841" spans="36:39" ht="12.75" hidden="1" customHeight="1" x14ac:dyDescent="0.2">
      <c r="AJ3841" s="215"/>
      <c r="AK3841" s="215"/>
      <c r="AL3841" s="215"/>
      <c r="AM3841" s="215"/>
    </row>
    <row r="3842" spans="36:39" ht="12.75" hidden="1" customHeight="1" x14ac:dyDescent="0.2">
      <c r="AJ3842" s="215"/>
      <c r="AK3842" s="215"/>
      <c r="AL3842" s="215"/>
      <c r="AM3842" s="215"/>
    </row>
    <row r="3843" spans="36:39" ht="12.75" hidden="1" customHeight="1" x14ac:dyDescent="0.2">
      <c r="AJ3843" s="215"/>
      <c r="AK3843" s="215"/>
      <c r="AL3843" s="215"/>
      <c r="AM3843" s="215"/>
    </row>
    <row r="3844" spans="36:39" ht="12.75" hidden="1" customHeight="1" x14ac:dyDescent="0.2">
      <c r="AJ3844" s="215"/>
      <c r="AK3844" s="215"/>
      <c r="AL3844" s="215"/>
      <c r="AM3844" s="215"/>
    </row>
    <row r="3845" spans="36:39" ht="12.75" hidden="1" customHeight="1" x14ac:dyDescent="0.2">
      <c r="AJ3845" s="215"/>
      <c r="AK3845" s="215"/>
      <c r="AL3845" s="215"/>
      <c r="AM3845" s="215"/>
    </row>
    <row r="3846" spans="36:39" ht="12.75" hidden="1" customHeight="1" x14ac:dyDescent="0.2">
      <c r="AJ3846" s="215"/>
      <c r="AK3846" s="215"/>
      <c r="AL3846" s="215"/>
      <c r="AM3846" s="215"/>
    </row>
    <row r="3847" spans="36:39" ht="12.75" hidden="1" customHeight="1" x14ac:dyDescent="0.2">
      <c r="AJ3847" s="215"/>
      <c r="AK3847" s="215"/>
      <c r="AL3847" s="215"/>
      <c r="AM3847" s="215"/>
    </row>
    <row r="3848" spans="36:39" ht="12.75" hidden="1" customHeight="1" x14ac:dyDescent="0.2">
      <c r="AJ3848" s="215"/>
      <c r="AK3848" s="215"/>
      <c r="AL3848" s="215"/>
      <c r="AM3848" s="215"/>
    </row>
    <row r="3849" spans="36:39" ht="12.75" hidden="1" customHeight="1" x14ac:dyDescent="0.2">
      <c r="AJ3849" s="215"/>
      <c r="AK3849" s="215"/>
      <c r="AL3849" s="215"/>
      <c r="AM3849" s="215"/>
    </row>
    <row r="3850" spans="36:39" ht="12.75" hidden="1" customHeight="1" x14ac:dyDescent="0.2">
      <c r="AJ3850" s="215"/>
      <c r="AK3850" s="215"/>
      <c r="AL3850" s="215"/>
      <c r="AM3850" s="215"/>
    </row>
    <row r="3851" spans="36:39" ht="12.75" hidden="1" customHeight="1" x14ac:dyDescent="0.2">
      <c r="AJ3851" s="215"/>
      <c r="AK3851" s="215"/>
      <c r="AL3851" s="215"/>
      <c r="AM3851" s="215"/>
    </row>
    <row r="3852" spans="36:39" ht="12.75" hidden="1" customHeight="1" x14ac:dyDescent="0.2">
      <c r="AJ3852" s="215"/>
      <c r="AK3852" s="215"/>
      <c r="AL3852" s="215"/>
      <c r="AM3852" s="215"/>
    </row>
    <row r="3853" spans="36:39" ht="12.75" hidden="1" customHeight="1" x14ac:dyDescent="0.2">
      <c r="AJ3853" s="215"/>
      <c r="AK3853" s="215"/>
      <c r="AL3853" s="215"/>
      <c r="AM3853" s="215"/>
    </row>
    <row r="3854" spans="36:39" ht="12.75" hidden="1" customHeight="1" x14ac:dyDescent="0.2">
      <c r="AJ3854" s="215"/>
      <c r="AK3854" s="215"/>
      <c r="AL3854" s="215"/>
      <c r="AM3854" s="215"/>
    </row>
    <row r="3855" spans="36:39" ht="12.75" hidden="1" customHeight="1" x14ac:dyDescent="0.2">
      <c r="AJ3855" s="215"/>
      <c r="AK3855" s="215"/>
      <c r="AL3855" s="215"/>
      <c r="AM3855" s="215"/>
    </row>
    <row r="3856" spans="36:39" ht="12.75" hidden="1" customHeight="1" x14ac:dyDescent="0.2">
      <c r="AJ3856" s="215"/>
      <c r="AK3856" s="215"/>
      <c r="AL3856" s="215"/>
      <c r="AM3856" s="215"/>
    </row>
    <row r="3857" spans="36:39" ht="12.75" hidden="1" customHeight="1" x14ac:dyDescent="0.2">
      <c r="AJ3857" s="215"/>
      <c r="AK3857" s="215"/>
      <c r="AL3857" s="215"/>
      <c r="AM3857" s="215"/>
    </row>
    <row r="3858" spans="36:39" ht="12.75" hidden="1" customHeight="1" x14ac:dyDescent="0.2">
      <c r="AJ3858" s="215"/>
      <c r="AK3858" s="215"/>
      <c r="AL3858" s="215"/>
      <c r="AM3858" s="215"/>
    </row>
    <row r="3859" spans="36:39" ht="12.75" hidden="1" customHeight="1" x14ac:dyDescent="0.2">
      <c r="AJ3859" s="215"/>
      <c r="AK3859" s="215"/>
      <c r="AL3859" s="215"/>
      <c r="AM3859" s="215"/>
    </row>
    <row r="3860" spans="36:39" ht="12.75" hidden="1" customHeight="1" x14ac:dyDescent="0.2">
      <c r="AJ3860" s="215"/>
      <c r="AK3860" s="215"/>
      <c r="AL3860" s="215"/>
      <c r="AM3860" s="215"/>
    </row>
    <row r="3861" spans="36:39" ht="12.75" hidden="1" customHeight="1" x14ac:dyDescent="0.2">
      <c r="AJ3861" s="215"/>
      <c r="AK3861" s="215"/>
      <c r="AL3861" s="215"/>
      <c r="AM3861" s="215"/>
    </row>
    <row r="3862" spans="36:39" ht="12.75" hidden="1" customHeight="1" x14ac:dyDescent="0.2">
      <c r="AJ3862" s="215"/>
      <c r="AK3862" s="215"/>
      <c r="AL3862" s="215"/>
      <c r="AM3862" s="215"/>
    </row>
    <row r="3863" spans="36:39" ht="12.75" hidden="1" customHeight="1" x14ac:dyDescent="0.2">
      <c r="AJ3863" s="215"/>
      <c r="AK3863" s="215"/>
      <c r="AL3863" s="215"/>
      <c r="AM3863" s="215"/>
    </row>
    <row r="3864" spans="36:39" ht="12.75" hidden="1" customHeight="1" x14ac:dyDescent="0.2">
      <c r="AJ3864" s="215"/>
      <c r="AK3864" s="215"/>
      <c r="AL3864" s="215"/>
      <c r="AM3864" s="215"/>
    </row>
    <row r="3865" spans="36:39" ht="12.75" hidden="1" customHeight="1" x14ac:dyDescent="0.2">
      <c r="AJ3865" s="215"/>
      <c r="AK3865" s="215"/>
      <c r="AL3865" s="215"/>
      <c r="AM3865" s="215"/>
    </row>
    <row r="3866" spans="36:39" ht="12.75" hidden="1" customHeight="1" x14ac:dyDescent="0.2">
      <c r="AJ3866" s="215"/>
      <c r="AK3866" s="215"/>
      <c r="AL3866" s="215"/>
      <c r="AM3866" s="215"/>
    </row>
    <row r="3867" spans="36:39" ht="12.75" hidden="1" customHeight="1" x14ac:dyDescent="0.2">
      <c r="AJ3867" s="215"/>
      <c r="AK3867" s="215"/>
      <c r="AL3867" s="215"/>
      <c r="AM3867" s="215"/>
    </row>
    <row r="3868" spans="36:39" ht="12.75" hidden="1" customHeight="1" x14ac:dyDescent="0.2">
      <c r="AJ3868" s="215"/>
      <c r="AK3868" s="215"/>
      <c r="AL3868" s="215"/>
      <c r="AM3868" s="215"/>
    </row>
    <row r="3869" spans="36:39" ht="12.75" hidden="1" customHeight="1" x14ac:dyDescent="0.2">
      <c r="AJ3869" s="215"/>
      <c r="AK3869" s="215"/>
      <c r="AL3869" s="215"/>
      <c r="AM3869" s="215"/>
    </row>
    <row r="3870" spans="36:39" ht="12.75" hidden="1" customHeight="1" x14ac:dyDescent="0.2">
      <c r="AJ3870" s="215"/>
      <c r="AK3870" s="215"/>
      <c r="AL3870" s="215"/>
      <c r="AM3870" s="215"/>
    </row>
    <row r="3871" spans="36:39" ht="12.75" hidden="1" customHeight="1" x14ac:dyDescent="0.2">
      <c r="AJ3871" s="215"/>
      <c r="AK3871" s="215"/>
      <c r="AL3871" s="215"/>
      <c r="AM3871" s="215"/>
    </row>
    <row r="3872" spans="36:39" ht="12.75" hidden="1" customHeight="1" x14ac:dyDescent="0.2">
      <c r="AJ3872" s="215"/>
      <c r="AK3872" s="215"/>
      <c r="AL3872" s="215"/>
      <c r="AM3872" s="215"/>
    </row>
    <row r="3873" spans="36:39" ht="12.75" hidden="1" customHeight="1" x14ac:dyDescent="0.2">
      <c r="AJ3873" s="215"/>
      <c r="AK3873" s="215"/>
      <c r="AL3873" s="215"/>
      <c r="AM3873" s="215"/>
    </row>
    <row r="3874" spans="36:39" ht="12.75" hidden="1" customHeight="1" x14ac:dyDescent="0.2">
      <c r="AJ3874" s="215"/>
      <c r="AK3874" s="215"/>
      <c r="AL3874" s="215"/>
      <c r="AM3874" s="215"/>
    </row>
    <row r="3875" spans="36:39" ht="12.75" hidden="1" customHeight="1" x14ac:dyDescent="0.2">
      <c r="AJ3875" s="215"/>
      <c r="AK3875" s="215"/>
      <c r="AL3875" s="215"/>
      <c r="AM3875" s="215"/>
    </row>
    <row r="3876" spans="36:39" ht="12.75" hidden="1" customHeight="1" x14ac:dyDescent="0.2">
      <c r="AJ3876" s="215"/>
      <c r="AK3876" s="215"/>
      <c r="AL3876" s="215"/>
      <c r="AM3876" s="215"/>
    </row>
    <row r="3877" spans="36:39" ht="12.75" hidden="1" customHeight="1" x14ac:dyDescent="0.2">
      <c r="AJ3877" s="215"/>
      <c r="AK3877" s="215"/>
      <c r="AL3877" s="215"/>
      <c r="AM3877" s="215"/>
    </row>
    <row r="3878" spans="36:39" ht="12.75" hidden="1" customHeight="1" x14ac:dyDescent="0.2">
      <c r="AJ3878" s="215"/>
      <c r="AK3878" s="215"/>
      <c r="AL3878" s="215"/>
      <c r="AM3878" s="215"/>
    </row>
    <row r="3879" spans="36:39" ht="12.75" hidden="1" customHeight="1" x14ac:dyDescent="0.2">
      <c r="AJ3879" s="215"/>
      <c r="AK3879" s="215"/>
      <c r="AL3879" s="215"/>
      <c r="AM3879" s="215"/>
    </row>
    <row r="3880" spans="36:39" ht="12.75" hidden="1" customHeight="1" x14ac:dyDescent="0.2">
      <c r="AJ3880" s="215"/>
      <c r="AK3880" s="215"/>
      <c r="AL3880" s="215"/>
      <c r="AM3880" s="215"/>
    </row>
    <row r="3881" spans="36:39" ht="12.75" hidden="1" customHeight="1" x14ac:dyDescent="0.2">
      <c r="AJ3881" s="215"/>
      <c r="AK3881" s="215"/>
      <c r="AL3881" s="215"/>
      <c r="AM3881" s="215"/>
    </row>
    <row r="3882" spans="36:39" ht="12.75" hidden="1" customHeight="1" x14ac:dyDescent="0.2">
      <c r="AJ3882" s="215"/>
      <c r="AK3882" s="215"/>
      <c r="AL3882" s="215"/>
      <c r="AM3882" s="215"/>
    </row>
    <row r="3883" spans="36:39" ht="12.75" hidden="1" customHeight="1" x14ac:dyDescent="0.2">
      <c r="AJ3883" s="215"/>
      <c r="AK3883" s="215"/>
      <c r="AL3883" s="215"/>
      <c r="AM3883" s="215"/>
    </row>
    <row r="3884" spans="36:39" ht="12.75" hidden="1" customHeight="1" x14ac:dyDescent="0.2">
      <c r="AJ3884" s="215"/>
      <c r="AK3884" s="215"/>
      <c r="AL3884" s="215"/>
      <c r="AM3884" s="215"/>
    </row>
    <row r="3885" spans="36:39" ht="12.75" hidden="1" customHeight="1" x14ac:dyDescent="0.2">
      <c r="AJ3885" s="215"/>
      <c r="AK3885" s="215"/>
      <c r="AL3885" s="215"/>
      <c r="AM3885" s="215"/>
    </row>
    <row r="3886" spans="36:39" ht="12.75" hidden="1" customHeight="1" x14ac:dyDescent="0.2">
      <c r="AJ3886" s="215"/>
      <c r="AK3886" s="215"/>
      <c r="AL3886" s="215"/>
      <c r="AM3886" s="215"/>
    </row>
    <row r="3887" spans="36:39" ht="12.75" hidden="1" customHeight="1" x14ac:dyDescent="0.2">
      <c r="AJ3887" s="215"/>
      <c r="AK3887" s="215"/>
      <c r="AL3887" s="215"/>
      <c r="AM3887" s="215"/>
    </row>
    <row r="3888" spans="36:39" ht="12.75" hidden="1" customHeight="1" x14ac:dyDescent="0.2">
      <c r="AJ3888" s="215"/>
      <c r="AK3888" s="215"/>
      <c r="AL3888" s="215"/>
      <c r="AM3888" s="215"/>
    </row>
    <row r="3889" spans="36:39" ht="12.75" hidden="1" customHeight="1" x14ac:dyDescent="0.2">
      <c r="AJ3889" s="215"/>
      <c r="AK3889" s="215"/>
      <c r="AL3889" s="215"/>
      <c r="AM3889" s="215"/>
    </row>
    <row r="3890" spans="36:39" ht="12.75" hidden="1" customHeight="1" x14ac:dyDescent="0.2">
      <c r="AJ3890" s="215"/>
      <c r="AK3890" s="215"/>
      <c r="AL3890" s="215"/>
      <c r="AM3890" s="215"/>
    </row>
    <row r="3891" spans="36:39" ht="12.75" hidden="1" customHeight="1" x14ac:dyDescent="0.2">
      <c r="AJ3891" s="215"/>
      <c r="AK3891" s="215"/>
      <c r="AL3891" s="215"/>
      <c r="AM3891" s="215"/>
    </row>
    <row r="3892" spans="36:39" ht="12.75" hidden="1" customHeight="1" x14ac:dyDescent="0.2">
      <c r="AJ3892" s="215"/>
      <c r="AK3892" s="215"/>
      <c r="AL3892" s="215"/>
      <c r="AM3892" s="215"/>
    </row>
    <row r="3893" spans="36:39" ht="12.75" hidden="1" customHeight="1" x14ac:dyDescent="0.2">
      <c r="AJ3893" s="215"/>
      <c r="AK3893" s="215"/>
      <c r="AL3893" s="215"/>
      <c r="AM3893" s="215"/>
    </row>
    <row r="3894" spans="36:39" ht="12.75" hidden="1" customHeight="1" x14ac:dyDescent="0.2">
      <c r="AJ3894" s="215"/>
      <c r="AK3894" s="215"/>
      <c r="AL3894" s="215"/>
      <c r="AM3894" s="215"/>
    </row>
    <row r="3895" spans="36:39" ht="12.75" hidden="1" customHeight="1" x14ac:dyDescent="0.2">
      <c r="AJ3895" s="215"/>
      <c r="AK3895" s="215"/>
      <c r="AL3895" s="215"/>
      <c r="AM3895" s="215"/>
    </row>
    <row r="3896" spans="36:39" ht="12.75" hidden="1" customHeight="1" x14ac:dyDescent="0.2">
      <c r="AJ3896" s="215"/>
      <c r="AK3896" s="215"/>
      <c r="AL3896" s="215"/>
      <c r="AM3896" s="215"/>
    </row>
    <row r="3897" spans="36:39" ht="12.75" hidden="1" customHeight="1" x14ac:dyDescent="0.2">
      <c r="AJ3897" s="215"/>
      <c r="AK3897" s="215"/>
      <c r="AL3897" s="215"/>
      <c r="AM3897" s="215"/>
    </row>
    <row r="3898" spans="36:39" ht="12.75" hidden="1" customHeight="1" x14ac:dyDescent="0.2">
      <c r="AJ3898" s="215"/>
      <c r="AK3898" s="215"/>
      <c r="AL3898" s="215"/>
      <c r="AM3898" s="215"/>
    </row>
    <row r="3899" spans="36:39" ht="12.75" hidden="1" customHeight="1" x14ac:dyDescent="0.2">
      <c r="AJ3899" s="215"/>
      <c r="AK3899" s="215"/>
      <c r="AL3899" s="215"/>
      <c r="AM3899" s="215"/>
    </row>
    <row r="3900" spans="36:39" ht="12.75" hidden="1" customHeight="1" x14ac:dyDescent="0.2">
      <c r="AJ3900" s="215"/>
      <c r="AK3900" s="215"/>
      <c r="AL3900" s="215"/>
      <c r="AM3900" s="215"/>
    </row>
    <row r="3901" spans="36:39" ht="12.75" hidden="1" customHeight="1" x14ac:dyDescent="0.2">
      <c r="AJ3901" s="215"/>
      <c r="AK3901" s="215"/>
      <c r="AL3901" s="215"/>
      <c r="AM3901" s="215"/>
    </row>
    <row r="3902" spans="36:39" ht="12.75" hidden="1" customHeight="1" x14ac:dyDescent="0.2">
      <c r="AJ3902" s="215"/>
      <c r="AK3902" s="215"/>
      <c r="AL3902" s="215"/>
      <c r="AM3902" s="215"/>
    </row>
    <row r="3903" spans="36:39" ht="12.75" hidden="1" customHeight="1" x14ac:dyDescent="0.2">
      <c r="AJ3903" s="215"/>
      <c r="AK3903" s="215"/>
      <c r="AL3903" s="215"/>
      <c r="AM3903" s="215"/>
    </row>
    <row r="3904" spans="36:39" ht="12.75" hidden="1" customHeight="1" x14ac:dyDescent="0.2">
      <c r="AJ3904" s="215"/>
      <c r="AK3904" s="215"/>
      <c r="AL3904" s="215"/>
      <c r="AM3904" s="215"/>
    </row>
    <row r="3905" spans="36:39" ht="12.75" hidden="1" customHeight="1" x14ac:dyDescent="0.2">
      <c r="AJ3905" s="215"/>
      <c r="AK3905" s="215"/>
      <c r="AL3905" s="215"/>
      <c r="AM3905" s="215"/>
    </row>
    <row r="3906" spans="36:39" ht="12.75" hidden="1" customHeight="1" x14ac:dyDescent="0.2">
      <c r="AJ3906" s="215"/>
      <c r="AK3906" s="215"/>
      <c r="AL3906" s="215"/>
      <c r="AM3906" s="215"/>
    </row>
    <row r="3907" spans="36:39" ht="12.75" hidden="1" customHeight="1" x14ac:dyDescent="0.2">
      <c r="AJ3907" s="215"/>
      <c r="AK3907" s="215"/>
      <c r="AL3907" s="215"/>
      <c r="AM3907" s="215"/>
    </row>
    <row r="3908" spans="36:39" ht="12.75" hidden="1" customHeight="1" x14ac:dyDescent="0.2">
      <c r="AJ3908" s="215"/>
      <c r="AK3908" s="215"/>
      <c r="AL3908" s="215"/>
      <c r="AM3908" s="215"/>
    </row>
    <row r="3909" spans="36:39" ht="12.75" hidden="1" customHeight="1" x14ac:dyDescent="0.2">
      <c r="AJ3909" s="215"/>
      <c r="AK3909" s="215"/>
      <c r="AL3909" s="215"/>
      <c r="AM3909" s="215"/>
    </row>
    <row r="3910" spans="36:39" ht="12.75" hidden="1" customHeight="1" x14ac:dyDescent="0.2">
      <c r="AJ3910" s="215"/>
      <c r="AK3910" s="215"/>
      <c r="AL3910" s="215"/>
      <c r="AM3910" s="215"/>
    </row>
    <row r="3911" spans="36:39" ht="12.75" hidden="1" customHeight="1" x14ac:dyDescent="0.2">
      <c r="AJ3911" s="215"/>
      <c r="AK3911" s="215"/>
      <c r="AL3911" s="215"/>
      <c r="AM3911" s="215"/>
    </row>
    <row r="3912" spans="36:39" ht="12.75" hidden="1" customHeight="1" x14ac:dyDescent="0.2">
      <c r="AJ3912" s="215"/>
      <c r="AK3912" s="215"/>
      <c r="AL3912" s="215"/>
      <c r="AM3912" s="215"/>
    </row>
    <row r="3913" spans="36:39" ht="12.75" hidden="1" customHeight="1" x14ac:dyDescent="0.2">
      <c r="AJ3913" s="215"/>
      <c r="AK3913" s="215"/>
      <c r="AL3913" s="215"/>
      <c r="AM3913" s="215"/>
    </row>
    <row r="3914" spans="36:39" ht="12.75" hidden="1" customHeight="1" x14ac:dyDescent="0.2">
      <c r="AJ3914" s="215"/>
      <c r="AK3914" s="215"/>
      <c r="AL3914" s="215"/>
      <c r="AM3914" s="215"/>
    </row>
    <row r="3915" spans="36:39" ht="12.75" hidden="1" customHeight="1" x14ac:dyDescent="0.2">
      <c r="AJ3915" s="215"/>
      <c r="AK3915" s="215"/>
      <c r="AL3915" s="215"/>
      <c r="AM3915" s="215"/>
    </row>
    <row r="3916" spans="36:39" ht="12.75" hidden="1" customHeight="1" x14ac:dyDescent="0.2">
      <c r="AJ3916" s="215"/>
      <c r="AK3916" s="215"/>
      <c r="AL3916" s="215"/>
      <c r="AM3916" s="215"/>
    </row>
    <row r="3917" spans="36:39" ht="12.75" hidden="1" customHeight="1" x14ac:dyDescent="0.2">
      <c r="AJ3917" s="215"/>
      <c r="AK3917" s="215"/>
      <c r="AL3917" s="215"/>
      <c r="AM3917" s="215"/>
    </row>
    <row r="3918" spans="36:39" ht="12.75" hidden="1" customHeight="1" x14ac:dyDescent="0.2">
      <c r="AJ3918" s="215"/>
      <c r="AK3918" s="215"/>
      <c r="AL3918" s="215"/>
      <c r="AM3918" s="215"/>
    </row>
    <row r="3919" spans="36:39" ht="12.75" hidden="1" customHeight="1" x14ac:dyDescent="0.2">
      <c r="AJ3919" s="215"/>
      <c r="AK3919" s="215"/>
      <c r="AL3919" s="215"/>
      <c r="AM3919" s="215"/>
    </row>
    <row r="3920" spans="36:39" ht="12.75" hidden="1" customHeight="1" x14ac:dyDescent="0.2">
      <c r="AJ3920" s="215"/>
      <c r="AK3920" s="215"/>
      <c r="AL3920" s="215"/>
      <c r="AM3920" s="215"/>
    </row>
    <row r="3921" spans="36:39" ht="12.75" hidden="1" customHeight="1" x14ac:dyDescent="0.2">
      <c r="AJ3921" s="215"/>
      <c r="AK3921" s="215"/>
      <c r="AL3921" s="215"/>
      <c r="AM3921" s="215"/>
    </row>
    <row r="3922" spans="36:39" ht="12.75" hidden="1" customHeight="1" x14ac:dyDescent="0.2">
      <c r="AJ3922" s="215"/>
      <c r="AK3922" s="215"/>
      <c r="AL3922" s="215"/>
      <c r="AM3922" s="215"/>
    </row>
    <row r="3923" spans="36:39" ht="12.75" hidden="1" customHeight="1" x14ac:dyDescent="0.2">
      <c r="AJ3923" s="215"/>
      <c r="AK3923" s="215"/>
      <c r="AL3923" s="215"/>
      <c r="AM3923" s="215"/>
    </row>
    <row r="3924" spans="36:39" ht="12.75" hidden="1" customHeight="1" x14ac:dyDescent="0.2">
      <c r="AJ3924" s="215"/>
      <c r="AK3924" s="215"/>
      <c r="AL3924" s="215"/>
      <c r="AM3924" s="215"/>
    </row>
    <row r="3925" spans="36:39" ht="12.75" hidden="1" customHeight="1" x14ac:dyDescent="0.2">
      <c r="AJ3925" s="215"/>
      <c r="AK3925" s="215"/>
      <c r="AL3925" s="215"/>
      <c r="AM3925" s="215"/>
    </row>
    <row r="3926" spans="36:39" ht="12.75" hidden="1" customHeight="1" x14ac:dyDescent="0.2">
      <c r="AJ3926" s="215"/>
      <c r="AK3926" s="215"/>
      <c r="AL3926" s="215"/>
      <c r="AM3926" s="215"/>
    </row>
    <row r="3927" spans="36:39" ht="12.75" hidden="1" customHeight="1" x14ac:dyDescent="0.2">
      <c r="AJ3927" s="215"/>
      <c r="AK3927" s="215"/>
      <c r="AL3927" s="215"/>
      <c r="AM3927" s="215"/>
    </row>
    <row r="3928" spans="36:39" ht="12.75" hidden="1" customHeight="1" x14ac:dyDescent="0.2">
      <c r="AJ3928" s="215"/>
      <c r="AK3928" s="215"/>
      <c r="AL3928" s="215"/>
      <c r="AM3928" s="215"/>
    </row>
    <row r="3929" spans="36:39" ht="12.75" hidden="1" customHeight="1" x14ac:dyDescent="0.2">
      <c r="AJ3929" s="215"/>
      <c r="AK3929" s="215"/>
      <c r="AL3929" s="215"/>
      <c r="AM3929" s="215"/>
    </row>
    <row r="3930" spans="36:39" ht="12.75" hidden="1" customHeight="1" x14ac:dyDescent="0.2">
      <c r="AJ3930" s="215"/>
      <c r="AK3930" s="215"/>
      <c r="AL3930" s="215"/>
      <c r="AM3930" s="215"/>
    </row>
    <row r="3931" spans="36:39" ht="12.75" hidden="1" customHeight="1" x14ac:dyDescent="0.2">
      <c r="AJ3931" s="215"/>
      <c r="AK3931" s="215"/>
      <c r="AL3931" s="215"/>
      <c r="AM3931" s="215"/>
    </row>
    <row r="3932" spans="36:39" ht="12.75" hidden="1" customHeight="1" x14ac:dyDescent="0.2">
      <c r="AJ3932" s="215"/>
      <c r="AK3932" s="215"/>
      <c r="AL3932" s="215"/>
      <c r="AM3932" s="215"/>
    </row>
    <row r="3933" spans="36:39" ht="12.75" hidden="1" customHeight="1" x14ac:dyDescent="0.2">
      <c r="AJ3933" s="215"/>
      <c r="AK3933" s="215"/>
      <c r="AL3933" s="215"/>
      <c r="AM3933" s="215"/>
    </row>
    <row r="3934" spans="36:39" ht="12.75" hidden="1" customHeight="1" x14ac:dyDescent="0.2">
      <c r="AJ3934" s="215"/>
      <c r="AK3934" s="215"/>
      <c r="AL3934" s="215"/>
      <c r="AM3934" s="215"/>
    </row>
    <row r="3935" spans="36:39" ht="12.75" hidden="1" customHeight="1" x14ac:dyDescent="0.2">
      <c r="AJ3935" s="215"/>
      <c r="AK3935" s="215"/>
      <c r="AL3935" s="215"/>
      <c r="AM3935" s="215"/>
    </row>
    <row r="3936" spans="36:39" ht="12.75" hidden="1" customHeight="1" x14ac:dyDescent="0.2">
      <c r="AJ3936" s="215"/>
      <c r="AK3936" s="215"/>
      <c r="AL3936" s="215"/>
      <c r="AM3936" s="215"/>
    </row>
    <row r="3937" spans="36:39" ht="12.75" hidden="1" customHeight="1" x14ac:dyDescent="0.2">
      <c r="AJ3937" s="215"/>
      <c r="AK3937" s="215"/>
      <c r="AL3937" s="215"/>
      <c r="AM3937" s="215"/>
    </row>
    <row r="3938" spans="36:39" ht="12.75" hidden="1" customHeight="1" x14ac:dyDescent="0.2">
      <c r="AJ3938" s="215"/>
      <c r="AK3938" s="215"/>
      <c r="AL3938" s="215"/>
      <c r="AM3938" s="215"/>
    </row>
    <row r="3939" spans="36:39" ht="12.75" hidden="1" customHeight="1" x14ac:dyDescent="0.2">
      <c r="AJ3939" s="215"/>
      <c r="AK3939" s="215"/>
      <c r="AL3939" s="215"/>
      <c r="AM3939" s="215"/>
    </row>
    <row r="3940" spans="36:39" ht="12.75" hidden="1" customHeight="1" x14ac:dyDescent="0.2">
      <c r="AJ3940" s="215"/>
      <c r="AK3940" s="215"/>
      <c r="AL3940" s="215"/>
      <c r="AM3940" s="215"/>
    </row>
    <row r="3941" spans="36:39" ht="12.75" hidden="1" customHeight="1" x14ac:dyDescent="0.2">
      <c r="AJ3941" s="215"/>
      <c r="AK3941" s="215"/>
      <c r="AL3941" s="215"/>
      <c r="AM3941" s="215"/>
    </row>
    <row r="3942" spans="36:39" ht="12.75" hidden="1" customHeight="1" x14ac:dyDescent="0.2">
      <c r="AJ3942" s="215"/>
      <c r="AK3942" s="215"/>
      <c r="AL3942" s="215"/>
      <c r="AM3942" s="215"/>
    </row>
    <row r="3943" spans="36:39" ht="12.75" hidden="1" customHeight="1" x14ac:dyDescent="0.2">
      <c r="AJ3943" s="215"/>
      <c r="AK3943" s="215"/>
      <c r="AL3943" s="215"/>
      <c r="AM3943" s="215"/>
    </row>
    <row r="3944" spans="36:39" ht="12.75" hidden="1" customHeight="1" x14ac:dyDescent="0.2">
      <c r="AJ3944" s="215"/>
      <c r="AK3944" s="215"/>
      <c r="AL3944" s="215"/>
      <c r="AM3944" s="215"/>
    </row>
    <row r="3945" spans="36:39" ht="12.75" hidden="1" customHeight="1" x14ac:dyDescent="0.2">
      <c r="AJ3945" s="215"/>
      <c r="AK3945" s="215"/>
      <c r="AL3945" s="215"/>
      <c r="AM3945" s="215"/>
    </row>
    <row r="3946" spans="36:39" ht="12.75" hidden="1" customHeight="1" x14ac:dyDescent="0.2">
      <c r="AJ3946" s="215"/>
      <c r="AK3946" s="215"/>
      <c r="AL3946" s="215"/>
      <c r="AM3946" s="215"/>
    </row>
    <row r="3947" spans="36:39" ht="12.75" hidden="1" customHeight="1" x14ac:dyDescent="0.2">
      <c r="AJ3947" s="215"/>
      <c r="AK3947" s="215"/>
      <c r="AL3947" s="215"/>
      <c r="AM3947" s="215"/>
    </row>
    <row r="3948" spans="36:39" ht="12.75" hidden="1" customHeight="1" x14ac:dyDescent="0.2">
      <c r="AJ3948" s="215"/>
      <c r="AK3948" s="215"/>
      <c r="AL3948" s="215"/>
      <c r="AM3948" s="215"/>
    </row>
    <row r="3949" spans="36:39" ht="12.75" hidden="1" customHeight="1" x14ac:dyDescent="0.2">
      <c r="AJ3949" s="215"/>
      <c r="AK3949" s="215"/>
      <c r="AL3949" s="215"/>
      <c r="AM3949" s="215"/>
    </row>
    <row r="3950" spans="36:39" ht="12.75" hidden="1" customHeight="1" x14ac:dyDescent="0.2">
      <c r="AJ3950" s="215"/>
      <c r="AK3950" s="215"/>
      <c r="AL3950" s="215"/>
      <c r="AM3950" s="215"/>
    </row>
    <row r="3951" spans="36:39" ht="12.75" hidden="1" customHeight="1" x14ac:dyDescent="0.2">
      <c r="AJ3951" s="215"/>
      <c r="AK3951" s="215"/>
      <c r="AL3951" s="215"/>
      <c r="AM3951" s="215"/>
    </row>
    <row r="3952" spans="36:39" ht="12.75" hidden="1" customHeight="1" x14ac:dyDescent="0.2">
      <c r="AJ3952" s="215"/>
      <c r="AK3952" s="215"/>
      <c r="AL3952" s="215"/>
      <c r="AM3952" s="215"/>
    </row>
    <row r="3953" spans="36:39" ht="12.75" hidden="1" customHeight="1" x14ac:dyDescent="0.2">
      <c r="AJ3953" s="215"/>
      <c r="AK3953" s="215"/>
      <c r="AL3953" s="215"/>
      <c r="AM3953" s="215"/>
    </row>
    <row r="3954" spans="36:39" ht="12.75" hidden="1" customHeight="1" x14ac:dyDescent="0.2">
      <c r="AJ3954" s="215"/>
      <c r="AK3954" s="215"/>
      <c r="AL3954" s="215"/>
      <c r="AM3954" s="215"/>
    </row>
    <row r="3955" spans="36:39" ht="12.75" hidden="1" customHeight="1" x14ac:dyDescent="0.2">
      <c r="AJ3955" s="215"/>
      <c r="AK3955" s="215"/>
      <c r="AL3955" s="215"/>
      <c r="AM3955" s="215"/>
    </row>
    <row r="3956" spans="36:39" ht="12.75" hidden="1" customHeight="1" x14ac:dyDescent="0.2">
      <c r="AJ3956" s="215"/>
      <c r="AK3956" s="215"/>
      <c r="AL3956" s="215"/>
      <c r="AM3956" s="215"/>
    </row>
    <row r="3957" spans="36:39" ht="12.75" hidden="1" customHeight="1" x14ac:dyDescent="0.2">
      <c r="AJ3957" s="215"/>
      <c r="AK3957" s="215"/>
      <c r="AL3957" s="215"/>
      <c r="AM3957" s="215"/>
    </row>
    <row r="3958" spans="36:39" ht="12.75" hidden="1" customHeight="1" x14ac:dyDescent="0.2">
      <c r="AJ3958" s="215"/>
      <c r="AK3958" s="215"/>
      <c r="AL3958" s="215"/>
      <c r="AM3958" s="215"/>
    </row>
    <row r="3959" spans="36:39" ht="12.75" hidden="1" customHeight="1" x14ac:dyDescent="0.2">
      <c r="AJ3959" s="215"/>
      <c r="AK3959" s="215"/>
      <c r="AL3959" s="215"/>
      <c r="AM3959" s="215"/>
    </row>
    <row r="3960" spans="36:39" ht="12.75" hidden="1" customHeight="1" x14ac:dyDescent="0.2">
      <c r="AJ3960" s="215"/>
      <c r="AK3960" s="215"/>
      <c r="AL3960" s="215"/>
      <c r="AM3960" s="215"/>
    </row>
    <row r="3961" spans="36:39" ht="12.75" hidden="1" customHeight="1" x14ac:dyDescent="0.2">
      <c r="AJ3961" s="215"/>
      <c r="AK3961" s="215"/>
      <c r="AL3961" s="215"/>
      <c r="AM3961" s="215"/>
    </row>
    <row r="3962" spans="36:39" ht="12.75" hidden="1" customHeight="1" x14ac:dyDescent="0.2">
      <c r="AJ3962" s="215"/>
      <c r="AK3962" s="215"/>
      <c r="AL3962" s="215"/>
      <c r="AM3962" s="215"/>
    </row>
    <row r="3963" spans="36:39" ht="12.75" hidden="1" customHeight="1" x14ac:dyDescent="0.2">
      <c r="AJ3963" s="215"/>
      <c r="AK3963" s="215"/>
      <c r="AL3963" s="215"/>
      <c r="AM3963" s="215"/>
    </row>
    <row r="3964" spans="36:39" ht="12.75" hidden="1" customHeight="1" x14ac:dyDescent="0.2">
      <c r="AJ3964" s="215"/>
      <c r="AK3964" s="215"/>
      <c r="AL3964" s="215"/>
      <c r="AM3964" s="215"/>
    </row>
    <row r="3965" spans="36:39" ht="12.75" hidden="1" customHeight="1" x14ac:dyDescent="0.2">
      <c r="AJ3965" s="215"/>
      <c r="AK3965" s="215"/>
      <c r="AL3965" s="215"/>
      <c r="AM3965" s="215"/>
    </row>
    <row r="3966" spans="36:39" ht="12.75" hidden="1" customHeight="1" x14ac:dyDescent="0.2">
      <c r="AJ3966" s="215"/>
      <c r="AK3966" s="215"/>
      <c r="AL3966" s="215"/>
      <c r="AM3966" s="215"/>
    </row>
    <row r="3967" spans="36:39" ht="12.75" hidden="1" customHeight="1" x14ac:dyDescent="0.2">
      <c r="AJ3967" s="215"/>
      <c r="AK3967" s="215"/>
      <c r="AL3967" s="215"/>
      <c r="AM3967" s="215"/>
    </row>
    <row r="3968" spans="36:39" ht="12.75" hidden="1" customHeight="1" x14ac:dyDescent="0.2">
      <c r="AJ3968" s="215"/>
      <c r="AK3968" s="215"/>
      <c r="AL3968" s="215"/>
      <c r="AM3968" s="215"/>
    </row>
    <row r="3969" spans="36:39" ht="12.75" hidden="1" customHeight="1" x14ac:dyDescent="0.2">
      <c r="AJ3969" s="215"/>
      <c r="AK3969" s="215"/>
      <c r="AL3969" s="215"/>
      <c r="AM3969" s="215"/>
    </row>
    <row r="3970" spans="36:39" ht="12.75" hidden="1" customHeight="1" x14ac:dyDescent="0.2">
      <c r="AJ3970" s="215"/>
      <c r="AK3970" s="215"/>
      <c r="AL3970" s="215"/>
      <c r="AM3970" s="215"/>
    </row>
    <row r="3971" spans="36:39" ht="12.75" hidden="1" customHeight="1" x14ac:dyDescent="0.2">
      <c r="AJ3971" s="215"/>
      <c r="AK3971" s="215"/>
      <c r="AL3971" s="215"/>
      <c r="AM3971" s="215"/>
    </row>
    <row r="3972" spans="36:39" ht="12.75" hidden="1" customHeight="1" x14ac:dyDescent="0.2">
      <c r="AJ3972" s="215"/>
      <c r="AK3972" s="215"/>
      <c r="AL3972" s="215"/>
      <c r="AM3972" s="215"/>
    </row>
    <row r="3973" spans="36:39" ht="12.75" hidden="1" customHeight="1" x14ac:dyDescent="0.2">
      <c r="AJ3973" s="215"/>
      <c r="AK3973" s="215"/>
      <c r="AL3973" s="215"/>
      <c r="AM3973" s="215"/>
    </row>
    <row r="3974" spans="36:39" ht="12.75" hidden="1" customHeight="1" x14ac:dyDescent="0.2">
      <c r="AJ3974" s="215"/>
      <c r="AK3974" s="215"/>
      <c r="AL3974" s="215"/>
      <c r="AM3974" s="215"/>
    </row>
    <row r="3975" spans="36:39" ht="12.75" hidden="1" customHeight="1" x14ac:dyDescent="0.2">
      <c r="AJ3975" s="215"/>
      <c r="AK3975" s="215"/>
      <c r="AL3975" s="215"/>
      <c r="AM3975" s="215"/>
    </row>
    <row r="3976" spans="36:39" ht="12.75" hidden="1" customHeight="1" x14ac:dyDescent="0.2">
      <c r="AJ3976" s="215"/>
      <c r="AK3976" s="215"/>
      <c r="AL3976" s="215"/>
      <c r="AM3976" s="215"/>
    </row>
    <row r="3977" spans="36:39" ht="12.75" hidden="1" customHeight="1" x14ac:dyDescent="0.2">
      <c r="AJ3977" s="215"/>
      <c r="AK3977" s="215"/>
      <c r="AL3977" s="215"/>
      <c r="AM3977" s="215"/>
    </row>
    <row r="3978" spans="36:39" ht="12.75" hidden="1" customHeight="1" x14ac:dyDescent="0.2">
      <c r="AJ3978" s="215"/>
      <c r="AK3978" s="215"/>
      <c r="AL3978" s="215"/>
      <c r="AM3978" s="215"/>
    </row>
    <row r="3979" spans="36:39" ht="12.75" hidden="1" customHeight="1" x14ac:dyDescent="0.2">
      <c r="AJ3979" s="215"/>
      <c r="AK3979" s="215"/>
      <c r="AL3979" s="215"/>
      <c r="AM3979" s="215"/>
    </row>
    <row r="3980" spans="36:39" ht="12.75" hidden="1" customHeight="1" x14ac:dyDescent="0.2">
      <c r="AJ3980" s="215"/>
      <c r="AK3980" s="215"/>
      <c r="AL3980" s="215"/>
      <c r="AM3980" s="215"/>
    </row>
    <row r="3981" spans="36:39" ht="12.75" hidden="1" customHeight="1" x14ac:dyDescent="0.2">
      <c r="AJ3981" s="215"/>
      <c r="AK3981" s="215"/>
      <c r="AL3981" s="215"/>
      <c r="AM3981" s="215"/>
    </row>
    <row r="3982" spans="36:39" ht="12.75" hidden="1" customHeight="1" x14ac:dyDescent="0.2">
      <c r="AJ3982" s="215"/>
      <c r="AK3982" s="215"/>
      <c r="AL3982" s="215"/>
      <c r="AM3982" s="215"/>
    </row>
    <row r="3983" spans="36:39" ht="12.75" hidden="1" customHeight="1" x14ac:dyDescent="0.2">
      <c r="AJ3983" s="215"/>
      <c r="AK3983" s="215"/>
      <c r="AL3983" s="215"/>
      <c r="AM3983" s="215"/>
    </row>
    <row r="3984" spans="36:39" ht="12.75" hidden="1" customHeight="1" x14ac:dyDescent="0.2">
      <c r="AJ3984" s="215"/>
      <c r="AK3984" s="215"/>
      <c r="AL3984" s="215"/>
      <c r="AM3984" s="215"/>
    </row>
    <row r="3985" spans="36:39" ht="12.75" hidden="1" customHeight="1" x14ac:dyDescent="0.2">
      <c r="AJ3985" s="215"/>
      <c r="AK3985" s="215"/>
      <c r="AL3985" s="215"/>
      <c r="AM3985" s="215"/>
    </row>
    <row r="3986" spans="36:39" ht="12.75" hidden="1" customHeight="1" x14ac:dyDescent="0.2">
      <c r="AJ3986" s="215"/>
      <c r="AK3986" s="215"/>
      <c r="AL3986" s="215"/>
      <c r="AM3986" s="215"/>
    </row>
    <row r="3987" spans="36:39" ht="12.75" hidden="1" customHeight="1" x14ac:dyDescent="0.2">
      <c r="AJ3987" s="215"/>
      <c r="AK3987" s="215"/>
      <c r="AL3987" s="215"/>
      <c r="AM3987" s="215"/>
    </row>
    <row r="3988" spans="36:39" ht="12.75" hidden="1" customHeight="1" x14ac:dyDescent="0.2">
      <c r="AJ3988" s="215"/>
      <c r="AK3988" s="215"/>
      <c r="AL3988" s="215"/>
      <c r="AM3988" s="215"/>
    </row>
    <row r="3989" spans="36:39" ht="12.75" hidden="1" customHeight="1" x14ac:dyDescent="0.2">
      <c r="AJ3989" s="215"/>
      <c r="AK3989" s="215"/>
      <c r="AL3989" s="215"/>
      <c r="AM3989" s="215"/>
    </row>
    <row r="3990" spans="36:39" ht="12.75" hidden="1" customHeight="1" x14ac:dyDescent="0.2">
      <c r="AJ3990" s="215"/>
      <c r="AK3990" s="215"/>
      <c r="AL3990" s="215"/>
      <c r="AM3990" s="215"/>
    </row>
    <row r="3991" spans="36:39" ht="12.75" hidden="1" customHeight="1" x14ac:dyDescent="0.2">
      <c r="AJ3991" s="215"/>
      <c r="AK3991" s="215"/>
      <c r="AL3991" s="215"/>
      <c r="AM3991" s="215"/>
    </row>
    <row r="3992" spans="36:39" ht="12.75" hidden="1" customHeight="1" x14ac:dyDescent="0.2">
      <c r="AJ3992" s="215"/>
      <c r="AK3992" s="215"/>
      <c r="AL3992" s="215"/>
      <c r="AM3992" s="215"/>
    </row>
    <row r="3993" spans="36:39" ht="12.75" hidden="1" customHeight="1" x14ac:dyDescent="0.2">
      <c r="AJ3993" s="215"/>
      <c r="AK3993" s="215"/>
      <c r="AL3993" s="215"/>
      <c r="AM3993" s="215"/>
    </row>
    <row r="3994" spans="36:39" ht="12.75" hidden="1" customHeight="1" x14ac:dyDescent="0.2">
      <c r="AJ3994" s="215"/>
      <c r="AK3994" s="215"/>
      <c r="AL3994" s="215"/>
      <c r="AM3994" s="215"/>
    </row>
    <row r="3995" spans="36:39" ht="12.75" hidden="1" customHeight="1" x14ac:dyDescent="0.2">
      <c r="AJ3995" s="215"/>
      <c r="AK3995" s="215"/>
      <c r="AL3995" s="215"/>
      <c r="AM3995" s="215"/>
    </row>
    <row r="3996" spans="36:39" ht="12.75" hidden="1" customHeight="1" x14ac:dyDescent="0.2">
      <c r="AJ3996" s="215"/>
      <c r="AK3996" s="215"/>
      <c r="AL3996" s="215"/>
      <c r="AM3996" s="215"/>
    </row>
    <row r="3997" spans="36:39" ht="12.75" hidden="1" customHeight="1" x14ac:dyDescent="0.2">
      <c r="AJ3997" s="215"/>
      <c r="AK3997" s="215"/>
      <c r="AL3997" s="215"/>
      <c r="AM3997" s="215"/>
    </row>
    <row r="3998" spans="36:39" ht="12.75" hidden="1" customHeight="1" x14ac:dyDescent="0.2">
      <c r="AJ3998" s="215"/>
      <c r="AK3998" s="215"/>
      <c r="AL3998" s="215"/>
      <c r="AM3998" s="215"/>
    </row>
    <row r="3999" spans="36:39" ht="12.75" hidden="1" customHeight="1" x14ac:dyDescent="0.2">
      <c r="AJ3999" s="215"/>
      <c r="AK3999" s="215"/>
      <c r="AL3999" s="215"/>
      <c r="AM3999" s="215"/>
    </row>
    <row r="4000" spans="36:39" ht="12.75" hidden="1" customHeight="1" x14ac:dyDescent="0.2">
      <c r="AJ4000" s="215"/>
      <c r="AK4000" s="215"/>
      <c r="AL4000" s="215"/>
      <c r="AM4000" s="215"/>
    </row>
    <row r="4001" spans="36:39" ht="12.75" hidden="1" customHeight="1" x14ac:dyDescent="0.2">
      <c r="AJ4001" s="215"/>
      <c r="AK4001" s="215"/>
      <c r="AL4001" s="215"/>
      <c r="AM4001" s="215"/>
    </row>
    <row r="4002" spans="36:39" ht="12.75" hidden="1" customHeight="1" x14ac:dyDescent="0.2">
      <c r="AJ4002" s="215"/>
      <c r="AK4002" s="215"/>
      <c r="AL4002" s="215"/>
      <c r="AM4002" s="215"/>
    </row>
    <row r="4003" spans="36:39" ht="12.75" hidden="1" customHeight="1" x14ac:dyDescent="0.2">
      <c r="AJ4003" s="215"/>
      <c r="AK4003" s="215"/>
      <c r="AL4003" s="215"/>
      <c r="AM4003" s="215"/>
    </row>
    <row r="4004" spans="36:39" ht="12.75" hidden="1" customHeight="1" x14ac:dyDescent="0.2">
      <c r="AJ4004" s="215"/>
      <c r="AK4004" s="215"/>
      <c r="AL4004" s="215"/>
      <c r="AM4004" s="215"/>
    </row>
    <row r="4005" spans="36:39" ht="12.75" hidden="1" customHeight="1" x14ac:dyDescent="0.2">
      <c r="AJ4005" s="215"/>
      <c r="AK4005" s="215"/>
      <c r="AL4005" s="215"/>
      <c r="AM4005" s="215"/>
    </row>
    <row r="4006" spans="36:39" ht="12.75" hidden="1" customHeight="1" x14ac:dyDescent="0.2">
      <c r="AJ4006" s="215"/>
      <c r="AK4006" s="215"/>
      <c r="AL4006" s="215"/>
      <c r="AM4006" s="215"/>
    </row>
    <row r="4007" spans="36:39" ht="12.75" hidden="1" customHeight="1" x14ac:dyDescent="0.2">
      <c r="AJ4007" s="215"/>
      <c r="AK4007" s="215"/>
      <c r="AL4007" s="215"/>
      <c r="AM4007" s="215"/>
    </row>
    <row r="4008" spans="36:39" ht="12.75" hidden="1" customHeight="1" x14ac:dyDescent="0.2">
      <c r="AJ4008" s="215"/>
      <c r="AK4008" s="215"/>
      <c r="AL4008" s="215"/>
      <c r="AM4008" s="215"/>
    </row>
    <row r="4009" spans="36:39" ht="12.75" hidden="1" customHeight="1" x14ac:dyDescent="0.2">
      <c r="AJ4009" s="215"/>
      <c r="AK4009" s="215"/>
      <c r="AL4009" s="215"/>
      <c r="AM4009" s="215"/>
    </row>
    <row r="4010" spans="36:39" ht="12.75" hidden="1" customHeight="1" x14ac:dyDescent="0.2">
      <c r="AJ4010" s="215"/>
      <c r="AK4010" s="215"/>
      <c r="AL4010" s="215"/>
      <c r="AM4010" s="215"/>
    </row>
    <row r="4011" spans="36:39" ht="12.75" hidden="1" customHeight="1" x14ac:dyDescent="0.2">
      <c r="AJ4011" s="215"/>
      <c r="AK4011" s="215"/>
      <c r="AL4011" s="215"/>
      <c r="AM4011" s="215"/>
    </row>
    <row r="4012" spans="36:39" ht="12.75" hidden="1" customHeight="1" x14ac:dyDescent="0.2">
      <c r="AJ4012" s="215"/>
      <c r="AK4012" s="215"/>
      <c r="AL4012" s="215"/>
      <c r="AM4012" s="215"/>
    </row>
    <row r="4013" spans="36:39" ht="12.75" hidden="1" customHeight="1" x14ac:dyDescent="0.2">
      <c r="AJ4013" s="215"/>
      <c r="AK4013" s="215"/>
      <c r="AL4013" s="215"/>
      <c r="AM4013" s="215"/>
    </row>
    <row r="4014" spans="36:39" ht="12.75" hidden="1" customHeight="1" x14ac:dyDescent="0.2">
      <c r="AJ4014" s="215"/>
      <c r="AK4014" s="215"/>
      <c r="AL4014" s="215"/>
      <c r="AM4014" s="215"/>
    </row>
    <row r="4015" spans="36:39" ht="12.75" hidden="1" customHeight="1" x14ac:dyDescent="0.2">
      <c r="AJ4015" s="215"/>
      <c r="AK4015" s="215"/>
      <c r="AL4015" s="215"/>
      <c r="AM4015" s="215"/>
    </row>
    <row r="4016" spans="36:39" ht="12.75" hidden="1" customHeight="1" x14ac:dyDescent="0.2">
      <c r="AJ4016" s="215"/>
      <c r="AK4016" s="215"/>
      <c r="AL4016" s="215"/>
      <c r="AM4016" s="215"/>
    </row>
    <row r="4017" spans="36:39" ht="12.75" hidden="1" customHeight="1" x14ac:dyDescent="0.2">
      <c r="AJ4017" s="215"/>
      <c r="AK4017" s="215"/>
      <c r="AL4017" s="215"/>
      <c r="AM4017" s="215"/>
    </row>
    <row r="4018" spans="36:39" ht="12.75" hidden="1" customHeight="1" x14ac:dyDescent="0.2">
      <c r="AJ4018" s="215"/>
      <c r="AK4018" s="215"/>
      <c r="AL4018" s="215"/>
      <c r="AM4018" s="215"/>
    </row>
    <row r="4019" spans="36:39" ht="12.75" hidden="1" customHeight="1" x14ac:dyDescent="0.2">
      <c r="AJ4019" s="215"/>
      <c r="AK4019" s="215"/>
      <c r="AL4019" s="215"/>
      <c r="AM4019" s="215"/>
    </row>
    <row r="4020" spans="36:39" ht="12.75" hidden="1" customHeight="1" x14ac:dyDescent="0.2">
      <c r="AJ4020" s="215"/>
      <c r="AK4020" s="215"/>
      <c r="AL4020" s="215"/>
      <c r="AM4020" s="215"/>
    </row>
    <row r="4021" spans="36:39" ht="12.75" hidden="1" customHeight="1" x14ac:dyDescent="0.2">
      <c r="AJ4021" s="215"/>
      <c r="AK4021" s="215"/>
      <c r="AL4021" s="215"/>
      <c r="AM4021" s="215"/>
    </row>
    <row r="4022" spans="36:39" ht="12.75" hidden="1" customHeight="1" x14ac:dyDescent="0.2">
      <c r="AJ4022" s="215"/>
      <c r="AK4022" s="215"/>
      <c r="AL4022" s="215"/>
      <c r="AM4022" s="215"/>
    </row>
    <row r="4023" spans="36:39" ht="12.75" hidden="1" customHeight="1" x14ac:dyDescent="0.2">
      <c r="AJ4023" s="215"/>
      <c r="AK4023" s="215"/>
      <c r="AL4023" s="215"/>
      <c r="AM4023" s="215"/>
    </row>
    <row r="4024" spans="36:39" ht="12.75" hidden="1" customHeight="1" x14ac:dyDescent="0.2">
      <c r="AJ4024" s="215"/>
      <c r="AK4024" s="215"/>
      <c r="AL4024" s="215"/>
      <c r="AM4024" s="215"/>
    </row>
    <row r="4025" spans="36:39" ht="12.75" hidden="1" customHeight="1" x14ac:dyDescent="0.2">
      <c r="AJ4025" s="215"/>
      <c r="AK4025" s="215"/>
      <c r="AL4025" s="215"/>
      <c r="AM4025" s="215"/>
    </row>
    <row r="4026" spans="36:39" ht="12.75" hidden="1" customHeight="1" x14ac:dyDescent="0.2">
      <c r="AJ4026" s="215"/>
      <c r="AK4026" s="215"/>
      <c r="AL4026" s="215"/>
      <c r="AM4026" s="215"/>
    </row>
    <row r="4027" spans="36:39" ht="12.75" hidden="1" customHeight="1" x14ac:dyDescent="0.2">
      <c r="AJ4027" s="215"/>
      <c r="AK4027" s="215"/>
      <c r="AL4027" s="215"/>
      <c r="AM4027" s="215"/>
    </row>
    <row r="4028" spans="36:39" ht="12.75" hidden="1" customHeight="1" x14ac:dyDescent="0.2">
      <c r="AJ4028" s="215"/>
      <c r="AK4028" s="215"/>
      <c r="AL4028" s="215"/>
      <c r="AM4028" s="215"/>
    </row>
    <row r="4029" spans="36:39" ht="12.75" hidden="1" customHeight="1" x14ac:dyDescent="0.2">
      <c r="AJ4029" s="215"/>
      <c r="AK4029" s="215"/>
      <c r="AL4029" s="215"/>
      <c r="AM4029" s="215"/>
    </row>
    <row r="4030" spans="36:39" ht="12.75" hidden="1" customHeight="1" x14ac:dyDescent="0.2">
      <c r="AJ4030" s="215"/>
      <c r="AK4030" s="215"/>
      <c r="AL4030" s="215"/>
      <c r="AM4030" s="215"/>
    </row>
    <row r="4031" spans="36:39" ht="12.75" hidden="1" customHeight="1" x14ac:dyDescent="0.2">
      <c r="AJ4031" s="215"/>
      <c r="AK4031" s="215"/>
      <c r="AL4031" s="215"/>
      <c r="AM4031" s="215"/>
    </row>
    <row r="4032" spans="36:39" ht="12.75" hidden="1" customHeight="1" x14ac:dyDescent="0.2">
      <c r="AJ4032" s="215"/>
      <c r="AK4032" s="215"/>
      <c r="AL4032" s="215"/>
      <c r="AM4032" s="215"/>
    </row>
    <row r="4033" spans="36:39" ht="12.75" hidden="1" customHeight="1" x14ac:dyDescent="0.2">
      <c r="AJ4033" s="215"/>
      <c r="AK4033" s="215"/>
      <c r="AL4033" s="215"/>
      <c r="AM4033" s="215"/>
    </row>
    <row r="4034" spans="36:39" ht="12.75" hidden="1" customHeight="1" x14ac:dyDescent="0.2">
      <c r="AJ4034" s="215"/>
      <c r="AK4034" s="215"/>
      <c r="AL4034" s="215"/>
      <c r="AM4034" s="215"/>
    </row>
    <row r="4035" spans="36:39" ht="12.75" hidden="1" customHeight="1" x14ac:dyDescent="0.2">
      <c r="AJ4035" s="215"/>
      <c r="AK4035" s="215"/>
      <c r="AL4035" s="215"/>
      <c r="AM4035" s="215"/>
    </row>
    <row r="4036" spans="36:39" ht="12.75" hidden="1" customHeight="1" x14ac:dyDescent="0.2">
      <c r="AJ4036" s="215"/>
      <c r="AK4036" s="215"/>
      <c r="AL4036" s="215"/>
      <c r="AM4036" s="215"/>
    </row>
    <row r="4037" spans="36:39" ht="12.75" hidden="1" customHeight="1" x14ac:dyDescent="0.2">
      <c r="AJ4037" s="215"/>
      <c r="AK4037" s="215"/>
      <c r="AL4037" s="215"/>
      <c r="AM4037" s="215"/>
    </row>
    <row r="4038" spans="36:39" ht="12.75" hidden="1" customHeight="1" x14ac:dyDescent="0.2">
      <c r="AJ4038" s="215"/>
      <c r="AK4038" s="215"/>
      <c r="AL4038" s="215"/>
      <c r="AM4038" s="215"/>
    </row>
    <row r="4039" spans="36:39" ht="12.75" hidden="1" customHeight="1" x14ac:dyDescent="0.2">
      <c r="AJ4039" s="215"/>
      <c r="AK4039" s="215"/>
      <c r="AL4039" s="215"/>
      <c r="AM4039" s="215"/>
    </row>
    <row r="4040" spans="36:39" ht="12.75" hidden="1" customHeight="1" x14ac:dyDescent="0.2">
      <c r="AJ4040" s="215"/>
      <c r="AK4040" s="215"/>
      <c r="AL4040" s="215"/>
      <c r="AM4040" s="215"/>
    </row>
    <row r="4041" spans="36:39" ht="12.75" hidden="1" customHeight="1" x14ac:dyDescent="0.2">
      <c r="AJ4041" s="215"/>
      <c r="AK4041" s="215"/>
      <c r="AL4041" s="215"/>
      <c r="AM4041" s="215"/>
    </row>
    <row r="4042" spans="36:39" ht="12.75" hidden="1" customHeight="1" x14ac:dyDescent="0.2">
      <c r="AJ4042" s="215"/>
      <c r="AK4042" s="215"/>
      <c r="AL4042" s="215"/>
      <c r="AM4042" s="215"/>
    </row>
    <row r="4043" spans="36:39" ht="12.75" hidden="1" customHeight="1" x14ac:dyDescent="0.2">
      <c r="AJ4043" s="215"/>
      <c r="AK4043" s="215"/>
      <c r="AL4043" s="215"/>
      <c r="AM4043" s="215"/>
    </row>
    <row r="4044" spans="36:39" ht="12.75" hidden="1" customHeight="1" x14ac:dyDescent="0.2">
      <c r="AJ4044" s="215"/>
      <c r="AK4044" s="215"/>
      <c r="AL4044" s="215"/>
      <c r="AM4044" s="215"/>
    </row>
    <row r="4045" spans="36:39" ht="12.75" hidden="1" customHeight="1" x14ac:dyDescent="0.2">
      <c r="AJ4045" s="215"/>
      <c r="AK4045" s="215"/>
      <c r="AL4045" s="215"/>
      <c r="AM4045" s="215"/>
    </row>
    <row r="4046" spans="36:39" ht="12.75" hidden="1" customHeight="1" x14ac:dyDescent="0.2">
      <c r="AJ4046" s="215"/>
      <c r="AK4046" s="215"/>
      <c r="AL4046" s="215"/>
      <c r="AM4046" s="215"/>
    </row>
    <row r="4047" spans="36:39" ht="12.75" hidden="1" customHeight="1" x14ac:dyDescent="0.2">
      <c r="AJ4047" s="215"/>
      <c r="AK4047" s="215"/>
      <c r="AL4047" s="215"/>
      <c r="AM4047" s="215"/>
    </row>
    <row r="4048" spans="36:39" ht="12.75" hidden="1" customHeight="1" x14ac:dyDescent="0.2">
      <c r="AJ4048" s="215"/>
      <c r="AK4048" s="215"/>
      <c r="AL4048" s="215"/>
      <c r="AM4048" s="215"/>
    </row>
    <row r="4049" spans="36:39" ht="12.75" hidden="1" customHeight="1" x14ac:dyDescent="0.2">
      <c r="AJ4049" s="215"/>
      <c r="AK4049" s="215"/>
      <c r="AL4049" s="215"/>
      <c r="AM4049" s="215"/>
    </row>
    <row r="4050" spans="36:39" ht="12.75" hidden="1" customHeight="1" x14ac:dyDescent="0.2">
      <c r="AJ4050" s="215"/>
      <c r="AK4050" s="215"/>
      <c r="AL4050" s="215"/>
      <c r="AM4050" s="215"/>
    </row>
    <row r="4051" spans="36:39" ht="12.75" hidden="1" customHeight="1" x14ac:dyDescent="0.2">
      <c r="AJ4051" s="215"/>
      <c r="AK4051" s="215"/>
      <c r="AL4051" s="215"/>
      <c r="AM4051" s="215"/>
    </row>
    <row r="4052" spans="36:39" ht="12.75" hidden="1" customHeight="1" x14ac:dyDescent="0.2">
      <c r="AJ4052" s="215"/>
      <c r="AK4052" s="215"/>
      <c r="AL4052" s="215"/>
      <c r="AM4052" s="215"/>
    </row>
    <row r="4053" spans="36:39" ht="12.75" hidden="1" customHeight="1" x14ac:dyDescent="0.2">
      <c r="AJ4053" s="215"/>
      <c r="AK4053" s="215"/>
      <c r="AL4053" s="215"/>
      <c r="AM4053" s="215"/>
    </row>
    <row r="4054" spans="36:39" ht="12.75" hidden="1" customHeight="1" x14ac:dyDescent="0.2">
      <c r="AJ4054" s="215"/>
      <c r="AK4054" s="215"/>
      <c r="AL4054" s="215"/>
      <c r="AM4054" s="215"/>
    </row>
    <row r="4055" spans="36:39" ht="12.75" hidden="1" customHeight="1" x14ac:dyDescent="0.2">
      <c r="AJ4055" s="215"/>
      <c r="AK4055" s="215"/>
      <c r="AL4055" s="215"/>
      <c r="AM4055" s="215"/>
    </row>
    <row r="4056" spans="36:39" ht="12.75" hidden="1" customHeight="1" x14ac:dyDescent="0.2">
      <c r="AJ4056" s="215"/>
      <c r="AK4056" s="215"/>
      <c r="AL4056" s="215"/>
      <c r="AM4056" s="215"/>
    </row>
    <row r="4057" spans="36:39" ht="12.75" hidden="1" customHeight="1" x14ac:dyDescent="0.2">
      <c r="AJ4057" s="215"/>
      <c r="AK4057" s="215"/>
      <c r="AL4057" s="215"/>
      <c r="AM4057" s="215"/>
    </row>
    <row r="4058" spans="36:39" ht="12.75" hidden="1" customHeight="1" x14ac:dyDescent="0.2">
      <c r="AJ4058" s="215"/>
      <c r="AK4058" s="215"/>
      <c r="AL4058" s="215"/>
      <c r="AM4058" s="215"/>
    </row>
    <row r="4059" spans="36:39" ht="12.75" hidden="1" customHeight="1" x14ac:dyDescent="0.2">
      <c r="AJ4059" s="215"/>
      <c r="AK4059" s="215"/>
      <c r="AL4059" s="215"/>
      <c r="AM4059" s="215"/>
    </row>
    <row r="4060" spans="36:39" ht="12.75" hidden="1" customHeight="1" x14ac:dyDescent="0.2">
      <c r="AJ4060" s="215"/>
      <c r="AK4060" s="215"/>
      <c r="AL4060" s="215"/>
      <c r="AM4060" s="215"/>
    </row>
    <row r="4061" spans="36:39" ht="12.75" hidden="1" customHeight="1" x14ac:dyDescent="0.2">
      <c r="AJ4061" s="215"/>
      <c r="AK4061" s="215"/>
      <c r="AL4061" s="215"/>
      <c r="AM4061" s="215"/>
    </row>
    <row r="4062" spans="36:39" ht="12.75" hidden="1" customHeight="1" x14ac:dyDescent="0.2">
      <c r="AJ4062" s="215"/>
      <c r="AK4062" s="215"/>
      <c r="AL4062" s="215"/>
      <c r="AM4062" s="215"/>
    </row>
    <row r="4063" spans="36:39" ht="12.75" hidden="1" customHeight="1" x14ac:dyDescent="0.2">
      <c r="AJ4063" s="215"/>
      <c r="AK4063" s="215"/>
      <c r="AL4063" s="215"/>
      <c r="AM4063" s="215"/>
    </row>
    <row r="4064" spans="36:39" ht="12.75" hidden="1" customHeight="1" x14ac:dyDescent="0.2">
      <c r="AJ4064" s="215"/>
      <c r="AK4064" s="215"/>
      <c r="AL4064" s="215"/>
      <c r="AM4064" s="215"/>
    </row>
    <row r="4065" spans="36:39" ht="12.75" hidden="1" customHeight="1" x14ac:dyDescent="0.2">
      <c r="AJ4065" s="215"/>
      <c r="AK4065" s="215"/>
      <c r="AL4065" s="215"/>
      <c r="AM4065" s="215"/>
    </row>
    <row r="4066" spans="36:39" ht="12.75" hidden="1" customHeight="1" x14ac:dyDescent="0.2">
      <c r="AJ4066" s="215"/>
      <c r="AK4066" s="215"/>
      <c r="AL4066" s="215"/>
      <c r="AM4066" s="215"/>
    </row>
    <row r="4067" spans="36:39" ht="12.75" hidden="1" customHeight="1" x14ac:dyDescent="0.2">
      <c r="AJ4067" s="215"/>
      <c r="AK4067" s="215"/>
      <c r="AL4067" s="215"/>
      <c r="AM4067" s="215"/>
    </row>
    <row r="4068" spans="36:39" ht="12.75" hidden="1" customHeight="1" x14ac:dyDescent="0.2">
      <c r="AJ4068" s="215"/>
      <c r="AK4068" s="215"/>
      <c r="AL4068" s="215"/>
      <c r="AM4068" s="215"/>
    </row>
    <row r="4069" spans="36:39" ht="12.75" hidden="1" customHeight="1" x14ac:dyDescent="0.2">
      <c r="AJ4069" s="215"/>
      <c r="AK4069" s="215"/>
      <c r="AL4069" s="215"/>
      <c r="AM4069" s="215"/>
    </row>
    <row r="4070" spans="36:39" ht="12.75" hidden="1" customHeight="1" x14ac:dyDescent="0.2">
      <c r="AJ4070" s="215"/>
      <c r="AK4070" s="215"/>
      <c r="AL4070" s="215"/>
      <c r="AM4070" s="215"/>
    </row>
    <row r="4071" spans="36:39" ht="12.75" hidden="1" customHeight="1" x14ac:dyDescent="0.2">
      <c r="AJ4071" s="215"/>
      <c r="AK4071" s="215"/>
      <c r="AL4071" s="215"/>
      <c r="AM4071" s="215"/>
    </row>
    <row r="4072" spans="36:39" ht="12.75" hidden="1" customHeight="1" x14ac:dyDescent="0.2">
      <c r="AJ4072" s="215"/>
      <c r="AK4072" s="215"/>
      <c r="AL4072" s="215"/>
      <c r="AM4072" s="215"/>
    </row>
    <row r="4073" spans="36:39" ht="12.75" hidden="1" customHeight="1" x14ac:dyDescent="0.2">
      <c r="AJ4073" s="215"/>
      <c r="AK4073" s="215"/>
      <c r="AL4073" s="215"/>
      <c r="AM4073" s="215"/>
    </row>
    <row r="4074" spans="36:39" ht="12.75" hidden="1" customHeight="1" x14ac:dyDescent="0.2">
      <c r="AJ4074" s="215"/>
      <c r="AK4074" s="215"/>
      <c r="AL4074" s="215"/>
      <c r="AM4074" s="215"/>
    </row>
    <row r="4075" spans="36:39" ht="12.75" hidden="1" customHeight="1" x14ac:dyDescent="0.2">
      <c r="AJ4075" s="215"/>
      <c r="AK4075" s="215"/>
      <c r="AL4075" s="215"/>
      <c r="AM4075" s="215"/>
    </row>
    <row r="4076" spans="36:39" ht="12.75" hidden="1" customHeight="1" x14ac:dyDescent="0.2">
      <c r="AJ4076" s="215"/>
      <c r="AK4076" s="215"/>
      <c r="AL4076" s="215"/>
      <c r="AM4076" s="215"/>
    </row>
    <row r="4077" spans="36:39" ht="12.75" hidden="1" customHeight="1" x14ac:dyDescent="0.2">
      <c r="AJ4077" s="215"/>
      <c r="AK4077" s="215"/>
      <c r="AL4077" s="215"/>
      <c r="AM4077" s="215"/>
    </row>
    <row r="4078" spans="36:39" ht="12.75" hidden="1" customHeight="1" x14ac:dyDescent="0.2">
      <c r="AJ4078" s="215"/>
      <c r="AK4078" s="215"/>
      <c r="AL4078" s="215"/>
      <c r="AM4078" s="215"/>
    </row>
    <row r="4079" spans="36:39" ht="12.75" hidden="1" customHeight="1" x14ac:dyDescent="0.2">
      <c r="AJ4079" s="215"/>
      <c r="AK4079" s="215"/>
      <c r="AL4079" s="215"/>
      <c r="AM4079" s="215"/>
    </row>
    <row r="4080" spans="36:39" ht="12.75" hidden="1" customHeight="1" x14ac:dyDescent="0.2">
      <c r="AJ4080" s="215"/>
      <c r="AK4080" s="215"/>
      <c r="AL4080" s="215"/>
      <c r="AM4080" s="215"/>
    </row>
    <row r="4081" spans="36:39" ht="12.75" hidden="1" customHeight="1" x14ac:dyDescent="0.2">
      <c r="AJ4081" s="215"/>
      <c r="AK4081" s="215"/>
      <c r="AL4081" s="215"/>
      <c r="AM4081" s="215"/>
    </row>
    <row r="4082" spans="36:39" ht="12.75" hidden="1" customHeight="1" x14ac:dyDescent="0.2">
      <c r="AJ4082" s="215"/>
      <c r="AK4082" s="215"/>
      <c r="AL4082" s="215"/>
      <c r="AM4082" s="215"/>
    </row>
    <row r="4083" spans="36:39" ht="12.75" hidden="1" customHeight="1" x14ac:dyDescent="0.2">
      <c r="AJ4083" s="215"/>
      <c r="AK4083" s="215"/>
      <c r="AL4083" s="215"/>
      <c r="AM4083" s="215"/>
    </row>
    <row r="4084" spans="36:39" ht="12.75" hidden="1" customHeight="1" x14ac:dyDescent="0.2">
      <c r="AJ4084" s="215"/>
      <c r="AK4084" s="215"/>
      <c r="AL4084" s="215"/>
      <c r="AM4084" s="215"/>
    </row>
    <row r="4085" spans="36:39" ht="12.75" hidden="1" customHeight="1" x14ac:dyDescent="0.2">
      <c r="AJ4085" s="215"/>
      <c r="AK4085" s="215"/>
      <c r="AL4085" s="215"/>
      <c r="AM4085" s="215"/>
    </row>
    <row r="4086" spans="36:39" ht="12.75" hidden="1" customHeight="1" x14ac:dyDescent="0.2">
      <c r="AJ4086" s="215"/>
      <c r="AK4086" s="215"/>
      <c r="AL4086" s="215"/>
      <c r="AM4086" s="215"/>
    </row>
    <row r="4087" spans="36:39" ht="12.75" hidden="1" customHeight="1" x14ac:dyDescent="0.2">
      <c r="AJ4087" s="215"/>
      <c r="AK4087" s="215"/>
      <c r="AL4087" s="215"/>
      <c r="AM4087" s="215"/>
    </row>
    <row r="4088" spans="36:39" ht="12.75" hidden="1" customHeight="1" x14ac:dyDescent="0.2">
      <c r="AJ4088" s="215"/>
      <c r="AK4088" s="215"/>
      <c r="AL4088" s="215"/>
      <c r="AM4088" s="215"/>
    </row>
    <row r="4089" spans="36:39" ht="12.75" hidden="1" customHeight="1" x14ac:dyDescent="0.2">
      <c r="AJ4089" s="215"/>
      <c r="AK4089" s="215"/>
      <c r="AL4089" s="215"/>
      <c r="AM4089" s="215"/>
    </row>
    <row r="4090" spans="36:39" ht="12.75" hidden="1" customHeight="1" x14ac:dyDescent="0.2">
      <c r="AJ4090" s="215"/>
      <c r="AK4090" s="215"/>
      <c r="AL4090" s="215"/>
      <c r="AM4090" s="215"/>
    </row>
    <row r="4091" spans="36:39" ht="12.75" hidden="1" customHeight="1" x14ac:dyDescent="0.2">
      <c r="AJ4091" s="215"/>
      <c r="AK4091" s="215"/>
      <c r="AL4091" s="215"/>
      <c r="AM4091" s="215"/>
    </row>
    <row r="4092" spans="36:39" ht="12.75" hidden="1" customHeight="1" x14ac:dyDescent="0.2">
      <c r="AJ4092" s="215"/>
      <c r="AK4092" s="215"/>
      <c r="AL4092" s="215"/>
      <c r="AM4092" s="215"/>
    </row>
    <row r="4093" spans="36:39" ht="12.75" hidden="1" customHeight="1" x14ac:dyDescent="0.2">
      <c r="AJ4093" s="215"/>
      <c r="AK4093" s="215"/>
      <c r="AL4093" s="215"/>
      <c r="AM4093" s="215"/>
    </row>
    <row r="4094" spans="36:39" ht="12.75" hidden="1" customHeight="1" x14ac:dyDescent="0.2">
      <c r="AJ4094" s="215"/>
      <c r="AK4094" s="215"/>
      <c r="AL4094" s="215"/>
      <c r="AM4094" s="215"/>
    </row>
    <row r="4095" spans="36:39" ht="12.75" hidden="1" customHeight="1" x14ac:dyDescent="0.2">
      <c r="AJ4095" s="215"/>
      <c r="AK4095" s="215"/>
      <c r="AL4095" s="215"/>
      <c r="AM4095" s="215"/>
    </row>
    <row r="4096" spans="36:39" ht="12.75" hidden="1" customHeight="1" x14ac:dyDescent="0.2">
      <c r="AJ4096" s="215"/>
      <c r="AK4096" s="215"/>
      <c r="AL4096" s="215"/>
      <c r="AM4096" s="215"/>
    </row>
    <row r="4097" spans="36:39" ht="12.75" hidden="1" customHeight="1" x14ac:dyDescent="0.2">
      <c r="AJ4097" s="215"/>
      <c r="AK4097" s="215"/>
      <c r="AL4097" s="215"/>
      <c r="AM4097" s="215"/>
    </row>
    <row r="4098" spans="36:39" ht="12.75" hidden="1" customHeight="1" x14ac:dyDescent="0.2">
      <c r="AJ4098" s="215"/>
      <c r="AK4098" s="215"/>
      <c r="AL4098" s="215"/>
      <c r="AM4098" s="215"/>
    </row>
    <row r="4099" spans="36:39" ht="12.75" hidden="1" customHeight="1" x14ac:dyDescent="0.2">
      <c r="AJ4099" s="215"/>
      <c r="AK4099" s="215"/>
      <c r="AL4099" s="215"/>
      <c r="AM4099" s="215"/>
    </row>
    <row r="4100" spans="36:39" ht="12.75" hidden="1" customHeight="1" x14ac:dyDescent="0.2">
      <c r="AJ4100" s="215"/>
      <c r="AK4100" s="215"/>
      <c r="AL4100" s="215"/>
      <c r="AM4100" s="215"/>
    </row>
    <row r="4101" spans="36:39" ht="12.75" hidden="1" customHeight="1" x14ac:dyDescent="0.2">
      <c r="AJ4101" s="215"/>
      <c r="AK4101" s="215"/>
      <c r="AL4101" s="215"/>
      <c r="AM4101" s="215"/>
    </row>
    <row r="4102" spans="36:39" ht="12.75" hidden="1" customHeight="1" x14ac:dyDescent="0.2">
      <c r="AJ4102" s="215"/>
      <c r="AK4102" s="215"/>
      <c r="AL4102" s="215"/>
      <c r="AM4102" s="215"/>
    </row>
    <row r="4103" spans="36:39" ht="12.75" hidden="1" customHeight="1" x14ac:dyDescent="0.2">
      <c r="AJ4103" s="215"/>
      <c r="AK4103" s="215"/>
      <c r="AL4103" s="215"/>
      <c r="AM4103" s="215"/>
    </row>
    <row r="4104" spans="36:39" ht="12.75" hidden="1" customHeight="1" x14ac:dyDescent="0.2">
      <c r="AJ4104" s="215"/>
      <c r="AK4104" s="215"/>
      <c r="AL4104" s="215"/>
      <c r="AM4104" s="215"/>
    </row>
    <row r="4105" spans="36:39" ht="12.75" hidden="1" customHeight="1" x14ac:dyDescent="0.2">
      <c r="AJ4105" s="215"/>
      <c r="AK4105" s="215"/>
      <c r="AL4105" s="215"/>
      <c r="AM4105" s="215"/>
    </row>
    <row r="4106" spans="36:39" ht="12.75" hidden="1" customHeight="1" x14ac:dyDescent="0.2">
      <c r="AJ4106" s="215"/>
      <c r="AK4106" s="215"/>
      <c r="AL4106" s="215"/>
      <c r="AM4106" s="215"/>
    </row>
    <row r="4107" spans="36:39" ht="12.75" hidden="1" customHeight="1" x14ac:dyDescent="0.2">
      <c r="AJ4107" s="215"/>
      <c r="AK4107" s="215"/>
      <c r="AL4107" s="215"/>
      <c r="AM4107" s="215"/>
    </row>
    <row r="4108" spans="36:39" ht="12.75" hidden="1" customHeight="1" x14ac:dyDescent="0.2">
      <c r="AJ4108" s="215"/>
      <c r="AK4108" s="215"/>
      <c r="AL4108" s="215"/>
      <c r="AM4108" s="215"/>
    </row>
    <row r="4109" spans="36:39" ht="12.75" hidden="1" customHeight="1" x14ac:dyDescent="0.2">
      <c r="AJ4109" s="215"/>
      <c r="AK4109" s="215"/>
      <c r="AL4109" s="215"/>
      <c r="AM4109" s="215"/>
    </row>
    <row r="4110" spans="36:39" ht="12.75" hidden="1" customHeight="1" x14ac:dyDescent="0.2">
      <c r="AJ4110" s="215"/>
      <c r="AK4110" s="215"/>
      <c r="AL4110" s="215"/>
      <c r="AM4110" s="215"/>
    </row>
    <row r="4111" spans="36:39" ht="12.75" hidden="1" customHeight="1" x14ac:dyDescent="0.2">
      <c r="AJ4111" s="215"/>
      <c r="AK4111" s="215"/>
      <c r="AL4111" s="215"/>
      <c r="AM4111" s="215"/>
    </row>
    <row r="4112" spans="36:39" ht="12.75" hidden="1" customHeight="1" x14ac:dyDescent="0.2">
      <c r="AJ4112" s="215"/>
      <c r="AK4112" s="215"/>
      <c r="AL4112" s="215"/>
      <c r="AM4112" s="215"/>
    </row>
    <row r="4113" spans="36:39" ht="12.75" hidden="1" customHeight="1" x14ac:dyDescent="0.2">
      <c r="AJ4113" s="215"/>
      <c r="AK4113" s="215"/>
      <c r="AL4113" s="215"/>
      <c r="AM4113" s="215"/>
    </row>
    <row r="4114" spans="36:39" ht="12.75" hidden="1" customHeight="1" x14ac:dyDescent="0.2">
      <c r="AJ4114" s="215"/>
      <c r="AK4114" s="215"/>
      <c r="AL4114" s="215"/>
      <c r="AM4114" s="215"/>
    </row>
    <row r="4115" spans="36:39" ht="12.75" hidden="1" customHeight="1" x14ac:dyDescent="0.2">
      <c r="AJ4115" s="215"/>
      <c r="AK4115" s="215"/>
      <c r="AL4115" s="215"/>
      <c r="AM4115" s="215"/>
    </row>
    <row r="4116" spans="36:39" ht="12.75" hidden="1" customHeight="1" x14ac:dyDescent="0.2">
      <c r="AJ4116" s="215"/>
      <c r="AK4116" s="215"/>
      <c r="AL4116" s="215"/>
      <c r="AM4116" s="215"/>
    </row>
    <row r="4117" spans="36:39" ht="12.75" hidden="1" customHeight="1" x14ac:dyDescent="0.2">
      <c r="AJ4117" s="215"/>
      <c r="AK4117" s="215"/>
      <c r="AL4117" s="215"/>
      <c r="AM4117" s="215"/>
    </row>
    <row r="4118" spans="36:39" ht="12.75" hidden="1" customHeight="1" x14ac:dyDescent="0.2">
      <c r="AJ4118" s="215"/>
      <c r="AK4118" s="215"/>
      <c r="AL4118" s="215"/>
      <c r="AM4118" s="215"/>
    </row>
    <row r="4119" spans="36:39" ht="12.75" hidden="1" customHeight="1" x14ac:dyDescent="0.2">
      <c r="AJ4119" s="215"/>
      <c r="AK4119" s="215"/>
      <c r="AL4119" s="215"/>
      <c r="AM4119" s="215"/>
    </row>
    <row r="4120" spans="36:39" ht="12.75" hidden="1" customHeight="1" x14ac:dyDescent="0.2">
      <c r="AJ4120" s="215"/>
      <c r="AK4120" s="215"/>
      <c r="AL4120" s="215"/>
      <c r="AM4120" s="215"/>
    </row>
    <row r="4121" spans="36:39" ht="12.75" hidden="1" customHeight="1" x14ac:dyDescent="0.2">
      <c r="AJ4121" s="215"/>
      <c r="AK4121" s="215"/>
      <c r="AL4121" s="215"/>
      <c r="AM4121" s="215"/>
    </row>
    <row r="4122" spans="36:39" ht="12.75" hidden="1" customHeight="1" x14ac:dyDescent="0.2">
      <c r="AJ4122" s="215"/>
      <c r="AK4122" s="215"/>
      <c r="AL4122" s="215"/>
      <c r="AM4122" s="215"/>
    </row>
    <row r="4123" spans="36:39" ht="12.75" hidden="1" customHeight="1" x14ac:dyDescent="0.2">
      <c r="AJ4123" s="215"/>
      <c r="AK4123" s="215"/>
      <c r="AL4123" s="215"/>
      <c r="AM4123" s="215"/>
    </row>
    <row r="4124" spans="36:39" ht="12.75" hidden="1" customHeight="1" x14ac:dyDescent="0.2">
      <c r="AJ4124" s="215"/>
      <c r="AK4124" s="215"/>
      <c r="AL4124" s="215"/>
      <c r="AM4124" s="215"/>
    </row>
    <row r="4125" spans="36:39" ht="12.75" hidden="1" customHeight="1" x14ac:dyDescent="0.2">
      <c r="AJ4125" s="215"/>
      <c r="AK4125" s="215"/>
      <c r="AL4125" s="215"/>
      <c r="AM4125" s="215"/>
    </row>
    <row r="4126" spans="36:39" ht="12.75" hidden="1" customHeight="1" x14ac:dyDescent="0.2">
      <c r="AJ4126" s="215"/>
      <c r="AK4126" s="215"/>
      <c r="AL4126" s="215"/>
      <c r="AM4126" s="215"/>
    </row>
    <row r="4127" spans="36:39" ht="12.75" hidden="1" customHeight="1" x14ac:dyDescent="0.2">
      <c r="AJ4127" s="215"/>
      <c r="AK4127" s="215"/>
      <c r="AL4127" s="215"/>
      <c r="AM4127" s="215"/>
    </row>
    <row r="4128" spans="36:39" ht="12.75" hidden="1" customHeight="1" x14ac:dyDescent="0.2">
      <c r="AJ4128" s="215"/>
      <c r="AK4128" s="215"/>
      <c r="AL4128" s="215"/>
      <c r="AM4128" s="215"/>
    </row>
    <row r="4129" spans="36:39" ht="12.75" hidden="1" customHeight="1" x14ac:dyDescent="0.2">
      <c r="AJ4129" s="215"/>
      <c r="AK4129" s="215"/>
      <c r="AL4129" s="215"/>
      <c r="AM4129" s="215"/>
    </row>
    <row r="4130" spans="36:39" ht="12.75" hidden="1" customHeight="1" x14ac:dyDescent="0.2">
      <c r="AJ4130" s="215"/>
      <c r="AK4130" s="215"/>
      <c r="AL4130" s="215"/>
      <c r="AM4130" s="215"/>
    </row>
    <row r="4131" spans="36:39" ht="12.75" hidden="1" customHeight="1" x14ac:dyDescent="0.2">
      <c r="AJ4131" s="215"/>
      <c r="AK4131" s="215"/>
      <c r="AL4131" s="215"/>
      <c r="AM4131" s="215"/>
    </row>
    <row r="4132" spans="36:39" ht="12.75" hidden="1" customHeight="1" x14ac:dyDescent="0.2">
      <c r="AJ4132" s="215"/>
      <c r="AK4132" s="215"/>
      <c r="AL4132" s="215"/>
      <c r="AM4132" s="215"/>
    </row>
    <row r="4133" spans="36:39" ht="12.75" hidden="1" customHeight="1" x14ac:dyDescent="0.2">
      <c r="AJ4133" s="215"/>
      <c r="AK4133" s="215"/>
      <c r="AL4133" s="215"/>
      <c r="AM4133" s="215"/>
    </row>
    <row r="4134" spans="36:39" ht="12.75" hidden="1" customHeight="1" x14ac:dyDescent="0.2">
      <c r="AJ4134" s="215"/>
      <c r="AK4134" s="215"/>
      <c r="AL4134" s="215"/>
      <c r="AM4134" s="215"/>
    </row>
    <row r="4135" spans="36:39" ht="12.75" hidden="1" customHeight="1" x14ac:dyDescent="0.2">
      <c r="AJ4135" s="215"/>
      <c r="AK4135" s="215"/>
      <c r="AL4135" s="215"/>
      <c r="AM4135" s="215"/>
    </row>
    <row r="4136" spans="36:39" ht="12.75" hidden="1" customHeight="1" x14ac:dyDescent="0.2">
      <c r="AJ4136" s="215"/>
      <c r="AK4136" s="215"/>
      <c r="AL4136" s="215"/>
      <c r="AM4136" s="215"/>
    </row>
    <row r="4137" spans="36:39" ht="12.75" hidden="1" customHeight="1" x14ac:dyDescent="0.2">
      <c r="AJ4137" s="215"/>
      <c r="AK4137" s="215"/>
      <c r="AL4137" s="215"/>
      <c r="AM4137" s="215"/>
    </row>
    <row r="4138" spans="36:39" ht="12.75" hidden="1" customHeight="1" x14ac:dyDescent="0.2">
      <c r="AJ4138" s="215"/>
      <c r="AK4138" s="215"/>
      <c r="AL4138" s="215"/>
      <c r="AM4138" s="215"/>
    </row>
    <row r="4139" spans="36:39" ht="12.75" hidden="1" customHeight="1" x14ac:dyDescent="0.2">
      <c r="AJ4139" s="215"/>
      <c r="AK4139" s="215"/>
      <c r="AL4139" s="215"/>
      <c r="AM4139" s="215"/>
    </row>
    <row r="4140" spans="36:39" ht="12.75" hidden="1" customHeight="1" x14ac:dyDescent="0.2">
      <c r="AJ4140" s="215"/>
      <c r="AK4140" s="215"/>
      <c r="AL4140" s="215"/>
      <c r="AM4140" s="215"/>
    </row>
    <row r="4141" spans="36:39" ht="12.75" hidden="1" customHeight="1" x14ac:dyDescent="0.2">
      <c r="AJ4141" s="215"/>
      <c r="AK4141" s="215"/>
      <c r="AL4141" s="215"/>
      <c r="AM4141" s="215"/>
    </row>
    <row r="4142" spans="36:39" ht="12.75" hidden="1" customHeight="1" x14ac:dyDescent="0.2">
      <c r="AJ4142" s="215"/>
      <c r="AK4142" s="215"/>
      <c r="AL4142" s="215"/>
      <c r="AM4142" s="215"/>
    </row>
    <row r="4143" spans="36:39" ht="12.75" hidden="1" customHeight="1" x14ac:dyDescent="0.2">
      <c r="AJ4143" s="215"/>
      <c r="AK4143" s="215"/>
      <c r="AL4143" s="215"/>
      <c r="AM4143" s="215"/>
    </row>
    <row r="4144" spans="36:39" ht="12.75" hidden="1" customHeight="1" x14ac:dyDescent="0.2">
      <c r="AJ4144" s="215"/>
      <c r="AK4144" s="215"/>
      <c r="AL4144" s="215"/>
      <c r="AM4144" s="215"/>
    </row>
    <row r="4145" spans="36:39" ht="12.75" hidden="1" customHeight="1" x14ac:dyDescent="0.2">
      <c r="AJ4145" s="215"/>
      <c r="AK4145" s="215"/>
      <c r="AL4145" s="215"/>
      <c r="AM4145" s="215"/>
    </row>
    <row r="4146" spans="36:39" ht="12.75" hidden="1" customHeight="1" x14ac:dyDescent="0.2">
      <c r="AJ4146" s="215"/>
      <c r="AK4146" s="215"/>
      <c r="AL4146" s="215"/>
      <c r="AM4146" s="215"/>
    </row>
    <row r="4147" spans="36:39" ht="12.75" hidden="1" customHeight="1" x14ac:dyDescent="0.2">
      <c r="AJ4147" s="215"/>
      <c r="AK4147" s="215"/>
      <c r="AL4147" s="215"/>
      <c r="AM4147" s="215"/>
    </row>
    <row r="4148" spans="36:39" ht="12.75" hidden="1" customHeight="1" x14ac:dyDescent="0.2">
      <c r="AJ4148" s="215"/>
      <c r="AK4148" s="215"/>
      <c r="AL4148" s="215"/>
      <c r="AM4148" s="215"/>
    </row>
    <row r="4149" spans="36:39" ht="12.75" hidden="1" customHeight="1" x14ac:dyDescent="0.2">
      <c r="AJ4149" s="215"/>
      <c r="AK4149" s="215"/>
      <c r="AL4149" s="215"/>
      <c r="AM4149" s="215"/>
    </row>
    <row r="4150" spans="36:39" ht="12.75" hidden="1" customHeight="1" x14ac:dyDescent="0.2">
      <c r="AJ4150" s="215"/>
      <c r="AK4150" s="215"/>
      <c r="AL4150" s="215"/>
      <c r="AM4150" s="215"/>
    </row>
    <row r="4151" spans="36:39" ht="12.75" hidden="1" customHeight="1" x14ac:dyDescent="0.2">
      <c r="AJ4151" s="215"/>
      <c r="AK4151" s="215"/>
      <c r="AL4151" s="215"/>
      <c r="AM4151" s="215"/>
    </row>
    <row r="4152" spans="36:39" ht="12.75" hidden="1" customHeight="1" x14ac:dyDescent="0.2">
      <c r="AJ4152" s="215"/>
      <c r="AK4152" s="215"/>
      <c r="AL4152" s="215"/>
      <c r="AM4152" s="215"/>
    </row>
    <row r="4153" spans="36:39" ht="12.75" hidden="1" customHeight="1" x14ac:dyDescent="0.2">
      <c r="AJ4153" s="215"/>
      <c r="AK4153" s="215"/>
      <c r="AL4153" s="215"/>
      <c r="AM4153" s="215"/>
    </row>
    <row r="4154" spans="36:39" ht="12.75" hidden="1" customHeight="1" x14ac:dyDescent="0.2">
      <c r="AJ4154" s="215"/>
      <c r="AK4154" s="215"/>
      <c r="AL4154" s="215"/>
      <c r="AM4154" s="215"/>
    </row>
    <row r="4155" spans="36:39" ht="12.75" hidden="1" customHeight="1" x14ac:dyDescent="0.2">
      <c r="AJ4155" s="215"/>
      <c r="AK4155" s="215"/>
      <c r="AL4155" s="215"/>
      <c r="AM4155" s="215"/>
    </row>
    <row r="4156" spans="36:39" ht="12.75" hidden="1" customHeight="1" x14ac:dyDescent="0.2">
      <c r="AJ4156" s="215"/>
      <c r="AK4156" s="215"/>
      <c r="AL4156" s="215"/>
      <c r="AM4156" s="215"/>
    </row>
    <row r="4157" spans="36:39" ht="12.75" hidden="1" customHeight="1" x14ac:dyDescent="0.2">
      <c r="AJ4157" s="215"/>
      <c r="AK4157" s="215"/>
      <c r="AL4157" s="215"/>
      <c r="AM4157" s="215"/>
    </row>
    <row r="4158" spans="36:39" ht="12.75" hidden="1" customHeight="1" x14ac:dyDescent="0.2">
      <c r="AJ4158" s="215"/>
      <c r="AK4158" s="215"/>
      <c r="AL4158" s="215"/>
      <c r="AM4158" s="215"/>
    </row>
    <row r="4159" spans="36:39" ht="12.75" hidden="1" customHeight="1" x14ac:dyDescent="0.2">
      <c r="AJ4159" s="215"/>
      <c r="AK4159" s="215"/>
      <c r="AL4159" s="215"/>
      <c r="AM4159" s="215"/>
    </row>
    <row r="4160" spans="36:39" ht="12.75" hidden="1" customHeight="1" x14ac:dyDescent="0.2">
      <c r="AJ4160" s="215"/>
      <c r="AK4160" s="215"/>
      <c r="AL4160" s="215"/>
      <c r="AM4160" s="215"/>
    </row>
    <row r="4161" spans="36:39" ht="12.75" hidden="1" customHeight="1" x14ac:dyDescent="0.2">
      <c r="AJ4161" s="215"/>
      <c r="AK4161" s="215"/>
      <c r="AL4161" s="215"/>
      <c r="AM4161" s="215"/>
    </row>
    <row r="4162" spans="36:39" ht="12.75" hidden="1" customHeight="1" x14ac:dyDescent="0.2">
      <c r="AJ4162" s="215"/>
      <c r="AK4162" s="215"/>
      <c r="AL4162" s="215"/>
      <c r="AM4162" s="215"/>
    </row>
    <row r="4163" spans="36:39" ht="12.75" hidden="1" customHeight="1" x14ac:dyDescent="0.2">
      <c r="AJ4163" s="215"/>
      <c r="AK4163" s="215"/>
      <c r="AL4163" s="215"/>
      <c r="AM4163" s="215"/>
    </row>
    <row r="4164" spans="36:39" ht="12.75" hidden="1" customHeight="1" x14ac:dyDescent="0.2">
      <c r="AJ4164" s="215"/>
      <c r="AK4164" s="215"/>
      <c r="AL4164" s="215"/>
      <c r="AM4164" s="215"/>
    </row>
    <row r="4165" spans="36:39" ht="12.75" hidden="1" customHeight="1" x14ac:dyDescent="0.2">
      <c r="AJ4165" s="215"/>
      <c r="AK4165" s="215"/>
      <c r="AL4165" s="215"/>
      <c r="AM4165" s="215"/>
    </row>
    <row r="4166" spans="36:39" ht="12.75" hidden="1" customHeight="1" x14ac:dyDescent="0.2">
      <c r="AJ4166" s="215"/>
      <c r="AK4166" s="215"/>
      <c r="AL4166" s="215"/>
      <c r="AM4166" s="215"/>
    </row>
    <row r="4167" spans="36:39" ht="12.75" hidden="1" customHeight="1" x14ac:dyDescent="0.2">
      <c r="AJ4167" s="215"/>
      <c r="AK4167" s="215"/>
      <c r="AL4167" s="215"/>
      <c r="AM4167" s="215"/>
    </row>
    <row r="4168" spans="36:39" ht="12.75" hidden="1" customHeight="1" x14ac:dyDescent="0.2">
      <c r="AJ4168" s="215"/>
      <c r="AK4168" s="215"/>
      <c r="AL4168" s="215"/>
      <c r="AM4168" s="215"/>
    </row>
    <row r="4169" spans="36:39" ht="12.75" hidden="1" customHeight="1" x14ac:dyDescent="0.2">
      <c r="AJ4169" s="215"/>
      <c r="AK4169" s="215"/>
      <c r="AL4169" s="215"/>
      <c r="AM4169" s="215"/>
    </row>
    <row r="4170" spans="36:39" ht="12.75" hidden="1" customHeight="1" x14ac:dyDescent="0.2">
      <c r="AJ4170" s="215"/>
      <c r="AK4170" s="215"/>
      <c r="AL4170" s="215"/>
      <c r="AM4170" s="215"/>
    </row>
    <row r="4171" spans="36:39" ht="12.75" hidden="1" customHeight="1" x14ac:dyDescent="0.2">
      <c r="AJ4171" s="215"/>
      <c r="AK4171" s="215"/>
      <c r="AL4171" s="215"/>
      <c r="AM4171" s="215"/>
    </row>
    <row r="4172" spans="36:39" ht="12.75" hidden="1" customHeight="1" x14ac:dyDescent="0.2">
      <c r="AJ4172" s="215"/>
      <c r="AK4172" s="215"/>
      <c r="AL4172" s="215"/>
      <c r="AM4172" s="215"/>
    </row>
    <row r="4173" spans="36:39" ht="12.75" hidden="1" customHeight="1" x14ac:dyDescent="0.2">
      <c r="AJ4173" s="215"/>
      <c r="AK4173" s="215"/>
      <c r="AL4173" s="215"/>
      <c r="AM4173" s="215"/>
    </row>
    <row r="4174" spans="36:39" ht="12.75" hidden="1" customHeight="1" x14ac:dyDescent="0.2">
      <c r="AJ4174" s="215"/>
      <c r="AK4174" s="215"/>
      <c r="AL4174" s="215"/>
      <c r="AM4174" s="215"/>
    </row>
    <row r="4175" spans="36:39" ht="12.75" hidden="1" customHeight="1" x14ac:dyDescent="0.2">
      <c r="AJ4175" s="215"/>
      <c r="AK4175" s="215"/>
      <c r="AL4175" s="215"/>
      <c r="AM4175" s="215"/>
    </row>
    <row r="4176" spans="36:39" ht="12.75" hidden="1" customHeight="1" x14ac:dyDescent="0.2">
      <c r="AJ4176" s="215"/>
      <c r="AK4176" s="215"/>
      <c r="AL4176" s="215"/>
      <c r="AM4176" s="215"/>
    </row>
    <row r="4177" spans="36:39" ht="12.75" hidden="1" customHeight="1" x14ac:dyDescent="0.2">
      <c r="AJ4177" s="215"/>
      <c r="AK4177" s="215"/>
      <c r="AL4177" s="215"/>
      <c r="AM4177" s="215"/>
    </row>
    <row r="4178" spans="36:39" ht="12.75" hidden="1" customHeight="1" x14ac:dyDescent="0.2">
      <c r="AJ4178" s="215"/>
      <c r="AK4178" s="215"/>
      <c r="AL4178" s="215"/>
      <c r="AM4178" s="215"/>
    </row>
    <row r="4179" spans="36:39" ht="12.75" hidden="1" customHeight="1" x14ac:dyDescent="0.2">
      <c r="AJ4179" s="215"/>
      <c r="AK4179" s="215"/>
      <c r="AL4179" s="215"/>
      <c r="AM4179" s="215"/>
    </row>
    <row r="4180" spans="36:39" ht="12.75" hidden="1" customHeight="1" x14ac:dyDescent="0.2">
      <c r="AJ4180" s="215"/>
      <c r="AK4180" s="215"/>
      <c r="AL4180" s="215"/>
      <c r="AM4180" s="215"/>
    </row>
    <row r="4181" spans="36:39" ht="12.75" hidden="1" customHeight="1" x14ac:dyDescent="0.2">
      <c r="AJ4181" s="215"/>
      <c r="AK4181" s="215"/>
      <c r="AL4181" s="215"/>
      <c r="AM4181" s="215"/>
    </row>
    <row r="4182" spans="36:39" ht="12.75" hidden="1" customHeight="1" x14ac:dyDescent="0.2">
      <c r="AJ4182" s="215"/>
      <c r="AK4182" s="215"/>
      <c r="AL4182" s="215"/>
      <c r="AM4182" s="215"/>
    </row>
    <row r="4183" spans="36:39" ht="12.75" hidden="1" customHeight="1" x14ac:dyDescent="0.2">
      <c r="AJ4183" s="215"/>
      <c r="AK4183" s="215"/>
      <c r="AL4183" s="215"/>
      <c r="AM4183" s="215"/>
    </row>
    <row r="4184" spans="36:39" ht="12.75" hidden="1" customHeight="1" x14ac:dyDescent="0.2">
      <c r="AJ4184" s="215"/>
      <c r="AK4184" s="215"/>
      <c r="AL4184" s="215"/>
      <c r="AM4184" s="215"/>
    </row>
    <row r="4185" spans="36:39" ht="12.75" hidden="1" customHeight="1" x14ac:dyDescent="0.2">
      <c r="AJ4185" s="215"/>
      <c r="AK4185" s="215"/>
      <c r="AL4185" s="215"/>
      <c r="AM4185" s="215"/>
    </row>
    <row r="4186" spans="36:39" ht="12.75" hidden="1" customHeight="1" x14ac:dyDescent="0.2">
      <c r="AJ4186" s="215"/>
      <c r="AK4186" s="215"/>
      <c r="AL4186" s="215"/>
      <c r="AM4186" s="215"/>
    </row>
    <row r="4187" spans="36:39" ht="12.75" hidden="1" customHeight="1" x14ac:dyDescent="0.2">
      <c r="AJ4187" s="215"/>
      <c r="AK4187" s="215"/>
      <c r="AL4187" s="215"/>
      <c r="AM4187" s="215"/>
    </row>
    <row r="4188" spans="36:39" ht="12.75" hidden="1" customHeight="1" x14ac:dyDescent="0.2">
      <c r="AJ4188" s="215"/>
      <c r="AK4188" s="215"/>
      <c r="AL4188" s="215"/>
      <c r="AM4188" s="215"/>
    </row>
    <row r="4189" spans="36:39" ht="12.75" hidden="1" customHeight="1" x14ac:dyDescent="0.2">
      <c r="AJ4189" s="215"/>
      <c r="AK4189" s="215"/>
      <c r="AL4189" s="215"/>
      <c r="AM4189" s="215"/>
    </row>
    <row r="4190" spans="36:39" ht="12.75" hidden="1" customHeight="1" x14ac:dyDescent="0.2">
      <c r="AJ4190" s="215"/>
      <c r="AK4190" s="215"/>
      <c r="AL4190" s="215"/>
      <c r="AM4190" s="215"/>
    </row>
    <row r="4191" spans="36:39" ht="12.75" hidden="1" customHeight="1" x14ac:dyDescent="0.2">
      <c r="AJ4191" s="215"/>
      <c r="AK4191" s="215"/>
      <c r="AL4191" s="215"/>
      <c r="AM4191" s="215"/>
    </row>
    <row r="4192" spans="36:39" ht="12.75" hidden="1" customHeight="1" x14ac:dyDescent="0.2">
      <c r="AJ4192" s="215"/>
      <c r="AK4192" s="215"/>
      <c r="AL4192" s="215"/>
      <c r="AM4192" s="215"/>
    </row>
    <row r="4193" spans="36:39" ht="12.75" hidden="1" customHeight="1" x14ac:dyDescent="0.2">
      <c r="AJ4193" s="215"/>
      <c r="AK4193" s="215"/>
      <c r="AL4193" s="215"/>
      <c r="AM4193" s="215"/>
    </row>
    <row r="4194" spans="36:39" ht="12.75" hidden="1" customHeight="1" x14ac:dyDescent="0.2">
      <c r="AJ4194" s="215"/>
      <c r="AK4194" s="215"/>
      <c r="AL4194" s="215"/>
      <c r="AM4194" s="215"/>
    </row>
    <row r="4195" spans="36:39" ht="12.75" hidden="1" customHeight="1" x14ac:dyDescent="0.2">
      <c r="AJ4195" s="215"/>
      <c r="AK4195" s="215"/>
      <c r="AL4195" s="215"/>
      <c r="AM4195" s="215"/>
    </row>
    <row r="4196" spans="36:39" ht="12.75" hidden="1" customHeight="1" x14ac:dyDescent="0.2">
      <c r="AJ4196" s="215"/>
      <c r="AK4196" s="215"/>
      <c r="AL4196" s="215"/>
      <c r="AM4196" s="215"/>
    </row>
    <row r="4197" spans="36:39" ht="12.75" hidden="1" customHeight="1" x14ac:dyDescent="0.2">
      <c r="AJ4197" s="215"/>
      <c r="AK4197" s="215"/>
      <c r="AL4197" s="215"/>
      <c r="AM4197" s="215"/>
    </row>
    <row r="4198" spans="36:39" ht="12.75" hidden="1" customHeight="1" x14ac:dyDescent="0.2">
      <c r="AJ4198" s="215"/>
      <c r="AK4198" s="215"/>
      <c r="AL4198" s="215"/>
      <c r="AM4198" s="215"/>
    </row>
    <row r="4199" spans="36:39" ht="12.75" hidden="1" customHeight="1" x14ac:dyDescent="0.2">
      <c r="AJ4199" s="215"/>
      <c r="AK4199" s="215"/>
      <c r="AL4199" s="215"/>
      <c r="AM4199" s="215"/>
    </row>
    <row r="4200" spans="36:39" ht="12.75" hidden="1" customHeight="1" x14ac:dyDescent="0.2">
      <c r="AJ4200" s="215"/>
      <c r="AK4200" s="215"/>
      <c r="AL4200" s="215"/>
      <c r="AM4200" s="215"/>
    </row>
    <row r="4201" spans="36:39" ht="12.75" hidden="1" customHeight="1" x14ac:dyDescent="0.2">
      <c r="AJ4201" s="215"/>
      <c r="AK4201" s="215"/>
      <c r="AL4201" s="215"/>
      <c r="AM4201" s="215"/>
    </row>
    <row r="4202" spans="36:39" ht="12.75" hidden="1" customHeight="1" x14ac:dyDescent="0.2">
      <c r="AJ4202" s="215"/>
      <c r="AK4202" s="215"/>
      <c r="AL4202" s="215"/>
      <c r="AM4202" s="215"/>
    </row>
    <row r="4203" spans="36:39" ht="12.75" hidden="1" customHeight="1" x14ac:dyDescent="0.2">
      <c r="AJ4203" s="215"/>
      <c r="AK4203" s="215"/>
      <c r="AL4203" s="215"/>
      <c r="AM4203" s="215"/>
    </row>
    <row r="4204" spans="36:39" ht="12.75" hidden="1" customHeight="1" x14ac:dyDescent="0.2">
      <c r="AJ4204" s="215"/>
      <c r="AK4204" s="215"/>
      <c r="AL4204" s="215"/>
      <c r="AM4204" s="215"/>
    </row>
    <row r="4205" spans="36:39" ht="12.75" hidden="1" customHeight="1" x14ac:dyDescent="0.2">
      <c r="AJ4205" s="215"/>
      <c r="AK4205" s="215"/>
      <c r="AL4205" s="215"/>
      <c r="AM4205" s="215"/>
    </row>
    <row r="4206" spans="36:39" ht="12.75" hidden="1" customHeight="1" x14ac:dyDescent="0.2">
      <c r="AJ4206" s="215"/>
      <c r="AK4206" s="215"/>
      <c r="AL4206" s="215"/>
      <c r="AM4206" s="215"/>
    </row>
    <row r="4207" spans="36:39" ht="12.75" hidden="1" customHeight="1" x14ac:dyDescent="0.2">
      <c r="AJ4207" s="215"/>
      <c r="AK4207" s="215"/>
      <c r="AL4207" s="215"/>
      <c r="AM4207" s="215"/>
    </row>
    <row r="4208" spans="36:39" ht="12.75" hidden="1" customHeight="1" x14ac:dyDescent="0.2">
      <c r="AJ4208" s="215"/>
      <c r="AK4208" s="215"/>
      <c r="AL4208" s="215"/>
      <c r="AM4208" s="215"/>
    </row>
    <row r="4209" spans="36:39" ht="12.75" hidden="1" customHeight="1" x14ac:dyDescent="0.2">
      <c r="AJ4209" s="215"/>
      <c r="AK4209" s="215"/>
      <c r="AL4209" s="215"/>
      <c r="AM4209" s="215"/>
    </row>
    <row r="4210" spans="36:39" ht="12.75" hidden="1" customHeight="1" x14ac:dyDescent="0.2">
      <c r="AJ4210" s="215"/>
      <c r="AK4210" s="215"/>
      <c r="AL4210" s="215"/>
      <c r="AM4210" s="215"/>
    </row>
    <row r="4211" spans="36:39" ht="12.75" hidden="1" customHeight="1" x14ac:dyDescent="0.2">
      <c r="AJ4211" s="215"/>
      <c r="AK4211" s="215"/>
      <c r="AL4211" s="215"/>
      <c r="AM4211" s="215"/>
    </row>
    <row r="4212" spans="36:39" ht="12.75" hidden="1" customHeight="1" x14ac:dyDescent="0.2">
      <c r="AJ4212" s="215"/>
      <c r="AK4212" s="215"/>
      <c r="AL4212" s="215"/>
      <c r="AM4212" s="215"/>
    </row>
    <row r="4213" spans="36:39" ht="12.75" hidden="1" customHeight="1" x14ac:dyDescent="0.2">
      <c r="AJ4213" s="215"/>
      <c r="AK4213" s="215"/>
      <c r="AL4213" s="215"/>
      <c r="AM4213" s="215"/>
    </row>
    <row r="4214" spans="36:39" ht="12.75" hidden="1" customHeight="1" x14ac:dyDescent="0.2">
      <c r="AJ4214" s="215"/>
      <c r="AK4214" s="215"/>
      <c r="AL4214" s="215"/>
      <c r="AM4214" s="215"/>
    </row>
    <row r="4215" spans="36:39" ht="12.75" hidden="1" customHeight="1" x14ac:dyDescent="0.2">
      <c r="AJ4215" s="215"/>
      <c r="AK4215" s="215"/>
      <c r="AL4215" s="215"/>
      <c r="AM4215" s="215"/>
    </row>
    <row r="4216" spans="36:39" ht="12.75" hidden="1" customHeight="1" x14ac:dyDescent="0.2">
      <c r="AJ4216" s="215"/>
      <c r="AK4216" s="215"/>
      <c r="AL4216" s="215"/>
      <c r="AM4216" s="215"/>
    </row>
    <row r="4217" spans="36:39" ht="12.75" hidden="1" customHeight="1" x14ac:dyDescent="0.2">
      <c r="AJ4217" s="215"/>
      <c r="AK4217" s="215"/>
      <c r="AL4217" s="215"/>
      <c r="AM4217" s="215"/>
    </row>
    <row r="4218" spans="36:39" ht="12.75" hidden="1" customHeight="1" x14ac:dyDescent="0.2">
      <c r="AJ4218" s="215"/>
      <c r="AK4218" s="215"/>
      <c r="AL4218" s="215"/>
      <c r="AM4218" s="215"/>
    </row>
    <row r="4219" spans="36:39" ht="12.75" hidden="1" customHeight="1" x14ac:dyDescent="0.2">
      <c r="AJ4219" s="215"/>
      <c r="AK4219" s="215"/>
      <c r="AL4219" s="215"/>
      <c r="AM4219" s="215"/>
    </row>
    <row r="4220" spans="36:39" ht="12.75" hidden="1" customHeight="1" x14ac:dyDescent="0.2">
      <c r="AJ4220" s="215"/>
      <c r="AK4220" s="215"/>
      <c r="AL4220" s="215"/>
      <c r="AM4220" s="215"/>
    </row>
    <row r="4221" spans="36:39" ht="12.75" hidden="1" customHeight="1" x14ac:dyDescent="0.2">
      <c r="AJ4221" s="215"/>
      <c r="AK4221" s="215"/>
      <c r="AL4221" s="215"/>
      <c r="AM4221" s="215"/>
    </row>
    <row r="4222" spans="36:39" ht="12.75" hidden="1" customHeight="1" x14ac:dyDescent="0.2">
      <c r="AJ4222" s="215"/>
      <c r="AK4222" s="215"/>
      <c r="AL4222" s="215"/>
      <c r="AM4222" s="215"/>
    </row>
    <row r="4223" spans="36:39" ht="12.75" hidden="1" customHeight="1" x14ac:dyDescent="0.2">
      <c r="AJ4223" s="215"/>
      <c r="AK4223" s="215"/>
      <c r="AL4223" s="215"/>
      <c r="AM4223" s="215"/>
    </row>
    <row r="4224" spans="36:39" ht="12.75" hidden="1" customHeight="1" x14ac:dyDescent="0.2">
      <c r="AJ4224" s="215"/>
      <c r="AK4224" s="215"/>
      <c r="AL4224" s="215"/>
      <c r="AM4224" s="215"/>
    </row>
    <row r="4225" spans="36:39" ht="12.75" hidden="1" customHeight="1" x14ac:dyDescent="0.2">
      <c r="AJ4225" s="215"/>
      <c r="AK4225" s="215"/>
      <c r="AL4225" s="215"/>
      <c r="AM4225" s="215"/>
    </row>
    <row r="4226" spans="36:39" ht="12.75" hidden="1" customHeight="1" x14ac:dyDescent="0.2">
      <c r="AJ4226" s="215"/>
      <c r="AK4226" s="215"/>
      <c r="AL4226" s="215"/>
      <c r="AM4226" s="215"/>
    </row>
    <row r="4227" spans="36:39" ht="12.75" hidden="1" customHeight="1" x14ac:dyDescent="0.2">
      <c r="AJ4227" s="215"/>
      <c r="AK4227" s="215"/>
      <c r="AL4227" s="215"/>
      <c r="AM4227" s="215"/>
    </row>
    <row r="4228" spans="36:39" ht="12.75" hidden="1" customHeight="1" x14ac:dyDescent="0.2">
      <c r="AJ4228" s="215"/>
      <c r="AK4228" s="215"/>
      <c r="AL4228" s="215"/>
      <c r="AM4228" s="215"/>
    </row>
    <row r="4229" spans="36:39" ht="12.75" hidden="1" customHeight="1" x14ac:dyDescent="0.2">
      <c r="AJ4229" s="215"/>
      <c r="AK4229" s="215"/>
      <c r="AL4229" s="215"/>
      <c r="AM4229" s="215"/>
    </row>
    <row r="4230" spans="36:39" ht="12.75" hidden="1" customHeight="1" x14ac:dyDescent="0.2">
      <c r="AJ4230" s="215"/>
      <c r="AK4230" s="215"/>
      <c r="AL4230" s="215"/>
      <c r="AM4230" s="215"/>
    </row>
    <row r="4231" spans="36:39" ht="12.75" hidden="1" customHeight="1" x14ac:dyDescent="0.2">
      <c r="AJ4231" s="215"/>
      <c r="AK4231" s="215"/>
      <c r="AL4231" s="215"/>
      <c r="AM4231" s="215"/>
    </row>
    <row r="4232" spans="36:39" ht="12.75" hidden="1" customHeight="1" x14ac:dyDescent="0.2">
      <c r="AJ4232" s="215"/>
      <c r="AK4232" s="215"/>
      <c r="AL4232" s="215"/>
      <c r="AM4232" s="215"/>
    </row>
    <row r="4233" spans="36:39" ht="12.75" hidden="1" customHeight="1" x14ac:dyDescent="0.2">
      <c r="AJ4233" s="215"/>
      <c r="AK4233" s="215"/>
      <c r="AL4233" s="215"/>
      <c r="AM4233" s="215"/>
    </row>
    <row r="4234" spans="36:39" ht="12.75" hidden="1" customHeight="1" x14ac:dyDescent="0.2">
      <c r="AJ4234" s="215"/>
      <c r="AK4234" s="215"/>
      <c r="AL4234" s="215"/>
      <c r="AM4234" s="215"/>
    </row>
    <row r="4235" spans="36:39" ht="12.75" hidden="1" customHeight="1" x14ac:dyDescent="0.2">
      <c r="AJ4235" s="215"/>
      <c r="AK4235" s="215"/>
      <c r="AL4235" s="215"/>
      <c r="AM4235" s="215"/>
    </row>
    <row r="4236" spans="36:39" ht="12.75" hidden="1" customHeight="1" x14ac:dyDescent="0.2">
      <c r="AJ4236" s="215"/>
      <c r="AK4236" s="215"/>
      <c r="AL4236" s="215"/>
      <c r="AM4236" s="215"/>
    </row>
    <row r="4237" spans="36:39" ht="12.75" hidden="1" customHeight="1" x14ac:dyDescent="0.2">
      <c r="AJ4237" s="215"/>
      <c r="AK4237" s="215"/>
      <c r="AL4237" s="215"/>
      <c r="AM4237" s="215"/>
    </row>
    <row r="4238" spans="36:39" ht="12.75" hidden="1" customHeight="1" x14ac:dyDescent="0.2">
      <c r="AJ4238" s="215"/>
      <c r="AK4238" s="215"/>
      <c r="AL4238" s="215"/>
      <c r="AM4238" s="215"/>
    </row>
    <row r="4239" spans="36:39" ht="12.75" hidden="1" customHeight="1" x14ac:dyDescent="0.2">
      <c r="AJ4239" s="215"/>
      <c r="AK4239" s="215"/>
      <c r="AL4239" s="215"/>
      <c r="AM4239" s="215"/>
    </row>
    <row r="4240" spans="36:39" ht="12.75" hidden="1" customHeight="1" x14ac:dyDescent="0.2">
      <c r="AJ4240" s="215"/>
      <c r="AK4240" s="215"/>
      <c r="AL4240" s="215"/>
      <c r="AM4240" s="215"/>
    </row>
    <row r="4241" spans="36:39" ht="12.75" hidden="1" customHeight="1" x14ac:dyDescent="0.2">
      <c r="AJ4241" s="215"/>
      <c r="AK4241" s="215"/>
      <c r="AL4241" s="215"/>
      <c r="AM4241" s="215"/>
    </row>
    <row r="4242" spans="36:39" ht="12.75" hidden="1" customHeight="1" x14ac:dyDescent="0.2">
      <c r="AJ4242" s="215"/>
      <c r="AK4242" s="215"/>
      <c r="AL4242" s="215"/>
      <c r="AM4242" s="215"/>
    </row>
    <row r="4243" spans="36:39" ht="12.75" hidden="1" customHeight="1" x14ac:dyDescent="0.2">
      <c r="AJ4243" s="215"/>
      <c r="AK4243" s="215"/>
      <c r="AL4243" s="215"/>
      <c r="AM4243" s="215"/>
    </row>
    <row r="4244" spans="36:39" ht="12.75" hidden="1" customHeight="1" x14ac:dyDescent="0.2">
      <c r="AJ4244" s="215"/>
      <c r="AK4244" s="215"/>
      <c r="AL4244" s="215"/>
      <c r="AM4244" s="215"/>
    </row>
    <row r="4245" spans="36:39" ht="12.75" hidden="1" customHeight="1" x14ac:dyDescent="0.2">
      <c r="AJ4245" s="215"/>
      <c r="AK4245" s="215"/>
      <c r="AL4245" s="215"/>
      <c r="AM4245" s="215"/>
    </row>
    <row r="4246" spans="36:39" ht="12.75" hidden="1" customHeight="1" x14ac:dyDescent="0.2">
      <c r="AJ4246" s="215"/>
      <c r="AK4246" s="215"/>
      <c r="AL4246" s="215"/>
      <c r="AM4246" s="215"/>
    </row>
    <row r="4247" spans="36:39" ht="12.75" hidden="1" customHeight="1" x14ac:dyDescent="0.2">
      <c r="AJ4247" s="215"/>
      <c r="AK4247" s="215"/>
      <c r="AL4247" s="215"/>
      <c r="AM4247" s="215"/>
    </row>
    <row r="4248" spans="36:39" ht="12.75" hidden="1" customHeight="1" x14ac:dyDescent="0.2">
      <c r="AJ4248" s="215"/>
      <c r="AK4248" s="215"/>
      <c r="AL4248" s="215"/>
      <c r="AM4248" s="215"/>
    </row>
    <row r="4249" spans="36:39" ht="12.75" hidden="1" customHeight="1" x14ac:dyDescent="0.2">
      <c r="AJ4249" s="215"/>
      <c r="AK4249" s="215"/>
      <c r="AL4249" s="215"/>
      <c r="AM4249" s="215"/>
    </row>
    <row r="4250" spans="36:39" ht="12.75" hidden="1" customHeight="1" x14ac:dyDescent="0.2">
      <c r="AJ4250" s="215"/>
      <c r="AK4250" s="215"/>
      <c r="AL4250" s="215"/>
      <c r="AM4250" s="215"/>
    </row>
    <row r="4251" spans="36:39" ht="12.75" hidden="1" customHeight="1" x14ac:dyDescent="0.2">
      <c r="AJ4251" s="215"/>
      <c r="AK4251" s="215"/>
      <c r="AL4251" s="215"/>
      <c r="AM4251" s="215"/>
    </row>
    <row r="4252" spans="36:39" ht="12.75" hidden="1" customHeight="1" x14ac:dyDescent="0.2">
      <c r="AJ4252" s="215"/>
      <c r="AK4252" s="215"/>
      <c r="AL4252" s="215"/>
      <c r="AM4252" s="215"/>
    </row>
    <row r="4253" spans="36:39" ht="12.75" hidden="1" customHeight="1" x14ac:dyDescent="0.2">
      <c r="AJ4253" s="215"/>
      <c r="AK4253" s="215"/>
      <c r="AL4253" s="215"/>
      <c r="AM4253" s="215"/>
    </row>
    <row r="4254" spans="36:39" ht="12.75" hidden="1" customHeight="1" x14ac:dyDescent="0.2">
      <c r="AJ4254" s="215"/>
      <c r="AK4254" s="215"/>
      <c r="AL4254" s="215"/>
      <c r="AM4254" s="215"/>
    </row>
    <row r="4255" spans="36:39" ht="12.75" hidden="1" customHeight="1" x14ac:dyDescent="0.2">
      <c r="AJ4255" s="215"/>
      <c r="AK4255" s="215"/>
      <c r="AL4255" s="215"/>
      <c r="AM4255" s="215"/>
    </row>
    <row r="4256" spans="36:39" ht="12.75" hidden="1" customHeight="1" x14ac:dyDescent="0.2">
      <c r="AJ4256" s="215"/>
      <c r="AK4256" s="215"/>
      <c r="AL4256" s="215"/>
      <c r="AM4256" s="215"/>
    </row>
    <row r="4257" spans="36:39" ht="12.75" hidden="1" customHeight="1" x14ac:dyDescent="0.2">
      <c r="AJ4257" s="215"/>
      <c r="AK4257" s="215"/>
      <c r="AL4257" s="215"/>
      <c r="AM4257" s="215"/>
    </row>
    <row r="4258" spans="36:39" ht="12.75" hidden="1" customHeight="1" x14ac:dyDescent="0.2">
      <c r="AJ4258" s="215"/>
      <c r="AK4258" s="215"/>
      <c r="AL4258" s="215"/>
      <c r="AM4258" s="215"/>
    </row>
    <row r="4259" spans="36:39" ht="12.75" hidden="1" customHeight="1" x14ac:dyDescent="0.2">
      <c r="AJ4259" s="215"/>
      <c r="AK4259" s="215"/>
      <c r="AL4259" s="215"/>
      <c r="AM4259" s="215"/>
    </row>
    <row r="4260" spans="36:39" ht="12.75" hidden="1" customHeight="1" x14ac:dyDescent="0.2">
      <c r="AJ4260" s="215"/>
      <c r="AK4260" s="215"/>
      <c r="AL4260" s="215"/>
      <c r="AM4260" s="215"/>
    </row>
    <row r="4261" spans="36:39" ht="12.75" hidden="1" customHeight="1" x14ac:dyDescent="0.2">
      <c r="AJ4261" s="215"/>
      <c r="AK4261" s="215"/>
      <c r="AL4261" s="215"/>
      <c r="AM4261" s="215"/>
    </row>
    <row r="4262" spans="36:39" ht="12.75" hidden="1" customHeight="1" x14ac:dyDescent="0.2">
      <c r="AJ4262" s="215"/>
      <c r="AK4262" s="215"/>
      <c r="AL4262" s="215"/>
      <c r="AM4262" s="215"/>
    </row>
    <row r="4263" spans="36:39" ht="12.75" hidden="1" customHeight="1" x14ac:dyDescent="0.2">
      <c r="AJ4263" s="215"/>
      <c r="AK4263" s="215"/>
      <c r="AL4263" s="215"/>
      <c r="AM4263" s="215"/>
    </row>
    <row r="4264" spans="36:39" ht="12.75" hidden="1" customHeight="1" x14ac:dyDescent="0.2">
      <c r="AJ4264" s="215"/>
      <c r="AK4264" s="215"/>
      <c r="AL4264" s="215"/>
      <c r="AM4264" s="215"/>
    </row>
    <row r="4265" spans="36:39" ht="12.75" hidden="1" customHeight="1" x14ac:dyDescent="0.2">
      <c r="AJ4265" s="215"/>
      <c r="AK4265" s="215"/>
      <c r="AL4265" s="215"/>
      <c r="AM4265" s="215"/>
    </row>
    <row r="4266" spans="36:39" ht="12.75" hidden="1" customHeight="1" x14ac:dyDescent="0.2">
      <c r="AJ4266" s="215"/>
      <c r="AK4266" s="215"/>
      <c r="AL4266" s="215"/>
      <c r="AM4266" s="215"/>
    </row>
    <row r="4267" spans="36:39" ht="12.75" hidden="1" customHeight="1" x14ac:dyDescent="0.2">
      <c r="AJ4267" s="215"/>
      <c r="AK4267" s="215"/>
      <c r="AL4267" s="215"/>
      <c r="AM4267" s="215"/>
    </row>
    <row r="4268" spans="36:39" ht="12.75" hidden="1" customHeight="1" x14ac:dyDescent="0.2">
      <c r="AJ4268" s="215"/>
      <c r="AK4268" s="215"/>
      <c r="AL4268" s="215"/>
      <c r="AM4268" s="215"/>
    </row>
    <row r="4269" spans="36:39" ht="12.75" hidden="1" customHeight="1" x14ac:dyDescent="0.2">
      <c r="AJ4269" s="215"/>
      <c r="AK4269" s="215"/>
      <c r="AL4269" s="215"/>
      <c r="AM4269" s="215"/>
    </row>
    <row r="4270" spans="36:39" ht="12.75" hidden="1" customHeight="1" x14ac:dyDescent="0.2">
      <c r="AJ4270" s="215"/>
      <c r="AK4270" s="215"/>
      <c r="AL4270" s="215"/>
      <c r="AM4270" s="215"/>
    </row>
    <row r="4271" spans="36:39" ht="12.75" hidden="1" customHeight="1" x14ac:dyDescent="0.2">
      <c r="AJ4271" s="215"/>
      <c r="AK4271" s="215"/>
      <c r="AL4271" s="215"/>
      <c r="AM4271" s="215"/>
    </row>
    <row r="4272" spans="36:39" ht="12.75" hidden="1" customHeight="1" x14ac:dyDescent="0.2">
      <c r="AJ4272" s="215"/>
      <c r="AK4272" s="215"/>
      <c r="AL4272" s="215"/>
      <c r="AM4272" s="215"/>
    </row>
    <row r="4273" spans="36:39" ht="12.75" hidden="1" customHeight="1" x14ac:dyDescent="0.2">
      <c r="AJ4273" s="215"/>
      <c r="AK4273" s="215"/>
      <c r="AL4273" s="215"/>
      <c r="AM4273" s="215"/>
    </row>
    <row r="4274" spans="36:39" ht="12.75" hidden="1" customHeight="1" x14ac:dyDescent="0.2">
      <c r="AJ4274" s="215"/>
      <c r="AK4274" s="215"/>
      <c r="AL4274" s="215"/>
      <c r="AM4274" s="215"/>
    </row>
    <row r="4275" spans="36:39" ht="12.75" hidden="1" customHeight="1" x14ac:dyDescent="0.2">
      <c r="AJ4275" s="215"/>
      <c r="AK4275" s="215"/>
      <c r="AL4275" s="215"/>
      <c r="AM4275" s="215"/>
    </row>
    <row r="4276" spans="36:39" ht="12.75" hidden="1" customHeight="1" x14ac:dyDescent="0.2">
      <c r="AJ4276" s="215"/>
      <c r="AK4276" s="215"/>
      <c r="AL4276" s="215"/>
      <c r="AM4276" s="215"/>
    </row>
    <row r="4277" spans="36:39" ht="12.75" hidden="1" customHeight="1" x14ac:dyDescent="0.2">
      <c r="AJ4277" s="215"/>
      <c r="AK4277" s="215"/>
      <c r="AL4277" s="215"/>
      <c r="AM4277" s="215"/>
    </row>
    <row r="4278" spans="36:39" ht="12.75" hidden="1" customHeight="1" x14ac:dyDescent="0.2">
      <c r="AJ4278" s="215"/>
      <c r="AK4278" s="215"/>
      <c r="AL4278" s="215"/>
      <c r="AM4278" s="215"/>
    </row>
    <row r="4279" spans="36:39" ht="12.75" hidden="1" customHeight="1" x14ac:dyDescent="0.2">
      <c r="AJ4279" s="215"/>
      <c r="AK4279" s="215"/>
      <c r="AL4279" s="215"/>
      <c r="AM4279" s="215"/>
    </row>
    <row r="4280" spans="36:39" ht="12.75" hidden="1" customHeight="1" x14ac:dyDescent="0.2">
      <c r="AJ4280" s="215"/>
      <c r="AK4280" s="215"/>
      <c r="AL4280" s="215"/>
      <c r="AM4280" s="215"/>
    </row>
    <row r="4281" spans="36:39" ht="12.75" hidden="1" customHeight="1" x14ac:dyDescent="0.2">
      <c r="AJ4281" s="215"/>
      <c r="AK4281" s="215"/>
      <c r="AL4281" s="215"/>
      <c r="AM4281" s="215"/>
    </row>
    <row r="4282" spans="36:39" ht="12.75" hidden="1" customHeight="1" x14ac:dyDescent="0.2">
      <c r="AJ4282" s="215"/>
      <c r="AK4282" s="215"/>
      <c r="AL4282" s="215"/>
      <c r="AM4282" s="215"/>
    </row>
    <row r="4283" spans="36:39" ht="12.75" hidden="1" customHeight="1" x14ac:dyDescent="0.2">
      <c r="AJ4283" s="215"/>
      <c r="AK4283" s="215"/>
      <c r="AL4283" s="215"/>
      <c r="AM4283" s="215"/>
    </row>
    <row r="4284" spans="36:39" ht="12.75" hidden="1" customHeight="1" x14ac:dyDescent="0.2">
      <c r="AJ4284" s="215"/>
      <c r="AK4284" s="215"/>
      <c r="AL4284" s="215"/>
      <c r="AM4284" s="215"/>
    </row>
    <row r="4285" spans="36:39" ht="12.75" hidden="1" customHeight="1" x14ac:dyDescent="0.2">
      <c r="AJ4285" s="215"/>
      <c r="AK4285" s="215"/>
      <c r="AL4285" s="215"/>
      <c r="AM4285" s="215"/>
    </row>
    <row r="4286" spans="36:39" ht="12.75" hidden="1" customHeight="1" x14ac:dyDescent="0.2">
      <c r="AJ4286" s="215"/>
      <c r="AK4286" s="215"/>
      <c r="AL4286" s="215"/>
      <c r="AM4286" s="215"/>
    </row>
    <row r="4287" spans="36:39" ht="12.75" hidden="1" customHeight="1" x14ac:dyDescent="0.2">
      <c r="AJ4287" s="215"/>
      <c r="AK4287" s="215"/>
      <c r="AL4287" s="215"/>
      <c r="AM4287" s="215"/>
    </row>
    <row r="4288" spans="36:39" ht="12.75" hidden="1" customHeight="1" x14ac:dyDescent="0.2">
      <c r="AJ4288" s="215"/>
      <c r="AK4288" s="215"/>
      <c r="AL4288" s="215"/>
      <c r="AM4288" s="215"/>
    </row>
    <row r="4289" spans="36:39" ht="12.75" hidden="1" customHeight="1" x14ac:dyDescent="0.2">
      <c r="AJ4289" s="215"/>
      <c r="AK4289" s="215"/>
      <c r="AL4289" s="215"/>
      <c r="AM4289" s="215"/>
    </row>
    <row r="4290" spans="36:39" ht="12.75" hidden="1" customHeight="1" x14ac:dyDescent="0.2">
      <c r="AJ4290" s="215"/>
      <c r="AK4290" s="215"/>
      <c r="AL4290" s="215"/>
      <c r="AM4290" s="215"/>
    </row>
    <row r="4291" spans="36:39" ht="12.75" hidden="1" customHeight="1" x14ac:dyDescent="0.2">
      <c r="AJ4291" s="215"/>
      <c r="AK4291" s="215"/>
      <c r="AL4291" s="215"/>
      <c r="AM4291" s="215"/>
    </row>
    <row r="4292" spans="36:39" ht="12.75" hidden="1" customHeight="1" x14ac:dyDescent="0.2">
      <c r="AJ4292" s="215"/>
      <c r="AK4292" s="215"/>
      <c r="AL4292" s="215"/>
      <c r="AM4292" s="215"/>
    </row>
    <row r="4293" spans="36:39" ht="12.75" hidden="1" customHeight="1" x14ac:dyDescent="0.2">
      <c r="AJ4293" s="215"/>
      <c r="AK4293" s="215"/>
      <c r="AL4293" s="215"/>
      <c r="AM4293" s="215"/>
    </row>
    <row r="4294" spans="36:39" ht="12.75" hidden="1" customHeight="1" x14ac:dyDescent="0.2">
      <c r="AJ4294" s="215"/>
      <c r="AK4294" s="215"/>
      <c r="AL4294" s="215"/>
      <c r="AM4294" s="215"/>
    </row>
    <row r="4295" spans="36:39" ht="12.75" hidden="1" customHeight="1" x14ac:dyDescent="0.2">
      <c r="AJ4295" s="215"/>
      <c r="AK4295" s="215"/>
      <c r="AL4295" s="215"/>
      <c r="AM4295" s="215"/>
    </row>
    <row r="4296" spans="36:39" ht="12.75" hidden="1" customHeight="1" x14ac:dyDescent="0.2">
      <c r="AJ4296" s="215"/>
      <c r="AK4296" s="215"/>
      <c r="AL4296" s="215"/>
      <c r="AM4296" s="215"/>
    </row>
    <row r="4297" spans="36:39" ht="12.75" hidden="1" customHeight="1" x14ac:dyDescent="0.2">
      <c r="AJ4297" s="215"/>
      <c r="AK4297" s="215"/>
      <c r="AL4297" s="215"/>
      <c r="AM4297" s="215"/>
    </row>
    <row r="4298" spans="36:39" ht="12.75" hidden="1" customHeight="1" x14ac:dyDescent="0.2">
      <c r="AJ4298" s="215"/>
      <c r="AK4298" s="215"/>
      <c r="AL4298" s="215"/>
      <c r="AM4298" s="215"/>
    </row>
    <row r="4299" spans="36:39" ht="12.75" hidden="1" customHeight="1" x14ac:dyDescent="0.2">
      <c r="AJ4299" s="215"/>
      <c r="AK4299" s="215"/>
      <c r="AL4299" s="215"/>
      <c r="AM4299" s="215"/>
    </row>
    <row r="4300" spans="36:39" ht="12.75" hidden="1" customHeight="1" x14ac:dyDescent="0.2">
      <c r="AJ4300" s="215"/>
      <c r="AK4300" s="215"/>
      <c r="AL4300" s="215"/>
      <c r="AM4300" s="215"/>
    </row>
    <row r="4301" spans="36:39" ht="12.75" hidden="1" customHeight="1" x14ac:dyDescent="0.2">
      <c r="AJ4301" s="215"/>
      <c r="AK4301" s="215"/>
      <c r="AL4301" s="215"/>
      <c r="AM4301" s="215"/>
    </row>
    <row r="4302" spans="36:39" ht="12.75" hidden="1" customHeight="1" x14ac:dyDescent="0.2">
      <c r="AJ4302" s="215"/>
      <c r="AK4302" s="215"/>
      <c r="AL4302" s="215"/>
      <c r="AM4302" s="215"/>
    </row>
    <row r="4303" spans="36:39" ht="12.75" hidden="1" customHeight="1" x14ac:dyDescent="0.2">
      <c r="AJ4303" s="215"/>
      <c r="AK4303" s="215"/>
      <c r="AL4303" s="215"/>
      <c r="AM4303" s="215"/>
    </row>
    <row r="4304" spans="36:39" ht="12.75" hidden="1" customHeight="1" x14ac:dyDescent="0.2">
      <c r="AJ4304" s="215"/>
      <c r="AK4304" s="215"/>
      <c r="AL4304" s="215"/>
      <c r="AM4304" s="215"/>
    </row>
    <row r="4305" spans="36:39" ht="12.75" hidden="1" customHeight="1" x14ac:dyDescent="0.2">
      <c r="AJ4305" s="215"/>
      <c r="AK4305" s="215"/>
      <c r="AL4305" s="215"/>
      <c r="AM4305" s="215"/>
    </row>
    <row r="4306" spans="36:39" ht="12.75" hidden="1" customHeight="1" x14ac:dyDescent="0.2">
      <c r="AJ4306" s="215"/>
      <c r="AK4306" s="215"/>
      <c r="AL4306" s="215"/>
      <c r="AM4306" s="215"/>
    </row>
    <row r="4307" spans="36:39" ht="12.75" hidden="1" customHeight="1" x14ac:dyDescent="0.2">
      <c r="AJ4307" s="215"/>
      <c r="AK4307" s="215"/>
      <c r="AL4307" s="215"/>
      <c r="AM4307" s="215"/>
    </row>
    <row r="4308" spans="36:39" ht="12.75" hidden="1" customHeight="1" x14ac:dyDescent="0.2">
      <c r="AJ4308" s="215"/>
      <c r="AK4308" s="215"/>
      <c r="AL4308" s="215"/>
      <c r="AM4308" s="215"/>
    </row>
    <row r="4309" spans="36:39" ht="12.75" hidden="1" customHeight="1" x14ac:dyDescent="0.2">
      <c r="AJ4309" s="215"/>
      <c r="AK4309" s="215"/>
      <c r="AL4309" s="215"/>
      <c r="AM4309" s="215"/>
    </row>
    <row r="4310" spans="36:39" ht="12.75" hidden="1" customHeight="1" x14ac:dyDescent="0.2">
      <c r="AJ4310" s="215"/>
      <c r="AK4310" s="215"/>
      <c r="AL4310" s="215"/>
      <c r="AM4310" s="215"/>
    </row>
    <row r="4311" spans="36:39" ht="12.75" hidden="1" customHeight="1" x14ac:dyDescent="0.2">
      <c r="AJ4311" s="215"/>
      <c r="AK4311" s="215"/>
      <c r="AL4311" s="215"/>
      <c r="AM4311" s="215"/>
    </row>
    <row r="4312" spans="36:39" ht="12.75" hidden="1" customHeight="1" x14ac:dyDescent="0.2">
      <c r="AJ4312" s="215"/>
      <c r="AK4312" s="215"/>
      <c r="AL4312" s="215"/>
      <c r="AM4312" s="215"/>
    </row>
    <row r="4313" spans="36:39" ht="12.75" hidden="1" customHeight="1" x14ac:dyDescent="0.2">
      <c r="AJ4313" s="215"/>
      <c r="AK4313" s="215"/>
      <c r="AL4313" s="215"/>
      <c r="AM4313" s="215"/>
    </row>
    <row r="4314" spans="36:39" ht="12.75" hidden="1" customHeight="1" x14ac:dyDescent="0.2">
      <c r="AJ4314" s="215"/>
      <c r="AK4314" s="215"/>
      <c r="AL4314" s="215"/>
      <c r="AM4314" s="215"/>
    </row>
    <row r="4315" spans="36:39" ht="12.75" hidden="1" customHeight="1" x14ac:dyDescent="0.2">
      <c r="AJ4315" s="215"/>
      <c r="AK4315" s="215"/>
      <c r="AL4315" s="215"/>
      <c r="AM4315" s="215"/>
    </row>
    <row r="4316" spans="36:39" ht="12.75" hidden="1" customHeight="1" x14ac:dyDescent="0.2">
      <c r="AJ4316" s="215"/>
      <c r="AK4316" s="215"/>
      <c r="AL4316" s="215"/>
      <c r="AM4316" s="215"/>
    </row>
    <row r="4317" spans="36:39" ht="12.75" hidden="1" customHeight="1" x14ac:dyDescent="0.2">
      <c r="AJ4317" s="215"/>
      <c r="AK4317" s="215"/>
      <c r="AL4317" s="215"/>
      <c r="AM4317" s="215"/>
    </row>
    <row r="4318" spans="36:39" ht="12.75" hidden="1" customHeight="1" x14ac:dyDescent="0.2">
      <c r="AJ4318" s="215"/>
      <c r="AK4318" s="215"/>
      <c r="AL4318" s="215"/>
      <c r="AM4318" s="215"/>
    </row>
    <row r="4319" spans="36:39" ht="12.75" hidden="1" customHeight="1" x14ac:dyDescent="0.2">
      <c r="AJ4319" s="215"/>
      <c r="AK4319" s="215"/>
      <c r="AL4319" s="215"/>
      <c r="AM4319" s="215"/>
    </row>
    <row r="4320" spans="36:39" ht="12.75" hidden="1" customHeight="1" x14ac:dyDescent="0.2">
      <c r="AJ4320" s="215"/>
      <c r="AK4320" s="215"/>
      <c r="AL4320" s="215"/>
      <c r="AM4320" s="215"/>
    </row>
    <row r="4321" spans="36:39" ht="12.75" hidden="1" customHeight="1" x14ac:dyDescent="0.2">
      <c r="AJ4321" s="215"/>
      <c r="AK4321" s="215"/>
      <c r="AL4321" s="215"/>
      <c r="AM4321" s="215"/>
    </row>
    <row r="4322" spans="36:39" ht="12.75" hidden="1" customHeight="1" x14ac:dyDescent="0.2">
      <c r="AJ4322" s="215"/>
      <c r="AK4322" s="215"/>
      <c r="AL4322" s="215"/>
      <c r="AM4322" s="215"/>
    </row>
    <row r="4323" spans="36:39" ht="12.75" hidden="1" customHeight="1" x14ac:dyDescent="0.2">
      <c r="AJ4323" s="215"/>
      <c r="AK4323" s="215"/>
      <c r="AL4323" s="215"/>
      <c r="AM4323" s="215"/>
    </row>
    <row r="4324" spans="36:39" ht="12.75" hidden="1" customHeight="1" x14ac:dyDescent="0.2">
      <c r="AJ4324" s="215"/>
      <c r="AK4324" s="215"/>
      <c r="AL4324" s="215"/>
      <c r="AM4324" s="215"/>
    </row>
    <row r="4325" spans="36:39" ht="12.75" hidden="1" customHeight="1" x14ac:dyDescent="0.2">
      <c r="AJ4325" s="215"/>
      <c r="AK4325" s="215"/>
      <c r="AL4325" s="215"/>
      <c r="AM4325" s="215"/>
    </row>
  </sheetData>
  <sheetProtection algorithmName="SHA-512" hashValue="4CdFgPKbB3fmNHyVGoOPiw1OPeggBXz6jIZNe9pBYYaH6p6DrSNHozMiHtbfZBu71dycVBqQuthVXwBzp0qLsQ==" saltValue="jTL9c1X7UxllQ6VM1yx7Yg==" spinCount="100000" sheet="1" sort="0" autoFilter="0"/>
  <autoFilter ref="A9:AV2784"/>
  <mergeCells count="7">
    <mergeCell ref="A1:C3"/>
    <mergeCell ref="A4:A5"/>
    <mergeCell ref="M7:M8"/>
    <mergeCell ref="AO7:AS7"/>
    <mergeCell ref="AO8:AS8"/>
    <mergeCell ref="H8:J8"/>
    <mergeCell ref="AJ8:AL8"/>
  </mergeCells>
  <dataValidations count="5">
    <dataValidation type="list" allowBlank="1" showInputMessage="1" showErrorMessage="1" sqref="V7 R7">
      <formula1>#REF!</formula1>
    </dataValidation>
    <dataValidation type="decimal" operator="lessThan" allowBlank="1" showErrorMessage="1" errorTitle="ERROR" error="Return T must &lt;  Entering T" promptTitle="Retourº:" prompt="Altijd lager dan Aanvoerº" sqref="V4 R4">
      <formula1>R3</formula1>
    </dataValidation>
    <dataValidation type="decimal" allowBlank="1" showErrorMessage="1" errorTitle="ERROR" error="Air T between 50 and 77ºF" promptTitle="Omgevingº:" prompt="Geheel getal tussen 10 en 25" sqref="R5 V5 T7">
      <formula1>50</formula1>
      <formula2>77</formula2>
    </dataValidation>
    <dataValidation type="decimal" allowBlank="1" showErrorMessage="1" errorTitle="ERROR" error="Entering T between 95 and 180ºF" sqref="R3 V3">
      <formula1>95</formula1>
      <formula2>210</formula2>
    </dataValidation>
    <dataValidation type="custom" allowBlank="1" showInputMessage="1" showErrorMessage="1" errorTitle="try again" error="&lt;200ºF" sqref="I2">
      <formula1>I2&lt;200</formula1>
    </dataValidation>
  </dataValidations>
  <printOptions horizontalCentered="1"/>
  <pageMargins left="0" right="0" top="0" bottom="0.19685039370078741" header="0" footer="0"/>
  <pageSetup paperSize="9" fitToHeight="1000" orientation="landscape" r:id="rId1"/>
  <headerFooter>
    <oddFooter>&amp;R&amp;8&amp;D 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2</xdr:row>
                    <xdr:rowOff>180975</xdr:rowOff>
                  </from>
                  <to>
                    <xdr:col>4</xdr:col>
                    <xdr:colOff>438150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U360"/>
  <sheetViews>
    <sheetView showGridLines="0" showRowColHeaders="0" showZeros="0" zoomScaleNormal="100" workbookViewId="0">
      <pane ySplit="9" topLeftCell="A40" activePane="bottomLeft" state="frozen"/>
      <selection activeCell="I2" sqref="I2"/>
      <selection pane="bottomLeft" activeCell="A10" sqref="A10"/>
    </sheetView>
  </sheetViews>
  <sheetFormatPr defaultColWidth="0" defaultRowHeight="12.75" customHeight="1" zeroHeight="1" x14ac:dyDescent="0.2"/>
  <cols>
    <col min="1" max="1" width="19.7109375" style="1" customWidth="1"/>
    <col min="2" max="3" width="24.140625" style="1" customWidth="1"/>
    <col min="4" max="5" width="6.7109375" style="7" customWidth="1"/>
    <col min="6" max="6" width="6.7109375" style="6" customWidth="1"/>
    <col min="7" max="7" width="6.7109375" style="7" customWidth="1"/>
    <col min="8" max="10" width="8.7109375" style="2" customWidth="1"/>
    <col min="11" max="11" width="11.28515625" style="2" customWidth="1"/>
    <col min="12" max="12" width="11.28515625" style="178" customWidth="1"/>
    <col min="13" max="13" width="32.140625" style="2" hidden="1" customWidth="1"/>
    <col min="14" max="14" width="9" style="7" hidden="1" customWidth="1"/>
    <col min="15" max="15" width="6" hidden="1" customWidth="1"/>
    <col min="16" max="16" width="9.140625" style="7" hidden="1" customWidth="1"/>
    <col min="17" max="17" width="6" hidden="1" customWidth="1"/>
    <col min="18" max="18" width="7" style="2" hidden="1" customWidth="1"/>
    <col min="19" max="22" width="4.28515625" style="2" hidden="1" customWidth="1"/>
    <col min="23" max="23" width="6" hidden="1" customWidth="1"/>
    <col min="24" max="24" width="18.140625" style="38" hidden="1" customWidth="1"/>
    <col min="25" max="28" width="4.28515625" style="38" hidden="1" customWidth="1"/>
    <col min="29" max="29" width="6" hidden="1" customWidth="1"/>
    <col min="30" max="30" width="6.140625" style="2" hidden="1" customWidth="1"/>
    <col min="31" max="34" width="4.28515625" style="2" hidden="1" customWidth="1"/>
    <col min="35" max="35" width="7.7109375" hidden="1" customWidth="1"/>
    <col min="36" max="36" width="22.7109375" style="127" hidden="1" customWidth="1"/>
    <col min="37" max="37" width="22.7109375" style="133" hidden="1" customWidth="1"/>
    <col min="38" max="38" width="22.7109375" style="130" hidden="1" customWidth="1"/>
    <col min="39" max="39" width="22.5703125" style="127" hidden="1" customWidth="1"/>
    <col min="40" max="40" width="7.7109375" hidden="1" customWidth="1"/>
    <col min="41" max="45" width="7.7109375" style="10" hidden="1" customWidth="1"/>
    <col min="46" max="46" width="7.7109375" hidden="1" customWidth="1"/>
    <col min="47" max="47" width="7.7109375" style="2" hidden="1" customWidth="1"/>
    <col min="48" max="48" width="20.42578125" style="2" hidden="1" customWidth="1"/>
    <col min="49" max="49" width="7.140625" style="3" hidden="1" customWidth="1"/>
    <col min="50" max="50" width="6" style="3" hidden="1" customWidth="1"/>
    <col min="51" max="51" width="5.28515625" style="3" hidden="1" customWidth="1"/>
    <col min="52" max="52" width="7.7109375" style="3" hidden="1" customWidth="1"/>
    <col min="53" max="53" width="10.5703125" style="3" hidden="1" customWidth="1"/>
    <col min="54" max="54" width="7.7109375" style="3" hidden="1" customWidth="1"/>
    <col min="55" max="55" width="3" style="3" hidden="1" customWidth="1"/>
    <col min="56" max="56" width="10.5703125" style="3" hidden="1" customWidth="1"/>
    <col min="57" max="57" width="9.28515625" style="3" hidden="1" customWidth="1"/>
    <col min="58" max="58" width="10.5703125" style="3" hidden="1" customWidth="1"/>
    <col min="59" max="16384" width="7.7109375" style="3" hidden="1"/>
  </cols>
  <sheetData>
    <row r="1" spans="1:73" ht="13.5" customHeight="1" x14ac:dyDescent="0.25">
      <c r="A1" s="247" t="str">
        <f>Basis!A1</f>
        <v>Selection Model 2022-10</v>
      </c>
      <c r="B1" s="247"/>
      <c r="C1" s="247"/>
      <c r="D1" s="21"/>
      <c r="E1" s="21"/>
      <c r="F1" s="22"/>
      <c r="G1" s="21"/>
      <c r="H1" s="25"/>
      <c r="I1" s="26"/>
      <c r="J1" s="27"/>
      <c r="K1" s="27"/>
      <c r="L1" s="27"/>
      <c r="M1" s="27"/>
      <c r="AJ1"/>
      <c r="AK1"/>
      <c r="AL1"/>
      <c r="AM1"/>
      <c r="AN1" s="87" t="s">
        <v>101</v>
      </c>
      <c r="BS1"/>
      <c r="BT1"/>
      <c r="BU1"/>
    </row>
    <row r="2" spans="1:73" ht="15" customHeight="1" x14ac:dyDescent="0.25">
      <c r="A2" s="247"/>
      <c r="B2" s="247"/>
      <c r="C2" s="247"/>
      <c r="D2" s="139" t="s">
        <v>94</v>
      </c>
      <c r="E2" s="140"/>
      <c r="F2" s="141"/>
      <c r="G2" s="24"/>
      <c r="H2" s="146" t="s">
        <v>26</v>
      </c>
      <c r="I2" s="8">
        <v>140</v>
      </c>
      <c r="J2" s="28" t="str">
        <f>CHOOSE(Basis!$E$1,"EWT ºC","EWT ºF")</f>
        <v>EWT ºF</v>
      </c>
      <c r="K2" s="28"/>
      <c r="L2" s="28"/>
      <c r="M2" s="28"/>
      <c r="O2" s="197"/>
      <c r="Q2" s="7"/>
      <c r="R2" s="7"/>
      <c r="T2" s="7"/>
      <c r="U2" s="35"/>
      <c r="V2" s="34"/>
      <c r="W2" s="54"/>
      <c r="X2" s="36"/>
      <c r="Y2" s="35"/>
      <c r="Z2" s="36"/>
      <c r="AA2" s="36"/>
      <c r="AB2" s="36"/>
      <c r="AC2" s="54"/>
      <c r="AD2" s="36"/>
      <c r="AE2" s="35"/>
      <c r="AF2" s="36"/>
      <c r="AG2" s="36"/>
      <c r="AH2" s="36"/>
      <c r="AI2" s="54"/>
      <c r="AJ2" s="54"/>
      <c r="AK2" s="54"/>
      <c r="AL2" s="54"/>
      <c r="AM2" s="54"/>
      <c r="AN2" t="s">
        <v>102</v>
      </c>
      <c r="AO2" s="86">
        <v>16</v>
      </c>
      <c r="AP2" s="89" t="s">
        <v>95</v>
      </c>
      <c r="AQ2" s="89"/>
      <c r="AR2" s="89"/>
      <c r="AS2" s="89"/>
      <c r="AU2" s="13"/>
      <c r="AV2" s="81"/>
      <c r="BS2"/>
      <c r="BT2"/>
      <c r="BU2"/>
    </row>
    <row r="3" spans="1:73" ht="15" customHeight="1" x14ac:dyDescent="0.25">
      <c r="A3" s="247"/>
      <c r="B3" s="247"/>
      <c r="C3" s="247"/>
      <c r="D3" s="142" t="s">
        <v>2963</v>
      </c>
      <c r="E3" s="143"/>
      <c r="F3" s="138"/>
      <c r="G3" s="24"/>
      <c r="H3" s="146" t="s">
        <v>24</v>
      </c>
      <c r="I3" s="8">
        <v>120</v>
      </c>
      <c r="J3" s="28" t="str">
        <f>CHOOSE(Basis!$E$1,"LWT ºC","LWT ºF")</f>
        <v>LWT ºF</v>
      </c>
      <c r="K3" s="28"/>
      <c r="L3" s="28"/>
      <c r="M3" s="28"/>
      <c r="R3" s="55"/>
      <c r="T3" s="7"/>
      <c r="U3" s="35"/>
      <c r="V3" s="55"/>
      <c r="W3" s="54"/>
      <c r="X3" s="36"/>
      <c r="Y3" s="35"/>
      <c r="Z3" s="7" t="s">
        <v>3334</v>
      </c>
      <c r="AA3" s="219">
        <f>IF(Basis!$E$1=1,$F$3/1000,IF(Basis!$E$1=2,$F$3*0.0003048))</f>
        <v>0</v>
      </c>
      <c r="AB3" s="36"/>
      <c r="AC3" s="54"/>
      <c r="AD3" s="37"/>
      <c r="AE3" s="35"/>
      <c r="AF3" s="37"/>
      <c r="AG3" s="37"/>
      <c r="AH3" s="37"/>
      <c r="AI3" s="54"/>
      <c r="AJ3" s="54"/>
      <c r="AK3" s="54"/>
      <c r="AL3" s="54"/>
      <c r="AM3" s="54"/>
      <c r="AN3" t="s">
        <v>103</v>
      </c>
      <c r="AO3" s="86">
        <v>18</v>
      </c>
      <c r="AP3" s="89" t="s">
        <v>95</v>
      </c>
      <c r="AQ3" s="89"/>
      <c r="AR3" s="89"/>
      <c r="AS3" s="89"/>
      <c r="AU3" s="13"/>
      <c r="AV3" s="81"/>
      <c r="BS3"/>
      <c r="BT3"/>
      <c r="BU3"/>
    </row>
    <row r="4" spans="1:73" ht="15" customHeight="1" x14ac:dyDescent="0.25">
      <c r="A4" s="248" t="str">
        <f>CHOOSE(Basis!$E$1,"Metric","Imperial")</f>
        <v>Imperial</v>
      </c>
      <c r="B4" s="96"/>
      <c r="C4" s="17"/>
      <c r="D4" s="51">
        <v>1</v>
      </c>
      <c r="E4" s="52"/>
      <c r="F4" s="53"/>
      <c r="G4" s="23" t="s">
        <v>88</v>
      </c>
      <c r="H4" s="146" t="s">
        <v>2967</v>
      </c>
      <c r="I4" s="8">
        <v>65</v>
      </c>
      <c r="J4" s="28" t="str">
        <f>CHOOSE(Basis!$E$1,"AT ºC","AT ºF")</f>
        <v>AT ºF</v>
      </c>
      <c r="K4" s="28"/>
      <c r="L4" s="28"/>
      <c r="M4" s="28"/>
      <c r="R4" s="55"/>
      <c r="T4" s="7"/>
      <c r="U4" s="35"/>
      <c r="V4" s="55"/>
      <c r="W4" s="54"/>
      <c r="X4" s="36"/>
      <c r="Y4" s="35"/>
      <c r="Z4" s="7" t="s">
        <v>3335</v>
      </c>
      <c r="AA4" s="220">
        <f>-(0.000265264729874266*$AA$3^6)+(0.000957582908802335*$AA$3^5)+(0.00470250661483425*$AA$3^4)-(0.0298716926548353*$AA$3^3)+(0.0557086806557086*$AA$3^2)-(0.0484008125693582*$AA$3)+1</f>
        <v>1</v>
      </c>
      <c r="AB4" s="36"/>
      <c r="AC4" s="54"/>
      <c r="AD4" s="37"/>
      <c r="AE4" s="35"/>
      <c r="AF4" s="37"/>
      <c r="AG4" s="37"/>
      <c r="AH4" s="37"/>
      <c r="AI4" s="54"/>
      <c r="AJ4" s="54"/>
      <c r="AK4" s="54"/>
      <c r="AL4" s="54"/>
      <c r="AM4" s="54"/>
      <c r="AN4" t="s">
        <v>104</v>
      </c>
      <c r="AO4" s="86">
        <v>27</v>
      </c>
      <c r="AP4" s="89" t="s">
        <v>95</v>
      </c>
      <c r="AQ4" s="89"/>
      <c r="AR4" s="89"/>
      <c r="AS4" s="89"/>
      <c r="AU4" s="13"/>
      <c r="AV4" s="81"/>
      <c r="BS4"/>
      <c r="BT4"/>
      <c r="BU4"/>
    </row>
    <row r="5" spans="1:73" ht="15" customHeight="1" x14ac:dyDescent="0.25">
      <c r="A5" s="248"/>
      <c r="B5" s="96"/>
      <c r="C5" s="17"/>
      <c r="D5" s="23"/>
      <c r="E5" s="21"/>
      <c r="F5" s="22"/>
      <c r="G5" s="21"/>
      <c r="H5" s="29" t="s">
        <v>25</v>
      </c>
      <c r="I5" s="31">
        <f>(I2+I3)/2</f>
        <v>130</v>
      </c>
      <c r="J5" s="28" t="str">
        <f>CHOOSE(Basis!$E$1,"ºC","ºF")</f>
        <v>ºF</v>
      </c>
      <c r="K5" s="28"/>
      <c r="L5" s="28"/>
      <c r="M5" s="28"/>
      <c r="R5" s="55"/>
      <c r="T5" s="7"/>
      <c r="U5" s="35"/>
      <c r="V5" s="55"/>
      <c r="W5" s="54"/>
      <c r="X5" s="36"/>
      <c r="Y5" s="35"/>
      <c r="Z5" s="36"/>
      <c r="AA5" s="36"/>
      <c r="AB5" s="36"/>
      <c r="AC5" s="54"/>
      <c r="AD5" s="37"/>
      <c r="AE5" s="35"/>
      <c r="AF5" s="37"/>
      <c r="AG5" s="37"/>
      <c r="AH5" s="37"/>
      <c r="AI5" s="54"/>
      <c r="AJ5" s="54"/>
      <c r="AK5" s="54"/>
      <c r="AL5" s="54"/>
      <c r="AM5" s="54"/>
      <c r="AN5" s="54"/>
      <c r="AO5" s="88">
        <f>(AO2+AO3)/2-AO4</f>
        <v>-10</v>
      </c>
      <c r="AP5" s="34"/>
      <c r="AQ5" s="11"/>
      <c r="AR5" s="11"/>
      <c r="AS5" s="11"/>
      <c r="AT5" s="56"/>
      <c r="AU5" s="13"/>
      <c r="AV5" s="81"/>
      <c r="BS5"/>
      <c r="BT5"/>
      <c r="BU5"/>
    </row>
    <row r="6" spans="1:73" ht="15" customHeight="1" x14ac:dyDescent="0.2">
      <c r="A6" s="96"/>
      <c r="B6" s="33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R6" s="39"/>
      <c r="T6" s="7"/>
      <c r="U6" s="35"/>
      <c r="V6" s="39"/>
      <c r="W6" s="54"/>
      <c r="Y6" s="35"/>
      <c r="Z6" s="36"/>
      <c r="AA6" s="36"/>
      <c r="AB6" s="36"/>
      <c r="AC6" s="54"/>
      <c r="AD6" s="37"/>
      <c r="AE6" s="35"/>
      <c r="AF6" s="37"/>
      <c r="AG6" s="37"/>
      <c r="AH6" s="37"/>
      <c r="AI6" s="54"/>
      <c r="AJ6" s="54"/>
      <c r="AK6" s="54"/>
      <c r="AL6" s="54"/>
      <c r="AM6" s="54"/>
      <c r="AN6" s="54"/>
      <c r="AO6" s="34"/>
      <c r="AP6" s="34"/>
      <c r="AQ6" s="13"/>
      <c r="AR6" s="13"/>
      <c r="AS6" s="35"/>
      <c r="AT6" s="56"/>
      <c r="AU6" s="13"/>
      <c r="AV6" s="81"/>
      <c r="BS6"/>
      <c r="BT6"/>
      <c r="BU6"/>
    </row>
    <row r="7" spans="1:73" ht="15" customHeight="1" x14ac:dyDescent="0.25">
      <c r="A7" s="18"/>
      <c r="B7" s="33"/>
      <c r="C7" s="17"/>
      <c r="D7" s="21"/>
      <c r="E7" s="21"/>
      <c r="F7" s="22"/>
      <c r="G7" s="21"/>
      <c r="H7" s="17"/>
      <c r="I7" s="17"/>
      <c r="J7" s="27"/>
      <c r="K7" s="27"/>
      <c r="L7" s="27"/>
      <c r="M7" s="249" t="s">
        <v>106</v>
      </c>
      <c r="N7" s="12"/>
      <c r="O7" s="54"/>
      <c r="P7" s="12"/>
      <c r="Q7" s="54"/>
      <c r="R7" s="57"/>
      <c r="S7" s="90"/>
      <c r="T7" s="55"/>
      <c r="U7" s="35"/>
      <c r="V7" s="57"/>
      <c r="W7" s="54"/>
      <c r="X7" s="36"/>
      <c r="Y7" s="35"/>
      <c r="Z7" s="36"/>
      <c r="AA7" s="36"/>
      <c r="AB7" s="36"/>
      <c r="AC7" s="54"/>
      <c r="AD7" s="36"/>
      <c r="AE7" s="35"/>
      <c r="AF7" s="36"/>
      <c r="AG7" s="36"/>
      <c r="AH7" s="36"/>
      <c r="AI7" s="54"/>
      <c r="AJ7" s="54"/>
      <c r="AK7" s="54"/>
      <c r="AL7" s="54"/>
      <c r="AM7" s="54"/>
      <c r="AN7" s="54"/>
      <c r="AO7" s="251" t="s">
        <v>110</v>
      </c>
      <c r="AP7" s="252"/>
      <c r="AQ7" s="252"/>
      <c r="AR7" s="252"/>
      <c r="AS7" s="253"/>
      <c r="AT7" s="56"/>
      <c r="AU7" s="13"/>
      <c r="AV7" s="81"/>
      <c r="BS7"/>
      <c r="BT7"/>
      <c r="BU7"/>
    </row>
    <row r="8" spans="1:73" s="5" customFormat="1" ht="23.25" customHeight="1" x14ac:dyDescent="0.2">
      <c r="A8" s="181" t="str">
        <f>Basis!C1</f>
        <v>LA/2022-10-12</v>
      </c>
      <c r="B8" s="19"/>
      <c r="C8" s="20"/>
      <c r="D8" s="42" t="s">
        <v>86</v>
      </c>
      <c r="E8" s="15" t="s">
        <v>84</v>
      </c>
      <c r="F8" s="16"/>
      <c r="G8" s="15" t="s">
        <v>85</v>
      </c>
      <c r="H8" s="254" t="str">
        <f>I2&amp;"/"&amp;I3&amp;"/"&amp;I4&amp;"º"</f>
        <v>140/120/65º</v>
      </c>
      <c r="I8" s="255"/>
      <c r="J8" s="256"/>
      <c r="K8" s="27"/>
      <c r="L8" s="27"/>
      <c r="M8" s="250"/>
      <c r="N8" s="183" t="s">
        <v>118</v>
      </c>
      <c r="P8" s="121" t="s">
        <v>49</v>
      </c>
      <c r="R8" s="58" t="s">
        <v>93</v>
      </c>
      <c r="S8" s="90"/>
      <c r="T8" s="40"/>
      <c r="U8" s="35"/>
      <c r="V8" s="40"/>
      <c r="X8" s="58" t="s">
        <v>92</v>
      </c>
      <c r="Y8" s="35"/>
      <c r="Z8" s="36"/>
      <c r="AA8" s="36"/>
      <c r="AB8" s="36"/>
      <c r="AD8" s="58" t="s">
        <v>140</v>
      </c>
      <c r="AE8" s="35"/>
      <c r="AF8" s="36"/>
      <c r="AG8" s="36"/>
      <c r="AH8" s="36"/>
      <c r="AJ8" s="257" t="s">
        <v>98</v>
      </c>
      <c r="AK8" s="258"/>
      <c r="AL8" s="258"/>
      <c r="AM8" s="35"/>
      <c r="AO8" s="251" t="s">
        <v>100</v>
      </c>
      <c r="AP8" s="252"/>
      <c r="AQ8" s="252"/>
      <c r="AR8" s="252"/>
      <c r="AS8" s="253"/>
      <c r="AT8" s="41"/>
      <c r="AU8" s="14"/>
      <c r="AV8" s="82"/>
      <c r="BS8"/>
      <c r="BT8"/>
      <c r="BU8"/>
    </row>
    <row r="9" spans="1:73" s="4" customFormat="1" ht="38.25" customHeight="1" x14ac:dyDescent="0.2">
      <c r="A9" s="59" t="s">
        <v>22</v>
      </c>
      <c r="B9" s="59" t="s">
        <v>0</v>
      </c>
      <c r="C9" s="59" t="s">
        <v>87</v>
      </c>
      <c r="D9" s="60" t="str">
        <f>"H in "&amp;CHOOSE(Basis!$E$1,"cm","inch")</f>
        <v>H in inch</v>
      </c>
      <c r="E9" s="60" t="str">
        <f>"L in "&amp;CHOOSE(Basis!$E$1,"cm","inch")</f>
        <v>L in inch</v>
      </c>
      <c r="F9" s="61" t="s">
        <v>1</v>
      </c>
      <c r="G9" s="60" t="str">
        <f>"D in "&amp;CHOOSE(Basis!$E$1,"cm","inch")</f>
        <v>D in inch</v>
      </c>
      <c r="H9" s="122" t="str">
        <f>"Heating in "&amp;CHOOSE(Basis!$E$1,"Watt","BTU/h")</f>
        <v>Heating in BTU/h</v>
      </c>
      <c r="I9" s="122" t="str">
        <f>CHOOSE(Basis!$E$1,"Watt/m¹","BTU/h per foot")</f>
        <v>BTU/h per foot</v>
      </c>
      <c r="J9" s="122" t="str">
        <f>"Flow in "&amp;CHOOSE(Basis!$E$1,"l/s","GPM")</f>
        <v>Flow in GPM</v>
      </c>
      <c r="K9" s="94"/>
      <c r="L9" s="60" t="str">
        <f>"Water side pressure drop "&amp;CHOOSE(Basis!$E$1,"[kPa]","ftH2O")</f>
        <v>Water side pressure drop ftH2O</v>
      </c>
      <c r="M9" s="60" t="s">
        <v>105</v>
      </c>
      <c r="N9" s="79">
        <v>1</v>
      </c>
      <c r="O9" s="64"/>
      <c r="P9" s="79">
        <v>1</v>
      </c>
      <c r="Q9" s="64" t="s">
        <v>99</v>
      </c>
      <c r="R9" s="79">
        <v>1</v>
      </c>
      <c r="S9" s="79">
        <v>0.8</v>
      </c>
      <c r="T9" s="79">
        <v>0.6</v>
      </c>
      <c r="U9" s="79">
        <v>0.4</v>
      </c>
      <c r="V9" s="79">
        <v>0.2</v>
      </c>
      <c r="W9" s="64" t="s">
        <v>99</v>
      </c>
      <c r="X9" s="79">
        <v>1</v>
      </c>
      <c r="Y9" s="79">
        <v>0.8</v>
      </c>
      <c r="Z9" s="79">
        <v>0.6</v>
      </c>
      <c r="AA9" s="79">
        <v>0.4</v>
      </c>
      <c r="AB9" s="79">
        <v>0.2</v>
      </c>
      <c r="AC9" s="64" t="s">
        <v>99</v>
      </c>
      <c r="AD9" s="79">
        <v>1</v>
      </c>
      <c r="AE9" s="79">
        <v>0.8</v>
      </c>
      <c r="AF9" s="79">
        <v>0.6</v>
      </c>
      <c r="AG9" s="79">
        <v>0.4</v>
      </c>
      <c r="AH9" s="79">
        <v>0.2</v>
      </c>
      <c r="AI9" s="64" t="s">
        <v>99</v>
      </c>
      <c r="AJ9" s="79" t="s">
        <v>2959</v>
      </c>
      <c r="AK9" s="79" t="s">
        <v>2960</v>
      </c>
      <c r="AL9" s="79" t="s">
        <v>2961</v>
      </c>
      <c r="AM9" s="79" t="s">
        <v>2962</v>
      </c>
      <c r="AN9" s="64" t="s">
        <v>99</v>
      </c>
      <c r="AO9" s="79">
        <v>1</v>
      </c>
      <c r="AP9" s="79">
        <v>0.8</v>
      </c>
      <c r="AQ9" s="79">
        <v>0.6</v>
      </c>
      <c r="AR9" s="79">
        <v>0.4</v>
      </c>
      <c r="AS9" s="79">
        <v>0.2</v>
      </c>
      <c r="AT9" s="64" t="s">
        <v>99</v>
      </c>
      <c r="AU9" s="65" t="s">
        <v>28</v>
      </c>
      <c r="AV9" s="66" t="s">
        <v>2</v>
      </c>
      <c r="AZ9" s="32"/>
      <c r="BS9"/>
      <c r="BT9"/>
      <c r="BU9"/>
    </row>
    <row r="10" spans="1:73" s="196" customFormat="1" ht="12.75" customHeight="1" x14ac:dyDescent="0.25">
      <c r="A10" s="72" t="s">
        <v>20</v>
      </c>
      <c r="B10" s="184" t="s">
        <v>3089</v>
      </c>
      <c r="C10" s="44" t="s">
        <v>2981</v>
      </c>
      <c r="D10" s="45">
        <f>MROUND(MID($C10,6,3)/Basis!$E$3,0.5)</f>
        <v>14</v>
      </c>
      <c r="E10" s="45">
        <f>MROUND(MID($C10,9,3)/Basis!$E$3,0.5)</f>
        <v>19.5</v>
      </c>
      <c r="F10" s="237" t="str">
        <f t="shared" ref="F10:F73" si="0">RIGHT(C10,2)</f>
        <v>05</v>
      </c>
      <c r="G10" s="45">
        <f>ROUND((ROUNDDOWN($F10/5,0)*5+2.2)/Basis!$E$3,1)</f>
        <v>2.8</v>
      </c>
      <c r="H10" s="120">
        <f>ROUND($P10*Basis!$E$2*((TaH-TrH)/LN(1/µ)/Basis!$E$7)^$N10*$AA$4*Glycol,0)</f>
        <v>543</v>
      </c>
      <c r="I10" s="83">
        <f>ROUND(H10/(MID($C10,9,3)/Basis!$E$3/Basis!$E$9)*Basis!$E$11,0)</f>
        <v>331</v>
      </c>
      <c r="J10" s="123">
        <f>IF(Basis!$E$1=1,ROUND(H10/((TaH-TrH)*1.163)/3600,3),ROUND(H10/(500*(TaH-TrH)),2))</f>
        <v>0.05</v>
      </c>
      <c r="K10" s="84"/>
      <c r="L10" s="177">
        <f>CHOOSE(Basis!$E$1,((AJ10*(J10*3600/Basis!$E$5)^AK10*(((MID(C10,9,3)*10)-144)/1000)*AL10+AM10*(J10*3600/Basis!$E$5)^2)*0.0098)/Basis!$E$10,((AJ10*(J10/Basis!$E$5)^AK10*(((MID(C10,9,3)*10)-144)/1000)*AL10+AM10*(J10/Basis!$E$5)^2)*0.0098)/Basis!$E$10)</f>
        <v>3.5666802948877105E-4</v>
      </c>
      <c r="M10" s="85"/>
      <c r="N10" s="185">
        <v>1.3919999999999999</v>
      </c>
      <c r="O10" s="186"/>
      <c r="P10" s="187">
        <v>252</v>
      </c>
      <c r="Q10" s="186"/>
      <c r="R10" s="188"/>
      <c r="S10" s="188"/>
      <c r="T10" s="188"/>
      <c r="U10" s="188"/>
      <c r="V10" s="188"/>
      <c r="W10" s="186"/>
      <c r="X10" s="189"/>
      <c r="Y10" s="189"/>
      <c r="Z10" s="189"/>
      <c r="AA10" s="189"/>
      <c r="AB10" s="189"/>
      <c r="AC10" s="186"/>
      <c r="AD10" s="190"/>
      <c r="AE10" s="190"/>
      <c r="AF10" s="190"/>
      <c r="AG10" s="190"/>
      <c r="AH10" s="190"/>
      <c r="AI10" s="186"/>
      <c r="AJ10" s="191">
        <v>9.3669999999999995E-4</v>
      </c>
      <c r="AK10" s="192">
        <v>1.789841</v>
      </c>
      <c r="AL10" s="193">
        <v>2</v>
      </c>
      <c r="AM10" s="191">
        <v>4.4559999999999999E-4</v>
      </c>
      <c r="AN10" s="186"/>
      <c r="AO10" s="187"/>
      <c r="AP10" s="187"/>
      <c r="AQ10" s="187"/>
      <c r="AR10" s="187"/>
      <c r="AS10" s="187"/>
      <c r="AT10" s="186"/>
      <c r="AU10" s="194"/>
      <c r="AV10" s="195"/>
    </row>
    <row r="11" spans="1:73" ht="12.75" customHeight="1" x14ac:dyDescent="0.25">
      <c r="A11" s="72" t="s">
        <v>20</v>
      </c>
      <c r="B11" s="184" t="s">
        <v>3089</v>
      </c>
      <c r="C11" s="44" t="s">
        <v>2993</v>
      </c>
      <c r="D11" s="45">
        <f>MROUND(MID($C11,6,3)/Basis!$E$3,0.5)</f>
        <v>14</v>
      </c>
      <c r="E11" s="45">
        <f>MROUND(MID($C11,9,3)/Basis!$E$3,0.5)</f>
        <v>19.5</v>
      </c>
      <c r="F11" s="237" t="str">
        <f t="shared" si="0"/>
        <v>10</v>
      </c>
      <c r="G11" s="45">
        <f>ROUND((ROUNDDOWN($F11/5,0)*5+2.2)/Basis!$E$3,1)</f>
        <v>4.8</v>
      </c>
      <c r="H11" s="120">
        <f>ROUND($P11*Basis!$E$2*((TaH-TrH)/LN(1/µ)/Basis!$E$7)^$N11*$AA$4*Glycol,0)</f>
        <v>765</v>
      </c>
      <c r="I11" s="83">
        <f>ROUND(H11/(MID($C11,9,3)/Basis!$E$3/Basis!$E$9)*Basis!$E$11,0)</f>
        <v>466</v>
      </c>
      <c r="J11" s="123">
        <f>IF(Basis!$E$1=1,ROUND(H11/((TaH-TrH)*1.163)/3600,3),ROUND(H11/(500*(TaH-TrH)),2))</f>
        <v>0.08</v>
      </c>
      <c r="K11" s="84"/>
      <c r="L11" s="177">
        <f>CHOOSE(Basis!$E$1,((AJ11*(J11*3600/Basis!$E$5)^AK11*(((MID(C11,9,3)*10)-144)/1000)*AL11+AM11*(J11*3600/Basis!$E$5)^2)*0.0098)/Basis!$E$10,((AJ11*(J11/Basis!$E$5)^AK11*(((MID(C11,9,3)*10)-144)/1000)*AL11+AM11*(J11/Basis!$E$5)^2)*0.0098)/Basis!$E$10)</f>
        <v>5.3784928023953803E-4</v>
      </c>
      <c r="M11" s="85"/>
      <c r="N11" s="185">
        <v>1.41</v>
      </c>
      <c r="O11" s="186"/>
      <c r="P11" s="187">
        <v>357</v>
      </c>
      <c r="AJ11" s="126">
        <v>3.9689999999999994E-4</v>
      </c>
      <c r="AK11" s="132">
        <v>1.7345999999999999</v>
      </c>
      <c r="AL11" s="129">
        <v>2</v>
      </c>
      <c r="AM11" s="126">
        <v>3.6734700000000002E-4</v>
      </c>
    </row>
    <row r="12" spans="1:73" ht="12.75" customHeight="1" x14ac:dyDescent="0.25">
      <c r="A12" s="72" t="s">
        <v>20</v>
      </c>
      <c r="B12" s="184" t="s">
        <v>3089</v>
      </c>
      <c r="C12" s="44" t="s">
        <v>3005</v>
      </c>
      <c r="D12" s="45">
        <f>MROUND(MID($C12,6,3)/Basis!$E$3,0.5)</f>
        <v>14</v>
      </c>
      <c r="E12" s="45">
        <f>MROUND(MID($C12,9,3)/Basis!$E$3,0.5)</f>
        <v>19.5</v>
      </c>
      <c r="F12" s="237" t="str">
        <f t="shared" si="0"/>
        <v>15</v>
      </c>
      <c r="G12" s="45">
        <f>ROUND((ROUNDDOWN($F12/5,0)*5+2.2)/Basis!$E$3,1)</f>
        <v>6.8</v>
      </c>
      <c r="H12" s="120">
        <f>ROUND($P12*Basis!$E$2*((TaH-TrH)/LN(1/µ)/Basis!$E$7)^$N12*$AA$4*Glycol,0)</f>
        <v>1168</v>
      </c>
      <c r="I12" s="83">
        <f>ROUND(H12/(MID($C12,9,3)/Basis!$E$3/Basis!$E$9)*Basis!$E$11,0)</f>
        <v>712</v>
      </c>
      <c r="J12" s="123">
        <f>IF(Basis!$E$1=1,ROUND(H12/((TaH-TrH)*1.163)/3600,3),ROUND(H12/(500*(TaH-TrH)),2))</f>
        <v>0.12</v>
      </c>
      <c r="K12" s="84"/>
      <c r="L12" s="177">
        <f>CHOOSE(Basis!$E$1,((AJ12*(J12*3600/Basis!$E$5)^AK12*(((MID(C12,9,3)*10)-144)/1000)*AL12+AM12*(J12*3600/Basis!$E$5)^2)*0.0098)/Basis!$E$10,((AJ12*(J12/Basis!$E$5)^AK12*(((MID(C12,9,3)*10)-144)/1000)*AL12+AM12*(J12/Basis!$E$5)^2)*0.0098)/Basis!$E$10)</f>
        <v>1.2663866798291782E-3</v>
      </c>
      <c r="M12" s="85"/>
      <c r="N12" s="185">
        <v>1.4079999999999999</v>
      </c>
      <c r="O12" s="186"/>
      <c r="P12" s="187">
        <v>545</v>
      </c>
      <c r="AJ12" s="125">
        <v>2.0829999999999999E-4</v>
      </c>
      <c r="AK12" s="131">
        <v>1.724</v>
      </c>
      <c r="AL12" s="128">
        <v>2</v>
      </c>
      <c r="AM12" s="125">
        <v>4.6182900000000003E-4</v>
      </c>
    </row>
    <row r="13" spans="1:73" ht="12.75" customHeight="1" x14ac:dyDescent="0.25">
      <c r="A13" s="72" t="s">
        <v>20</v>
      </c>
      <c r="B13" s="184" t="s">
        <v>3089</v>
      </c>
      <c r="C13" s="44" t="s">
        <v>2982</v>
      </c>
      <c r="D13" s="45">
        <f>MROUND(MID($C13,6,3)/Basis!$E$3,0.5)</f>
        <v>14</v>
      </c>
      <c r="E13" s="45">
        <f>MROUND(MID($C13,9,3)/Basis!$E$3,0.5)</f>
        <v>23.5</v>
      </c>
      <c r="F13" s="237" t="str">
        <f t="shared" si="0"/>
        <v>05</v>
      </c>
      <c r="G13" s="45">
        <f>ROUND((ROUNDDOWN($F13/5,0)*5+2.2)/Basis!$E$3,1)</f>
        <v>2.8</v>
      </c>
      <c r="H13" s="120">
        <f>ROUND($P13*Basis!$E$2*((TaH-TrH)/LN(1/µ)/Basis!$E$7)^$N13*$AA$4*Glycol,0)</f>
        <v>651</v>
      </c>
      <c r="I13" s="83">
        <f>ROUND(H13/(MID($C13,9,3)/Basis!$E$3/Basis!$E$9)*Basis!$E$11,0)</f>
        <v>331</v>
      </c>
      <c r="J13" s="123">
        <f>IF(Basis!$E$1=1,ROUND(H13/((TaH-TrH)*1.163)/3600,3),ROUND(H13/(500*(TaH-TrH)),2))</f>
        <v>7.0000000000000007E-2</v>
      </c>
      <c r="K13" s="84"/>
      <c r="L13" s="177">
        <f>CHOOSE(Basis!$E$1,((AJ13*(J13*3600/Basis!$E$5)^AK13*(((MID(C13,9,3)*10)-144)/1000)*AL13+AM13*(J13*3600/Basis!$E$5)^2)*0.0098)/Basis!$E$10,((AJ13*(J13/Basis!$E$5)^AK13*(((MID(C13,9,3)*10)-144)/1000)*AL13+AM13*(J13/Basis!$E$5)^2)*0.0098)/Basis!$E$10)</f>
        <v>7.6306080623919864E-4</v>
      </c>
      <c r="M13" s="85"/>
      <c r="N13" s="185">
        <v>1.3919999999999999</v>
      </c>
      <c r="O13" s="186"/>
      <c r="P13" s="187">
        <v>302</v>
      </c>
      <c r="AJ13" s="191">
        <v>9.3669999999999995E-4</v>
      </c>
      <c r="AK13" s="192">
        <v>1.789841</v>
      </c>
      <c r="AL13" s="193">
        <v>2</v>
      </c>
      <c r="AM13" s="191">
        <v>4.4559999999999999E-4</v>
      </c>
    </row>
    <row r="14" spans="1:73" ht="12.75" customHeight="1" x14ac:dyDescent="0.25">
      <c r="A14" s="72" t="s">
        <v>20</v>
      </c>
      <c r="B14" s="184" t="s">
        <v>3089</v>
      </c>
      <c r="C14" s="44" t="s">
        <v>2994</v>
      </c>
      <c r="D14" s="45">
        <f>MROUND(MID($C14,6,3)/Basis!$E$3,0.5)</f>
        <v>14</v>
      </c>
      <c r="E14" s="45">
        <f>MROUND(MID($C14,9,3)/Basis!$E$3,0.5)</f>
        <v>23.5</v>
      </c>
      <c r="F14" s="237" t="str">
        <f t="shared" si="0"/>
        <v>10</v>
      </c>
      <c r="G14" s="45">
        <f>ROUND((ROUNDDOWN($F14/5,0)*5+2.2)/Basis!$E$3,1)</f>
        <v>4.8</v>
      </c>
      <c r="H14" s="120">
        <f>ROUND($P14*Basis!$E$2*((TaH-TrH)/LN(1/µ)/Basis!$E$7)^$N14*$AA$4*Glycol,0)</f>
        <v>915</v>
      </c>
      <c r="I14" s="83">
        <f>ROUND(H14/(MID($C14,9,3)/Basis!$E$3/Basis!$E$9)*Basis!$E$11,0)</f>
        <v>465</v>
      </c>
      <c r="J14" s="123">
        <f>IF(Basis!$E$1=1,ROUND(H14/((TaH-TrH)*1.163)/3600,3),ROUND(H14/(500*(TaH-TrH)),2))</f>
        <v>0.09</v>
      </c>
      <c r="K14" s="84"/>
      <c r="L14" s="177">
        <f>CHOOSE(Basis!$E$1,((AJ14*(J14*3600/Basis!$E$5)^AK14*(((MID(C14,9,3)*10)-144)/1000)*AL14+AM14*(J14*3600/Basis!$E$5)^2)*0.0098)/Basis!$E$10,((AJ14*(J14/Basis!$E$5)^AK14*(((MID(C14,9,3)*10)-144)/1000)*AL14+AM14*(J14/Basis!$E$5)^2)*0.0098)/Basis!$E$10)</f>
        <v>7.2390041691440738E-4</v>
      </c>
      <c r="M14" s="85"/>
      <c r="N14" s="185">
        <v>1.41</v>
      </c>
      <c r="O14" s="186"/>
      <c r="P14" s="187">
        <v>427</v>
      </c>
      <c r="AJ14" s="126">
        <v>3.9689999999999994E-4</v>
      </c>
      <c r="AK14" s="132">
        <v>1.7345999999999999</v>
      </c>
      <c r="AL14" s="129">
        <v>2</v>
      </c>
      <c r="AM14" s="126">
        <v>3.6734700000000002E-4</v>
      </c>
    </row>
    <row r="15" spans="1:73" ht="12.75" customHeight="1" x14ac:dyDescent="0.25">
      <c r="A15" s="72" t="s">
        <v>20</v>
      </c>
      <c r="B15" s="184" t="s">
        <v>3089</v>
      </c>
      <c r="C15" s="44" t="s">
        <v>3006</v>
      </c>
      <c r="D15" s="45">
        <f>MROUND(MID($C15,6,3)/Basis!$E$3,0.5)</f>
        <v>14</v>
      </c>
      <c r="E15" s="45">
        <f>MROUND(MID($C15,9,3)/Basis!$E$3,0.5)</f>
        <v>23.5</v>
      </c>
      <c r="F15" s="237" t="str">
        <f t="shared" si="0"/>
        <v>15</v>
      </c>
      <c r="G15" s="45">
        <f>ROUND((ROUNDDOWN($F15/5,0)*5+2.2)/Basis!$E$3,1)</f>
        <v>6.8</v>
      </c>
      <c r="H15" s="120">
        <f>ROUND($P15*Basis!$E$2*((TaH-TrH)/LN(1/µ)/Basis!$E$7)^$N15*$AA$4*Glycol,0)</f>
        <v>1402</v>
      </c>
      <c r="I15" s="83">
        <f>ROUND(H15/(MID($C15,9,3)/Basis!$E$3/Basis!$E$9)*Basis!$E$11,0)</f>
        <v>712</v>
      </c>
      <c r="J15" s="123">
        <f>IF(Basis!$E$1=1,ROUND(H15/((TaH-TrH)*1.163)/3600,3),ROUND(H15/(500*(TaH-TrH)),2))</f>
        <v>0.14000000000000001</v>
      </c>
      <c r="K15" s="84"/>
      <c r="L15" s="177">
        <f>CHOOSE(Basis!$E$1,((AJ15*(J15*3600/Basis!$E$5)^AK15*(((MID(C15,9,3)*10)-144)/1000)*AL15+AM15*(J15*3600/Basis!$E$5)^2)*0.0098)/Basis!$E$10,((AJ15*(J15/Basis!$E$5)^AK15*(((MID(C15,9,3)*10)-144)/1000)*AL15+AM15*(J15/Basis!$E$5)^2)*0.0098)/Basis!$E$10)</f>
        <v>1.768500592062961E-3</v>
      </c>
      <c r="M15" s="85"/>
      <c r="N15" s="185">
        <v>1.4079999999999999</v>
      </c>
      <c r="O15" s="186"/>
      <c r="P15" s="187">
        <v>654</v>
      </c>
      <c r="AJ15" s="125">
        <v>2.0829999999999999E-4</v>
      </c>
      <c r="AK15" s="131">
        <v>1.724</v>
      </c>
      <c r="AL15" s="128">
        <v>2</v>
      </c>
      <c r="AM15" s="125">
        <v>4.6182900000000003E-4</v>
      </c>
    </row>
    <row r="16" spans="1:73" ht="12.75" customHeight="1" x14ac:dyDescent="0.25">
      <c r="A16" s="72" t="s">
        <v>20</v>
      </c>
      <c r="B16" s="184" t="s">
        <v>3089</v>
      </c>
      <c r="C16" s="44" t="s">
        <v>2983</v>
      </c>
      <c r="D16" s="45">
        <f>MROUND(MID($C16,6,3)/Basis!$E$3,0.5)</f>
        <v>14</v>
      </c>
      <c r="E16" s="45">
        <f>MROUND(MID($C16,9,3)/Basis!$E$3,0.5)</f>
        <v>27.5</v>
      </c>
      <c r="F16" s="237" t="str">
        <f t="shared" si="0"/>
        <v>05</v>
      </c>
      <c r="G16" s="45">
        <f>ROUND((ROUNDDOWN($F16/5,0)*5+2.2)/Basis!$E$3,1)</f>
        <v>2.8</v>
      </c>
      <c r="H16" s="120">
        <f>ROUND($P16*Basis!$E$2*((TaH-TrH)/LN(1/µ)/Basis!$E$7)^$N16*$AA$4*Glycol,0)</f>
        <v>759</v>
      </c>
      <c r="I16" s="83">
        <f>ROUND(H16/(MID($C16,9,3)/Basis!$E$3/Basis!$E$9)*Basis!$E$11,0)</f>
        <v>330</v>
      </c>
      <c r="J16" s="123">
        <f>IF(Basis!$E$1=1,ROUND(H16/((TaH-TrH)*1.163)/3600,3),ROUND(H16/(500*(TaH-TrH)),2))</f>
        <v>0.08</v>
      </c>
      <c r="K16" s="84"/>
      <c r="L16" s="177">
        <f>CHOOSE(Basis!$E$1,((AJ16*(J16*3600/Basis!$E$5)^AK16*(((MID(C16,9,3)*10)-144)/1000)*AL16+AM16*(J16*3600/Basis!$E$5)^2)*0.0098)/Basis!$E$10,((AJ16*(J16/Basis!$E$5)^AK16*(((MID(C16,9,3)*10)-144)/1000)*AL16+AM16*(J16/Basis!$E$5)^2)*0.0098)/Basis!$E$10)</f>
        <v>1.0923297387185865E-3</v>
      </c>
      <c r="M16" s="85"/>
      <c r="N16" s="185">
        <v>1.3919999999999999</v>
      </c>
      <c r="O16" s="186"/>
      <c r="P16" s="187">
        <v>352</v>
      </c>
      <c r="AJ16" s="191">
        <v>9.3669999999999995E-4</v>
      </c>
      <c r="AK16" s="192">
        <v>1.789841</v>
      </c>
      <c r="AL16" s="193">
        <v>2</v>
      </c>
      <c r="AM16" s="191">
        <v>4.4559999999999999E-4</v>
      </c>
    </row>
    <row r="17" spans="1:73" customFormat="1" ht="12.75" customHeight="1" x14ac:dyDescent="0.25">
      <c r="A17" s="72" t="s">
        <v>20</v>
      </c>
      <c r="B17" s="184" t="s">
        <v>3089</v>
      </c>
      <c r="C17" s="44" t="s">
        <v>2995</v>
      </c>
      <c r="D17" s="45">
        <f>MROUND(MID($C17,6,3)/Basis!$E$3,0.5)</f>
        <v>14</v>
      </c>
      <c r="E17" s="45">
        <f>MROUND(MID($C17,9,3)/Basis!$E$3,0.5)</f>
        <v>27.5</v>
      </c>
      <c r="F17" s="237" t="str">
        <f t="shared" si="0"/>
        <v>10</v>
      </c>
      <c r="G17" s="45">
        <f>ROUND((ROUNDDOWN($F17/5,0)*5+2.2)/Basis!$E$3,1)</f>
        <v>4.8</v>
      </c>
      <c r="H17" s="120">
        <f>ROUND($P17*Basis!$E$2*((TaH-TrH)/LN(1/µ)/Basis!$E$7)^$N17*$AA$4*Glycol,0)</f>
        <v>1067</v>
      </c>
      <c r="I17" s="83">
        <f>ROUND(H17/(MID($C17,9,3)/Basis!$E$3/Basis!$E$9)*Basis!$E$11,0)</f>
        <v>465</v>
      </c>
      <c r="J17" s="123">
        <f>IF(Basis!$E$1=1,ROUND(H17/((TaH-TrH)*1.163)/3600,3),ROUND(H17/(500*(TaH-TrH)),2))</f>
        <v>0.11</v>
      </c>
      <c r="K17" s="84"/>
      <c r="L17" s="177">
        <f>CHOOSE(Basis!$E$1,((AJ17*(J17*3600/Basis!$E$5)^AK17*(((MID(C17,9,3)*10)-144)/1000)*AL17+AM17*(J17*3600/Basis!$E$5)^2)*0.0098)/Basis!$E$10,((AJ17*(J17/Basis!$E$5)^AK17*(((MID(C17,9,3)*10)-144)/1000)*AL17+AM17*(J17/Basis!$E$5)^2)*0.0098)/Basis!$E$10)</f>
        <v>1.1331410231193463E-3</v>
      </c>
      <c r="M17" s="85"/>
      <c r="N17" s="185">
        <v>1.41</v>
      </c>
      <c r="O17" s="186"/>
      <c r="P17" s="187">
        <v>498</v>
      </c>
      <c r="R17" s="2"/>
      <c r="S17" s="2"/>
      <c r="T17" s="2"/>
      <c r="U17" s="2"/>
      <c r="V17" s="2"/>
      <c r="X17" s="38"/>
      <c r="Y17" s="38"/>
      <c r="Z17" s="38"/>
      <c r="AA17" s="38"/>
      <c r="AB17" s="38"/>
      <c r="AD17" s="2"/>
      <c r="AE17" s="2"/>
      <c r="AF17" s="2"/>
      <c r="AG17" s="2"/>
      <c r="AH17" s="2"/>
      <c r="AJ17" s="126">
        <v>3.9689999999999994E-4</v>
      </c>
      <c r="AK17" s="132">
        <v>1.7345999999999999</v>
      </c>
      <c r="AL17" s="129">
        <v>2</v>
      </c>
      <c r="AM17" s="126">
        <v>3.6734700000000002E-4</v>
      </c>
      <c r="AO17" s="10"/>
      <c r="AP17" s="10"/>
      <c r="AQ17" s="10"/>
      <c r="AR17" s="10"/>
      <c r="AS17" s="10"/>
      <c r="AU17" s="2"/>
      <c r="AV17" s="2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</row>
    <row r="18" spans="1:73" customFormat="1" ht="12.75" customHeight="1" x14ac:dyDescent="0.25">
      <c r="A18" s="72" t="s">
        <v>20</v>
      </c>
      <c r="B18" s="184" t="s">
        <v>3089</v>
      </c>
      <c r="C18" s="44" t="s">
        <v>3007</v>
      </c>
      <c r="D18" s="45">
        <f>MROUND(MID($C18,6,3)/Basis!$E$3,0.5)</f>
        <v>14</v>
      </c>
      <c r="E18" s="45">
        <f>MROUND(MID($C18,9,3)/Basis!$E$3,0.5)</f>
        <v>27.5</v>
      </c>
      <c r="F18" s="237" t="str">
        <f t="shared" si="0"/>
        <v>15</v>
      </c>
      <c r="G18" s="45">
        <f>ROUND((ROUNDDOWN($F18/5,0)*5+2.2)/Basis!$E$3,1)</f>
        <v>6.8</v>
      </c>
      <c r="H18" s="120">
        <f>ROUND($P18*Basis!$E$2*((TaH-TrH)/LN(1/µ)/Basis!$E$7)^$N18*$AA$4*Glycol,0)</f>
        <v>1636</v>
      </c>
      <c r="I18" s="83">
        <f>ROUND(H18/(MID($C18,9,3)/Basis!$E$3/Basis!$E$9)*Basis!$E$11,0)</f>
        <v>712</v>
      </c>
      <c r="J18" s="123">
        <f>IF(Basis!$E$1=1,ROUND(H18/((TaH-TrH)*1.163)/3600,3),ROUND(H18/(500*(TaH-TrH)),2))</f>
        <v>0.16</v>
      </c>
      <c r="K18" s="84"/>
      <c r="L18" s="177">
        <f>CHOOSE(Basis!$E$1,((AJ18*(J18*3600/Basis!$E$5)^AK18*(((MID(C18,9,3)*10)-144)/1000)*AL18+AM18*(J18*3600/Basis!$E$5)^2)*0.0098)/Basis!$E$10,((AJ18*(J18/Basis!$E$5)^AK18*(((MID(C18,9,3)*10)-144)/1000)*AL18+AM18*(J18/Basis!$E$5)^2)*0.0098)/Basis!$E$10)</f>
        <v>2.3651863779811087E-3</v>
      </c>
      <c r="M18" s="85"/>
      <c r="N18" s="185">
        <v>1.4079999999999999</v>
      </c>
      <c r="O18" s="186"/>
      <c r="P18" s="187">
        <v>763</v>
      </c>
      <c r="R18" s="2"/>
      <c r="S18" s="2"/>
      <c r="T18" s="2"/>
      <c r="U18" s="2"/>
      <c r="V18" s="2"/>
      <c r="X18" s="38"/>
      <c r="Y18" s="38"/>
      <c r="Z18" s="38"/>
      <c r="AA18" s="38"/>
      <c r="AB18" s="38"/>
      <c r="AD18" s="2"/>
      <c r="AE18" s="2"/>
      <c r="AF18" s="2"/>
      <c r="AG18" s="2"/>
      <c r="AH18" s="2"/>
      <c r="AJ18" s="125">
        <v>2.0829999999999999E-4</v>
      </c>
      <c r="AK18" s="131">
        <v>1.724</v>
      </c>
      <c r="AL18" s="128">
        <v>2</v>
      </c>
      <c r="AM18" s="125">
        <v>4.6182900000000003E-4</v>
      </c>
      <c r="AO18" s="10"/>
      <c r="AP18" s="10"/>
      <c r="AQ18" s="10"/>
      <c r="AR18" s="10"/>
      <c r="AS18" s="10"/>
      <c r="AU18" s="2"/>
      <c r="AV18" s="2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</row>
    <row r="19" spans="1:73" customFormat="1" ht="12.75" customHeight="1" x14ac:dyDescent="0.25">
      <c r="A19" s="72" t="s">
        <v>20</v>
      </c>
      <c r="B19" s="184" t="s">
        <v>3089</v>
      </c>
      <c r="C19" s="44" t="s">
        <v>2984</v>
      </c>
      <c r="D19" s="45">
        <f>MROUND(MID($C19,6,3)/Basis!$E$3,0.5)</f>
        <v>14</v>
      </c>
      <c r="E19" s="45">
        <f>MROUND(MID($C19,9,3)/Basis!$E$3,0.5)</f>
        <v>31.5</v>
      </c>
      <c r="F19" s="237" t="str">
        <f t="shared" si="0"/>
        <v>05</v>
      </c>
      <c r="G19" s="45">
        <f>ROUND((ROUNDDOWN($F19/5,0)*5+2.2)/Basis!$E$3,1)</f>
        <v>2.8</v>
      </c>
      <c r="H19" s="120">
        <f>ROUND($P19*Basis!$E$2*((TaH-TrH)/LN(1/µ)/Basis!$E$7)^$N19*$AA$4*Glycol,0)</f>
        <v>866</v>
      </c>
      <c r="I19" s="83">
        <f>ROUND(H19/(MID($C19,9,3)/Basis!$E$3/Basis!$E$9)*Basis!$E$11,0)</f>
        <v>330</v>
      </c>
      <c r="J19" s="123">
        <f>IF(Basis!$E$1=1,ROUND(H19/((TaH-TrH)*1.163)/3600,3),ROUND(H19/(500*(TaH-TrH)),2))</f>
        <v>0.09</v>
      </c>
      <c r="K19" s="84"/>
      <c r="L19" s="177">
        <f>CHOOSE(Basis!$E$1,((AJ19*(J19*3600/Basis!$E$5)^AK19*(((MID(C19,9,3)*10)-144)/1000)*AL19+AM19*(J19*3600/Basis!$E$5)^2)*0.0098)/Basis!$E$10,((AJ19*(J19/Basis!$E$5)^AK19*(((MID(C19,9,3)*10)-144)/1000)*AL19+AM19*(J19/Basis!$E$5)^2)*0.0098)/Basis!$E$10)</f>
        <v>1.4993141541742069E-3</v>
      </c>
      <c r="M19" s="85"/>
      <c r="N19" s="185">
        <v>1.3919999999999999</v>
      </c>
      <c r="O19" s="186"/>
      <c r="P19" s="187">
        <v>402</v>
      </c>
      <c r="R19" s="2"/>
      <c r="S19" s="2"/>
      <c r="T19" s="2"/>
      <c r="U19" s="2"/>
      <c r="V19" s="2"/>
      <c r="X19" s="38"/>
      <c r="Y19" s="38"/>
      <c r="Z19" s="38"/>
      <c r="AA19" s="38"/>
      <c r="AB19" s="38"/>
      <c r="AD19" s="2"/>
      <c r="AE19" s="2"/>
      <c r="AF19" s="2"/>
      <c r="AG19" s="2"/>
      <c r="AH19" s="2"/>
      <c r="AJ19" s="191">
        <v>9.3669999999999995E-4</v>
      </c>
      <c r="AK19" s="192">
        <v>1.789841</v>
      </c>
      <c r="AL19" s="193">
        <v>2</v>
      </c>
      <c r="AM19" s="191">
        <v>4.4559999999999999E-4</v>
      </c>
      <c r="AO19" s="10"/>
      <c r="AP19" s="10"/>
      <c r="AQ19" s="10"/>
      <c r="AR19" s="10"/>
      <c r="AS19" s="10"/>
      <c r="AU19" s="2"/>
      <c r="AV19" s="2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</row>
    <row r="20" spans="1:73" customFormat="1" ht="12.75" customHeight="1" x14ac:dyDescent="0.25">
      <c r="A20" s="72" t="s">
        <v>20</v>
      </c>
      <c r="B20" s="184" t="s">
        <v>3089</v>
      </c>
      <c r="C20" s="44" t="s">
        <v>2996</v>
      </c>
      <c r="D20" s="45">
        <f>MROUND(MID($C20,6,3)/Basis!$E$3,0.5)</f>
        <v>14</v>
      </c>
      <c r="E20" s="45">
        <f>MROUND(MID($C20,9,3)/Basis!$E$3,0.5)</f>
        <v>31.5</v>
      </c>
      <c r="F20" s="237" t="str">
        <f t="shared" si="0"/>
        <v>10</v>
      </c>
      <c r="G20" s="45">
        <f>ROUND((ROUNDDOWN($F20/5,0)*5+2.2)/Basis!$E$3,1)</f>
        <v>4.8</v>
      </c>
      <c r="H20" s="120">
        <f>ROUND($P20*Basis!$E$2*((TaH-TrH)/LN(1/µ)/Basis!$E$7)^$N20*$AA$4*Glycol,0)</f>
        <v>1219</v>
      </c>
      <c r="I20" s="83">
        <f>ROUND(H20/(MID($C20,9,3)/Basis!$E$3/Basis!$E$9)*Basis!$E$11,0)</f>
        <v>464</v>
      </c>
      <c r="J20" s="123">
        <f>IF(Basis!$E$1=1,ROUND(H20/((TaH-TrH)*1.163)/3600,3),ROUND(H20/(500*(TaH-TrH)),2))</f>
        <v>0.12</v>
      </c>
      <c r="K20" s="84"/>
      <c r="L20" s="177">
        <f>CHOOSE(Basis!$E$1,((AJ20*(J20*3600/Basis!$E$5)^AK20*(((MID(C20,9,3)*10)-144)/1000)*AL20+AM20*(J20*3600/Basis!$E$5)^2)*0.0098)/Basis!$E$10,((AJ20*(J20/Basis!$E$5)^AK20*(((MID(C20,9,3)*10)-144)/1000)*AL20+AM20*(J20/Basis!$E$5)^2)*0.0098)/Basis!$E$10)</f>
        <v>1.4183100039950099E-3</v>
      </c>
      <c r="M20" s="85"/>
      <c r="N20" s="185">
        <v>1.41</v>
      </c>
      <c r="O20" s="186"/>
      <c r="P20" s="187">
        <v>569</v>
      </c>
      <c r="R20" s="2"/>
      <c r="S20" s="2"/>
      <c r="T20" s="2"/>
      <c r="U20" s="2"/>
      <c r="V20" s="2"/>
      <c r="X20" s="38"/>
      <c r="Y20" s="38"/>
      <c r="Z20" s="38"/>
      <c r="AA20" s="38"/>
      <c r="AB20" s="38"/>
      <c r="AD20" s="2"/>
      <c r="AE20" s="2"/>
      <c r="AF20" s="2"/>
      <c r="AG20" s="2"/>
      <c r="AH20" s="2"/>
      <c r="AJ20" s="126">
        <v>3.9689999999999994E-4</v>
      </c>
      <c r="AK20" s="132">
        <v>1.7345999999999999</v>
      </c>
      <c r="AL20" s="129">
        <v>2</v>
      </c>
      <c r="AM20" s="126">
        <v>3.6734700000000002E-4</v>
      </c>
      <c r="AO20" s="10"/>
      <c r="AP20" s="10"/>
      <c r="AQ20" s="10"/>
      <c r="AR20" s="10"/>
      <c r="AS20" s="10"/>
      <c r="AU20" s="2"/>
      <c r="AV20" s="2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</row>
    <row r="21" spans="1:73" customFormat="1" ht="12.75" customHeight="1" x14ac:dyDescent="0.25">
      <c r="A21" s="72" t="s">
        <v>20</v>
      </c>
      <c r="B21" s="184" t="s">
        <v>3089</v>
      </c>
      <c r="C21" s="44" t="s">
        <v>3008</v>
      </c>
      <c r="D21" s="45">
        <f>MROUND(MID($C21,6,3)/Basis!$E$3,0.5)</f>
        <v>14</v>
      </c>
      <c r="E21" s="45">
        <f>MROUND(MID($C21,9,3)/Basis!$E$3,0.5)</f>
        <v>31.5</v>
      </c>
      <c r="F21" s="237" t="str">
        <f t="shared" si="0"/>
        <v>15</v>
      </c>
      <c r="G21" s="45">
        <f>ROUND((ROUNDDOWN($F21/5,0)*5+2.2)/Basis!$E$3,1)</f>
        <v>6.8</v>
      </c>
      <c r="H21" s="120">
        <f>ROUND($P21*Basis!$E$2*((TaH-TrH)/LN(1/µ)/Basis!$E$7)^$N21*$AA$4*Glycol,0)</f>
        <v>1869</v>
      </c>
      <c r="I21" s="83">
        <f>ROUND(H21/(MID($C21,9,3)/Basis!$E$3/Basis!$E$9)*Basis!$E$11,0)</f>
        <v>712</v>
      </c>
      <c r="J21" s="123">
        <f>IF(Basis!$E$1=1,ROUND(H21/((TaH-TrH)*1.163)/3600,3),ROUND(H21/(500*(TaH-TrH)),2))</f>
        <v>0.19</v>
      </c>
      <c r="K21" s="84"/>
      <c r="L21" s="177">
        <f>CHOOSE(Basis!$E$1,((AJ21*(J21*3600/Basis!$E$5)^AK21*(((MID(C21,9,3)*10)-144)/1000)*AL21+AM21*(J21*3600/Basis!$E$5)^2)*0.0098)/Basis!$E$10,((AJ21*(J21/Basis!$E$5)^AK21*(((MID(C21,9,3)*10)-144)/1000)*AL21+AM21*(J21/Basis!$E$5)^2)*0.0098)/Basis!$E$10)</f>
        <v>3.4007889554262824E-3</v>
      </c>
      <c r="M21" s="85"/>
      <c r="N21" s="185">
        <v>1.4079999999999999</v>
      </c>
      <c r="O21" s="186"/>
      <c r="P21" s="187">
        <v>872</v>
      </c>
      <c r="R21" s="2"/>
      <c r="S21" s="2"/>
      <c r="T21" s="2"/>
      <c r="U21" s="2"/>
      <c r="V21" s="2"/>
      <c r="X21" s="38"/>
      <c r="Y21" s="38"/>
      <c r="Z21" s="38"/>
      <c r="AA21" s="38"/>
      <c r="AB21" s="38"/>
      <c r="AD21" s="2"/>
      <c r="AE21" s="2"/>
      <c r="AF21" s="2"/>
      <c r="AG21" s="2"/>
      <c r="AH21" s="2"/>
      <c r="AJ21" s="125">
        <v>2.0829999999999999E-4</v>
      </c>
      <c r="AK21" s="131">
        <v>1.724</v>
      </c>
      <c r="AL21" s="128">
        <v>2</v>
      </c>
      <c r="AM21" s="125">
        <v>4.6182900000000003E-4</v>
      </c>
      <c r="AO21" s="10"/>
      <c r="AP21" s="10"/>
      <c r="AQ21" s="10"/>
      <c r="AR21" s="10"/>
      <c r="AS21" s="10"/>
      <c r="AU21" s="2"/>
      <c r="AV21" s="2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</row>
    <row r="22" spans="1:73" customFormat="1" ht="12.75" customHeight="1" x14ac:dyDescent="0.25">
      <c r="A22" s="72" t="s">
        <v>20</v>
      </c>
      <c r="B22" s="184" t="s">
        <v>3089</v>
      </c>
      <c r="C22" s="44" t="s">
        <v>2985</v>
      </c>
      <c r="D22" s="45">
        <f>MROUND(MID($C22,6,3)/Basis!$E$3,0.5)</f>
        <v>14</v>
      </c>
      <c r="E22" s="45">
        <f>MROUND(MID($C22,9,3)/Basis!$E$3,0.5)</f>
        <v>35.5</v>
      </c>
      <c r="F22" s="237" t="str">
        <f t="shared" si="0"/>
        <v>05</v>
      </c>
      <c r="G22" s="45">
        <f>ROUND((ROUNDDOWN($F22/5,0)*5+2.2)/Basis!$E$3,1)</f>
        <v>2.8</v>
      </c>
      <c r="H22" s="120">
        <f>ROUND($P22*Basis!$E$2*((TaH-TrH)/LN(1/µ)/Basis!$E$7)^$N22*$AA$4*Glycol,0)</f>
        <v>976</v>
      </c>
      <c r="I22" s="83">
        <f>ROUND(H22/(MID($C22,9,3)/Basis!$E$3/Basis!$E$9)*Basis!$E$11,0)</f>
        <v>331</v>
      </c>
      <c r="J22" s="123">
        <f>IF(Basis!$E$1=1,ROUND(H22/((TaH-TrH)*1.163)/3600,3),ROUND(H22/(500*(TaH-TrH)),2))</f>
        <v>0.1</v>
      </c>
      <c r="K22" s="84"/>
      <c r="L22" s="177">
        <f>CHOOSE(Basis!$E$1,((AJ22*(J22*3600/Basis!$E$5)^AK22*(((MID(C22,9,3)*10)-144)/1000)*AL22+AM22*(J22*3600/Basis!$E$5)^2)*0.0098)/Basis!$E$10,((AJ22*(J22/Basis!$E$5)^AK22*(((MID(C22,9,3)*10)-144)/1000)*AL22+AM22*(J22/Basis!$E$5)^2)*0.0098)/Basis!$E$10)</f>
        <v>1.9908520511786694E-3</v>
      </c>
      <c r="M22" s="85"/>
      <c r="N22" s="185">
        <v>1.3919999999999999</v>
      </c>
      <c r="O22" s="186"/>
      <c r="P22" s="187">
        <v>453</v>
      </c>
      <c r="R22" s="2"/>
      <c r="S22" s="2"/>
      <c r="T22" s="2"/>
      <c r="U22" s="2"/>
      <c r="V22" s="2"/>
      <c r="X22" s="38"/>
      <c r="Y22" s="38"/>
      <c r="Z22" s="38"/>
      <c r="AA22" s="38"/>
      <c r="AB22" s="38"/>
      <c r="AD22" s="2"/>
      <c r="AE22" s="2"/>
      <c r="AF22" s="2"/>
      <c r="AG22" s="2"/>
      <c r="AH22" s="2"/>
      <c r="AJ22" s="191">
        <v>9.3669999999999995E-4</v>
      </c>
      <c r="AK22" s="192">
        <v>1.789841</v>
      </c>
      <c r="AL22" s="193">
        <v>2</v>
      </c>
      <c r="AM22" s="191">
        <v>4.4559999999999999E-4</v>
      </c>
      <c r="AO22" s="10"/>
      <c r="AP22" s="10"/>
      <c r="AQ22" s="10"/>
      <c r="AR22" s="10"/>
      <c r="AS22" s="10"/>
      <c r="AU22" s="2"/>
      <c r="AV22" s="2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</row>
    <row r="23" spans="1:73" customFormat="1" ht="12.75" customHeight="1" x14ac:dyDescent="0.25">
      <c r="A23" s="72" t="s">
        <v>20</v>
      </c>
      <c r="B23" s="184" t="s">
        <v>3089</v>
      </c>
      <c r="C23" s="44" t="s">
        <v>2997</v>
      </c>
      <c r="D23" s="45">
        <f>MROUND(MID($C23,6,3)/Basis!$E$3,0.5)</f>
        <v>14</v>
      </c>
      <c r="E23" s="45">
        <f>MROUND(MID($C23,9,3)/Basis!$E$3,0.5)</f>
        <v>35.5</v>
      </c>
      <c r="F23" s="237" t="str">
        <f t="shared" si="0"/>
        <v>10</v>
      </c>
      <c r="G23" s="45">
        <f>ROUND((ROUNDDOWN($F23/5,0)*5+2.2)/Basis!$E$3,1)</f>
        <v>4.8</v>
      </c>
      <c r="H23" s="120">
        <f>ROUND($P23*Basis!$E$2*((TaH-TrH)/LN(1/µ)/Basis!$E$7)^$N23*$AA$4*Glycol,0)</f>
        <v>1371</v>
      </c>
      <c r="I23" s="83">
        <f>ROUND(H23/(MID($C23,9,3)/Basis!$E$3/Basis!$E$9)*Basis!$E$11,0)</f>
        <v>464</v>
      </c>
      <c r="J23" s="123">
        <f>IF(Basis!$E$1=1,ROUND(H23/((TaH-TrH)*1.163)/3600,3),ROUND(H23/(500*(TaH-TrH)),2))</f>
        <v>0.14000000000000001</v>
      </c>
      <c r="K23" s="84"/>
      <c r="L23" s="177">
        <f>CHOOSE(Basis!$E$1,((AJ23*(J23*3600/Basis!$E$5)^AK23*(((MID(C23,9,3)*10)-144)/1000)*AL23+AM23*(J23*3600/Basis!$E$5)^2)*0.0098)/Basis!$E$10,((AJ23*(J23/Basis!$E$5)^AK23*(((MID(C23,9,3)*10)-144)/1000)*AL23+AM23*(J23/Basis!$E$5)^2)*0.0098)/Basis!$E$10)</f>
        <v>2.0065526534440744E-3</v>
      </c>
      <c r="M23" s="85"/>
      <c r="N23" s="185">
        <v>1.41</v>
      </c>
      <c r="O23" s="186"/>
      <c r="P23" s="187">
        <v>640</v>
      </c>
      <c r="R23" s="2"/>
      <c r="S23" s="2"/>
      <c r="T23" s="2"/>
      <c r="U23" s="2"/>
      <c r="V23" s="2"/>
      <c r="X23" s="38"/>
      <c r="Y23" s="38"/>
      <c r="Z23" s="38"/>
      <c r="AA23" s="38"/>
      <c r="AB23" s="38"/>
      <c r="AD23" s="2"/>
      <c r="AE23" s="2"/>
      <c r="AF23" s="2"/>
      <c r="AG23" s="2"/>
      <c r="AH23" s="2"/>
      <c r="AJ23" s="126">
        <v>3.9689999999999994E-4</v>
      </c>
      <c r="AK23" s="132">
        <v>1.7345999999999999</v>
      </c>
      <c r="AL23" s="129">
        <v>2</v>
      </c>
      <c r="AM23" s="126">
        <v>3.6734700000000002E-4</v>
      </c>
      <c r="AO23" s="10"/>
      <c r="AP23" s="10"/>
      <c r="AQ23" s="10"/>
      <c r="AR23" s="10"/>
      <c r="AS23" s="10"/>
      <c r="AU23" s="2"/>
      <c r="AV23" s="2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</row>
    <row r="24" spans="1:73" customFormat="1" ht="12.75" customHeight="1" x14ac:dyDescent="0.25">
      <c r="A24" s="72" t="s">
        <v>20</v>
      </c>
      <c r="B24" s="184" t="s">
        <v>3089</v>
      </c>
      <c r="C24" s="44" t="s">
        <v>3009</v>
      </c>
      <c r="D24" s="45">
        <f>MROUND(MID($C24,6,3)/Basis!$E$3,0.5)</f>
        <v>14</v>
      </c>
      <c r="E24" s="45">
        <f>MROUND(MID($C24,9,3)/Basis!$E$3,0.5)</f>
        <v>35.5</v>
      </c>
      <c r="F24" s="237" t="str">
        <f t="shared" si="0"/>
        <v>15</v>
      </c>
      <c r="G24" s="45">
        <f>ROUND((ROUNDDOWN($F24/5,0)*5+2.2)/Basis!$E$3,1)</f>
        <v>6.8</v>
      </c>
      <c r="H24" s="120">
        <f>ROUND($P24*Basis!$E$2*((TaH-TrH)/LN(1/µ)/Basis!$E$7)^$N24*$AA$4*Glycol,0)</f>
        <v>2103</v>
      </c>
      <c r="I24" s="83">
        <f>ROUND(H24/(MID($C24,9,3)/Basis!$E$3/Basis!$E$9)*Basis!$E$11,0)</f>
        <v>712</v>
      </c>
      <c r="J24" s="123">
        <f>IF(Basis!$E$1=1,ROUND(H24/((TaH-TrH)*1.163)/3600,3),ROUND(H24/(500*(TaH-TrH)),2))</f>
        <v>0.21</v>
      </c>
      <c r="K24" s="84"/>
      <c r="L24" s="177">
        <f>CHOOSE(Basis!$E$1,((AJ24*(J24*3600/Basis!$E$5)^AK24*(((MID(C24,9,3)*10)-144)/1000)*AL24+AM24*(J24*3600/Basis!$E$5)^2)*0.0098)/Basis!$E$10,((AJ24*(J24/Basis!$E$5)^AK24*(((MID(C24,9,3)*10)-144)/1000)*AL24+AM24*(J24/Basis!$E$5)^2)*0.0098)/Basis!$E$10)</f>
        <v>4.241476669335705E-3</v>
      </c>
      <c r="M24" s="85"/>
      <c r="N24" s="185">
        <v>1.4079999999999999</v>
      </c>
      <c r="O24" s="186"/>
      <c r="P24" s="187">
        <v>981</v>
      </c>
      <c r="R24" s="2"/>
      <c r="S24" s="2"/>
      <c r="T24" s="2"/>
      <c r="U24" s="2"/>
      <c r="V24" s="2"/>
      <c r="X24" s="38"/>
      <c r="Y24" s="38"/>
      <c r="Z24" s="38"/>
      <c r="AA24" s="38"/>
      <c r="AB24" s="38"/>
      <c r="AD24" s="2"/>
      <c r="AE24" s="2"/>
      <c r="AF24" s="2"/>
      <c r="AG24" s="2"/>
      <c r="AH24" s="2"/>
      <c r="AJ24" s="125">
        <v>2.0829999999999999E-4</v>
      </c>
      <c r="AK24" s="131">
        <v>1.724</v>
      </c>
      <c r="AL24" s="128">
        <v>2</v>
      </c>
      <c r="AM24" s="125">
        <v>4.6182900000000003E-4</v>
      </c>
      <c r="AO24" s="10"/>
      <c r="AP24" s="10"/>
      <c r="AQ24" s="10"/>
      <c r="AR24" s="10"/>
      <c r="AS24" s="10"/>
      <c r="AU24" s="2"/>
      <c r="AV24" s="2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</row>
    <row r="25" spans="1:73" customFormat="1" ht="12.75" customHeight="1" x14ac:dyDescent="0.25">
      <c r="A25" s="72" t="s">
        <v>20</v>
      </c>
      <c r="B25" s="184" t="s">
        <v>3089</v>
      </c>
      <c r="C25" s="44" t="s">
        <v>2986</v>
      </c>
      <c r="D25" s="45">
        <f>MROUND(MID($C25,6,3)/Basis!$E$3,0.5)</f>
        <v>14</v>
      </c>
      <c r="E25" s="45">
        <f>MROUND(MID($C25,9,3)/Basis!$E$3,0.5)</f>
        <v>39.5</v>
      </c>
      <c r="F25" s="237" t="str">
        <f t="shared" si="0"/>
        <v>05</v>
      </c>
      <c r="G25" s="45">
        <f>ROUND((ROUNDDOWN($F25/5,0)*5+2.2)/Basis!$E$3,1)</f>
        <v>2.8</v>
      </c>
      <c r="H25" s="120">
        <f>ROUND($P25*Basis!$E$2*((TaH-TrH)/LN(1/µ)/Basis!$E$7)^$N25*$AA$4*Glycol,0)</f>
        <v>1084</v>
      </c>
      <c r="I25" s="83">
        <f>ROUND(H25/(MID($C25,9,3)/Basis!$E$3/Basis!$E$9)*Basis!$E$11,0)</f>
        <v>330</v>
      </c>
      <c r="J25" s="123">
        <f>IF(Basis!$E$1=1,ROUND(H25/((TaH-TrH)*1.163)/3600,3),ROUND(H25/(500*(TaH-TrH)),2))</f>
        <v>0.11</v>
      </c>
      <c r="K25" s="84"/>
      <c r="L25" s="177">
        <f>CHOOSE(Basis!$E$1,((AJ25*(J25*3600/Basis!$E$5)^AK25*(((MID(C25,9,3)*10)-144)/1000)*AL25+AM25*(J25*3600/Basis!$E$5)^2)*0.0098)/Basis!$E$10,((AJ25*(J25/Basis!$E$5)^AK25*(((MID(C25,9,3)*10)-144)/1000)*AL25+AM25*(J25/Basis!$E$5)^2)*0.0098)/Basis!$E$10)</f>
        <v>2.5736078003025251E-3</v>
      </c>
      <c r="M25" s="85"/>
      <c r="N25" s="185">
        <v>1.3919999999999999</v>
      </c>
      <c r="O25" s="186"/>
      <c r="P25" s="187">
        <v>503</v>
      </c>
      <c r="R25" s="2"/>
      <c r="S25" s="2"/>
      <c r="T25" s="2"/>
      <c r="U25" s="2"/>
      <c r="V25" s="2"/>
      <c r="X25" s="38"/>
      <c r="Y25" s="38"/>
      <c r="Z25" s="38"/>
      <c r="AA25" s="38"/>
      <c r="AB25" s="38"/>
      <c r="AD25" s="2"/>
      <c r="AE25" s="2"/>
      <c r="AF25" s="2"/>
      <c r="AG25" s="2"/>
      <c r="AH25" s="2"/>
      <c r="AJ25" s="191">
        <v>9.3669999999999995E-4</v>
      </c>
      <c r="AK25" s="192">
        <v>1.789841</v>
      </c>
      <c r="AL25" s="193">
        <v>2</v>
      </c>
      <c r="AM25" s="191">
        <v>4.4559999999999999E-4</v>
      </c>
      <c r="AO25" s="10"/>
      <c r="AP25" s="10"/>
      <c r="AQ25" s="10"/>
      <c r="AR25" s="10"/>
      <c r="AS25" s="10"/>
      <c r="AU25" s="2"/>
      <c r="AV25" s="2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</row>
    <row r="26" spans="1:73" customFormat="1" ht="12.75" customHeight="1" x14ac:dyDescent="0.25">
      <c r="A26" s="72" t="s">
        <v>20</v>
      </c>
      <c r="B26" s="184" t="s">
        <v>3089</v>
      </c>
      <c r="C26" s="44" t="s">
        <v>2998</v>
      </c>
      <c r="D26" s="45">
        <f>MROUND(MID($C26,6,3)/Basis!$E$3,0.5)</f>
        <v>14</v>
      </c>
      <c r="E26" s="45">
        <f>MROUND(MID($C26,9,3)/Basis!$E$3,0.5)</f>
        <v>39.5</v>
      </c>
      <c r="F26" s="237" t="str">
        <f t="shared" si="0"/>
        <v>10</v>
      </c>
      <c r="G26" s="45">
        <f>ROUND((ROUNDDOWN($F26/5,0)*5+2.2)/Basis!$E$3,1)</f>
        <v>4.8</v>
      </c>
      <c r="H26" s="120">
        <f>ROUND($P26*Basis!$E$2*((TaH-TrH)/LN(1/µ)/Basis!$E$7)^$N26*$AA$4*Glycol,0)</f>
        <v>1523</v>
      </c>
      <c r="I26" s="83">
        <f>ROUND(H26/(MID($C26,9,3)/Basis!$E$3/Basis!$E$9)*Basis!$E$11,0)</f>
        <v>464</v>
      </c>
      <c r="J26" s="123">
        <f>IF(Basis!$E$1=1,ROUND(H26/((TaH-TrH)*1.163)/3600,3),ROUND(H26/(500*(TaH-TrH)),2))</f>
        <v>0.15</v>
      </c>
      <c r="K26" s="84"/>
      <c r="L26" s="177">
        <f>CHOOSE(Basis!$E$1,((AJ26*(J26*3600/Basis!$E$5)^AK26*(((MID(C26,9,3)*10)-144)/1000)*AL26+AM26*(J26*3600/Basis!$E$5)^2)*0.0098)/Basis!$E$10,((AJ26*(J26/Basis!$E$5)^AK26*(((MID(C26,9,3)*10)-144)/1000)*AL26+AM26*(J26/Basis!$E$5)^2)*0.0098)/Basis!$E$10)</f>
        <v>2.4050410142512201E-3</v>
      </c>
      <c r="M26" s="85"/>
      <c r="N26" s="185">
        <v>1.41</v>
      </c>
      <c r="O26" s="186"/>
      <c r="P26" s="187">
        <v>711</v>
      </c>
      <c r="R26" s="2"/>
      <c r="S26" s="2"/>
      <c r="T26" s="2"/>
      <c r="U26" s="2"/>
      <c r="V26" s="2"/>
      <c r="X26" s="38"/>
      <c r="Y26" s="38"/>
      <c r="Z26" s="38"/>
      <c r="AA26" s="38"/>
      <c r="AB26" s="38"/>
      <c r="AD26" s="2"/>
      <c r="AE26" s="2"/>
      <c r="AF26" s="2"/>
      <c r="AG26" s="2"/>
      <c r="AH26" s="2"/>
      <c r="AJ26" s="126">
        <v>3.9689999999999994E-4</v>
      </c>
      <c r="AK26" s="132">
        <v>1.7345999999999999</v>
      </c>
      <c r="AL26" s="129">
        <v>2</v>
      </c>
      <c r="AM26" s="126">
        <v>3.6734700000000002E-4</v>
      </c>
      <c r="AO26" s="10"/>
      <c r="AP26" s="10"/>
      <c r="AQ26" s="10"/>
      <c r="AR26" s="10"/>
      <c r="AS26" s="10"/>
      <c r="AU26" s="2"/>
      <c r="AV26" s="2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</row>
    <row r="27" spans="1:73" customFormat="1" ht="12.75" customHeight="1" x14ac:dyDescent="0.25">
      <c r="A27" s="72" t="s">
        <v>20</v>
      </c>
      <c r="B27" s="184" t="s">
        <v>3089</v>
      </c>
      <c r="C27" s="44" t="s">
        <v>3010</v>
      </c>
      <c r="D27" s="45">
        <f>MROUND(MID($C27,6,3)/Basis!$E$3,0.5)</f>
        <v>14</v>
      </c>
      <c r="E27" s="45">
        <f>MROUND(MID($C27,9,3)/Basis!$E$3,0.5)</f>
        <v>39.5</v>
      </c>
      <c r="F27" s="237" t="str">
        <f t="shared" si="0"/>
        <v>15</v>
      </c>
      <c r="G27" s="45">
        <f>ROUND((ROUNDDOWN($F27/5,0)*5+2.2)/Basis!$E$3,1)</f>
        <v>6.8</v>
      </c>
      <c r="H27" s="120">
        <f>ROUND($P27*Basis!$E$2*((TaH-TrH)/LN(1/µ)/Basis!$E$7)^$N27*$AA$4*Glycol,0)</f>
        <v>2337</v>
      </c>
      <c r="I27" s="83">
        <f>ROUND(H27/(MID($C27,9,3)/Basis!$E$3/Basis!$E$9)*Basis!$E$11,0)</f>
        <v>712</v>
      </c>
      <c r="J27" s="123">
        <f>IF(Basis!$E$1=1,ROUND(H27/((TaH-TrH)*1.163)/3600,3),ROUND(H27/(500*(TaH-TrH)),2))</f>
        <v>0.23</v>
      </c>
      <c r="K27" s="84"/>
      <c r="L27" s="177">
        <f>CHOOSE(Basis!$E$1,((AJ27*(J27*3600/Basis!$E$5)^AK27*(((MID(C27,9,3)*10)-144)/1000)*AL27+AM27*(J27*3600/Basis!$E$5)^2)*0.0098)/Basis!$E$10,((AJ27*(J27/Basis!$E$5)^AK27*(((MID(C27,9,3)*10)-144)/1000)*AL27+AM27*(J27/Basis!$E$5)^2)*0.0098)/Basis!$E$10)</f>
        <v>5.1886211863249277E-3</v>
      </c>
      <c r="M27" s="85"/>
      <c r="N27" s="185">
        <v>1.4079999999999999</v>
      </c>
      <c r="O27" s="186"/>
      <c r="P27" s="187">
        <v>1090</v>
      </c>
      <c r="R27" s="2"/>
      <c r="S27" s="2"/>
      <c r="T27" s="2"/>
      <c r="U27" s="2"/>
      <c r="V27" s="2"/>
      <c r="X27" s="38"/>
      <c r="Y27" s="38"/>
      <c r="Z27" s="38"/>
      <c r="AA27" s="38"/>
      <c r="AB27" s="38"/>
      <c r="AD27" s="2"/>
      <c r="AE27" s="2"/>
      <c r="AF27" s="2"/>
      <c r="AG27" s="2"/>
      <c r="AH27" s="2"/>
      <c r="AJ27" s="125">
        <v>2.0829999999999999E-4</v>
      </c>
      <c r="AK27" s="131">
        <v>1.724</v>
      </c>
      <c r="AL27" s="128">
        <v>2</v>
      </c>
      <c r="AM27" s="125">
        <v>4.6182900000000003E-4</v>
      </c>
      <c r="AO27" s="10"/>
      <c r="AP27" s="10"/>
      <c r="AQ27" s="10"/>
      <c r="AR27" s="10"/>
      <c r="AS27" s="10"/>
      <c r="AU27" s="2"/>
      <c r="AV27" s="2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</row>
    <row r="28" spans="1:73" customFormat="1" ht="12.75" customHeight="1" x14ac:dyDescent="0.25">
      <c r="A28" s="72" t="s">
        <v>20</v>
      </c>
      <c r="B28" s="184" t="s">
        <v>3089</v>
      </c>
      <c r="C28" s="44" t="s">
        <v>2987</v>
      </c>
      <c r="D28" s="45">
        <f>MROUND(MID($C28,6,3)/Basis!$E$3,0.5)</f>
        <v>14</v>
      </c>
      <c r="E28" s="45">
        <f>MROUND(MID($C28,9,3)/Basis!$E$3,0.5)</f>
        <v>43.5</v>
      </c>
      <c r="F28" s="237" t="str">
        <f t="shared" si="0"/>
        <v>05</v>
      </c>
      <c r="G28" s="45">
        <f>ROUND((ROUNDDOWN($F28/5,0)*5+2.2)/Basis!$E$3,1)</f>
        <v>2.8</v>
      </c>
      <c r="H28" s="120">
        <f>ROUND($P28*Basis!$E$2*((TaH-TrH)/LN(1/µ)/Basis!$E$7)^$N28*$AA$4*Glycol,0)</f>
        <v>1192</v>
      </c>
      <c r="I28" s="83">
        <f>ROUND(H28/(MID($C28,9,3)/Basis!$E$3/Basis!$E$9)*Basis!$E$11,0)</f>
        <v>330</v>
      </c>
      <c r="J28" s="123">
        <f>IF(Basis!$E$1=1,ROUND(H28/((TaH-TrH)*1.163)/3600,3),ROUND(H28/(500*(TaH-TrH)),2))</f>
        <v>0.12</v>
      </c>
      <c r="K28" s="84"/>
      <c r="L28" s="177">
        <f>CHOOSE(Basis!$E$1,((AJ28*(J28*3600/Basis!$E$5)^AK28*(((MID(C28,9,3)*10)-144)/1000)*AL28+AM28*(J28*3600/Basis!$E$5)^2)*0.0098)/Basis!$E$10,((AJ28*(J28/Basis!$E$5)^AK28*(((MID(C28,9,3)*10)-144)/1000)*AL28+AM28*(J28/Basis!$E$5)^2)*0.0098)/Basis!$E$10)</f>
        <v>3.2540947374069557E-3</v>
      </c>
      <c r="M28" s="85"/>
      <c r="N28" s="185">
        <v>1.3919999999999999</v>
      </c>
      <c r="O28" s="186"/>
      <c r="P28" s="187">
        <v>553</v>
      </c>
      <c r="R28" s="2"/>
      <c r="S28" s="2"/>
      <c r="T28" s="2"/>
      <c r="U28" s="2"/>
      <c r="V28" s="2"/>
      <c r="X28" s="38"/>
      <c r="Y28" s="38"/>
      <c r="Z28" s="38"/>
      <c r="AA28" s="38"/>
      <c r="AB28" s="38"/>
      <c r="AD28" s="2"/>
      <c r="AE28" s="2"/>
      <c r="AF28" s="2"/>
      <c r="AG28" s="2"/>
      <c r="AH28" s="2"/>
      <c r="AJ28" s="191">
        <v>9.3669999999999995E-4</v>
      </c>
      <c r="AK28" s="192">
        <v>1.789841</v>
      </c>
      <c r="AL28" s="193">
        <v>2</v>
      </c>
      <c r="AM28" s="191">
        <v>4.4559999999999999E-4</v>
      </c>
      <c r="AO28" s="10"/>
      <c r="AP28" s="10"/>
      <c r="AQ28" s="10"/>
      <c r="AR28" s="10"/>
      <c r="AS28" s="10"/>
      <c r="AU28" s="2"/>
      <c r="AV28" s="2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</row>
    <row r="29" spans="1:73" customFormat="1" ht="12.75" customHeight="1" x14ac:dyDescent="0.25">
      <c r="A29" s="72" t="s">
        <v>20</v>
      </c>
      <c r="B29" s="184" t="s">
        <v>3089</v>
      </c>
      <c r="C29" s="44" t="s">
        <v>2999</v>
      </c>
      <c r="D29" s="45">
        <f>MROUND(MID($C29,6,3)/Basis!$E$3,0.5)</f>
        <v>14</v>
      </c>
      <c r="E29" s="45">
        <f>MROUND(MID($C29,9,3)/Basis!$E$3,0.5)</f>
        <v>43.5</v>
      </c>
      <c r="F29" s="237" t="str">
        <f t="shared" si="0"/>
        <v>10</v>
      </c>
      <c r="G29" s="45">
        <f>ROUND((ROUNDDOWN($F29/5,0)*5+2.2)/Basis!$E$3,1)</f>
        <v>4.8</v>
      </c>
      <c r="H29" s="120">
        <f>ROUND($P29*Basis!$E$2*((TaH-TrH)/LN(1/µ)/Basis!$E$7)^$N29*$AA$4*Glycol,0)</f>
        <v>1675</v>
      </c>
      <c r="I29" s="83">
        <f>ROUND(H29/(MID($C29,9,3)/Basis!$E$3/Basis!$E$9)*Basis!$E$11,0)</f>
        <v>464</v>
      </c>
      <c r="J29" s="123">
        <f>IF(Basis!$E$1=1,ROUND(H29/((TaH-TrH)*1.163)/3600,3),ROUND(H29/(500*(TaH-TrH)),2))</f>
        <v>0.17</v>
      </c>
      <c r="K29" s="84"/>
      <c r="L29" s="177">
        <f>CHOOSE(Basis!$E$1,((AJ29*(J29*3600/Basis!$E$5)^AK29*(((MID(C29,9,3)*10)-144)/1000)*AL29+AM29*(J29*3600/Basis!$E$5)^2)*0.0098)/Basis!$E$10,((AJ29*(J29/Basis!$E$5)^AK29*(((MID(C29,9,3)*10)-144)/1000)*AL29+AM29*(J29/Basis!$E$5)^2)*0.0098)/Basis!$E$10)</f>
        <v>3.1934526420736762E-3</v>
      </c>
      <c r="M29" s="85"/>
      <c r="N29" s="185">
        <v>1.41</v>
      </c>
      <c r="O29" s="186"/>
      <c r="P29" s="187">
        <v>782</v>
      </c>
      <c r="R29" s="2"/>
      <c r="S29" s="2"/>
      <c r="T29" s="2"/>
      <c r="U29" s="2"/>
      <c r="V29" s="2"/>
      <c r="X29" s="38"/>
      <c r="Y29" s="38"/>
      <c r="Z29" s="38"/>
      <c r="AA29" s="38"/>
      <c r="AB29" s="38"/>
      <c r="AD29" s="2"/>
      <c r="AE29" s="2"/>
      <c r="AF29" s="2"/>
      <c r="AG29" s="2"/>
      <c r="AH29" s="2"/>
      <c r="AJ29" s="126">
        <v>3.9689999999999994E-4</v>
      </c>
      <c r="AK29" s="132">
        <v>1.7345999999999999</v>
      </c>
      <c r="AL29" s="129">
        <v>2</v>
      </c>
      <c r="AM29" s="126">
        <v>3.6734700000000002E-4</v>
      </c>
      <c r="AO29" s="10"/>
      <c r="AP29" s="10"/>
      <c r="AQ29" s="10"/>
      <c r="AR29" s="10"/>
      <c r="AS29" s="10"/>
      <c r="AU29" s="2"/>
      <c r="AV29" s="2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</row>
    <row r="30" spans="1:73" customFormat="1" ht="12.75" customHeight="1" x14ac:dyDescent="0.25">
      <c r="A30" s="72" t="s">
        <v>20</v>
      </c>
      <c r="B30" s="184" t="s">
        <v>3089</v>
      </c>
      <c r="C30" s="44" t="s">
        <v>3011</v>
      </c>
      <c r="D30" s="45">
        <f>MROUND(MID($C30,6,3)/Basis!$E$3,0.5)</f>
        <v>14</v>
      </c>
      <c r="E30" s="45">
        <f>MROUND(MID($C30,9,3)/Basis!$E$3,0.5)</f>
        <v>43.5</v>
      </c>
      <c r="F30" s="237" t="str">
        <f t="shared" si="0"/>
        <v>15</v>
      </c>
      <c r="G30" s="45">
        <f>ROUND((ROUNDDOWN($F30/5,0)*5+2.2)/Basis!$E$3,1)</f>
        <v>6.8</v>
      </c>
      <c r="H30" s="120">
        <f>ROUND($P30*Basis!$E$2*((TaH-TrH)/LN(1/µ)/Basis!$E$7)^$N30*$AA$4*Glycol,0)</f>
        <v>2571</v>
      </c>
      <c r="I30" s="83">
        <f>ROUND(H30/(MID($C30,9,3)/Basis!$E$3/Basis!$E$9)*Basis!$E$11,0)</f>
        <v>712</v>
      </c>
      <c r="J30" s="123">
        <f>IF(Basis!$E$1=1,ROUND(H30/((TaH-TrH)*1.163)/3600,3),ROUND(H30/(500*(TaH-TrH)),2))</f>
        <v>0.26</v>
      </c>
      <c r="K30" s="84"/>
      <c r="L30" s="177">
        <f>CHOOSE(Basis!$E$1,((AJ30*(J30*3600/Basis!$E$5)^AK30*(((MID(C30,9,3)*10)-144)/1000)*AL30+AM30*(J30*3600/Basis!$E$5)^2)*0.0098)/Basis!$E$10,((AJ30*(J30/Basis!$E$5)^AK30*(((MID(C30,9,3)*10)-144)/1000)*AL30+AM30*(J30/Basis!$E$5)^2)*0.0098)/Basis!$E$10)</f>
        <v>6.7391609105620425E-3</v>
      </c>
      <c r="M30" s="85"/>
      <c r="N30" s="185">
        <v>1.4079999999999999</v>
      </c>
      <c r="O30" s="186"/>
      <c r="P30" s="187">
        <v>1199</v>
      </c>
      <c r="R30" s="2"/>
      <c r="S30" s="2"/>
      <c r="T30" s="2"/>
      <c r="U30" s="2"/>
      <c r="V30" s="2"/>
      <c r="X30" s="38"/>
      <c r="Y30" s="38"/>
      <c r="Z30" s="38"/>
      <c r="AA30" s="38"/>
      <c r="AB30" s="38"/>
      <c r="AD30" s="2"/>
      <c r="AE30" s="2"/>
      <c r="AF30" s="2"/>
      <c r="AG30" s="2"/>
      <c r="AH30" s="2"/>
      <c r="AJ30" s="125">
        <v>2.0829999999999999E-4</v>
      </c>
      <c r="AK30" s="131">
        <v>1.724</v>
      </c>
      <c r="AL30" s="128">
        <v>2</v>
      </c>
      <c r="AM30" s="125">
        <v>4.6182900000000003E-4</v>
      </c>
      <c r="AO30" s="10"/>
      <c r="AP30" s="10"/>
      <c r="AQ30" s="10"/>
      <c r="AR30" s="10"/>
      <c r="AS30" s="10"/>
      <c r="AU30" s="2"/>
      <c r="AV30" s="2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</row>
    <row r="31" spans="1:73" customFormat="1" ht="12.75" customHeight="1" x14ac:dyDescent="0.25">
      <c r="A31" s="72" t="s">
        <v>20</v>
      </c>
      <c r="B31" s="184" t="s">
        <v>3089</v>
      </c>
      <c r="C31" s="44" t="s">
        <v>2988</v>
      </c>
      <c r="D31" s="45">
        <f>MROUND(MID($C31,6,3)/Basis!$E$3,0.5)</f>
        <v>14</v>
      </c>
      <c r="E31" s="45">
        <f>MROUND(MID($C31,9,3)/Basis!$E$3,0.5)</f>
        <v>47</v>
      </c>
      <c r="F31" s="237" t="str">
        <f t="shared" si="0"/>
        <v>05</v>
      </c>
      <c r="G31" s="45">
        <f>ROUND((ROUNDDOWN($F31/5,0)*5+2.2)/Basis!$E$3,1)</f>
        <v>2.8</v>
      </c>
      <c r="H31" s="120">
        <f>ROUND($P31*Basis!$E$2*((TaH-TrH)/LN(1/µ)/Basis!$E$7)^$N31*$AA$4*Glycol,0)</f>
        <v>1302</v>
      </c>
      <c r="I31" s="83">
        <f>ROUND(H31/(MID($C31,9,3)/Basis!$E$3/Basis!$E$9)*Basis!$E$11,0)</f>
        <v>331</v>
      </c>
      <c r="J31" s="123">
        <f>IF(Basis!$E$1=1,ROUND(H31/((TaH-TrH)*1.163)/3600,3),ROUND(H31/(500*(TaH-TrH)),2))</f>
        <v>0.13</v>
      </c>
      <c r="K31" s="84"/>
      <c r="L31" s="177">
        <f>CHOOSE(Basis!$E$1,((AJ31*(J31*3600/Basis!$E$5)^AK31*(((MID(C31,9,3)*10)-144)/1000)*AL31+AM31*(J31*3600/Basis!$E$5)^2)*0.0098)/Basis!$E$10,((AJ31*(J31/Basis!$E$5)^AK31*(((MID(C31,9,3)*10)-144)/1000)*AL31+AM31*(J31/Basis!$E$5)^2)*0.0098)/Basis!$E$10)</f>
        <v>4.0386929159459961E-3</v>
      </c>
      <c r="M31" s="85"/>
      <c r="N31" s="185">
        <v>1.3919999999999999</v>
      </c>
      <c r="O31" s="186"/>
      <c r="P31" s="187">
        <v>604</v>
      </c>
      <c r="R31" s="2"/>
      <c r="S31" s="2"/>
      <c r="T31" s="2"/>
      <c r="U31" s="2"/>
      <c r="V31" s="2"/>
      <c r="X31" s="38"/>
      <c r="Y31" s="38"/>
      <c r="Z31" s="38"/>
      <c r="AA31" s="38"/>
      <c r="AB31" s="38"/>
      <c r="AD31" s="2"/>
      <c r="AE31" s="2"/>
      <c r="AF31" s="2"/>
      <c r="AG31" s="2"/>
      <c r="AH31" s="2"/>
      <c r="AJ31" s="191">
        <v>9.3669999999999995E-4</v>
      </c>
      <c r="AK31" s="192">
        <v>1.789841</v>
      </c>
      <c r="AL31" s="193">
        <v>2</v>
      </c>
      <c r="AM31" s="191">
        <v>4.4559999999999999E-4</v>
      </c>
      <c r="AO31" s="10"/>
      <c r="AP31" s="10"/>
      <c r="AQ31" s="10"/>
      <c r="AR31" s="10"/>
      <c r="AS31" s="10"/>
      <c r="AU31" s="2"/>
      <c r="AV31" s="2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</row>
    <row r="32" spans="1:73" customFormat="1" ht="12.75" customHeight="1" x14ac:dyDescent="0.25">
      <c r="A32" s="72" t="s">
        <v>20</v>
      </c>
      <c r="B32" s="184" t="s">
        <v>3089</v>
      </c>
      <c r="C32" s="44" t="s">
        <v>3000</v>
      </c>
      <c r="D32" s="45">
        <f>MROUND(MID($C32,6,3)/Basis!$E$3,0.5)</f>
        <v>14</v>
      </c>
      <c r="E32" s="45">
        <f>MROUND(MID($C32,9,3)/Basis!$E$3,0.5)</f>
        <v>47</v>
      </c>
      <c r="F32" s="237" t="str">
        <f t="shared" si="0"/>
        <v>10</v>
      </c>
      <c r="G32" s="45">
        <f>ROUND((ROUNDDOWN($F32/5,0)*5+2.2)/Basis!$E$3,1)</f>
        <v>4.8</v>
      </c>
      <c r="H32" s="120">
        <f>ROUND($P32*Basis!$E$2*((TaH-TrH)/LN(1/µ)/Basis!$E$7)^$N32*$AA$4*Glycol,0)</f>
        <v>1828</v>
      </c>
      <c r="I32" s="83">
        <f>ROUND(H32/(MID($C32,9,3)/Basis!$E$3/Basis!$E$9)*Basis!$E$11,0)</f>
        <v>464</v>
      </c>
      <c r="J32" s="123">
        <f>IF(Basis!$E$1=1,ROUND(H32/((TaH-TrH)*1.163)/3600,3),ROUND(H32/(500*(TaH-TrH)),2))</f>
        <v>0.18</v>
      </c>
      <c r="K32" s="84"/>
      <c r="L32" s="177">
        <f>CHOOSE(Basis!$E$1,((AJ32*(J32*3600/Basis!$E$5)^AK32*(((MID(C32,9,3)*10)-144)/1000)*AL32+AM32*(J32*3600/Basis!$E$5)^2)*0.0098)/Basis!$E$10,((AJ32*(J32/Basis!$E$5)^AK32*(((MID(C32,9,3)*10)-144)/1000)*AL32+AM32*(J32/Basis!$E$5)^2)*0.0098)/Basis!$E$10)</f>
        <v>3.7185557018962331E-3</v>
      </c>
      <c r="M32" s="85"/>
      <c r="N32" s="185">
        <v>1.41</v>
      </c>
      <c r="O32" s="186"/>
      <c r="P32" s="187">
        <v>853</v>
      </c>
      <c r="R32" s="2"/>
      <c r="S32" s="2"/>
      <c r="T32" s="2"/>
      <c r="U32" s="2"/>
      <c r="V32" s="2"/>
      <c r="X32" s="38"/>
      <c r="Y32" s="38"/>
      <c r="Z32" s="38"/>
      <c r="AA32" s="38"/>
      <c r="AB32" s="38"/>
      <c r="AD32" s="2"/>
      <c r="AE32" s="2"/>
      <c r="AF32" s="2"/>
      <c r="AG32" s="2"/>
      <c r="AH32" s="2"/>
      <c r="AJ32" s="126">
        <v>3.9689999999999994E-4</v>
      </c>
      <c r="AK32" s="132">
        <v>1.7345999999999999</v>
      </c>
      <c r="AL32" s="129">
        <v>2</v>
      </c>
      <c r="AM32" s="126">
        <v>3.6734700000000002E-4</v>
      </c>
      <c r="AO32" s="10"/>
      <c r="AP32" s="10"/>
      <c r="AQ32" s="10"/>
      <c r="AR32" s="10"/>
      <c r="AS32" s="10"/>
      <c r="AU32" s="2"/>
      <c r="AV32" s="2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</row>
    <row r="33" spans="1:73" customFormat="1" ht="12.75" customHeight="1" x14ac:dyDescent="0.25">
      <c r="A33" s="72" t="s">
        <v>20</v>
      </c>
      <c r="B33" s="184" t="s">
        <v>3089</v>
      </c>
      <c r="C33" s="44" t="s">
        <v>3012</v>
      </c>
      <c r="D33" s="45">
        <f>MROUND(MID($C33,6,3)/Basis!$E$3,0.5)</f>
        <v>14</v>
      </c>
      <c r="E33" s="45">
        <f>MROUND(MID($C33,9,3)/Basis!$E$3,0.5)</f>
        <v>47</v>
      </c>
      <c r="F33" s="237" t="str">
        <f t="shared" si="0"/>
        <v>15</v>
      </c>
      <c r="G33" s="45">
        <f>ROUND((ROUNDDOWN($F33/5,0)*5+2.2)/Basis!$E$3,1)</f>
        <v>6.8</v>
      </c>
      <c r="H33" s="120">
        <f>ROUND($P33*Basis!$E$2*((TaH-TrH)/LN(1/µ)/Basis!$E$7)^$N33*$AA$4*Glycol,0)</f>
        <v>2804</v>
      </c>
      <c r="I33" s="83">
        <f>ROUND(H33/(MID($C33,9,3)/Basis!$E$3/Basis!$E$9)*Basis!$E$11,0)</f>
        <v>712</v>
      </c>
      <c r="J33" s="123">
        <f>IF(Basis!$E$1=1,ROUND(H33/((TaH-TrH)*1.163)/3600,3),ROUND(H33/(500*(TaH-TrH)),2))</f>
        <v>0.28000000000000003</v>
      </c>
      <c r="K33" s="84"/>
      <c r="L33" s="177">
        <f>CHOOSE(Basis!$E$1,((AJ33*(J33*3600/Basis!$E$5)^AK33*(((MID(C33,9,3)*10)-144)/1000)*AL33+AM33*(J33*3600/Basis!$E$5)^2)*0.0098)/Basis!$E$10,((AJ33*(J33/Basis!$E$5)^AK33*(((MID(C33,9,3)*10)-144)/1000)*AL33+AM33*(J33/Basis!$E$5)^2)*0.0098)/Basis!$E$10)</f>
        <v>7.9563552060216876E-3</v>
      </c>
      <c r="M33" s="85"/>
      <c r="N33" s="185">
        <v>1.4079999999999999</v>
      </c>
      <c r="O33" s="186"/>
      <c r="P33" s="187">
        <v>1308</v>
      </c>
      <c r="R33" s="2"/>
      <c r="S33" s="2"/>
      <c r="T33" s="2"/>
      <c r="U33" s="2"/>
      <c r="V33" s="2"/>
      <c r="X33" s="38"/>
      <c r="Y33" s="38"/>
      <c r="Z33" s="38"/>
      <c r="AA33" s="38"/>
      <c r="AB33" s="38"/>
      <c r="AD33" s="2"/>
      <c r="AE33" s="2"/>
      <c r="AF33" s="2"/>
      <c r="AG33" s="2"/>
      <c r="AH33" s="2"/>
      <c r="AJ33" s="125">
        <v>2.0829999999999999E-4</v>
      </c>
      <c r="AK33" s="131">
        <v>1.724</v>
      </c>
      <c r="AL33" s="128">
        <v>2</v>
      </c>
      <c r="AM33" s="125">
        <v>4.6182900000000003E-4</v>
      </c>
      <c r="AO33" s="10"/>
      <c r="AP33" s="10"/>
      <c r="AQ33" s="10"/>
      <c r="AR33" s="10"/>
      <c r="AS33" s="10"/>
      <c r="AU33" s="2"/>
      <c r="AV33" s="2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</row>
    <row r="34" spans="1:73" customFormat="1" ht="12.75" customHeight="1" x14ac:dyDescent="0.25">
      <c r="A34" s="72" t="s">
        <v>20</v>
      </c>
      <c r="B34" s="184" t="s">
        <v>3089</v>
      </c>
      <c r="C34" s="44" t="s">
        <v>2989</v>
      </c>
      <c r="D34" s="45">
        <f>MROUND(MID($C34,6,3)/Basis!$E$3,0.5)</f>
        <v>14</v>
      </c>
      <c r="E34" s="45">
        <f>MROUND(MID($C34,9,3)/Basis!$E$3,0.5)</f>
        <v>55</v>
      </c>
      <c r="F34" s="237" t="str">
        <f t="shared" si="0"/>
        <v>05</v>
      </c>
      <c r="G34" s="45">
        <f>ROUND((ROUNDDOWN($F34/5,0)*5+2.2)/Basis!$E$3,1)</f>
        <v>2.8</v>
      </c>
      <c r="H34" s="120">
        <f>ROUND($P34*Basis!$E$2*((TaH-TrH)/LN(1/µ)/Basis!$E$7)^$N34*$AA$4*Glycol,0)</f>
        <v>1517</v>
      </c>
      <c r="I34" s="83">
        <f>ROUND(H34/(MID($C34,9,3)/Basis!$E$3/Basis!$E$9)*Basis!$E$11,0)</f>
        <v>330</v>
      </c>
      <c r="J34" s="123">
        <f>IF(Basis!$E$1=1,ROUND(H34/((TaH-TrH)*1.163)/3600,3),ROUND(H34/(500*(TaH-TrH)),2))</f>
        <v>0.15</v>
      </c>
      <c r="K34" s="84"/>
      <c r="L34" s="177">
        <f>CHOOSE(Basis!$E$1,((AJ34*(J34*3600/Basis!$E$5)^AK34*(((MID(C34,9,3)*10)-144)/1000)*AL34+AM34*(J34*3600/Basis!$E$5)^2)*0.0098)/Basis!$E$10,((AJ34*(J34/Basis!$E$5)^AK34*(((MID(C34,9,3)*10)-144)/1000)*AL34+AM34*(J34/Basis!$E$5)^2)*0.0098)/Basis!$E$10)</f>
        <v>5.9451599356808551E-3</v>
      </c>
      <c r="M34" s="85"/>
      <c r="N34" s="185">
        <v>1.3919999999999999</v>
      </c>
      <c r="O34" s="186"/>
      <c r="P34" s="187">
        <v>704</v>
      </c>
      <c r="R34" s="2"/>
      <c r="S34" s="2"/>
      <c r="T34" s="2"/>
      <c r="U34" s="2"/>
      <c r="V34" s="2"/>
      <c r="X34" s="38"/>
      <c r="Y34" s="38"/>
      <c r="Z34" s="38"/>
      <c r="AA34" s="38"/>
      <c r="AB34" s="38"/>
      <c r="AD34" s="2"/>
      <c r="AE34" s="2"/>
      <c r="AF34" s="2"/>
      <c r="AG34" s="2"/>
      <c r="AH34" s="2"/>
      <c r="AJ34" s="191">
        <v>9.3669999999999995E-4</v>
      </c>
      <c r="AK34" s="192">
        <v>1.789841</v>
      </c>
      <c r="AL34" s="193">
        <v>2</v>
      </c>
      <c r="AM34" s="191">
        <v>4.4559999999999999E-4</v>
      </c>
      <c r="AO34" s="10"/>
      <c r="AP34" s="10"/>
      <c r="AQ34" s="10"/>
      <c r="AR34" s="10"/>
      <c r="AS34" s="10"/>
      <c r="AU34" s="2"/>
      <c r="AV34" s="2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</row>
    <row r="35" spans="1:73" customFormat="1" ht="12.75" customHeight="1" x14ac:dyDescent="0.25">
      <c r="A35" s="72" t="s">
        <v>20</v>
      </c>
      <c r="B35" s="184" t="s">
        <v>3089</v>
      </c>
      <c r="C35" s="44" t="s">
        <v>3001</v>
      </c>
      <c r="D35" s="45">
        <f>MROUND(MID($C35,6,3)/Basis!$E$3,0.5)</f>
        <v>14</v>
      </c>
      <c r="E35" s="45">
        <f>MROUND(MID($C35,9,3)/Basis!$E$3,0.5)</f>
        <v>55</v>
      </c>
      <c r="F35" s="237" t="str">
        <f t="shared" si="0"/>
        <v>10</v>
      </c>
      <c r="G35" s="45">
        <f>ROUND((ROUNDDOWN($F35/5,0)*5+2.2)/Basis!$E$3,1)</f>
        <v>4.8</v>
      </c>
      <c r="H35" s="120">
        <f>ROUND($P35*Basis!$E$2*((TaH-TrH)/LN(1/µ)/Basis!$E$7)^$N35*$AA$4*Glycol,0)</f>
        <v>2132</v>
      </c>
      <c r="I35" s="83">
        <f>ROUND(H35/(MID($C35,9,3)/Basis!$E$3/Basis!$E$9)*Basis!$E$11,0)</f>
        <v>464</v>
      </c>
      <c r="J35" s="123">
        <f>IF(Basis!$E$1=1,ROUND(H35/((TaH-TrH)*1.163)/3600,3),ROUND(H35/(500*(TaH-TrH)),2))</f>
        <v>0.21</v>
      </c>
      <c r="K35" s="84"/>
      <c r="L35" s="177">
        <f>CHOOSE(Basis!$E$1,((AJ35*(J35*3600/Basis!$E$5)^AK35*(((MID(C35,9,3)*10)-144)/1000)*AL35+AM35*(J35*3600/Basis!$E$5)^2)*0.0098)/Basis!$E$10,((AJ35*(J35/Basis!$E$5)^AK35*(((MID(C35,9,3)*10)-144)/1000)*AL35+AM35*(J35/Basis!$E$5)^2)*0.0098)/Basis!$E$10)</f>
        <v>5.3914113515486544E-3</v>
      </c>
      <c r="M35" s="85"/>
      <c r="N35" s="185">
        <v>1.41</v>
      </c>
      <c r="O35" s="186"/>
      <c r="P35" s="187">
        <v>995</v>
      </c>
      <c r="R35" s="2"/>
      <c r="S35" s="2"/>
      <c r="T35" s="2"/>
      <c r="U35" s="2"/>
      <c r="V35" s="2"/>
      <c r="X35" s="38"/>
      <c r="Y35" s="38"/>
      <c r="Z35" s="38"/>
      <c r="AA35" s="38"/>
      <c r="AB35" s="38"/>
      <c r="AD35" s="2"/>
      <c r="AE35" s="2"/>
      <c r="AF35" s="2"/>
      <c r="AG35" s="2"/>
      <c r="AH35" s="2"/>
      <c r="AJ35" s="126">
        <v>3.9689999999999994E-4</v>
      </c>
      <c r="AK35" s="132">
        <v>1.7345999999999999</v>
      </c>
      <c r="AL35" s="129">
        <v>2</v>
      </c>
      <c r="AM35" s="126">
        <v>3.6734700000000002E-4</v>
      </c>
      <c r="AO35" s="10"/>
      <c r="AP35" s="10"/>
      <c r="AQ35" s="10"/>
      <c r="AR35" s="10"/>
      <c r="AS35" s="10"/>
      <c r="AU35" s="2"/>
      <c r="AV35" s="2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</row>
    <row r="36" spans="1:73" customFormat="1" ht="12.75" customHeight="1" x14ac:dyDescent="0.25">
      <c r="A36" s="72" t="s">
        <v>20</v>
      </c>
      <c r="B36" s="184" t="s">
        <v>3089</v>
      </c>
      <c r="C36" s="44" t="s">
        <v>3013</v>
      </c>
      <c r="D36" s="45">
        <f>MROUND(MID($C36,6,3)/Basis!$E$3,0.5)</f>
        <v>14</v>
      </c>
      <c r="E36" s="45">
        <f>MROUND(MID($C36,9,3)/Basis!$E$3,0.5)</f>
        <v>55</v>
      </c>
      <c r="F36" s="237" t="str">
        <f t="shared" si="0"/>
        <v>15</v>
      </c>
      <c r="G36" s="45">
        <f>ROUND((ROUNDDOWN($F36/5,0)*5+2.2)/Basis!$E$3,1)</f>
        <v>6.8</v>
      </c>
      <c r="H36" s="120">
        <f>ROUND($P36*Basis!$E$2*((TaH-TrH)/LN(1/µ)/Basis!$E$7)^$N36*$AA$4*Glycol,0)</f>
        <v>3272</v>
      </c>
      <c r="I36" s="83">
        <f>ROUND(H36/(MID($C36,9,3)/Basis!$E$3/Basis!$E$9)*Basis!$E$11,0)</f>
        <v>712</v>
      </c>
      <c r="J36" s="123">
        <f>IF(Basis!$E$1=1,ROUND(H36/((TaH-TrH)*1.163)/3600,3),ROUND(H36/(500*(TaH-TrH)),2))</f>
        <v>0.33</v>
      </c>
      <c r="K36" s="84"/>
      <c r="L36" s="177">
        <f>CHOOSE(Basis!$E$1,((AJ36*(J36*3600/Basis!$E$5)^AK36*(((MID(C36,9,3)*10)-144)/1000)*AL36+AM36*(J36*3600/Basis!$E$5)^2)*0.0098)/Basis!$E$10,((AJ36*(J36/Basis!$E$5)^AK36*(((MID(C36,9,3)*10)-144)/1000)*AL36+AM36*(J36/Basis!$E$5)^2)*0.0098)/Basis!$E$10)</f>
        <v>1.1402661305964245E-2</v>
      </c>
      <c r="M36" s="85"/>
      <c r="N36" s="185">
        <v>1.4079999999999999</v>
      </c>
      <c r="O36" s="186"/>
      <c r="P36" s="187">
        <v>1526</v>
      </c>
      <c r="R36" s="2"/>
      <c r="S36" s="2"/>
      <c r="T36" s="2"/>
      <c r="U36" s="2"/>
      <c r="V36" s="2"/>
      <c r="X36" s="38"/>
      <c r="Y36" s="38"/>
      <c r="Z36" s="38"/>
      <c r="AA36" s="38"/>
      <c r="AB36" s="38"/>
      <c r="AD36" s="2"/>
      <c r="AE36" s="2"/>
      <c r="AF36" s="2"/>
      <c r="AG36" s="2"/>
      <c r="AH36" s="2"/>
      <c r="AJ36" s="125">
        <v>2.0829999999999999E-4</v>
      </c>
      <c r="AK36" s="131">
        <v>1.724</v>
      </c>
      <c r="AL36" s="128">
        <v>2</v>
      </c>
      <c r="AM36" s="125">
        <v>4.6182900000000003E-4</v>
      </c>
      <c r="AO36" s="10"/>
      <c r="AP36" s="10"/>
      <c r="AQ36" s="10"/>
      <c r="AR36" s="10"/>
      <c r="AS36" s="10"/>
      <c r="AU36" s="2"/>
      <c r="AV36" s="2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</row>
    <row r="37" spans="1:73" customFormat="1" ht="12.75" customHeight="1" x14ac:dyDescent="0.25">
      <c r="A37" s="72" t="s">
        <v>20</v>
      </c>
      <c r="B37" s="184" t="s">
        <v>3089</v>
      </c>
      <c r="C37" s="44" t="s">
        <v>2990</v>
      </c>
      <c r="D37" s="45">
        <f>MROUND(MID($C37,6,3)/Basis!$E$3,0.5)</f>
        <v>14</v>
      </c>
      <c r="E37" s="45">
        <f>MROUND(MID($C37,9,3)/Basis!$E$3,0.5)</f>
        <v>63</v>
      </c>
      <c r="F37" s="237" t="str">
        <f t="shared" si="0"/>
        <v>05</v>
      </c>
      <c r="G37" s="45">
        <f>ROUND((ROUNDDOWN($F37/5,0)*5+2.2)/Basis!$E$3,1)</f>
        <v>2.8</v>
      </c>
      <c r="H37" s="120">
        <f>ROUND($P37*Basis!$E$2*((TaH-TrH)/LN(1/µ)/Basis!$E$7)^$N37*$AA$4*Glycol,0)</f>
        <v>1735</v>
      </c>
      <c r="I37" s="83">
        <f>ROUND(H37/(MID($C37,9,3)/Basis!$E$3/Basis!$E$9)*Basis!$E$11,0)</f>
        <v>331</v>
      </c>
      <c r="J37" s="123">
        <f>IF(Basis!$E$1=1,ROUND(H37/((TaH-TrH)*1.163)/3600,3),ROUND(H37/(500*(TaH-TrH)),2))</f>
        <v>0.17</v>
      </c>
      <c r="K37" s="84"/>
      <c r="L37" s="177">
        <f>CHOOSE(Basis!$E$1,((AJ37*(J37*3600/Basis!$E$5)^AK37*(((MID(C37,9,3)*10)-144)/1000)*AL37+AM37*(J37*3600/Basis!$E$5)^2)*0.0098)/Basis!$E$10,((AJ37*(J37/Basis!$E$5)^AK37*(((MID(C37,9,3)*10)-144)/1000)*AL37+AM37*(J37/Basis!$E$5)^2)*0.0098)/Basis!$E$10)</f>
        <v>8.3418670549575986E-3</v>
      </c>
      <c r="M37" s="85"/>
      <c r="N37" s="185">
        <v>1.3919999999999999</v>
      </c>
      <c r="O37" s="186"/>
      <c r="P37" s="187">
        <v>805</v>
      </c>
      <c r="R37" s="2"/>
      <c r="S37" s="2"/>
      <c r="T37" s="2"/>
      <c r="U37" s="2"/>
      <c r="V37" s="2"/>
      <c r="X37" s="38"/>
      <c r="Y37" s="38"/>
      <c r="Z37" s="38"/>
      <c r="AA37" s="38"/>
      <c r="AB37" s="38"/>
      <c r="AD37" s="2"/>
      <c r="AE37" s="2"/>
      <c r="AF37" s="2"/>
      <c r="AG37" s="2"/>
      <c r="AH37" s="2"/>
      <c r="AJ37" s="191">
        <v>9.3669999999999995E-4</v>
      </c>
      <c r="AK37" s="192">
        <v>1.789841</v>
      </c>
      <c r="AL37" s="193">
        <v>2</v>
      </c>
      <c r="AM37" s="191">
        <v>4.4559999999999999E-4</v>
      </c>
      <c r="AO37" s="10"/>
      <c r="AP37" s="10"/>
      <c r="AQ37" s="10"/>
      <c r="AR37" s="10"/>
      <c r="AS37" s="10"/>
      <c r="AU37" s="2"/>
      <c r="AV37" s="2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</row>
    <row r="38" spans="1:73" customFormat="1" ht="12.75" customHeight="1" x14ac:dyDescent="0.25">
      <c r="A38" s="72" t="s">
        <v>20</v>
      </c>
      <c r="B38" s="184" t="s">
        <v>3089</v>
      </c>
      <c r="C38" s="44" t="s">
        <v>3002</v>
      </c>
      <c r="D38" s="45">
        <f>MROUND(MID($C38,6,3)/Basis!$E$3,0.5)</f>
        <v>14</v>
      </c>
      <c r="E38" s="45">
        <f>MROUND(MID($C38,9,3)/Basis!$E$3,0.5)</f>
        <v>63</v>
      </c>
      <c r="F38" s="237" t="str">
        <f t="shared" si="0"/>
        <v>10</v>
      </c>
      <c r="G38" s="45">
        <f>ROUND((ROUNDDOWN($F38/5,0)*5+2.2)/Basis!$E$3,1)</f>
        <v>4.8</v>
      </c>
      <c r="H38" s="120">
        <f>ROUND($P38*Basis!$E$2*((TaH-TrH)/LN(1/µ)/Basis!$E$7)^$N38*$AA$4*Glycol,0)</f>
        <v>2438</v>
      </c>
      <c r="I38" s="83">
        <f>ROUND(H38/(MID($C38,9,3)/Basis!$E$3/Basis!$E$9)*Basis!$E$11,0)</f>
        <v>464</v>
      </c>
      <c r="J38" s="123">
        <f>IF(Basis!$E$1=1,ROUND(H38/((TaH-TrH)*1.163)/3600,3),ROUND(H38/(500*(TaH-TrH)),2))</f>
        <v>0.24</v>
      </c>
      <c r="K38" s="84"/>
      <c r="L38" s="177">
        <f>CHOOSE(Basis!$E$1,((AJ38*(J38*3600/Basis!$E$5)^AK38*(((MID(C38,9,3)*10)-144)/1000)*AL38+AM38*(J38*3600/Basis!$E$5)^2)*0.0098)/Basis!$E$10,((AJ38*(J38/Basis!$E$5)^AK38*(((MID(C38,9,3)*10)-144)/1000)*AL38+AM38*(J38/Basis!$E$5)^2)*0.0098)/Basis!$E$10)</f>
        <v>7.4546790160153927E-3</v>
      </c>
      <c r="M38" s="85"/>
      <c r="N38" s="185">
        <v>1.41</v>
      </c>
      <c r="O38" s="186"/>
      <c r="P38" s="187">
        <v>1138</v>
      </c>
      <c r="R38" s="2"/>
      <c r="S38" s="2"/>
      <c r="T38" s="2"/>
      <c r="U38" s="2"/>
      <c r="V38" s="2"/>
      <c r="X38" s="38"/>
      <c r="Y38" s="38"/>
      <c r="Z38" s="38"/>
      <c r="AA38" s="38"/>
      <c r="AB38" s="38"/>
      <c r="AD38" s="2"/>
      <c r="AE38" s="2"/>
      <c r="AF38" s="2"/>
      <c r="AG38" s="2"/>
      <c r="AH38" s="2"/>
      <c r="AJ38" s="126">
        <v>3.9689999999999994E-4</v>
      </c>
      <c r="AK38" s="132">
        <v>1.7345999999999999</v>
      </c>
      <c r="AL38" s="129">
        <v>2</v>
      </c>
      <c r="AM38" s="126">
        <v>3.6734700000000002E-4</v>
      </c>
      <c r="AO38" s="10"/>
      <c r="AP38" s="10"/>
      <c r="AQ38" s="10"/>
      <c r="AR38" s="10"/>
      <c r="AS38" s="10"/>
      <c r="AU38" s="2"/>
      <c r="AV38" s="2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</row>
    <row r="39" spans="1:73" customFormat="1" ht="12.75" customHeight="1" x14ac:dyDescent="0.25">
      <c r="A39" s="72" t="s">
        <v>20</v>
      </c>
      <c r="B39" s="184" t="s">
        <v>3089</v>
      </c>
      <c r="C39" s="44" t="s">
        <v>3014</v>
      </c>
      <c r="D39" s="45">
        <f>MROUND(MID($C39,6,3)/Basis!$E$3,0.5)</f>
        <v>14</v>
      </c>
      <c r="E39" s="45">
        <f>MROUND(MID($C39,9,3)/Basis!$E$3,0.5)</f>
        <v>63</v>
      </c>
      <c r="F39" s="237" t="str">
        <f t="shared" si="0"/>
        <v>15</v>
      </c>
      <c r="G39" s="45">
        <f>ROUND((ROUNDDOWN($F39/5,0)*5+2.2)/Basis!$E$3,1)</f>
        <v>6.8</v>
      </c>
      <c r="H39" s="120">
        <f>ROUND($P39*Basis!$E$2*((TaH-TrH)/LN(1/µ)/Basis!$E$7)^$N39*$AA$4*Glycol,0)</f>
        <v>3739</v>
      </c>
      <c r="I39" s="83">
        <f>ROUND(H39/(MID($C39,9,3)/Basis!$E$3/Basis!$E$9)*Basis!$E$11,0)</f>
        <v>712</v>
      </c>
      <c r="J39" s="123">
        <f>IF(Basis!$E$1=1,ROUND(H39/((TaH-TrH)*1.163)/3600,3),ROUND(H39/(500*(TaH-TrH)),2))</f>
        <v>0.37</v>
      </c>
      <c r="K39" s="84"/>
      <c r="L39" s="177">
        <f>CHOOSE(Basis!$E$1,((AJ39*(J39*3600/Basis!$E$5)^AK39*(((MID(C39,9,3)*10)-144)/1000)*AL39+AM39*(J39*3600/Basis!$E$5)^2)*0.0098)/Basis!$E$10,((AJ39*(J39/Basis!$E$5)^AK39*(((MID(C39,9,3)*10)-144)/1000)*AL39+AM39*(J39/Basis!$E$5)^2)*0.0098)/Basis!$E$10)</f>
        <v>1.4786677814499674E-2</v>
      </c>
      <c r="M39" s="85"/>
      <c r="N39" s="185">
        <v>1.4079999999999999</v>
      </c>
      <c r="O39" s="186"/>
      <c r="P39" s="187">
        <v>1744</v>
      </c>
      <c r="R39" s="2"/>
      <c r="S39" s="2"/>
      <c r="T39" s="2"/>
      <c r="U39" s="2"/>
      <c r="V39" s="2"/>
      <c r="X39" s="38"/>
      <c r="Y39" s="38"/>
      <c r="Z39" s="38"/>
      <c r="AA39" s="38"/>
      <c r="AB39" s="38"/>
      <c r="AD39" s="2"/>
      <c r="AE39" s="2"/>
      <c r="AF39" s="2"/>
      <c r="AG39" s="2"/>
      <c r="AH39" s="2"/>
      <c r="AJ39" s="125">
        <v>2.0829999999999999E-4</v>
      </c>
      <c r="AK39" s="131">
        <v>1.724</v>
      </c>
      <c r="AL39" s="128">
        <v>2</v>
      </c>
      <c r="AM39" s="125">
        <v>4.6182900000000003E-4</v>
      </c>
      <c r="AO39" s="10"/>
      <c r="AP39" s="10"/>
      <c r="AQ39" s="10"/>
      <c r="AR39" s="10"/>
      <c r="AS39" s="10"/>
      <c r="AU39" s="2"/>
      <c r="AV39" s="2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</row>
    <row r="40" spans="1:73" customFormat="1" ht="12.75" customHeight="1" x14ac:dyDescent="0.25">
      <c r="A40" s="72" t="s">
        <v>20</v>
      </c>
      <c r="B40" s="184" t="s">
        <v>3089</v>
      </c>
      <c r="C40" s="44" t="s">
        <v>2991</v>
      </c>
      <c r="D40" s="45">
        <f>MROUND(MID($C40,6,3)/Basis!$E$3,0.5)</f>
        <v>14</v>
      </c>
      <c r="E40" s="45">
        <f>MROUND(MID($C40,9,3)/Basis!$E$3,0.5)</f>
        <v>71</v>
      </c>
      <c r="F40" s="237" t="str">
        <f t="shared" si="0"/>
        <v>05</v>
      </c>
      <c r="G40" s="45">
        <f>ROUND((ROUNDDOWN($F40/5,0)*5+2.2)/Basis!$E$3,1)</f>
        <v>2.8</v>
      </c>
      <c r="H40" s="120">
        <f>ROUND($P40*Basis!$E$2*((TaH-TrH)/LN(1/µ)/Basis!$E$7)^$N40*$AA$4*Glycol,0)</f>
        <v>1951</v>
      </c>
      <c r="I40" s="83">
        <f>ROUND(H40/(MID($C40,9,3)/Basis!$E$3/Basis!$E$9)*Basis!$E$11,0)</f>
        <v>330</v>
      </c>
      <c r="J40" s="123">
        <f>IF(Basis!$E$1=1,ROUND(H40/((TaH-TrH)*1.163)/3600,3),ROUND(H40/(500*(TaH-TrH)),2))</f>
        <v>0.2</v>
      </c>
      <c r="K40" s="84"/>
      <c r="L40" s="177">
        <f>CHOOSE(Basis!$E$1,((AJ40*(J40*3600/Basis!$E$5)^AK40*(((MID(C40,9,3)*10)-144)/1000)*AL40+AM40*(J40*3600/Basis!$E$5)^2)*0.0098)/Basis!$E$10,((AJ40*(J40/Basis!$E$5)^AK40*(((MID(C40,9,3)*10)-144)/1000)*AL40+AM40*(J40/Basis!$E$5)^2)*0.0098)/Basis!$E$10)</f>
        <v>1.2392713408696339E-2</v>
      </c>
      <c r="M40" s="85"/>
      <c r="N40" s="185">
        <v>1.3919999999999999</v>
      </c>
      <c r="O40" s="186"/>
      <c r="P40" s="187">
        <v>905</v>
      </c>
      <c r="R40" s="2"/>
      <c r="S40" s="2"/>
      <c r="T40" s="2"/>
      <c r="U40" s="2"/>
      <c r="V40" s="2"/>
      <c r="X40" s="38"/>
      <c r="Y40" s="38"/>
      <c r="Z40" s="38"/>
      <c r="AA40" s="38"/>
      <c r="AB40" s="38"/>
      <c r="AD40" s="2"/>
      <c r="AE40" s="2"/>
      <c r="AF40" s="2"/>
      <c r="AG40" s="2"/>
      <c r="AH40" s="2"/>
      <c r="AJ40" s="191">
        <v>9.3669999999999995E-4</v>
      </c>
      <c r="AK40" s="192">
        <v>1.789841</v>
      </c>
      <c r="AL40" s="193">
        <v>2</v>
      </c>
      <c r="AM40" s="191">
        <v>4.4559999999999999E-4</v>
      </c>
      <c r="AO40" s="10"/>
      <c r="AP40" s="10"/>
      <c r="AQ40" s="10"/>
      <c r="AR40" s="10"/>
      <c r="AS40" s="10"/>
      <c r="AU40" s="2"/>
      <c r="AV40" s="2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</row>
    <row r="41" spans="1:73" customFormat="1" ht="12.75" customHeight="1" x14ac:dyDescent="0.25">
      <c r="A41" s="72" t="s">
        <v>20</v>
      </c>
      <c r="B41" s="184" t="s">
        <v>3089</v>
      </c>
      <c r="C41" s="44" t="s">
        <v>3003</v>
      </c>
      <c r="D41" s="45">
        <f>MROUND(MID($C41,6,3)/Basis!$E$3,0.5)</f>
        <v>14</v>
      </c>
      <c r="E41" s="45">
        <f>MROUND(MID($C41,9,3)/Basis!$E$3,0.5)</f>
        <v>71</v>
      </c>
      <c r="F41" s="237" t="str">
        <f t="shared" si="0"/>
        <v>10</v>
      </c>
      <c r="G41" s="45">
        <f>ROUND((ROUNDDOWN($F41/5,0)*5+2.2)/Basis!$E$3,1)</f>
        <v>4.8</v>
      </c>
      <c r="H41" s="120">
        <f>ROUND($P41*Basis!$E$2*((TaH-TrH)/LN(1/µ)/Basis!$E$7)^$N41*$AA$4*Glycol,0)</f>
        <v>2742</v>
      </c>
      <c r="I41" s="83">
        <f>ROUND(H41/(MID($C41,9,3)/Basis!$E$3/Basis!$E$9)*Basis!$E$11,0)</f>
        <v>464</v>
      </c>
      <c r="J41" s="123">
        <f>IF(Basis!$E$1=1,ROUND(H41/((TaH-TrH)*1.163)/3600,3),ROUND(H41/(500*(TaH-TrH)),2))</f>
        <v>0.27</v>
      </c>
      <c r="K41" s="84"/>
      <c r="L41" s="177">
        <f>CHOOSE(Basis!$E$1,((AJ41*(J41*3600/Basis!$E$5)^AK41*(((MID(C41,9,3)*10)-144)/1000)*AL41+AM41*(J41*3600/Basis!$E$5)^2)*0.0098)/Basis!$E$10,((AJ41*(J41/Basis!$E$5)^AK41*(((MID(C41,9,3)*10)-144)/1000)*AL41+AM41*(J41/Basis!$E$5)^2)*0.0098)/Basis!$E$10)</f>
        <v>9.9382210527896343E-3</v>
      </c>
      <c r="M41" s="85"/>
      <c r="N41" s="185">
        <v>1.41</v>
      </c>
      <c r="O41" s="186"/>
      <c r="P41" s="187">
        <v>1280</v>
      </c>
      <c r="R41" s="2"/>
      <c r="S41" s="2"/>
      <c r="T41" s="2"/>
      <c r="U41" s="2"/>
      <c r="V41" s="2"/>
      <c r="X41" s="38"/>
      <c r="Y41" s="38"/>
      <c r="Z41" s="38"/>
      <c r="AA41" s="38"/>
      <c r="AB41" s="38"/>
      <c r="AD41" s="2"/>
      <c r="AE41" s="2"/>
      <c r="AF41" s="2"/>
      <c r="AG41" s="2"/>
      <c r="AH41" s="2"/>
      <c r="AJ41" s="126">
        <v>3.9689999999999994E-4</v>
      </c>
      <c r="AK41" s="132">
        <v>1.7345999999999999</v>
      </c>
      <c r="AL41" s="129">
        <v>2</v>
      </c>
      <c r="AM41" s="126">
        <v>3.6734700000000002E-4</v>
      </c>
      <c r="AO41" s="10"/>
      <c r="AP41" s="10"/>
      <c r="AQ41" s="10"/>
      <c r="AR41" s="10"/>
      <c r="AS41" s="10"/>
      <c r="AU41" s="2"/>
      <c r="AV41" s="2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</row>
    <row r="42" spans="1:73" customFormat="1" ht="12.75" customHeight="1" x14ac:dyDescent="0.25">
      <c r="A42" s="72" t="s">
        <v>20</v>
      </c>
      <c r="B42" s="184" t="s">
        <v>3089</v>
      </c>
      <c r="C42" s="44" t="s">
        <v>3015</v>
      </c>
      <c r="D42" s="45">
        <f>MROUND(MID($C42,6,3)/Basis!$E$3,0.5)</f>
        <v>14</v>
      </c>
      <c r="E42" s="45">
        <f>MROUND(MID($C42,9,3)/Basis!$E$3,0.5)</f>
        <v>71</v>
      </c>
      <c r="F42" s="237" t="str">
        <f t="shared" si="0"/>
        <v>15</v>
      </c>
      <c r="G42" s="45">
        <f>ROUND((ROUNDDOWN($F42/5,0)*5+2.2)/Basis!$E$3,1)</f>
        <v>6.8</v>
      </c>
      <c r="H42" s="120">
        <f>ROUND($P42*Basis!$E$2*((TaH-TrH)/LN(1/µ)/Basis!$E$7)^$N42*$AA$4*Glycol,0)</f>
        <v>4206</v>
      </c>
      <c r="I42" s="83">
        <f>ROUND(H42/(MID($C42,9,3)/Basis!$E$3/Basis!$E$9)*Basis!$E$11,0)</f>
        <v>712</v>
      </c>
      <c r="J42" s="123">
        <f>IF(Basis!$E$1=1,ROUND(H42/((TaH-TrH)*1.163)/3600,3),ROUND(H42/(500*(TaH-TrH)),2))</f>
        <v>0.42</v>
      </c>
      <c r="K42" s="84"/>
      <c r="L42" s="177">
        <f>CHOOSE(Basis!$E$1,((AJ42*(J42*3600/Basis!$E$5)^AK42*(((MID(C42,9,3)*10)-144)/1000)*AL42+AM42*(J42*3600/Basis!$E$5)^2)*0.0098)/Basis!$E$10,((AJ42*(J42/Basis!$E$5)^AK42*(((MID(C42,9,3)*10)-144)/1000)*AL42+AM42*(J42/Basis!$E$5)^2)*0.0098)/Basis!$E$10)</f>
        <v>1.9575082342513456E-2</v>
      </c>
      <c r="M42" s="85"/>
      <c r="N42" s="185">
        <v>1.4079999999999999</v>
      </c>
      <c r="O42" s="186"/>
      <c r="P42" s="187">
        <v>1962</v>
      </c>
      <c r="R42" s="2"/>
      <c r="S42" s="2"/>
      <c r="T42" s="2"/>
      <c r="U42" s="2"/>
      <c r="V42" s="2"/>
      <c r="X42" s="38"/>
      <c r="Y42" s="38"/>
      <c r="Z42" s="38"/>
      <c r="AA42" s="38"/>
      <c r="AB42" s="38"/>
      <c r="AD42" s="2"/>
      <c r="AE42" s="2"/>
      <c r="AF42" s="2"/>
      <c r="AG42" s="2"/>
      <c r="AH42" s="2"/>
      <c r="AJ42" s="125">
        <v>2.0829999999999999E-4</v>
      </c>
      <c r="AK42" s="131">
        <v>1.724</v>
      </c>
      <c r="AL42" s="128">
        <v>2</v>
      </c>
      <c r="AM42" s="125">
        <v>4.6182900000000003E-4</v>
      </c>
      <c r="AO42" s="10"/>
      <c r="AP42" s="10"/>
      <c r="AQ42" s="10"/>
      <c r="AR42" s="10"/>
      <c r="AS42" s="10"/>
      <c r="AU42" s="2"/>
      <c r="AV42" s="2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</row>
    <row r="43" spans="1:73" customFormat="1" ht="12.75" customHeight="1" x14ac:dyDescent="0.25">
      <c r="A43" s="72" t="s">
        <v>20</v>
      </c>
      <c r="B43" s="184" t="s">
        <v>3089</v>
      </c>
      <c r="C43" s="44" t="s">
        <v>2992</v>
      </c>
      <c r="D43" s="45">
        <f>MROUND(MID($C43,6,3)/Basis!$E$3,0.5)</f>
        <v>14</v>
      </c>
      <c r="E43" s="45">
        <f>MROUND(MID($C43,9,3)/Basis!$E$3,0.5)</f>
        <v>78.5</v>
      </c>
      <c r="F43" s="237" t="str">
        <f t="shared" si="0"/>
        <v>05</v>
      </c>
      <c r="G43" s="45">
        <f>ROUND((ROUNDDOWN($F43/5,0)*5+2.2)/Basis!$E$3,1)</f>
        <v>2.8</v>
      </c>
      <c r="H43" s="120">
        <f>ROUND($P43*Basis!$E$2*((TaH-TrH)/LN(1/µ)/Basis!$E$7)^$N43*$AA$4*Glycol,0)</f>
        <v>2168</v>
      </c>
      <c r="I43" s="83">
        <f>ROUND(H43/(MID($C43,9,3)/Basis!$E$3/Basis!$E$9)*Basis!$E$11,0)</f>
        <v>330</v>
      </c>
      <c r="J43" s="123">
        <f>IF(Basis!$E$1=1,ROUND(H43/((TaH-TrH)*1.163)/3600,3),ROUND(H43/(500*(TaH-TrH)),2))</f>
        <v>0.22</v>
      </c>
      <c r="K43" s="84"/>
      <c r="L43" s="177">
        <f>CHOOSE(Basis!$E$1,((AJ43*(J43*3600/Basis!$E$5)^AK43*(((MID(C43,9,3)*10)-144)/1000)*AL43+AM43*(J43*3600/Basis!$E$5)^2)*0.0098)/Basis!$E$10,((AJ43*(J43/Basis!$E$5)^AK43*(((MID(C43,9,3)*10)-144)/1000)*AL43+AM43*(J43/Basis!$E$5)^2)*0.0098)/Basis!$E$10)</f>
        <v>1.611442639786214E-2</v>
      </c>
      <c r="M43" s="85"/>
      <c r="N43" s="185">
        <v>1.3919999999999999</v>
      </c>
      <c r="O43" s="186"/>
      <c r="P43" s="187">
        <v>1006</v>
      </c>
      <c r="R43" s="2"/>
      <c r="S43" s="2"/>
      <c r="T43" s="2"/>
      <c r="U43" s="2"/>
      <c r="V43" s="2"/>
      <c r="X43" s="38"/>
      <c r="Y43" s="38"/>
      <c r="Z43" s="38"/>
      <c r="AA43" s="38"/>
      <c r="AB43" s="38"/>
      <c r="AD43" s="2"/>
      <c r="AE43" s="2"/>
      <c r="AF43" s="2"/>
      <c r="AG43" s="2"/>
      <c r="AH43" s="2"/>
      <c r="AJ43" s="191">
        <v>9.3669999999999995E-4</v>
      </c>
      <c r="AK43" s="192">
        <v>1.789841</v>
      </c>
      <c r="AL43" s="193">
        <v>2</v>
      </c>
      <c r="AM43" s="191">
        <v>4.4559999999999999E-4</v>
      </c>
      <c r="AO43" s="10"/>
      <c r="AP43" s="10"/>
      <c r="AQ43" s="10"/>
      <c r="AR43" s="10"/>
      <c r="AS43" s="10"/>
      <c r="AU43" s="2"/>
      <c r="AV43" s="2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</row>
    <row r="44" spans="1:73" customFormat="1" ht="12.75" customHeight="1" x14ac:dyDescent="0.25">
      <c r="A44" s="72" t="s">
        <v>20</v>
      </c>
      <c r="B44" s="184" t="s">
        <v>3089</v>
      </c>
      <c r="C44" s="44" t="s">
        <v>3004</v>
      </c>
      <c r="D44" s="45">
        <f>MROUND(MID($C44,6,3)/Basis!$E$3,0.5)</f>
        <v>14</v>
      </c>
      <c r="E44" s="45">
        <f>MROUND(MID($C44,9,3)/Basis!$E$3,0.5)</f>
        <v>78.5</v>
      </c>
      <c r="F44" s="237" t="str">
        <f t="shared" si="0"/>
        <v>10</v>
      </c>
      <c r="G44" s="45">
        <f>ROUND((ROUNDDOWN($F44/5,0)*5+2.2)/Basis!$E$3,1)</f>
        <v>4.8</v>
      </c>
      <c r="H44" s="120">
        <f>ROUND($P44*Basis!$E$2*((TaH-TrH)/LN(1/µ)/Basis!$E$7)^$N44*$AA$4*Glycol,0)</f>
        <v>3047</v>
      </c>
      <c r="I44" s="83">
        <f>ROUND(H44/(MID($C44,9,3)/Basis!$E$3/Basis!$E$9)*Basis!$E$11,0)</f>
        <v>464</v>
      </c>
      <c r="J44" s="123">
        <f>IF(Basis!$E$1=1,ROUND(H44/((TaH-TrH)*1.163)/3600,3),ROUND(H44/(500*(TaH-TrH)),2))</f>
        <v>0.3</v>
      </c>
      <c r="K44" s="84"/>
      <c r="L44" s="177">
        <f>CHOOSE(Basis!$E$1,((AJ44*(J44*3600/Basis!$E$5)^AK44*(((MID(C44,9,3)*10)-144)/1000)*AL44+AM44*(J44*3600/Basis!$E$5)^2)*0.0098)/Basis!$E$10,((AJ44*(J44/Basis!$E$5)^AK44*(((MID(C44,9,3)*10)-144)/1000)*AL44+AM44*(J44/Basis!$E$5)^2)*0.0098)/Basis!$E$10)</f>
        <v>1.2870887462416172E-2</v>
      </c>
      <c r="M44" s="85"/>
      <c r="N44" s="185">
        <v>1.41</v>
      </c>
      <c r="O44" s="186"/>
      <c r="P44" s="187">
        <v>1422</v>
      </c>
      <c r="R44" s="2"/>
      <c r="S44" s="2"/>
      <c r="T44" s="2"/>
      <c r="U44" s="2"/>
      <c r="V44" s="2"/>
      <c r="X44" s="38"/>
      <c r="Y44" s="38"/>
      <c r="Z44" s="38"/>
      <c r="AA44" s="38"/>
      <c r="AB44" s="38"/>
      <c r="AD44" s="2"/>
      <c r="AE44" s="2"/>
      <c r="AF44" s="2"/>
      <c r="AG44" s="2"/>
      <c r="AH44" s="2"/>
      <c r="AJ44" s="126">
        <v>3.9689999999999994E-4</v>
      </c>
      <c r="AK44" s="132">
        <v>1.7345999999999999</v>
      </c>
      <c r="AL44" s="129">
        <v>2</v>
      </c>
      <c r="AM44" s="126">
        <v>3.6734700000000002E-4</v>
      </c>
      <c r="AO44" s="10"/>
      <c r="AP44" s="10"/>
      <c r="AQ44" s="10"/>
      <c r="AR44" s="10"/>
      <c r="AS44" s="10"/>
      <c r="AU44" s="2"/>
      <c r="AV44" s="2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</row>
    <row r="45" spans="1:73" customFormat="1" ht="12.75" customHeight="1" x14ac:dyDescent="0.25">
      <c r="A45" s="72" t="s">
        <v>20</v>
      </c>
      <c r="B45" s="184" t="s">
        <v>3089</v>
      </c>
      <c r="C45" s="44" t="s">
        <v>3016</v>
      </c>
      <c r="D45" s="45">
        <f>MROUND(MID($C45,6,3)/Basis!$E$3,0.5)</f>
        <v>14</v>
      </c>
      <c r="E45" s="45">
        <f>MROUND(MID($C45,9,3)/Basis!$E$3,0.5)</f>
        <v>78.5</v>
      </c>
      <c r="F45" s="237" t="str">
        <f t="shared" si="0"/>
        <v>15</v>
      </c>
      <c r="G45" s="45">
        <f>ROUND((ROUNDDOWN($F45/5,0)*5+2.2)/Basis!$E$3,1)</f>
        <v>6.8</v>
      </c>
      <c r="H45" s="120">
        <f>ROUND($P45*Basis!$E$2*((TaH-TrH)/LN(1/µ)/Basis!$E$7)^$N45*$AA$4*Glycol,0)</f>
        <v>4674</v>
      </c>
      <c r="I45" s="83">
        <f>ROUND(H45/(MID($C45,9,3)/Basis!$E$3/Basis!$E$9)*Basis!$E$11,0)</f>
        <v>712</v>
      </c>
      <c r="J45" s="123">
        <f>IF(Basis!$E$1=1,ROUND(H45/((TaH-TrH)*1.163)/3600,3),ROUND(H45/(500*(TaH-TrH)),2))</f>
        <v>0.47</v>
      </c>
      <c r="K45" s="84"/>
      <c r="L45" s="177">
        <f>CHOOSE(Basis!$E$1,((AJ45*(J45*3600/Basis!$E$5)^AK45*(((MID(C45,9,3)*10)-144)/1000)*AL45+AM45*(J45*3600/Basis!$E$5)^2)*0.0098)/Basis!$E$10,((AJ45*(J45/Basis!$E$5)^AK45*(((MID(C45,9,3)*10)-144)/1000)*AL45+AM45*(J45/Basis!$E$5)^2)*0.0098)/Basis!$E$10)</f>
        <v>2.5145301667064975E-2</v>
      </c>
      <c r="M45" s="85"/>
      <c r="N45" s="185">
        <v>1.4079999999999999</v>
      </c>
      <c r="O45" s="186"/>
      <c r="P45" s="187">
        <v>2180</v>
      </c>
      <c r="R45" s="2"/>
      <c r="S45" s="2"/>
      <c r="T45" s="2"/>
      <c r="U45" s="2"/>
      <c r="V45" s="2"/>
      <c r="X45" s="38"/>
      <c r="Y45" s="38"/>
      <c r="Z45" s="38"/>
      <c r="AA45" s="38"/>
      <c r="AB45" s="38"/>
      <c r="AD45" s="2"/>
      <c r="AE45" s="2"/>
      <c r="AF45" s="2"/>
      <c r="AG45" s="2"/>
      <c r="AH45" s="2"/>
      <c r="AJ45" s="125">
        <v>2.0829999999999999E-4</v>
      </c>
      <c r="AK45" s="131">
        <v>1.724</v>
      </c>
      <c r="AL45" s="128">
        <v>2</v>
      </c>
      <c r="AM45" s="125">
        <v>4.6182900000000003E-4</v>
      </c>
      <c r="AO45" s="10"/>
      <c r="AP45" s="10"/>
      <c r="AQ45" s="10"/>
      <c r="AR45" s="10"/>
      <c r="AS45" s="10"/>
      <c r="AU45" s="2"/>
      <c r="AV45" s="2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</row>
    <row r="46" spans="1:73" customFormat="1" ht="12.75" customHeight="1" x14ac:dyDescent="0.25">
      <c r="A46" s="72" t="s">
        <v>20</v>
      </c>
      <c r="B46" s="184" t="s">
        <v>3089</v>
      </c>
      <c r="C46" s="236" t="s">
        <v>4084</v>
      </c>
      <c r="D46" s="45">
        <f>MROUND(MID($C46,6,3)/Basis!$E$3,0.5)</f>
        <v>14</v>
      </c>
      <c r="E46" s="45">
        <f>MROUND(MID($C46,9,3)/Basis!$E$3,0.5)</f>
        <v>86.5</v>
      </c>
      <c r="F46" s="237" t="str">
        <f t="shared" si="0"/>
        <v>05</v>
      </c>
      <c r="G46" s="45">
        <f>ROUND((ROUNDDOWN($F46/5,0)*5+2.2)/Basis!$E$3,1)</f>
        <v>2.8</v>
      </c>
      <c r="H46" s="120">
        <f>ROUND($P46*Basis!$E$2*((TaH-TrH)/LN(1/µ)/Basis!$E$7)^$N46*$AA$4*Glycol,0)</f>
        <v>2386</v>
      </c>
      <c r="I46" s="83">
        <f>ROUND(H46/(MID($C46,9,3)/Basis!$E$3/Basis!$E$9)*Basis!$E$11,0)</f>
        <v>331</v>
      </c>
      <c r="J46" s="123">
        <f>IF(Basis!$E$1=1,ROUND(H46/((TaH-TrH)*1.163)/3600,3),ROUND(H46/(500*(TaH-TrH)),2))</f>
        <v>0.24</v>
      </c>
      <c r="K46" s="84"/>
      <c r="L46" s="177">
        <f>CHOOSE(Basis!$E$1,((AJ46*(J46*3600/Basis!$E$5)^AK46*(((MID(C46,9,3)*10)-144)/1000)*AL46+AM46*(J46*3600/Basis!$E$5)^2)*0.0098)/Basis!$E$10,((AJ46*(J46/Basis!$E$5)^AK46*(((MID(C46,9,3)*10)-144)/1000)*AL46+AM46*(J46/Basis!$E$5)^2)*0.0098)/Basis!$E$10)</f>
        <v>2.047948868232824E-2</v>
      </c>
      <c r="M46" s="85"/>
      <c r="N46" s="185">
        <v>1.3919999999999999</v>
      </c>
      <c r="O46" s="186"/>
      <c r="P46" s="187">
        <v>1107</v>
      </c>
      <c r="R46" s="2"/>
      <c r="S46" s="2"/>
      <c r="T46" s="2"/>
      <c r="U46" s="2"/>
      <c r="V46" s="2"/>
      <c r="X46" s="38"/>
      <c r="Y46" s="38"/>
      <c r="Z46" s="38"/>
      <c r="AA46" s="38"/>
      <c r="AB46" s="38"/>
      <c r="AD46" s="2"/>
      <c r="AE46" s="2"/>
      <c r="AF46" s="2"/>
      <c r="AG46" s="2"/>
      <c r="AH46" s="2"/>
      <c r="AJ46" s="191">
        <v>9.3669999999999995E-4</v>
      </c>
      <c r="AK46" s="192">
        <v>1.789841</v>
      </c>
      <c r="AL46" s="193">
        <v>2</v>
      </c>
      <c r="AM46" s="191">
        <v>4.4559999999999999E-4</v>
      </c>
      <c r="AO46" s="10"/>
      <c r="AP46" s="10"/>
      <c r="AQ46" s="10"/>
      <c r="AR46" s="10"/>
      <c r="AS46" s="10"/>
      <c r="AU46" s="2"/>
      <c r="AV46" s="2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</row>
    <row r="47" spans="1:73" customFormat="1" ht="12.75" customHeight="1" x14ac:dyDescent="0.25">
      <c r="A47" s="72" t="s">
        <v>20</v>
      </c>
      <c r="B47" s="184" t="s">
        <v>3089</v>
      </c>
      <c r="C47" s="236" t="s">
        <v>4088</v>
      </c>
      <c r="D47" s="45">
        <f>MROUND(MID($C47,6,3)/Basis!$E$3,0.5)</f>
        <v>14</v>
      </c>
      <c r="E47" s="45">
        <f>MROUND(MID($C47,9,3)/Basis!$E$3,0.5)</f>
        <v>86.5</v>
      </c>
      <c r="F47" s="237" t="str">
        <f t="shared" si="0"/>
        <v>10</v>
      </c>
      <c r="G47" s="45">
        <f>ROUND((ROUNDDOWN($F47/5,0)*5+2.2)/Basis!$E$3,1)</f>
        <v>4.8</v>
      </c>
      <c r="H47" s="120">
        <f>ROUND($P47*Basis!$E$2*((TaH-TrH)/LN(1/µ)/Basis!$E$7)^$N47*$AA$4*Glycol,0)</f>
        <v>3351</v>
      </c>
      <c r="I47" s="83">
        <f>ROUND(H47/(MID($C47,9,3)/Basis!$E$3/Basis!$E$9)*Basis!$E$11,0)</f>
        <v>464</v>
      </c>
      <c r="J47" s="123">
        <f>IF(Basis!$E$1=1,ROUND(H47/((TaH-TrH)*1.163)/3600,3),ROUND(H47/(500*(TaH-TrH)),2))</f>
        <v>0.34</v>
      </c>
      <c r="K47" s="84"/>
      <c r="L47" s="177">
        <f>CHOOSE(Basis!$E$1,((AJ47*(J47*3600/Basis!$E$5)^AK47*(((MID(C47,9,3)*10)-144)/1000)*AL47+AM47*(J47*3600/Basis!$E$5)^2)*0.0098)/Basis!$E$10,((AJ47*(J47/Basis!$E$5)^AK47*(((MID(C47,9,3)*10)-144)/1000)*AL47+AM47*(J47/Basis!$E$5)^2)*0.0098)/Basis!$E$10)</f>
        <v>1.7202457020732129E-2</v>
      </c>
      <c r="M47" s="85"/>
      <c r="N47" s="185">
        <v>1.41</v>
      </c>
      <c r="O47" s="186"/>
      <c r="P47" s="187">
        <v>1564</v>
      </c>
      <c r="R47" s="2"/>
      <c r="S47" s="2"/>
      <c r="T47" s="2"/>
      <c r="U47" s="2"/>
      <c r="V47" s="2"/>
      <c r="X47" s="38"/>
      <c r="Y47" s="38"/>
      <c r="Z47" s="38"/>
      <c r="AA47" s="38"/>
      <c r="AB47" s="38"/>
      <c r="AD47" s="2"/>
      <c r="AE47" s="2"/>
      <c r="AF47" s="2"/>
      <c r="AG47" s="2"/>
      <c r="AH47" s="2"/>
      <c r="AJ47" s="126">
        <v>3.9689999999999994E-4</v>
      </c>
      <c r="AK47" s="132">
        <v>1.7345999999999999</v>
      </c>
      <c r="AL47" s="129">
        <v>2</v>
      </c>
      <c r="AM47" s="126">
        <v>3.6734700000000002E-4</v>
      </c>
      <c r="AO47" s="10"/>
      <c r="AP47" s="10"/>
      <c r="AQ47" s="10"/>
      <c r="AR47" s="10"/>
      <c r="AS47" s="10"/>
      <c r="AU47" s="2"/>
      <c r="AV47" s="2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</row>
    <row r="48" spans="1:73" customFormat="1" ht="12.75" customHeight="1" x14ac:dyDescent="0.25">
      <c r="A48" s="72" t="s">
        <v>20</v>
      </c>
      <c r="B48" s="184" t="s">
        <v>3089</v>
      </c>
      <c r="C48" s="236" t="s">
        <v>4092</v>
      </c>
      <c r="D48" s="45">
        <f>MROUND(MID($C48,6,3)/Basis!$E$3,0.5)</f>
        <v>14</v>
      </c>
      <c r="E48" s="45">
        <f>MROUND(MID($C48,9,3)/Basis!$E$3,0.5)</f>
        <v>86.5</v>
      </c>
      <c r="F48" s="237" t="str">
        <f t="shared" si="0"/>
        <v>15</v>
      </c>
      <c r="G48" s="45">
        <f>ROUND((ROUNDDOWN($F48/5,0)*5+2.2)/Basis!$E$3,1)</f>
        <v>6.8</v>
      </c>
      <c r="H48" s="120">
        <f>ROUND($P48*Basis!$E$2*((TaH-TrH)/LN(1/µ)/Basis!$E$7)^$N48*$AA$4*Glycol,0)</f>
        <v>5141</v>
      </c>
      <c r="I48" s="83">
        <f>ROUND(H48/(MID($C48,9,3)/Basis!$E$3/Basis!$E$9)*Basis!$E$11,0)</f>
        <v>712</v>
      </c>
      <c r="J48" s="123">
        <f>IF(Basis!$E$1=1,ROUND(H48/((TaH-TrH)*1.163)/3600,3),ROUND(H48/(500*(TaH-TrH)),2))</f>
        <v>0.51</v>
      </c>
      <c r="K48" s="84"/>
      <c r="L48" s="177">
        <f>CHOOSE(Basis!$E$1,((AJ48*(J48*3600/Basis!$E$5)^AK48*(((MID(C48,9,3)*10)-144)/1000)*AL48+AM48*(J48*3600/Basis!$E$5)^2)*0.0098)/Basis!$E$10,((AJ48*(J48/Basis!$E$5)^AK48*(((MID(C48,9,3)*10)-144)/1000)*AL48+AM48*(J48/Basis!$E$5)^2)*0.0098)/Basis!$E$10)</f>
        <v>3.0383859745280586E-2</v>
      </c>
      <c r="M48" s="85"/>
      <c r="N48" s="185">
        <v>1.4079999999999999</v>
      </c>
      <c r="O48" s="186"/>
      <c r="P48" s="187">
        <v>2398</v>
      </c>
      <c r="R48" s="2"/>
      <c r="S48" s="2"/>
      <c r="T48" s="2"/>
      <c r="U48" s="2"/>
      <c r="V48" s="2"/>
      <c r="X48" s="38"/>
      <c r="Y48" s="38"/>
      <c r="Z48" s="38"/>
      <c r="AA48" s="38"/>
      <c r="AB48" s="38"/>
      <c r="AD48" s="2"/>
      <c r="AE48" s="2"/>
      <c r="AF48" s="2"/>
      <c r="AG48" s="2"/>
      <c r="AH48" s="2"/>
      <c r="AJ48" s="125">
        <v>2.0829999999999999E-4</v>
      </c>
      <c r="AK48" s="131">
        <v>1.724</v>
      </c>
      <c r="AL48" s="128">
        <v>2</v>
      </c>
      <c r="AM48" s="125">
        <v>4.6182900000000003E-4</v>
      </c>
      <c r="AO48" s="10"/>
      <c r="AP48" s="10"/>
      <c r="AQ48" s="10"/>
      <c r="AR48" s="10"/>
      <c r="AS48" s="10"/>
      <c r="AU48" s="2"/>
      <c r="AV48" s="2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</row>
    <row r="49" spans="1:73" customFormat="1" ht="12.75" customHeight="1" x14ac:dyDescent="0.25">
      <c r="A49" s="72" t="s">
        <v>20</v>
      </c>
      <c r="B49" s="184" t="s">
        <v>3089</v>
      </c>
      <c r="C49" s="236" t="s">
        <v>4085</v>
      </c>
      <c r="D49" s="45">
        <f>MROUND(MID($C49,6,3)/Basis!$E$3,0.5)</f>
        <v>14</v>
      </c>
      <c r="E49" s="45">
        <f>MROUND(MID($C49,9,3)/Basis!$E$3,0.5)</f>
        <v>94.5</v>
      </c>
      <c r="F49" s="237" t="str">
        <f t="shared" si="0"/>
        <v>05</v>
      </c>
      <c r="G49" s="45">
        <f>ROUND((ROUNDDOWN($F49/5,0)*5+2.2)/Basis!$E$3,1)</f>
        <v>2.8</v>
      </c>
      <c r="H49" s="120">
        <f>ROUND($P49*Basis!$E$2*((TaH-TrH)/LN(1/µ)/Basis!$E$7)^$N49*$AA$4*Glycol,0)</f>
        <v>2601</v>
      </c>
      <c r="I49" s="83">
        <f>ROUND(H49/(MID($C49,9,3)/Basis!$E$3/Basis!$E$9)*Basis!$E$11,0)</f>
        <v>330</v>
      </c>
      <c r="J49" s="123">
        <f>IF(Basis!$E$1=1,ROUND(H49/((TaH-TrH)*1.163)/3600,3),ROUND(H49/(500*(TaH-TrH)),2))</f>
        <v>0.26</v>
      </c>
      <c r="K49" s="84"/>
      <c r="L49" s="177">
        <f>CHOOSE(Basis!$E$1,((AJ49*(J49*3600/Basis!$E$5)^AK49*(((MID(C49,9,3)*10)-144)/1000)*AL49+AM49*(J49*3600/Basis!$E$5)^2)*0.0098)/Basis!$E$10,((AJ49*(J49/Basis!$E$5)^AK49*(((MID(C49,9,3)*10)-144)/1000)*AL49+AM49*(J49/Basis!$E$5)^2)*0.0098)/Basis!$E$10)</f>
        <v>2.5531816468014255E-2</v>
      </c>
      <c r="M49" s="85"/>
      <c r="N49" s="185">
        <v>1.3919999999999999</v>
      </c>
      <c r="O49" s="186"/>
      <c r="P49" s="187">
        <v>1207</v>
      </c>
      <c r="R49" s="2"/>
      <c r="S49" s="2"/>
      <c r="T49" s="2"/>
      <c r="U49" s="2"/>
      <c r="V49" s="2"/>
      <c r="X49" s="38"/>
      <c r="Y49" s="38"/>
      <c r="Z49" s="38"/>
      <c r="AA49" s="38"/>
      <c r="AB49" s="38"/>
      <c r="AD49" s="2"/>
      <c r="AE49" s="2"/>
      <c r="AF49" s="2"/>
      <c r="AG49" s="2"/>
      <c r="AH49" s="2"/>
      <c r="AJ49" s="191">
        <v>9.3669999999999995E-4</v>
      </c>
      <c r="AK49" s="192">
        <v>1.789841</v>
      </c>
      <c r="AL49" s="193">
        <v>2</v>
      </c>
      <c r="AM49" s="191">
        <v>4.4559999999999999E-4</v>
      </c>
      <c r="AO49" s="10"/>
      <c r="AP49" s="10"/>
      <c r="AQ49" s="10"/>
      <c r="AR49" s="10"/>
      <c r="AS49" s="10"/>
      <c r="AU49" s="2"/>
      <c r="AV49" s="2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</row>
    <row r="50" spans="1:73" customFormat="1" ht="12.75" customHeight="1" x14ac:dyDescent="0.25">
      <c r="A50" s="72" t="s">
        <v>20</v>
      </c>
      <c r="B50" s="184" t="s">
        <v>3089</v>
      </c>
      <c r="C50" s="236" t="s">
        <v>4089</v>
      </c>
      <c r="D50" s="45">
        <f>MROUND(MID($C50,6,3)/Basis!$E$3,0.5)</f>
        <v>14</v>
      </c>
      <c r="E50" s="45">
        <f>MROUND(MID($C50,9,3)/Basis!$E$3,0.5)</f>
        <v>94.5</v>
      </c>
      <c r="F50" s="237" t="str">
        <f t="shared" si="0"/>
        <v>10</v>
      </c>
      <c r="G50" s="45">
        <f>ROUND((ROUNDDOWN($F50/5,0)*5+2.2)/Basis!$E$3,1)</f>
        <v>4.8</v>
      </c>
      <c r="H50" s="120">
        <f>ROUND($P50*Basis!$E$2*((TaH-TrH)/LN(1/µ)/Basis!$E$7)^$N50*$AA$4*Glycol,0)</f>
        <v>3655</v>
      </c>
      <c r="I50" s="83">
        <f>ROUND(H50/(MID($C50,9,3)/Basis!$E$3/Basis!$E$9)*Basis!$E$11,0)</f>
        <v>464</v>
      </c>
      <c r="J50" s="123">
        <f>IF(Basis!$E$1=1,ROUND(H50/((TaH-TrH)*1.163)/3600,3),ROUND(H50/(500*(TaH-TrH)),2))</f>
        <v>0.37</v>
      </c>
      <c r="K50" s="84"/>
      <c r="L50" s="177">
        <f>CHOOSE(Basis!$E$1,((AJ50*(J50*3600/Basis!$E$5)^AK50*(((MID(C50,9,3)*10)-144)/1000)*AL50+AM50*(J50*3600/Basis!$E$5)^2)*0.0098)/Basis!$E$10,((AJ50*(J50/Basis!$E$5)^AK50*(((MID(C50,9,3)*10)-144)/1000)*AL50+AM50*(J50/Basis!$E$5)^2)*0.0098)/Basis!$E$10)</f>
        <v>2.1239183856671472E-2</v>
      </c>
      <c r="M50" s="85"/>
      <c r="N50" s="185">
        <v>1.41</v>
      </c>
      <c r="O50" s="186"/>
      <c r="P50" s="187">
        <v>1706</v>
      </c>
      <c r="R50" s="2"/>
      <c r="S50" s="2"/>
      <c r="T50" s="2"/>
      <c r="U50" s="2"/>
      <c r="V50" s="2"/>
      <c r="X50" s="38"/>
      <c r="Y50" s="38"/>
      <c r="Z50" s="38"/>
      <c r="AA50" s="38"/>
      <c r="AB50" s="38"/>
      <c r="AD50" s="2"/>
      <c r="AE50" s="2"/>
      <c r="AF50" s="2"/>
      <c r="AG50" s="2"/>
      <c r="AH50" s="2"/>
      <c r="AJ50" s="126">
        <v>3.9689999999999994E-4</v>
      </c>
      <c r="AK50" s="132">
        <v>1.7345999999999999</v>
      </c>
      <c r="AL50" s="129">
        <v>2</v>
      </c>
      <c r="AM50" s="126">
        <v>3.6734700000000002E-4</v>
      </c>
      <c r="AO50" s="10"/>
      <c r="AP50" s="10"/>
      <c r="AQ50" s="10"/>
      <c r="AR50" s="10"/>
      <c r="AS50" s="10"/>
      <c r="AU50" s="2"/>
      <c r="AV50" s="2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</row>
    <row r="51" spans="1:73" customFormat="1" ht="12.75" customHeight="1" x14ac:dyDescent="0.25">
      <c r="A51" s="72" t="s">
        <v>20</v>
      </c>
      <c r="B51" s="184" t="s">
        <v>3089</v>
      </c>
      <c r="C51" s="44" t="s">
        <v>4056</v>
      </c>
      <c r="D51" s="45">
        <f>MROUND(MID($C51,6,3)/Basis!$E$3,0.5)</f>
        <v>14</v>
      </c>
      <c r="E51" s="45">
        <f>MROUND(MID($C51,9,3)/Basis!$E$3,0.5)</f>
        <v>94.5</v>
      </c>
      <c r="F51" s="237" t="str">
        <f t="shared" si="0"/>
        <v>15</v>
      </c>
      <c r="G51" s="45">
        <f>ROUND((ROUNDDOWN($F51/5,0)*5+2.2)/Basis!$E$3,1)</f>
        <v>6.8</v>
      </c>
      <c r="H51" s="120">
        <f>ROUND($P51*Basis!$E$2*((TaH-TrH)/LN(1/µ)/Basis!$E$7)^$N51*$AA$4*Glycol,0)</f>
        <v>5608</v>
      </c>
      <c r="I51" s="83">
        <f>ROUND(H51/(MID($C51,9,3)/Basis!$E$3/Basis!$E$9)*Basis!$E$11,0)</f>
        <v>712</v>
      </c>
      <c r="J51" s="123">
        <f>IF(Basis!$E$1=1,ROUND(H51/((TaH-TrH)*1.163)/3600,3),ROUND(H51/(500*(TaH-TrH)),2))</f>
        <v>0.56000000000000005</v>
      </c>
      <c r="K51" s="84"/>
      <c r="L51" s="177">
        <f>CHOOSE(Basis!$E$1,((AJ51*(J51*3600/Basis!$E$5)^AK51*(((MID(C51,9,3)*10)-144)/1000)*AL51+AM51*(J51*3600/Basis!$E$5)^2)*0.0098)/Basis!$E$10,((AJ51*(J51/Basis!$E$5)^AK51*(((MID(C51,9,3)*10)-144)/1000)*AL51+AM51*(J51/Basis!$E$5)^2)*0.0098)/Basis!$E$10)</f>
        <v>3.747951055948457E-2</v>
      </c>
      <c r="M51" s="85"/>
      <c r="N51" s="185">
        <v>1.4079999999999999</v>
      </c>
      <c r="O51" s="186"/>
      <c r="P51" s="187">
        <v>2616</v>
      </c>
      <c r="R51" s="2"/>
      <c r="S51" s="2"/>
      <c r="T51" s="2"/>
      <c r="U51" s="2"/>
      <c r="V51" s="2"/>
      <c r="X51" s="38"/>
      <c r="Y51" s="38"/>
      <c r="Z51" s="38"/>
      <c r="AA51" s="38"/>
      <c r="AB51" s="38"/>
      <c r="AD51" s="2"/>
      <c r="AE51" s="2"/>
      <c r="AF51" s="2"/>
      <c r="AG51" s="2"/>
      <c r="AH51" s="2"/>
      <c r="AJ51" s="125">
        <v>2.0829999999999999E-4</v>
      </c>
      <c r="AK51" s="131">
        <v>1.724</v>
      </c>
      <c r="AL51" s="128">
        <v>2</v>
      </c>
      <c r="AM51" s="125">
        <v>4.6182900000000003E-4</v>
      </c>
      <c r="AO51" s="10"/>
      <c r="AP51" s="10"/>
      <c r="AQ51" s="10"/>
      <c r="AR51" s="10"/>
      <c r="AS51" s="10"/>
      <c r="AU51" s="2"/>
      <c r="AV51" s="2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</row>
    <row r="52" spans="1:73" customFormat="1" ht="12.75" customHeight="1" x14ac:dyDescent="0.25">
      <c r="A52" s="72" t="s">
        <v>20</v>
      </c>
      <c r="B52" s="184" t="s">
        <v>3089</v>
      </c>
      <c r="C52" s="236" t="s">
        <v>4086</v>
      </c>
      <c r="D52" s="45">
        <f>MROUND(MID($C52,6,3)/Basis!$E$3,0.5)</f>
        <v>14</v>
      </c>
      <c r="E52" s="45">
        <f>MROUND(MID($C52,9,3)/Basis!$E$3,0.5)</f>
        <v>102.5</v>
      </c>
      <c r="F52" s="237" t="str">
        <f t="shared" si="0"/>
        <v>05</v>
      </c>
      <c r="G52" s="45">
        <f>ROUND((ROUNDDOWN($F52/5,0)*5+2.2)/Basis!$E$3,1)</f>
        <v>2.8</v>
      </c>
      <c r="H52" s="120">
        <f>ROUND($P52*Basis!$E$2*((TaH-TrH)/LN(1/µ)/Basis!$E$7)^$N52*$AA$4*Glycol,0)</f>
        <v>2819</v>
      </c>
      <c r="I52" s="83">
        <f>ROUND(H52/(MID($C52,9,3)/Basis!$E$3/Basis!$E$9)*Basis!$E$11,0)</f>
        <v>330</v>
      </c>
      <c r="J52" s="123">
        <f>IF(Basis!$E$1=1,ROUND(H52/((TaH-TrH)*1.163)/3600,3),ROUND(H52/(500*(TaH-TrH)),2))</f>
        <v>0.28000000000000003</v>
      </c>
      <c r="K52" s="84"/>
      <c r="L52" s="177">
        <f>CHOOSE(Basis!$E$1,((AJ52*(J52*3600/Basis!$E$5)^AK52*(((MID(C52,9,3)*10)-144)/1000)*AL52+AM52*(J52*3600/Basis!$E$5)^2)*0.0098)/Basis!$E$10,((AJ52*(J52/Basis!$E$5)^AK52*(((MID(C52,9,3)*10)-144)/1000)*AL52+AM52*(J52/Basis!$E$5)^2)*0.0098)/Basis!$E$10)</f>
        <v>3.1314522796041272E-2</v>
      </c>
      <c r="M52" s="85"/>
      <c r="N52" s="185">
        <v>1.3919999999999999</v>
      </c>
      <c r="O52" s="186"/>
      <c r="P52" s="187">
        <v>1308</v>
      </c>
      <c r="R52" s="2"/>
      <c r="S52" s="2"/>
      <c r="T52" s="2"/>
      <c r="U52" s="2"/>
      <c r="V52" s="2"/>
      <c r="X52" s="38"/>
      <c r="Y52" s="38"/>
      <c r="Z52" s="38"/>
      <c r="AA52" s="38"/>
      <c r="AB52" s="38"/>
      <c r="AD52" s="2"/>
      <c r="AE52" s="2"/>
      <c r="AF52" s="2"/>
      <c r="AG52" s="2"/>
      <c r="AH52" s="2"/>
      <c r="AJ52" s="191">
        <v>9.3669999999999995E-4</v>
      </c>
      <c r="AK52" s="192">
        <v>1.789841</v>
      </c>
      <c r="AL52" s="193">
        <v>2</v>
      </c>
      <c r="AM52" s="191">
        <v>4.4559999999999999E-4</v>
      </c>
      <c r="AO52" s="10"/>
      <c r="AP52" s="10"/>
      <c r="AQ52" s="10"/>
      <c r="AR52" s="10"/>
      <c r="AS52" s="10"/>
      <c r="AU52" s="2"/>
      <c r="AV52" s="2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</row>
    <row r="53" spans="1:73" customFormat="1" ht="12.75" customHeight="1" x14ac:dyDescent="0.25">
      <c r="A53" s="72" t="s">
        <v>20</v>
      </c>
      <c r="B53" s="184" t="s">
        <v>3089</v>
      </c>
      <c r="C53" s="236" t="s">
        <v>4090</v>
      </c>
      <c r="D53" s="45">
        <f>MROUND(MID($C53,6,3)/Basis!$E$3,0.5)</f>
        <v>14</v>
      </c>
      <c r="E53" s="45">
        <f>MROUND(MID($C53,9,3)/Basis!$E$3,0.5)</f>
        <v>102.5</v>
      </c>
      <c r="F53" s="237" t="str">
        <f t="shared" si="0"/>
        <v>10</v>
      </c>
      <c r="G53" s="45">
        <f>ROUND((ROUNDDOWN($F53/5,0)*5+2.2)/Basis!$E$3,1)</f>
        <v>4.8</v>
      </c>
      <c r="H53" s="120">
        <f>ROUND($P53*Basis!$E$2*((TaH-TrH)/LN(1/µ)/Basis!$E$7)^$N53*$AA$4*Glycol,0)</f>
        <v>3961</v>
      </c>
      <c r="I53" s="83">
        <f>ROUND(H53/(MID($C53,9,3)/Basis!$E$3/Basis!$E$9)*Basis!$E$11,0)</f>
        <v>464</v>
      </c>
      <c r="J53" s="123">
        <f>IF(Basis!$E$1=1,ROUND(H53/((TaH-TrH)*1.163)/3600,3),ROUND(H53/(500*(TaH-TrH)),2))</f>
        <v>0.4</v>
      </c>
      <c r="K53" s="84"/>
      <c r="L53" s="177">
        <f>CHOOSE(Basis!$E$1,((AJ53*(J53*3600/Basis!$E$5)^AK53*(((MID(C53,9,3)*10)-144)/1000)*AL53+AM53*(J53*3600/Basis!$E$5)^2)*0.0098)/Basis!$E$10,((AJ53*(J53/Basis!$E$5)^AK53*(((MID(C53,9,3)*10)-144)/1000)*AL53+AM53*(J53/Basis!$E$5)^2)*0.0098)/Basis!$E$10)</f>
        <v>2.58123681466116E-2</v>
      </c>
      <c r="M53" s="85"/>
      <c r="N53" s="185">
        <v>1.41</v>
      </c>
      <c r="O53" s="186"/>
      <c r="P53" s="187">
        <v>1849</v>
      </c>
      <c r="R53" s="2"/>
      <c r="S53" s="2"/>
      <c r="T53" s="2"/>
      <c r="U53" s="2"/>
      <c r="V53" s="2"/>
      <c r="X53" s="38"/>
      <c r="Y53" s="38"/>
      <c r="Z53" s="38"/>
      <c r="AA53" s="38"/>
      <c r="AB53" s="38"/>
      <c r="AD53" s="2"/>
      <c r="AE53" s="2"/>
      <c r="AF53" s="2"/>
      <c r="AG53" s="2"/>
      <c r="AH53" s="2"/>
      <c r="AJ53" s="126">
        <v>3.9689999999999994E-4</v>
      </c>
      <c r="AK53" s="132">
        <v>1.7345999999999999</v>
      </c>
      <c r="AL53" s="129">
        <v>2</v>
      </c>
      <c r="AM53" s="126">
        <v>3.6734700000000002E-4</v>
      </c>
      <c r="AO53" s="10"/>
      <c r="AP53" s="10"/>
      <c r="AQ53" s="10"/>
      <c r="AR53" s="10"/>
      <c r="AS53" s="10"/>
      <c r="AU53" s="2"/>
      <c r="AV53" s="2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</row>
    <row r="54" spans="1:73" customFormat="1" ht="12.75" customHeight="1" x14ac:dyDescent="0.25">
      <c r="A54" s="72" t="s">
        <v>20</v>
      </c>
      <c r="B54" s="184" t="s">
        <v>3089</v>
      </c>
      <c r="C54" s="236" t="s">
        <v>4093</v>
      </c>
      <c r="D54" s="45">
        <f>MROUND(MID($C54,6,3)/Basis!$E$3,0.5)</f>
        <v>14</v>
      </c>
      <c r="E54" s="45">
        <f>MROUND(MID($C54,9,3)/Basis!$E$3,0.5)</f>
        <v>102.5</v>
      </c>
      <c r="F54" s="237" t="str">
        <f t="shared" si="0"/>
        <v>15</v>
      </c>
      <c r="G54" s="45">
        <f>ROUND((ROUNDDOWN($F54/5,0)*5+2.2)/Basis!$E$3,1)</f>
        <v>6.8</v>
      </c>
      <c r="H54" s="120">
        <f>ROUND($P54*Basis!$E$2*((TaH-TrH)/LN(1/µ)/Basis!$E$7)^$N54*$AA$4*Glycol,0)</f>
        <v>6076</v>
      </c>
      <c r="I54" s="83">
        <f>ROUND(H54/(MID($C54,9,3)/Basis!$E$3/Basis!$E$9)*Basis!$E$11,0)</f>
        <v>712</v>
      </c>
      <c r="J54" s="123">
        <f>IF(Basis!$E$1=1,ROUND(H54/((TaH-TrH)*1.163)/3600,3),ROUND(H54/(500*(TaH-TrH)),2))</f>
        <v>0.61</v>
      </c>
      <c r="K54" s="84"/>
      <c r="L54" s="177">
        <f>CHOOSE(Basis!$E$1,((AJ54*(J54*3600/Basis!$E$5)^AK54*(((MID(C54,9,3)*10)-144)/1000)*AL54+AM54*(J54*3600/Basis!$E$5)^2)*0.0098)/Basis!$E$10,((AJ54*(J54/Basis!$E$5)^AK54*(((MID(C54,9,3)*10)-144)/1000)*AL54+AM54*(J54/Basis!$E$5)^2)*0.0098)/Basis!$E$10)</f>
        <v>4.5450638697504757E-2</v>
      </c>
      <c r="M54" s="85"/>
      <c r="N54" s="185">
        <v>1.4079999999999999</v>
      </c>
      <c r="O54" s="186"/>
      <c r="P54" s="187">
        <v>2834</v>
      </c>
      <c r="R54" s="2"/>
      <c r="S54" s="2"/>
      <c r="T54" s="2"/>
      <c r="U54" s="2"/>
      <c r="V54" s="2"/>
      <c r="X54" s="38"/>
      <c r="Y54" s="38"/>
      <c r="Z54" s="38"/>
      <c r="AA54" s="38"/>
      <c r="AB54" s="38"/>
      <c r="AD54" s="2"/>
      <c r="AE54" s="2"/>
      <c r="AF54" s="2"/>
      <c r="AG54" s="2"/>
      <c r="AH54" s="2"/>
      <c r="AJ54" s="125">
        <v>2.0829999999999999E-4</v>
      </c>
      <c r="AK54" s="131">
        <v>1.724</v>
      </c>
      <c r="AL54" s="128">
        <v>2</v>
      </c>
      <c r="AM54" s="125">
        <v>4.6182900000000003E-4</v>
      </c>
      <c r="AO54" s="10"/>
      <c r="AP54" s="10"/>
      <c r="AQ54" s="10"/>
      <c r="AR54" s="10"/>
      <c r="AS54" s="10"/>
      <c r="AU54" s="2"/>
      <c r="AV54" s="2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</row>
    <row r="55" spans="1:73" customFormat="1" ht="12.75" customHeight="1" x14ac:dyDescent="0.25">
      <c r="A55" s="72" t="s">
        <v>20</v>
      </c>
      <c r="B55" s="184" t="s">
        <v>3089</v>
      </c>
      <c r="C55" s="236" t="s">
        <v>4087</v>
      </c>
      <c r="D55" s="45">
        <f>MROUND(MID($C55,6,3)/Basis!$E$3,0.5)</f>
        <v>14</v>
      </c>
      <c r="E55" s="45">
        <f>MROUND(MID($C55,9,3)/Basis!$E$3,0.5)</f>
        <v>110</v>
      </c>
      <c r="F55" s="237" t="str">
        <f t="shared" si="0"/>
        <v>05</v>
      </c>
      <c r="G55" s="45">
        <f>ROUND((ROUNDDOWN($F55/5,0)*5+2.2)/Basis!$E$3,1)</f>
        <v>2.8</v>
      </c>
      <c r="H55" s="120">
        <f>ROUND($P55*Basis!$E$2*((TaH-TrH)/LN(1/µ)/Basis!$E$7)^$N55*$AA$4*Glycol,0)</f>
        <v>3035</v>
      </c>
      <c r="I55" s="83">
        <f>ROUND(H55/(MID($C55,9,3)/Basis!$E$3/Basis!$E$9)*Basis!$E$11,0)</f>
        <v>330</v>
      </c>
      <c r="J55" s="123">
        <f>IF(Basis!$E$1=1,ROUND(H55/((TaH-TrH)*1.163)/3600,3),ROUND(H55/(500*(TaH-TrH)),2))</f>
        <v>0.3</v>
      </c>
      <c r="K55" s="84"/>
      <c r="L55" s="177">
        <f>CHOOSE(Basis!$E$1,((AJ55*(J55*3600/Basis!$E$5)^AK55*(((MID(C55,9,3)*10)-144)/1000)*AL55+AM55*(J55*3600/Basis!$E$5)^2)*0.0098)/Basis!$E$10,((AJ55*(J55/Basis!$E$5)^AK55*(((MID(C55,9,3)*10)-144)/1000)*AL55+AM55*(J55/Basis!$E$5)^2)*0.0098)/Basis!$E$10)</f>
        <v>3.7869995356242817E-2</v>
      </c>
      <c r="M55" s="85"/>
      <c r="N55" s="185">
        <v>1.3919999999999999</v>
      </c>
      <c r="O55" s="186"/>
      <c r="P55" s="187">
        <v>1408</v>
      </c>
      <c r="R55" s="2"/>
      <c r="S55" s="2"/>
      <c r="T55" s="2"/>
      <c r="U55" s="2"/>
      <c r="V55" s="2"/>
      <c r="X55" s="38"/>
      <c r="Y55" s="38"/>
      <c r="Z55" s="38"/>
      <c r="AA55" s="38"/>
      <c r="AB55" s="38"/>
      <c r="AD55" s="2"/>
      <c r="AE55" s="2"/>
      <c r="AF55" s="2"/>
      <c r="AG55" s="2"/>
      <c r="AH55" s="2"/>
      <c r="AJ55" s="191">
        <v>9.3669999999999995E-4</v>
      </c>
      <c r="AK55" s="192">
        <v>1.789841</v>
      </c>
      <c r="AL55" s="193">
        <v>2</v>
      </c>
      <c r="AM55" s="191">
        <v>4.4559999999999999E-4</v>
      </c>
      <c r="AO55" s="10"/>
      <c r="AP55" s="10"/>
      <c r="AQ55" s="10"/>
      <c r="AR55" s="10"/>
      <c r="AS55" s="10"/>
      <c r="AU55" s="2"/>
      <c r="AV55" s="2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</row>
    <row r="56" spans="1:73" customFormat="1" ht="12.75" customHeight="1" x14ac:dyDescent="0.25">
      <c r="A56" s="72" t="s">
        <v>20</v>
      </c>
      <c r="B56" s="184" t="s">
        <v>3089</v>
      </c>
      <c r="C56" s="236" t="s">
        <v>4091</v>
      </c>
      <c r="D56" s="45">
        <f>MROUND(MID($C56,6,3)/Basis!$E$3,0.5)</f>
        <v>14</v>
      </c>
      <c r="E56" s="45">
        <f>MROUND(MID($C56,9,3)/Basis!$E$3,0.5)</f>
        <v>110</v>
      </c>
      <c r="F56" s="237" t="str">
        <f t="shared" si="0"/>
        <v>10</v>
      </c>
      <c r="G56" s="45">
        <f>ROUND((ROUNDDOWN($F56/5,0)*5+2.2)/Basis!$E$3,1)</f>
        <v>4.8</v>
      </c>
      <c r="H56" s="120">
        <f>ROUND($P56*Basis!$E$2*((TaH-TrH)/LN(1/µ)/Basis!$E$7)^$N56*$AA$4*Glycol,0)</f>
        <v>4266</v>
      </c>
      <c r="I56" s="83">
        <f>ROUND(H56/(MID($C56,9,3)/Basis!$E$3/Basis!$E$9)*Basis!$E$11,0)</f>
        <v>464</v>
      </c>
      <c r="J56" s="123">
        <f>IF(Basis!$E$1=1,ROUND(H56/((TaH-TrH)*1.163)/3600,3),ROUND(H56/(500*(TaH-TrH)),2))</f>
        <v>0.43</v>
      </c>
      <c r="K56" s="84"/>
      <c r="L56" s="177">
        <f>CHOOSE(Basis!$E$1,((AJ56*(J56*3600/Basis!$E$5)^AK56*(((MID(C56,9,3)*10)-144)/1000)*AL56+AM56*(J56*3600/Basis!$E$5)^2)*0.0098)/Basis!$E$10,((AJ56*(J56/Basis!$E$5)^AK56*(((MID(C56,9,3)*10)-144)/1000)*AL56+AM56*(J56/Basis!$E$5)^2)*0.0098)/Basis!$E$10)</f>
        <v>3.0947856207395277E-2</v>
      </c>
      <c r="M56" s="85"/>
      <c r="N56" s="185">
        <v>1.41</v>
      </c>
      <c r="O56" s="186"/>
      <c r="P56" s="187">
        <v>1991</v>
      </c>
      <c r="R56" s="2"/>
      <c r="S56" s="2"/>
      <c r="T56" s="2"/>
      <c r="U56" s="2"/>
      <c r="V56" s="2"/>
      <c r="X56" s="38"/>
      <c r="Y56" s="38"/>
      <c r="Z56" s="38"/>
      <c r="AA56" s="38"/>
      <c r="AB56" s="38"/>
      <c r="AD56" s="2"/>
      <c r="AE56" s="2"/>
      <c r="AF56" s="2"/>
      <c r="AG56" s="2"/>
      <c r="AH56" s="2"/>
      <c r="AJ56" s="126">
        <v>3.9689999999999994E-4</v>
      </c>
      <c r="AK56" s="132">
        <v>1.7345999999999999</v>
      </c>
      <c r="AL56" s="129">
        <v>2</v>
      </c>
      <c r="AM56" s="126">
        <v>3.6734700000000002E-4</v>
      </c>
      <c r="AO56" s="10"/>
      <c r="AP56" s="10"/>
      <c r="AQ56" s="10"/>
      <c r="AR56" s="10"/>
      <c r="AS56" s="10"/>
      <c r="AU56" s="2"/>
      <c r="AV56" s="2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</row>
    <row r="57" spans="1:73" customFormat="1" ht="12.75" customHeight="1" x14ac:dyDescent="0.25">
      <c r="A57" s="72" t="s">
        <v>20</v>
      </c>
      <c r="B57" s="184" t="s">
        <v>3089</v>
      </c>
      <c r="C57" s="44" t="s">
        <v>4057</v>
      </c>
      <c r="D57" s="45">
        <f>MROUND(MID($C57,6,3)/Basis!$E$3,0.5)</f>
        <v>14</v>
      </c>
      <c r="E57" s="45">
        <f>MROUND(MID($C57,9,3)/Basis!$E$3,0.5)</f>
        <v>110</v>
      </c>
      <c r="F57" s="237" t="str">
        <f t="shared" si="0"/>
        <v>15</v>
      </c>
      <c r="G57" s="45">
        <f>ROUND((ROUNDDOWN($F57/5,0)*5+2.2)/Basis!$E$3,1)</f>
        <v>6.8</v>
      </c>
      <c r="H57" s="120">
        <f>ROUND($P57*Basis!$E$2*((TaH-TrH)/LN(1/µ)/Basis!$E$7)^$N57*$AA$4*Glycol,0)</f>
        <v>6543</v>
      </c>
      <c r="I57" s="83">
        <f>ROUND(H57/(MID($C57,9,3)/Basis!$E$3/Basis!$E$9)*Basis!$E$11,0)</f>
        <v>712</v>
      </c>
      <c r="J57" s="123">
        <f>IF(Basis!$E$1=1,ROUND(H57/((TaH-TrH)*1.163)/3600,3),ROUND(H57/(500*(TaH-TrH)),2))</f>
        <v>0.65</v>
      </c>
      <c r="K57" s="84"/>
      <c r="L57" s="177">
        <f>CHOOSE(Basis!$E$1,((AJ57*(J57*3600/Basis!$E$5)^AK57*(((MID(C57,9,3)*10)-144)/1000)*AL57+AM57*(J57*3600/Basis!$E$5)^2)*0.0098)/Basis!$E$10,((AJ57*(J57/Basis!$E$5)^AK57*(((MID(C57,9,3)*10)-144)/1000)*AL57+AM57*(J57/Basis!$E$5)^2)*0.0098)/Basis!$E$10)</f>
        <v>5.2777917928650678E-2</v>
      </c>
      <c r="M57" s="85"/>
      <c r="N57" s="185">
        <v>1.4079999999999999</v>
      </c>
      <c r="O57" s="186"/>
      <c r="P57" s="187">
        <v>3052</v>
      </c>
      <c r="R57" s="2"/>
      <c r="S57" s="2"/>
      <c r="T57" s="2"/>
      <c r="U57" s="2"/>
      <c r="V57" s="2"/>
      <c r="X57" s="38"/>
      <c r="Y57" s="38"/>
      <c r="Z57" s="38"/>
      <c r="AA57" s="38"/>
      <c r="AB57" s="38"/>
      <c r="AD57" s="2"/>
      <c r="AE57" s="2"/>
      <c r="AF57" s="2"/>
      <c r="AG57" s="2"/>
      <c r="AH57" s="2"/>
      <c r="AJ57" s="125">
        <v>2.0829999999999999E-4</v>
      </c>
      <c r="AK57" s="131">
        <v>1.724</v>
      </c>
      <c r="AL57" s="128">
        <v>2</v>
      </c>
      <c r="AM57" s="125">
        <v>4.6182900000000003E-4</v>
      </c>
      <c r="AO57" s="10"/>
      <c r="AP57" s="10"/>
      <c r="AQ57" s="10"/>
      <c r="AR57" s="10"/>
      <c r="AS57" s="10"/>
      <c r="AU57" s="2"/>
      <c r="AV57" s="2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</row>
    <row r="58" spans="1:73" customFormat="1" ht="12.75" customHeight="1" x14ac:dyDescent="0.25">
      <c r="A58" s="72" t="s">
        <v>20</v>
      </c>
      <c r="B58" s="184" t="s">
        <v>3089</v>
      </c>
      <c r="C58" s="44" t="s">
        <v>3017</v>
      </c>
      <c r="D58" s="45">
        <f>MROUND(MID($C58,6,3)/Basis!$E$3,0.5)</f>
        <v>19.5</v>
      </c>
      <c r="E58" s="45">
        <f>MROUND(MID($C58,9,3)/Basis!$E$3,0.5)</f>
        <v>19.5</v>
      </c>
      <c r="F58" s="237" t="str">
        <f t="shared" si="0"/>
        <v>10</v>
      </c>
      <c r="G58" s="45">
        <f>ROUND((ROUNDDOWN($F58/5,0)*5+2.2)/Basis!$E$3,1)</f>
        <v>4.8</v>
      </c>
      <c r="H58" s="120">
        <f>ROUND($P58*Basis!$E$2*((TaH-TrH)/LN(1/µ)/Basis!$E$7)^$N58*$AA$4*Glycol,0)</f>
        <v>1038</v>
      </c>
      <c r="I58" s="83">
        <f>ROUND(H58/(MID($C58,9,3)/Basis!$E$3/Basis!$E$9)*Basis!$E$11,0)</f>
        <v>633</v>
      </c>
      <c r="J58" s="123">
        <f>IF(Basis!$E$1=1,ROUND(H58/((TaH-TrH)*1.163)/3600,3),ROUND(H58/(500*(TaH-TrH)),2))</f>
        <v>0.1</v>
      </c>
      <c r="K58" s="84"/>
      <c r="L58" s="177">
        <f>CHOOSE(Basis!$E$1,((AJ58*(J58*3600/Basis!$E$5)^AK58*(((MID(C58,9,3)*10)-144)/1000)*AL58+AM58*(J58*3600/Basis!$E$5)^2)*0.0098)/Basis!$E$10,((AJ58*(J58/Basis!$E$5)^AK58*(((MID(C58,9,3)*10)-144)/1000)*AL58+AM58*(J58/Basis!$E$5)^2)*0.0098)/Basis!$E$10)</f>
        <v>8.2769374243100264E-4</v>
      </c>
      <c r="M58" s="85"/>
      <c r="N58" s="185">
        <v>1.3939999999999999</v>
      </c>
      <c r="O58" s="186"/>
      <c r="P58" s="187">
        <v>482</v>
      </c>
      <c r="R58" s="2"/>
      <c r="S58" s="2"/>
      <c r="T58" s="2"/>
      <c r="U58" s="2"/>
      <c r="V58" s="2"/>
      <c r="X58" s="38"/>
      <c r="Y58" s="38"/>
      <c r="Z58" s="38"/>
      <c r="AA58" s="38"/>
      <c r="AB58" s="38"/>
      <c r="AD58" s="2"/>
      <c r="AE58" s="2"/>
      <c r="AF58" s="2"/>
      <c r="AG58" s="2"/>
      <c r="AH58" s="2"/>
      <c r="AJ58" s="126">
        <v>3.9689999999999994E-4</v>
      </c>
      <c r="AK58" s="132">
        <v>1.7345999999999999</v>
      </c>
      <c r="AL58" s="129">
        <v>2</v>
      </c>
      <c r="AM58" s="126">
        <v>3.6734700000000002E-4</v>
      </c>
      <c r="AO58" s="10"/>
      <c r="AP58" s="10"/>
      <c r="AQ58" s="10"/>
      <c r="AR58" s="10"/>
      <c r="AS58" s="10"/>
      <c r="AU58" s="2"/>
      <c r="AV58" s="2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</row>
    <row r="59" spans="1:73" customFormat="1" ht="12.75" customHeight="1" x14ac:dyDescent="0.25">
      <c r="A59" s="72" t="s">
        <v>20</v>
      </c>
      <c r="B59" s="184" t="s">
        <v>3089</v>
      </c>
      <c r="C59" s="44" t="s">
        <v>3029</v>
      </c>
      <c r="D59" s="45">
        <f>MROUND(MID($C59,6,3)/Basis!$E$3,0.5)</f>
        <v>19.5</v>
      </c>
      <c r="E59" s="45">
        <f>MROUND(MID($C59,9,3)/Basis!$E$3,0.5)</f>
        <v>19.5</v>
      </c>
      <c r="F59" s="237" t="str">
        <f t="shared" si="0"/>
        <v>15</v>
      </c>
      <c r="G59" s="45">
        <f>ROUND((ROUNDDOWN($F59/5,0)*5+2.2)/Basis!$E$3,1)</f>
        <v>6.8</v>
      </c>
      <c r="H59" s="120">
        <f>ROUND($P59*Basis!$E$2*((TaH-TrH)/LN(1/µ)/Basis!$E$7)^$N59*$AA$4*Glycol,0)</f>
        <v>1585</v>
      </c>
      <c r="I59" s="83">
        <f>ROUND(H59/(MID($C59,9,3)/Basis!$E$3/Basis!$E$9)*Basis!$E$11,0)</f>
        <v>966</v>
      </c>
      <c r="J59" s="123">
        <f>IF(Basis!$E$1=1,ROUND(H59/((TaH-TrH)*1.163)/3600,3),ROUND(H59/(500*(TaH-TrH)),2))</f>
        <v>0.16</v>
      </c>
      <c r="K59" s="84"/>
      <c r="L59" s="177">
        <f>CHOOSE(Basis!$E$1,((AJ59*(J59*3600/Basis!$E$5)^AK59*(((MID(C59,9,3)*10)-144)/1000)*AL59+AM59*(J59*3600/Basis!$E$5)^2)*0.0098)/Basis!$E$10,((AJ59*(J59/Basis!$E$5)^AK59*(((MID(C59,9,3)*10)-144)/1000)*AL59+AM59*(J59/Basis!$E$5)^2)*0.0098)/Basis!$E$10)</f>
        <v>2.2317222030060809E-3</v>
      </c>
      <c r="M59" s="85"/>
      <c r="N59" s="185">
        <v>1.39</v>
      </c>
      <c r="O59" s="186"/>
      <c r="P59" s="187">
        <v>735</v>
      </c>
      <c r="R59" s="2"/>
      <c r="S59" s="2"/>
      <c r="T59" s="2"/>
      <c r="U59" s="2"/>
      <c r="V59" s="2"/>
      <c r="X59" s="38"/>
      <c r="Y59" s="38"/>
      <c r="Z59" s="38"/>
      <c r="AA59" s="38"/>
      <c r="AB59" s="38"/>
      <c r="AD59" s="2"/>
      <c r="AE59" s="2"/>
      <c r="AF59" s="2"/>
      <c r="AG59" s="2"/>
      <c r="AH59" s="2"/>
      <c r="AJ59" s="125">
        <v>2.0829999999999999E-4</v>
      </c>
      <c r="AK59" s="131">
        <v>1.724</v>
      </c>
      <c r="AL59" s="128">
        <v>2</v>
      </c>
      <c r="AM59" s="125">
        <v>4.6182900000000003E-4</v>
      </c>
      <c r="AO59" s="10"/>
      <c r="AP59" s="10"/>
      <c r="AQ59" s="10"/>
      <c r="AR59" s="10"/>
      <c r="AS59" s="10"/>
      <c r="AU59" s="2"/>
      <c r="AV59" s="2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</row>
    <row r="60" spans="1:73" customFormat="1" ht="12.75" customHeight="1" x14ac:dyDescent="0.25">
      <c r="A60" s="72" t="s">
        <v>20</v>
      </c>
      <c r="B60" s="184" t="s">
        <v>3089</v>
      </c>
      <c r="C60" s="44" t="s">
        <v>3041</v>
      </c>
      <c r="D60" s="45">
        <f>MROUND(MID($C60,6,3)/Basis!$E$3,0.5)</f>
        <v>19.5</v>
      </c>
      <c r="E60" s="45">
        <f>MROUND(MID($C60,9,3)/Basis!$E$3,0.5)</f>
        <v>19.5</v>
      </c>
      <c r="F60" s="237" t="str">
        <f t="shared" si="0"/>
        <v>20</v>
      </c>
      <c r="G60" s="45">
        <f>ROUND((ROUNDDOWN($F60/5,0)*5+2.2)/Basis!$E$3,1)</f>
        <v>8.6999999999999993</v>
      </c>
      <c r="H60" s="120">
        <f>ROUND($P60*Basis!$E$2*((TaH-TrH)/LN(1/µ)/Basis!$E$7)^$N60*$AA$4*Glycol,0)</f>
        <v>2373</v>
      </c>
      <c r="I60" s="83">
        <f>ROUND(H60/(MID($C60,9,3)/Basis!$E$3/Basis!$E$9)*Basis!$E$11,0)</f>
        <v>1447</v>
      </c>
      <c r="J60" s="123">
        <f>IF(Basis!$E$1=1,ROUND(H60/((TaH-TrH)*1.163)/3600,3),ROUND(H60/(500*(TaH-TrH)),2))</f>
        <v>0.24</v>
      </c>
      <c r="K60" s="84"/>
      <c r="L60" s="177">
        <f>CHOOSE(Basis!$E$1,((AJ60*(J60*3600/Basis!$E$5)^AK60*(((MID(C60,9,3)*10)-144)/1000)*AL60+AM60*(J60*3600/Basis!$E$5)^2)*0.0098)/Basis!$E$10,((AJ60*(J60/Basis!$E$5)^AK60*(((MID(C60,9,3)*10)-144)/1000)*AL60+AM60*(J60/Basis!$E$5)^2)*0.0098)/Basis!$E$10)</f>
        <v>3.9492470641896383E-3</v>
      </c>
      <c r="M60" s="85"/>
      <c r="N60" s="185">
        <v>1.3839999999999999</v>
      </c>
      <c r="O60" s="186"/>
      <c r="P60" s="187">
        <v>1098</v>
      </c>
      <c r="R60" s="2"/>
      <c r="S60" s="2"/>
      <c r="T60" s="2"/>
      <c r="U60" s="2"/>
      <c r="V60" s="2"/>
      <c r="X60" s="38"/>
      <c r="Y60" s="38"/>
      <c r="Z60" s="38"/>
      <c r="AA60" s="38"/>
      <c r="AB60" s="38"/>
      <c r="AD60" s="2"/>
      <c r="AE60" s="2"/>
      <c r="AF60" s="2"/>
      <c r="AG60" s="2"/>
      <c r="AH60" s="2"/>
      <c r="AJ60" s="126">
        <v>1.2760000000000001E-4</v>
      </c>
      <c r="AK60" s="132">
        <v>1.7219</v>
      </c>
      <c r="AL60" s="129">
        <v>2</v>
      </c>
      <c r="AM60" s="126">
        <v>3.76611E-4</v>
      </c>
      <c r="AO60" s="10"/>
      <c r="AP60" s="10"/>
      <c r="AQ60" s="10"/>
      <c r="AR60" s="10"/>
      <c r="AS60" s="10"/>
      <c r="AU60" s="2"/>
      <c r="AV60" s="2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</row>
    <row r="61" spans="1:73" customFormat="1" ht="12.75" customHeight="1" x14ac:dyDescent="0.25">
      <c r="A61" s="72" t="s">
        <v>20</v>
      </c>
      <c r="B61" s="184" t="s">
        <v>3089</v>
      </c>
      <c r="C61" s="44" t="s">
        <v>3018</v>
      </c>
      <c r="D61" s="45">
        <f>MROUND(MID($C61,6,3)/Basis!$E$3,0.5)</f>
        <v>19.5</v>
      </c>
      <c r="E61" s="45">
        <f>MROUND(MID($C61,9,3)/Basis!$E$3,0.5)</f>
        <v>23.5</v>
      </c>
      <c r="F61" s="237" t="str">
        <f t="shared" si="0"/>
        <v>10</v>
      </c>
      <c r="G61" s="45">
        <f>ROUND((ROUNDDOWN($F61/5,0)*5+2.2)/Basis!$E$3,1)</f>
        <v>4.8</v>
      </c>
      <c r="H61" s="120">
        <f>ROUND($P61*Basis!$E$2*((TaH-TrH)/LN(1/µ)/Basis!$E$7)^$N61*$AA$4*Glycol,0)</f>
        <v>1245</v>
      </c>
      <c r="I61" s="83">
        <f>ROUND(H61/(MID($C61,9,3)/Basis!$E$3/Basis!$E$9)*Basis!$E$11,0)</f>
        <v>632</v>
      </c>
      <c r="J61" s="123">
        <f>IF(Basis!$E$1=1,ROUND(H61/((TaH-TrH)*1.163)/3600,3),ROUND(H61/(500*(TaH-TrH)),2))</f>
        <v>0.12</v>
      </c>
      <c r="K61" s="84"/>
      <c r="L61" s="177">
        <f>CHOOSE(Basis!$E$1,((AJ61*(J61*3600/Basis!$E$5)^AK61*(((MID(C61,9,3)*10)-144)/1000)*AL61+AM61*(J61*3600/Basis!$E$5)^2)*0.0098)/Basis!$E$10,((AJ61*(J61/Basis!$E$5)^AK61*(((MID(C61,9,3)*10)-144)/1000)*AL61+AM61*(J61/Basis!$E$5)^2)*0.0098)/Basis!$E$10)</f>
        <v>1.2579198374497906E-3</v>
      </c>
      <c r="M61" s="85"/>
      <c r="N61" s="185">
        <v>1.3939999999999999</v>
      </c>
      <c r="O61" s="186"/>
      <c r="P61" s="187">
        <v>578</v>
      </c>
      <c r="R61" s="2"/>
      <c r="S61" s="2"/>
      <c r="T61" s="2"/>
      <c r="U61" s="2"/>
      <c r="V61" s="2"/>
      <c r="X61" s="38"/>
      <c r="Y61" s="38"/>
      <c r="Z61" s="38"/>
      <c r="AA61" s="38"/>
      <c r="AB61" s="38"/>
      <c r="AD61" s="2"/>
      <c r="AE61" s="2"/>
      <c r="AF61" s="2"/>
      <c r="AG61" s="2"/>
      <c r="AH61" s="2"/>
      <c r="AJ61" s="126">
        <v>3.9689999999999994E-4</v>
      </c>
      <c r="AK61" s="132">
        <v>1.7345999999999999</v>
      </c>
      <c r="AL61" s="129">
        <v>2</v>
      </c>
      <c r="AM61" s="126">
        <v>3.6734700000000002E-4</v>
      </c>
      <c r="AO61" s="10"/>
      <c r="AP61" s="10"/>
      <c r="AQ61" s="10"/>
      <c r="AR61" s="10"/>
      <c r="AS61" s="10"/>
      <c r="AU61" s="2"/>
      <c r="AV61" s="2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</row>
    <row r="62" spans="1:73" customFormat="1" ht="12.75" customHeight="1" x14ac:dyDescent="0.25">
      <c r="A62" s="72" t="s">
        <v>20</v>
      </c>
      <c r="B62" s="184" t="s">
        <v>3089</v>
      </c>
      <c r="C62" s="44" t="s">
        <v>3030</v>
      </c>
      <c r="D62" s="45">
        <f>MROUND(MID($C62,6,3)/Basis!$E$3,0.5)</f>
        <v>19.5</v>
      </c>
      <c r="E62" s="45">
        <f>MROUND(MID($C62,9,3)/Basis!$E$3,0.5)</f>
        <v>23.5</v>
      </c>
      <c r="F62" s="237" t="str">
        <f t="shared" si="0"/>
        <v>15</v>
      </c>
      <c r="G62" s="45">
        <f>ROUND((ROUNDDOWN($F62/5,0)*5+2.2)/Basis!$E$3,1)</f>
        <v>6.8</v>
      </c>
      <c r="H62" s="120">
        <f>ROUND($P62*Basis!$E$2*((TaH-TrH)/LN(1/µ)/Basis!$E$7)^$N62*$AA$4*Glycol,0)</f>
        <v>1902</v>
      </c>
      <c r="I62" s="83">
        <f>ROUND(H62/(MID($C62,9,3)/Basis!$E$3/Basis!$E$9)*Basis!$E$11,0)</f>
        <v>966</v>
      </c>
      <c r="J62" s="123">
        <f>IF(Basis!$E$1=1,ROUND(H62/((TaH-TrH)*1.163)/3600,3),ROUND(H62/(500*(TaH-TrH)),2))</f>
        <v>0.19</v>
      </c>
      <c r="K62" s="84"/>
      <c r="L62" s="177">
        <f>CHOOSE(Basis!$E$1,((AJ62*(J62*3600/Basis!$E$5)^AK62*(((MID(C62,9,3)*10)-144)/1000)*AL62+AM62*(J62*3600/Basis!$E$5)^2)*0.0098)/Basis!$E$10,((AJ62*(J62/Basis!$E$5)^AK62*(((MID(C62,9,3)*10)-144)/1000)*AL62+AM62*(J62/Basis!$E$5)^2)*0.0098)/Basis!$E$10)</f>
        <v>3.2213019283929057E-3</v>
      </c>
      <c r="M62" s="85"/>
      <c r="N62" s="185">
        <v>1.39</v>
      </c>
      <c r="O62" s="186"/>
      <c r="P62" s="187">
        <v>882</v>
      </c>
      <c r="R62" s="2"/>
      <c r="S62" s="2"/>
      <c r="T62" s="2"/>
      <c r="U62" s="2"/>
      <c r="V62" s="2"/>
      <c r="X62" s="38"/>
      <c r="Y62" s="38"/>
      <c r="Z62" s="38"/>
      <c r="AA62" s="38"/>
      <c r="AB62" s="38"/>
      <c r="AD62" s="2"/>
      <c r="AE62" s="2"/>
      <c r="AF62" s="2"/>
      <c r="AG62" s="2"/>
      <c r="AH62" s="2"/>
      <c r="AJ62" s="125">
        <v>2.0829999999999999E-4</v>
      </c>
      <c r="AK62" s="131">
        <v>1.724</v>
      </c>
      <c r="AL62" s="128">
        <v>2</v>
      </c>
      <c r="AM62" s="125">
        <v>4.6182900000000003E-4</v>
      </c>
      <c r="AO62" s="10"/>
      <c r="AP62" s="10"/>
      <c r="AQ62" s="10"/>
      <c r="AR62" s="10"/>
      <c r="AS62" s="10"/>
      <c r="AU62" s="2"/>
      <c r="AV62" s="2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</row>
    <row r="63" spans="1:73" customFormat="1" ht="12.75" customHeight="1" x14ac:dyDescent="0.25">
      <c r="A63" s="72" t="s">
        <v>20</v>
      </c>
      <c r="B63" s="184" t="s">
        <v>3089</v>
      </c>
      <c r="C63" s="44" t="s">
        <v>3042</v>
      </c>
      <c r="D63" s="45">
        <f>MROUND(MID($C63,6,3)/Basis!$E$3,0.5)</f>
        <v>19.5</v>
      </c>
      <c r="E63" s="45">
        <f>MROUND(MID($C63,9,3)/Basis!$E$3,0.5)</f>
        <v>23.5</v>
      </c>
      <c r="F63" s="237" t="str">
        <f t="shared" si="0"/>
        <v>20</v>
      </c>
      <c r="G63" s="45">
        <f>ROUND((ROUNDDOWN($F63/5,0)*5+2.2)/Basis!$E$3,1)</f>
        <v>8.6999999999999993</v>
      </c>
      <c r="H63" s="120">
        <f>ROUND($P63*Basis!$E$2*((TaH-TrH)/LN(1/µ)/Basis!$E$7)^$N63*$AA$4*Glycol,0)</f>
        <v>2848</v>
      </c>
      <c r="I63" s="83">
        <f>ROUND(H63/(MID($C63,9,3)/Basis!$E$3/Basis!$E$9)*Basis!$E$11,0)</f>
        <v>1447</v>
      </c>
      <c r="J63" s="123">
        <f>IF(Basis!$E$1=1,ROUND(H63/((TaH-TrH)*1.163)/3600,3),ROUND(H63/(500*(TaH-TrH)),2))</f>
        <v>0.28000000000000003</v>
      </c>
      <c r="K63" s="84"/>
      <c r="L63" s="177">
        <f>CHOOSE(Basis!$E$1,((AJ63*(J63*3600/Basis!$E$5)^AK63*(((MID(C63,9,3)*10)-144)/1000)*AL63+AM63*(J63*3600/Basis!$E$5)^2)*0.0098)/Basis!$E$10,((AJ63*(J63/Basis!$E$5)^AK63*(((MID(C63,9,3)*10)-144)/1000)*AL63+AM63*(J63/Basis!$E$5)^2)*0.0098)/Basis!$E$10)</f>
        <v>5.4651241664767916E-3</v>
      </c>
      <c r="M63" s="85"/>
      <c r="N63" s="185">
        <v>1.3839999999999999</v>
      </c>
      <c r="O63" s="186"/>
      <c r="P63" s="187">
        <v>1318</v>
      </c>
      <c r="R63" s="2"/>
      <c r="S63" s="2"/>
      <c r="T63" s="2"/>
      <c r="U63" s="2"/>
      <c r="V63" s="2"/>
      <c r="X63" s="38"/>
      <c r="Y63" s="38"/>
      <c r="Z63" s="38"/>
      <c r="AA63" s="38"/>
      <c r="AB63" s="38"/>
      <c r="AD63" s="2"/>
      <c r="AE63" s="2"/>
      <c r="AF63" s="2"/>
      <c r="AG63" s="2"/>
      <c r="AH63" s="2"/>
      <c r="AJ63" s="126">
        <v>1.2760000000000001E-4</v>
      </c>
      <c r="AK63" s="132">
        <v>1.7219</v>
      </c>
      <c r="AL63" s="129">
        <v>2</v>
      </c>
      <c r="AM63" s="126">
        <v>3.76611E-4</v>
      </c>
      <c r="AO63" s="10"/>
      <c r="AP63" s="10"/>
      <c r="AQ63" s="10"/>
      <c r="AR63" s="10"/>
      <c r="AS63" s="10"/>
      <c r="AU63" s="2"/>
      <c r="AV63" s="2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</row>
    <row r="64" spans="1:73" customFormat="1" ht="12.75" customHeight="1" x14ac:dyDescent="0.25">
      <c r="A64" s="72" t="s">
        <v>20</v>
      </c>
      <c r="B64" s="184" t="s">
        <v>3089</v>
      </c>
      <c r="C64" s="44" t="s">
        <v>3019</v>
      </c>
      <c r="D64" s="45">
        <f>MROUND(MID($C64,6,3)/Basis!$E$3,0.5)</f>
        <v>19.5</v>
      </c>
      <c r="E64" s="45">
        <f>MROUND(MID($C64,9,3)/Basis!$E$3,0.5)</f>
        <v>27.5</v>
      </c>
      <c r="F64" s="237" t="str">
        <f t="shared" si="0"/>
        <v>10</v>
      </c>
      <c r="G64" s="45">
        <f>ROUND((ROUNDDOWN($F64/5,0)*5+2.2)/Basis!$E$3,1)</f>
        <v>4.8</v>
      </c>
      <c r="H64" s="120">
        <f>ROUND($P64*Basis!$E$2*((TaH-TrH)/LN(1/µ)/Basis!$E$7)^$N64*$AA$4*Glycol,0)</f>
        <v>1452</v>
      </c>
      <c r="I64" s="83">
        <f>ROUND(H64/(MID($C64,9,3)/Basis!$E$3/Basis!$E$9)*Basis!$E$11,0)</f>
        <v>632</v>
      </c>
      <c r="J64" s="123">
        <f>IF(Basis!$E$1=1,ROUND(H64/((TaH-TrH)*1.163)/3600,3),ROUND(H64/(500*(TaH-TrH)),2))</f>
        <v>0.15</v>
      </c>
      <c r="K64" s="84"/>
      <c r="L64" s="177">
        <f>CHOOSE(Basis!$E$1,((AJ64*(J64*3600/Basis!$E$5)^AK64*(((MID(C64,9,3)*10)-144)/1000)*AL64+AM64*(J64*3600/Basis!$E$5)^2)*0.0098)/Basis!$E$10,((AJ64*(J64/Basis!$E$5)^AK64*(((MID(C64,9,3)*10)-144)/1000)*AL64+AM64*(J64/Basis!$E$5)^2)*0.0098)/Basis!$E$10)</f>
        <v>2.0507426836834869E-3</v>
      </c>
      <c r="M64" s="85"/>
      <c r="N64" s="185">
        <v>1.3939999999999999</v>
      </c>
      <c r="O64" s="186"/>
      <c r="P64" s="187">
        <v>674</v>
      </c>
      <c r="R64" s="2"/>
      <c r="S64" s="2"/>
      <c r="T64" s="2"/>
      <c r="U64" s="2"/>
      <c r="V64" s="2"/>
      <c r="X64" s="38"/>
      <c r="Y64" s="38"/>
      <c r="Z64" s="38"/>
      <c r="AA64" s="38"/>
      <c r="AB64" s="38"/>
      <c r="AD64" s="2"/>
      <c r="AE64" s="2"/>
      <c r="AF64" s="2"/>
      <c r="AG64" s="2"/>
      <c r="AH64" s="2"/>
      <c r="AJ64" s="126">
        <v>3.9689999999999994E-4</v>
      </c>
      <c r="AK64" s="132">
        <v>1.7345999999999999</v>
      </c>
      <c r="AL64" s="129">
        <v>2</v>
      </c>
      <c r="AM64" s="126">
        <v>3.6734700000000002E-4</v>
      </c>
      <c r="AO64" s="10"/>
      <c r="AP64" s="10"/>
      <c r="AQ64" s="10"/>
      <c r="AR64" s="10"/>
      <c r="AS64" s="10"/>
      <c r="AU64" s="2"/>
      <c r="AV64" s="2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1:73" customFormat="1" ht="12.75" customHeight="1" x14ac:dyDescent="0.25">
      <c r="A65" s="72" t="s">
        <v>20</v>
      </c>
      <c r="B65" s="184" t="s">
        <v>3089</v>
      </c>
      <c r="C65" s="44" t="s">
        <v>3031</v>
      </c>
      <c r="D65" s="45">
        <f>MROUND(MID($C65,6,3)/Basis!$E$3,0.5)</f>
        <v>19.5</v>
      </c>
      <c r="E65" s="45">
        <f>MROUND(MID($C65,9,3)/Basis!$E$3,0.5)</f>
        <v>27.5</v>
      </c>
      <c r="F65" s="237" t="str">
        <f t="shared" si="0"/>
        <v>15</v>
      </c>
      <c r="G65" s="45">
        <f>ROUND((ROUNDDOWN($F65/5,0)*5+2.2)/Basis!$E$3,1)</f>
        <v>6.8</v>
      </c>
      <c r="H65" s="120">
        <f>ROUND($P65*Basis!$E$2*((TaH-TrH)/LN(1/µ)/Basis!$E$7)^$N65*$AA$4*Glycol,0)</f>
        <v>2219</v>
      </c>
      <c r="I65" s="83">
        <f>ROUND(H65/(MID($C65,9,3)/Basis!$E$3/Basis!$E$9)*Basis!$E$11,0)</f>
        <v>966</v>
      </c>
      <c r="J65" s="123">
        <f>IF(Basis!$E$1=1,ROUND(H65/((TaH-TrH)*1.163)/3600,3),ROUND(H65/(500*(TaH-TrH)),2))</f>
        <v>0.22</v>
      </c>
      <c r="K65" s="84"/>
      <c r="L65" s="177">
        <f>CHOOSE(Basis!$E$1,((AJ65*(J65*3600/Basis!$E$5)^AK65*(((MID(C65,9,3)*10)-144)/1000)*AL65+AM65*(J65*3600/Basis!$E$5)^2)*0.0098)/Basis!$E$10,((AJ65*(J65/Basis!$E$5)^AK65*(((MID(C65,9,3)*10)-144)/1000)*AL65+AM65*(J65/Basis!$E$5)^2)*0.0098)/Basis!$E$10)</f>
        <v>4.4126570809010718E-3</v>
      </c>
      <c r="M65" s="85"/>
      <c r="N65" s="185">
        <v>1.39</v>
      </c>
      <c r="O65" s="186"/>
      <c r="P65" s="187">
        <v>1029</v>
      </c>
      <c r="R65" s="2"/>
      <c r="S65" s="2"/>
      <c r="T65" s="2"/>
      <c r="U65" s="2"/>
      <c r="V65" s="2"/>
      <c r="X65" s="38"/>
      <c r="Y65" s="38"/>
      <c r="Z65" s="38"/>
      <c r="AA65" s="38"/>
      <c r="AB65" s="38"/>
      <c r="AD65" s="2"/>
      <c r="AE65" s="2"/>
      <c r="AF65" s="2"/>
      <c r="AG65" s="2"/>
      <c r="AH65" s="2"/>
      <c r="AJ65" s="125">
        <v>2.0829999999999999E-4</v>
      </c>
      <c r="AK65" s="131">
        <v>1.724</v>
      </c>
      <c r="AL65" s="128">
        <v>2</v>
      </c>
      <c r="AM65" s="125">
        <v>4.6182900000000003E-4</v>
      </c>
      <c r="AO65" s="10"/>
      <c r="AP65" s="10"/>
      <c r="AQ65" s="10"/>
      <c r="AR65" s="10"/>
      <c r="AS65" s="10"/>
      <c r="AU65" s="2"/>
      <c r="AV65" s="2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1:73" customFormat="1" ht="12.75" customHeight="1" x14ac:dyDescent="0.25">
      <c r="A66" s="72" t="s">
        <v>20</v>
      </c>
      <c r="B66" s="184" t="s">
        <v>3089</v>
      </c>
      <c r="C66" s="44" t="s">
        <v>3043</v>
      </c>
      <c r="D66" s="45">
        <f>MROUND(MID($C66,6,3)/Basis!$E$3,0.5)</f>
        <v>19.5</v>
      </c>
      <c r="E66" s="45">
        <f>MROUND(MID($C66,9,3)/Basis!$E$3,0.5)</f>
        <v>27.5</v>
      </c>
      <c r="F66" s="237" t="str">
        <f t="shared" si="0"/>
        <v>20</v>
      </c>
      <c r="G66" s="45">
        <f>ROUND((ROUNDDOWN($F66/5,0)*5+2.2)/Basis!$E$3,1)</f>
        <v>8.6999999999999993</v>
      </c>
      <c r="H66" s="120">
        <f>ROUND($P66*Basis!$E$2*((TaH-TrH)/LN(1/µ)/Basis!$E$7)^$N66*$AA$4*Glycol,0)</f>
        <v>3321</v>
      </c>
      <c r="I66" s="83">
        <f>ROUND(H66/(MID($C66,9,3)/Basis!$E$3/Basis!$E$9)*Basis!$E$11,0)</f>
        <v>1446</v>
      </c>
      <c r="J66" s="123">
        <f>IF(Basis!$E$1=1,ROUND(H66/((TaH-TrH)*1.163)/3600,3),ROUND(H66/(500*(TaH-TrH)),2))</f>
        <v>0.33</v>
      </c>
      <c r="K66" s="84"/>
      <c r="L66" s="177">
        <f>CHOOSE(Basis!$E$1,((AJ66*(J66*3600/Basis!$E$5)^AK66*(((MID(C66,9,3)*10)-144)/1000)*AL66+AM66*(J66*3600/Basis!$E$5)^2)*0.0098)/Basis!$E$10,((AJ66*(J66/Basis!$E$5)^AK66*(((MID(C66,9,3)*10)-144)/1000)*AL66+AM66*(J66/Basis!$E$5)^2)*0.0098)/Basis!$E$10)</f>
        <v>7.7022554356669633E-3</v>
      </c>
      <c r="M66" s="85"/>
      <c r="N66" s="185">
        <v>1.3839999999999999</v>
      </c>
      <c r="O66" s="186"/>
      <c r="P66" s="187">
        <v>1537</v>
      </c>
      <c r="R66" s="2"/>
      <c r="S66" s="2"/>
      <c r="T66" s="2"/>
      <c r="U66" s="2"/>
      <c r="V66" s="2"/>
      <c r="X66" s="38"/>
      <c r="Y66" s="38"/>
      <c r="Z66" s="38"/>
      <c r="AA66" s="38"/>
      <c r="AB66" s="38"/>
      <c r="AD66" s="2"/>
      <c r="AE66" s="2"/>
      <c r="AF66" s="2"/>
      <c r="AG66" s="2"/>
      <c r="AH66" s="2"/>
      <c r="AJ66" s="126">
        <v>1.2760000000000001E-4</v>
      </c>
      <c r="AK66" s="132">
        <v>1.7219</v>
      </c>
      <c r="AL66" s="129">
        <v>2</v>
      </c>
      <c r="AM66" s="126">
        <v>3.76611E-4</v>
      </c>
      <c r="AO66" s="10"/>
      <c r="AP66" s="10"/>
      <c r="AQ66" s="10"/>
      <c r="AR66" s="10"/>
      <c r="AS66" s="10"/>
      <c r="AU66" s="2"/>
      <c r="AV66" s="2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</row>
    <row r="67" spans="1:73" customFormat="1" ht="12.75" customHeight="1" x14ac:dyDescent="0.25">
      <c r="A67" s="72" t="s">
        <v>20</v>
      </c>
      <c r="B67" s="184" t="s">
        <v>3089</v>
      </c>
      <c r="C67" s="44" t="s">
        <v>3020</v>
      </c>
      <c r="D67" s="45">
        <f>MROUND(MID($C67,6,3)/Basis!$E$3,0.5)</f>
        <v>19.5</v>
      </c>
      <c r="E67" s="45">
        <f>MROUND(MID($C67,9,3)/Basis!$E$3,0.5)</f>
        <v>31.5</v>
      </c>
      <c r="F67" s="237" t="str">
        <f t="shared" si="0"/>
        <v>10</v>
      </c>
      <c r="G67" s="45">
        <f>ROUND((ROUNDDOWN($F67/5,0)*5+2.2)/Basis!$E$3,1)</f>
        <v>4.8</v>
      </c>
      <c r="H67" s="120">
        <f>ROUND($P67*Basis!$E$2*((TaH-TrH)/LN(1/µ)/Basis!$E$7)^$N67*$AA$4*Glycol,0)</f>
        <v>1658</v>
      </c>
      <c r="I67" s="83">
        <f>ROUND(H67/(MID($C67,9,3)/Basis!$E$3/Basis!$E$9)*Basis!$E$11,0)</f>
        <v>632</v>
      </c>
      <c r="J67" s="123">
        <f>IF(Basis!$E$1=1,ROUND(H67/((TaH-TrH)*1.163)/3600,3),ROUND(H67/(500*(TaH-TrH)),2))</f>
        <v>0.17</v>
      </c>
      <c r="K67" s="84"/>
      <c r="L67" s="177">
        <f>CHOOSE(Basis!$E$1,((AJ67*(J67*3600/Basis!$E$5)^AK67*(((MID(C67,9,3)*10)-144)/1000)*AL67+AM67*(J67*3600/Basis!$E$5)^2)*0.0098)/Basis!$E$10,((AJ67*(J67/Basis!$E$5)^AK67*(((MID(C67,9,3)*10)-144)/1000)*AL67+AM67*(J67/Basis!$E$5)^2)*0.0098)/Basis!$E$10)</f>
        <v>2.7532446661854364E-3</v>
      </c>
      <c r="M67" s="85"/>
      <c r="N67" s="185">
        <v>1.3939999999999999</v>
      </c>
      <c r="O67" s="186"/>
      <c r="P67" s="187">
        <v>770</v>
      </c>
      <c r="R67" s="2"/>
      <c r="S67" s="2"/>
      <c r="T67" s="2"/>
      <c r="U67" s="2"/>
      <c r="V67" s="2"/>
      <c r="X67" s="38"/>
      <c r="Y67" s="38"/>
      <c r="Z67" s="38"/>
      <c r="AA67" s="38"/>
      <c r="AB67" s="38"/>
      <c r="AD67" s="2"/>
      <c r="AE67" s="2"/>
      <c r="AF67" s="2"/>
      <c r="AG67" s="2"/>
      <c r="AH67" s="2"/>
      <c r="AJ67" s="126">
        <v>3.9689999999999994E-4</v>
      </c>
      <c r="AK67" s="132">
        <v>1.7345999999999999</v>
      </c>
      <c r="AL67" s="129">
        <v>2</v>
      </c>
      <c r="AM67" s="126">
        <v>3.6734700000000002E-4</v>
      </c>
      <c r="AO67" s="10"/>
      <c r="AP67" s="10"/>
      <c r="AQ67" s="10"/>
      <c r="AR67" s="10"/>
      <c r="AS67" s="10"/>
      <c r="AU67" s="2"/>
      <c r="AV67" s="2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</row>
    <row r="68" spans="1:73" customFormat="1" ht="12.75" customHeight="1" x14ac:dyDescent="0.25">
      <c r="A68" s="72" t="s">
        <v>20</v>
      </c>
      <c r="B68" s="184" t="s">
        <v>3089</v>
      </c>
      <c r="C68" s="44" t="s">
        <v>3032</v>
      </c>
      <c r="D68" s="45">
        <f>MROUND(MID($C68,6,3)/Basis!$E$3,0.5)</f>
        <v>19.5</v>
      </c>
      <c r="E68" s="45">
        <f>MROUND(MID($C68,9,3)/Basis!$E$3,0.5)</f>
        <v>31.5</v>
      </c>
      <c r="F68" s="237" t="str">
        <f t="shared" si="0"/>
        <v>15</v>
      </c>
      <c r="G68" s="45">
        <f>ROUND((ROUNDDOWN($F68/5,0)*5+2.2)/Basis!$E$3,1)</f>
        <v>6.8</v>
      </c>
      <c r="H68" s="120">
        <f>ROUND($P68*Basis!$E$2*((TaH-TrH)/LN(1/µ)/Basis!$E$7)^$N68*$AA$4*Glycol,0)</f>
        <v>2536</v>
      </c>
      <c r="I68" s="83">
        <f>ROUND(H68/(MID($C68,9,3)/Basis!$E$3/Basis!$E$9)*Basis!$E$11,0)</f>
        <v>966</v>
      </c>
      <c r="J68" s="123">
        <f>IF(Basis!$E$1=1,ROUND(H68/((TaH-TrH)*1.163)/3600,3),ROUND(H68/(500*(TaH-TrH)),2))</f>
        <v>0.25</v>
      </c>
      <c r="K68" s="84"/>
      <c r="L68" s="177">
        <f>CHOOSE(Basis!$E$1,((AJ68*(J68*3600/Basis!$E$5)^AK68*(((MID(C68,9,3)*10)-144)/1000)*AL68+AM68*(J68*3600/Basis!$E$5)^2)*0.0098)/Basis!$E$10,((AJ68*(J68/Basis!$E$5)^AK68*(((MID(C68,9,3)*10)-144)/1000)*AL68+AM68*(J68/Basis!$E$5)^2)*0.0098)/Basis!$E$10)</f>
        <v>5.813441427274706E-3</v>
      </c>
      <c r="M68" s="85"/>
      <c r="N68" s="185">
        <v>1.39</v>
      </c>
      <c r="O68" s="186"/>
      <c r="P68" s="187">
        <v>1176</v>
      </c>
      <c r="R68" s="2"/>
      <c r="S68" s="2"/>
      <c r="T68" s="2"/>
      <c r="U68" s="2"/>
      <c r="V68" s="2"/>
      <c r="X68" s="38"/>
      <c r="Y68" s="38"/>
      <c r="Z68" s="38"/>
      <c r="AA68" s="38"/>
      <c r="AB68" s="38"/>
      <c r="AD68" s="2"/>
      <c r="AE68" s="2"/>
      <c r="AF68" s="2"/>
      <c r="AG68" s="2"/>
      <c r="AH68" s="2"/>
      <c r="AJ68" s="125">
        <v>2.0829999999999999E-4</v>
      </c>
      <c r="AK68" s="131">
        <v>1.724</v>
      </c>
      <c r="AL68" s="128">
        <v>2</v>
      </c>
      <c r="AM68" s="125">
        <v>4.6182900000000003E-4</v>
      </c>
      <c r="AO68" s="10"/>
      <c r="AP68" s="10"/>
      <c r="AQ68" s="10"/>
      <c r="AR68" s="10"/>
      <c r="AS68" s="10"/>
      <c r="AU68" s="2"/>
      <c r="AV68" s="2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</row>
    <row r="69" spans="1:73" customFormat="1" ht="12.75" customHeight="1" x14ac:dyDescent="0.25">
      <c r="A69" s="72" t="s">
        <v>20</v>
      </c>
      <c r="B69" s="184" t="s">
        <v>3089</v>
      </c>
      <c r="C69" s="44" t="s">
        <v>3044</v>
      </c>
      <c r="D69" s="45">
        <f>MROUND(MID($C69,6,3)/Basis!$E$3,0.5)</f>
        <v>19.5</v>
      </c>
      <c r="E69" s="45">
        <f>MROUND(MID($C69,9,3)/Basis!$E$3,0.5)</f>
        <v>31.5</v>
      </c>
      <c r="F69" s="237" t="str">
        <f t="shared" si="0"/>
        <v>20</v>
      </c>
      <c r="G69" s="45">
        <f>ROUND((ROUNDDOWN($F69/5,0)*5+2.2)/Basis!$E$3,1)</f>
        <v>8.6999999999999993</v>
      </c>
      <c r="H69" s="120">
        <f>ROUND($P69*Basis!$E$2*((TaH-TrH)/LN(1/µ)/Basis!$E$7)^$N69*$AA$4*Glycol,0)</f>
        <v>3797</v>
      </c>
      <c r="I69" s="83">
        <f>ROUND(H69/(MID($C69,9,3)/Basis!$E$3/Basis!$E$9)*Basis!$E$11,0)</f>
        <v>1447</v>
      </c>
      <c r="J69" s="123">
        <f>IF(Basis!$E$1=1,ROUND(H69/((TaH-TrH)*1.163)/3600,3),ROUND(H69/(500*(TaH-TrH)),2))</f>
        <v>0.38</v>
      </c>
      <c r="K69" s="84"/>
      <c r="L69" s="177">
        <f>CHOOSE(Basis!$E$1,((AJ69*(J69*3600/Basis!$E$5)^AK69*(((MID(C69,9,3)*10)-144)/1000)*AL69+AM69*(J69*3600/Basis!$E$5)^2)*0.0098)/Basis!$E$10,((AJ69*(J69/Basis!$E$5)^AK69*(((MID(C69,9,3)*10)-144)/1000)*AL69+AM69*(J69/Basis!$E$5)^2)*0.0098)/Basis!$E$10)</f>
        <v>1.035298211287365E-2</v>
      </c>
      <c r="M69" s="85"/>
      <c r="N69" s="185">
        <v>1.3839999999999999</v>
      </c>
      <c r="O69" s="186"/>
      <c r="P69" s="187">
        <v>1757</v>
      </c>
      <c r="R69" s="2"/>
      <c r="S69" s="2"/>
      <c r="T69" s="2"/>
      <c r="U69" s="2"/>
      <c r="V69" s="2"/>
      <c r="X69" s="38"/>
      <c r="Y69" s="38"/>
      <c r="Z69" s="38"/>
      <c r="AA69" s="38"/>
      <c r="AB69" s="38"/>
      <c r="AD69" s="2"/>
      <c r="AE69" s="2"/>
      <c r="AF69" s="2"/>
      <c r="AG69" s="2"/>
      <c r="AH69" s="2"/>
      <c r="AJ69" s="126">
        <v>1.2760000000000001E-4</v>
      </c>
      <c r="AK69" s="132">
        <v>1.7219</v>
      </c>
      <c r="AL69" s="129">
        <v>2</v>
      </c>
      <c r="AM69" s="126">
        <v>3.76611E-4</v>
      </c>
      <c r="AO69" s="10"/>
      <c r="AP69" s="10"/>
      <c r="AQ69" s="10"/>
      <c r="AR69" s="10"/>
      <c r="AS69" s="10"/>
      <c r="AU69" s="2"/>
      <c r="AV69" s="2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</row>
    <row r="70" spans="1:73" customFormat="1" ht="12.75" customHeight="1" x14ac:dyDescent="0.25">
      <c r="A70" s="72" t="s">
        <v>20</v>
      </c>
      <c r="B70" s="184" t="s">
        <v>3089</v>
      </c>
      <c r="C70" s="44" t="s">
        <v>3021</v>
      </c>
      <c r="D70" s="45">
        <f>MROUND(MID($C70,6,3)/Basis!$E$3,0.5)</f>
        <v>19.5</v>
      </c>
      <c r="E70" s="45">
        <f>MROUND(MID($C70,9,3)/Basis!$E$3,0.5)</f>
        <v>35.5</v>
      </c>
      <c r="F70" s="237" t="str">
        <f t="shared" si="0"/>
        <v>10</v>
      </c>
      <c r="G70" s="45">
        <f>ROUND((ROUNDDOWN($F70/5,0)*5+2.2)/Basis!$E$3,1)</f>
        <v>4.8</v>
      </c>
      <c r="H70" s="120">
        <f>ROUND($P70*Basis!$E$2*((TaH-TrH)/LN(1/µ)/Basis!$E$7)^$N70*$AA$4*Glycol,0)</f>
        <v>1867</v>
      </c>
      <c r="I70" s="83">
        <f>ROUND(H70/(MID($C70,9,3)/Basis!$E$3/Basis!$E$9)*Basis!$E$11,0)</f>
        <v>632</v>
      </c>
      <c r="J70" s="123">
        <f>IF(Basis!$E$1=1,ROUND(H70/((TaH-TrH)*1.163)/3600,3),ROUND(H70/(500*(TaH-TrH)),2))</f>
        <v>0.19</v>
      </c>
      <c r="K70" s="84"/>
      <c r="L70" s="177">
        <f>CHOOSE(Basis!$E$1,((AJ70*(J70*3600/Basis!$E$5)^AK70*(((MID(C70,9,3)*10)-144)/1000)*AL70+AM70*(J70*3600/Basis!$E$5)^2)*0.0098)/Basis!$E$10,((AJ70*(J70/Basis!$E$5)^AK70*(((MID(C70,9,3)*10)-144)/1000)*AL70+AM70*(J70/Basis!$E$5)^2)*0.0098)/Basis!$E$10)</f>
        <v>3.582160292693978E-3</v>
      </c>
      <c r="M70" s="85"/>
      <c r="N70" s="185">
        <v>1.3939999999999999</v>
      </c>
      <c r="O70" s="186"/>
      <c r="P70" s="187">
        <v>867</v>
      </c>
      <c r="R70" s="2"/>
      <c r="S70" s="2"/>
      <c r="T70" s="2"/>
      <c r="U70" s="2"/>
      <c r="V70" s="2"/>
      <c r="X70" s="38"/>
      <c r="Y70" s="38"/>
      <c r="Z70" s="38"/>
      <c r="AA70" s="38"/>
      <c r="AB70" s="38"/>
      <c r="AD70" s="2"/>
      <c r="AE70" s="2"/>
      <c r="AF70" s="2"/>
      <c r="AG70" s="2"/>
      <c r="AH70" s="2"/>
      <c r="AJ70" s="126">
        <v>3.9689999999999994E-4</v>
      </c>
      <c r="AK70" s="132">
        <v>1.7345999999999999</v>
      </c>
      <c r="AL70" s="129">
        <v>2</v>
      </c>
      <c r="AM70" s="126">
        <v>3.6734700000000002E-4</v>
      </c>
      <c r="AO70" s="10"/>
      <c r="AP70" s="10"/>
      <c r="AQ70" s="10"/>
      <c r="AR70" s="10"/>
      <c r="AS70" s="10"/>
      <c r="AU70" s="2"/>
      <c r="AV70" s="2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</row>
    <row r="71" spans="1:73" customFormat="1" ht="12.75" customHeight="1" x14ac:dyDescent="0.25">
      <c r="A71" s="72" t="s">
        <v>20</v>
      </c>
      <c r="B71" s="184" t="s">
        <v>3089</v>
      </c>
      <c r="C71" s="44" t="s">
        <v>3033</v>
      </c>
      <c r="D71" s="45">
        <f>MROUND(MID($C71,6,3)/Basis!$E$3,0.5)</f>
        <v>19.5</v>
      </c>
      <c r="E71" s="45">
        <f>MROUND(MID($C71,9,3)/Basis!$E$3,0.5)</f>
        <v>35.5</v>
      </c>
      <c r="F71" s="237" t="str">
        <f t="shared" si="0"/>
        <v>15</v>
      </c>
      <c r="G71" s="45">
        <f>ROUND((ROUNDDOWN($F71/5,0)*5+2.2)/Basis!$E$3,1)</f>
        <v>6.8</v>
      </c>
      <c r="H71" s="120">
        <f>ROUND($P71*Basis!$E$2*((TaH-TrH)/LN(1/µ)/Basis!$E$7)^$N71*$AA$4*Glycol,0)</f>
        <v>2853</v>
      </c>
      <c r="I71" s="83">
        <f>ROUND(H71/(MID($C71,9,3)/Basis!$E$3/Basis!$E$9)*Basis!$E$11,0)</f>
        <v>966</v>
      </c>
      <c r="J71" s="123">
        <f>IF(Basis!$E$1=1,ROUND(H71/((TaH-TrH)*1.163)/3600,3),ROUND(H71/(500*(TaH-TrH)),2))</f>
        <v>0.28999999999999998</v>
      </c>
      <c r="K71" s="84"/>
      <c r="L71" s="177">
        <f>CHOOSE(Basis!$E$1,((AJ71*(J71*3600/Basis!$E$5)^AK71*(((MID(C71,9,3)*10)-144)/1000)*AL71+AM71*(J71*3600/Basis!$E$5)^2)*0.0098)/Basis!$E$10,((AJ71*(J71/Basis!$E$5)^AK71*(((MID(C71,9,3)*10)-144)/1000)*AL71+AM71*(J71/Basis!$E$5)^2)*0.0098)/Basis!$E$10)</f>
        <v>7.9575753104098659E-3</v>
      </c>
      <c r="M71" s="85"/>
      <c r="N71" s="185">
        <v>1.39</v>
      </c>
      <c r="O71" s="186"/>
      <c r="P71" s="187">
        <v>1323</v>
      </c>
      <c r="R71" s="2"/>
      <c r="S71" s="2"/>
      <c r="T71" s="2"/>
      <c r="U71" s="2"/>
      <c r="V71" s="2"/>
      <c r="X71" s="38"/>
      <c r="Y71" s="38"/>
      <c r="Z71" s="38"/>
      <c r="AA71" s="38"/>
      <c r="AB71" s="38"/>
      <c r="AD71" s="2"/>
      <c r="AE71" s="2"/>
      <c r="AF71" s="2"/>
      <c r="AG71" s="2"/>
      <c r="AH71" s="2"/>
      <c r="AJ71" s="125">
        <v>2.0829999999999999E-4</v>
      </c>
      <c r="AK71" s="131">
        <v>1.724</v>
      </c>
      <c r="AL71" s="128">
        <v>2</v>
      </c>
      <c r="AM71" s="125">
        <v>4.6182900000000003E-4</v>
      </c>
      <c r="AO71" s="10"/>
      <c r="AP71" s="10"/>
      <c r="AQ71" s="10"/>
      <c r="AR71" s="10"/>
      <c r="AS71" s="10"/>
      <c r="AU71" s="2"/>
      <c r="AV71" s="2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</row>
    <row r="72" spans="1:73" customFormat="1" ht="12.75" customHeight="1" x14ac:dyDescent="0.25">
      <c r="A72" s="72" t="s">
        <v>20</v>
      </c>
      <c r="B72" s="184" t="s">
        <v>3089</v>
      </c>
      <c r="C72" s="44" t="s">
        <v>3045</v>
      </c>
      <c r="D72" s="45">
        <f>MROUND(MID($C72,6,3)/Basis!$E$3,0.5)</f>
        <v>19.5</v>
      </c>
      <c r="E72" s="45">
        <f>MROUND(MID($C72,9,3)/Basis!$E$3,0.5)</f>
        <v>35.5</v>
      </c>
      <c r="F72" s="237" t="str">
        <f t="shared" si="0"/>
        <v>20</v>
      </c>
      <c r="G72" s="45">
        <f>ROUND((ROUNDDOWN($F72/5,0)*5+2.2)/Basis!$E$3,1)</f>
        <v>8.6999999999999993</v>
      </c>
      <c r="H72" s="120">
        <f>ROUND($P72*Basis!$E$2*((TaH-TrH)/LN(1/µ)/Basis!$E$7)^$N72*$AA$4*Glycol,0)</f>
        <v>4270</v>
      </c>
      <c r="I72" s="83">
        <f>ROUND(H72/(MID($C72,9,3)/Basis!$E$3/Basis!$E$9)*Basis!$E$11,0)</f>
        <v>1446</v>
      </c>
      <c r="J72" s="123">
        <f>IF(Basis!$E$1=1,ROUND(H72/((TaH-TrH)*1.163)/3600,3),ROUND(H72/(500*(TaH-TrH)),2))</f>
        <v>0.43</v>
      </c>
      <c r="K72" s="84"/>
      <c r="L72" s="177">
        <f>CHOOSE(Basis!$E$1,((AJ72*(J72*3600/Basis!$E$5)^AK72*(((MID(C72,9,3)*10)-144)/1000)*AL72+AM72*(J72*3600/Basis!$E$5)^2)*0.0098)/Basis!$E$10,((AJ72*(J72/Basis!$E$5)^AK72*(((MID(C72,9,3)*10)-144)/1000)*AL72+AM72*(J72/Basis!$E$5)^2)*0.0098)/Basis!$E$10)</f>
        <v>1.34282161432991E-2</v>
      </c>
      <c r="M72" s="85"/>
      <c r="N72" s="185">
        <v>1.3839999999999999</v>
      </c>
      <c r="O72" s="186"/>
      <c r="P72" s="187">
        <v>1976</v>
      </c>
      <c r="R72" s="2"/>
      <c r="S72" s="2"/>
      <c r="T72" s="2"/>
      <c r="U72" s="2"/>
      <c r="V72" s="2"/>
      <c r="X72" s="38"/>
      <c r="Y72" s="38"/>
      <c r="Z72" s="38"/>
      <c r="AA72" s="38"/>
      <c r="AB72" s="38"/>
      <c r="AD72" s="2"/>
      <c r="AE72" s="2"/>
      <c r="AF72" s="2"/>
      <c r="AG72" s="2"/>
      <c r="AH72" s="2"/>
      <c r="AJ72" s="126">
        <v>1.2760000000000001E-4</v>
      </c>
      <c r="AK72" s="132">
        <v>1.7219</v>
      </c>
      <c r="AL72" s="129">
        <v>2</v>
      </c>
      <c r="AM72" s="126">
        <v>3.76611E-4</v>
      </c>
      <c r="AO72" s="10"/>
      <c r="AP72" s="10"/>
      <c r="AQ72" s="10"/>
      <c r="AR72" s="10"/>
      <c r="AS72" s="10"/>
      <c r="AU72" s="2"/>
      <c r="AV72" s="2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</row>
    <row r="73" spans="1:73" customFormat="1" ht="12.75" customHeight="1" x14ac:dyDescent="0.25">
      <c r="A73" s="72" t="s">
        <v>20</v>
      </c>
      <c r="B73" s="184" t="s">
        <v>3089</v>
      </c>
      <c r="C73" s="44" t="s">
        <v>3022</v>
      </c>
      <c r="D73" s="45">
        <f>MROUND(MID($C73,6,3)/Basis!$E$3,0.5)</f>
        <v>19.5</v>
      </c>
      <c r="E73" s="45">
        <f>MROUND(MID($C73,9,3)/Basis!$E$3,0.5)</f>
        <v>39.5</v>
      </c>
      <c r="F73" s="237" t="str">
        <f t="shared" si="0"/>
        <v>10</v>
      </c>
      <c r="G73" s="45">
        <f>ROUND((ROUNDDOWN($F73/5,0)*5+2.2)/Basis!$E$3,1)</f>
        <v>4.8</v>
      </c>
      <c r="H73" s="120">
        <f>ROUND($P73*Basis!$E$2*((TaH-TrH)/LN(1/µ)/Basis!$E$7)^$N73*$AA$4*Glycol,0)</f>
        <v>2074</v>
      </c>
      <c r="I73" s="83">
        <f>ROUND(H73/(MID($C73,9,3)/Basis!$E$3/Basis!$E$9)*Basis!$E$11,0)</f>
        <v>632</v>
      </c>
      <c r="J73" s="123">
        <f>IF(Basis!$E$1=1,ROUND(H73/((TaH-TrH)*1.163)/3600,3),ROUND(H73/(500*(TaH-TrH)),2))</f>
        <v>0.21</v>
      </c>
      <c r="K73" s="84"/>
      <c r="L73" s="177">
        <f>CHOOSE(Basis!$E$1,((AJ73*(J73*3600/Basis!$E$5)^AK73*(((MID(C73,9,3)*10)-144)/1000)*AL73+AM73*(J73*3600/Basis!$E$5)^2)*0.0098)/Basis!$E$10,((AJ73*(J73/Basis!$E$5)^AK73*(((MID(C73,9,3)*10)-144)/1000)*AL73+AM73*(J73/Basis!$E$5)^2)*0.0098)/Basis!$E$10)</f>
        <v>4.5446100180261493E-3</v>
      </c>
      <c r="M73" s="85"/>
      <c r="N73" s="185">
        <v>1.3939999999999999</v>
      </c>
      <c r="O73" s="186"/>
      <c r="P73" s="187">
        <v>963</v>
      </c>
      <c r="R73" s="2"/>
      <c r="S73" s="2"/>
      <c r="T73" s="2"/>
      <c r="U73" s="2"/>
      <c r="V73" s="2"/>
      <c r="X73" s="38"/>
      <c r="Y73" s="38"/>
      <c r="Z73" s="38"/>
      <c r="AA73" s="38"/>
      <c r="AB73" s="38"/>
      <c r="AD73" s="2"/>
      <c r="AE73" s="2"/>
      <c r="AF73" s="2"/>
      <c r="AG73" s="2"/>
      <c r="AH73" s="2"/>
      <c r="AJ73" s="126">
        <v>3.9689999999999994E-4</v>
      </c>
      <c r="AK73" s="132">
        <v>1.7345999999999999</v>
      </c>
      <c r="AL73" s="129">
        <v>2</v>
      </c>
      <c r="AM73" s="126">
        <v>3.6734700000000002E-4</v>
      </c>
      <c r="AO73" s="10"/>
      <c r="AP73" s="10"/>
      <c r="AQ73" s="10"/>
      <c r="AR73" s="10"/>
      <c r="AS73" s="10"/>
      <c r="AU73" s="2"/>
      <c r="AV73" s="2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</row>
    <row r="74" spans="1:73" customFormat="1" ht="12.75" customHeight="1" x14ac:dyDescent="0.25">
      <c r="A74" s="72" t="s">
        <v>20</v>
      </c>
      <c r="B74" s="184" t="s">
        <v>3089</v>
      </c>
      <c r="C74" s="44" t="s">
        <v>3034</v>
      </c>
      <c r="D74" s="45">
        <f>MROUND(MID($C74,6,3)/Basis!$E$3,0.5)</f>
        <v>19.5</v>
      </c>
      <c r="E74" s="45">
        <f>MROUND(MID($C74,9,3)/Basis!$E$3,0.5)</f>
        <v>39.5</v>
      </c>
      <c r="F74" s="237" t="str">
        <f t="shared" ref="F74:F137" si="1">RIGHT(C74,2)</f>
        <v>15</v>
      </c>
      <c r="G74" s="45">
        <f>ROUND((ROUNDDOWN($F74/5,0)*5+2.2)/Basis!$E$3,1)</f>
        <v>6.8</v>
      </c>
      <c r="H74" s="120">
        <f>ROUND($P74*Basis!$E$2*((TaH-TrH)/LN(1/µ)/Basis!$E$7)^$N74*$AA$4*Glycol,0)</f>
        <v>3170</v>
      </c>
      <c r="I74" s="83">
        <f>ROUND(H74/(MID($C74,9,3)/Basis!$E$3/Basis!$E$9)*Basis!$E$11,0)</f>
        <v>966</v>
      </c>
      <c r="J74" s="123">
        <f>IF(Basis!$E$1=1,ROUND(H74/((TaH-TrH)*1.163)/3600,3),ROUND(H74/(500*(TaH-TrH)),2))</f>
        <v>0.32</v>
      </c>
      <c r="K74" s="84"/>
      <c r="L74" s="177">
        <f>CHOOSE(Basis!$E$1,((AJ74*(J74*3600/Basis!$E$5)^AK74*(((MID(C74,9,3)*10)-144)/1000)*AL74+AM74*(J74*3600/Basis!$E$5)^2)*0.0098)/Basis!$E$10,((AJ74*(J74/Basis!$E$5)^AK74*(((MID(C74,9,3)*10)-144)/1000)*AL74+AM74*(J74/Basis!$E$5)^2)*0.0098)/Basis!$E$10)</f>
        <v>9.8636772760199564E-3</v>
      </c>
      <c r="M74" s="85"/>
      <c r="N74" s="185">
        <v>1.39</v>
      </c>
      <c r="O74" s="186"/>
      <c r="P74" s="187">
        <v>1470</v>
      </c>
      <c r="R74" s="2"/>
      <c r="S74" s="2"/>
      <c r="T74" s="2"/>
      <c r="U74" s="2"/>
      <c r="V74" s="2"/>
      <c r="X74" s="38"/>
      <c r="Y74" s="38"/>
      <c r="Z74" s="38"/>
      <c r="AA74" s="38"/>
      <c r="AB74" s="38"/>
      <c r="AD74" s="2"/>
      <c r="AE74" s="2"/>
      <c r="AF74" s="2"/>
      <c r="AG74" s="2"/>
      <c r="AH74" s="2"/>
      <c r="AJ74" s="125">
        <v>2.0829999999999999E-4</v>
      </c>
      <c r="AK74" s="131">
        <v>1.724</v>
      </c>
      <c r="AL74" s="128">
        <v>2</v>
      </c>
      <c r="AM74" s="125">
        <v>4.6182900000000003E-4</v>
      </c>
      <c r="AO74" s="10"/>
      <c r="AP74" s="10"/>
      <c r="AQ74" s="10"/>
      <c r="AR74" s="10"/>
      <c r="AS74" s="10"/>
      <c r="AU74" s="2"/>
      <c r="AV74" s="2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</row>
    <row r="75" spans="1:73" customFormat="1" ht="12.75" customHeight="1" x14ac:dyDescent="0.25">
      <c r="A75" s="72" t="s">
        <v>20</v>
      </c>
      <c r="B75" s="184" t="s">
        <v>3089</v>
      </c>
      <c r="C75" s="44" t="s">
        <v>3046</v>
      </c>
      <c r="D75" s="45">
        <f>MROUND(MID($C75,6,3)/Basis!$E$3,0.5)</f>
        <v>19.5</v>
      </c>
      <c r="E75" s="45">
        <f>MROUND(MID($C75,9,3)/Basis!$E$3,0.5)</f>
        <v>39.5</v>
      </c>
      <c r="F75" s="237" t="str">
        <f t="shared" si="1"/>
        <v>20</v>
      </c>
      <c r="G75" s="45">
        <f>ROUND((ROUNDDOWN($F75/5,0)*5+2.2)/Basis!$E$3,1)</f>
        <v>8.6999999999999993</v>
      </c>
      <c r="H75" s="120">
        <f>ROUND($P75*Basis!$E$2*((TaH-TrH)/LN(1/µ)/Basis!$E$7)^$N75*$AA$4*Glycol,0)</f>
        <v>4745</v>
      </c>
      <c r="I75" s="83">
        <f>ROUND(H75/(MID($C75,9,3)/Basis!$E$3/Basis!$E$9)*Basis!$E$11,0)</f>
        <v>1446</v>
      </c>
      <c r="J75" s="123">
        <f>IF(Basis!$E$1=1,ROUND(H75/((TaH-TrH)*1.163)/3600,3),ROUND(H75/(500*(TaH-TrH)),2))</f>
        <v>0.47</v>
      </c>
      <c r="K75" s="84"/>
      <c r="L75" s="177">
        <f>CHOOSE(Basis!$E$1,((AJ75*(J75*3600/Basis!$E$5)^AK75*(((MID(C75,9,3)*10)-144)/1000)*AL75+AM75*(J75*3600/Basis!$E$5)^2)*0.0098)/Basis!$E$10,((AJ75*(J75/Basis!$E$5)^AK75*(((MID(C75,9,3)*10)-144)/1000)*AL75+AM75*(J75/Basis!$E$5)^2)*0.0098)/Basis!$E$10)</f>
        <v>1.6253002518565554E-2</v>
      </c>
      <c r="M75" s="85"/>
      <c r="N75" s="185">
        <v>1.3839999999999999</v>
      </c>
      <c r="O75" s="186"/>
      <c r="P75" s="187">
        <v>2196</v>
      </c>
      <c r="R75" s="2"/>
      <c r="S75" s="2"/>
      <c r="T75" s="2"/>
      <c r="U75" s="2"/>
      <c r="V75" s="2"/>
      <c r="X75" s="38"/>
      <c r="Y75" s="38"/>
      <c r="Z75" s="38"/>
      <c r="AA75" s="38"/>
      <c r="AB75" s="38"/>
      <c r="AD75" s="2"/>
      <c r="AE75" s="2"/>
      <c r="AF75" s="2"/>
      <c r="AG75" s="2"/>
      <c r="AH75" s="2"/>
      <c r="AJ75" s="126">
        <v>1.2760000000000001E-4</v>
      </c>
      <c r="AK75" s="132">
        <v>1.7219</v>
      </c>
      <c r="AL75" s="129">
        <v>2</v>
      </c>
      <c r="AM75" s="126">
        <v>3.76611E-4</v>
      </c>
      <c r="AO75" s="10"/>
      <c r="AP75" s="10"/>
      <c r="AQ75" s="10"/>
      <c r="AR75" s="10"/>
      <c r="AS75" s="10"/>
      <c r="AU75" s="2"/>
      <c r="AV75" s="2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</row>
    <row r="76" spans="1:73" customFormat="1" ht="12.75" customHeight="1" x14ac:dyDescent="0.25">
      <c r="A76" s="72" t="s">
        <v>20</v>
      </c>
      <c r="B76" s="184" t="s">
        <v>3089</v>
      </c>
      <c r="C76" s="44" t="s">
        <v>3023</v>
      </c>
      <c r="D76" s="45">
        <f>MROUND(MID($C76,6,3)/Basis!$E$3,0.5)</f>
        <v>19.5</v>
      </c>
      <c r="E76" s="45">
        <f>MROUND(MID($C76,9,3)/Basis!$E$3,0.5)</f>
        <v>43.5</v>
      </c>
      <c r="F76" s="237" t="str">
        <f t="shared" si="1"/>
        <v>10</v>
      </c>
      <c r="G76" s="45">
        <f>ROUND((ROUNDDOWN($F76/5,0)*5+2.2)/Basis!$E$3,1)</f>
        <v>4.8</v>
      </c>
      <c r="H76" s="120">
        <f>ROUND($P76*Basis!$E$2*((TaH-TrH)/LN(1/µ)/Basis!$E$7)^$N76*$AA$4*Glycol,0)</f>
        <v>2281</v>
      </c>
      <c r="I76" s="83">
        <f>ROUND(H76/(MID($C76,9,3)/Basis!$E$3/Basis!$E$9)*Basis!$E$11,0)</f>
        <v>632</v>
      </c>
      <c r="J76" s="123">
        <f>IF(Basis!$E$1=1,ROUND(H76/((TaH-TrH)*1.163)/3600,3),ROUND(H76/(500*(TaH-TrH)),2))</f>
        <v>0.23</v>
      </c>
      <c r="K76" s="84"/>
      <c r="L76" s="177">
        <f>CHOOSE(Basis!$E$1,((AJ76*(J76*3600/Basis!$E$5)^AK76*(((MID(C76,9,3)*10)-144)/1000)*AL76+AM76*(J76*3600/Basis!$E$5)^2)*0.0098)/Basis!$E$10,((AJ76*(J76/Basis!$E$5)^AK76*(((MID(C76,9,3)*10)-144)/1000)*AL76+AM76*(J76/Basis!$E$5)^2)*0.0098)/Basis!$E$10)</f>
        <v>5.6475029220575106E-3</v>
      </c>
      <c r="M76" s="85"/>
      <c r="N76" s="185">
        <v>1.3939999999999999</v>
      </c>
      <c r="O76" s="186"/>
      <c r="P76" s="187">
        <v>1059</v>
      </c>
      <c r="R76" s="2"/>
      <c r="S76" s="2"/>
      <c r="T76" s="2"/>
      <c r="U76" s="2"/>
      <c r="V76" s="2"/>
      <c r="X76" s="38"/>
      <c r="Y76" s="38"/>
      <c r="Z76" s="38"/>
      <c r="AA76" s="38"/>
      <c r="AB76" s="38"/>
      <c r="AD76" s="2"/>
      <c r="AE76" s="2"/>
      <c r="AF76" s="2"/>
      <c r="AG76" s="2"/>
      <c r="AH76" s="2"/>
      <c r="AJ76" s="126">
        <v>3.9689999999999994E-4</v>
      </c>
      <c r="AK76" s="132">
        <v>1.7345999999999999</v>
      </c>
      <c r="AL76" s="129">
        <v>2</v>
      </c>
      <c r="AM76" s="126">
        <v>3.6734700000000002E-4</v>
      </c>
      <c r="AO76" s="10"/>
      <c r="AP76" s="10"/>
      <c r="AQ76" s="10"/>
      <c r="AR76" s="10"/>
      <c r="AS76" s="10"/>
      <c r="AU76" s="2"/>
      <c r="AV76" s="2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</row>
    <row r="77" spans="1:73" customFormat="1" ht="12.75" customHeight="1" x14ac:dyDescent="0.25">
      <c r="A77" s="72" t="s">
        <v>20</v>
      </c>
      <c r="B77" s="184" t="s">
        <v>3089</v>
      </c>
      <c r="C77" s="44" t="s">
        <v>3035</v>
      </c>
      <c r="D77" s="45">
        <f>MROUND(MID($C77,6,3)/Basis!$E$3,0.5)</f>
        <v>19.5</v>
      </c>
      <c r="E77" s="45">
        <f>MROUND(MID($C77,9,3)/Basis!$E$3,0.5)</f>
        <v>43.5</v>
      </c>
      <c r="F77" s="237" t="str">
        <f t="shared" si="1"/>
        <v>15</v>
      </c>
      <c r="G77" s="45">
        <f>ROUND((ROUNDDOWN($F77/5,0)*5+2.2)/Basis!$E$3,1)</f>
        <v>6.8</v>
      </c>
      <c r="H77" s="120">
        <f>ROUND($P77*Basis!$E$2*((TaH-TrH)/LN(1/µ)/Basis!$E$7)^$N77*$AA$4*Glycol,0)</f>
        <v>3487</v>
      </c>
      <c r="I77" s="83">
        <f>ROUND(H77/(MID($C77,9,3)/Basis!$E$3/Basis!$E$9)*Basis!$E$11,0)</f>
        <v>966</v>
      </c>
      <c r="J77" s="123">
        <f>IF(Basis!$E$1=1,ROUND(H77/((TaH-TrH)*1.163)/3600,3),ROUND(H77/(500*(TaH-TrH)),2))</f>
        <v>0.35</v>
      </c>
      <c r="K77" s="84"/>
      <c r="L77" s="177">
        <f>CHOOSE(Basis!$E$1,((AJ77*(J77*3600/Basis!$E$5)^AK77*(((MID(C77,9,3)*10)-144)/1000)*AL77+AM77*(J77*3600/Basis!$E$5)^2)*0.0098)/Basis!$E$10,((AJ77*(J77/Basis!$E$5)^AK77*(((MID(C77,9,3)*10)-144)/1000)*AL77+AM77*(J77/Basis!$E$5)^2)*0.0098)/Basis!$E$10)</f>
        <v>1.2001939850326142E-2</v>
      </c>
      <c r="M77" s="85"/>
      <c r="N77" s="185">
        <v>1.39</v>
      </c>
      <c r="O77" s="186"/>
      <c r="P77" s="187">
        <v>1617</v>
      </c>
      <c r="R77" s="2"/>
      <c r="S77" s="2"/>
      <c r="T77" s="2"/>
      <c r="U77" s="2"/>
      <c r="V77" s="2"/>
      <c r="X77" s="38"/>
      <c r="Y77" s="38"/>
      <c r="Z77" s="38"/>
      <c r="AA77" s="38"/>
      <c r="AB77" s="38"/>
      <c r="AD77" s="2"/>
      <c r="AE77" s="2"/>
      <c r="AF77" s="2"/>
      <c r="AG77" s="2"/>
      <c r="AH77" s="2"/>
      <c r="AJ77" s="125">
        <v>2.0829999999999999E-4</v>
      </c>
      <c r="AK77" s="131">
        <v>1.724</v>
      </c>
      <c r="AL77" s="128">
        <v>2</v>
      </c>
      <c r="AM77" s="125">
        <v>4.6182900000000003E-4</v>
      </c>
      <c r="AO77" s="10"/>
      <c r="AP77" s="10"/>
      <c r="AQ77" s="10"/>
      <c r="AR77" s="10"/>
      <c r="AS77" s="10"/>
      <c r="AU77" s="2"/>
      <c r="AV77" s="2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</row>
    <row r="78" spans="1:73" customFormat="1" ht="12.75" customHeight="1" x14ac:dyDescent="0.25">
      <c r="A78" s="72" t="s">
        <v>20</v>
      </c>
      <c r="B78" s="184" t="s">
        <v>3089</v>
      </c>
      <c r="C78" s="44" t="s">
        <v>3047</v>
      </c>
      <c r="D78" s="45">
        <f>MROUND(MID($C78,6,3)/Basis!$E$3,0.5)</f>
        <v>19.5</v>
      </c>
      <c r="E78" s="45">
        <f>MROUND(MID($C78,9,3)/Basis!$E$3,0.5)</f>
        <v>43.5</v>
      </c>
      <c r="F78" s="237" t="str">
        <f t="shared" si="1"/>
        <v>20</v>
      </c>
      <c r="G78" s="45">
        <f>ROUND((ROUNDDOWN($F78/5,0)*5+2.2)/Basis!$E$3,1)</f>
        <v>8.6999999999999993</v>
      </c>
      <c r="H78" s="120">
        <f>ROUND($P78*Basis!$E$2*((TaH-TrH)/LN(1/µ)/Basis!$E$7)^$N78*$AA$4*Glycol,0)</f>
        <v>5221</v>
      </c>
      <c r="I78" s="83">
        <f>ROUND(H78/(MID($C78,9,3)/Basis!$E$3/Basis!$E$9)*Basis!$E$11,0)</f>
        <v>1447</v>
      </c>
      <c r="J78" s="123">
        <f>IF(Basis!$E$1=1,ROUND(H78/((TaH-TrH)*1.163)/3600,3),ROUND(H78/(500*(TaH-TrH)),2))</f>
        <v>0.52</v>
      </c>
      <c r="K78" s="84"/>
      <c r="L78" s="177">
        <f>CHOOSE(Basis!$E$1,((AJ78*(J78*3600/Basis!$E$5)^AK78*(((MID(C78,9,3)*10)-144)/1000)*AL78+AM78*(J78*3600/Basis!$E$5)^2)*0.0098)/Basis!$E$10,((AJ78*(J78/Basis!$E$5)^AK78*(((MID(C78,9,3)*10)-144)/1000)*AL78+AM78*(J78/Basis!$E$5)^2)*0.0098)/Basis!$E$10)</f>
        <v>2.0128432886468813E-2</v>
      </c>
      <c r="M78" s="85"/>
      <c r="N78" s="185">
        <v>1.3839999999999999</v>
      </c>
      <c r="O78" s="186"/>
      <c r="P78" s="187">
        <v>2416</v>
      </c>
      <c r="R78" s="2"/>
      <c r="S78" s="2"/>
      <c r="T78" s="2"/>
      <c r="U78" s="2"/>
      <c r="V78" s="2"/>
      <c r="X78" s="38"/>
      <c r="Y78" s="38"/>
      <c r="Z78" s="38"/>
      <c r="AA78" s="38"/>
      <c r="AB78" s="38"/>
      <c r="AD78" s="2"/>
      <c r="AE78" s="2"/>
      <c r="AF78" s="2"/>
      <c r="AG78" s="2"/>
      <c r="AH78" s="2"/>
      <c r="AJ78" s="126">
        <v>1.2760000000000001E-4</v>
      </c>
      <c r="AK78" s="132">
        <v>1.7219</v>
      </c>
      <c r="AL78" s="129">
        <v>2</v>
      </c>
      <c r="AM78" s="126">
        <v>3.76611E-4</v>
      </c>
      <c r="AO78" s="10"/>
      <c r="AP78" s="10"/>
      <c r="AQ78" s="10"/>
      <c r="AR78" s="10"/>
      <c r="AS78" s="10"/>
      <c r="AU78" s="2"/>
      <c r="AV78" s="2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</row>
    <row r="79" spans="1:73" customFormat="1" ht="12.75" customHeight="1" x14ac:dyDescent="0.25">
      <c r="A79" s="72" t="s">
        <v>20</v>
      </c>
      <c r="B79" s="184" t="s">
        <v>3089</v>
      </c>
      <c r="C79" s="44" t="s">
        <v>3024</v>
      </c>
      <c r="D79" s="45">
        <f>MROUND(MID($C79,6,3)/Basis!$E$3,0.5)</f>
        <v>19.5</v>
      </c>
      <c r="E79" s="45">
        <f>MROUND(MID($C79,9,3)/Basis!$E$3,0.5)</f>
        <v>47</v>
      </c>
      <c r="F79" s="237" t="str">
        <f t="shared" si="1"/>
        <v>10</v>
      </c>
      <c r="G79" s="45">
        <f>ROUND((ROUNDDOWN($F79/5,0)*5+2.2)/Basis!$E$3,1)</f>
        <v>4.8</v>
      </c>
      <c r="H79" s="120">
        <f>ROUND($P79*Basis!$E$2*((TaH-TrH)/LN(1/µ)/Basis!$E$7)^$N79*$AA$4*Glycol,0)</f>
        <v>2490</v>
      </c>
      <c r="I79" s="83">
        <f>ROUND(H79/(MID($C79,9,3)/Basis!$E$3/Basis!$E$9)*Basis!$E$11,0)</f>
        <v>632</v>
      </c>
      <c r="J79" s="123">
        <f>IF(Basis!$E$1=1,ROUND(H79/((TaH-TrH)*1.163)/3600,3),ROUND(H79/(500*(TaH-TrH)),2))</f>
        <v>0.25</v>
      </c>
      <c r="K79" s="84"/>
      <c r="L79" s="177">
        <f>CHOOSE(Basis!$E$1,((AJ79*(J79*3600/Basis!$E$5)^AK79*(((MID(C79,9,3)*10)-144)/1000)*AL79+AM79*(J79*3600/Basis!$E$5)^2)*0.0098)/Basis!$E$10,((AJ79*(J79/Basis!$E$5)^AK79*(((MID(C79,9,3)*10)-144)/1000)*AL79+AM79*(J79/Basis!$E$5)^2)*0.0098)/Basis!$E$10)</f>
        <v>6.8975635998613921E-3</v>
      </c>
      <c r="M79" s="85"/>
      <c r="N79" s="185">
        <v>1.3939999999999999</v>
      </c>
      <c r="O79" s="186"/>
      <c r="P79" s="187">
        <v>1156</v>
      </c>
      <c r="R79" s="2"/>
      <c r="S79" s="2"/>
      <c r="T79" s="2"/>
      <c r="U79" s="2"/>
      <c r="V79" s="2"/>
      <c r="X79" s="38"/>
      <c r="Y79" s="38"/>
      <c r="Z79" s="38"/>
      <c r="AA79" s="38"/>
      <c r="AB79" s="38"/>
      <c r="AD79" s="2"/>
      <c r="AE79" s="2"/>
      <c r="AF79" s="2"/>
      <c r="AG79" s="2"/>
      <c r="AH79" s="2"/>
      <c r="AJ79" s="126">
        <v>3.9689999999999994E-4</v>
      </c>
      <c r="AK79" s="132">
        <v>1.7345999999999999</v>
      </c>
      <c r="AL79" s="129">
        <v>2</v>
      </c>
      <c r="AM79" s="126">
        <v>3.6734700000000002E-4</v>
      </c>
      <c r="AO79" s="10"/>
      <c r="AP79" s="10"/>
      <c r="AQ79" s="10"/>
      <c r="AR79" s="10"/>
      <c r="AS79" s="10"/>
      <c r="AU79" s="2"/>
      <c r="AV79" s="2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</row>
    <row r="80" spans="1:73" customFormat="1" ht="12.75" customHeight="1" x14ac:dyDescent="0.25">
      <c r="A80" s="72" t="s">
        <v>20</v>
      </c>
      <c r="B80" s="184" t="s">
        <v>3089</v>
      </c>
      <c r="C80" s="44" t="s">
        <v>3036</v>
      </c>
      <c r="D80" s="45">
        <f>MROUND(MID($C80,6,3)/Basis!$E$3,0.5)</f>
        <v>19.5</v>
      </c>
      <c r="E80" s="45">
        <f>MROUND(MID($C80,9,3)/Basis!$E$3,0.5)</f>
        <v>47</v>
      </c>
      <c r="F80" s="237" t="str">
        <f t="shared" si="1"/>
        <v>15</v>
      </c>
      <c r="G80" s="45">
        <f>ROUND((ROUNDDOWN($F80/5,0)*5+2.2)/Basis!$E$3,1)</f>
        <v>6.8</v>
      </c>
      <c r="H80" s="120">
        <f>ROUND($P80*Basis!$E$2*((TaH-TrH)/LN(1/µ)/Basis!$E$7)^$N80*$AA$4*Glycol,0)</f>
        <v>3804</v>
      </c>
      <c r="I80" s="83">
        <f>ROUND(H80/(MID($C80,9,3)/Basis!$E$3/Basis!$E$9)*Basis!$E$11,0)</f>
        <v>966</v>
      </c>
      <c r="J80" s="123">
        <f>IF(Basis!$E$1=1,ROUND(H80/((TaH-TrH)*1.163)/3600,3),ROUND(H80/(500*(TaH-TrH)),2))</f>
        <v>0.38</v>
      </c>
      <c r="K80" s="84"/>
      <c r="L80" s="177">
        <f>CHOOSE(Basis!$E$1,((AJ80*(J80*3600/Basis!$E$5)^AK80*(((MID(C80,9,3)*10)-144)/1000)*AL80+AM80*(J80*3600/Basis!$E$5)^2)*0.0098)/Basis!$E$10,((AJ80*(J80/Basis!$E$5)^AK80*(((MID(C80,9,3)*10)-144)/1000)*AL80+AM80*(J80/Basis!$E$5)^2)*0.0098)/Basis!$E$10)</f>
        <v>1.437899500846411E-2</v>
      </c>
      <c r="M80" s="85"/>
      <c r="N80" s="185">
        <v>1.39</v>
      </c>
      <c r="O80" s="186"/>
      <c r="P80" s="187">
        <v>1764</v>
      </c>
      <c r="R80" s="2"/>
      <c r="S80" s="2"/>
      <c r="T80" s="2"/>
      <c r="U80" s="2"/>
      <c r="V80" s="2"/>
      <c r="X80" s="38"/>
      <c r="Y80" s="38"/>
      <c r="Z80" s="38"/>
      <c r="AA80" s="38"/>
      <c r="AB80" s="38"/>
      <c r="AD80" s="2"/>
      <c r="AE80" s="2"/>
      <c r="AF80" s="2"/>
      <c r="AG80" s="2"/>
      <c r="AH80" s="2"/>
      <c r="AJ80" s="125">
        <v>2.0829999999999999E-4</v>
      </c>
      <c r="AK80" s="131">
        <v>1.724</v>
      </c>
      <c r="AL80" s="128">
        <v>2</v>
      </c>
      <c r="AM80" s="125">
        <v>4.6182900000000003E-4</v>
      </c>
      <c r="AO80" s="10"/>
      <c r="AP80" s="10"/>
      <c r="AQ80" s="10"/>
      <c r="AR80" s="10"/>
      <c r="AS80" s="10"/>
      <c r="AU80" s="2"/>
      <c r="AV80" s="2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</row>
    <row r="81" spans="1:73" customFormat="1" ht="12.75" customHeight="1" x14ac:dyDescent="0.25">
      <c r="A81" s="72" t="s">
        <v>20</v>
      </c>
      <c r="B81" s="184" t="s">
        <v>3089</v>
      </c>
      <c r="C81" s="44" t="s">
        <v>3048</v>
      </c>
      <c r="D81" s="45">
        <f>MROUND(MID($C81,6,3)/Basis!$E$3,0.5)</f>
        <v>19.5</v>
      </c>
      <c r="E81" s="45">
        <f>MROUND(MID($C81,9,3)/Basis!$E$3,0.5)</f>
        <v>47</v>
      </c>
      <c r="F81" s="237" t="str">
        <f t="shared" si="1"/>
        <v>20</v>
      </c>
      <c r="G81" s="45">
        <f>ROUND((ROUNDDOWN($F81/5,0)*5+2.2)/Basis!$E$3,1)</f>
        <v>8.6999999999999993</v>
      </c>
      <c r="H81" s="120">
        <f>ROUND($P81*Basis!$E$2*((TaH-TrH)/LN(1/µ)/Basis!$E$7)^$N81*$AA$4*Glycol,0)</f>
        <v>5694</v>
      </c>
      <c r="I81" s="83">
        <f>ROUND(H81/(MID($C81,9,3)/Basis!$E$3/Basis!$E$9)*Basis!$E$11,0)</f>
        <v>1446</v>
      </c>
      <c r="J81" s="123">
        <f>IF(Basis!$E$1=1,ROUND(H81/((TaH-TrH)*1.163)/3600,3),ROUND(H81/(500*(TaH-TrH)),2))</f>
        <v>0.56999999999999995</v>
      </c>
      <c r="K81" s="84"/>
      <c r="L81" s="177">
        <f>CHOOSE(Basis!$E$1,((AJ81*(J81*3600/Basis!$E$5)^AK81*(((MID(C81,9,3)*10)-144)/1000)*AL81+AM81*(J81*3600/Basis!$E$5)^2)*0.0098)/Basis!$E$10,((AJ81*(J81/Basis!$E$5)^AK81*(((MID(C81,9,3)*10)-144)/1000)*AL81+AM81*(J81/Basis!$E$5)^2)*0.0098)/Basis!$E$10)</f>
        <v>2.4457623435534776E-2</v>
      </c>
      <c r="M81" s="85"/>
      <c r="N81" s="185">
        <v>1.3839999999999999</v>
      </c>
      <c r="O81" s="186"/>
      <c r="P81" s="187">
        <v>2635</v>
      </c>
      <c r="R81" s="2"/>
      <c r="S81" s="2"/>
      <c r="T81" s="2"/>
      <c r="U81" s="2"/>
      <c r="V81" s="2"/>
      <c r="X81" s="38"/>
      <c r="Y81" s="38"/>
      <c r="Z81" s="38"/>
      <c r="AA81" s="38"/>
      <c r="AB81" s="38"/>
      <c r="AD81" s="2"/>
      <c r="AE81" s="2"/>
      <c r="AF81" s="2"/>
      <c r="AG81" s="2"/>
      <c r="AH81" s="2"/>
      <c r="AJ81" s="126">
        <v>1.2760000000000001E-4</v>
      </c>
      <c r="AK81" s="132">
        <v>1.7219</v>
      </c>
      <c r="AL81" s="129">
        <v>2</v>
      </c>
      <c r="AM81" s="126">
        <v>3.76611E-4</v>
      </c>
      <c r="AO81" s="10"/>
      <c r="AP81" s="10"/>
      <c r="AQ81" s="10"/>
      <c r="AR81" s="10"/>
      <c r="AS81" s="10"/>
      <c r="AU81" s="2"/>
      <c r="AV81" s="2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</row>
    <row r="82" spans="1:73" customFormat="1" ht="12.75" customHeight="1" x14ac:dyDescent="0.25">
      <c r="A82" s="72" t="s">
        <v>20</v>
      </c>
      <c r="B82" s="184" t="s">
        <v>3089</v>
      </c>
      <c r="C82" s="44" t="s">
        <v>3025</v>
      </c>
      <c r="D82" s="45">
        <f>MROUND(MID($C82,6,3)/Basis!$E$3,0.5)</f>
        <v>19.5</v>
      </c>
      <c r="E82" s="45">
        <f>MROUND(MID($C82,9,3)/Basis!$E$3,0.5)</f>
        <v>55</v>
      </c>
      <c r="F82" s="237" t="str">
        <f t="shared" si="1"/>
        <v>10</v>
      </c>
      <c r="G82" s="45">
        <f>ROUND((ROUNDDOWN($F82/5,0)*5+2.2)/Basis!$E$3,1)</f>
        <v>4.8</v>
      </c>
      <c r="H82" s="120">
        <f>ROUND($P82*Basis!$E$2*((TaH-TrH)/LN(1/µ)/Basis!$E$7)^$N82*$AA$4*Glycol,0)</f>
        <v>2903</v>
      </c>
      <c r="I82" s="83">
        <f>ROUND(H82/(MID($C82,9,3)/Basis!$E$3/Basis!$E$9)*Basis!$E$11,0)</f>
        <v>632</v>
      </c>
      <c r="J82" s="123">
        <f>IF(Basis!$E$1=1,ROUND(H82/((TaH-TrH)*1.163)/3600,3),ROUND(H82/(500*(TaH-TrH)),2))</f>
        <v>0.28999999999999998</v>
      </c>
      <c r="K82" s="84"/>
      <c r="L82" s="177">
        <f>CHOOSE(Basis!$E$1,((AJ82*(J82*3600/Basis!$E$5)^AK82*(((MID(C82,9,3)*10)-144)/1000)*AL82+AM82*(J82*3600/Basis!$E$5)^2)*0.0098)/Basis!$E$10,((AJ82*(J82/Basis!$E$5)^AK82*(((MID(C82,9,3)*10)-144)/1000)*AL82+AM82*(J82/Basis!$E$5)^2)*0.0098)/Basis!$E$10)</f>
        <v>9.8652881504699749E-3</v>
      </c>
      <c r="M82" s="85"/>
      <c r="N82" s="185">
        <v>1.3939999999999999</v>
      </c>
      <c r="O82" s="186"/>
      <c r="P82" s="187">
        <v>1348</v>
      </c>
      <c r="R82" s="2"/>
      <c r="S82" s="2"/>
      <c r="T82" s="2"/>
      <c r="U82" s="2"/>
      <c r="V82" s="2"/>
      <c r="X82" s="38"/>
      <c r="Y82" s="38"/>
      <c r="Z82" s="38"/>
      <c r="AA82" s="38"/>
      <c r="AB82" s="38"/>
      <c r="AD82" s="2"/>
      <c r="AE82" s="2"/>
      <c r="AF82" s="2"/>
      <c r="AG82" s="2"/>
      <c r="AH82" s="2"/>
      <c r="AJ82" s="126">
        <v>3.9689999999999994E-4</v>
      </c>
      <c r="AK82" s="132">
        <v>1.7345999999999999</v>
      </c>
      <c r="AL82" s="129">
        <v>2</v>
      </c>
      <c r="AM82" s="126">
        <v>3.6734700000000002E-4</v>
      </c>
      <c r="AO82" s="10"/>
      <c r="AP82" s="10"/>
      <c r="AQ82" s="10"/>
      <c r="AR82" s="10"/>
      <c r="AS82" s="10"/>
      <c r="AU82" s="2"/>
      <c r="AV82" s="2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</row>
    <row r="83" spans="1:73" customFormat="1" ht="12.75" customHeight="1" x14ac:dyDescent="0.25">
      <c r="A83" s="72" t="s">
        <v>20</v>
      </c>
      <c r="B83" s="184" t="s">
        <v>3089</v>
      </c>
      <c r="C83" s="44" t="s">
        <v>3037</v>
      </c>
      <c r="D83" s="45">
        <f>MROUND(MID($C83,6,3)/Basis!$E$3,0.5)</f>
        <v>19.5</v>
      </c>
      <c r="E83" s="45">
        <f>MROUND(MID($C83,9,3)/Basis!$E$3,0.5)</f>
        <v>55</v>
      </c>
      <c r="F83" s="237" t="str">
        <f t="shared" si="1"/>
        <v>15</v>
      </c>
      <c r="G83" s="45">
        <f>ROUND((ROUNDDOWN($F83/5,0)*5+2.2)/Basis!$E$3,1)</f>
        <v>6.8</v>
      </c>
      <c r="H83" s="120">
        <f>ROUND($P83*Basis!$E$2*((TaH-TrH)/LN(1/µ)/Basis!$E$7)^$N83*$AA$4*Glycol,0)</f>
        <v>4438</v>
      </c>
      <c r="I83" s="83">
        <f>ROUND(H83/(MID($C83,9,3)/Basis!$E$3/Basis!$E$9)*Basis!$E$11,0)</f>
        <v>966</v>
      </c>
      <c r="J83" s="123">
        <f>IF(Basis!$E$1=1,ROUND(H83/((TaH-TrH)*1.163)/3600,3),ROUND(H83/(500*(TaH-TrH)),2))</f>
        <v>0.44</v>
      </c>
      <c r="K83" s="84"/>
      <c r="L83" s="177">
        <f>CHOOSE(Basis!$E$1,((AJ83*(J83*3600/Basis!$E$5)^AK83*(((MID(C83,9,3)*10)-144)/1000)*AL83+AM83*(J83*3600/Basis!$E$5)^2)*0.0098)/Basis!$E$10,((AJ83*(J83/Basis!$E$5)^AK83*(((MID(C83,9,3)*10)-144)/1000)*AL83+AM83*(J83/Basis!$E$5)^2)*0.0098)/Basis!$E$10)</f>
        <v>1.9875200664094782E-2</v>
      </c>
      <c r="M83" s="85"/>
      <c r="N83" s="185">
        <v>1.39</v>
      </c>
      <c r="O83" s="186"/>
      <c r="P83" s="187">
        <v>2058</v>
      </c>
      <c r="R83" s="2"/>
      <c r="S83" s="2"/>
      <c r="T83" s="2"/>
      <c r="U83" s="2"/>
      <c r="V83" s="2"/>
      <c r="X83" s="38"/>
      <c r="Y83" s="38"/>
      <c r="Z83" s="38"/>
      <c r="AA83" s="38"/>
      <c r="AB83" s="38"/>
      <c r="AD83" s="2"/>
      <c r="AE83" s="2"/>
      <c r="AF83" s="2"/>
      <c r="AG83" s="2"/>
      <c r="AH83" s="2"/>
      <c r="AJ83" s="125">
        <v>2.0829999999999999E-4</v>
      </c>
      <c r="AK83" s="131">
        <v>1.724</v>
      </c>
      <c r="AL83" s="128">
        <v>2</v>
      </c>
      <c r="AM83" s="125">
        <v>4.6182900000000003E-4</v>
      </c>
      <c r="AO83" s="10"/>
      <c r="AP83" s="10"/>
      <c r="AQ83" s="10"/>
      <c r="AR83" s="10"/>
      <c r="AS83" s="10"/>
      <c r="AU83" s="2"/>
      <c r="AV83" s="2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</row>
    <row r="84" spans="1:73" customFormat="1" ht="12.75" customHeight="1" x14ac:dyDescent="0.25">
      <c r="A84" s="72" t="s">
        <v>20</v>
      </c>
      <c r="B84" s="184" t="s">
        <v>3089</v>
      </c>
      <c r="C84" s="44" t="s">
        <v>3049</v>
      </c>
      <c r="D84" s="45">
        <f>MROUND(MID($C84,6,3)/Basis!$E$3,0.5)</f>
        <v>19.5</v>
      </c>
      <c r="E84" s="45">
        <f>MROUND(MID($C84,9,3)/Basis!$E$3,0.5)</f>
        <v>55</v>
      </c>
      <c r="F84" s="237" t="str">
        <f t="shared" si="1"/>
        <v>20</v>
      </c>
      <c r="G84" s="45">
        <f>ROUND((ROUNDDOWN($F84/5,0)*5+2.2)/Basis!$E$3,1)</f>
        <v>8.6999999999999993</v>
      </c>
      <c r="H84" s="120">
        <f>ROUND($P84*Basis!$E$2*((TaH-TrH)/LN(1/µ)/Basis!$E$7)^$N84*$AA$4*Glycol,0)</f>
        <v>6643</v>
      </c>
      <c r="I84" s="83">
        <f>ROUND(H84/(MID($C84,9,3)/Basis!$E$3/Basis!$E$9)*Basis!$E$11,0)</f>
        <v>1446</v>
      </c>
      <c r="J84" s="123">
        <f>IF(Basis!$E$1=1,ROUND(H84/((TaH-TrH)*1.163)/3600,3),ROUND(H84/(500*(TaH-TrH)),2))</f>
        <v>0.66</v>
      </c>
      <c r="K84" s="84"/>
      <c r="L84" s="177">
        <f>CHOOSE(Basis!$E$1,((AJ84*(J84*3600/Basis!$E$5)^AK84*(((MID(C84,9,3)*10)-144)/1000)*AL84+AM84*(J84*3600/Basis!$E$5)^2)*0.0098)/Basis!$E$10,((AJ84*(J84/Basis!$E$5)^AK84*(((MID(C84,9,3)*10)-144)/1000)*AL84+AM84*(J84/Basis!$E$5)^2)*0.0098)/Basis!$E$10)</f>
        <v>3.3517271274194078E-2</v>
      </c>
      <c r="M84" s="85"/>
      <c r="N84" s="185">
        <v>1.3839999999999999</v>
      </c>
      <c r="O84" s="186"/>
      <c r="P84" s="187">
        <v>3074</v>
      </c>
      <c r="R84" s="2"/>
      <c r="S84" s="2"/>
      <c r="T84" s="2"/>
      <c r="U84" s="2"/>
      <c r="V84" s="2"/>
      <c r="X84" s="38"/>
      <c r="Y84" s="38"/>
      <c r="Z84" s="38"/>
      <c r="AA84" s="38"/>
      <c r="AB84" s="38"/>
      <c r="AD84" s="2"/>
      <c r="AE84" s="2"/>
      <c r="AF84" s="2"/>
      <c r="AG84" s="2"/>
      <c r="AH84" s="2"/>
      <c r="AJ84" s="126">
        <v>1.2760000000000001E-4</v>
      </c>
      <c r="AK84" s="132">
        <v>1.7219</v>
      </c>
      <c r="AL84" s="129">
        <v>2</v>
      </c>
      <c r="AM84" s="126">
        <v>3.76611E-4</v>
      </c>
      <c r="AO84" s="10"/>
      <c r="AP84" s="10"/>
      <c r="AQ84" s="10"/>
      <c r="AR84" s="10"/>
      <c r="AS84" s="10"/>
      <c r="AU84" s="2"/>
      <c r="AV84" s="2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</row>
    <row r="85" spans="1:73" customFormat="1" ht="12.75" customHeight="1" x14ac:dyDescent="0.25">
      <c r="A85" s="72" t="s">
        <v>20</v>
      </c>
      <c r="B85" s="184" t="s">
        <v>3089</v>
      </c>
      <c r="C85" s="44" t="s">
        <v>3026</v>
      </c>
      <c r="D85" s="45">
        <f>MROUND(MID($C85,6,3)/Basis!$E$3,0.5)</f>
        <v>19.5</v>
      </c>
      <c r="E85" s="45">
        <f>MROUND(MID($C85,9,3)/Basis!$E$3,0.5)</f>
        <v>63</v>
      </c>
      <c r="F85" s="237" t="str">
        <f t="shared" si="1"/>
        <v>10</v>
      </c>
      <c r="G85" s="45">
        <f>ROUND((ROUNDDOWN($F85/5,0)*5+2.2)/Basis!$E$3,1)</f>
        <v>4.8</v>
      </c>
      <c r="H85" s="120">
        <f>ROUND($P85*Basis!$E$2*((TaH-TrH)/LN(1/µ)/Basis!$E$7)^$N85*$AA$4*Glycol,0)</f>
        <v>3319</v>
      </c>
      <c r="I85" s="83">
        <f>ROUND(H85/(MID($C85,9,3)/Basis!$E$3/Basis!$E$9)*Basis!$E$11,0)</f>
        <v>632</v>
      </c>
      <c r="J85" s="123">
        <f>IF(Basis!$E$1=1,ROUND(H85/((TaH-TrH)*1.163)/3600,3),ROUND(H85/(500*(TaH-TrH)),2))</f>
        <v>0.33</v>
      </c>
      <c r="K85" s="84"/>
      <c r="L85" s="177">
        <f>CHOOSE(Basis!$E$1,((AJ85*(J85*3600/Basis!$E$5)^AK85*(((MID(C85,9,3)*10)-144)/1000)*AL85+AM85*(J85*3600/Basis!$E$5)^2)*0.0098)/Basis!$E$10,((AJ85*(J85/Basis!$E$5)^AK85*(((MID(C85,9,3)*10)-144)/1000)*AL85+AM85*(J85/Basis!$E$5)^2)*0.0098)/Basis!$E$10)</f>
        <v>1.3498607916789571E-2</v>
      </c>
      <c r="M85" s="85"/>
      <c r="N85" s="185">
        <v>1.3939999999999999</v>
      </c>
      <c r="O85" s="186"/>
      <c r="P85" s="187">
        <v>1541</v>
      </c>
      <c r="R85" s="2"/>
      <c r="S85" s="2"/>
      <c r="T85" s="2"/>
      <c r="U85" s="2"/>
      <c r="V85" s="2"/>
      <c r="X85" s="38"/>
      <c r="Y85" s="38"/>
      <c r="Z85" s="38"/>
      <c r="AA85" s="38"/>
      <c r="AB85" s="38"/>
      <c r="AD85" s="2"/>
      <c r="AE85" s="2"/>
      <c r="AF85" s="2"/>
      <c r="AG85" s="2"/>
      <c r="AH85" s="2"/>
      <c r="AJ85" s="126">
        <v>3.9689999999999994E-4</v>
      </c>
      <c r="AK85" s="132">
        <v>1.7345999999999999</v>
      </c>
      <c r="AL85" s="129">
        <v>2</v>
      </c>
      <c r="AM85" s="126">
        <v>3.6734700000000002E-4</v>
      </c>
      <c r="AO85" s="10"/>
      <c r="AP85" s="10"/>
      <c r="AQ85" s="10"/>
      <c r="AR85" s="10"/>
      <c r="AS85" s="10"/>
      <c r="AU85" s="2"/>
      <c r="AV85" s="2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</row>
    <row r="86" spans="1:73" customFormat="1" ht="12.75" customHeight="1" x14ac:dyDescent="0.25">
      <c r="A86" s="72" t="s">
        <v>20</v>
      </c>
      <c r="B86" s="184" t="s">
        <v>3089</v>
      </c>
      <c r="C86" s="44" t="s">
        <v>3038</v>
      </c>
      <c r="D86" s="45">
        <f>MROUND(MID($C86,6,3)/Basis!$E$3,0.5)</f>
        <v>19.5</v>
      </c>
      <c r="E86" s="45">
        <f>MROUND(MID($C86,9,3)/Basis!$E$3,0.5)</f>
        <v>63</v>
      </c>
      <c r="F86" s="237" t="str">
        <f t="shared" si="1"/>
        <v>15</v>
      </c>
      <c r="G86" s="45">
        <f>ROUND((ROUNDDOWN($F86/5,0)*5+2.2)/Basis!$E$3,1)</f>
        <v>6.8</v>
      </c>
      <c r="H86" s="120">
        <f>ROUND($P86*Basis!$E$2*((TaH-TrH)/LN(1/µ)/Basis!$E$7)^$N86*$AA$4*Glycol,0)</f>
        <v>5073</v>
      </c>
      <c r="I86" s="83">
        <f>ROUND(H86/(MID($C86,9,3)/Basis!$E$3/Basis!$E$9)*Basis!$E$11,0)</f>
        <v>966</v>
      </c>
      <c r="J86" s="123">
        <f>IF(Basis!$E$1=1,ROUND(H86/((TaH-TrH)*1.163)/3600,3),ROUND(H86/(500*(TaH-TrH)),2))</f>
        <v>0.51</v>
      </c>
      <c r="K86" s="84"/>
      <c r="L86" s="177">
        <f>CHOOSE(Basis!$E$1,((AJ86*(J86*3600/Basis!$E$5)^AK86*(((MID(C86,9,3)*10)-144)/1000)*AL86+AM86*(J86*3600/Basis!$E$5)^2)*0.0098)/Basis!$E$10,((AJ86*(J86/Basis!$E$5)^AK86*(((MID(C86,9,3)*10)-144)/1000)*AL86+AM86*(J86/Basis!$E$5)^2)*0.0098)/Basis!$E$10)</f>
        <v>2.7429699194466403E-2</v>
      </c>
      <c r="M86" s="85"/>
      <c r="N86" s="185">
        <v>1.39</v>
      </c>
      <c r="O86" s="186"/>
      <c r="P86" s="187">
        <v>2352</v>
      </c>
      <c r="R86" s="2"/>
      <c r="S86" s="2"/>
      <c r="T86" s="2"/>
      <c r="U86" s="2"/>
      <c r="V86" s="2"/>
      <c r="X86" s="38"/>
      <c r="Y86" s="38"/>
      <c r="Z86" s="38"/>
      <c r="AA86" s="38"/>
      <c r="AB86" s="38"/>
      <c r="AD86" s="2"/>
      <c r="AE86" s="2"/>
      <c r="AF86" s="2"/>
      <c r="AG86" s="2"/>
      <c r="AH86" s="2"/>
      <c r="AJ86" s="125">
        <v>2.0829999999999999E-4</v>
      </c>
      <c r="AK86" s="131">
        <v>1.724</v>
      </c>
      <c r="AL86" s="128">
        <v>2</v>
      </c>
      <c r="AM86" s="125">
        <v>4.6182900000000003E-4</v>
      </c>
      <c r="AO86" s="10"/>
      <c r="AP86" s="10"/>
      <c r="AQ86" s="10"/>
      <c r="AR86" s="10"/>
      <c r="AS86" s="10"/>
      <c r="AU86" s="2"/>
      <c r="AV86" s="2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</row>
    <row r="87" spans="1:73" customFormat="1" ht="12.75" customHeight="1" x14ac:dyDescent="0.25">
      <c r="A87" s="72" t="s">
        <v>20</v>
      </c>
      <c r="B87" s="184" t="s">
        <v>3089</v>
      </c>
      <c r="C87" s="44" t="s">
        <v>3050</v>
      </c>
      <c r="D87" s="45">
        <f>MROUND(MID($C87,6,3)/Basis!$E$3,0.5)</f>
        <v>19.5</v>
      </c>
      <c r="E87" s="45">
        <f>MROUND(MID($C87,9,3)/Basis!$E$3,0.5)</f>
        <v>63</v>
      </c>
      <c r="F87" s="237" t="str">
        <f t="shared" si="1"/>
        <v>20</v>
      </c>
      <c r="G87" s="45">
        <f>ROUND((ROUNDDOWN($F87/5,0)*5+2.2)/Basis!$E$3,1)</f>
        <v>8.6999999999999993</v>
      </c>
      <c r="H87" s="120">
        <f>ROUND($P87*Basis!$E$2*((TaH-TrH)/LN(1/µ)/Basis!$E$7)^$N87*$AA$4*Glycol,0)</f>
        <v>7594</v>
      </c>
      <c r="I87" s="83">
        <f>ROUND(H87/(MID($C87,9,3)/Basis!$E$3/Basis!$E$9)*Basis!$E$11,0)</f>
        <v>1447</v>
      </c>
      <c r="J87" s="123">
        <f>IF(Basis!$E$1=1,ROUND(H87/((TaH-TrH)*1.163)/3600,3),ROUND(H87/(500*(TaH-TrH)),2))</f>
        <v>0.76</v>
      </c>
      <c r="K87" s="84"/>
      <c r="L87" s="177">
        <f>CHOOSE(Basis!$E$1,((AJ87*(J87*3600/Basis!$E$5)^AK87*(((MID(C87,9,3)*10)-144)/1000)*AL87+AM87*(J87*3600/Basis!$E$5)^2)*0.0098)/Basis!$E$10,((AJ87*(J87/Basis!$E$5)^AK87*(((MID(C87,9,3)*10)-144)/1000)*AL87+AM87*(J87/Basis!$E$5)^2)*0.0098)/Basis!$E$10)</f>
        <v>4.5332188287315632E-2</v>
      </c>
      <c r="M87" s="85"/>
      <c r="N87" s="185">
        <v>1.3839999999999999</v>
      </c>
      <c r="O87" s="186"/>
      <c r="P87" s="187">
        <v>3514</v>
      </c>
      <c r="R87" s="2"/>
      <c r="S87" s="2"/>
      <c r="T87" s="2"/>
      <c r="U87" s="2"/>
      <c r="V87" s="2"/>
      <c r="X87" s="38"/>
      <c r="Y87" s="38"/>
      <c r="Z87" s="38"/>
      <c r="AA87" s="38"/>
      <c r="AB87" s="38"/>
      <c r="AD87" s="2"/>
      <c r="AE87" s="2"/>
      <c r="AF87" s="2"/>
      <c r="AG87" s="2"/>
      <c r="AH87" s="2"/>
      <c r="AJ87" s="126">
        <v>1.2760000000000001E-4</v>
      </c>
      <c r="AK87" s="132">
        <v>1.7219</v>
      </c>
      <c r="AL87" s="129">
        <v>2</v>
      </c>
      <c r="AM87" s="126">
        <v>3.76611E-4</v>
      </c>
      <c r="AO87" s="10"/>
      <c r="AP87" s="10"/>
      <c r="AQ87" s="10"/>
      <c r="AR87" s="10"/>
      <c r="AS87" s="10"/>
      <c r="AU87" s="2"/>
      <c r="AV87" s="2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</row>
    <row r="88" spans="1:73" customFormat="1" ht="12.75" customHeight="1" x14ac:dyDescent="0.25">
      <c r="A88" s="72" t="s">
        <v>20</v>
      </c>
      <c r="B88" s="184" t="s">
        <v>3089</v>
      </c>
      <c r="C88" s="44" t="s">
        <v>3027</v>
      </c>
      <c r="D88" s="45">
        <f>MROUND(MID($C88,6,3)/Basis!$E$3,0.5)</f>
        <v>19.5</v>
      </c>
      <c r="E88" s="45">
        <f>MROUND(MID($C88,9,3)/Basis!$E$3,0.5)</f>
        <v>71</v>
      </c>
      <c r="F88" s="237" t="str">
        <f t="shared" si="1"/>
        <v>10</v>
      </c>
      <c r="G88" s="45">
        <f>ROUND((ROUNDDOWN($F88/5,0)*5+2.2)/Basis!$E$3,1)</f>
        <v>4.8</v>
      </c>
      <c r="H88" s="120">
        <f>ROUND($P88*Basis!$E$2*((TaH-TrH)/LN(1/µ)/Basis!$E$7)^$N88*$AA$4*Glycol,0)</f>
        <v>3733</v>
      </c>
      <c r="I88" s="83">
        <f>ROUND(H88/(MID($C88,9,3)/Basis!$E$3/Basis!$E$9)*Basis!$E$11,0)</f>
        <v>632</v>
      </c>
      <c r="J88" s="123">
        <f>IF(Basis!$E$1=1,ROUND(H88/((TaH-TrH)*1.163)/3600,3),ROUND(H88/(500*(TaH-TrH)),2))</f>
        <v>0.37</v>
      </c>
      <c r="K88" s="84"/>
      <c r="L88" s="177">
        <f>CHOOSE(Basis!$E$1,((AJ88*(J88*3600/Basis!$E$5)^AK88*(((MID(C88,9,3)*10)-144)/1000)*AL88+AM88*(J88*3600/Basis!$E$5)^2)*0.0098)/Basis!$E$10,((AJ88*(J88/Basis!$E$5)^AK88*(((MID(C88,9,3)*10)-144)/1000)*AL88+AM88*(J88/Basis!$E$5)^2)*0.0098)/Basis!$E$10)</f>
        <v>1.7846417802200337E-2</v>
      </c>
      <c r="M88" s="85"/>
      <c r="N88" s="185">
        <v>1.3939999999999999</v>
      </c>
      <c r="O88" s="186"/>
      <c r="P88" s="187">
        <v>1733</v>
      </c>
      <c r="R88" s="2"/>
      <c r="S88" s="2"/>
      <c r="T88" s="2"/>
      <c r="U88" s="2"/>
      <c r="V88" s="2"/>
      <c r="X88" s="38"/>
      <c r="Y88" s="38"/>
      <c r="Z88" s="38"/>
      <c r="AA88" s="38"/>
      <c r="AB88" s="38"/>
      <c r="AD88" s="2"/>
      <c r="AE88" s="2"/>
      <c r="AF88" s="2"/>
      <c r="AG88" s="2"/>
      <c r="AH88" s="2"/>
      <c r="AJ88" s="126">
        <v>3.9689999999999994E-4</v>
      </c>
      <c r="AK88" s="132">
        <v>1.7345999999999999</v>
      </c>
      <c r="AL88" s="129">
        <v>2</v>
      </c>
      <c r="AM88" s="126">
        <v>3.6734700000000002E-4</v>
      </c>
      <c r="AO88" s="10"/>
      <c r="AP88" s="10"/>
      <c r="AQ88" s="10"/>
      <c r="AR88" s="10"/>
      <c r="AS88" s="10"/>
      <c r="AU88" s="2"/>
      <c r="AV88" s="2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</row>
    <row r="89" spans="1:73" customFormat="1" ht="12.75" customHeight="1" x14ac:dyDescent="0.25">
      <c r="A89" s="72" t="s">
        <v>20</v>
      </c>
      <c r="B89" s="184" t="s">
        <v>3089</v>
      </c>
      <c r="C89" s="44" t="s">
        <v>3039</v>
      </c>
      <c r="D89" s="45">
        <f>MROUND(MID($C89,6,3)/Basis!$E$3,0.5)</f>
        <v>19.5</v>
      </c>
      <c r="E89" s="45">
        <f>MROUND(MID($C89,9,3)/Basis!$E$3,0.5)</f>
        <v>71</v>
      </c>
      <c r="F89" s="237" t="str">
        <f t="shared" si="1"/>
        <v>15</v>
      </c>
      <c r="G89" s="45">
        <f>ROUND((ROUNDDOWN($F89/5,0)*5+2.2)/Basis!$E$3,1)</f>
        <v>6.8</v>
      </c>
      <c r="H89" s="120">
        <f>ROUND($P89*Basis!$E$2*((TaH-TrH)/LN(1/µ)/Basis!$E$7)^$N89*$AA$4*Glycol,0)</f>
        <v>5707</v>
      </c>
      <c r="I89" s="83">
        <f>ROUND(H89/(MID($C89,9,3)/Basis!$E$3/Basis!$E$9)*Basis!$E$11,0)</f>
        <v>966</v>
      </c>
      <c r="J89" s="123">
        <f>IF(Basis!$E$1=1,ROUND(H89/((TaH-TrH)*1.163)/3600,3),ROUND(H89/(500*(TaH-TrH)),2))</f>
        <v>0.56999999999999995</v>
      </c>
      <c r="K89" s="84"/>
      <c r="L89" s="177">
        <f>CHOOSE(Basis!$E$1,((AJ89*(J89*3600/Basis!$E$5)^AK89*(((MID(C89,9,3)*10)-144)/1000)*AL89+AM89*(J89*3600/Basis!$E$5)^2)*0.0098)/Basis!$E$10,((AJ89*(J89/Basis!$E$5)^AK89*(((MID(C89,9,3)*10)-144)/1000)*AL89+AM89*(J89/Basis!$E$5)^2)*0.0098)/Basis!$E$10)</f>
        <v>3.5185538723677946E-2</v>
      </c>
      <c r="M89" s="85"/>
      <c r="N89" s="185">
        <v>1.39</v>
      </c>
      <c r="O89" s="186"/>
      <c r="P89" s="187">
        <v>2646</v>
      </c>
      <c r="R89" s="2"/>
      <c r="S89" s="2"/>
      <c r="T89" s="2"/>
      <c r="U89" s="2"/>
      <c r="V89" s="2"/>
      <c r="X89" s="38"/>
      <c r="Y89" s="38"/>
      <c r="Z89" s="38"/>
      <c r="AA89" s="38"/>
      <c r="AB89" s="38"/>
      <c r="AD89" s="2"/>
      <c r="AE89" s="2"/>
      <c r="AF89" s="2"/>
      <c r="AG89" s="2"/>
      <c r="AH89" s="2"/>
      <c r="AJ89" s="125">
        <v>2.0829999999999999E-4</v>
      </c>
      <c r="AK89" s="131">
        <v>1.724</v>
      </c>
      <c r="AL89" s="128">
        <v>2</v>
      </c>
      <c r="AM89" s="125">
        <v>4.6182900000000003E-4</v>
      </c>
      <c r="AO89" s="10"/>
      <c r="AP89" s="10"/>
      <c r="AQ89" s="10"/>
      <c r="AR89" s="10"/>
      <c r="AS89" s="10"/>
      <c r="AU89" s="2"/>
      <c r="AV89" s="2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</row>
    <row r="90" spans="1:73" customFormat="1" ht="12.75" customHeight="1" x14ac:dyDescent="0.25">
      <c r="A90" s="72" t="s">
        <v>20</v>
      </c>
      <c r="B90" s="184" t="s">
        <v>3089</v>
      </c>
      <c r="C90" s="44" t="s">
        <v>3051</v>
      </c>
      <c r="D90" s="45">
        <f>MROUND(MID($C90,6,3)/Basis!$E$3,0.5)</f>
        <v>19.5</v>
      </c>
      <c r="E90" s="45">
        <f>MROUND(MID($C90,9,3)/Basis!$E$3,0.5)</f>
        <v>71</v>
      </c>
      <c r="F90" s="237" t="str">
        <f t="shared" si="1"/>
        <v>20</v>
      </c>
      <c r="G90" s="45">
        <f>ROUND((ROUNDDOWN($F90/5,0)*5+2.2)/Basis!$E$3,1)</f>
        <v>8.6999999999999993</v>
      </c>
      <c r="H90" s="120">
        <f>ROUND($P90*Basis!$E$2*((TaH-TrH)/LN(1/µ)/Basis!$E$7)^$N90*$AA$4*Glycol,0)</f>
        <v>8542</v>
      </c>
      <c r="I90" s="83">
        <f>ROUND(H90/(MID($C90,9,3)/Basis!$E$3/Basis!$E$9)*Basis!$E$11,0)</f>
        <v>1446</v>
      </c>
      <c r="J90" s="123">
        <f>IF(Basis!$E$1=1,ROUND(H90/((TaH-TrH)*1.163)/3600,3),ROUND(H90/(500*(TaH-TrH)),2))</f>
        <v>0.85</v>
      </c>
      <c r="K90" s="84"/>
      <c r="L90" s="177">
        <f>CHOOSE(Basis!$E$1,((AJ90*(J90*3600/Basis!$E$5)^AK90*(((MID(C90,9,3)*10)-144)/1000)*AL90+AM90*(J90*3600/Basis!$E$5)^2)*0.0098)/Basis!$E$10,((AJ90*(J90/Basis!$E$5)^AK90*(((MID(C90,9,3)*10)-144)/1000)*AL90+AM90*(J90/Basis!$E$5)^2)*0.0098)/Basis!$E$10)</f>
        <v>5.7812499663101917E-2</v>
      </c>
      <c r="M90" s="85"/>
      <c r="N90" s="185">
        <v>1.3839999999999999</v>
      </c>
      <c r="O90" s="186"/>
      <c r="P90" s="187">
        <v>3953</v>
      </c>
      <c r="R90" s="2"/>
      <c r="S90" s="2"/>
      <c r="T90" s="2"/>
      <c r="U90" s="2"/>
      <c r="V90" s="2"/>
      <c r="X90" s="38"/>
      <c r="Y90" s="38"/>
      <c r="Z90" s="38"/>
      <c r="AA90" s="38"/>
      <c r="AB90" s="38"/>
      <c r="AD90" s="2"/>
      <c r="AE90" s="2"/>
      <c r="AF90" s="2"/>
      <c r="AG90" s="2"/>
      <c r="AH90" s="2"/>
      <c r="AJ90" s="126">
        <v>1.2760000000000001E-4</v>
      </c>
      <c r="AK90" s="132">
        <v>1.7219</v>
      </c>
      <c r="AL90" s="129">
        <v>2</v>
      </c>
      <c r="AM90" s="126">
        <v>3.76611E-4</v>
      </c>
      <c r="AO90" s="10"/>
      <c r="AP90" s="10"/>
      <c r="AQ90" s="10"/>
      <c r="AR90" s="10"/>
      <c r="AS90" s="10"/>
      <c r="AU90" s="2"/>
      <c r="AV90" s="2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</row>
    <row r="91" spans="1:73" customFormat="1" ht="12.75" customHeight="1" x14ac:dyDescent="0.25">
      <c r="A91" s="72" t="s">
        <v>20</v>
      </c>
      <c r="B91" s="184" t="s">
        <v>3089</v>
      </c>
      <c r="C91" s="44" t="s">
        <v>3028</v>
      </c>
      <c r="D91" s="45">
        <f>MROUND(MID($C91,6,3)/Basis!$E$3,0.5)</f>
        <v>19.5</v>
      </c>
      <c r="E91" s="45">
        <f>MROUND(MID($C91,9,3)/Basis!$E$3,0.5)</f>
        <v>78.5</v>
      </c>
      <c r="F91" s="237" t="str">
        <f t="shared" si="1"/>
        <v>10</v>
      </c>
      <c r="G91" s="45">
        <f>ROUND((ROUNDDOWN($F91/5,0)*5+2.2)/Basis!$E$3,1)</f>
        <v>4.8</v>
      </c>
      <c r="H91" s="120">
        <f>ROUND($P91*Basis!$E$2*((TaH-TrH)/LN(1/µ)/Basis!$E$7)^$N91*$AA$4*Glycol,0)</f>
        <v>4148</v>
      </c>
      <c r="I91" s="83">
        <f>ROUND(H91/(MID($C91,9,3)/Basis!$E$3/Basis!$E$9)*Basis!$E$11,0)</f>
        <v>632</v>
      </c>
      <c r="J91" s="123">
        <f>IF(Basis!$E$1=1,ROUND(H91/((TaH-TrH)*1.163)/3600,3),ROUND(H91/(500*(TaH-TrH)),2))</f>
        <v>0.41</v>
      </c>
      <c r="K91" s="84"/>
      <c r="L91" s="177">
        <f>CHOOSE(Basis!$E$1,((AJ91*(J91*3600/Basis!$E$5)^AK91*(((MID(C91,9,3)*10)-144)/1000)*AL91+AM91*(J91*3600/Basis!$E$5)^2)*0.0098)/Basis!$E$10,((AJ91*(J91/Basis!$E$5)^AK91*(((MID(C91,9,3)*10)-144)/1000)*AL91+AM91*(J91/Basis!$E$5)^2)*0.0098)/Basis!$E$10)</f>
        <v>2.2955989870610902E-2</v>
      </c>
      <c r="M91" s="85"/>
      <c r="N91" s="185">
        <v>1.3939999999999999</v>
      </c>
      <c r="O91" s="186"/>
      <c r="P91" s="187">
        <v>1926</v>
      </c>
      <c r="R91" s="2"/>
      <c r="S91" s="2"/>
      <c r="T91" s="2"/>
      <c r="U91" s="2"/>
      <c r="V91" s="2"/>
      <c r="X91" s="38"/>
      <c r="Y91" s="38"/>
      <c r="Z91" s="38"/>
      <c r="AA91" s="38"/>
      <c r="AB91" s="38"/>
      <c r="AD91" s="2"/>
      <c r="AE91" s="2"/>
      <c r="AF91" s="2"/>
      <c r="AG91" s="2"/>
      <c r="AH91" s="2"/>
      <c r="AJ91" s="126">
        <v>3.9689999999999994E-4</v>
      </c>
      <c r="AK91" s="132">
        <v>1.7345999999999999</v>
      </c>
      <c r="AL91" s="129">
        <v>2</v>
      </c>
      <c r="AM91" s="126">
        <v>3.6734700000000002E-4</v>
      </c>
      <c r="AO91" s="10"/>
      <c r="AP91" s="10"/>
      <c r="AQ91" s="10"/>
      <c r="AR91" s="10"/>
      <c r="AS91" s="10"/>
      <c r="AU91" s="2"/>
      <c r="AV91" s="2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</row>
    <row r="92" spans="1:73" customFormat="1" ht="12.75" customHeight="1" x14ac:dyDescent="0.25">
      <c r="A92" s="72" t="s">
        <v>20</v>
      </c>
      <c r="B92" s="184" t="s">
        <v>3089</v>
      </c>
      <c r="C92" s="44" t="s">
        <v>3040</v>
      </c>
      <c r="D92" s="45">
        <f>MROUND(MID($C92,6,3)/Basis!$E$3,0.5)</f>
        <v>19.5</v>
      </c>
      <c r="E92" s="45">
        <f>MROUND(MID($C92,9,3)/Basis!$E$3,0.5)</f>
        <v>78.5</v>
      </c>
      <c r="F92" s="237" t="str">
        <f t="shared" si="1"/>
        <v>15</v>
      </c>
      <c r="G92" s="45">
        <f>ROUND((ROUNDDOWN($F92/5,0)*5+2.2)/Basis!$E$3,1)</f>
        <v>6.8</v>
      </c>
      <c r="H92" s="120">
        <f>ROUND($P92*Basis!$E$2*((TaH-TrH)/LN(1/µ)/Basis!$E$7)^$N92*$AA$4*Glycol,0)</f>
        <v>6341</v>
      </c>
      <c r="I92" s="83">
        <f>ROUND(H92/(MID($C92,9,3)/Basis!$E$3/Basis!$E$9)*Basis!$E$11,0)</f>
        <v>966</v>
      </c>
      <c r="J92" s="123">
        <f>IF(Basis!$E$1=1,ROUND(H92/((TaH-TrH)*1.163)/3600,3),ROUND(H92/(500*(TaH-TrH)),2))</f>
        <v>0.63</v>
      </c>
      <c r="K92" s="84"/>
      <c r="L92" s="177">
        <f>CHOOSE(Basis!$E$1,((AJ92*(J92*3600/Basis!$E$5)^AK92*(((MID(C92,9,3)*10)-144)/1000)*AL92+AM92*(J92*3600/Basis!$E$5)^2)*0.0098)/Basis!$E$10,((AJ92*(J92/Basis!$E$5)^AK92*(((MID(C92,9,3)*10)-144)/1000)*AL92+AM92*(J92/Basis!$E$5)^2)*0.0098)/Basis!$E$10)</f>
        <v>4.4071664651669097E-2</v>
      </c>
      <c r="M92" s="85"/>
      <c r="N92" s="185">
        <v>1.39</v>
      </c>
      <c r="O92" s="186"/>
      <c r="P92" s="187">
        <v>2940</v>
      </c>
      <c r="R92" s="2"/>
      <c r="S92" s="2"/>
      <c r="T92" s="2"/>
      <c r="U92" s="2"/>
      <c r="V92" s="2"/>
      <c r="X92" s="38"/>
      <c r="Y92" s="38"/>
      <c r="Z92" s="38"/>
      <c r="AA92" s="38"/>
      <c r="AB92" s="38"/>
      <c r="AD92" s="2"/>
      <c r="AE92" s="2"/>
      <c r="AF92" s="2"/>
      <c r="AG92" s="2"/>
      <c r="AH92" s="2"/>
      <c r="AJ92" s="125">
        <v>2.0829999999999999E-4</v>
      </c>
      <c r="AK92" s="131">
        <v>1.724</v>
      </c>
      <c r="AL92" s="128">
        <v>2</v>
      </c>
      <c r="AM92" s="125">
        <v>4.6182900000000003E-4</v>
      </c>
      <c r="AO92" s="10"/>
      <c r="AP92" s="10"/>
      <c r="AQ92" s="10"/>
      <c r="AR92" s="10"/>
      <c r="AS92" s="10"/>
      <c r="AU92" s="2"/>
      <c r="AV92" s="2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</row>
    <row r="93" spans="1:73" customFormat="1" ht="12.75" customHeight="1" x14ac:dyDescent="0.25">
      <c r="A93" s="72" t="s">
        <v>20</v>
      </c>
      <c r="B93" s="184" t="s">
        <v>3089</v>
      </c>
      <c r="C93" s="44" t="s">
        <v>3052</v>
      </c>
      <c r="D93" s="45">
        <f>MROUND(MID($C93,6,3)/Basis!$E$3,0.5)</f>
        <v>19.5</v>
      </c>
      <c r="E93" s="45">
        <f>MROUND(MID($C93,9,3)/Basis!$E$3,0.5)</f>
        <v>78.5</v>
      </c>
      <c r="F93" s="237" t="str">
        <f t="shared" si="1"/>
        <v>20</v>
      </c>
      <c r="G93" s="45">
        <f>ROUND((ROUNDDOWN($F93/5,0)*5+2.2)/Basis!$E$3,1)</f>
        <v>8.6999999999999993</v>
      </c>
      <c r="H93" s="120">
        <f>ROUND($P93*Basis!$E$2*((TaH-TrH)/LN(1/µ)/Basis!$E$7)^$N93*$AA$4*Glycol,0)</f>
        <v>9491</v>
      </c>
      <c r="I93" s="83">
        <f>ROUND(H93/(MID($C93,9,3)/Basis!$E$3/Basis!$E$9)*Basis!$E$11,0)</f>
        <v>1446</v>
      </c>
      <c r="J93" s="123">
        <f>IF(Basis!$E$1=1,ROUND(H93/((TaH-TrH)*1.163)/3600,3),ROUND(H93/(500*(TaH-TrH)),2))</f>
        <v>0.95</v>
      </c>
      <c r="K93" s="84"/>
      <c r="L93" s="177">
        <f>CHOOSE(Basis!$E$1,((AJ93*(J93*3600/Basis!$E$5)^AK93*(((MID(C93,9,3)*10)-144)/1000)*AL93+AM93*(J93*3600/Basis!$E$5)^2)*0.0098)/Basis!$E$10,((AJ93*(J93/Basis!$E$5)^AK93*(((MID(C93,9,3)*10)-144)/1000)*AL93+AM93*(J93/Basis!$E$5)^2)*0.0098)/Basis!$E$10)</f>
        <v>7.350528765824435E-2</v>
      </c>
      <c r="M93" s="85"/>
      <c r="N93" s="185">
        <v>1.3839999999999999</v>
      </c>
      <c r="O93" s="186"/>
      <c r="P93" s="187">
        <v>4392</v>
      </c>
      <c r="R93" s="2"/>
      <c r="S93" s="2"/>
      <c r="T93" s="2"/>
      <c r="U93" s="2"/>
      <c r="V93" s="2"/>
      <c r="X93" s="38"/>
      <c r="Y93" s="38"/>
      <c r="Z93" s="38"/>
      <c r="AA93" s="38"/>
      <c r="AB93" s="38"/>
      <c r="AD93" s="2"/>
      <c r="AE93" s="2"/>
      <c r="AF93" s="2"/>
      <c r="AG93" s="2"/>
      <c r="AH93" s="2"/>
      <c r="AJ93" s="126">
        <v>1.2760000000000001E-4</v>
      </c>
      <c r="AK93" s="132">
        <v>1.7219</v>
      </c>
      <c r="AL93" s="129">
        <v>2</v>
      </c>
      <c r="AM93" s="126">
        <v>3.76611E-4</v>
      </c>
      <c r="AO93" s="10"/>
      <c r="AP93" s="10"/>
      <c r="AQ93" s="10"/>
      <c r="AR93" s="10"/>
      <c r="AS93" s="10"/>
      <c r="AU93" s="2"/>
      <c r="AV93" s="2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</row>
    <row r="94" spans="1:73" customFormat="1" ht="12.75" customHeight="1" x14ac:dyDescent="0.25">
      <c r="A94" s="72" t="s">
        <v>20</v>
      </c>
      <c r="B94" s="184" t="s">
        <v>3089</v>
      </c>
      <c r="C94" s="236" t="s">
        <v>4094</v>
      </c>
      <c r="D94" s="45">
        <f>MROUND(MID($C94,6,3)/Basis!$E$3,0.5)</f>
        <v>19.5</v>
      </c>
      <c r="E94" s="45">
        <f>MROUND(MID($C94,9,3)/Basis!$E$3,0.5)</f>
        <v>86.5</v>
      </c>
      <c r="F94" s="237" t="str">
        <f t="shared" si="1"/>
        <v>10</v>
      </c>
      <c r="G94" s="45">
        <f>ROUND((ROUNDDOWN($F94/5,0)*5+2.2)/Basis!$E$3,1)</f>
        <v>4.8</v>
      </c>
      <c r="H94" s="120">
        <f>ROUND($P94*Basis!$E$2*((TaH-TrH)/LN(1/µ)/Basis!$E$7)^$N94*$AA$4*Glycol,0)</f>
        <v>4564</v>
      </c>
      <c r="I94" s="83">
        <f>ROUND(H94/(MID($C94,9,3)/Basis!$E$3/Basis!$E$9)*Basis!$E$11,0)</f>
        <v>632</v>
      </c>
      <c r="J94" s="123">
        <f>IF(Basis!$E$1=1,ROUND(H94/((TaH-TrH)*1.163)/3600,3),ROUND(H94/(500*(TaH-TrH)),2))</f>
        <v>0.46</v>
      </c>
      <c r="K94" s="84"/>
      <c r="L94" s="177">
        <f>CHOOSE(Basis!$E$1,((AJ94*(J94*3600/Basis!$E$5)^AK94*(((MID(C94,9,3)*10)-144)/1000)*AL94+AM94*(J94*3600/Basis!$E$5)^2)*0.0098)/Basis!$E$10,((AJ94*(J94/Basis!$E$5)^AK94*(((MID(C94,9,3)*10)-144)/1000)*AL94+AM94*(J94/Basis!$E$5)^2)*0.0098)/Basis!$E$10)</f>
        <v>3.007148991611484E-2</v>
      </c>
      <c r="M94" s="85"/>
      <c r="N94" s="185">
        <v>1.3939999999999999</v>
      </c>
      <c r="O94" s="186"/>
      <c r="P94" s="187">
        <v>2119</v>
      </c>
      <c r="R94" s="2"/>
      <c r="S94" s="2"/>
      <c r="T94" s="2"/>
      <c r="U94" s="2"/>
      <c r="V94" s="2"/>
      <c r="X94" s="38"/>
      <c r="Y94" s="38"/>
      <c r="Z94" s="38"/>
      <c r="AA94" s="38"/>
      <c r="AB94" s="38"/>
      <c r="AD94" s="2"/>
      <c r="AE94" s="2"/>
      <c r="AF94" s="2"/>
      <c r="AG94" s="2"/>
      <c r="AH94" s="2"/>
      <c r="AJ94" s="126">
        <v>3.9689999999999994E-4</v>
      </c>
      <c r="AK94" s="132">
        <v>1.7345999999999999</v>
      </c>
      <c r="AL94" s="129">
        <v>2</v>
      </c>
      <c r="AM94" s="126">
        <v>3.6734700000000002E-4</v>
      </c>
      <c r="AO94" s="10"/>
      <c r="AP94" s="10"/>
      <c r="AQ94" s="10"/>
      <c r="AR94" s="10"/>
      <c r="AS94" s="10"/>
      <c r="AU94" s="2"/>
      <c r="AV94" s="2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</row>
    <row r="95" spans="1:73" customFormat="1" ht="12.75" customHeight="1" x14ac:dyDescent="0.25">
      <c r="A95" s="72" t="s">
        <v>20</v>
      </c>
      <c r="B95" s="184" t="s">
        <v>3089</v>
      </c>
      <c r="C95" s="236" t="s">
        <v>4096</v>
      </c>
      <c r="D95" s="45">
        <f>MROUND(MID($C95,6,3)/Basis!$E$3,0.5)</f>
        <v>19.5</v>
      </c>
      <c r="E95" s="45">
        <f>MROUND(MID($C95,9,3)/Basis!$E$3,0.5)</f>
        <v>86.5</v>
      </c>
      <c r="F95" s="237" t="str">
        <f t="shared" si="1"/>
        <v>15</v>
      </c>
      <c r="G95" s="45">
        <f>ROUND((ROUNDDOWN($F95/5,0)*5+2.2)/Basis!$E$3,1)</f>
        <v>6.8</v>
      </c>
      <c r="H95" s="120">
        <f>ROUND($P95*Basis!$E$2*((TaH-TrH)/LN(1/µ)/Basis!$E$7)^$N95*$AA$4*Glycol,0)</f>
        <v>6975</v>
      </c>
      <c r="I95" s="83">
        <f>ROUND(H95/(MID($C95,9,3)/Basis!$E$3/Basis!$E$9)*Basis!$E$11,0)</f>
        <v>966</v>
      </c>
      <c r="J95" s="123">
        <f>IF(Basis!$E$1=1,ROUND(H95/((TaH-TrH)*1.163)/3600,3),ROUND(H95/(500*(TaH-TrH)),2))</f>
        <v>0.7</v>
      </c>
      <c r="K95" s="84"/>
      <c r="L95" s="177">
        <f>CHOOSE(Basis!$E$1,((AJ95*(J95*3600/Basis!$E$5)^AK95*(((MID(C95,9,3)*10)-144)/1000)*AL95+AM95*(J95*3600/Basis!$E$5)^2)*0.0098)/Basis!$E$10,((AJ95*(J95/Basis!$E$5)^AK95*(((MID(C95,9,3)*10)-144)/1000)*AL95+AM95*(J95/Basis!$E$5)^2)*0.0098)/Basis!$E$10)</f>
        <v>5.5643860806955513E-2</v>
      </c>
      <c r="M95" s="85"/>
      <c r="N95" s="185">
        <v>1.39</v>
      </c>
      <c r="O95" s="186"/>
      <c r="P95" s="187">
        <v>3234</v>
      </c>
      <c r="R95" s="2"/>
      <c r="S95" s="2"/>
      <c r="T95" s="2"/>
      <c r="U95" s="2"/>
      <c r="V95" s="2"/>
      <c r="X95" s="38"/>
      <c r="Y95" s="38"/>
      <c r="Z95" s="38"/>
      <c r="AA95" s="38"/>
      <c r="AB95" s="38"/>
      <c r="AD95" s="2"/>
      <c r="AE95" s="2"/>
      <c r="AF95" s="2"/>
      <c r="AG95" s="2"/>
      <c r="AH95" s="2"/>
      <c r="AJ95" s="125">
        <v>2.0829999999999999E-4</v>
      </c>
      <c r="AK95" s="131">
        <v>1.724</v>
      </c>
      <c r="AL95" s="128">
        <v>2</v>
      </c>
      <c r="AM95" s="125">
        <v>4.6182900000000003E-4</v>
      </c>
      <c r="AO95" s="10"/>
      <c r="AP95" s="10"/>
      <c r="AQ95" s="10"/>
      <c r="AR95" s="10"/>
      <c r="AS95" s="10"/>
      <c r="AU95" s="2"/>
      <c r="AV95" s="2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</row>
    <row r="96" spans="1:73" customFormat="1" ht="12.75" customHeight="1" x14ac:dyDescent="0.25">
      <c r="A96" s="72" t="s">
        <v>20</v>
      </c>
      <c r="B96" s="184" t="s">
        <v>3089</v>
      </c>
      <c r="C96" s="236" t="s">
        <v>4098</v>
      </c>
      <c r="D96" s="45">
        <f>MROUND(MID($C96,6,3)/Basis!$E$3,0.5)</f>
        <v>19.5</v>
      </c>
      <c r="E96" s="45">
        <f>MROUND(MID($C96,9,3)/Basis!$E$3,0.5)</f>
        <v>86.5</v>
      </c>
      <c r="F96" s="237" t="str">
        <f t="shared" si="1"/>
        <v>20</v>
      </c>
      <c r="G96" s="45">
        <f>ROUND((ROUNDDOWN($F96/5,0)*5+2.2)/Basis!$E$3,1)</f>
        <v>8.6999999999999993</v>
      </c>
      <c r="H96" s="120">
        <f>ROUND($P96*Basis!$E$2*((TaH-TrH)/LN(1/µ)/Basis!$E$7)^$N96*$AA$4*Glycol,0)</f>
        <v>10440</v>
      </c>
      <c r="I96" s="83">
        <f>ROUND(H96/(MID($C96,9,3)/Basis!$E$3/Basis!$E$9)*Basis!$E$11,0)</f>
        <v>1446</v>
      </c>
      <c r="J96" s="123">
        <f>IF(Basis!$E$1=1,ROUND(H96/((TaH-TrH)*1.163)/3600,3),ROUND(H96/(500*(TaH-TrH)),2))</f>
        <v>1.04</v>
      </c>
      <c r="K96" s="84"/>
      <c r="L96" s="177">
        <f>CHOOSE(Basis!$E$1,((AJ96*(J96*3600/Basis!$E$5)^AK96*(((MID(C96,9,3)*10)-144)/1000)*AL96+AM96*(J96*3600/Basis!$E$5)^2)*0.0098)/Basis!$E$10,((AJ96*(J96/Basis!$E$5)^AK96*(((MID(C96,9,3)*10)-144)/1000)*AL96+AM96*(J96/Basis!$E$5)^2)*0.0098)/Basis!$E$10)</f>
        <v>8.9647496067313245E-2</v>
      </c>
      <c r="M96" s="85"/>
      <c r="N96" s="185">
        <v>1.3839999999999999</v>
      </c>
      <c r="O96" s="186"/>
      <c r="P96" s="187">
        <v>4831</v>
      </c>
      <c r="R96" s="2"/>
      <c r="S96" s="2"/>
      <c r="T96" s="2"/>
      <c r="U96" s="2"/>
      <c r="V96" s="2"/>
      <c r="X96" s="38"/>
      <c r="Y96" s="38"/>
      <c r="Z96" s="38"/>
      <c r="AA96" s="38"/>
      <c r="AB96" s="38"/>
      <c r="AD96" s="2"/>
      <c r="AE96" s="2"/>
      <c r="AF96" s="2"/>
      <c r="AG96" s="2"/>
      <c r="AH96" s="2"/>
      <c r="AJ96" s="126">
        <v>1.2760000000000001E-4</v>
      </c>
      <c r="AK96" s="132">
        <v>1.7219</v>
      </c>
      <c r="AL96" s="129">
        <v>2</v>
      </c>
      <c r="AM96" s="126">
        <v>3.76611E-4</v>
      </c>
      <c r="AO96" s="10"/>
      <c r="AP96" s="10"/>
      <c r="AQ96" s="10"/>
      <c r="AR96" s="10"/>
      <c r="AS96" s="10"/>
      <c r="AU96" s="2"/>
      <c r="AV96" s="2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</row>
    <row r="97" spans="1:73" customFormat="1" ht="12.75" customHeight="1" x14ac:dyDescent="0.25">
      <c r="A97" s="72" t="s">
        <v>20</v>
      </c>
      <c r="B97" s="184" t="s">
        <v>3089</v>
      </c>
      <c r="C97" s="44" t="s">
        <v>4052</v>
      </c>
      <c r="D97" s="45">
        <f>MROUND(MID($C97,6,3)/Basis!$E$3,0.5)</f>
        <v>19.5</v>
      </c>
      <c r="E97" s="45">
        <f>MROUND(MID($C97,9,3)/Basis!$E$3,0.5)</f>
        <v>94.5</v>
      </c>
      <c r="F97" s="237" t="str">
        <f t="shared" si="1"/>
        <v>10</v>
      </c>
      <c r="G97" s="45">
        <f>ROUND((ROUNDDOWN($F97/5,0)*5+2.2)/Basis!$E$3,1)</f>
        <v>4.8</v>
      </c>
      <c r="H97" s="120">
        <f>ROUND($P97*Basis!$E$2*((TaH-TrH)/LN(1/µ)/Basis!$E$7)^$N97*$AA$4*Glycol,0)</f>
        <v>4978</v>
      </c>
      <c r="I97" s="83">
        <f>ROUND(H97/(MID($C97,9,3)/Basis!$E$3/Basis!$E$9)*Basis!$E$11,0)</f>
        <v>632</v>
      </c>
      <c r="J97" s="123">
        <f>IF(Basis!$E$1=1,ROUND(H97/((TaH-TrH)*1.163)/3600,3),ROUND(H97/(500*(TaH-TrH)),2))</f>
        <v>0.5</v>
      </c>
      <c r="K97" s="84"/>
      <c r="L97" s="177">
        <f>CHOOSE(Basis!$E$1,((AJ97*(J97*3600/Basis!$E$5)^AK97*(((MID(C97,9,3)*10)-144)/1000)*AL97+AM97*(J97*3600/Basis!$E$5)^2)*0.0098)/Basis!$E$10,((AJ97*(J97/Basis!$E$5)^AK97*(((MID(C97,9,3)*10)-144)/1000)*AL97+AM97*(J97/Basis!$E$5)^2)*0.0098)/Basis!$E$10)</f>
        <v>3.6996741342681681E-2</v>
      </c>
      <c r="M97" s="85"/>
      <c r="N97" s="185">
        <v>1.3939999999999999</v>
      </c>
      <c r="O97" s="186"/>
      <c r="P97" s="187">
        <v>2311</v>
      </c>
      <c r="R97" s="2"/>
      <c r="S97" s="2"/>
      <c r="T97" s="2"/>
      <c r="U97" s="2"/>
      <c r="V97" s="2"/>
      <c r="X97" s="38"/>
      <c r="Y97" s="38"/>
      <c r="Z97" s="38"/>
      <c r="AA97" s="38"/>
      <c r="AB97" s="38"/>
      <c r="AD97" s="2"/>
      <c r="AE97" s="2"/>
      <c r="AF97" s="2"/>
      <c r="AG97" s="2"/>
      <c r="AH97" s="2"/>
      <c r="AJ97" s="126">
        <v>3.9689999999999994E-4</v>
      </c>
      <c r="AK97" s="132">
        <v>1.7345999999999999</v>
      </c>
      <c r="AL97" s="129">
        <v>2</v>
      </c>
      <c r="AM97" s="126">
        <v>3.6734700000000002E-4</v>
      </c>
      <c r="AO97" s="10"/>
      <c r="AP97" s="10"/>
      <c r="AQ97" s="10"/>
      <c r="AR97" s="10"/>
      <c r="AS97" s="10"/>
      <c r="AU97" s="2"/>
      <c r="AV97" s="2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</row>
    <row r="98" spans="1:73" customFormat="1" ht="12.75" customHeight="1" x14ac:dyDescent="0.25">
      <c r="A98" s="72" t="s">
        <v>20</v>
      </c>
      <c r="B98" s="184" t="s">
        <v>3089</v>
      </c>
      <c r="C98" s="44" t="s">
        <v>4058</v>
      </c>
      <c r="D98" s="45">
        <f>MROUND(MID($C98,6,3)/Basis!$E$3,0.5)</f>
        <v>19.5</v>
      </c>
      <c r="E98" s="45">
        <f>MROUND(MID($C98,9,3)/Basis!$E$3,0.5)</f>
        <v>94.5</v>
      </c>
      <c r="F98" s="237" t="str">
        <f t="shared" si="1"/>
        <v>15</v>
      </c>
      <c r="G98" s="45">
        <f>ROUND((ROUNDDOWN($F98/5,0)*5+2.2)/Basis!$E$3,1)</f>
        <v>6.8</v>
      </c>
      <c r="H98" s="120">
        <f>ROUND($P98*Basis!$E$2*((TaH-TrH)/LN(1/µ)/Basis!$E$7)^$N98*$AA$4*Glycol,0)</f>
        <v>7609</v>
      </c>
      <c r="I98" s="83">
        <f>ROUND(H98/(MID($C98,9,3)/Basis!$E$3/Basis!$E$9)*Basis!$E$11,0)</f>
        <v>966</v>
      </c>
      <c r="J98" s="123">
        <f>IF(Basis!$E$1=1,ROUND(H98/((TaH-TrH)*1.163)/3600,3),ROUND(H98/(500*(TaH-TrH)),2))</f>
        <v>0.76</v>
      </c>
      <c r="K98" s="84"/>
      <c r="L98" s="177">
        <f>CHOOSE(Basis!$E$1,((AJ98*(J98*3600/Basis!$E$5)^AK98*(((MID(C98,9,3)*10)-144)/1000)*AL98+AM98*(J98*3600/Basis!$E$5)^2)*0.0098)/Basis!$E$10,((AJ98*(J98/Basis!$E$5)^AK98*(((MID(C98,9,3)*10)-144)/1000)*AL98+AM98*(J98/Basis!$E$5)^2)*0.0098)/Basis!$E$10)</f>
        <v>6.7088122888031052E-2</v>
      </c>
      <c r="M98" s="85"/>
      <c r="N98" s="185">
        <v>1.39</v>
      </c>
      <c r="O98" s="186"/>
      <c r="P98" s="187">
        <v>3528</v>
      </c>
      <c r="R98" s="2"/>
      <c r="S98" s="2"/>
      <c r="T98" s="2"/>
      <c r="U98" s="2"/>
      <c r="V98" s="2"/>
      <c r="X98" s="38"/>
      <c r="Y98" s="38"/>
      <c r="Z98" s="38"/>
      <c r="AA98" s="38"/>
      <c r="AB98" s="38"/>
      <c r="AD98" s="2"/>
      <c r="AE98" s="2"/>
      <c r="AF98" s="2"/>
      <c r="AG98" s="2"/>
      <c r="AH98" s="2"/>
      <c r="AJ98" s="125">
        <v>2.0829999999999999E-4</v>
      </c>
      <c r="AK98" s="131">
        <v>1.724</v>
      </c>
      <c r="AL98" s="128">
        <v>2</v>
      </c>
      <c r="AM98" s="125">
        <v>4.6182900000000003E-4</v>
      </c>
      <c r="AO98" s="10"/>
      <c r="AP98" s="10"/>
      <c r="AQ98" s="10"/>
      <c r="AR98" s="10"/>
      <c r="AS98" s="10"/>
      <c r="AU98" s="2"/>
      <c r="AV98" s="2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</row>
    <row r="99" spans="1:73" customFormat="1" ht="12.75" customHeight="1" x14ac:dyDescent="0.25">
      <c r="A99" s="72" t="s">
        <v>20</v>
      </c>
      <c r="B99" s="184" t="s">
        <v>3089</v>
      </c>
      <c r="C99" s="44" t="s">
        <v>4062</v>
      </c>
      <c r="D99" s="45">
        <f>MROUND(MID($C99,6,3)/Basis!$E$3,0.5)</f>
        <v>19.5</v>
      </c>
      <c r="E99" s="45">
        <f>MROUND(MID($C99,9,3)/Basis!$E$3,0.5)</f>
        <v>94.5</v>
      </c>
      <c r="F99" s="237" t="str">
        <f t="shared" si="1"/>
        <v>20</v>
      </c>
      <c r="G99" s="45">
        <f>ROUND((ROUNDDOWN($F99/5,0)*5+2.2)/Basis!$E$3,1)</f>
        <v>8.6999999999999993</v>
      </c>
      <c r="H99" s="120">
        <f>ROUND($P99*Basis!$E$2*((TaH-TrH)/LN(1/µ)/Basis!$E$7)^$N99*$AA$4*Glycol,0)</f>
        <v>11388</v>
      </c>
      <c r="I99" s="83">
        <f>ROUND(H99/(MID($C99,9,3)/Basis!$E$3/Basis!$E$9)*Basis!$E$11,0)</f>
        <v>1446</v>
      </c>
      <c r="J99" s="123">
        <f>IF(Basis!$E$1=1,ROUND(H99/((TaH-TrH)*1.163)/3600,3),ROUND(H99/(500*(TaH-TrH)),2))</f>
        <v>1.1399999999999999</v>
      </c>
      <c r="K99" s="84"/>
      <c r="L99" s="177">
        <f>CHOOSE(Basis!$E$1,((AJ99*(J99*3600/Basis!$E$5)^AK99*(((MID(C99,9,3)*10)-144)/1000)*AL99+AM99*(J99*3600/Basis!$E$5)^2)*0.0098)/Basis!$E$10,((AJ99*(J99/Basis!$E$5)^AK99*(((MID(C99,9,3)*10)-144)/1000)*AL99+AM99*(J99/Basis!$E$5)^2)*0.0098)/Basis!$E$10)</f>
        <v>0.1094678908485998</v>
      </c>
      <c r="M99" s="85"/>
      <c r="N99" s="185">
        <v>1.3839999999999999</v>
      </c>
      <c r="O99" s="186"/>
      <c r="P99" s="187">
        <v>5270</v>
      </c>
      <c r="R99" s="2"/>
      <c r="S99" s="2"/>
      <c r="T99" s="2"/>
      <c r="U99" s="2"/>
      <c r="V99" s="2"/>
      <c r="X99" s="38"/>
      <c r="Y99" s="38"/>
      <c r="Z99" s="38"/>
      <c r="AA99" s="38"/>
      <c r="AB99" s="38"/>
      <c r="AD99" s="2"/>
      <c r="AE99" s="2"/>
      <c r="AF99" s="2"/>
      <c r="AG99" s="2"/>
      <c r="AH99" s="2"/>
      <c r="AJ99" s="126">
        <v>1.2760000000000001E-4</v>
      </c>
      <c r="AK99" s="132">
        <v>1.7219</v>
      </c>
      <c r="AL99" s="129">
        <v>2</v>
      </c>
      <c r="AM99" s="126">
        <v>3.76611E-4</v>
      </c>
      <c r="AO99" s="10"/>
      <c r="AP99" s="10"/>
      <c r="AQ99" s="10"/>
      <c r="AR99" s="10"/>
      <c r="AS99" s="10"/>
      <c r="AU99" s="2"/>
      <c r="AV99" s="2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</row>
    <row r="100" spans="1:73" customFormat="1" ht="12.75" customHeight="1" x14ac:dyDescent="0.25">
      <c r="A100" s="72" t="s">
        <v>20</v>
      </c>
      <c r="B100" s="184" t="s">
        <v>3089</v>
      </c>
      <c r="C100" s="236" t="s">
        <v>4095</v>
      </c>
      <c r="D100" s="45">
        <f>MROUND(MID($C100,6,3)/Basis!$E$3,0.5)</f>
        <v>19.5</v>
      </c>
      <c r="E100" s="45">
        <f>MROUND(MID($C100,9,3)/Basis!$E$3,0.5)</f>
        <v>102.5</v>
      </c>
      <c r="F100" s="237" t="str">
        <f t="shared" si="1"/>
        <v>10</v>
      </c>
      <c r="G100" s="45">
        <f>ROUND((ROUNDDOWN($F100/5,0)*5+2.2)/Basis!$E$3,1)</f>
        <v>4.8</v>
      </c>
      <c r="H100" s="120">
        <f>ROUND($P100*Basis!$E$2*((TaH-TrH)/LN(1/µ)/Basis!$E$7)^$N100*$AA$4*Glycol,0)</f>
        <v>5393</v>
      </c>
      <c r="I100" s="83">
        <f>ROUND(H100/(MID($C100,9,3)/Basis!$E$3/Basis!$E$9)*Basis!$E$11,0)</f>
        <v>632</v>
      </c>
      <c r="J100" s="123">
        <f>IF(Basis!$E$1=1,ROUND(H100/((TaH-TrH)*1.163)/3600,3),ROUND(H100/(500*(TaH-TrH)),2))</f>
        <v>0.54</v>
      </c>
      <c r="K100" s="84"/>
      <c r="L100" s="177">
        <f>CHOOSE(Basis!$E$1,((AJ100*(J100*3600/Basis!$E$5)^AK100*(((MID(C100,9,3)*10)-144)/1000)*AL100+AM100*(J100*3600/Basis!$E$5)^2)*0.0098)/Basis!$E$10,((AJ100*(J100/Basis!$E$5)^AK100*(((MID(C100,9,3)*10)-144)/1000)*AL100+AM100*(J100/Basis!$E$5)^2)*0.0098)/Basis!$E$10)</f>
        <v>4.4824731285421207E-2</v>
      </c>
      <c r="M100" s="85"/>
      <c r="N100" s="185">
        <v>1.3939999999999999</v>
      </c>
      <c r="O100" s="186"/>
      <c r="P100" s="187">
        <v>2504</v>
      </c>
      <c r="R100" s="2"/>
      <c r="S100" s="2"/>
      <c r="T100" s="2"/>
      <c r="U100" s="2"/>
      <c r="V100" s="2"/>
      <c r="X100" s="38"/>
      <c r="Y100" s="38"/>
      <c r="Z100" s="38"/>
      <c r="AA100" s="38"/>
      <c r="AB100" s="38"/>
      <c r="AD100" s="2"/>
      <c r="AE100" s="2"/>
      <c r="AF100" s="2"/>
      <c r="AG100" s="2"/>
      <c r="AH100" s="2"/>
      <c r="AJ100" s="126">
        <v>3.9689999999999994E-4</v>
      </c>
      <c r="AK100" s="132">
        <v>1.7345999999999999</v>
      </c>
      <c r="AL100" s="129">
        <v>2</v>
      </c>
      <c r="AM100" s="126">
        <v>3.6734700000000002E-4</v>
      </c>
      <c r="AO100" s="10"/>
      <c r="AP100" s="10"/>
      <c r="AQ100" s="10"/>
      <c r="AR100" s="10"/>
      <c r="AS100" s="10"/>
      <c r="AU100" s="2"/>
      <c r="AV100" s="2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</row>
    <row r="101" spans="1:73" customFormat="1" ht="12.75" customHeight="1" x14ac:dyDescent="0.25">
      <c r="A101" s="72" t="s">
        <v>20</v>
      </c>
      <c r="B101" s="184" t="s">
        <v>3089</v>
      </c>
      <c r="C101" s="236" t="s">
        <v>4097</v>
      </c>
      <c r="D101" s="45">
        <f>MROUND(MID($C101,6,3)/Basis!$E$3,0.5)</f>
        <v>19.5</v>
      </c>
      <c r="E101" s="45">
        <f>MROUND(MID($C101,9,3)/Basis!$E$3,0.5)</f>
        <v>102.5</v>
      </c>
      <c r="F101" s="237" t="str">
        <f t="shared" si="1"/>
        <v>15</v>
      </c>
      <c r="G101" s="45">
        <f>ROUND((ROUNDDOWN($F101/5,0)*5+2.2)/Basis!$E$3,1)</f>
        <v>6.8</v>
      </c>
      <c r="H101" s="120">
        <f>ROUND($P101*Basis!$E$2*((TaH-TrH)/LN(1/µ)/Basis!$E$7)^$N101*$AA$4*Glycol,0)</f>
        <v>8243</v>
      </c>
      <c r="I101" s="83">
        <f>ROUND(H101/(MID($C101,9,3)/Basis!$E$3/Basis!$E$9)*Basis!$E$11,0)</f>
        <v>966</v>
      </c>
      <c r="J101" s="123">
        <f>IF(Basis!$E$1=1,ROUND(H101/((TaH-TrH)*1.163)/3600,3),ROUND(H101/(500*(TaH-TrH)),2))</f>
        <v>0.82</v>
      </c>
      <c r="K101" s="84"/>
      <c r="L101" s="177">
        <f>CHOOSE(Basis!$E$1,((AJ101*(J101*3600/Basis!$E$5)^AK101*(((MID(C101,9,3)*10)-144)/1000)*AL101+AM101*(J101*3600/Basis!$E$5)^2)*0.0098)/Basis!$E$10,((AJ101*(J101/Basis!$E$5)^AK101*(((MID(C101,9,3)*10)-144)/1000)*AL101+AM101*(J101/Basis!$E$5)^2)*0.0098)/Basis!$E$10)</f>
        <v>7.979824881694024E-2</v>
      </c>
      <c r="M101" s="85"/>
      <c r="N101" s="185">
        <v>1.39</v>
      </c>
      <c r="O101" s="186"/>
      <c r="P101" s="187">
        <v>3822</v>
      </c>
      <c r="R101" s="2"/>
      <c r="S101" s="2"/>
      <c r="T101" s="2"/>
      <c r="U101" s="2"/>
      <c r="V101" s="2"/>
      <c r="X101" s="38"/>
      <c r="Y101" s="38"/>
      <c r="Z101" s="38"/>
      <c r="AA101" s="38"/>
      <c r="AB101" s="38"/>
      <c r="AD101" s="2"/>
      <c r="AE101" s="2"/>
      <c r="AF101" s="2"/>
      <c r="AG101" s="2"/>
      <c r="AH101" s="2"/>
      <c r="AJ101" s="125">
        <v>2.0829999999999999E-4</v>
      </c>
      <c r="AK101" s="131">
        <v>1.724</v>
      </c>
      <c r="AL101" s="128">
        <v>2</v>
      </c>
      <c r="AM101" s="125">
        <v>4.6182900000000003E-4</v>
      </c>
      <c r="AO101" s="10"/>
      <c r="AP101" s="10"/>
      <c r="AQ101" s="10"/>
      <c r="AR101" s="10"/>
      <c r="AS101" s="10"/>
      <c r="AU101" s="2"/>
      <c r="AV101" s="2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</row>
    <row r="102" spans="1:73" customFormat="1" ht="12.75" customHeight="1" x14ac:dyDescent="0.25">
      <c r="A102" s="72" t="s">
        <v>20</v>
      </c>
      <c r="B102" s="184" t="s">
        <v>3089</v>
      </c>
      <c r="C102" s="236" t="s">
        <v>4134</v>
      </c>
      <c r="D102" s="45">
        <f>MROUND(MID($C102,6,3)/Basis!$E$3,0.5)</f>
        <v>19.5</v>
      </c>
      <c r="E102" s="45">
        <f>MROUND(MID($C102,9,3)/Basis!$E$3,0.5)</f>
        <v>102.5</v>
      </c>
      <c r="F102" s="237" t="str">
        <f t="shared" si="1"/>
        <v>20</v>
      </c>
      <c r="G102" s="45">
        <f>ROUND((ROUNDDOWN($F102/5,0)*5+2.2)/Basis!$E$3,1)</f>
        <v>8.6999999999999993</v>
      </c>
      <c r="H102" s="120">
        <f>ROUND($P102*Basis!$E$2*((TaH-TrH)/LN(1/µ)/Basis!$E$7)^$N102*$AA$4*Glycol,0)</f>
        <v>12339</v>
      </c>
      <c r="I102" s="83">
        <f>ROUND(H102/(MID($C102,9,3)/Basis!$E$3/Basis!$E$9)*Basis!$E$11,0)</f>
        <v>1447</v>
      </c>
      <c r="J102" s="123">
        <f>IF(Basis!$E$1=1,ROUND(H102/((TaH-TrH)*1.163)/3600,3),ROUND(H102/(500*(TaH-TrH)),2))</f>
        <v>1.23</v>
      </c>
      <c r="K102" s="84"/>
      <c r="L102" s="177">
        <f>CHOOSE(Basis!$E$1,((AJ102*(J102*3600/Basis!$E$5)^AK102*(((MID(C102,9,3)*10)-144)/1000)*AL102+AM102*(J102*3600/Basis!$E$5)^2)*0.0098)/Basis!$E$10,((AJ102*(J102/Basis!$E$5)^AK102*(((MID(C102,9,3)*10)-144)/1000)*AL102+AM102*(J102/Basis!$E$5)^2)*0.0098)/Basis!$E$10)</f>
        <v>0.12949891149172119</v>
      </c>
      <c r="M102" s="85"/>
      <c r="N102" s="185">
        <v>1.3839999999999999</v>
      </c>
      <c r="O102" s="186"/>
      <c r="P102" s="187">
        <v>5710</v>
      </c>
      <c r="R102" s="2"/>
      <c r="S102" s="2"/>
      <c r="T102" s="2"/>
      <c r="U102" s="2"/>
      <c r="V102" s="2"/>
      <c r="X102" s="38"/>
      <c r="Y102" s="38"/>
      <c r="Z102" s="38"/>
      <c r="AA102" s="38"/>
      <c r="AB102" s="38"/>
      <c r="AD102" s="2"/>
      <c r="AE102" s="2"/>
      <c r="AF102" s="2"/>
      <c r="AG102" s="2"/>
      <c r="AH102" s="2"/>
      <c r="AJ102" s="126">
        <v>1.2760000000000001E-4</v>
      </c>
      <c r="AK102" s="132">
        <v>1.7219</v>
      </c>
      <c r="AL102" s="129">
        <v>2</v>
      </c>
      <c r="AM102" s="126">
        <v>3.76611E-4</v>
      </c>
      <c r="AO102" s="10"/>
      <c r="AP102" s="10"/>
      <c r="AQ102" s="10"/>
      <c r="AR102" s="10"/>
      <c r="AS102" s="10"/>
      <c r="AU102" s="2"/>
      <c r="AV102" s="2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</row>
    <row r="103" spans="1:73" customFormat="1" ht="12.75" customHeight="1" x14ac:dyDescent="0.25">
      <c r="A103" s="72" t="s">
        <v>20</v>
      </c>
      <c r="B103" s="184" t="s">
        <v>3089</v>
      </c>
      <c r="C103" s="44" t="s">
        <v>4053</v>
      </c>
      <c r="D103" s="45">
        <f>MROUND(MID($C103,6,3)/Basis!$E$3,0.5)</f>
        <v>19.5</v>
      </c>
      <c r="E103" s="45">
        <f>MROUND(MID($C103,9,3)/Basis!$E$3,0.5)</f>
        <v>110</v>
      </c>
      <c r="F103" s="237" t="str">
        <f t="shared" si="1"/>
        <v>10</v>
      </c>
      <c r="G103" s="45">
        <f>ROUND((ROUNDDOWN($F103/5,0)*5+2.2)/Basis!$E$3,1)</f>
        <v>4.8</v>
      </c>
      <c r="H103" s="120">
        <f>ROUND($P103*Basis!$E$2*((TaH-TrH)/LN(1/µ)/Basis!$E$7)^$N103*$AA$4*Glycol,0)</f>
        <v>5807</v>
      </c>
      <c r="I103" s="83">
        <f>ROUND(H103/(MID($C103,9,3)/Basis!$E$3/Basis!$E$9)*Basis!$E$11,0)</f>
        <v>632</v>
      </c>
      <c r="J103" s="123">
        <f>IF(Basis!$E$1=1,ROUND(H103/((TaH-TrH)*1.163)/3600,3),ROUND(H103/(500*(TaH-TrH)),2))</f>
        <v>0.57999999999999996</v>
      </c>
      <c r="K103" s="84"/>
      <c r="L103" s="177">
        <f>CHOOSE(Basis!$E$1,((AJ103*(J103*3600/Basis!$E$5)^AK103*(((MID(C103,9,3)*10)-144)/1000)*AL103+AM103*(J103*3600/Basis!$E$5)^2)*0.0098)/Basis!$E$10,((AJ103*(J103/Basis!$E$5)^AK103*(((MID(C103,9,3)*10)-144)/1000)*AL103+AM103*(J103/Basis!$E$5)^2)*0.0098)/Basis!$E$10)</f>
        <v>5.3597933422008824E-2</v>
      </c>
      <c r="M103" s="85"/>
      <c r="N103" s="185">
        <v>1.3939999999999999</v>
      </c>
      <c r="O103" s="186"/>
      <c r="P103" s="187">
        <v>2696</v>
      </c>
      <c r="R103" s="2"/>
      <c r="S103" s="2"/>
      <c r="T103" s="2"/>
      <c r="U103" s="2"/>
      <c r="V103" s="2"/>
      <c r="X103" s="38"/>
      <c r="Y103" s="38"/>
      <c r="Z103" s="38"/>
      <c r="AA103" s="38"/>
      <c r="AB103" s="38"/>
      <c r="AD103" s="2"/>
      <c r="AE103" s="2"/>
      <c r="AF103" s="2"/>
      <c r="AG103" s="2"/>
      <c r="AH103" s="2"/>
      <c r="AJ103" s="126">
        <v>3.9689999999999994E-4</v>
      </c>
      <c r="AK103" s="132">
        <v>1.7345999999999999</v>
      </c>
      <c r="AL103" s="129">
        <v>2</v>
      </c>
      <c r="AM103" s="126">
        <v>3.6734700000000002E-4</v>
      </c>
      <c r="AO103" s="10"/>
      <c r="AP103" s="10"/>
      <c r="AQ103" s="10"/>
      <c r="AR103" s="10"/>
      <c r="AS103" s="10"/>
      <c r="AU103" s="2"/>
      <c r="AV103" s="2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</row>
    <row r="104" spans="1:73" customFormat="1" ht="12.75" customHeight="1" x14ac:dyDescent="0.25">
      <c r="A104" s="72" t="s">
        <v>20</v>
      </c>
      <c r="B104" s="184" t="s">
        <v>3089</v>
      </c>
      <c r="C104" s="44" t="s">
        <v>4059</v>
      </c>
      <c r="D104" s="45">
        <f>MROUND(MID($C104,6,3)/Basis!$E$3,0.5)</f>
        <v>19.5</v>
      </c>
      <c r="E104" s="45">
        <f>MROUND(MID($C104,9,3)/Basis!$E$3,0.5)</f>
        <v>110</v>
      </c>
      <c r="F104" s="237" t="str">
        <f t="shared" si="1"/>
        <v>15</v>
      </c>
      <c r="G104" s="45">
        <f>ROUND((ROUNDDOWN($F104/5,0)*5+2.2)/Basis!$E$3,1)</f>
        <v>6.8</v>
      </c>
      <c r="H104" s="120">
        <f>ROUND($P104*Basis!$E$2*((TaH-TrH)/LN(1/µ)/Basis!$E$7)^$N104*$AA$4*Glycol,0)</f>
        <v>8877</v>
      </c>
      <c r="I104" s="83">
        <f>ROUND(H104/(MID($C104,9,3)/Basis!$E$3/Basis!$E$9)*Basis!$E$11,0)</f>
        <v>966</v>
      </c>
      <c r="J104" s="123">
        <f>IF(Basis!$E$1=1,ROUND(H104/((TaH-TrH)*1.163)/3600,3),ROUND(H104/(500*(TaH-TrH)),2))</f>
        <v>0.89</v>
      </c>
      <c r="K104" s="84"/>
      <c r="L104" s="177">
        <f>CHOOSE(Basis!$E$1,((AJ104*(J104*3600/Basis!$E$5)^AK104*(((MID(C104,9,3)*10)-144)/1000)*AL104+AM104*(J104*3600/Basis!$E$5)^2)*0.0098)/Basis!$E$10,((AJ104*(J104/Basis!$E$5)^AK104*(((MID(C104,9,3)*10)-144)/1000)*AL104+AM104*(J104/Basis!$E$5)^2)*0.0098)/Basis!$E$10)</f>
        <v>9.5853373585394003E-2</v>
      </c>
      <c r="M104" s="85"/>
      <c r="N104" s="185">
        <v>1.39</v>
      </c>
      <c r="O104" s="186"/>
      <c r="P104" s="187">
        <v>4116</v>
      </c>
      <c r="R104" s="2"/>
      <c r="S104" s="2"/>
      <c r="T104" s="2"/>
      <c r="U104" s="2"/>
      <c r="V104" s="2"/>
      <c r="X104" s="38"/>
      <c r="Y104" s="38"/>
      <c r="Z104" s="38"/>
      <c r="AA104" s="38"/>
      <c r="AB104" s="38"/>
      <c r="AD104" s="2"/>
      <c r="AE104" s="2"/>
      <c r="AF104" s="2"/>
      <c r="AG104" s="2"/>
      <c r="AH104" s="2"/>
      <c r="AJ104" s="125">
        <v>2.0829999999999999E-4</v>
      </c>
      <c r="AK104" s="131">
        <v>1.724</v>
      </c>
      <c r="AL104" s="128">
        <v>2</v>
      </c>
      <c r="AM104" s="125">
        <v>4.6182900000000003E-4</v>
      </c>
      <c r="AO104" s="10"/>
      <c r="AP104" s="10"/>
      <c r="AQ104" s="10"/>
      <c r="AR104" s="10"/>
      <c r="AS104" s="10"/>
      <c r="AU104" s="2"/>
      <c r="AV104" s="2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</row>
    <row r="105" spans="1:73" customFormat="1" ht="12.75" customHeight="1" x14ac:dyDescent="0.25">
      <c r="A105" s="72" t="s">
        <v>20</v>
      </c>
      <c r="B105" s="184" t="s">
        <v>3089</v>
      </c>
      <c r="C105" s="236" t="s">
        <v>4063</v>
      </c>
      <c r="D105" s="45">
        <f>MROUND(MID($C105,6,3)/Basis!$E$3,0.5)</f>
        <v>19.5</v>
      </c>
      <c r="E105" s="45">
        <f>MROUND(MID($C105,9,3)/Basis!$E$3,0.5)</f>
        <v>110</v>
      </c>
      <c r="F105" s="237" t="str">
        <f t="shared" si="1"/>
        <v>20</v>
      </c>
      <c r="G105" s="45">
        <f>ROUND((ROUNDDOWN($F105/5,0)*5+2.2)/Basis!$E$3,1)</f>
        <v>8.6999999999999993</v>
      </c>
      <c r="H105" s="120">
        <f>ROUND($P105*Basis!$E$2*((TaH-TrH)/LN(1/µ)/Basis!$E$7)^$N105*$AA$4*Glycol,0)</f>
        <v>13288</v>
      </c>
      <c r="I105" s="83">
        <f>ROUND(H105/(MID($C105,9,3)/Basis!$E$3/Basis!$E$9)*Basis!$E$11,0)</f>
        <v>1446</v>
      </c>
      <c r="J105" s="123">
        <f>IF(Basis!$E$1=1,ROUND(H105/((TaH-TrH)*1.163)/3600,3),ROUND(H105/(500*(TaH-TrH)),2))</f>
        <v>1.33</v>
      </c>
      <c r="K105" s="84"/>
      <c r="L105" s="177">
        <f>CHOOSE(Basis!$E$1,((AJ105*(J105*3600/Basis!$E$5)^AK105*(((MID(C105,9,3)*10)-144)/1000)*AL105+AM105*(J105*3600/Basis!$E$5)^2)*0.0098)/Basis!$E$10,((AJ105*(J105/Basis!$E$5)^AK105*(((MID(C105,9,3)*10)-144)/1000)*AL105+AM105*(J105/Basis!$E$5)^2)*0.0098)/Basis!$E$10)</f>
        <v>0.15368325842234151</v>
      </c>
      <c r="M105" s="85"/>
      <c r="N105" s="185">
        <v>1.3839999999999999</v>
      </c>
      <c r="O105" s="186"/>
      <c r="P105" s="187">
        <v>6149</v>
      </c>
      <c r="R105" s="2"/>
      <c r="S105" s="2"/>
      <c r="T105" s="2"/>
      <c r="U105" s="2"/>
      <c r="V105" s="2"/>
      <c r="X105" s="38"/>
      <c r="Y105" s="38"/>
      <c r="Z105" s="38"/>
      <c r="AA105" s="38"/>
      <c r="AB105" s="38"/>
      <c r="AD105" s="2"/>
      <c r="AE105" s="2"/>
      <c r="AF105" s="2"/>
      <c r="AG105" s="2"/>
      <c r="AH105" s="2"/>
      <c r="AJ105" s="126">
        <v>1.2760000000000001E-4</v>
      </c>
      <c r="AK105" s="132">
        <v>1.7219</v>
      </c>
      <c r="AL105" s="129">
        <v>2</v>
      </c>
      <c r="AM105" s="126">
        <v>3.76611E-4</v>
      </c>
      <c r="AO105" s="10"/>
      <c r="AP105" s="10"/>
      <c r="AQ105" s="10"/>
      <c r="AR105" s="10"/>
      <c r="AS105" s="10"/>
      <c r="AU105" s="2"/>
      <c r="AV105" s="2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</row>
    <row r="106" spans="1:73" customFormat="1" ht="12.75" customHeight="1" x14ac:dyDescent="0.25">
      <c r="A106" s="72" t="s">
        <v>20</v>
      </c>
      <c r="B106" s="184" t="s">
        <v>3089</v>
      </c>
      <c r="C106" s="44" t="s">
        <v>3053</v>
      </c>
      <c r="D106" s="45">
        <f>MROUND(MID($C106,6,3)/Basis!$E$3,0.5)</f>
        <v>25.5</v>
      </c>
      <c r="E106" s="45">
        <f>MROUND(MID($C106,9,3)/Basis!$E$3,0.5)</f>
        <v>19.5</v>
      </c>
      <c r="F106" s="237" t="str">
        <f t="shared" si="1"/>
        <v>10</v>
      </c>
      <c r="G106" s="45">
        <f>ROUND((ROUNDDOWN($F106/5,0)*5+2.2)/Basis!$E$3,1)</f>
        <v>4.8</v>
      </c>
      <c r="H106" s="120">
        <f>ROUND($P106*Basis!$E$2*((TaH-TrH)/LN(1/µ)/Basis!$E$7)^$N106*$AA$4*Glycol,0)</f>
        <v>1162</v>
      </c>
      <c r="I106" s="83">
        <f>ROUND(H106/(MID($C106,9,3)/Basis!$E$3/Basis!$E$9)*Basis!$E$11,0)</f>
        <v>708</v>
      </c>
      <c r="J106" s="123">
        <f>IF(Basis!$E$1=1,ROUND(H106/((TaH-TrH)*1.163)/3600,3),ROUND(H106/(500*(TaH-TrH)),2))</f>
        <v>0.12</v>
      </c>
      <c r="K106" s="84"/>
      <c r="L106" s="177">
        <f>CHOOSE(Basis!$E$1,((AJ106*(J106*3600/Basis!$E$5)^AK106*(((MID(C106,9,3)*10)-144)/1000)*AL106+AM106*(J106*3600/Basis!$E$5)^2)*0.0098)/Basis!$E$10,((AJ106*(J106/Basis!$E$5)^AK106*(((MID(C106,9,3)*10)-144)/1000)*AL106+AM106*(J106/Basis!$E$5)^2)*0.0098)/Basis!$E$10)</f>
        <v>1.177724754177181E-3</v>
      </c>
      <c r="M106" s="85"/>
      <c r="N106" s="185">
        <v>1.385</v>
      </c>
      <c r="O106" s="186"/>
      <c r="P106" s="187">
        <v>538</v>
      </c>
      <c r="R106" s="2"/>
      <c r="S106" s="2"/>
      <c r="T106" s="2"/>
      <c r="U106" s="2"/>
      <c r="V106" s="2"/>
      <c r="X106" s="38"/>
      <c r="Y106" s="38"/>
      <c r="Z106" s="38"/>
      <c r="AA106" s="38"/>
      <c r="AB106" s="38"/>
      <c r="AD106" s="2"/>
      <c r="AE106" s="2"/>
      <c r="AF106" s="2"/>
      <c r="AG106" s="2"/>
      <c r="AH106" s="2"/>
      <c r="AJ106" s="126">
        <v>3.9689999999999994E-4</v>
      </c>
      <c r="AK106" s="132">
        <v>1.7345999999999999</v>
      </c>
      <c r="AL106" s="129">
        <v>2</v>
      </c>
      <c r="AM106" s="126">
        <v>3.6734700000000002E-4</v>
      </c>
      <c r="AO106" s="10"/>
      <c r="AP106" s="10"/>
      <c r="AQ106" s="10"/>
      <c r="AR106" s="10"/>
      <c r="AS106" s="10"/>
      <c r="AU106" s="2"/>
      <c r="AV106" s="2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</row>
    <row r="107" spans="1:73" customFormat="1" ht="12.75" customHeight="1" x14ac:dyDescent="0.25">
      <c r="A107" s="72" t="s">
        <v>20</v>
      </c>
      <c r="B107" s="184" t="s">
        <v>3089</v>
      </c>
      <c r="C107" s="44" t="s">
        <v>3065</v>
      </c>
      <c r="D107" s="45">
        <f>MROUND(MID($C107,6,3)/Basis!$E$3,0.5)</f>
        <v>25.5</v>
      </c>
      <c r="E107" s="45">
        <f>MROUND(MID($C107,9,3)/Basis!$E$3,0.5)</f>
        <v>19.5</v>
      </c>
      <c r="F107" s="237" t="str">
        <f t="shared" si="1"/>
        <v>15</v>
      </c>
      <c r="G107" s="45">
        <f>ROUND((ROUNDDOWN($F107/5,0)*5+2.2)/Basis!$E$3,1)</f>
        <v>6.8</v>
      </c>
      <c r="H107" s="120">
        <f>ROUND($P107*Basis!$E$2*((TaH-TrH)/LN(1/µ)/Basis!$E$7)^$N107*$AA$4*Glycol,0)</f>
        <v>1880</v>
      </c>
      <c r="I107" s="83">
        <f>ROUND(H107/(MID($C107,9,3)/Basis!$E$3/Basis!$E$9)*Basis!$E$11,0)</f>
        <v>1146</v>
      </c>
      <c r="J107" s="123">
        <f>IF(Basis!$E$1=1,ROUND(H107/((TaH-TrH)*1.163)/3600,3),ROUND(H107/(500*(TaH-TrH)),2))</f>
        <v>0.19</v>
      </c>
      <c r="K107" s="84"/>
      <c r="L107" s="177">
        <f>CHOOSE(Basis!$E$1,((AJ107*(J107*3600/Basis!$E$5)^AK107*(((MID(C107,9,3)*10)-144)/1000)*AL107+AM107*(J107*3600/Basis!$E$5)^2)*0.0098)/Basis!$E$10,((AJ107*(J107/Basis!$E$5)^AK107*(((MID(C107,9,3)*10)-144)/1000)*AL107+AM107*(J107/Basis!$E$5)^2)*0.0098)/Basis!$E$10)</f>
        <v>3.1315584148762171E-3</v>
      </c>
      <c r="M107" s="85"/>
      <c r="N107" s="185">
        <v>1.373</v>
      </c>
      <c r="O107" s="186"/>
      <c r="P107" s="187">
        <v>867</v>
      </c>
      <c r="R107" s="2"/>
      <c r="S107" s="2"/>
      <c r="T107" s="2"/>
      <c r="U107" s="2"/>
      <c r="V107" s="2"/>
      <c r="X107" s="38"/>
      <c r="Y107" s="38"/>
      <c r="Z107" s="38"/>
      <c r="AA107" s="38"/>
      <c r="AB107" s="38"/>
      <c r="AD107" s="2"/>
      <c r="AE107" s="2"/>
      <c r="AF107" s="2"/>
      <c r="AG107" s="2"/>
      <c r="AH107" s="2"/>
      <c r="AJ107" s="125">
        <v>2.0829999999999999E-4</v>
      </c>
      <c r="AK107" s="131">
        <v>1.724</v>
      </c>
      <c r="AL107" s="128">
        <v>2</v>
      </c>
      <c r="AM107" s="125">
        <v>4.6182900000000003E-4</v>
      </c>
      <c r="AO107" s="10"/>
      <c r="AP107" s="10"/>
      <c r="AQ107" s="10"/>
      <c r="AR107" s="10"/>
      <c r="AS107" s="10"/>
      <c r="AU107" s="2"/>
      <c r="AV107" s="2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</row>
    <row r="108" spans="1:73" customFormat="1" ht="12.75" customHeight="1" x14ac:dyDescent="0.25">
      <c r="A108" s="72" t="s">
        <v>20</v>
      </c>
      <c r="B108" s="184" t="s">
        <v>3089</v>
      </c>
      <c r="C108" s="44" t="s">
        <v>3077</v>
      </c>
      <c r="D108" s="45">
        <f>MROUND(MID($C108,6,3)/Basis!$E$3,0.5)</f>
        <v>25.5</v>
      </c>
      <c r="E108" s="45">
        <f>MROUND(MID($C108,9,3)/Basis!$E$3,0.5)</f>
        <v>19.5</v>
      </c>
      <c r="F108" s="237" t="str">
        <f t="shared" si="1"/>
        <v>20</v>
      </c>
      <c r="G108" s="45">
        <f>ROUND((ROUNDDOWN($F108/5,0)*5+2.2)/Basis!$E$3,1)</f>
        <v>8.6999999999999993</v>
      </c>
      <c r="H108" s="120">
        <f>ROUND($P108*Basis!$E$2*((TaH-TrH)/LN(1/µ)/Basis!$E$7)^$N108*$AA$4*Glycol,0)</f>
        <v>2631</v>
      </c>
      <c r="I108" s="83">
        <f>ROUND(H108/(MID($C108,9,3)/Basis!$E$3/Basis!$E$9)*Basis!$E$11,0)</f>
        <v>1604</v>
      </c>
      <c r="J108" s="123">
        <f>IF(Basis!$E$1=1,ROUND(H108/((TaH-TrH)*1.163)/3600,3),ROUND(H108/(500*(TaH-TrH)),2))</f>
        <v>0.26</v>
      </c>
      <c r="K108" s="84"/>
      <c r="L108" s="177">
        <f>CHOOSE(Basis!$E$1,((AJ108*(J108*3600/Basis!$E$5)^AK108*(((MID(C108,9,3)*10)-144)/1000)*AL108+AM108*(J108*3600/Basis!$E$5)^2)*0.0098)/Basis!$E$10,((AJ108*(J108/Basis!$E$5)^AK108*(((MID(C108,9,3)*10)-144)/1000)*AL108+AM108*(J108/Basis!$E$5)^2)*0.0098)/Basis!$E$10)</f>
        <v>4.6273795118290505E-3</v>
      </c>
      <c r="M108" s="85"/>
      <c r="N108" s="185">
        <v>1.373</v>
      </c>
      <c r="O108" s="186"/>
      <c r="P108" s="187">
        <v>1213</v>
      </c>
      <c r="R108" s="2"/>
      <c r="S108" s="2"/>
      <c r="T108" s="2"/>
      <c r="U108" s="2"/>
      <c r="V108" s="2"/>
      <c r="X108" s="38"/>
      <c r="Y108" s="38"/>
      <c r="Z108" s="38"/>
      <c r="AA108" s="38"/>
      <c r="AB108" s="38"/>
      <c r="AD108" s="2"/>
      <c r="AE108" s="2"/>
      <c r="AF108" s="2"/>
      <c r="AG108" s="2"/>
      <c r="AH108" s="2"/>
      <c r="AJ108" s="126">
        <v>1.2760000000000001E-4</v>
      </c>
      <c r="AK108" s="132">
        <v>1.7219</v>
      </c>
      <c r="AL108" s="129">
        <v>2</v>
      </c>
      <c r="AM108" s="126">
        <v>3.76611E-4</v>
      </c>
      <c r="AO108" s="10"/>
      <c r="AP108" s="10"/>
      <c r="AQ108" s="10"/>
      <c r="AR108" s="10"/>
      <c r="AS108" s="10"/>
      <c r="AU108" s="2"/>
      <c r="AV108" s="2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</row>
    <row r="109" spans="1:73" customFormat="1" ht="12.75" customHeight="1" x14ac:dyDescent="0.25">
      <c r="A109" s="72" t="s">
        <v>20</v>
      </c>
      <c r="B109" s="184" t="s">
        <v>3089</v>
      </c>
      <c r="C109" s="44" t="s">
        <v>3054</v>
      </c>
      <c r="D109" s="45">
        <f>MROUND(MID($C109,6,3)/Basis!$E$3,0.5)</f>
        <v>25.5</v>
      </c>
      <c r="E109" s="45">
        <f>MROUND(MID($C109,9,3)/Basis!$E$3,0.5)</f>
        <v>23.5</v>
      </c>
      <c r="F109" s="237" t="str">
        <f t="shared" si="1"/>
        <v>10</v>
      </c>
      <c r="G109" s="45">
        <f>ROUND((ROUNDDOWN($F109/5,0)*5+2.2)/Basis!$E$3,1)</f>
        <v>4.8</v>
      </c>
      <c r="H109" s="120">
        <f>ROUND($P109*Basis!$E$2*((TaH-TrH)/LN(1/µ)/Basis!$E$7)^$N109*$AA$4*Glycol,0)</f>
        <v>1396</v>
      </c>
      <c r="I109" s="83">
        <f>ROUND(H109/(MID($C109,9,3)/Basis!$E$3/Basis!$E$9)*Basis!$E$11,0)</f>
        <v>709</v>
      </c>
      <c r="J109" s="123">
        <f>IF(Basis!$E$1=1,ROUND(H109/((TaH-TrH)*1.163)/3600,3),ROUND(H109/(500*(TaH-TrH)),2))</f>
        <v>0.14000000000000001</v>
      </c>
      <c r="K109" s="84"/>
      <c r="L109" s="177">
        <f>CHOOSE(Basis!$E$1,((AJ109*(J109*3600/Basis!$E$5)^AK109*(((MID(C109,9,3)*10)-144)/1000)*AL109+AM109*(J109*3600/Basis!$E$5)^2)*0.0098)/Basis!$E$10,((AJ109*(J109/Basis!$E$5)^AK109*(((MID(C109,9,3)*10)-144)/1000)*AL109+AM109*(J109/Basis!$E$5)^2)*0.0098)/Basis!$E$10)</f>
        <v>1.6922160915461598E-3</v>
      </c>
      <c r="M109" s="85"/>
      <c r="N109" s="185">
        <v>1.385</v>
      </c>
      <c r="O109" s="186"/>
      <c r="P109" s="187">
        <v>646</v>
      </c>
      <c r="R109" s="2"/>
      <c r="S109" s="2"/>
      <c r="T109" s="2"/>
      <c r="U109" s="2"/>
      <c r="V109" s="2"/>
      <c r="X109" s="38"/>
      <c r="Y109" s="38"/>
      <c r="Z109" s="38"/>
      <c r="AA109" s="38"/>
      <c r="AB109" s="38"/>
      <c r="AD109" s="2"/>
      <c r="AE109" s="2"/>
      <c r="AF109" s="2"/>
      <c r="AG109" s="2"/>
      <c r="AH109" s="2"/>
      <c r="AJ109" s="126">
        <v>3.9689999999999994E-4</v>
      </c>
      <c r="AK109" s="132">
        <v>1.7345999999999999</v>
      </c>
      <c r="AL109" s="129">
        <v>2</v>
      </c>
      <c r="AM109" s="126">
        <v>3.6734700000000002E-4</v>
      </c>
      <c r="AO109" s="10"/>
      <c r="AP109" s="10"/>
      <c r="AQ109" s="10"/>
      <c r="AR109" s="10"/>
      <c r="AS109" s="10"/>
      <c r="AU109" s="2"/>
      <c r="AV109" s="2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</row>
    <row r="110" spans="1:73" customFormat="1" ht="12.75" customHeight="1" x14ac:dyDescent="0.25">
      <c r="A110" s="72" t="s">
        <v>20</v>
      </c>
      <c r="B110" s="184" t="s">
        <v>3089</v>
      </c>
      <c r="C110" s="44" t="s">
        <v>3066</v>
      </c>
      <c r="D110" s="45">
        <f>MROUND(MID($C110,6,3)/Basis!$E$3,0.5)</f>
        <v>25.5</v>
      </c>
      <c r="E110" s="45">
        <f>MROUND(MID($C110,9,3)/Basis!$E$3,0.5)</f>
        <v>23.5</v>
      </c>
      <c r="F110" s="237" t="str">
        <f t="shared" si="1"/>
        <v>15</v>
      </c>
      <c r="G110" s="45">
        <f>ROUND((ROUNDDOWN($F110/5,0)*5+2.2)/Basis!$E$3,1)</f>
        <v>6.8</v>
      </c>
      <c r="H110" s="120">
        <f>ROUND($P110*Basis!$E$2*((TaH-TrH)/LN(1/µ)/Basis!$E$7)^$N110*$AA$4*Glycol,0)</f>
        <v>2256</v>
      </c>
      <c r="I110" s="83">
        <f>ROUND(H110/(MID($C110,9,3)/Basis!$E$3/Basis!$E$9)*Basis!$E$11,0)</f>
        <v>1146</v>
      </c>
      <c r="J110" s="123">
        <f>IF(Basis!$E$1=1,ROUND(H110/((TaH-TrH)*1.163)/3600,3),ROUND(H110/(500*(TaH-TrH)),2))</f>
        <v>0.23</v>
      </c>
      <c r="K110" s="84"/>
      <c r="L110" s="177">
        <f>CHOOSE(Basis!$E$1,((AJ110*(J110*3600/Basis!$E$5)^AK110*(((MID(C110,9,3)*10)-144)/1000)*AL110+AM110*(J110*3600/Basis!$E$5)^2)*0.0098)/Basis!$E$10,((AJ110*(J110/Basis!$E$5)^AK110*(((MID(C110,9,3)*10)-144)/1000)*AL110+AM110*(J110/Basis!$E$5)^2)*0.0098)/Basis!$E$10)</f>
        <v>4.6896095866809625E-3</v>
      </c>
      <c r="M110" s="85"/>
      <c r="N110" s="185">
        <v>1.373</v>
      </c>
      <c r="O110" s="186"/>
      <c r="P110" s="187">
        <v>1040</v>
      </c>
      <c r="R110" s="2"/>
      <c r="S110" s="2"/>
      <c r="T110" s="2"/>
      <c r="U110" s="2"/>
      <c r="V110" s="2"/>
      <c r="X110" s="38"/>
      <c r="Y110" s="38"/>
      <c r="Z110" s="38"/>
      <c r="AA110" s="38"/>
      <c r="AB110" s="38"/>
      <c r="AD110" s="2"/>
      <c r="AE110" s="2"/>
      <c r="AF110" s="2"/>
      <c r="AG110" s="2"/>
      <c r="AH110" s="2"/>
      <c r="AJ110" s="125">
        <v>2.0829999999999999E-4</v>
      </c>
      <c r="AK110" s="131">
        <v>1.724</v>
      </c>
      <c r="AL110" s="128">
        <v>2</v>
      </c>
      <c r="AM110" s="125">
        <v>4.6182900000000003E-4</v>
      </c>
      <c r="AO110" s="10"/>
      <c r="AP110" s="10"/>
      <c r="AQ110" s="10"/>
      <c r="AR110" s="10"/>
      <c r="AS110" s="10"/>
      <c r="AU110" s="2"/>
      <c r="AV110" s="2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</row>
    <row r="111" spans="1:73" customFormat="1" ht="12.75" customHeight="1" x14ac:dyDescent="0.25">
      <c r="A111" s="72" t="s">
        <v>20</v>
      </c>
      <c r="B111" s="184" t="s">
        <v>3089</v>
      </c>
      <c r="C111" s="44" t="s">
        <v>3078</v>
      </c>
      <c r="D111" s="45">
        <f>MROUND(MID($C111,6,3)/Basis!$E$3,0.5)</f>
        <v>25.5</v>
      </c>
      <c r="E111" s="45">
        <f>MROUND(MID($C111,9,3)/Basis!$E$3,0.5)</f>
        <v>23.5</v>
      </c>
      <c r="F111" s="237" t="str">
        <f t="shared" si="1"/>
        <v>20</v>
      </c>
      <c r="G111" s="45">
        <f>ROUND((ROUNDDOWN($F111/5,0)*5+2.2)/Basis!$E$3,1)</f>
        <v>8.6999999999999993</v>
      </c>
      <c r="H111" s="120">
        <f>ROUND($P111*Basis!$E$2*((TaH-TrH)/LN(1/µ)/Basis!$E$7)^$N111*$AA$4*Glycol,0)</f>
        <v>3156</v>
      </c>
      <c r="I111" s="83">
        <f>ROUND(H111/(MID($C111,9,3)/Basis!$E$3/Basis!$E$9)*Basis!$E$11,0)</f>
        <v>1603</v>
      </c>
      <c r="J111" s="123">
        <f>IF(Basis!$E$1=1,ROUND(H111/((TaH-TrH)*1.163)/3600,3),ROUND(H111/(500*(TaH-TrH)),2))</f>
        <v>0.32</v>
      </c>
      <c r="K111" s="84"/>
      <c r="L111" s="177">
        <f>CHOOSE(Basis!$E$1,((AJ111*(J111*3600/Basis!$E$5)^AK111*(((MID(C111,9,3)*10)-144)/1000)*AL111+AM111*(J111*3600/Basis!$E$5)^2)*0.0098)/Basis!$E$10,((AJ111*(J111/Basis!$E$5)^AK111*(((MID(C111,9,3)*10)-144)/1000)*AL111+AM111*(J111/Basis!$E$5)^2)*0.0098)/Basis!$E$10)</f>
        <v>7.1150325886397423E-3</v>
      </c>
      <c r="M111" s="85"/>
      <c r="N111" s="185">
        <v>1.373</v>
      </c>
      <c r="O111" s="186"/>
      <c r="P111" s="187">
        <v>1455</v>
      </c>
      <c r="R111" s="2"/>
      <c r="S111" s="2"/>
      <c r="T111" s="2"/>
      <c r="U111" s="2"/>
      <c r="V111" s="2"/>
      <c r="X111" s="38"/>
      <c r="Y111" s="38"/>
      <c r="Z111" s="38"/>
      <c r="AA111" s="38"/>
      <c r="AB111" s="38"/>
      <c r="AD111" s="2"/>
      <c r="AE111" s="2"/>
      <c r="AF111" s="2"/>
      <c r="AG111" s="2"/>
      <c r="AH111" s="2"/>
      <c r="AJ111" s="126">
        <v>1.2760000000000001E-4</v>
      </c>
      <c r="AK111" s="132">
        <v>1.7219</v>
      </c>
      <c r="AL111" s="129">
        <v>2</v>
      </c>
      <c r="AM111" s="126">
        <v>3.76611E-4</v>
      </c>
      <c r="AO111" s="10"/>
      <c r="AP111" s="10"/>
      <c r="AQ111" s="10"/>
      <c r="AR111" s="10"/>
      <c r="AS111" s="10"/>
      <c r="AU111" s="2"/>
      <c r="AV111" s="2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</row>
    <row r="112" spans="1:73" customFormat="1" ht="12.75" customHeight="1" x14ac:dyDescent="0.25">
      <c r="A112" s="72" t="s">
        <v>20</v>
      </c>
      <c r="B112" s="184" t="s">
        <v>3089</v>
      </c>
      <c r="C112" s="44" t="s">
        <v>3055</v>
      </c>
      <c r="D112" s="45">
        <f>MROUND(MID($C112,6,3)/Basis!$E$3,0.5)</f>
        <v>25.5</v>
      </c>
      <c r="E112" s="45">
        <f>MROUND(MID($C112,9,3)/Basis!$E$3,0.5)</f>
        <v>27.5</v>
      </c>
      <c r="F112" s="237" t="str">
        <f t="shared" si="1"/>
        <v>10</v>
      </c>
      <c r="G112" s="45">
        <f>ROUND((ROUNDDOWN($F112/5,0)*5+2.2)/Basis!$E$3,1)</f>
        <v>4.8</v>
      </c>
      <c r="H112" s="120">
        <f>ROUND($P112*Basis!$E$2*((TaH-TrH)/LN(1/µ)/Basis!$E$7)^$N112*$AA$4*Glycol,0)</f>
        <v>1627</v>
      </c>
      <c r="I112" s="83">
        <f>ROUND(H112/(MID($C112,9,3)/Basis!$E$3/Basis!$E$9)*Basis!$E$11,0)</f>
        <v>708</v>
      </c>
      <c r="J112" s="123">
        <f>IF(Basis!$E$1=1,ROUND(H112/((TaH-TrH)*1.163)/3600,3),ROUND(H112/(500*(TaH-TrH)),2))</f>
        <v>0.16</v>
      </c>
      <c r="K112" s="84"/>
      <c r="L112" s="177">
        <f>CHOOSE(Basis!$E$1,((AJ112*(J112*3600/Basis!$E$5)^AK112*(((MID(C112,9,3)*10)-144)/1000)*AL112+AM112*(J112*3600/Basis!$E$5)^2)*0.0098)/Basis!$E$10,((AJ112*(J112/Basis!$E$5)^AK112*(((MID(C112,9,3)*10)-144)/1000)*AL112+AM112*(J112/Basis!$E$5)^2)*0.0098)/Basis!$E$10)</f>
        <v>2.3206016653743865E-3</v>
      </c>
      <c r="M112" s="85"/>
      <c r="N112" s="185">
        <v>1.385</v>
      </c>
      <c r="O112" s="186"/>
      <c r="P112" s="187">
        <v>753</v>
      </c>
      <c r="R112" s="2"/>
      <c r="S112" s="2"/>
      <c r="T112" s="2"/>
      <c r="U112" s="2"/>
      <c r="V112" s="2"/>
      <c r="X112" s="38"/>
      <c r="Y112" s="38"/>
      <c r="Z112" s="38"/>
      <c r="AA112" s="38"/>
      <c r="AB112" s="38"/>
      <c r="AD112" s="2"/>
      <c r="AE112" s="2"/>
      <c r="AF112" s="2"/>
      <c r="AG112" s="2"/>
      <c r="AH112" s="2"/>
      <c r="AJ112" s="126">
        <v>3.9689999999999994E-4</v>
      </c>
      <c r="AK112" s="132">
        <v>1.7345999999999999</v>
      </c>
      <c r="AL112" s="129">
        <v>2</v>
      </c>
      <c r="AM112" s="126">
        <v>3.6734700000000002E-4</v>
      </c>
      <c r="AO112" s="10"/>
      <c r="AP112" s="10"/>
      <c r="AQ112" s="10"/>
      <c r="AR112" s="10"/>
      <c r="AS112" s="10"/>
      <c r="AU112" s="2"/>
      <c r="AV112" s="2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</row>
    <row r="113" spans="1:73" customFormat="1" ht="12.75" customHeight="1" x14ac:dyDescent="0.25">
      <c r="A113" s="72" t="s">
        <v>20</v>
      </c>
      <c r="B113" s="184" t="s">
        <v>3089</v>
      </c>
      <c r="C113" s="44" t="s">
        <v>3067</v>
      </c>
      <c r="D113" s="45">
        <f>MROUND(MID($C113,6,3)/Basis!$E$3,0.5)</f>
        <v>25.5</v>
      </c>
      <c r="E113" s="45">
        <f>MROUND(MID($C113,9,3)/Basis!$E$3,0.5)</f>
        <v>27.5</v>
      </c>
      <c r="F113" s="237" t="str">
        <f t="shared" si="1"/>
        <v>15</v>
      </c>
      <c r="G113" s="45">
        <f>ROUND((ROUNDDOWN($F113/5,0)*5+2.2)/Basis!$E$3,1)</f>
        <v>6.8</v>
      </c>
      <c r="H113" s="120">
        <f>ROUND($P113*Basis!$E$2*((TaH-TrH)/LN(1/µ)/Basis!$E$7)^$N113*$AA$4*Glycol,0)</f>
        <v>2633</v>
      </c>
      <c r="I113" s="83">
        <f>ROUND(H113/(MID($C113,9,3)/Basis!$E$3/Basis!$E$9)*Basis!$E$11,0)</f>
        <v>1146</v>
      </c>
      <c r="J113" s="123">
        <f>IF(Basis!$E$1=1,ROUND(H113/((TaH-TrH)*1.163)/3600,3),ROUND(H113/(500*(TaH-TrH)),2))</f>
        <v>0.26</v>
      </c>
      <c r="K113" s="84"/>
      <c r="L113" s="177">
        <f>CHOOSE(Basis!$E$1,((AJ113*(J113*3600/Basis!$E$5)^AK113*(((MID(C113,9,3)*10)-144)/1000)*AL113+AM113*(J113*3600/Basis!$E$5)^2)*0.0098)/Basis!$E$10,((AJ113*(J113/Basis!$E$5)^AK113*(((MID(C113,9,3)*10)-144)/1000)*AL113+AM113*(J113/Basis!$E$5)^2)*0.0098)/Basis!$E$10)</f>
        <v>6.122699488726722E-3</v>
      </c>
      <c r="M113" s="85"/>
      <c r="N113" s="185">
        <v>1.373</v>
      </c>
      <c r="O113" s="186"/>
      <c r="P113" s="187">
        <v>1214</v>
      </c>
      <c r="R113" s="2"/>
      <c r="S113" s="2"/>
      <c r="T113" s="2"/>
      <c r="U113" s="2"/>
      <c r="V113" s="2"/>
      <c r="X113" s="38"/>
      <c r="Y113" s="38"/>
      <c r="Z113" s="38"/>
      <c r="AA113" s="38"/>
      <c r="AB113" s="38"/>
      <c r="AD113" s="2"/>
      <c r="AE113" s="2"/>
      <c r="AF113" s="2"/>
      <c r="AG113" s="2"/>
      <c r="AH113" s="2"/>
      <c r="AJ113" s="125">
        <v>2.0829999999999999E-4</v>
      </c>
      <c r="AK113" s="131">
        <v>1.724</v>
      </c>
      <c r="AL113" s="128">
        <v>2</v>
      </c>
      <c r="AM113" s="125">
        <v>4.6182900000000003E-4</v>
      </c>
      <c r="AO113" s="10"/>
      <c r="AP113" s="10"/>
      <c r="AQ113" s="10"/>
      <c r="AR113" s="10"/>
      <c r="AS113" s="10"/>
      <c r="AU113" s="2"/>
      <c r="AV113" s="2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</row>
    <row r="114" spans="1:73" customFormat="1" ht="12.75" customHeight="1" x14ac:dyDescent="0.25">
      <c r="A114" s="72" t="s">
        <v>20</v>
      </c>
      <c r="B114" s="184" t="s">
        <v>3089</v>
      </c>
      <c r="C114" s="44" t="s">
        <v>3079</v>
      </c>
      <c r="D114" s="45">
        <f>MROUND(MID($C114,6,3)/Basis!$E$3,0.5)</f>
        <v>25.5</v>
      </c>
      <c r="E114" s="45">
        <f>MROUND(MID($C114,9,3)/Basis!$E$3,0.5)</f>
        <v>27.5</v>
      </c>
      <c r="F114" s="237" t="str">
        <f t="shared" si="1"/>
        <v>20</v>
      </c>
      <c r="G114" s="45">
        <f>ROUND((ROUNDDOWN($F114/5,0)*5+2.2)/Basis!$E$3,1)</f>
        <v>8.6999999999999993</v>
      </c>
      <c r="H114" s="120">
        <f>ROUND($P114*Basis!$E$2*((TaH-TrH)/LN(1/µ)/Basis!$E$7)^$N114*$AA$4*Glycol,0)</f>
        <v>3683</v>
      </c>
      <c r="I114" s="83">
        <f>ROUND(H114/(MID($C114,9,3)/Basis!$E$3/Basis!$E$9)*Basis!$E$11,0)</f>
        <v>1604</v>
      </c>
      <c r="J114" s="123">
        <f>IF(Basis!$E$1=1,ROUND(H114/((TaH-TrH)*1.163)/3600,3),ROUND(H114/(500*(TaH-TrH)),2))</f>
        <v>0.37</v>
      </c>
      <c r="K114" s="84"/>
      <c r="L114" s="177">
        <f>CHOOSE(Basis!$E$1,((AJ114*(J114*3600/Basis!$E$5)^AK114*(((MID(C114,9,3)*10)-144)/1000)*AL114+AM114*(J114*3600/Basis!$E$5)^2)*0.0098)/Basis!$E$10,((AJ114*(J114/Basis!$E$5)^AK114*(((MID(C114,9,3)*10)-144)/1000)*AL114+AM114*(J114/Basis!$E$5)^2)*0.0098)/Basis!$E$10)</f>
        <v>9.6517445856657263E-3</v>
      </c>
      <c r="M114" s="85"/>
      <c r="N114" s="185">
        <v>1.373</v>
      </c>
      <c r="O114" s="186"/>
      <c r="P114" s="187">
        <v>1698</v>
      </c>
      <c r="R114" s="2"/>
      <c r="S114" s="2"/>
      <c r="T114" s="2"/>
      <c r="U114" s="2"/>
      <c r="V114" s="2"/>
      <c r="X114" s="38"/>
      <c r="Y114" s="38"/>
      <c r="Z114" s="38"/>
      <c r="AA114" s="38"/>
      <c r="AB114" s="38"/>
      <c r="AD114" s="2"/>
      <c r="AE114" s="2"/>
      <c r="AF114" s="2"/>
      <c r="AG114" s="2"/>
      <c r="AH114" s="2"/>
      <c r="AJ114" s="126">
        <v>1.2760000000000001E-4</v>
      </c>
      <c r="AK114" s="132">
        <v>1.7219</v>
      </c>
      <c r="AL114" s="129">
        <v>2</v>
      </c>
      <c r="AM114" s="126">
        <v>3.76611E-4</v>
      </c>
      <c r="AO114" s="10"/>
      <c r="AP114" s="10"/>
      <c r="AQ114" s="10"/>
      <c r="AR114" s="10"/>
      <c r="AS114" s="10"/>
      <c r="AU114" s="2"/>
      <c r="AV114" s="2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</row>
    <row r="115" spans="1:73" customFormat="1" ht="12.75" customHeight="1" x14ac:dyDescent="0.25">
      <c r="A115" s="72" t="s">
        <v>20</v>
      </c>
      <c r="B115" s="184" t="s">
        <v>3089</v>
      </c>
      <c r="C115" s="44" t="s">
        <v>3056</v>
      </c>
      <c r="D115" s="45">
        <f>MROUND(MID($C115,6,3)/Basis!$E$3,0.5)</f>
        <v>25.5</v>
      </c>
      <c r="E115" s="45">
        <f>MROUND(MID($C115,9,3)/Basis!$E$3,0.5)</f>
        <v>31.5</v>
      </c>
      <c r="F115" s="237" t="str">
        <f t="shared" si="1"/>
        <v>10</v>
      </c>
      <c r="G115" s="45">
        <f>ROUND((ROUNDDOWN($F115/5,0)*5+2.2)/Basis!$E$3,1)</f>
        <v>4.8</v>
      </c>
      <c r="H115" s="120">
        <f>ROUND($P115*Basis!$E$2*((TaH-TrH)/LN(1/µ)/Basis!$E$7)^$N115*$AA$4*Glycol,0)</f>
        <v>1860</v>
      </c>
      <c r="I115" s="83">
        <f>ROUND(H115/(MID($C115,9,3)/Basis!$E$3/Basis!$E$9)*Basis!$E$11,0)</f>
        <v>709</v>
      </c>
      <c r="J115" s="123">
        <f>IF(Basis!$E$1=1,ROUND(H115/((TaH-TrH)*1.163)/3600,3),ROUND(H115/(500*(TaH-TrH)),2))</f>
        <v>0.19</v>
      </c>
      <c r="K115" s="84"/>
      <c r="L115" s="177">
        <f>CHOOSE(Basis!$E$1,((AJ115*(J115*3600/Basis!$E$5)^AK115*(((MID(C115,9,3)*10)-144)/1000)*AL115+AM115*(J115*3600/Basis!$E$5)^2)*0.0098)/Basis!$E$10,((AJ115*(J115/Basis!$E$5)^AK115*(((MID(C115,9,3)*10)-144)/1000)*AL115+AM115*(J115/Basis!$E$5)^2)*0.0098)/Basis!$E$10)</f>
        <v>3.404198837016622E-3</v>
      </c>
      <c r="M115" s="85"/>
      <c r="N115" s="185">
        <v>1.385</v>
      </c>
      <c r="O115" s="186"/>
      <c r="P115" s="187">
        <v>861</v>
      </c>
      <c r="R115" s="2"/>
      <c r="S115" s="2"/>
      <c r="T115" s="2"/>
      <c r="U115" s="2"/>
      <c r="V115" s="2"/>
      <c r="X115" s="38"/>
      <c r="Y115" s="38"/>
      <c r="Z115" s="38"/>
      <c r="AA115" s="38"/>
      <c r="AB115" s="38"/>
      <c r="AD115" s="2"/>
      <c r="AE115" s="2"/>
      <c r="AF115" s="2"/>
      <c r="AG115" s="2"/>
      <c r="AH115" s="2"/>
      <c r="AJ115" s="126">
        <v>3.9689999999999994E-4</v>
      </c>
      <c r="AK115" s="132">
        <v>1.7345999999999999</v>
      </c>
      <c r="AL115" s="129">
        <v>2</v>
      </c>
      <c r="AM115" s="126">
        <v>3.6734700000000002E-4</v>
      </c>
      <c r="AO115" s="10"/>
      <c r="AP115" s="10"/>
      <c r="AQ115" s="10"/>
      <c r="AR115" s="10"/>
      <c r="AS115" s="10"/>
      <c r="AU115" s="2"/>
      <c r="AV115" s="2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</row>
    <row r="116" spans="1:73" customFormat="1" ht="12.75" customHeight="1" x14ac:dyDescent="0.25">
      <c r="A116" s="72" t="s">
        <v>20</v>
      </c>
      <c r="B116" s="184" t="s">
        <v>3089</v>
      </c>
      <c r="C116" s="44" t="s">
        <v>3068</v>
      </c>
      <c r="D116" s="45">
        <f>MROUND(MID($C116,6,3)/Basis!$E$3,0.5)</f>
        <v>25.5</v>
      </c>
      <c r="E116" s="45">
        <f>MROUND(MID($C116,9,3)/Basis!$E$3,0.5)</f>
        <v>31.5</v>
      </c>
      <c r="F116" s="237" t="str">
        <f t="shared" si="1"/>
        <v>15</v>
      </c>
      <c r="G116" s="45">
        <f>ROUND((ROUNDDOWN($F116/5,0)*5+2.2)/Basis!$E$3,1)</f>
        <v>6.8</v>
      </c>
      <c r="H116" s="120">
        <f>ROUND($P116*Basis!$E$2*((TaH-TrH)/LN(1/µ)/Basis!$E$7)^$N116*$AA$4*Glycol,0)</f>
        <v>3008</v>
      </c>
      <c r="I116" s="83">
        <f>ROUND(H116/(MID($C116,9,3)/Basis!$E$3/Basis!$E$9)*Basis!$E$11,0)</f>
        <v>1146</v>
      </c>
      <c r="J116" s="123">
        <f>IF(Basis!$E$1=1,ROUND(H116/((TaH-TrH)*1.163)/3600,3),ROUND(H116/(500*(TaH-TrH)),2))</f>
        <v>0.3</v>
      </c>
      <c r="K116" s="84"/>
      <c r="L116" s="177">
        <f>CHOOSE(Basis!$E$1,((AJ116*(J116*3600/Basis!$E$5)^AK116*(((MID(C116,9,3)*10)-144)/1000)*AL116+AM116*(J116*3600/Basis!$E$5)^2)*0.0098)/Basis!$E$10,((AJ116*(J116/Basis!$E$5)^AK116*(((MID(C116,9,3)*10)-144)/1000)*AL116+AM116*(J116/Basis!$E$5)^2)*0.0098)/Basis!$E$10)</f>
        <v>8.304580842692727E-3</v>
      </c>
      <c r="M116" s="85"/>
      <c r="N116" s="185">
        <v>1.373</v>
      </c>
      <c r="O116" s="186"/>
      <c r="P116" s="187">
        <v>1387</v>
      </c>
      <c r="R116" s="2"/>
      <c r="S116" s="2"/>
      <c r="T116" s="2"/>
      <c r="U116" s="2"/>
      <c r="V116" s="2"/>
      <c r="X116" s="38"/>
      <c r="Y116" s="38"/>
      <c r="Z116" s="38"/>
      <c r="AA116" s="38"/>
      <c r="AB116" s="38"/>
      <c r="AD116" s="2"/>
      <c r="AE116" s="2"/>
      <c r="AF116" s="2"/>
      <c r="AG116" s="2"/>
      <c r="AH116" s="2"/>
      <c r="AJ116" s="125">
        <v>2.0829999999999999E-4</v>
      </c>
      <c r="AK116" s="131">
        <v>1.724</v>
      </c>
      <c r="AL116" s="128">
        <v>2</v>
      </c>
      <c r="AM116" s="125">
        <v>4.6182900000000003E-4</v>
      </c>
      <c r="AO116" s="10"/>
      <c r="AP116" s="10"/>
      <c r="AQ116" s="10"/>
      <c r="AR116" s="10"/>
      <c r="AS116" s="10"/>
      <c r="AU116" s="2"/>
      <c r="AV116" s="2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</row>
    <row r="117" spans="1:73" customFormat="1" ht="12.75" customHeight="1" x14ac:dyDescent="0.25">
      <c r="A117" s="72" t="s">
        <v>20</v>
      </c>
      <c r="B117" s="184" t="s">
        <v>3089</v>
      </c>
      <c r="C117" s="44" t="s">
        <v>3080</v>
      </c>
      <c r="D117" s="45">
        <f>MROUND(MID($C117,6,3)/Basis!$E$3,0.5)</f>
        <v>25.5</v>
      </c>
      <c r="E117" s="45">
        <f>MROUND(MID($C117,9,3)/Basis!$E$3,0.5)</f>
        <v>31.5</v>
      </c>
      <c r="F117" s="237" t="str">
        <f t="shared" si="1"/>
        <v>20</v>
      </c>
      <c r="G117" s="45">
        <f>ROUND((ROUNDDOWN($F117/5,0)*5+2.2)/Basis!$E$3,1)</f>
        <v>8.6999999999999993</v>
      </c>
      <c r="H117" s="120">
        <f>ROUND($P117*Basis!$E$2*((TaH-TrH)/LN(1/µ)/Basis!$E$7)^$N117*$AA$4*Glycol,0)</f>
        <v>4208</v>
      </c>
      <c r="I117" s="83">
        <f>ROUND(H117/(MID($C117,9,3)/Basis!$E$3/Basis!$E$9)*Basis!$E$11,0)</f>
        <v>1603</v>
      </c>
      <c r="J117" s="123">
        <f>IF(Basis!$E$1=1,ROUND(H117/((TaH-TrH)*1.163)/3600,3),ROUND(H117/(500*(TaH-TrH)),2))</f>
        <v>0.42</v>
      </c>
      <c r="K117" s="84"/>
      <c r="L117" s="177">
        <f>CHOOSE(Basis!$E$1,((AJ117*(J117*3600/Basis!$E$5)^AK117*(((MID(C117,9,3)*10)-144)/1000)*AL117+AM117*(J117*3600/Basis!$E$5)^2)*0.0098)/Basis!$E$10,((AJ117*(J117/Basis!$E$5)^AK117*(((MID(C117,9,3)*10)-144)/1000)*AL117+AM117*(J117/Basis!$E$5)^2)*0.0098)/Basis!$E$10)</f>
        <v>1.2607694752682985E-2</v>
      </c>
      <c r="M117" s="85"/>
      <c r="N117" s="185">
        <v>1.373</v>
      </c>
      <c r="O117" s="186"/>
      <c r="P117" s="187">
        <v>1940</v>
      </c>
      <c r="R117" s="2"/>
      <c r="S117" s="2"/>
      <c r="T117" s="2"/>
      <c r="U117" s="2"/>
      <c r="V117" s="2"/>
      <c r="X117" s="38"/>
      <c r="Y117" s="38"/>
      <c r="Z117" s="38"/>
      <c r="AA117" s="38"/>
      <c r="AB117" s="38"/>
      <c r="AD117" s="2"/>
      <c r="AE117" s="2"/>
      <c r="AF117" s="2"/>
      <c r="AG117" s="2"/>
      <c r="AH117" s="2"/>
      <c r="AJ117" s="126">
        <v>1.2760000000000001E-4</v>
      </c>
      <c r="AK117" s="132">
        <v>1.7219</v>
      </c>
      <c r="AL117" s="129">
        <v>2</v>
      </c>
      <c r="AM117" s="126">
        <v>3.76611E-4</v>
      </c>
      <c r="AO117" s="10"/>
      <c r="AP117" s="10"/>
      <c r="AQ117" s="10"/>
      <c r="AR117" s="10"/>
      <c r="AS117" s="10"/>
      <c r="AU117" s="2"/>
      <c r="AV117" s="2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</row>
    <row r="118" spans="1:73" customFormat="1" ht="12.75" customHeight="1" x14ac:dyDescent="0.25">
      <c r="A118" s="72" t="s">
        <v>20</v>
      </c>
      <c r="B118" s="184" t="s">
        <v>3089</v>
      </c>
      <c r="C118" s="44" t="s">
        <v>3057</v>
      </c>
      <c r="D118" s="45">
        <f>MROUND(MID($C118,6,3)/Basis!$E$3,0.5)</f>
        <v>25.5</v>
      </c>
      <c r="E118" s="45">
        <f>MROUND(MID($C118,9,3)/Basis!$E$3,0.5)</f>
        <v>35.5</v>
      </c>
      <c r="F118" s="237" t="str">
        <f t="shared" si="1"/>
        <v>10</v>
      </c>
      <c r="G118" s="45">
        <f>ROUND((ROUNDDOWN($F118/5,0)*5+2.2)/Basis!$E$3,1)</f>
        <v>4.8</v>
      </c>
      <c r="H118" s="120">
        <f>ROUND($P118*Basis!$E$2*((TaH-TrH)/LN(1/µ)/Basis!$E$7)^$N118*$AA$4*Glycol,0)</f>
        <v>2091</v>
      </c>
      <c r="I118" s="83">
        <f>ROUND(H118/(MID($C118,9,3)/Basis!$E$3/Basis!$E$9)*Basis!$E$11,0)</f>
        <v>708</v>
      </c>
      <c r="J118" s="123">
        <f>IF(Basis!$E$1=1,ROUND(H118/((TaH-TrH)*1.163)/3600,3),ROUND(H118/(500*(TaH-TrH)),2))</f>
        <v>0.21</v>
      </c>
      <c r="K118" s="84"/>
      <c r="L118" s="177">
        <f>CHOOSE(Basis!$E$1,((AJ118*(J118*3600/Basis!$E$5)^AK118*(((MID(C118,9,3)*10)-144)/1000)*AL118+AM118*(J118*3600/Basis!$E$5)^2)*0.0098)/Basis!$E$10,((AJ118*(J118/Basis!$E$5)^AK118*(((MID(C118,9,3)*10)-144)/1000)*AL118+AM118*(J118/Basis!$E$5)^2)*0.0098)/Basis!$E$10)</f>
        <v>4.3329096846455228E-3</v>
      </c>
      <c r="M118" s="85"/>
      <c r="N118" s="185">
        <v>1.385</v>
      </c>
      <c r="O118" s="186"/>
      <c r="P118" s="187">
        <v>968</v>
      </c>
      <c r="R118" s="2"/>
      <c r="S118" s="2"/>
      <c r="T118" s="2"/>
      <c r="U118" s="2"/>
      <c r="V118" s="2"/>
      <c r="X118" s="38"/>
      <c r="Y118" s="38"/>
      <c r="Z118" s="38"/>
      <c r="AA118" s="38"/>
      <c r="AB118" s="38"/>
      <c r="AD118" s="2"/>
      <c r="AE118" s="2"/>
      <c r="AF118" s="2"/>
      <c r="AG118" s="2"/>
      <c r="AH118" s="2"/>
      <c r="AJ118" s="126">
        <v>3.9689999999999994E-4</v>
      </c>
      <c r="AK118" s="132">
        <v>1.7345999999999999</v>
      </c>
      <c r="AL118" s="129">
        <v>2</v>
      </c>
      <c r="AM118" s="126">
        <v>3.6734700000000002E-4</v>
      </c>
      <c r="AO118" s="10"/>
      <c r="AP118" s="10"/>
      <c r="AQ118" s="10"/>
      <c r="AR118" s="10"/>
      <c r="AS118" s="10"/>
      <c r="AU118" s="2"/>
      <c r="AV118" s="2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</row>
    <row r="119" spans="1:73" customFormat="1" ht="12.75" customHeight="1" x14ac:dyDescent="0.25">
      <c r="A119" s="72" t="s">
        <v>20</v>
      </c>
      <c r="B119" s="184" t="s">
        <v>3089</v>
      </c>
      <c r="C119" s="44" t="s">
        <v>3069</v>
      </c>
      <c r="D119" s="45">
        <f>MROUND(MID($C119,6,3)/Basis!$E$3,0.5)</f>
        <v>25.5</v>
      </c>
      <c r="E119" s="45">
        <f>MROUND(MID($C119,9,3)/Basis!$E$3,0.5)</f>
        <v>35.5</v>
      </c>
      <c r="F119" s="237" t="str">
        <f t="shared" si="1"/>
        <v>15</v>
      </c>
      <c r="G119" s="45">
        <f>ROUND((ROUNDDOWN($F119/5,0)*5+2.2)/Basis!$E$3,1)</f>
        <v>6.8</v>
      </c>
      <c r="H119" s="120">
        <f>ROUND($P119*Basis!$E$2*((TaH-TrH)/LN(1/µ)/Basis!$E$7)^$N119*$AA$4*Glycol,0)</f>
        <v>3386</v>
      </c>
      <c r="I119" s="83">
        <f>ROUND(H119/(MID($C119,9,3)/Basis!$E$3/Basis!$E$9)*Basis!$E$11,0)</f>
        <v>1147</v>
      </c>
      <c r="J119" s="123">
        <f>IF(Basis!$E$1=1,ROUND(H119/((TaH-TrH)*1.163)/3600,3),ROUND(H119/(500*(TaH-TrH)),2))</f>
        <v>0.34</v>
      </c>
      <c r="K119" s="84"/>
      <c r="L119" s="177">
        <f>CHOOSE(Basis!$E$1,((AJ119*(J119*3600/Basis!$E$5)^AK119*(((MID(C119,9,3)*10)-144)/1000)*AL119+AM119*(J119*3600/Basis!$E$5)^2)*0.0098)/Basis!$E$10,((AJ119*(J119/Basis!$E$5)^AK119*(((MID(C119,9,3)*10)-144)/1000)*AL119+AM119*(J119/Basis!$E$5)^2)*0.0098)/Basis!$E$10)</f>
        <v>1.085508029368876E-2</v>
      </c>
      <c r="M119" s="85"/>
      <c r="N119" s="185">
        <v>1.373</v>
      </c>
      <c r="O119" s="186"/>
      <c r="P119" s="187">
        <v>1561</v>
      </c>
      <c r="R119" s="2"/>
      <c r="S119" s="2"/>
      <c r="T119" s="2"/>
      <c r="U119" s="2"/>
      <c r="V119" s="2"/>
      <c r="X119" s="38"/>
      <c r="Y119" s="38"/>
      <c r="Z119" s="38"/>
      <c r="AA119" s="38"/>
      <c r="AB119" s="38"/>
      <c r="AD119" s="2"/>
      <c r="AE119" s="2"/>
      <c r="AF119" s="2"/>
      <c r="AG119" s="2"/>
      <c r="AH119" s="2"/>
      <c r="AJ119" s="125">
        <v>2.0829999999999999E-4</v>
      </c>
      <c r="AK119" s="131">
        <v>1.724</v>
      </c>
      <c r="AL119" s="128">
        <v>2</v>
      </c>
      <c r="AM119" s="125">
        <v>4.6182900000000003E-4</v>
      </c>
      <c r="AO119" s="10"/>
      <c r="AP119" s="10"/>
      <c r="AQ119" s="10"/>
      <c r="AR119" s="10"/>
      <c r="AS119" s="10"/>
      <c r="AU119" s="2"/>
      <c r="AV119" s="2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</row>
    <row r="120" spans="1:73" customFormat="1" ht="12.75" customHeight="1" x14ac:dyDescent="0.25">
      <c r="A120" s="72" t="s">
        <v>20</v>
      </c>
      <c r="B120" s="184" t="s">
        <v>3089</v>
      </c>
      <c r="C120" s="44" t="s">
        <v>3081</v>
      </c>
      <c r="D120" s="45">
        <f>MROUND(MID($C120,6,3)/Basis!$E$3,0.5)</f>
        <v>25.5</v>
      </c>
      <c r="E120" s="45">
        <f>MROUND(MID($C120,9,3)/Basis!$E$3,0.5)</f>
        <v>35.5</v>
      </c>
      <c r="F120" s="237" t="str">
        <f t="shared" si="1"/>
        <v>20</v>
      </c>
      <c r="G120" s="45">
        <f>ROUND((ROUNDDOWN($F120/5,0)*5+2.2)/Basis!$E$3,1)</f>
        <v>8.6999999999999993</v>
      </c>
      <c r="H120" s="120">
        <f>ROUND($P120*Basis!$E$2*((TaH-TrH)/LN(1/µ)/Basis!$E$7)^$N120*$AA$4*Glycol,0)</f>
        <v>4735</v>
      </c>
      <c r="I120" s="83">
        <f>ROUND(H120/(MID($C120,9,3)/Basis!$E$3/Basis!$E$9)*Basis!$E$11,0)</f>
        <v>1604</v>
      </c>
      <c r="J120" s="123">
        <f>IF(Basis!$E$1=1,ROUND(H120/((TaH-TrH)*1.163)/3600,3),ROUND(H120/(500*(TaH-TrH)),2))</f>
        <v>0.47</v>
      </c>
      <c r="K120" s="84"/>
      <c r="L120" s="177">
        <f>CHOOSE(Basis!$E$1,((AJ120*(J120*3600/Basis!$E$5)^AK120*(((MID(C120,9,3)*10)-144)/1000)*AL120+AM120*(J120*3600/Basis!$E$5)^2)*0.0098)/Basis!$E$10,((AJ120*(J120/Basis!$E$5)^AK120*(((MID(C120,9,3)*10)-144)/1000)*AL120+AM120*(J120/Basis!$E$5)^2)*0.0098)/Basis!$E$10)</f>
        <v>1.5993566399738358E-2</v>
      </c>
      <c r="M120" s="85"/>
      <c r="N120" s="185">
        <v>1.373</v>
      </c>
      <c r="O120" s="186"/>
      <c r="P120" s="187">
        <v>2183</v>
      </c>
      <c r="R120" s="2"/>
      <c r="S120" s="2"/>
      <c r="T120" s="2"/>
      <c r="U120" s="2"/>
      <c r="V120" s="2"/>
      <c r="X120" s="38"/>
      <c r="Y120" s="38"/>
      <c r="Z120" s="38"/>
      <c r="AA120" s="38"/>
      <c r="AB120" s="38"/>
      <c r="AD120" s="2"/>
      <c r="AE120" s="2"/>
      <c r="AF120" s="2"/>
      <c r="AG120" s="2"/>
      <c r="AH120" s="2"/>
      <c r="AJ120" s="126">
        <v>1.2760000000000001E-4</v>
      </c>
      <c r="AK120" s="132">
        <v>1.7219</v>
      </c>
      <c r="AL120" s="129">
        <v>2</v>
      </c>
      <c r="AM120" s="126">
        <v>3.76611E-4</v>
      </c>
      <c r="AO120" s="10"/>
      <c r="AP120" s="10"/>
      <c r="AQ120" s="10"/>
      <c r="AR120" s="10"/>
      <c r="AS120" s="10"/>
      <c r="AU120" s="2"/>
      <c r="AV120" s="2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</row>
    <row r="121" spans="1:73" customFormat="1" ht="12.75" customHeight="1" x14ac:dyDescent="0.25">
      <c r="A121" s="72" t="s">
        <v>20</v>
      </c>
      <c r="B121" s="184" t="s">
        <v>3089</v>
      </c>
      <c r="C121" s="44" t="s">
        <v>3058</v>
      </c>
      <c r="D121" s="45">
        <f>MROUND(MID($C121,6,3)/Basis!$E$3,0.5)</f>
        <v>25.5</v>
      </c>
      <c r="E121" s="45">
        <f>MROUND(MID($C121,9,3)/Basis!$E$3,0.5)</f>
        <v>39.5</v>
      </c>
      <c r="F121" s="237" t="str">
        <f t="shared" si="1"/>
        <v>10</v>
      </c>
      <c r="G121" s="45">
        <f>ROUND((ROUNDDOWN($F121/5,0)*5+2.2)/Basis!$E$3,1)</f>
        <v>4.8</v>
      </c>
      <c r="H121" s="120">
        <f>ROUND($P121*Basis!$E$2*((TaH-TrH)/LN(1/µ)/Basis!$E$7)^$N121*$AA$4*Glycol,0)</f>
        <v>2324</v>
      </c>
      <c r="I121" s="83">
        <f>ROUND(H121/(MID($C121,9,3)/Basis!$E$3/Basis!$E$9)*Basis!$E$11,0)</f>
        <v>708</v>
      </c>
      <c r="J121" s="123">
        <f>IF(Basis!$E$1=1,ROUND(H121/((TaH-TrH)*1.163)/3600,3),ROUND(H121/(500*(TaH-TrH)),2))</f>
        <v>0.23</v>
      </c>
      <c r="K121" s="84"/>
      <c r="L121" s="177">
        <f>CHOOSE(Basis!$E$1,((AJ121*(J121*3600/Basis!$E$5)^AK121*(((MID(C121,9,3)*10)-144)/1000)*AL121+AM121*(J121*3600/Basis!$E$5)^2)*0.0098)/Basis!$E$10,((AJ121*(J121/Basis!$E$5)^AK121*(((MID(C121,9,3)*10)-144)/1000)*AL121+AM121*(J121/Basis!$E$5)^2)*0.0098)/Basis!$E$10)</f>
        <v>5.3996163181241211E-3</v>
      </c>
      <c r="M121" s="85"/>
      <c r="N121" s="185">
        <v>1.385</v>
      </c>
      <c r="O121" s="186"/>
      <c r="P121" s="187">
        <v>1076</v>
      </c>
      <c r="R121" s="2"/>
      <c r="S121" s="2"/>
      <c r="T121" s="2"/>
      <c r="U121" s="2"/>
      <c r="V121" s="2"/>
      <c r="X121" s="38"/>
      <c r="Y121" s="38"/>
      <c r="Z121" s="38"/>
      <c r="AA121" s="38"/>
      <c r="AB121" s="38"/>
      <c r="AD121" s="2"/>
      <c r="AE121" s="2"/>
      <c r="AF121" s="2"/>
      <c r="AG121" s="2"/>
      <c r="AH121" s="2"/>
      <c r="AJ121" s="126">
        <v>3.9689999999999994E-4</v>
      </c>
      <c r="AK121" s="132">
        <v>1.7345999999999999</v>
      </c>
      <c r="AL121" s="129">
        <v>2</v>
      </c>
      <c r="AM121" s="126">
        <v>3.6734700000000002E-4</v>
      </c>
      <c r="AO121" s="10"/>
      <c r="AP121" s="10"/>
      <c r="AQ121" s="10"/>
      <c r="AR121" s="10"/>
      <c r="AS121" s="10"/>
      <c r="AU121" s="2"/>
      <c r="AV121" s="2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</row>
    <row r="122" spans="1:73" customFormat="1" ht="12.75" customHeight="1" x14ac:dyDescent="0.25">
      <c r="A122" s="72" t="s">
        <v>20</v>
      </c>
      <c r="B122" s="184" t="s">
        <v>3089</v>
      </c>
      <c r="C122" s="44" t="s">
        <v>3070</v>
      </c>
      <c r="D122" s="45">
        <f>MROUND(MID($C122,6,3)/Basis!$E$3,0.5)</f>
        <v>25.5</v>
      </c>
      <c r="E122" s="45">
        <f>MROUND(MID($C122,9,3)/Basis!$E$3,0.5)</f>
        <v>39.5</v>
      </c>
      <c r="F122" s="237" t="str">
        <f t="shared" si="1"/>
        <v>15</v>
      </c>
      <c r="G122" s="45">
        <f>ROUND((ROUNDDOWN($F122/5,0)*5+2.2)/Basis!$E$3,1)</f>
        <v>6.8</v>
      </c>
      <c r="H122" s="120">
        <f>ROUND($P122*Basis!$E$2*((TaH-TrH)/LN(1/µ)/Basis!$E$7)^$N122*$AA$4*Glycol,0)</f>
        <v>3761</v>
      </c>
      <c r="I122" s="83">
        <f>ROUND(H122/(MID($C122,9,3)/Basis!$E$3/Basis!$E$9)*Basis!$E$11,0)</f>
        <v>1146</v>
      </c>
      <c r="J122" s="123">
        <f>IF(Basis!$E$1=1,ROUND(H122/((TaH-TrH)*1.163)/3600,3),ROUND(H122/(500*(TaH-TrH)),2))</f>
        <v>0.38</v>
      </c>
      <c r="K122" s="84"/>
      <c r="L122" s="177">
        <f>CHOOSE(Basis!$E$1,((AJ122*(J122*3600/Basis!$E$5)^AK122*(((MID(C122,9,3)*10)-144)/1000)*AL122+AM122*(J122*3600/Basis!$E$5)^2)*0.0098)/Basis!$E$10,((AJ122*(J122/Basis!$E$5)^AK122*(((MID(C122,9,3)*10)-144)/1000)*AL122+AM122*(J122/Basis!$E$5)^2)*0.0098)/Basis!$E$10)</f>
        <v>1.3786057701373792E-2</v>
      </c>
      <c r="M122" s="85"/>
      <c r="N122" s="185">
        <v>1.373</v>
      </c>
      <c r="O122" s="186"/>
      <c r="P122" s="187">
        <v>1734</v>
      </c>
      <c r="R122" s="2"/>
      <c r="S122" s="2"/>
      <c r="T122" s="2"/>
      <c r="U122" s="2"/>
      <c r="V122" s="2"/>
      <c r="X122" s="38"/>
      <c r="Y122" s="38"/>
      <c r="Z122" s="38"/>
      <c r="AA122" s="38"/>
      <c r="AB122" s="38"/>
      <c r="AD122" s="2"/>
      <c r="AE122" s="2"/>
      <c r="AF122" s="2"/>
      <c r="AG122" s="2"/>
      <c r="AH122" s="2"/>
      <c r="AJ122" s="125">
        <v>2.0829999999999999E-4</v>
      </c>
      <c r="AK122" s="131">
        <v>1.724</v>
      </c>
      <c r="AL122" s="128">
        <v>2</v>
      </c>
      <c r="AM122" s="125">
        <v>4.6182900000000003E-4</v>
      </c>
      <c r="AO122" s="10"/>
      <c r="AP122" s="10"/>
      <c r="AQ122" s="10"/>
      <c r="AR122" s="10"/>
      <c r="AS122" s="10"/>
      <c r="AU122" s="2"/>
      <c r="AV122" s="2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</row>
    <row r="123" spans="1:73" customFormat="1" ht="12.75" customHeight="1" x14ac:dyDescent="0.25">
      <c r="A123" s="72" t="s">
        <v>20</v>
      </c>
      <c r="B123" s="184" t="s">
        <v>3089</v>
      </c>
      <c r="C123" s="44" t="s">
        <v>3082</v>
      </c>
      <c r="D123" s="45">
        <f>MROUND(MID($C123,6,3)/Basis!$E$3,0.5)</f>
        <v>25.5</v>
      </c>
      <c r="E123" s="45">
        <f>MROUND(MID($C123,9,3)/Basis!$E$3,0.5)</f>
        <v>39.5</v>
      </c>
      <c r="F123" s="237" t="str">
        <f t="shared" si="1"/>
        <v>20</v>
      </c>
      <c r="G123" s="45">
        <f>ROUND((ROUNDDOWN($F123/5,0)*5+2.2)/Basis!$E$3,1)</f>
        <v>8.6999999999999993</v>
      </c>
      <c r="H123" s="120">
        <f>ROUND($P123*Basis!$E$2*((TaH-TrH)/LN(1/µ)/Basis!$E$7)^$N123*$AA$4*Glycol,0)</f>
        <v>5259</v>
      </c>
      <c r="I123" s="83">
        <f>ROUND(H123/(MID($C123,9,3)/Basis!$E$3/Basis!$E$9)*Basis!$E$11,0)</f>
        <v>1603</v>
      </c>
      <c r="J123" s="123">
        <f>IF(Basis!$E$1=1,ROUND(H123/((TaH-TrH)*1.163)/3600,3),ROUND(H123/(500*(TaH-TrH)),2))</f>
        <v>0.53</v>
      </c>
      <c r="K123" s="84"/>
      <c r="L123" s="177">
        <f>CHOOSE(Basis!$E$1,((AJ123*(J123*3600/Basis!$E$5)^AK123*(((MID(C123,9,3)*10)-144)/1000)*AL123+AM123*(J123*3600/Basis!$E$5)^2)*0.0098)/Basis!$E$10,((AJ123*(J123/Basis!$E$5)^AK123*(((MID(C123,9,3)*10)-144)/1000)*AL123+AM123*(J123/Basis!$E$5)^2)*0.0098)/Basis!$E$10)</f>
        <v>2.0574783929454853E-2</v>
      </c>
      <c r="M123" s="85"/>
      <c r="N123" s="185">
        <v>1.373</v>
      </c>
      <c r="O123" s="186"/>
      <c r="P123" s="187">
        <v>2425</v>
      </c>
      <c r="R123" s="2"/>
      <c r="S123" s="2"/>
      <c r="T123" s="2"/>
      <c r="U123" s="2"/>
      <c r="V123" s="2"/>
      <c r="X123" s="38"/>
      <c r="Y123" s="38"/>
      <c r="Z123" s="38"/>
      <c r="AA123" s="38"/>
      <c r="AB123" s="38"/>
      <c r="AD123" s="2"/>
      <c r="AE123" s="2"/>
      <c r="AF123" s="2"/>
      <c r="AG123" s="2"/>
      <c r="AH123" s="2"/>
      <c r="AJ123" s="126">
        <v>1.2760000000000001E-4</v>
      </c>
      <c r="AK123" s="132">
        <v>1.7219</v>
      </c>
      <c r="AL123" s="129">
        <v>2</v>
      </c>
      <c r="AM123" s="126">
        <v>3.76611E-4</v>
      </c>
      <c r="AO123" s="10"/>
      <c r="AP123" s="10"/>
      <c r="AQ123" s="10"/>
      <c r="AR123" s="10"/>
      <c r="AS123" s="10"/>
      <c r="AU123" s="2"/>
      <c r="AV123" s="2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</row>
    <row r="124" spans="1:73" customFormat="1" ht="12.75" customHeight="1" x14ac:dyDescent="0.25">
      <c r="A124" s="72" t="s">
        <v>20</v>
      </c>
      <c r="B124" s="184" t="s">
        <v>3089</v>
      </c>
      <c r="C124" s="44" t="s">
        <v>3059</v>
      </c>
      <c r="D124" s="45">
        <f>MROUND(MID($C124,6,3)/Basis!$E$3,0.5)</f>
        <v>25.5</v>
      </c>
      <c r="E124" s="45">
        <f>MROUND(MID($C124,9,3)/Basis!$E$3,0.5)</f>
        <v>43.5</v>
      </c>
      <c r="F124" s="237" t="str">
        <f t="shared" si="1"/>
        <v>10</v>
      </c>
      <c r="G124" s="45">
        <f>ROUND((ROUNDDOWN($F124/5,0)*5+2.2)/Basis!$E$3,1)</f>
        <v>4.8</v>
      </c>
      <c r="H124" s="120">
        <f>ROUND($P124*Basis!$E$2*((TaH-TrH)/LN(1/µ)/Basis!$E$7)^$N124*$AA$4*Glycol,0)</f>
        <v>2558</v>
      </c>
      <c r="I124" s="83">
        <f>ROUND(H124/(MID($C124,9,3)/Basis!$E$3/Basis!$E$9)*Basis!$E$11,0)</f>
        <v>709</v>
      </c>
      <c r="J124" s="123">
        <f>IF(Basis!$E$1=1,ROUND(H124/((TaH-TrH)*1.163)/3600,3),ROUND(H124/(500*(TaH-TrH)),2))</f>
        <v>0.26</v>
      </c>
      <c r="K124" s="84"/>
      <c r="L124" s="177">
        <f>CHOOSE(Basis!$E$1,((AJ124*(J124*3600/Basis!$E$5)^AK124*(((MID(C124,9,3)*10)-144)/1000)*AL124+AM124*(J124*3600/Basis!$E$5)^2)*0.0098)/Basis!$E$10,((AJ124*(J124/Basis!$E$5)^AK124*(((MID(C124,9,3)*10)-144)/1000)*AL124+AM124*(J124/Basis!$E$5)^2)*0.0098)/Basis!$E$10)</f>
        <v>7.1198952148428278E-3</v>
      </c>
      <c r="M124" s="85"/>
      <c r="N124" s="185">
        <v>1.385</v>
      </c>
      <c r="O124" s="186"/>
      <c r="P124" s="187">
        <v>1184</v>
      </c>
      <c r="R124" s="2"/>
      <c r="S124" s="2"/>
      <c r="T124" s="2"/>
      <c r="U124" s="2"/>
      <c r="V124" s="2"/>
      <c r="X124" s="38"/>
      <c r="Y124" s="38"/>
      <c r="Z124" s="38"/>
      <c r="AA124" s="38"/>
      <c r="AB124" s="38"/>
      <c r="AD124" s="2"/>
      <c r="AE124" s="2"/>
      <c r="AF124" s="2"/>
      <c r="AG124" s="2"/>
      <c r="AH124" s="2"/>
      <c r="AJ124" s="126">
        <v>3.9689999999999994E-4</v>
      </c>
      <c r="AK124" s="132">
        <v>1.7345999999999999</v>
      </c>
      <c r="AL124" s="129">
        <v>2</v>
      </c>
      <c r="AM124" s="126">
        <v>3.6734700000000002E-4</v>
      </c>
      <c r="AO124" s="10"/>
      <c r="AP124" s="10"/>
      <c r="AQ124" s="10"/>
      <c r="AR124" s="10"/>
      <c r="AS124" s="10"/>
      <c r="AU124" s="2"/>
      <c r="AV124" s="2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</row>
    <row r="125" spans="1:73" customFormat="1" ht="12.75" customHeight="1" x14ac:dyDescent="0.25">
      <c r="A125" s="72" t="s">
        <v>20</v>
      </c>
      <c r="B125" s="184" t="s">
        <v>3089</v>
      </c>
      <c r="C125" s="44" t="s">
        <v>3071</v>
      </c>
      <c r="D125" s="45">
        <f>MROUND(MID($C125,6,3)/Basis!$E$3,0.5)</f>
        <v>25.5</v>
      </c>
      <c r="E125" s="45">
        <f>MROUND(MID($C125,9,3)/Basis!$E$3,0.5)</f>
        <v>43.5</v>
      </c>
      <c r="F125" s="237" t="str">
        <f t="shared" si="1"/>
        <v>15</v>
      </c>
      <c r="G125" s="45">
        <f>ROUND((ROUNDDOWN($F125/5,0)*5+2.2)/Basis!$E$3,1)</f>
        <v>6.8</v>
      </c>
      <c r="H125" s="120">
        <f>ROUND($P125*Basis!$E$2*((TaH-TrH)/LN(1/µ)/Basis!$E$7)^$N125*$AA$4*Glycol,0)</f>
        <v>4136</v>
      </c>
      <c r="I125" s="83">
        <f>ROUND(H125/(MID($C125,9,3)/Basis!$E$3/Basis!$E$9)*Basis!$E$11,0)</f>
        <v>1146</v>
      </c>
      <c r="J125" s="123">
        <f>IF(Basis!$E$1=1,ROUND(H125/((TaH-TrH)*1.163)/3600,3),ROUND(H125/(500*(TaH-TrH)),2))</f>
        <v>0.41</v>
      </c>
      <c r="K125" s="84"/>
      <c r="L125" s="177">
        <f>CHOOSE(Basis!$E$1,((AJ125*(J125*3600/Basis!$E$5)^AK125*(((MID(C125,9,3)*10)-144)/1000)*AL125+AM125*(J125*3600/Basis!$E$5)^2)*0.0098)/Basis!$E$10,((AJ125*(J125/Basis!$E$5)^AK125*(((MID(C125,9,3)*10)-144)/1000)*AL125+AM125*(J125/Basis!$E$5)^2)*0.0098)/Basis!$E$10)</f>
        <v>1.6325379935801403E-2</v>
      </c>
      <c r="M125" s="85"/>
      <c r="N125" s="185">
        <v>1.373</v>
      </c>
      <c r="O125" s="186"/>
      <c r="P125" s="187">
        <v>1907</v>
      </c>
      <c r="R125" s="2"/>
      <c r="S125" s="2"/>
      <c r="T125" s="2"/>
      <c r="U125" s="2"/>
      <c r="V125" s="2"/>
      <c r="X125" s="38"/>
      <c r="Y125" s="38"/>
      <c r="Z125" s="38"/>
      <c r="AA125" s="38"/>
      <c r="AB125" s="38"/>
      <c r="AD125" s="2"/>
      <c r="AE125" s="2"/>
      <c r="AF125" s="2"/>
      <c r="AG125" s="2"/>
      <c r="AH125" s="2"/>
      <c r="AJ125" s="125">
        <v>2.0829999999999999E-4</v>
      </c>
      <c r="AK125" s="131">
        <v>1.724</v>
      </c>
      <c r="AL125" s="128">
        <v>2</v>
      </c>
      <c r="AM125" s="125">
        <v>4.6182900000000003E-4</v>
      </c>
      <c r="AO125" s="10"/>
      <c r="AP125" s="10"/>
      <c r="AQ125" s="10"/>
      <c r="AR125" s="10"/>
      <c r="AS125" s="10"/>
      <c r="AU125" s="2"/>
      <c r="AV125" s="2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</row>
    <row r="126" spans="1:73" customFormat="1" ht="12.75" customHeight="1" x14ac:dyDescent="0.25">
      <c r="A126" s="72" t="s">
        <v>20</v>
      </c>
      <c r="B126" s="184" t="s">
        <v>3089</v>
      </c>
      <c r="C126" s="44" t="s">
        <v>3083</v>
      </c>
      <c r="D126" s="45">
        <f>MROUND(MID($C126,6,3)/Basis!$E$3,0.5)</f>
        <v>25.5</v>
      </c>
      <c r="E126" s="45">
        <f>MROUND(MID($C126,9,3)/Basis!$E$3,0.5)</f>
        <v>43.5</v>
      </c>
      <c r="F126" s="237" t="str">
        <f t="shared" si="1"/>
        <v>20</v>
      </c>
      <c r="G126" s="45">
        <f>ROUND((ROUNDDOWN($F126/5,0)*5+2.2)/Basis!$E$3,1)</f>
        <v>8.6999999999999993</v>
      </c>
      <c r="H126" s="120">
        <f>ROUND($P126*Basis!$E$2*((TaH-TrH)/LN(1/µ)/Basis!$E$7)^$N126*$AA$4*Glycol,0)</f>
        <v>5786</v>
      </c>
      <c r="I126" s="83">
        <f>ROUND(H126/(MID($C126,9,3)/Basis!$E$3/Basis!$E$9)*Basis!$E$11,0)</f>
        <v>1603</v>
      </c>
      <c r="J126" s="123">
        <f>IF(Basis!$E$1=1,ROUND(H126/((TaH-TrH)*1.163)/3600,3),ROUND(H126/(500*(TaH-TrH)),2))</f>
        <v>0.57999999999999996</v>
      </c>
      <c r="K126" s="84"/>
      <c r="L126" s="177">
        <f>CHOOSE(Basis!$E$1,((AJ126*(J126*3600/Basis!$E$5)^AK126*(((MID(C126,9,3)*10)-144)/1000)*AL126+AM126*(J126*3600/Basis!$E$5)^2)*0.0098)/Basis!$E$10,((AJ126*(J126/Basis!$E$5)^AK126*(((MID(C126,9,3)*10)-144)/1000)*AL126+AM126*(J126/Basis!$E$5)^2)*0.0098)/Basis!$E$10)</f>
        <v>2.4931592627257033E-2</v>
      </c>
      <c r="M126" s="85"/>
      <c r="N126" s="185">
        <v>1.373</v>
      </c>
      <c r="O126" s="186"/>
      <c r="P126" s="187">
        <v>2668</v>
      </c>
      <c r="R126" s="2"/>
      <c r="S126" s="2"/>
      <c r="T126" s="2"/>
      <c r="U126" s="2"/>
      <c r="V126" s="2"/>
      <c r="X126" s="38"/>
      <c r="Y126" s="38"/>
      <c r="Z126" s="38"/>
      <c r="AA126" s="38"/>
      <c r="AB126" s="38"/>
      <c r="AD126" s="2"/>
      <c r="AE126" s="2"/>
      <c r="AF126" s="2"/>
      <c r="AG126" s="2"/>
      <c r="AH126" s="2"/>
      <c r="AJ126" s="126">
        <v>1.2760000000000001E-4</v>
      </c>
      <c r="AK126" s="132">
        <v>1.7219</v>
      </c>
      <c r="AL126" s="129">
        <v>2</v>
      </c>
      <c r="AM126" s="126">
        <v>3.76611E-4</v>
      </c>
      <c r="AO126" s="10"/>
      <c r="AP126" s="10"/>
      <c r="AQ126" s="10"/>
      <c r="AR126" s="10"/>
      <c r="AS126" s="10"/>
      <c r="AU126" s="2"/>
      <c r="AV126" s="2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</row>
    <row r="127" spans="1:73" customFormat="1" ht="12.75" customHeight="1" x14ac:dyDescent="0.25">
      <c r="A127" s="72" t="s">
        <v>20</v>
      </c>
      <c r="B127" s="184" t="s">
        <v>3089</v>
      </c>
      <c r="C127" s="44" t="s">
        <v>3060</v>
      </c>
      <c r="D127" s="45">
        <f>MROUND(MID($C127,6,3)/Basis!$E$3,0.5)</f>
        <v>25.5</v>
      </c>
      <c r="E127" s="45">
        <f>MROUND(MID($C127,9,3)/Basis!$E$3,0.5)</f>
        <v>47</v>
      </c>
      <c r="F127" s="237" t="str">
        <f t="shared" si="1"/>
        <v>10</v>
      </c>
      <c r="G127" s="45">
        <f>ROUND((ROUNDDOWN($F127/5,0)*5+2.2)/Basis!$E$3,1)</f>
        <v>4.8</v>
      </c>
      <c r="H127" s="120">
        <f>ROUND($P127*Basis!$E$2*((TaH-TrH)/LN(1/µ)/Basis!$E$7)^$N127*$AA$4*Glycol,0)</f>
        <v>2789</v>
      </c>
      <c r="I127" s="83">
        <f>ROUND(H127/(MID($C127,9,3)/Basis!$E$3/Basis!$E$9)*Basis!$E$11,0)</f>
        <v>708</v>
      </c>
      <c r="J127" s="123">
        <f>IF(Basis!$E$1=1,ROUND(H127/((TaH-TrH)*1.163)/3600,3),ROUND(H127/(500*(TaH-TrH)),2))</f>
        <v>0.28000000000000003</v>
      </c>
      <c r="K127" s="84"/>
      <c r="L127" s="177">
        <f>CHOOSE(Basis!$E$1,((AJ127*(J127*3600/Basis!$E$5)^AK127*(((MID(C127,9,3)*10)-144)/1000)*AL127+AM127*(J127*3600/Basis!$E$5)^2)*0.0098)/Basis!$E$10,((AJ127*(J127/Basis!$E$5)^AK127*(((MID(C127,9,3)*10)-144)/1000)*AL127+AM127*(J127/Basis!$E$5)^2)*0.0098)/Basis!$E$10)</f>
        <v>8.5398710994788306E-3</v>
      </c>
      <c r="M127" s="85"/>
      <c r="N127" s="185">
        <v>1.385</v>
      </c>
      <c r="O127" s="186"/>
      <c r="P127" s="187">
        <v>1291</v>
      </c>
      <c r="R127" s="2"/>
      <c r="S127" s="2"/>
      <c r="T127" s="2"/>
      <c r="U127" s="2"/>
      <c r="V127" s="2"/>
      <c r="X127" s="38"/>
      <c r="Y127" s="38"/>
      <c r="Z127" s="38"/>
      <c r="AA127" s="38"/>
      <c r="AB127" s="38"/>
      <c r="AD127" s="2"/>
      <c r="AE127" s="2"/>
      <c r="AF127" s="2"/>
      <c r="AG127" s="2"/>
      <c r="AH127" s="2"/>
      <c r="AJ127" s="126">
        <v>3.9689999999999994E-4</v>
      </c>
      <c r="AK127" s="132">
        <v>1.7345999999999999</v>
      </c>
      <c r="AL127" s="129">
        <v>2</v>
      </c>
      <c r="AM127" s="126">
        <v>3.6734700000000002E-4</v>
      </c>
      <c r="AO127" s="10"/>
      <c r="AP127" s="10"/>
      <c r="AQ127" s="10"/>
      <c r="AR127" s="10"/>
      <c r="AS127" s="10"/>
      <c r="AU127" s="2"/>
      <c r="AV127" s="2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</row>
    <row r="128" spans="1:73" customFormat="1" ht="12.75" customHeight="1" x14ac:dyDescent="0.25">
      <c r="A128" s="72" t="s">
        <v>20</v>
      </c>
      <c r="B128" s="184" t="s">
        <v>3089</v>
      </c>
      <c r="C128" s="44" t="s">
        <v>3072</v>
      </c>
      <c r="D128" s="45">
        <f>MROUND(MID($C128,6,3)/Basis!$E$3,0.5)</f>
        <v>25.5</v>
      </c>
      <c r="E128" s="45">
        <f>MROUND(MID($C128,9,3)/Basis!$E$3,0.5)</f>
        <v>47</v>
      </c>
      <c r="F128" s="237" t="str">
        <f t="shared" si="1"/>
        <v>15</v>
      </c>
      <c r="G128" s="45">
        <f>ROUND((ROUNDDOWN($F128/5,0)*5+2.2)/Basis!$E$3,1)</f>
        <v>6.8</v>
      </c>
      <c r="H128" s="120">
        <f>ROUND($P128*Basis!$E$2*((TaH-TrH)/LN(1/µ)/Basis!$E$7)^$N128*$AA$4*Glycol,0)</f>
        <v>4513</v>
      </c>
      <c r="I128" s="83">
        <f>ROUND(H128/(MID($C128,9,3)/Basis!$E$3/Basis!$E$9)*Basis!$E$11,0)</f>
        <v>1146</v>
      </c>
      <c r="J128" s="123">
        <f>IF(Basis!$E$1=1,ROUND(H128/((TaH-TrH)*1.163)/3600,3),ROUND(H128/(500*(TaH-TrH)),2))</f>
        <v>0.45</v>
      </c>
      <c r="K128" s="84"/>
      <c r="L128" s="177">
        <f>CHOOSE(Basis!$E$1,((AJ128*(J128*3600/Basis!$E$5)^AK128*(((MID(C128,9,3)*10)-144)/1000)*AL128+AM128*(J128*3600/Basis!$E$5)^2)*0.0098)/Basis!$E$10,((AJ128*(J128/Basis!$E$5)^AK128*(((MID(C128,9,3)*10)-144)/1000)*AL128+AM128*(J128/Basis!$E$5)^2)*0.0098)/Basis!$E$10)</f>
        <v>1.9964279531181142E-2</v>
      </c>
      <c r="M128" s="85"/>
      <c r="N128" s="185">
        <v>1.373</v>
      </c>
      <c r="O128" s="186"/>
      <c r="P128" s="187">
        <v>2081</v>
      </c>
      <c r="R128" s="2"/>
      <c r="S128" s="2"/>
      <c r="T128" s="2"/>
      <c r="U128" s="2"/>
      <c r="V128" s="2"/>
      <c r="X128" s="38"/>
      <c r="Y128" s="38"/>
      <c r="Z128" s="38"/>
      <c r="AA128" s="38"/>
      <c r="AB128" s="38"/>
      <c r="AD128" s="2"/>
      <c r="AE128" s="2"/>
      <c r="AF128" s="2"/>
      <c r="AG128" s="2"/>
      <c r="AH128" s="2"/>
      <c r="AJ128" s="125">
        <v>2.0829999999999999E-4</v>
      </c>
      <c r="AK128" s="131">
        <v>1.724</v>
      </c>
      <c r="AL128" s="128">
        <v>2</v>
      </c>
      <c r="AM128" s="125">
        <v>4.6182900000000003E-4</v>
      </c>
      <c r="AO128" s="10"/>
      <c r="AP128" s="10"/>
      <c r="AQ128" s="10"/>
      <c r="AR128" s="10"/>
      <c r="AS128" s="10"/>
      <c r="AU128" s="2"/>
      <c r="AV128" s="2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</row>
    <row r="129" spans="1:73" customFormat="1" ht="12.75" customHeight="1" x14ac:dyDescent="0.25">
      <c r="A129" s="72" t="s">
        <v>20</v>
      </c>
      <c r="B129" s="184" t="s">
        <v>3089</v>
      </c>
      <c r="C129" s="44" t="s">
        <v>3084</v>
      </c>
      <c r="D129" s="45">
        <f>MROUND(MID($C129,6,3)/Basis!$E$3,0.5)</f>
        <v>25.5</v>
      </c>
      <c r="E129" s="45">
        <f>MROUND(MID($C129,9,3)/Basis!$E$3,0.5)</f>
        <v>47</v>
      </c>
      <c r="F129" s="237" t="str">
        <f t="shared" si="1"/>
        <v>20</v>
      </c>
      <c r="G129" s="45">
        <f>ROUND((ROUNDDOWN($F129/5,0)*5+2.2)/Basis!$E$3,1)</f>
        <v>8.6999999999999993</v>
      </c>
      <c r="H129" s="120">
        <f>ROUND($P129*Basis!$E$2*((TaH-TrH)/LN(1/µ)/Basis!$E$7)^$N129*$AA$4*Glycol,0)</f>
        <v>6311</v>
      </c>
      <c r="I129" s="83">
        <f>ROUND(H129/(MID($C129,9,3)/Basis!$E$3/Basis!$E$9)*Basis!$E$11,0)</f>
        <v>1603</v>
      </c>
      <c r="J129" s="123">
        <f>IF(Basis!$E$1=1,ROUND(H129/((TaH-TrH)*1.163)/3600,3),ROUND(H129/(500*(TaH-TrH)),2))</f>
        <v>0.63</v>
      </c>
      <c r="K129" s="84"/>
      <c r="L129" s="177">
        <f>CHOOSE(Basis!$E$1,((AJ129*(J129*3600/Basis!$E$5)^AK129*(((MID(C129,9,3)*10)-144)/1000)*AL129+AM129*(J129*3600/Basis!$E$5)^2)*0.0098)/Basis!$E$10,((AJ129*(J129/Basis!$E$5)^AK129*(((MID(C129,9,3)*10)-144)/1000)*AL129+AM129*(J129/Basis!$E$5)^2)*0.0098)/Basis!$E$10)</f>
        <v>2.9749535014537223E-2</v>
      </c>
      <c r="M129" s="85"/>
      <c r="N129" s="185">
        <v>1.373</v>
      </c>
      <c r="O129" s="186"/>
      <c r="P129" s="187">
        <v>2910</v>
      </c>
      <c r="R129" s="2"/>
      <c r="S129" s="2"/>
      <c r="T129" s="2"/>
      <c r="U129" s="2"/>
      <c r="V129" s="2"/>
      <c r="X129" s="38"/>
      <c r="Y129" s="38"/>
      <c r="Z129" s="38"/>
      <c r="AA129" s="38"/>
      <c r="AB129" s="38"/>
      <c r="AD129" s="2"/>
      <c r="AE129" s="2"/>
      <c r="AF129" s="2"/>
      <c r="AG129" s="2"/>
      <c r="AH129" s="2"/>
      <c r="AJ129" s="126">
        <v>1.2760000000000001E-4</v>
      </c>
      <c r="AK129" s="132">
        <v>1.7219</v>
      </c>
      <c r="AL129" s="129">
        <v>2</v>
      </c>
      <c r="AM129" s="126">
        <v>3.76611E-4</v>
      </c>
      <c r="AO129" s="10"/>
      <c r="AP129" s="10"/>
      <c r="AQ129" s="10"/>
      <c r="AR129" s="10"/>
      <c r="AS129" s="10"/>
      <c r="AU129" s="2"/>
      <c r="AV129" s="2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</row>
    <row r="130" spans="1:73" customFormat="1" ht="12.75" customHeight="1" x14ac:dyDescent="0.25">
      <c r="A130" s="72" t="s">
        <v>20</v>
      </c>
      <c r="B130" s="184" t="s">
        <v>3089</v>
      </c>
      <c r="C130" s="44" t="s">
        <v>3061</v>
      </c>
      <c r="D130" s="45">
        <f>MROUND(MID($C130,6,3)/Basis!$E$3,0.5)</f>
        <v>25.5</v>
      </c>
      <c r="E130" s="45">
        <f>MROUND(MID($C130,9,3)/Basis!$E$3,0.5)</f>
        <v>55</v>
      </c>
      <c r="F130" s="237" t="str">
        <f t="shared" si="1"/>
        <v>10</v>
      </c>
      <c r="G130" s="45">
        <f>ROUND((ROUNDDOWN($F130/5,0)*5+2.2)/Basis!$E$3,1)</f>
        <v>4.8</v>
      </c>
      <c r="H130" s="120">
        <f>ROUND($P130*Basis!$E$2*((TaH-TrH)/LN(1/µ)/Basis!$E$7)^$N130*$AA$4*Glycol,0)</f>
        <v>3253</v>
      </c>
      <c r="I130" s="83">
        <f>ROUND(H130/(MID($C130,9,3)/Basis!$E$3/Basis!$E$9)*Basis!$E$11,0)</f>
        <v>708</v>
      </c>
      <c r="J130" s="123">
        <f>IF(Basis!$E$1=1,ROUND(H130/((TaH-TrH)*1.163)/3600,3),ROUND(H130/(500*(TaH-TrH)),2))</f>
        <v>0.33</v>
      </c>
      <c r="K130" s="84"/>
      <c r="L130" s="177">
        <f>CHOOSE(Basis!$E$1,((AJ130*(J130*3600/Basis!$E$5)^AK130*(((MID(C130,9,3)*10)-144)/1000)*AL130+AM130*(J130*3600/Basis!$E$5)^2)*0.0098)/Basis!$E$10,((AJ130*(J130/Basis!$E$5)^AK130*(((MID(C130,9,3)*10)-144)/1000)*AL130+AM130*(J130/Basis!$E$5)^2)*0.0098)/Basis!$E$10)</f>
        <v>1.2571256736469315E-2</v>
      </c>
      <c r="M130" s="85"/>
      <c r="N130" s="185">
        <v>1.385</v>
      </c>
      <c r="O130" s="186"/>
      <c r="P130" s="187">
        <v>1506</v>
      </c>
      <c r="R130" s="2"/>
      <c r="S130" s="2"/>
      <c r="T130" s="2"/>
      <c r="U130" s="2"/>
      <c r="V130" s="2"/>
      <c r="X130" s="38"/>
      <c r="Y130" s="38"/>
      <c r="Z130" s="38"/>
      <c r="AA130" s="38"/>
      <c r="AB130" s="38"/>
      <c r="AD130" s="2"/>
      <c r="AE130" s="2"/>
      <c r="AF130" s="2"/>
      <c r="AG130" s="2"/>
      <c r="AH130" s="2"/>
      <c r="AJ130" s="126">
        <v>3.9689999999999994E-4</v>
      </c>
      <c r="AK130" s="132">
        <v>1.7345999999999999</v>
      </c>
      <c r="AL130" s="129">
        <v>2</v>
      </c>
      <c r="AM130" s="126">
        <v>3.6734700000000002E-4</v>
      </c>
      <c r="AO130" s="10"/>
      <c r="AP130" s="10"/>
      <c r="AQ130" s="10"/>
      <c r="AR130" s="10"/>
      <c r="AS130" s="10"/>
      <c r="AU130" s="2"/>
      <c r="AV130" s="2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</row>
    <row r="131" spans="1:73" customFormat="1" ht="12.75" customHeight="1" x14ac:dyDescent="0.25">
      <c r="A131" s="72" t="s">
        <v>20</v>
      </c>
      <c r="B131" s="184" t="s">
        <v>3089</v>
      </c>
      <c r="C131" s="44" t="s">
        <v>3073</v>
      </c>
      <c r="D131" s="45">
        <f>MROUND(MID($C131,6,3)/Basis!$E$3,0.5)</f>
        <v>25.5</v>
      </c>
      <c r="E131" s="45">
        <f>MROUND(MID($C131,9,3)/Basis!$E$3,0.5)</f>
        <v>55</v>
      </c>
      <c r="F131" s="237" t="str">
        <f t="shared" si="1"/>
        <v>15</v>
      </c>
      <c r="G131" s="45">
        <f>ROUND((ROUNDDOWN($F131/5,0)*5+2.2)/Basis!$E$3,1)</f>
        <v>6.8</v>
      </c>
      <c r="H131" s="120">
        <f>ROUND($P131*Basis!$E$2*((TaH-TrH)/LN(1/µ)/Basis!$E$7)^$N131*$AA$4*Glycol,0)</f>
        <v>5266</v>
      </c>
      <c r="I131" s="83">
        <f>ROUND(H131/(MID($C131,9,3)/Basis!$E$3/Basis!$E$9)*Basis!$E$11,0)</f>
        <v>1146</v>
      </c>
      <c r="J131" s="123">
        <f>IF(Basis!$E$1=1,ROUND(H131/((TaH-TrH)*1.163)/3600,3),ROUND(H131/(500*(TaH-TrH)),2))</f>
        <v>0.53</v>
      </c>
      <c r="K131" s="84"/>
      <c r="L131" s="177">
        <f>CHOOSE(Basis!$E$1,((AJ131*(J131*3600/Basis!$E$5)^AK131*(((MID(C131,9,3)*10)-144)/1000)*AL131+AM131*(J131*3600/Basis!$E$5)^2)*0.0098)/Basis!$E$10,((AJ131*(J131/Basis!$E$5)^AK131*(((MID(C131,9,3)*10)-144)/1000)*AL131+AM131*(J131/Basis!$E$5)^2)*0.0098)/Basis!$E$10)</f>
        <v>2.8489234615429151E-2</v>
      </c>
      <c r="M131" s="85"/>
      <c r="N131" s="185">
        <v>1.373</v>
      </c>
      <c r="O131" s="186"/>
      <c r="P131" s="187">
        <v>2428</v>
      </c>
      <c r="R131" s="2"/>
      <c r="S131" s="2"/>
      <c r="T131" s="2"/>
      <c r="U131" s="2"/>
      <c r="V131" s="2"/>
      <c r="X131" s="38"/>
      <c r="Y131" s="38"/>
      <c r="Z131" s="38"/>
      <c r="AA131" s="38"/>
      <c r="AB131" s="38"/>
      <c r="AD131" s="2"/>
      <c r="AE131" s="2"/>
      <c r="AF131" s="2"/>
      <c r="AG131" s="2"/>
      <c r="AH131" s="2"/>
      <c r="AJ131" s="125">
        <v>2.0829999999999999E-4</v>
      </c>
      <c r="AK131" s="131">
        <v>1.724</v>
      </c>
      <c r="AL131" s="128">
        <v>2</v>
      </c>
      <c r="AM131" s="125">
        <v>4.6182900000000003E-4</v>
      </c>
      <c r="AO131" s="10"/>
      <c r="AP131" s="10"/>
      <c r="AQ131" s="10"/>
      <c r="AR131" s="10"/>
      <c r="AS131" s="10"/>
      <c r="AU131" s="2"/>
      <c r="AV131" s="2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</row>
    <row r="132" spans="1:73" customFormat="1" ht="12.75" customHeight="1" x14ac:dyDescent="0.25">
      <c r="A132" s="72" t="s">
        <v>20</v>
      </c>
      <c r="B132" s="184" t="s">
        <v>3089</v>
      </c>
      <c r="C132" s="44" t="s">
        <v>3085</v>
      </c>
      <c r="D132" s="45">
        <f>MROUND(MID($C132,6,3)/Basis!$E$3,0.5)</f>
        <v>25.5</v>
      </c>
      <c r="E132" s="45">
        <f>MROUND(MID($C132,9,3)/Basis!$E$3,0.5)</f>
        <v>55</v>
      </c>
      <c r="F132" s="237" t="str">
        <f t="shared" si="1"/>
        <v>20</v>
      </c>
      <c r="G132" s="45">
        <f>ROUND((ROUNDDOWN($F132/5,0)*5+2.2)/Basis!$E$3,1)</f>
        <v>8.6999999999999993</v>
      </c>
      <c r="H132" s="120">
        <f>ROUND($P132*Basis!$E$2*((TaH-TrH)/LN(1/µ)/Basis!$E$7)^$N132*$AA$4*Glycol,0)</f>
        <v>7363</v>
      </c>
      <c r="I132" s="83">
        <f>ROUND(H132/(MID($C132,9,3)/Basis!$E$3/Basis!$E$9)*Basis!$E$11,0)</f>
        <v>1603</v>
      </c>
      <c r="J132" s="123">
        <f>IF(Basis!$E$1=1,ROUND(H132/((TaH-TrH)*1.163)/3600,3),ROUND(H132/(500*(TaH-TrH)),2))</f>
        <v>0.74</v>
      </c>
      <c r="K132" s="84"/>
      <c r="L132" s="177">
        <f>CHOOSE(Basis!$E$1,((AJ132*(J132*3600/Basis!$E$5)^AK132*(((MID(C132,9,3)*10)-144)/1000)*AL132+AM132*(J132*3600/Basis!$E$5)^2)*0.0098)/Basis!$E$10,((AJ132*(J132/Basis!$E$5)^AK132*(((MID(C132,9,3)*10)-144)/1000)*AL132+AM132*(J132/Basis!$E$5)^2)*0.0098)/Basis!$E$10)</f>
        <v>4.190494357011549E-2</v>
      </c>
      <c r="M132" s="85"/>
      <c r="N132" s="185">
        <v>1.373</v>
      </c>
      <c r="O132" s="186"/>
      <c r="P132" s="187">
        <v>3395</v>
      </c>
      <c r="R132" s="2"/>
      <c r="S132" s="2"/>
      <c r="T132" s="2"/>
      <c r="U132" s="2"/>
      <c r="V132" s="2"/>
      <c r="X132" s="38"/>
      <c r="Y132" s="38"/>
      <c r="Z132" s="38"/>
      <c r="AA132" s="38"/>
      <c r="AB132" s="38"/>
      <c r="AD132" s="2"/>
      <c r="AE132" s="2"/>
      <c r="AF132" s="2"/>
      <c r="AG132" s="2"/>
      <c r="AH132" s="2"/>
      <c r="AJ132" s="126">
        <v>1.2760000000000001E-4</v>
      </c>
      <c r="AK132" s="132">
        <v>1.7219</v>
      </c>
      <c r="AL132" s="129">
        <v>2</v>
      </c>
      <c r="AM132" s="126">
        <v>3.76611E-4</v>
      </c>
      <c r="AO132" s="10"/>
      <c r="AP132" s="10"/>
      <c r="AQ132" s="10"/>
      <c r="AR132" s="10"/>
      <c r="AS132" s="10"/>
      <c r="AU132" s="2"/>
      <c r="AV132" s="2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</row>
    <row r="133" spans="1:73" customFormat="1" ht="12.75" customHeight="1" x14ac:dyDescent="0.25">
      <c r="A133" s="72" t="s">
        <v>20</v>
      </c>
      <c r="B133" s="184" t="s">
        <v>3089</v>
      </c>
      <c r="C133" s="44" t="s">
        <v>3062</v>
      </c>
      <c r="D133" s="45">
        <f>MROUND(MID($C133,6,3)/Basis!$E$3,0.5)</f>
        <v>25.5</v>
      </c>
      <c r="E133" s="45">
        <f>MROUND(MID($C133,9,3)/Basis!$E$3,0.5)</f>
        <v>63</v>
      </c>
      <c r="F133" s="237" t="str">
        <f t="shared" si="1"/>
        <v>10</v>
      </c>
      <c r="G133" s="45">
        <f>ROUND((ROUNDDOWN($F133/5,0)*5+2.2)/Basis!$E$3,1)</f>
        <v>4.8</v>
      </c>
      <c r="H133" s="120">
        <f>ROUND($P133*Basis!$E$2*((TaH-TrH)/LN(1/µ)/Basis!$E$7)^$N133*$AA$4*Glycol,0)</f>
        <v>3720</v>
      </c>
      <c r="I133" s="83">
        <f>ROUND(H133/(MID($C133,9,3)/Basis!$E$3/Basis!$E$9)*Basis!$E$11,0)</f>
        <v>709</v>
      </c>
      <c r="J133" s="123">
        <f>IF(Basis!$E$1=1,ROUND(H133/((TaH-TrH)*1.163)/3600,3),ROUND(H133/(500*(TaH-TrH)),2))</f>
        <v>0.37</v>
      </c>
      <c r="K133" s="84"/>
      <c r="L133" s="177">
        <f>CHOOSE(Basis!$E$1,((AJ133*(J133*3600/Basis!$E$5)^AK133*(((MID(C133,9,3)*10)-144)/1000)*AL133+AM133*(J133*3600/Basis!$E$5)^2)*0.0098)/Basis!$E$10,((AJ133*(J133/Basis!$E$5)^AK133*(((MID(C133,9,3)*10)-144)/1000)*AL133+AM133*(J133/Basis!$E$5)^2)*0.0098)/Basis!$E$10)</f>
        <v>1.6715495784043289E-2</v>
      </c>
      <c r="M133" s="85"/>
      <c r="N133" s="185">
        <v>1.385</v>
      </c>
      <c r="O133" s="186"/>
      <c r="P133" s="187">
        <v>1722</v>
      </c>
      <c r="R133" s="2"/>
      <c r="S133" s="2"/>
      <c r="T133" s="2"/>
      <c r="U133" s="2"/>
      <c r="V133" s="2"/>
      <c r="X133" s="38"/>
      <c r="Y133" s="38"/>
      <c r="Z133" s="38"/>
      <c r="AA133" s="38"/>
      <c r="AB133" s="38"/>
      <c r="AD133" s="2"/>
      <c r="AE133" s="2"/>
      <c r="AF133" s="2"/>
      <c r="AG133" s="2"/>
      <c r="AH133" s="2"/>
      <c r="AJ133" s="126">
        <v>3.9689999999999994E-4</v>
      </c>
      <c r="AK133" s="132">
        <v>1.7345999999999999</v>
      </c>
      <c r="AL133" s="129">
        <v>2</v>
      </c>
      <c r="AM133" s="126">
        <v>3.6734700000000002E-4</v>
      </c>
      <c r="AO133" s="10"/>
      <c r="AP133" s="10"/>
      <c r="AQ133" s="10"/>
      <c r="AR133" s="10"/>
      <c r="AS133" s="10"/>
      <c r="AU133" s="2"/>
      <c r="AV133" s="2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</row>
    <row r="134" spans="1:73" customFormat="1" ht="12.75" customHeight="1" x14ac:dyDescent="0.25">
      <c r="A134" s="72" t="s">
        <v>20</v>
      </c>
      <c r="B134" s="184" t="s">
        <v>3089</v>
      </c>
      <c r="C134" s="44" t="s">
        <v>3074</v>
      </c>
      <c r="D134" s="45">
        <f>MROUND(MID($C134,6,3)/Basis!$E$3,0.5)</f>
        <v>25.5</v>
      </c>
      <c r="E134" s="45">
        <f>MROUND(MID($C134,9,3)/Basis!$E$3,0.5)</f>
        <v>63</v>
      </c>
      <c r="F134" s="237" t="str">
        <f t="shared" si="1"/>
        <v>15</v>
      </c>
      <c r="G134" s="45">
        <f>ROUND((ROUNDDOWN($F134/5,0)*5+2.2)/Basis!$E$3,1)</f>
        <v>6.8</v>
      </c>
      <c r="H134" s="120">
        <f>ROUND($P134*Basis!$E$2*((TaH-TrH)/LN(1/µ)/Basis!$E$7)^$N134*$AA$4*Glycol,0)</f>
        <v>6016</v>
      </c>
      <c r="I134" s="83">
        <f>ROUND(H134/(MID($C134,9,3)/Basis!$E$3/Basis!$E$9)*Basis!$E$11,0)</f>
        <v>1146</v>
      </c>
      <c r="J134" s="123">
        <f>IF(Basis!$E$1=1,ROUND(H134/((TaH-TrH)*1.163)/3600,3),ROUND(H134/(500*(TaH-TrH)),2))</f>
        <v>0.6</v>
      </c>
      <c r="K134" s="84"/>
      <c r="L134" s="177">
        <f>CHOOSE(Basis!$E$1,((AJ134*(J134*3600/Basis!$E$5)^AK134*(((MID(C134,9,3)*10)-144)/1000)*AL134+AM134*(J134*3600/Basis!$E$5)^2)*0.0098)/Basis!$E$10,((AJ134*(J134/Basis!$E$5)^AK134*(((MID(C134,9,3)*10)-144)/1000)*AL134+AM134*(J134/Basis!$E$5)^2)*0.0098)/Basis!$E$10)</f>
        <v>3.7529754792229086E-2</v>
      </c>
      <c r="M134" s="85"/>
      <c r="N134" s="185">
        <v>1.373</v>
      </c>
      <c r="O134" s="186"/>
      <c r="P134" s="187">
        <v>2774</v>
      </c>
      <c r="R134" s="2"/>
      <c r="S134" s="2"/>
      <c r="T134" s="2"/>
      <c r="U134" s="2"/>
      <c r="V134" s="2"/>
      <c r="X134" s="38"/>
      <c r="Y134" s="38"/>
      <c r="Z134" s="38"/>
      <c r="AA134" s="38"/>
      <c r="AB134" s="38"/>
      <c r="AD134" s="2"/>
      <c r="AE134" s="2"/>
      <c r="AF134" s="2"/>
      <c r="AG134" s="2"/>
      <c r="AH134" s="2"/>
      <c r="AJ134" s="125">
        <v>2.0829999999999999E-4</v>
      </c>
      <c r="AK134" s="131">
        <v>1.724</v>
      </c>
      <c r="AL134" s="128">
        <v>2</v>
      </c>
      <c r="AM134" s="125">
        <v>4.6182900000000003E-4</v>
      </c>
      <c r="AO134" s="10"/>
      <c r="AP134" s="10"/>
      <c r="AQ134" s="10"/>
      <c r="AR134" s="10"/>
      <c r="AS134" s="10"/>
      <c r="AU134" s="2"/>
      <c r="AV134" s="2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</row>
    <row r="135" spans="1:73" customFormat="1" ht="12.75" customHeight="1" x14ac:dyDescent="0.25">
      <c r="A135" s="72" t="s">
        <v>20</v>
      </c>
      <c r="B135" s="184" t="s">
        <v>3089</v>
      </c>
      <c r="C135" s="44" t="s">
        <v>3086</v>
      </c>
      <c r="D135" s="45">
        <f>MROUND(MID($C135,6,3)/Basis!$E$3,0.5)</f>
        <v>25.5</v>
      </c>
      <c r="E135" s="45">
        <f>MROUND(MID($C135,9,3)/Basis!$E$3,0.5)</f>
        <v>63</v>
      </c>
      <c r="F135" s="237" t="str">
        <f t="shared" si="1"/>
        <v>20</v>
      </c>
      <c r="G135" s="45">
        <f>ROUND((ROUNDDOWN($F135/5,0)*5+2.2)/Basis!$E$3,1)</f>
        <v>8.6999999999999993</v>
      </c>
      <c r="H135" s="120">
        <f>ROUND($P135*Basis!$E$2*((TaH-TrH)/LN(1/µ)/Basis!$E$7)^$N135*$AA$4*Glycol,0)</f>
        <v>8415</v>
      </c>
      <c r="I135" s="83">
        <f>ROUND(H135/(MID($C135,9,3)/Basis!$E$3/Basis!$E$9)*Basis!$E$11,0)</f>
        <v>1603</v>
      </c>
      <c r="J135" s="123">
        <f>IF(Basis!$E$1=1,ROUND(H135/((TaH-TrH)*1.163)/3600,3),ROUND(H135/(500*(TaH-TrH)),2))</f>
        <v>0.84</v>
      </c>
      <c r="K135" s="84"/>
      <c r="L135" s="177">
        <f>CHOOSE(Basis!$E$1,((AJ135*(J135*3600/Basis!$E$5)^AK135*(((MID(C135,9,3)*10)-144)/1000)*AL135+AM135*(J135*3600/Basis!$E$5)^2)*0.0098)/Basis!$E$10,((AJ135*(J135/Basis!$E$5)^AK135*(((MID(C135,9,3)*10)-144)/1000)*AL135+AM135*(J135/Basis!$E$5)^2)*0.0098)/Basis!$E$10)</f>
        <v>5.5088338720495358E-2</v>
      </c>
      <c r="M135" s="85"/>
      <c r="N135" s="185">
        <v>1.373</v>
      </c>
      <c r="O135" s="186"/>
      <c r="P135" s="187">
        <v>3880</v>
      </c>
      <c r="R135" s="2"/>
      <c r="S135" s="2"/>
      <c r="T135" s="2"/>
      <c r="U135" s="2"/>
      <c r="V135" s="2"/>
      <c r="X135" s="38"/>
      <c r="Y135" s="38"/>
      <c r="Z135" s="38"/>
      <c r="AA135" s="38"/>
      <c r="AB135" s="38"/>
      <c r="AD135" s="2"/>
      <c r="AE135" s="2"/>
      <c r="AF135" s="2"/>
      <c r="AG135" s="2"/>
      <c r="AH135" s="2"/>
      <c r="AJ135" s="126">
        <v>1.2760000000000001E-4</v>
      </c>
      <c r="AK135" s="132">
        <v>1.7219</v>
      </c>
      <c r="AL135" s="129">
        <v>2</v>
      </c>
      <c r="AM135" s="126">
        <v>3.76611E-4</v>
      </c>
      <c r="AO135" s="10"/>
      <c r="AP135" s="10"/>
      <c r="AQ135" s="10"/>
      <c r="AR135" s="10"/>
      <c r="AS135" s="10"/>
      <c r="AU135" s="2"/>
      <c r="AV135" s="2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</row>
    <row r="136" spans="1:73" customFormat="1" ht="12.75" customHeight="1" x14ac:dyDescent="0.25">
      <c r="A136" s="72" t="s">
        <v>20</v>
      </c>
      <c r="B136" s="184" t="s">
        <v>3089</v>
      </c>
      <c r="C136" s="44" t="s">
        <v>3063</v>
      </c>
      <c r="D136" s="45">
        <f>MROUND(MID($C136,6,3)/Basis!$E$3,0.5)</f>
        <v>25.5</v>
      </c>
      <c r="E136" s="45">
        <f>MROUND(MID($C136,9,3)/Basis!$E$3,0.5)</f>
        <v>71</v>
      </c>
      <c r="F136" s="237" t="str">
        <f t="shared" si="1"/>
        <v>10</v>
      </c>
      <c r="G136" s="45">
        <f>ROUND((ROUNDDOWN($F136/5,0)*5+2.2)/Basis!$E$3,1)</f>
        <v>4.8</v>
      </c>
      <c r="H136" s="120">
        <f>ROUND($P136*Basis!$E$2*((TaH-TrH)/LN(1/µ)/Basis!$E$7)^$N136*$AA$4*Glycol,0)</f>
        <v>4184</v>
      </c>
      <c r="I136" s="83">
        <f>ROUND(H136/(MID($C136,9,3)/Basis!$E$3/Basis!$E$9)*Basis!$E$11,0)</f>
        <v>708</v>
      </c>
      <c r="J136" s="123">
        <f>IF(Basis!$E$1=1,ROUND(H136/((TaH-TrH)*1.163)/3600,3),ROUND(H136/(500*(TaH-TrH)),2))</f>
        <v>0.42</v>
      </c>
      <c r="K136" s="84"/>
      <c r="L136" s="177">
        <f>CHOOSE(Basis!$E$1,((AJ136*(J136*3600/Basis!$E$5)^AK136*(((MID(C136,9,3)*10)-144)/1000)*AL136+AM136*(J136*3600/Basis!$E$5)^2)*0.0098)/Basis!$E$10,((AJ136*(J136/Basis!$E$5)^AK136*(((MID(C136,9,3)*10)-144)/1000)*AL136+AM136*(J136/Basis!$E$5)^2)*0.0098)/Basis!$E$10)</f>
        <v>2.2596533401072642E-2</v>
      </c>
      <c r="M136" s="85"/>
      <c r="N136" s="185">
        <v>1.385</v>
      </c>
      <c r="O136" s="186"/>
      <c r="P136" s="187">
        <v>1937</v>
      </c>
      <c r="R136" s="2"/>
      <c r="S136" s="2"/>
      <c r="T136" s="2"/>
      <c r="U136" s="2"/>
      <c r="V136" s="2"/>
      <c r="X136" s="38"/>
      <c r="Y136" s="38"/>
      <c r="Z136" s="38"/>
      <c r="AA136" s="38"/>
      <c r="AB136" s="38"/>
      <c r="AD136" s="2"/>
      <c r="AE136" s="2"/>
      <c r="AF136" s="2"/>
      <c r="AG136" s="2"/>
      <c r="AH136" s="2"/>
      <c r="AJ136" s="126">
        <v>3.9689999999999994E-4</v>
      </c>
      <c r="AK136" s="132">
        <v>1.7345999999999999</v>
      </c>
      <c r="AL136" s="129">
        <v>2</v>
      </c>
      <c r="AM136" s="126">
        <v>3.6734700000000002E-4</v>
      </c>
      <c r="AO136" s="10"/>
      <c r="AP136" s="10"/>
      <c r="AQ136" s="10"/>
      <c r="AR136" s="10"/>
      <c r="AS136" s="10"/>
      <c r="AU136" s="2"/>
      <c r="AV136" s="2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</row>
    <row r="137" spans="1:73" customFormat="1" ht="12.75" customHeight="1" x14ac:dyDescent="0.25">
      <c r="A137" s="72" t="s">
        <v>20</v>
      </c>
      <c r="B137" s="184" t="s">
        <v>3089</v>
      </c>
      <c r="C137" s="44" t="s">
        <v>3075</v>
      </c>
      <c r="D137" s="45">
        <f>MROUND(MID($C137,6,3)/Basis!$E$3,0.5)</f>
        <v>25.5</v>
      </c>
      <c r="E137" s="45">
        <f>MROUND(MID($C137,9,3)/Basis!$E$3,0.5)</f>
        <v>71</v>
      </c>
      <c r="F137" s="237" t="str">
        <f t="shared" si="1"/>
        <v>15</v>
      </c>
      <c r="G137" s="45">
        <f>ROUND((ROUNDDOWN($F137/5,0)*5+2.2)/Basis!$E$3,1)</f>
        <v>6.8</v>
      </c>
      <c r="H137" s="120">
        <f>ROUND($P137*Basis!$E$2*((TaH-TrH)/LN(1/µ)/Basis!$E$7)^$N137*$AA$4*Glycol,0)</f>
        <v>6769</v>
      </c>
      <c r="I137" s="83">
        <f>ROUND(H137/(MID($C137,9,3)/Basis!$E$3/Basis!$E$9)*Basis!$E$11,0)</f>
        <v>1146</v>
      </c>
      <c r="J137" s="123">
        <f>IF(Basis!$E$1=1,ROUND(H137/((TaH-TrH)*1.163)/3600,3),ROUND(H137/(500*(TaH-TrH)),2))</f>
        <v>0.68</v>
      </c>
      <c r="K137" s="84"/>
      <c r="L137" s="177">
        <f>CHOOSE(Basis!$E$1,((AJ137*(J137*3600/Basis!$E$5)^AK137*(((MID(C137,9,3)*10)-144)/1000)*AL137+AM137*(J137*3600/Basis!$E$5)^2)*0.0098)/Basis!$E$10,((AJ137*(J137/Basis!$E$5)^AK137*(((MID(C137,9,3)*10)-144)/1000)*AL137+AM137*(J137/Basis!$E$5)^2)*0.0098)/Basis!$E$10)</f>
        <v>4.9408115967079523E-2</v>
      </c>
      <c r="M137" s="85"/>
      <c r="N137" s="185">
        <v>1.373</v>
      </c>
      <c r="O137" s="186"/>
      <c r="P137" s="187">
        <v>3121</v>
      </c>
      <c r="R137" s="2"/>
      <c r="S137" s="2"/>
      <c r="T137" s="2"/>
      <c r="U137" s="2"/>
      <c r="V137" s="2"/>
      <c r="X137" s="38"/>
      <c r="Y137" s="38"/>
      <c r="Z137" s="38"/>
      <c r="AA137" s="38"/>
      <c r="AB137" s="38"/>
      <c r="AD137" s="2"/>
      <c r="AE137" s="2"/>
      <c r="AF137" s="2"/>
      <c r="AG137" s="2"/>
      <c r="AH137" s="2"/>
      <c r="AJ137" s="125">
        <v>2.0829999999999999E-4</v>
      </c>
      <c r="AK137" s="131">
        <v>1.724</v>
      </c>
      <c r="AL137" s="128">
        <v>2</v>
      </c>
      <c r="AM137" s="125">
        <v>4.6182900000000003E-4</v>
      </c>
      <c r="AO137" s="10"/>
      <c r="AP137" s="10"/>
      <c r="AQ137" s="10"/>
      <c r="AR137" s="10"/>
      <c r="AS137" s="10"/>
      <c r="AU137" s="2"/>
      <c r="AV137" s="2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</row>
    <row r="138" spans="1:73" customFormat="1" ht="12.75" customHeight="1" x14ac:dyDescent="0.25">
      <c r="A138" s="72" t="s">
        <v>20</v>
      </c>
      <c r="B138" s="184" t="s">
        <v>3089</v>
      </c>
      <c r="C138" s="44" t="s">
        <v>3087</v>
      </c>
      <c r="D138" s="45">
        <f>MROUND(MID($C138,6,3)/Basis!$E$3,0.5)</f>
        <v>25.5</v>
      </c>
      <c r="E138" s="45">
        <f>MROUND(MID($C138,9,3)/Basis!$E$3,0.5)</f>
        <v>71</v>
      </c>
      <c r="F138" s="237" t="str">
        <f t="shared" ref="F138:F201" si="2">RIGHT(C138,2)</f>
        <v>20</v>
      </c>
      <c r="G138" s="45">
        <f>ROUND((ROUNDDOWN($F138/5,0)*5+2.2)/Basis!$E$3,1)</f>
        <v>8.6999999999999993</v>
      </c>
      <c r="H138" s="120">
        <f>ROUND($P138*Basis!$E$2*((TaH-TrH)/LN(1/µ)/Basis!$E$7)^$N138*$AA$4*Glycol,0)</f>
        <v>9467</v>
      </c>
      <c r="I138" s="83">
        <f>ROUND(H138/(MID($C138,9,3)/Basis!$E$3/Basis!$E$9)*Basis!$E$11,0)</f>
        <v>1603</v>
      </c>
      <c r="J138" s="123">
        <f>IF(Basis!$E$1=1,ROUND(H138/((TaH-TrH)*1.163)/3600,3),ROUND(H138/(500*(TaH-TrH)),2))</f>
        <v>0.95</v>
      </c>
      <c r="K138" s="84"/>
      <c r="L138" s="177">
        <f>CHOOSE(Basis!$E$1,((AJ138*(J138*3600/Basis!$E$5)^AK138*(((MID(C138,9,3)*10)-144)/1000)*AL138+AM138*(J138*3600/Basis!$E$5)^2)*0.0098)/Basis!$E$10,((AJ138*(J138/Basis!$E$5)^AK138*(((MID(C138,9,3)*10)-144)/1000)*AL138+AM138*(J138/Basis!$E$5)^2)*0.0098)/Basis!$E$10)</f>
        <v>7.176220730168556E-2</v>
      </c>
      <c r="M138" s="85"/>
      <c r="N138" s="185">
        <v>1.373</v>
      </c>
      <c r="O138" s="186"/>
      <c r="P138" s="187">
        <v>4365</v>
      </c>
      <c r="R138" s="2"/>
      <c r="S138" s="2"/>
      <c r="T138" s="2"/>
      <c r="U138" s="2"/>
      <c r="V138" s="2"/>
      <c r="X138" s="38"/>
      <c r="Y138" s="38"/>
      <c r="Z138" s="38"/>
      <c r="AA138" s="38"/>
      <c r="AB138" s="38"/>
      <c r="AD138" s="2"/>
      <c r="AE138" s="2"/>
      <c r="AF138" s="2"/>
      <c r="AG138" s="2"/>
      <c r="AH138" s="2"/>
      <c r="AJ138" s="126">
        <v>1.2760000000000001E-4</v>
      </c>
      <c r="AK138" s="132">
        <v>1.7219</v>
      </c>
      <c r="AL138" s="129">
        <v>2</v>
      </c>
      <c r="AM138" s="126">
        <v>3.76611E-4</v>
      </c>
      <c r="AO138" s="10"/>
      <c r="AP138" s="10"/>
      <c r="AQ138" s="10"/>
      <c r="AR138" s="10"/>
      <c r="AS138" s="10"/>
      <c r="AU138" s="2"/>
      <c r="AV138" s="2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</row>
    <row r="139" spans="1:73" customFormat="1" ht="12.75" customHeight="1" x14ac:dyDescent="0.25">
      <c r="A139" s="72" t="s">
        <v>20</v>
      </c>
      <c r="B139" s="184" t="s">
        <v>3089</v>
      </c>
      <c r="C139" s="44" t="s">
        <v>3064</v>
      </c>
      <c r="D139" s="45">
        <f>MROUND(MID($C139,6,3)/Basis!$E$3,0.5)</f>
        <v>25.5</v>
      </c>
      <c r="E139" s="45">
        <f>MROUND(MID($C139,9,3)/Basis!$E$3,0.5)</f>
        <v>78.5</v>
      </c>
      <c r="F139" s="237" t="str">
        <f t="shared" si="2"/>
        <v>10</v>
      </c>
      <c r="G139" s="45">
        <f>ROUND((ROUNDDOWN($F139/5,0)*5+2.2)/Basis!$E$3,1)</f>
        <v>4.8</v>
      </c>
      <c r="H139" s="120">
        <f>ROUND($P139*Basis!$E$2*((TaH-TrH)/LN(1/µ)/Basis!$E$7)^$N139*$AA$4*Glycol,0)</f>
        <v>4649</v>
      </c>
      <c r="I139" s="83">
        <f>ROUND(H139/(MID($C139,9,3)/Basis!$E$3/Basis!$E$9)*Basis!$E$11,0)</f>
        <v>709</v>
      </c>
      <c r="J139" s="123">
        <f>IF(Basis!$E$1=1,ROUND(H139/((TaH-TrH)*1.163)/3600,3),ROUND(H139/(500*(TaH-TrH)),2))</f>
        <v>0.46</v>
      </c>
      <c r="K139" s="84"/>
      <c r="L139" s="177">
        <f>CHOOSE(Basis!$E$1,((AJ139*(J139*3600/Basis!$E$5)^AK139*(((MID(C139,9,3)*10)-144)/1000)*AL139+AM139*(J139*3600/Basis!$E$5)^2)*0.0098)/Basis!$E$10,((AJ139*(J139/Basis!$E$5)^AK139*(((MID(C139,9,3)*10)-144)/1000)*AL139+AM139*(J139/Basis!$E$5)^2)*0.0098)/Basis!$E$10)</f>
        <v>2.8421620075424408E-2</v>
      </c>
      <c r="M139" s="85"/>
      <c r="N139" s="185">
        <v>1.385</v>
      </c>
      <c r="O139" s="186"/>
      <c r="P139" s="187">
        <v>2152</v>
      </c>
      <c r="R139" s="2"/>
      <c r="S139" s="2"/>
      <c r="T139" s="2"/>
      <c r="U139" s="2"/>
      <c r="V139" s="2"/>
      <c r="X139" s="38"/>
      <c r="Y139" s="38"/>
      <c r="Z139" s="38"/>
      <c r="AA139" s="38"/>
      <c r="AB139" s="38"/>
      <c r="AD139" s="2"/>
      <c r="AE139" s="2"/>
      <c r="AF139" s="2"/>
      <c r="AG139" s="2"/>
      <c r="AH139" s="2"/>
      <c r="AJ139" s="126">
        <v>3.9689999999999994E-4</v>
      </c>
      <c r="AK139" s="132">
        <v>1.7345999999999999</v>
      </c>
      <c r="AL139" s="129">
        <v>2</v>
      </c>
      <c r="AM139" s="126">
        <v>3.6734700000000002E-4</v>
      </c>
      <c r="AO139" s="10"/>
      <c r="AP139" s="10"/>
      <c r="AQ139" s="10"/>
      <c r="AR139" s="10"/>
      <c r="AS139" s="10"/>
      <c r="AU139" s="2"/>
      <c r="AV139" s="2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</row>
    <row r="140" spans="1:73" customFormat="1" ht="12.75" customHeight="1" x14ac:dyDescent="0.25">
      <c r="A140" s="72" t="s">
        <v>20</v>
      </c>
      <c r="B140" s="184" t="s">
        <v>3089</v>
      </c>
      <c r="C140" s="44" t="s">
        <v>3076</v>
      </c>
      <c r="D140" s="45">
        <f>MROUND(MID($C140,6,3)/Basis!$E$3,0.5)</f>
        <v>25.5</v>
      </c>
      <c r="E140" s="45">
        <f>MROUND(MID($C140,9,3)/Basis!$E$3,0.5)</f>
        <v>78.5</v>
      </c>
      <c r="F140" s="237" t="str">
        <f t="shared" si="2"/>
        <v>15</v>
      </c>
      <c r="G140" s="45">
        <f>ROUND((ROUNDDOWN($F140/5,0)*5+2.2)/Basis!$E$3,1)</f>
        <v>6.8</v>
      </c>
      <c r="H140" s="120">
        <f>ROUND($P140*Basis!$E$2*((TaH-TrH)/LN(1/µ)/Basis!$E$7)^$N140*$AA$4*Glycol,0)</f>
        <v>7521</v>
      </c>
      <c r="I140" s="83">
        <f>ROUND(H140/(MID($C140,9,3)/Basis!$E$3/Basis!$E$9)*Basis!$E$11,0)</f>
        <v>1146</v>
      </c>
      <c r="J140" s="123">
        <f>IF(Basis!$E$1=1,ROUND(H140/((TaH-TrH)*1.163)/3600,3),ROUND(H140/(500*(TaH-TrH)),2))</f>
        <v>0.75</v>
      </c>
      <c r="K140" s="84"/>
      <c r="L140" s="177">
        <f>CHOOSE(Basis!$E$1,((AJ140*(J140*3600/Basis!$E$5)^AK140*(((MID(C140,9,3)*10)-144)/1000)*AL140+AM140*(J140*3600/Basis!$E$5)^2)*0.0098)/Basis!$E$10,((AJ140*(J140/Basis!$E$5)^AK140*(((MID(C140,9,3)*10)-144)/1000)*AL140+AM140*(J140/Basis!$E$5)^2)*0.0098)/Basis!$E$10)</f>
        <v>6.1583958819513666E-2</v>
      </c>
      <c r="M140" s="85"/>
      <c r="N140" s="185">
        <v>1.373</v>
      </c>
      <c r="O140" s="186"/>
      <c r="P140" s="187">
        <v>3468</v>
      </c>
      <c r="R140" s="2"/>
      <c r="S140" s="2"/>
      <c r="T140" s="2"/>
      <c r="U140" s="2"/>
      <c r="V140" s="2"/>
      <c r="X140" s="38"/>
      <c r="Y140" s="38"/>
      <c r="Z140" s="38"/>
      <c r="AA140" s="38"/>
      <c r="AB140" s="38"/>
      <c r="AD140" s="2"/>
      <c r="AE140" s="2"/>
      <c r="AF140" s="2"/>
      <c r="AG140" s="2"/>
      <c r="AH140" s="2"/>
      <c r="AJ140" s="125">
        <v>2.0829999999999999E-4</v>
      </c>
      <c r="AK140" s="131">
        <v>1.724</v>
      </c>
      <c r="AL140" s="128">
        <v>2</v>
      </c>
      <c r="AM140" s="125">
        <v>4.6182900000000003E-4</v>
      </c>
      <c r="AO140" s="10"/>
      <c r="AP140" s="10"/>
      <c r="AQ140" s="10"/>
      <c r="AR140" s="10"/>
      <c r="AS140" s="10"/>
      <c r="AU140" s="2"/>
      <c r="AV140" s="2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</row>
    <row r="141" spans="1:73" customFormat="1" ht="12.75" customHeight="1" x14ac:dyDescent="0.25">
      <c r="A141" s="72" t="s">
        <v>20</v>
      </c>
      <c r="B141" s="184" t="s">
        <v>3089</v>
      </c>
      <c r="C141" s="44" t="s">
        <v>3088</v>
      </c>
      <c r="D141" s="45">
        <f>MROUND(MID($C141,6,3)/Basis!$E$3,0.5)</f>
        <v>25.5</v>
      </c>
      <c r="E141" s="45">
        <f>MROUND(MID($C141,9,3)/Basis!$E$3,0.5)</f>
        <v>78.5</v>
      </c>
      <c r="F141" s="237" t="str">
        <f t="shared" si="2"/>
        <v>20</v>
      </c>
      <c r="G141" s="45">
        <f>ROUND((ROUNDDOWN($F141/5,0)*5+2.2)/Basis!$E$3,1)</f>
        <v>8.6999999999999993</v>
      </c>
      <c r="H141" s="120">
        <f>ROUND($P141*Basis!$E$2*((TaH-TrH)/LN(1/µ)/Basis!$E$7)^$N141*$AA$4*Glycol,0)</f>
        <v>10519</v>
      </c>
      <c r="I141" s="83">
        <f>ROUND(H141/(MID($C141,9,3)/Basis!$E$3/Basis!$E$9)*Basis!$E$11,0)</f>
        <v>1603</v>
      </c>
      <c r="J141" s="123">
        <f>IF(Basis!$E$1=1,ROUND(H141/((TaH-TrH)*1.163)/3600,3),ROUND(H141/(500*(TaH-TrH)),2))</f>
        <v>1.05</v>
      </c>
      <c r="K141" s="84"/>
      <c r="L141" s="177">
        <f>CHOOSE(Basis!$E$1,((AJ141*(J141*3600/Basis!$E$5)^AK141*(((MID(C141,9,3)*10)-144)/1000)*AL141+AM141*(J141*3600/Basis!$E$5)^2)*0.0098)/Basis!$E$10,((AJ141*(J141/Basis!$E$5)^AK141*(((MID(C141,9,3)*10)-144)/1000)*AL141+AM141*(J141/Basis!$E$5)^2)*0.0098)/Basis!$E$10)</f>
        <v>8.9252134968730135E-2</v>
      </c>
      <c r="M141" s="85"/>
      <c r="N141" s="185">
        <v>1.373</v>
      </c>
      <c r="O141" s="186"/>
      <c r="P141" s="187">
        <v>4850</v>
      </c>
      <c r="R141" s="2"/>
      <c r="S141" s="2"/>
      <c r="T141" s="2"/>
      <c r="U141" s="2"/>
      <c r="V141" s="2"/>
      <c r="X141" s="38"/>
      <c r="Y141" s="38"/>
      <c r="Z141" s="38"/>
      <c r="AA141" s="38"/>
      <c r="AB141" s="38"/>
      <c r="AD141" s="2"/>
      <c r="AE141" s="2"/>
      <c r="AF141" s="2"/>
      <c r="AG141" s="2"/>
      <c r="AH141" s="2"/>
      <c r="AJ141" s="126">
        <v>1.2760000000000001E-4</v>
      </c>
      <c r="AK141" s="132">
        <v>1.7219</v>
      </c>
      <c r="AL141" s="129">
        <v>2</v>
      </c>
      <c r="AM141" s="126">
        <v>3.76611E-4</v>
      </c>
      <c r="AO141" s="10"/>
      <c r="AP141" s="10"/>
      <c r="AQ141" s="10"/>
      <c r="AR141" s="10"/>
      <c r="AS141" s="10"/>
      <c r="AU141" s="2"/>
      <c r="AV141" s="2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</row>
    <row r="142" spans="1:73" customFormat="1" ht="12.75" customHeight="1" x14ac:dyDescent="0.25">
      <c r="A142" s="72" t="s">
        <v>20</v>
      </c>
      <c r="B142" s="184" t="s">
        <v>3089</v>
      </c>
      <c r="C142" s="236" t="s">
        <v>4099</v>
      </c>
      <c r="D142" s="45">
        <f>MROUND(MID($C142,6,3)/Basis!$E$3,0.5)</f>
        <v>25.5</v>
      </c>
      <c r="E142" s="45">
        <f>MROUND(MID($C142,9,3)/Basis!$E$3,0.5)</f>
        <v>86.5</v>
      </c>
      <c r="F142" s="237" t="str">
        <f t="shared" si="2"/>
        <v>10</v>
      </c>
      <c r="G142" s="45">
        <f>ROUND((ROUNDDOWN($F142/5,0)*5+2.2)/Basis!$E$3,1)</f>
        <v>4.8</v>
      </c>
      <c r="H142" s="120">
        <f>ROUND($P142*Basis!$E$2*((TaH-TrH)/LN(1/µ)/Basis!$E$7)^$N142*$AA$4*Glycol,0)</f>
        <v>5113</v>
      </c>
      <c r="I142" s="83">
        <f>ROUND(H142/(MID($C142,9,3)/Basis!$E$3/Basis!$E$9)*Basis!$E$11,0)</f>
        <v>708</v>
      </c>
      <c r="J142" s="123">
        <f>IF(Basis!$E$1=1,ROUND(H142/((TaH-TrH)*1.163)/3600,3),ROUND(H142/(500*(TaH-TrH)),2))</f>
        <v>0.51</v>
      </c>
      <c r="K142" s="84"/>
      <c r="L142" s="177">
        <f>CHOOSE(Basis!$E$1,((AJ142*(J142*3600/Basis!$E$5)^AK142*(((MID(C142,9,3)*10)-144)/1000)*AL142+AM142*(J142*3600/Basis!$E$5)^2)*0.0098)/Basis!$E$10,((AJ142*(J142/Basis!$E$5)^AK142*(((MID(C142,9,3)*10)-144)/1000)*AL142+AM142*(J142/Basis!$E$5)^2)*0.0098)/Basis!$E$10)</f>
        <v>3.6400875355354453E-2</v>
      </c>
      <c r="M142" s="85"/>
      <c r="N142" s="185">
        <v>1.385</v>
      </c>
      <c r="O142" s="186"/>
      <c r="P142" s="187">
        <v>2367</v>
      </c>
      <c r="R142" s="2"/>
      <c r="S142" s="2"/>
      <c r="T142" s="2"/>
      <c r="U142" s="2"/>
      <c r="V142" s="2"/>
      <c r="X142" s="38"/>
      <c r="Y142" s="38"/>
      <c r="Z142" s="38"/>
      <c r="AA142" s="38"/>
      <c r="AB142" s="38"/>
      <c r="AD142" s="2"/>
      <c r="AE142" s="2"/>
      <c r="AF142" s="2"/>
      <c r="AG142" s="2"/>
      <c r="AH142" s="2"/>
      <c r="AJ142" s="126">
        <v>3.9689999999999994E-4</v>
      </c>
      <c r="AK142" s="132">
        <v>1.7345999999999999</v>
      </c>
      <c r="AL142" s="129">
        <v>2</v>
      </c>
      <c r="AM142" s="126">
        <v>3.6734700000000002E-4</v>
      </c>
      <c r="AO142" s="10"/>
      <c r="AP142" s="10"/>
      <c r="AQ142" s="10"/>
      <c r="AR142" s="10"/>
      <c r="AS142" s="10"/>
      <c r="AU142" s="2"/>
      <c r="AV142" s="2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</row>
    <row r="143" spans="1:73" customFormat="1" ht="12.75" customHeight="1" x14ac:dyDescent="0.25">
      <c r="A143" s="72" t="s">
        <v>20</v>
      </c>
      <c r="B143" s="184" t="s">
        <v>3089</v>
      </c>
      <c r="C143" s="236" t="s">
        <v>4101</v>
      </c>
      <c r="D143" s="45">
        <f>MROUND(MID($C143,6,3)/Basis!$E$3,0.5)</f>
        <v>25.5</v>
      </c>
      <c r="E143" s="45">
        <f>MROUND(MID($C143,9,3)/Basis!$E$3,0.5)</f>
        <v>86.5</v>
      </c>
      <c r="F143" s="237" t="str">
        <f t="shared" si="2"/>
        <v>15</v>
      </c>
      <c r="G143" s="45">
        <f>ROUND((ROUNDDOWN($F143/5,0)*5+2.2)/Basis!$E$3,1)</f>
        <v>6.8</v>
      </c>
      <c r="H143" s="120">
        <f>ROUND($P143*Basis!$E$2*((TaH-TrH)/LN(1/µ)/Basis!$E$7)^$N143*$AA$4*Glycol,0)</f>
        <v>8274</v>
      </c>
      <c r="I143" s="83">
        <f>ROUND(H143/(MID($C143,9,3)/Basis!$E$3/Basis!$E$9)*Basis!$E$11,0)</f>
        <v>1146</v>
      </c>
      <c r="J143" s="123">
        <f>IF(Basis!$E$1=1,ROUND(H143/((TaH-TrH)*1.163)/3600,3),ROUND(H143/(500*(TaH-TrH)),2))</f>
        <v>0.83</v>
      </c>
      <c r="K143" s="84"/>
      <c r="L143" s="177">
        <f>CHOOSE(Basis!$E$1,((AJ143*(J143*3600/Basis!$E$5)^AK143*(((MID(C143,9,3)*10)-144)/1000)*AL143+AM143*(J143*3600/Basis!$E$5)^2)*0.0098)/Basis!$E$10,((AJ143*(J143/Basis!$E$5)^AK143*(((MID(C143,9,3)*10)-144)/1000)*AL143+AM143*(J143/Basis!$E$5)^2)*0.0098)/Basis!$E$10)</f>
        <v>7.710240082934039E-2</v>
      </c>
      <c r="M143" s="85"/>
      <c r="N143" s="185">
        <v>1.373</v>
      </c>
      <c r="O143" s="186"/>
      <c r="P143" s="187">
        <v>3815</v>
      </c>
      <c r="R143" s="2"/>
      <c r="S143" s="2"/>
      <c r="T143" s="2"/>
      <c r="U143" s="2"/>
      <c r="V143" s="2"/>
      <c r="X143" s="38"/>
      <c r="Y143" s="38"/>
      <c r="Z143" s="38"/>
      <c r="AA143" s="38"/>
      <c r="AB143" s="38"/>
      <c r="AD143" s="2"/>
      <c r="AE143" s="2"/>
      <c r="AF143" s="2"/>
      <c r="AG143" s="2"/>
      <c r="AH143" s="2"/>
      <c r="AJ143" s="125">
        <v>2.0829999999999999E-4</v>
      </c>
      <c r="AK143" s="131">
        <v>1.724</v>
      </c>
      <c r="AL143" s="128">
        <v>2</v>
      </c>
      <c r="AM143" s="125">
        <v>4.6182900000000003E-4</v>
      </c>
      <c r="AO143" s="10"/>
      <c r="AP143" s="10"/>
      <c r="AQ143" s="10"/>
      <c r="AR143" s="10"/>
      <c r="AS143" s="10"/>
      <c r="AU143" s="2"/>
      <c r="AV143" s="2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</row>
    <row r="144" spans="1:73" customFormat="1" ht="12.75" customHeight="1" x14ac:dyDescent="0.25">
      <c r="A144" s="72" t="s">
        <v>20</v>
      </c>
      <c r="B144" s="184" t="s">
        <v>3089</v>
      </c>
      <c r="C144" s="236" t="s">
        <v>4103</v>
      </c>
      <c r="D144" s="45">
        <f>MROUND(MID($C144,6,3)/Basis!$E$3,0.5)</f>
        <v>25.5</v>
      </c>
      <c r="E144" s="45">
        <f>MROUND(MID($C144,9,3)/Basis!$E$3,0.5)</f>
        <v>86.5</v>
      </c>
      <c r="F144" s="237" t="str">
        <f t="shared" si="2"/>
        <v>20</v>
      </c>
      <c r="G144" s="45">
        <f>ROUND((ROUNDDOWN($F144/5,0)*5+2.2)/Basis!$E$3,1)</f>
        <v>8.6999999999999993</v>
      </c>
      <c r="H144" s="120">
        <f>ROUND($P144*Basis!$E$2*((TaH-TrH)/LN(1/µ)/Basis!$E$7)^$N144*$AA$4*Glycol,0)</f>
        <v>11571</v>
      </c>
      <c r="I144" s="83">
        <f>ROUND(H144/(MID($C144,9,3)/Basis!$E$3/Basis!$E$9)*Basis!$E$11,0)</f>
        <v>1603</v>
      </c>
      <c r="J144" s="123">
        <f>IF(Basis!$E$1=1,ROUND(H144/((TaH-TrH)*1.163)/3600,3),ROUND(H144/(500*(TaH-TrH)),2))</f>
        <v>1.1599999999999999</v>
      </c>
      <c r="K144" s="84"/>
      <c r="L144" s="177">
        <f>CHOOSE(Basis!$E$1,((AJ144*(J144*3600/Basis!$E$5)^AK144*(((MID(C144,9,3)*10)-144)/1000)*AL144+AM144*(J144*3600/Basis!$E$5)^2)*0.0098)/Basis!$E$10,((AJ144*(J144/Basis!$E$5)^AK144*(((MID(C144,9,3)*10)-144)/1000)*AL144+AM144*(J144/Basis!$E$5)^2)*0.0098)/Basis!$E$10)</f>
        <v>0.11074963722301349</v>
      </c>
      <c r="M144" s="85"/>
      <c r="N144" s="185">
        <v>1.373</v>
      </c>
      <c r="O144" s="186"/>
      <c r="P144" s="187">
        <v>5335</v>
      </c>
      <c r="R144" s="2"/>
      <c r="S144" s="2"/>
      <c r="T144" s="2"/>
      <c r="U144" s="2"/>
      <c r="V144" s="2"/>
      <c r="X144" s="38"/>
      <c r="Y144" s="38"/>
      <c r="Z144" s="38"/>
      <c r="AA144" s="38"/>
      <c r="AB144" s="38"/>
      <c r="AD144" s="2"/>
      <c r="AE144" s="2"/>
      <c r="AF144" s="2"/>
      <c r="AG144" s="2"/>
      <c r="AH144" s="2"/>
      <c r="AJ144" s="126">
        <v>1.2760000000000001E-4</v>
      </c>
      <c r="AK144" s="132">
        <v>1.7219</v>
      </c>
      <c r="AL144" s="129">
        <v>2</v>
      </c>
      <c r="AM144" s="126">
        <v>3.76611E-4</v>
      </c>
      <c r="AO144" s="10"/>
      <c r="AP144" s="10"/>
      <c r="AQ144" s="10"/>
      <c r="AR144" s="10"/>
      <c r="AS144" s="10"/>
      <c r="AU144" s="2"/>
      <c r="AV144" s="2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</row>
    <row r="145" spans="1:73" customFormat="1" ht="12.75" customHeight="1" x14ac:dyDescent="0.25">
      <c r="A145" s="72" t="s">
        <v>20</v>
      </c>
      <c r="B145" s="184" t="s">
        <v>3089</v>
      </c>
      <c r="C145" s="44" t="s">
        <v>4054</v>
      </c>
      <c r="D145" s="45">
        <f>MROUND(MID($C145,6,3)/Basis!$E$3,0.5)</f>
        <v>25.5</v>
      </c>
      <c r="E145" s="45">
        <f>MROUND(MID($C145,9,3)/Basis!$E$3,0.5)</f>
        <v>94.5</v>
      </c>
      <c r="F145" s="237" t="str">
        <f t="shared" si="2"/>
        <v>10</v>
      </c>
      <c r="G145" s="45">
        <f>ROUND((ROUNDDOWN($F145/5,0)*5+2.2)/Basis!$E$3,1)</f>
        <v>4.8</v>
      </c>
      <c r="H145" s="120">
        <f>ROUND($P145*Basis!$E$2*((TaH-TrH)/LN(1/µ)/Basis!$E$7)^$N145*$AA$4*Glycol,0)</f>
        <v>5578</v>
      </c>
      <c r="I145" s="83">
        <f>ROUND(H145/(MID($C145,9,3)/Basis!$E$3/Basis!$E$9)*Basis!$E$11,0)</f>
        <v>708</v>
      </c>
      <c r="J145" s="123">
        <f>IF(Basis!$E$1=1,ROUND(H145/((TaH-TrH)*1.163)/3600,3),ROUND(H145/(500*(TaH-TrH)),2))</f>
        <v>0.56000000000000005</v>
      </c>
      <c r="K145" s="84"/>
      <c r="L145" s="177">
        <f>CHOOSE(Basis!$E$1,((AJ145*(J145*3600/Basis!$E$5)^AK145*(((MID(C145,9,3)*10)-144)/1000)*AL145+AM145*(J145*3600/Basis!$E$5)^2)*0.0098)/Basis!$E$10,((AJ145*(J145/Basis!$E$5)^AK145*(((MID(C145,9,3)*10)-144)/1000)*AL145+AM145*(J145/Basis!$E$5)^2)*0.0098)/Basis!$E$10)</f>
        <v>4.5609367140711739E-2</v>
      </c>
      <c r="M145" s="85"/>
      <c r="N145" s="185">
        <v>1.385</v>
      </c>
      <c r="O145" s="186"/>
      <c r="P145" s="187">
        <v>2582</v>
      </c>
      <c r="R145" s="2"/>
      <c r="S145" s="2"/>
      <c r="T145" s="2"/>
      <c r="U145" s="2"/>
      <c r="V145" s="2"/>
      <c r="X145" s="38"/>
      <c r="Y145" s="38"/>
      <c r="Z145" s="38"/>
      <c r="AA145" s="38"/>
      <c r="AB145" s="38"/>
      <c r="AD145" s="2"/>
      <c r="AE145" s="2"/>
      <c r="AF145" s="2"/>
      <c r="AG145" s="2"/>
      <c r="AH145" s="2"/>
      <c r="AJ145" s="126">
        <v>3.9689999999999994E-4</v>
      </c>
      <c r="AK145" s="132">
        <v>1.7345999999999999</v>
      </c>
      <c r="AL145" s="129">
        <v>2</v>
      </c>
      <c r="AM145" s="126">
        <v>3.6734700000000002E-4</v>
      </c>
      <c r="AO145" s="10"/>
      <c r="AP145" s="10"/>
      <c r="AQ145" s="10"/>
      <c r="AR145" s="10"/>
      <c r="AS145" s="10"/>
      <c r="AU145" s="2"/>
      <c r="AV145" s="2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</row>
    <row r="146" spans="1:73" customFormat="1" ht="12.75" customHeight="1" x14ac:dyDescent="0.25">
      <c r="A146" s="72" t="s">
        <v>20</v>
      </c>
      <c r="B146" s="184" t="s">
        <v>3089</v>
      </c>
      <c r="C146" s="44" t="s">
        <v>4060</v>
      </c>
      <c r="D146" s="45">
        <f>MROUND(MID($C146,6,3)/Basis!$E$3,0.5)</f>
        <v>25.5</v>
      </c>
      <c r="E146" s="45">
        <f>MROUND(MID($C146,9,3)/Basis!$E$3,0.5)</f>
        <v>94.5</v>
      </c>
      <c r="F146" s="237" t="str">
        <f t="shared" si="2"/>
        <v>15</v>
      </c>
      <c r="G146" s="45">
        <f>ROUND((ROUNDDOWN($F146/5,0)*5+2.2)/Basis!$E$3,1)</f>
        <v>6.8</v>
      </c>
      <c r="H146" s="120">
        <f>ROUND($P146*Basis!$E$2*((TaH-TrH)/LN(1/µ)/Basis!$E$7)^$N146*$AA$4*Glycol,0)</f>
        <v>9027</v>
      </c>
      <c r="I146" s="83">
        <f>ROUND(H146/(MID($C146,9,3)/Basis!$E$3/Basis!$E$9)*Basis!$E$11,0)</f>
        <v>1146</v>
      </c>
      <c r="J146" s="123">
        <f>IF(Basis!$E$1=1,ROUND(H146/((TaH-TrH)*1.163)/3600,3),ROUND(H146/(500*(TaH-TrH)),2))</f>
        <v>0.9</v>
      </c>
      <c r="K146" s="84"/>
      <c r="L146" s="177">
        <f>CHOOSE(Basis!$E$1,((AJ146*(J146*3600/Basis!$E$5)^AK146*(((MID(C146,9,3)*10)-144)/1000)*AL146+AM146*(J146*3600/Basis!$E$5)^2)*0.0098)/Basis!$E$10,((AJ146*(J146/Basis!$E$5)^AK146*(((MID(C146,9,3)*10)-144)/1000)*AL146+AM146*(J146/Basis!$E$5)^2)*0.0098)/Basis!$E$10)</f>
        <v>9.2668637111770535E-2</v>
      </c>
      <c r="M146" s="85"/>
      <c r="N146" s="185">
        <v>1.373</v>
      </c>
      <c r="O146" s="186"/>
      <c r="P146" s="187">
        <v>4162</v>
      </c>
      <c r="R146" s="2"/>
      <c r="S146" s="2"/>
      <c r="T146" s="2"/>
      <c r="U146" s="2"/>
      <c r="V146" s="2"/>
      <c r="X146" s="38"/>
      <c r="Y146" s="38"/>
      <c r="Z146" s="38"/>
      <c r="AA146" s="38"/>
      <c r="AB146" s="38"/>
      <c r="AD146" s="2"/>
      <c r="AE146" s="2"/>
      <c r="AF146" s="2"/>
      <c r="AG146" s="2"/>
      <c r="AH146" s="2"/>
      <c r="AJ146" s="125">
        <v>2.0829999999999999E-4</v>
      </c>
      <c r="AK146" s="131">
        <v>1.724</v>
      </c>
      <c r="AL146" s="128">
        <v>2</v>
      </c>
      <c r="AM146" s="125">
        <v>4.6182900000000003E-4</v>
      </c>
      <c r="AO146" s="10"/>
      <c r="AP146" s="10"/>
      <c r="AQ146" s="10"/>
      <c r="AR146" s="10"/>
      <c r="AS146" s="10"/>
      <c r="AU146" s="2"/>
      <c r="AV146" s="2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</row>
    <row r="147" spans="1:73" customFormat="1" ht="12.75" customHeight="1" x14ac:dyDescent="0.25">
      <c r="A147" s="72" t="s">
        <v>20</v>
      </c>
      <c r="B147" s="184" t="s">
        <v>3089</v>
      </c>
      <c r="C147" s="44" t="s">
        <v>4064</v>
      </c>
      <c r="D147" s="45">
        <f>MROUND(MID($C147,6,3)/Basis!$E$3,0.5)</f>
        <v>25.5</v>
      </c>
      <c r="E147" s="45">
        <f>MROUND(MID($C147,9,3)/Basis!$E$3,0.5)</f>
        <v>94.5</v>
      </c>
      <c r="F147" s="237" t="str">
        <f t="shared" si="2"/>
        <v>20</v>
      </c>
      <c r="G147" s="45">
        <f>ROUND((ROUNDDOWN($F147/5,0)*5+2.2)/Basis!$E$3,1)</f>
        <v>8.6999999999999993</v>
      </c>
      <c r="H147" s="120">
        <f>ROUND($P147*Basis!$E$2*((TaH-TrH)/LN(1/µ)/Basis!$E$7)^$N147*$AA$4*Glycol,0)</f>
        <v>12623</v>
      </c>
      <c r="I147" s="83">
        <f>ROUND(H147/(MID($C147,9,3)/Basis!$E$3/Basis!$E$9)*Basis!$E$11,0)</f>
        <v>1603</v>
      </c>
      <c r="J147" s="123">
        <f>IF(Basis!$E$1=1,ROUND(H147/((TaH-TrH)*1.163)/3600,3),ROUND(H147/(500*(TaH-TrH)),2))</f>
        <v>1.26</v>
      </c>
      <c r="K147" s="84"/>
      <c r="L147" s="177">
        <f>CHOOSE(Basis!$E$1,((AJ147*(J147*3600/Basis!$E$5)^AK147*(((MID(C147,9,3)*10)-144)/1000)*AL147+AM147*(J147*3600/Basis!$E$5)^2)*0.0098)/Basis!$E$10,((AJ147*(J147/Basis!$E$5)^AK147*(((MID(C147,9,3)*10)-144)/1000)*AL147+AM147*(J147/Basis!$E$5)^2)*0.0098)/Basis!$E$10)</f>
        <v>0.13282423173561977</v>
      </c>
      <c r="M147" s="85"/>
      <c r="N147" s="185">
        <v>1.373</v>
      </c>
      <c r="O147" s="186"/>
      <c r="P147" s="187">
        <v>5820</v>
      </c>
      <c r="R147" s="2"/>
      <c r="S147" s="2"/>
      <c r="T147" s="2"/>
      <c r="U147" s="2"/>
      <c r="V147" s="2"/>
      <c r="X147" s="38"/>
      <c r="Y147" s="38"/>
      <c r="Z147" s="38"/>
      <c r="AA147" s="38"/>
      <c r="AB147" s="38"/>
      <c r="AD147" s="2"/>
      <c r="AE147" s="2"/>
      <c r="AF147" s="2"/>
      <c r="AG147" s="2"/>
      <c r="AH147" s="2"/>
      <c r="AJ147" s="126">
        <v>1.2760000000000001E-4</v>
      </c>
      <c r="AK147" s="132">
        <v>1.7219</v>
      </c>
      <c r="AL147" s="129">
        <v>2</v>
      </c>
      <c r="AM147" s="126">
        <v>3.76611E-4</v>
      </c>
      <c r="AO147" s="10"/>
      <c r="AP147" s="10"/>
      <c r="AQ147" s="10"/>
      <c r="AR147" s="10"/>
      <c r="AS147" s="10"/>
      <c r="AU147" s="2"/>
      <c r="AV147" s="2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</row>
    <row r="148" spans="1:73" customFormat="1" ht="12.75" customHeight="1" x14ac:dyDescent="0.25">
      <c r="A148" s="72" t="s">
        <v>20</v>
      </c>
      <c r="B148" s="184" t="s">
        <v>3089</v>
      </c>
      <c r="C148" s="236" t="s">
        <v>4100</v>
      </c>
      <c r="D148" s="45">
        <f>MROUND(MID($C148,6,3)/Basis!$E$3,0.5)</f>
        <v>25.5</v>
      </c>
      <c r="E148" s="45">
        <f>MROUND(MID($C148,9,3)/Basis!$E$3,0.5)</f>
        <v>102.5</v>
      </c>
      <c r="F148" s="237" t="str">
        <f t="shared" si="2"/>
        <v>10</v>
      </c>
      <c r="G148" s="45">
        <f>ROUND((ROUNDDOWN($F148/5,0)*5+2.2)/Basis!$E$3,1)</f>
        <v>4.8</v>
      </c>
      <c r="H148" s="120">
        <f>ROUND($P148*Basis!$E$2*((TaH-TrH)/LN(1/µ)/Basis!$E$7)^$N148*$AA$4*Glycol,0)</f>
        <v>6044</v>
      </c>
      <c r="I148" s="83">
        <f>ROUND(H148/(MID($C148,9,3)/Basis!$E$3/Basis!$E$9)*Basis!$E$11,0)</f>
        <v>709</v>
      </c>
      <c r="J148" s="123">
        <f>IF(Basis!$E$1=1,ROUND(H148/((TaH-TrH)*1.163)/3600,3),ROUND(H148/(500*(TaH-TrH)),2))</f>
        <v>0.6</v>
      </c>
      <c r="K148" s="84"/>
      <c r="L148" s="177">
        <f>CHOOSE(Basis!$E$1,((AJ148*(J148*3600/Basis!$E$5)^AK148*(((MID(C148,9,3)*10)-144)/1000)*AL148+AM148*(J148*3600/Basis!$E$5)^2)*0.0098)/Basis!$E$10,((AJ148*(J148/Basis!$E$5)^AK148*(((MID(C148,9,3)*10)-144)/1000)*AL148+AM148*(J148/Basis!$E$5)^2)*0.0098)/Basis!$E$10)</f>
        <v>5.4428266568016227E-2</v>
      </c>
      <c r="M148" s="85"/>
      <c r="N148" s="185">
        <v>1.385</v>
      </c>
      <c r="O148" s="186"/>
      <c r="P148" s="187">
        <v>2798</v>
      </c>
      <c r="R148" s="2"/>
      <c r="S148" s="2"/>
      <c r="T148" s="2"/>
      <c r="U148" s="2"/>
      <c r="V148" s="2"/>
      <c r="X148" s="38"/>
      <c r="Y148" s="38"/>
      <c r="Z148" s="38"/>
      <c r="AA148" s="38"/>
      <c r="AB148" s="38"/>
      <c r="AD148" s="2"/>
      <c r="AE148" s="2"/>
      <c r="AF148" s="2"/>
      <c r="AG148" s="2"/>
      <c r="AH148" s="2"/>
      <c r="AJ148" s="126">
        <v>3.9689999999999994E-4</v>
      </c>
      <c r="AK148" s="132">
        <v>1.7345999999999999</v>
      </c>
      <c r="AL148" s="129">
        <v>2</v>
      </c>
      <c r="AM148" s="126">
        <v>3.6734700000000002E-4</v>
      </c>
      <c r="AO148" s="10"/>
      <c r="AP148" s="10"/>
      <c r="AQ148" s="10"/>
      <c r="AR148" s="10"/>
      <c r="AS148" s="10"/>
      <c r="AU148" s="2"/>
      <c r="AV148" s="2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</row>
    <row r="149" spans="1:73" customFormat="1" ht="12.75" customHeight="1" x14ac:dyDescent="0.25">
      <c r="A149" s="72" t="s">
        <v>20</v>
      </c>
      <c r="B149" s="184" t="s">
        <v>3089</v>
      </c>
      <c r="C149" s="236" t="s">
        <v>4102</v>
      </c>
      <c r="D149" s="45">
        <f>MROUND(MID($C149,6,3)/Basis!$E$3,0.5)</f>
        <v>25.5</v>
      </c>
      <c r="E149" s="45">
        <f>MROUND(MID($C149,9,3)/Basis!$E$3,0.5)</f>
        <v>102.5</v>
      </c>
      <c r="F149" s="237" t="str">
        <f t="shared" si="2"/>
        <v>15</v>
      </c>
      <c r="G149" s="45">
        <f>ROUND((ROUNDDOWN($F149/5,0)*5+2.2)/Basis!$E$3,1)</f>
        <v>6.8</v>
      </c>
      <c r="H149" s="120">
        <f>ROUND($P149*Basis!$E$2*((TaH-TrH)/LN(1/µ)/Basis!$E$7)^$N149*$AA$4*Glycol,0)</f>
        <v>9777</v>
      </c>
      <c r="I149" s="83">
        <f>ROUND(H149/(MID($C149,9,3)/Basis!$E$3/Basis!$E$9)*Basis!$E$11,0)</f>
        <v>1146</v>
      </c>
      <c r="J149" s="123">
        <f>IF(Basis!$E$1=1,ROUND(H149/((TaH-TrH)*1.163)/3600,3),ROUND(H149/(500*(TaH-TrH)),2))</f>
        <v>0.98</v>
      </c>
      <c r="K149" s="84"/>
      <c r="L149" s="177">
        <f>CHOOSE(Basis!$E$1,((AJ149*(J149*3600/Basis!$E$5)^AK149*(((MID(C149,9,3)*10)-144)/1000)*AL149+AM149*(J149*3600/Basis!$E$5)^2)*0.0098)/Basis!$E$10,((AJ149*(J149/Basis!$E$5)^AK149*(((MID(C149,9,3)*10)-144)/1000)*AL149+AM149*(J149/Basis!$E$5)^2)*0.0098)/Basis!$E$10)</f>
        <v>0.11209699301970286</v>
      </c>
      <c r="M149" s="85"/>
      <c r="N149" s="185">
        <v>1.373</v>
      </c>
      <c r="O149" s="186"/>
      <c r="P149" s="187">
        <v>4508</v>
      </c>
      <c r="R149" s="2"/>
      <c r="S149" s="2"/>
      <c r="T149" s="2"/>
      <c r="U149" s="2"/>
      <c r="V149" s="2"/>
      <c r="X149" s="38"/>
      <c r="Y149" s="38"/>
      <c r="Z149" s="38"/>
      <c r="AA149" s="38"/>
      <c r="AB149" s="38"/>
      <c r="AD149" s="2"/>
      <c r="AE149" s="2"/>
      <c r="AF149" s="2"/>
      <c r="AG149" s="2"/>
      <c r="AH149" s="2"/>
      <c r="AJ149" s="125">
        <v>2.0829999999999999E-4</v>
      </c>
      <c r="AK149" s="131">
        <v>1.724</v>
      </c>
      <c r="AL149" s="128">
        <v>2</v>
      </c>
      <c r="AM149" s="125">
        <v>4.6182900000000003E-4</v>
      </c>
      <c r="AO149" s="10"/>
      <c r="AP149" s="10"/>
      <c r="AQ149" s="10"/>
      <c r="AR149" s="10"/>
      <c r="AS149" s="10"/>
      <c r="AU149" s="2"/>
      <c r="AV149" s="2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</row>
    <row r="150" spans="1:73" customFormat="1" ht="12.75" customHeight="1" x14ac:dyDescent="0.25">
      <c r="A150" s="72" t="s">
        <v>20</v>
      </c>
      <c r="B150" s="184" t="s">
        <v>3089</v>
      </c>
      <c r="C150" s="236" t="s">
        <v>4104</v>
      </c>
      <c r="D150" s="45">
        <f>MROUND(MID($C150,6,3)/Basis!$E$3,0.5)</f>
        <v>25.5</v>
      </c>
      <c r="E150" s="45">
        <f>MROUND(MID($C150,9,3)/Basis!$E$3,0.5)</f>
        <v>102.5</v>
      </c>
      <c r="F150" s="237" t="str">
        <f t="shared" si="2"/>
        <v>20</v>
      </c>
      <c r="G150" s="45">
        <f>ROUND((ROUNDDOWN($F150/5,0)*5+2.2)/Basis!$E$3,1)</f>
        <v>8.6999999999999993</v>
      </c>
      <c r="H150" s="120">
        <f>ROUND($P150*Basis!$E$2*((TaH-TrH)/LN(1/µ)/Basis!$E$7)^$N150*$AA$4*Glycol,0)</f>
        <v>13674</v>
      </c>
      <c r="I150" s="83">
        <f>ROUND(H150/(MID($C150,9,3)/Basis!$E$3/Basis!$E$9)*Basis!$E$11,0)</f>
        <v>1603</v>
      </c>
      <c r="J150" s="123">
        <f>IF(Basis!$E$1=1,ROUND(H150/((TaH-TrH)*1.163)/3600,3),ROUND(H150/(500*(TaH-TrH)),2))</f>
        <v>1.37</v>
      </c>
      <c r="K150" s="84"/>
      <c r="L150" s="177">
        <f>CHOOSE(Basis!$E$1,((AJ150*(J150*3600/Basis!$E$5)^AK150*(((MID(C150,9,3)*10)-144)/1000)*AL150+AM150*(J150*3600/Basis!$E$5)^2)*0.0098)/Basis!$E$10,((AJ150*(J150/Basis!$E$5)^AK150*(((MID(C150,9,3)*10)-144)/1000)*AL150+AM150*(J150/Basis!$E$5)^2)*0.0098)/Basis!$E$10)</f>
        <v>0.15943247155741183</v>
      </c>
      <c r="M150" s="85"/>
      <c r="N150" s="185">
        <v>1.373</v>
      </c>
      <c r="O150" s="186"/>
      <c r="P150" s="187">
        <v>6305</v>
      </c>
      <c r="R150" s="2"/>
      <c r="S150" s="2"/>
      <c r="T150" s="2"/>
      <c r="U150" s="2"/>
      <c r="V150" s="2"/>
      <c r="X150" s="38"/>
      <c r="Y150" s="38"/>
      <c r="Z150" s="38"/>
      <c r="AA150" s="38"/>
      <c r="AB150" s="38"/>
      <c r="AD150" s="2"/>
      <c r="AE150" s="2"/>
      <c r="AF150" s="2"/>
      <c r="AG150" s="2"/>
      <c r="AH150" s="2"/>
      <c r="AJ150" s="126">
        <v>1.2760000000000001E-4</v>
      </c>
      <c r="AK150" s="132">
        <v>1.7219</v>
      </c>
      <c r="AL150" s="129">
        <v>2</v>
      </c>
      <c r="AM150" s="126">
        <v>3.76611E-4</v>
      </c>
      <c r="AO150" s="10"/>
      <c r="AP150" s="10"/>
      <c r="AQ150" s="10"/>
      <c r="AR150" s="10"/>
      <c r="AS150" s="10"/>
      <c r="AU150" s="2"/>
      <c r="AV150" s="2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</row>
    <row r="151" spans="1:73" customFormat="1" ht="12.75" customHeight="1" x14ac:dyDescent="0.25">
      <c r="A151" s="72" t="s">
        <v>20</v>
      </c>
      <c r="B151" s="184" t="s">
        <v>3089</v>
      </c>
      <c r="C151" s="44" t="s">
        <v>4055</v>
      </c>
      <c r="D151" s="45">
        <f>MROUND(MID($C151,6,3)/Basis!$E$3,0.5)</f>
        <v>25.5</v>
      </c>
      <c r="E151" s="45">
        <f>MROUND(MID($C151,9,3)/Basis!$E$3,0.5)</f>
        <v>110</v>
      </c>
      <c r="F151" s="237" t="str">
        <f t="shared" si="2"/>
        <v>10</v>
      </c>
      <c r="G151" s="45">
        <f>ROUND((ROUNDDOWN($F151/5,0)*5+2.2)/Basis!$E$3,1)</f>
        <v>4.8</v>
      </c>
      <c r="H151" s="120">
        <f>ROUND($P151*Basis!$E$2*((TaH-TrH)/LN(1/µ)/Basis!$E$7)^$N151*$AA$4*Glycol,0)</f>
        <v>6509</v>
      </c>
      <c r="I151" s="83">
        <f>ROUND(H151/(MID($C151,9,3)/Basis!$E$3/Basis!$E$9)*Basis!$E$11,0)</f>
        <v>709</v>
      </c>
      <c r="J151" s="123">
        <f>IF(Basis!$E$1=1,ROUND(H151/((TaH-TrH)*1.163)/3600,3),ROUND(H151/(500*(TaH-TrH)),2))</f>
        <v>0.65</v>
      </c>
      <c r="K151" s="84"/>
      <c r="L151" s="177">
        <f>CHOOSE(Basis!$E$1,((AJ151*(J151*3600/Basis!$E$5)^AK151*(((MID(C151,9,3)*10)-144)/1000)*AL151+AM151*(J151*3600/Basis!$E$5)^2)*0.0098)/Basis!$E$10,((AJ151*(J151/Basis!$E$5)^AK151*(((MID(C151,9,3)*10)-144)/1000)*AL151+AM151*(J151/Basis!$E$5)^2)*0.0098)/Basis!$E$10)</f>
        <v>6.609065502110871E-2</v>
      </c>
      <c r="M151" s="85"/>
      <c r="N151" s="185">
        <v>1.385</v>
      </c>
      <c r="O151" s="186"/>
      <c r="P151" s="187">
        <v>3013</v>
      </c>
      <c r="R151" s="2"/>
      <c r="S151" s="2"/>
      <c r="T151" s="2"/>
      <c r="U151" s="2"/>
      <c r="V151" s="2"/>
      <c r="X151" s="38"/>
      <c r="Y151" s="38"/>
      <c r="Z151" s="38"/>
      <c r="AA151" s="38"/>
      <c r="AB151" s="38"/>
      <c r="AD151" s="2"/>
      <c r="AE151" s="2"/>
      <c r="AF151" s="2"/>
      <c r="AG151" s="2"/>
      <c r="AH151" s="2"/>
      <c r="AJ151" s="126">
        <v>3.9689999999999994E-4</v>
      </c>
      <c r="AK151" s="132">
        <v>1.7345999999999999</v>
      </c>
      <c r="AL151" s="129">
        <v>2</v>
      </c>
      <c r="AM151" s="126">
        <v>3.6734700000000002E-4</v>
      </c>
      <c r="AO151" s="10"/>
      <c r="AP151" s="10"/>
      <c r="AQ151" s="10"/>
      <c r="AR151" s="10"/>
      <c r="AS151" s="10"/>
      <c r="AU151" s="2"/>
      <c r="AV151" s="2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</row>
    <row r="152" spans="1:73" customFormat="1" ht="12.75" customHeight="1" x14ac:dyDescent="0.25">
      <c r="A152" s="72" t="s">
        <v>20</v>
      </c>
      <c r="B152" s="184" t="s">
        <v>3089</v>
      </c>
      <c r="C152" s="44" t="s">
        <v>4061</v>
      </c>
      <c r="D152" s="45">
        <f>MROUND(MID($C152,6,3)/Basis!$E$3,0.5)</f>
        <v>25.5</v>
      </c>
      <c r="E152" s="45">
        <f>MROUND(MID($C152,9,3)/Basis!$E$3,0.5)</f>
        <v>110</v>
      </c>
      <c r="F152" s="237" t="str">
        <f t="shared" si="2"/>
        <v>15</v>
      </c>
      <c r="G152" s="45">
        <f>ROUND((ROUNDDOWN($F152/5,0)*5+2.2)/Basis!$E$3,1)</f>
        <v>6.8</v>
      </c>
      <c r="H152" s="120">
        <f>ROUND($P152*Basis!$E$2*((TaH-TrH)/LN(1/µ)/Basis!$E$7)^$N152*$AA$4*Glycol,0)</f>
        <v>10530</v>
      </c>
      <c r="I152" s="83">
        <f>ROUND(H152/(MID($C152,9,3)/Basis!$E$3/Basis!$E$9)*Basis!$E$11,0)</f>
        <v>1146</v>
      </c>
      <c r="J152" s="123">
        <f>IF(Basis!$E$1=1,ROUND(H152/((TaH-TrH)*1.163)/3600,3),ROUND(H152/(500*(TaH-TrH)),2))</f>
        <v>1.05</v>
      </c>
      <c r="K152" s="84"/>
      <c r="L152" s="177">
        <f>CHOOSE(Basis!$E$1,((AJ152*(J152*3600/Basis!$E$5)^AK152*(((MID(C152,9,3)*10)-144)/1000)*AL152+AM152*(J152*3600/Basis!$E$5)^2)*0.0098)/Basis!$E$10,((AJ152*(J152/Basis!$E$5)^AK152*(((MID(C152,9,3)*10)-144)/1000)*AL152+AM152*(J152/Basis!$E$5)^2)*0.0098)/Basis!$E$10)</f>
        <v>0.13129518631210635</v>
      </c>
      <c r="M152" s="85"/>
      <c r="N152" s="185">
        <v>1.373</v>
      </c>
      <c r="O152" s="186"/>
      <c r="P152" s="187">
        <v>4855</v>
      </c>
      <c r="R152" s="2"/>
      <c r="S152" s="2"/>
      <c r="T152" s="2"/>
      <c r="U152" s="2"/>
      <c r="V152" s="2"/>
      <c r="X152" s="38"/>
      <c r="Y152" s="38"/>
      <c r="Z152" s="38"/>
      <c r="AA152" s="38"/>
      <c r="AB152" s="38"/>
      <c r="AD152" s="2"/>
      <c r="AE152" s="2"/>
      <c r="AF152" s="2"/>
      <c r="AG152" s="2"/>
      <c r="AH152" s="2"/>
      <c r="AJ152" s="125">
        <v>2.0829999999999999E-4</v>
      </c>
      <c r="AK152" s="131">
        <v>1.724</v>
      </c>
      <c r="AL152" s="128">
        <v>2</v>
      </c>
      <c r="AM152" s="125">
        <v>4.6182900000000003E-4</v>
      </c>
      <c r="AO152" s="10"/>
      <c r="AP152" s="10"/>
      <c r="AQ152" s="10"/>
      <c r="AR152" s="10"/>
      <c r="AS152" s="10"/>
      <c r="AU152" s="2"/>
      <c r="AV152" s="2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</row>
    <row r="153" spans="1:73" customFormat="1" ht="12.75" customHeight="1" x14ac:dyDescent="0.25">
      <c r="A153" s="72" t="s">
        <v>20</v>
      </c>
      <c r="B153" s="184" t="s">
        <v>3089</v>
      </c>
      <c r="C153" s="44" t="s">
        <v>4065</v>
      </c>
      <c r="D153" s="45">
        <f>MROUND(MID($C153,6,3)/Basis!$E$3,0.5)</f>
        <v>25.5</v>
      </c>
      <c r="E153" s="45">
        <f>MROUND(MID($C153,9,3)/Basis!$E$3,0.5)</f>
        <v>110</v>
      </c>
      <c r="F153" s="237" t="str">
        <f t="shared" si="2"/>
        <v>20</v>
      </c>
      <c r="G153" s="45">
        <f>ROUND((ROUNDDOWN($F153/5,0)*5+2.2)/Basis!$E$3,1)</f>
        <v>8.6999999999999993</v>
      </c>
      <c r="H153" s="120">
        <f>ROUND($P153*Basis!$E$2*((TaH-TrH)/LN(1/µ)/Basis!$E$7)^$N153*$AA$4*Glycol,0)</f>
        <v>14726</v>
      </c>
      <c r="I153" s="83">
        <f>ROUND(H153/(MID($C153,9,3)/Basis!$E$3/Basis!$E$9)*Basis!$E$11,0)</f>
        <v>1603</v>
      </c>
      <c r="J153" s="123">
        <f>IF(Basis!$E$1=1,ROUND(H153/((TaH-TrH)*1.163)/3600,3),ROUND(H153/(500*(TaH-TrH)),2))</f>
        <v>1.47</v>
      </c>
      <c r="K153" s="84"/>
      <c r="L153" s="177">
        <f>CHOOSE(Basis!$E$1,((AJ153*(J153*3600/Basis!$E$5)^AK153*(((MID(C153,9,3)*10)-144)/1000)*AL153+AM153*(J153*3600/Basis!$E$5)^2)*0.0098)/Basis!$E$10,((AJ153*(J153/Basis!$E$5)^AK153*(((MID(C153,9,3)*10)-144)/1000)*AL153+AM153*(J153/Basis!$E$5)^2)*0.0098)/Basis!$E$10)</f>
        <v>0.18635501696180629</v>
      </c>
      <c r="M153" s="85"/>
      <c r="N153" s="185">
        <v>1.373</v>
      </c>
      <c r="O153" s="186"/>
      <c r="P153" s="187">
        <v>6790</v>
      </c>
      <c r="R153" s="2"/>
      <c r="S153" s="2"/>
      <c r="T153" s="2"/>
      <c r="U153" s="2"/>
      <c r="V153" s="2"/>
      <c r="X153" s="38"/>
      <c r="Y153" s="38"/>
      <c r="Z153" s="38"/>
      <c r="AA153" s="38"/>
      <c r="AB153" s="38"/>
      <c r="AD153" s="2"/>
      <c r="AE153" s="2"/>
      <c r="AF153" s="2"/>
      <c r="AG153" s="2"/>
      <c r="AH153" s="2"/>
      <c r="AJ153" s="126">
        <v>1.2760000000000001E-4</v>
      </c>
      <c r="AK153" s="132">
        <v>1.7219</v>
      </c>
      <c r="AL153" s="129">
        <v>2</v>
      </c>
      <c r="AM153" s="126">
        <v>3.76611E-4</v>
      </c>
      <c r="AO153" s="10"/>
      <c r="AP153" s="10"/>
      <c r="AQ153" s="10"/>
      <c r="AR153" s="10"/>
      <c r="AS153" s="10"/>
      <c r="AU153" s="2"/>
      <c r="AV153" s="2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</row>
    <row r="154" spans="1:73" ht="12.75" customHeight="1" x14ac:dyDescent="0.25">
      <c r="A154" s="72" t="s">
        <v>20</v>
      </c>
      <c r="B154" s="184" t="s">
        <v>3090</v>
      </c>
      <c r="C154" s="44" t="s">
        <v>3091</v>
      </c>
      <c r="D154" s="45">
        <f>MROUND(MID($C154,6,3)/Basis!$E$3,0.5)</f>
        <v>8</v>
      </c>
      <c r="E154" s="45">
        <f>MROUND(MID($C154,9,3)/Basis!$E$3,0.5)</f>
        <v>19.5</v>
      </c>
      <c r="F154" s="237" t="str">
        <f t="shared" si="2"/>
        <v>05</v>
      </c>
      <c r="G154" s="45">
        <f>ROUND((ROUNDDOWN($F154/5,0)*5+2.2)/Basis!$E$3,1)</f>
        <v>2.8</v>
      </c>
      <c r="H154" s="120">
        <f>ROUND($P154*Basis!$E$2*((TaH-TrH)/LN(1/µ)/Basis!$E$7)^$N154*$AA$4*Glycol,0)</f>
        <v>488</v>
      </c>
      <c r="I154" s="83">
        <f>ROUND(H154/(MID($C154,9,3)/Basis!$E$3/Basis!$E$9)*Basis!$E$11,0)</f>
        <v>297</v>
      </c>
      <c r="J154" s="123">
        <f>IF(Basis!$E$1=1,ROUND(H154/((TaH-TrH)*1.163)/3600,3),ROUND(H154/(500*(TaH-TrH)),2))</f>
        <v>0.05</v>
      </c>
      <c r="K154" s="84"/>
      <c r="L154" s="177">
        <f>CHOOSE(Basis!$E$1,((AJ154*(J154*3600/Basis!$E$5)^AK154*(((MID(C154,9,3)*10)-144)/1000)*AL154+AM154*(J154*3600/Basis!$E$5)^2)*0.0098)/Basis!$E$10,((AJ154*(J154/Basis!$E$5)^AK154*(((MID(C154,9,3)*10)-144)/1000)*AL154+AM154*(J154/Basis!$E$5)^2)*0.0098)/Basis!$E$10)</f>
        <v>3.5666802948877105E-4</v>
      </c>
      <c r="M154" s="85"/>
      <c r="N154" s="185">
        <v>1.399</v>
      </c>
      <c r="O154" s="186"/>
      <c r="P154" s="187">
        <v>227</v>
      </c>
      <c r="AJ154" s="191">
        <v>9.3669999999999995E-4</v>
      </c>
      <c r="AK154" s="192">
        <v>1.789841</v>
      </c>
      <c r="AL154" s="193">
        <v>2</v>
      </c>
      <c r="AM154" s="191">
        <v>4.4559999999999999E-4</v>
      </c>
    </row>
    <row r="155" spans="1:73" ht="12.75" customHeight="1" x14ac:dyDescent="0.25">
      <c r="A155" s="72" t="s">
        <v>20</v>
      </c>
      <c r="B155" s="184" t="s">
        <v>3090</v>
      </c>
      <c r="C155" s="44" t="s">
        <v>3103</v>
      </c>
      <c r="D155" s="45">
        <f>MROUND(MID($C155,6,3)/Basis!$E$3,0.5)</f>
        <v>8</v>
      </c>
      <c r="E155" s="45">
        <f>MROUND(MID($C155,9,3)/Basis!$E$3,0.5)</f>
        <v>19.5</v>
      </c>
      <c r="F155" s="237" t="str">
        <f t="shared" si="2"/>
        <v>10</v>
      </c>
      <c r="G155" s="45">
        <f>ROUND((ROUNDDOWN($F155/5,0)*5+2.2)/Basis!$E$3,1)</f>
        <v>4.8</v>
      </c>
      <c r="H155" s="120">
        <f>ROUND($P155*Basis!$E$2*((TaH-TrH)/LN(1/µ)/Basis!$E$7)^$N155*$AA$4*Glycol,0)</f>
        <v>702</v>
      </c>
      <c r="I155" s="83">
        <f>ROUND(H155/(MID($C155,9,3)/Basis!$E$3/Basis!$E$9)*Basis!$E$11,0)</f>
        <v>428</v>
      </c>
      <c r="J155" s="123">
        <f>IF(Basis!$E$1=1,ROUND(H155/((TaH-TrH)*1.163)/3600,3),ROUND(H155/(500*(TaH-TrH)),2))</f>
        <v>7.0000000000000007E-2</v>
      </c>
      <c r="K155" s="84"/>
      <c r="L155" s="177">
        <f>CHOOSE(Basis!$E$1,((AJ155*(J155*3600/Basis!$E$5)^AK155*(((MID(C155,9,3)*10)-144)/1000)*AL155+AM155*(J155*3600/Basis!$E$5)^2)*0.0098)/Basis!$E$10,((AJ155*(J155/Basis!$E$5)^AK155*(((MID(C155,9,3)*10)-144)/1000)*AL155+AM155*(J155/Basis!$E$5)^2)*0.0098)/Basis!$E$10)</f>
        <v>4.1569358515581553E-4</v>
      </c>
      <c r="M155" s="85"/>
      <c r="N155" s="185">
        <v>1.413</v>
      </c>
      <c r="O155" s="186"/>
      <c r="P155" s="187">
        <v>328</v>
      </c>
      <c r="AJ155" s="126">
        <v>3.9689999999999994E-4</v>
      </c>
      <c r="AK155" s="132">
        <v>1.7345999999999999</v>
      </c>
      <c r="AL155" s="129">
        <v>2</v>
      </c>
      <c r="AM155" s="126">
        <v>3.6734700000000002E-4</v>
      </c>
    </row>
    <row r="156" spans="1:73" ht="12.75" customHeight="1" x14ac:dyDescent="0.25">
      <c r="A156" s="72" t="s">
        <v>20</v>
      </c>
      <c r="B156" s="184" t="s">
        <v>3090</v>
      </c>
      <c r="C156" s="44" t="s">
        <v>3115</v>
      </c>
      <c r="D156" s="45">
        <f>MROUND(MID($C156,6,3)/Basis!$E$3,0.5)</f>
        <v>8</v>
      </c>
      <c r="E156" s="45">
        <f>MROUND(MID($C156,9,3)/Basis!$E$3,0.5)</f>
        <v>19.5</v>
      </c>
      <c r="F156" s="237" t="str">
        <f t="shared" si="2"/>
        <v>15</v>
      </c>
      <c r="G156" s="45">
        <f>ROUND((ROUNDDOWN($F156/5,0)*5+2.2)/Basis!$E$3,1)</f>
        <v>6.8</v>
      </c>
      <c r="H156" s="120">
        <f>ROUND($P156*Basis!$E$2*((TaH-TrH)/LN(1/µ)/Basis!$E$7)^$N156*$AA$4*Glycol,0)</f>
        <v>1168</v>
      </c>
      <c r="I156" s="83">
        <f>ROUND(H156/(MID($C156,9,3)/Basis!$E$3/Basis!$E$9)*Basis!$E$11,0)</f>
        <v>712</v>
      </c>
      <c r="J156" s="123">
        <f>IF(Basis!$E$1=1,ROUND(H156/((TaH-TrH)*1.163)/3600,3),ROUND(H156/(500*(TaH-TrH)),2))</f>
        <v>0.12</v>
      </c>
      <c r="K156" s="84"/>
      <c r="L156" s="177">
        <f>CHOOSE(Basis!$E$1,((AJ156*(J156*3600/Basis!$E$5)^AK156*(((MID(C156,9,3)*10)-144)/1000)*AL156+AM156*(J156*3600/Basis!$E$5)^2)*0.0098)/Basis!$E$10,((AJ156*(J156/Basis!$E$5)^AK156*(((MID(C156,9,3)*10)-144)/1000)*AL156+AM156*(J156/Basis!$E$5)^2)*0.0098)/Basis!$E$10)</f>
        <v>1.2663866798291782E-3</v>
      </c>
      <c r="M156" s="85"/>
      <c r="N156" s="185">
        <v>1.4079999999999999</v>
      </c>
      <c r="O156" s="186"/>
      <c r="P156" s="187">
        <v>545</v>
      </c>
      <c r="AJ156" s="125">
        <v>2.0829999999999999E-4</v>
      </c>
      <c r="AK156" s="131">
        <v>1.724</v>
      </c>
      <c r="AL156" s="128">
        <v>2</v>
      </c>
      <c r="AM156" s="125">
        <v>4.6182900000000003E-4</v>
      </c>
    </row>
    <row r="157" spans="1:73" ht="12.75" customHeight="1" x14ac:dyDescent="0.25">
      <c r="A157" s="72" t="s">
        <v>20</v>
      </c>
      <c r="B157" s="184" t="s">
        <v>3090</v>
      </c>
      <c r="C157" s="44" t="s">
        <v>3092</v>
      </c>
      <c r="D157" s="45">
        <f>MROUND(MID($C157,6,3)/Basis!$E$3,0.5)</f>
        <v>8</v>
      </c>
      <c r="E157" s="45">
        <f>MROUND(MID($C157,9,3)/Basis!$E$3,0.5)</f>
        <v>23.5</v>
      </c>
      <c r="F157" s="237" t="str">
        <f t="shared" si="2"/>
        <v>05</v>
      </c>
      <c r="G157" s="45">
        <f>ROUND((ROUNDDOWN($F157/5,0)*5+2.2)/Basis!$E$3,1)</f>
        <v>2.8</v>
      </c>
      <c r="H157" s="120">
        <f>ROUND($P157*Basis!$E$2*((TaH-TrH)/LN(1/µ)/Basis!$E$7)^$N157*$AA$4*Glycol,0)</f>
        <v>585</v>
      </c>
      <c r="I157" s="83">
        <f>ROUND(H157/(MID($C157,9,3)/Basis!$E$3/Basis!$E$9)*Basis!$E$11,0)</f>
        <v>297</v>
      </c>
      <c r="J157" s="123">
        <f>IF(Basis!$E$1=1,ROUND(H157/((TaH-TrH)*1.163)/3600,3),ROUND(H157/(500*(TaH-TrH)),2))</f>
        <v>0.06</v>
      </c>
      <c r="K157" s="84"/>
      <c r="L157" s="177">
        <f>CHOOSE(Basis!$E$1,((AJ157*(J157*3600/Basis!$E$5)^AK157*(((MID(C157,9,3)*10)-144)/1000)*AL157+AM157*(J157*3600/Basis!$E$5)^2)*0.0098)/Basis!$E$10,((AJ157*(J157/Basis!$E$5)^AK157*(((MID(C157,9,3)*10)-144)/1000)*AL157+AM157*(J157/Basis!$E$5)^2)*0.0098)/Basis!$E$10)</f>
        <v>5.7016621756149279E-4</v>
      </c>
      <c r="M157" s="85"/>
      <c r="N157" s="185">
        <v>1.399</v>
      </c>
      <c r="O157" s="186"/>
      <c r="P157" s="187">
        <v>272</v>
      </c>
      <c r="AJ157" s="191">
        <v>9.3669999999999995E-4</v>
      </c>
      <c r="AK157" s="192">
        <v>1.789841</v>
      </c>
      <c r="AL157" s="193">
        <v>2</v>
      </c>
      <c r="AM157" s="191">
        <v>4.4559999999999999E-4</v>
      </c>
    </row>
    <row r="158" spans="1:73" ht="12.75" customHeight="1" x14ac:dyDescent="0.25">
      <c r="A158" s="72" t="s">
        <v>20</v>
      </c>
      <c r="B158" s="184" t="s">
        <v>3090</v>
      </c>
      <c r="C158" s="44" t="s">
        <v>3104</v>
      </c>
      <c r="D158" s="45">
        <f>MROUND(MID($C158,6,3)/Basis!$E$3,0.5)</f>
        <v>8</v>
      </c>
      <c r="E158" s="45">
        <f>MROUND(MID($C158,9,3)/Basis!$E$3,0.5)</f>
        <v>23.5</v>
      </c>
      <c r="F158" s="237" t="str">
        <f t="shared" si="2"/>
        <v>10</v>
      </c>
      <c r="G158" s="45">
        <f>ROUND((ROUNDDOWN($F158/5,0)*5+2.2)/Basis!$E$3,1)</f>
        <v>4.8</v>
      </c>
      <c r="H158" s="120">
        <f>ROUND($P158*Basis!$E$2*((TaH-TrH)/LN(1/µ)/Basis!$E$7)^$N158*$AA$4*Glycol,0)</f>
        <v>841</v>
      </c>
      <c r="I158" s="83">
        <f>ROUND(H158/(MID($C158,9,3)/Basis!$E$3/Basis!$E$9)*Basis!$E$11,0)</f>
        <v>427</v>
      </c>
      <c r="J158" s="123">
        <f>IF(Basis!$E$1=1,ROUND(H158/((TaH-TrH)*1.163)/3600,3),ROUND(H158/(500*(TaH-TrH)),2))</f>
        <v>0.08</v>
      </c>
      <c r="K158" s="84"/>
      <c r="L158" s="177">
        <f>CHOOSE(Basis!$E$1,((AJ158*(J158*3600/Basis!$E$5)^AK158*(((MID(C158,9,3)*10)-144)/1000)*AL158+AM158*(J158*3600/Basis!$E$5)^2)*0.0098)/Basis!$E$10,((AJ158*(J158/Basis!$E$5)^AK158*(((MID(C158,9,3)*10)-144)/1000)*AL158+AM158*(J158/Basis!$E$5)^2)*0.0098)/Basis!$E$10)</f>
        <v>5.7754099344955914E-4</v>
      </c>
      <c r="M158" s="85"/>
      <c r="N158" s="185">
        <v>1.413</v>
      </c>
      <c r="O158" s="186"/>
      <c r="P158" s="187">
        <v>393</v>
      </c>
      <c r="AJ158" s="126">
        <v>3.9689999999999994E-4</v>
      </c>
      <c r="AK158" s="132">
        <v>1.7345999999999999</v>
      </c>
      <c r="AL158" s="129">
        <v>2</v>
      </c>
      <c r="AM158" s="126">
        <v>3.6734700000000002E-4</v>
      </c>
    </row>
    <row r="159" spans="1:73" ht="12.75" customHeight="1" x14ac:dyDescent="0.25">
      <c r="A159" s="72" t="s">
        <v>20</v>
      </c>
      <c r="B159" s="184" t="s">
        <v>3090</v>
      </c>
      <c r="C159" s="44" t="s">
        <v>3116</v>
      </c>
      <c r="D159" s="45">
        <f>MROUND(MID($C159,6,3)/Basis!$E$3,0.5)</f>
        <v>8</v>
      </c>
      <c r="E159" s="45">
        <f>MROUND(MID($C159,9,3)/Basis!$E$3,0.5)</f>
        <v>23.5</v>
      </c>
      <c r="F159" s="237" t="str">
        <f t="shared" si="2"/>
        <v>15</v>
      </c>
      <c r="G159" s="45">
        <f>ROUND((ROUNDDOWN($F159/5,0)*5+2.2)/Basis!$E$3,1)</f>
        <v>6.8</v>
      </c>
      <c r="H159" s="120">
        <f>ROUND($P159*Basis!$E$2*((TaH-TrH)/LN(1/µ)/Basis!$E$7)^$N159*$AA$4*Glycol,0)</f>
        <v>1402</v>
      </c>
      <c r="I159" s="83">
        <f>ROUND(H159/(MID($C159,9,3)/Basis!$E$3/Basis!$E$9)*Basis!$E$11,0)</f>
        <v>712</v>
      </c>
      <c r="J159" s="123">
        <f>IF(Basis!$E$1=1,ROUND(H159/((TaH-TrH)*1.163)/3600,3),ROUND(H159/(500*(TaH-TrH)),2))</f>
        <v>0.14000000000000001</v>
      </c>
      <c r="K159" s="84"/>
      <c r="L159" s="177">
        <f>CHOOSE(Basis!$E$1,((AJ159*(J159*3600/Basis!$E$5)^AK159*(((MID(C159,9,3)*10)-144)/1000)*AL159+AM159*(J159*3600/Basis!$E$5)^2)*0.0098)/Basis!$E$10,((AJ159*(J159/Basis!$E$5)^AK159*(((MID(C159,9,3)*10)-144)/1000)*AL159+AM159*(J159/Basis!$E$5)^2)*0.0098)/Basis!$E$10)</f>
        <v>1.768500592062961E-3</v>
      </c>
      <c r="M159" s="85"/>
      <c r="N159" s="185">
        <v>1.4079999999999999</v>
      </c>
      <c r="O159" s="186"/>
      <c r="P159" s="187">
        <v>654</v>
      </c>
      <c r="AJ159" s="125">
        <v>2.0829999999999999E-4</v>
      </c>
      <c r="AK159" s="131">
        <v>1.724</v>
      </c>
      <c r="AL159" s="128">
        <v>2</v>
      </c>
      <c r="AM159" s="125">
        <v>4.6182900000000003E-4</v>
      </c>
    </row>
    <row r="160" spans="1:73" ht="12.75" customHeight="1" x14ac:dyDescent="0.25">
      <c r="A160" s="72" t="s">
        <v>20</v>
      </c>
      <c r="B160" s="184" t="s">
        <v>3090</v>
      </c>
      <c r="C160" s="44" t="s">
        <v>3093</v>
      </c>
      <c r="D160" s="45">
        <f>MROUND(MID($C160,6,3)/Basis!$E$3,0.5)</f>
        <v>8</v>
      </c>
      <c r="E160" s="45">
        <f>MROUND(MID($C160,9,3)/Basis!$E$3,0.5)</f>
        <v>27.5</v>
      </c>
      <c r="F160" s="237" t="str">
        <f t="shared" si="2"/>
        <v>05</v>
      </c>
      <c r="G160" s="45">
        <f>ROUND((ROUNDDOWN($F160/5,0)*5+2.2)/Basis!$E$3,1)</f>
        <v>2.8</v>
      </c>
      <c r="H160" s="120">
        <f>ROUND($P160*Basis!$E$2*((TaH-TrH)/LN(1/µ)/Basis!$E$7)^$N160*$AA$4*Glycol,0)</f>
        <v>684</v>
      </c>
      <c r="I160" s="83">
        <f>ROUND(H160/(MID($C160,9,3)/Basis!$E$3/Basis!$E$9)*Basis!$E$11,0)</f>
        <v>298</v>
      </c>
      <c r="J160" s="123">
        <f>IF(Basis!$E$1=1,ROUND(H160/((TaH-TrH)*1.163)/3600,3),ROUND(H160/(500*(TaH-TrH)),2))</f>
        <v>7.0000000000000007E-2</v>
      </c>
      <c r="K160" s="84"/>
      <c r="L160" s="177">
        <f>CHOOSE(Basis!$E$1,((AJ160*(J160*3600/Basis!$E$5)^AK160*(((MID(C160,9,3)*10)-144)/1000)*AL160+AM160*(J160*3600/Basis!$E$5)^2)*0.0098)/Basis!$E$10,((AJ160*(J160/Basis!$E$5)^AK160*(((MID(C160,9,3)*10)-144)/1000)*AL160+AM160*(J160/Basis!$E$5)^2)*0.0098)/Basis!$E$10)</f>
        <v>8.4963534261997271E-4</v>
      </c>
      <c r="M160" s="85"/>
      <c r="N160" s="185">
        <v>1.399</v>
      </c>
      <c r="O160" s="186"/>
      <c r="P160" s="187">
        <v>318</v>
      </c>
      <c r="AJ160" s="191">
        <v>9.3669999999999995E-4</v>
      </c>
      <c r="AK160" s="192">
        <v>1.789841</v>
      </c>
      <c r="AL160" s="193">
        <v>2</v>
      </c>
      <c r="AM160" s="191">
        <v>4.4559999999999999E-4</v>
      </c>
    </row>
    <row r="161" spans="1:39" ht="12.75" customHeight="1" x14ac:dyDescent="0.25">
      <c r="A161" s="72" t="s">
        <v>20</v>
      </c>
      <c r="B161" s="184" t="s">
        <v>3090</v>
      </c>
      <c r="C161" s="44" t="s">
        <v>3105</v>
      </c>
      <c r="D161" s="45">
        <f>MROUND(MID($C161,6,3)/Basis!$E$3,0.5)</f>
        <v>8</v>
      </c>
      <c r="E161" s="45">
        <f>MROUND(MID($C161,9,3)/Basis!$E$3,0.5)</f>
        <v>27.5</v>
      </c>
      <c r="F161" s="237" t="str">
        <f t="shared" si="2"/>
        <v>10</v>
      </c>
      <c r="G161" s="45">
        <f>ROUND((ROUNDDOWN($F161/5,0)*5+2.2)/Basis!$E$3,1)</f>
        <v>4.8</v>
      </c>
      <c r="H161" s="120">
        <f>ROUND($P161*Basis!$E$2*((TaH-TrH)/LN(1/µ)/Basis!$E$7)^$N161*$AA$4*Glycol,0)</f>
        <v>982</v>
      </c>
      <c r="I161" s="83">
        <f>ROUND(H161/(MID($C161,9,3)/Basis!$E$3/Basis!$E$9)*Basis!$E$11,0)</f>
        <v>428</v>
      </c>
      <c r="J161" s="123">
        <f>IF(Basis!$E$1=1,ROUND(H161/((TaH-TrH)*1.163)/3600,3),ROUND(H161/(500*(TaH-TrH)),2))</f>
        <v>0.1</v>
      </c>
      <c r="K161" s="84"/>
      <c r="L161" s="177">
        <f>CHOOSE(Basis!$E$1,((AJ161*(J161*3600/Basis!$E$5)^AK161*(((MID(C161,9,3)*10)-144)/1000)*AL161+AM161*(J161*3600/Basis!$E$5)^2)*0.0098)/Basis!$E$10,((AJ161*(J161/Basis!$E$5)^AK161*(((MID(C161,9,3)*10)-144)/1000)*AL161+AM161*(J161/Basis!$E$5)^2)*0.0098)/Basis!$E$10)</f>
        <v>9.4459789792957979E-4</v>
      </c>
      <c r="M161" s="85"/>
      <c r="N161" s="185">
        <v>1.413</v>
      </c>
      <c r="O161" s="186"/>
      <c r="P161" s="187">
        <v>459</v>
      </c>
      <c r="AJ161" s="126">
        <v>3.9689999999999994E-4</v>
      </c>
      <c r="AK161" s="132">
        <v>1.7345999999999999</v>
      </c>
      <c r="AL161" s="129">
        <v>2</v>
      </c>
      <c r="AM161" s="126">
        <v>3.6734700000000002E-4</v>
      </c>
    </row>
    <row r="162" spans="1:39" ht="12.75" customHeight="1" x14ac:dyDescent="0.25">
      <c r="A162" s="72" t="s">
        <v>20</v>
      </c>
      <c r="B162" s="184" t="s">
        <v>3090</v>
      </c>
      <c r="C162" s="44" t="s">
        <v>3117</v>
      </c>
      <c r="D162" s="45">
        <f>MROUND(MID($C162,6,3)/Basis!$E$3,0.5)</f>
        <v>8</v>
      </c>
      <c r="E162" s="45">
        <f>MROUND(MID($C162,9,3)/Basis!$E$3,0.5)</f>
        <v>27.5</v>
      </c>
      <c r="F162" s="237" t="str">
        <f t="shared" si="2"/>
        <v>15</v>
      </c>
      <c r="G162" s="45">
        <f>ROUND((ROUNDDOWN($F162/5,0)*5+2.2)/Basis!$E$3,1)</f>
        <v>6.8</v>
      </c>
      <c r="H162" s="120">
        <f>ROUND($P162*Basis!$E$2*((TaH-TrH)/LN(1/µ)/Basis!$E$7)^$N162*$AA$4*Glycol,0)</f>
        <v>1636</v>
      </c>
      <c r="I162" s="83">
        <f>ROUND(H162/(MID($C162,9,3)/Basis!$E$3/Basis!$E$9)*Basis!$E$11,0)</f>
        <v>712</v>
      </c>
      <c r="J162" s="123">
        <f>IF(Basis!$E$1=1,ROUND(H162/((TaH-TrH)*1.163)/3600,3),ROUND(H162/(500*(TaH-TrH)),2))</f>
        <v>0.16</v>
      </c>
      <c r="K162" s="84"/>
      <c r="L162" s="177">
        <f>CHOOSE(Basis!$E$1,((AJ162*(J162*3600/Basis!$E$5)^AK162*(((MID(C162,9,3)*10)-144)/1000)*AL162+AM162*(J162*3600/Basis!$E$5)^2)*0.0098)/Basis!$E$10,((AJ162*(J162/Basis!$E$5)^AK162*(((MID(C162,9,3)*10)-144)/1000)*AL162+AM162*(J162/Basis!$E$5)^2)*0.0098)/Basis!$E$10)</f>
        <v>2.3651863779811087E-3</v>
      </c>
      <c r="M162" s="85"/>
      <c r="N162" s="185">
        <v>1.4079999999999999</v>
      </c>
      <c r="O162" s="186"/>
      <c r="P162" s="187">
        <v>763</v>
      </c>
      <c r="AJ162" s="125">
        <v>2.0829999999999999E-4</v>
      </c>
      <c r="AK162" s="131">
        <v>1.724</v>
      </c>
      <c r="AL162" s="128">
        <v>2</v>
      </c>
      <c r="AM162" s="125">
        <v>4.6182900000000003E-4</v>
      </c>
    </row>
    <row r="163" spans="1:39" ht="12.75" customHeight="1" x14ac:dyDescent="0.25">
      <c r="A163" s="72" t="s">
        <v>20</v>
      </c>
      <c r="B163" s="184" t="s">
        <v>3090</v>
      </c>
      <c r="C163" s="44" t="s">
        <v>3094</v>
      </c>
      <c r="D163" s="45">
        <f>MROUND(MID($C163,6,3)/Basis!$E$3,0.5)</f>
        <v>8</v>
      </c>
      <c r="E163" s="45">
        <f>MROUND(MID($C163,9,3)/Basis!$E$3,0.5)</f>
        <v>31.5</v>
      </c>
      <c r="F163" s="237" t="str">
        <f t="shared" si="2"/>
        <v>05</v>
      </c>
      <c r="G163" s="45">
        <f>ROUND((ROUNDDOWN($F163/5,0)*5+2.2)/Basis!$E$3,1)</f>
        <v>2.8</v>
      </c>
      <c r="H163" s="120">
        <f>ROUND($P163*Basis!$E$2*((TaH-TrH)/LN(1/µ)/Basis!$E$7)^$N163*$AA$4*Glycol,0)</f>
        <v>781</v>
      </c>
      <c r="I163" s="83">
        <f>ROUND(H163/(MID($C163,9,3)/Basis!$E$3/Basis!$E$9)*Basis!$E$11,0)</f>
        <v>298</v>
      </c>
      <c r="J163" s="123">
        <f>IF(Basis!$E$1=1,ROUND(H163/((TaH-TrH)*1.163)/3600,3),ROUND(H163/(500*(TaH-TrH)),2))</f>
        <v>0.08</v>
      </c>
      <c r="K163" s="84"/>
      <c r="L163" s="177">
        <f>CHOOSE(Basis!$E$1,((AJ163*(J163*3600/Basis!$E$5)^AK163*(((MID(C163,9,3)*10)-144)/1000)*AL163+AM163*(J163*3600/Basis!$E$5)^2)*0.0098)/Basis!$E$10,((AJ163*(J163/Basis!$E$5)^AK163*(((MID(C163,9,3)*10)-144)/1000)*AL163+AM163*(J163/Basis!$E$5)^2)*0.0098)/Basis!$E$10)</f>
        <v>1.2022775374825971E-3</v>
      </c>
      <c r="M163" s="85"/>
      <c r="N163" s="185">
        <v>1.399</v>
      </c>
      <c r="O163" s="186"/>
      <c r="P163" s="187">
        <v>363</v>
      </c>
      <c r="AJ163" s="191">
        <v>9.3669999999999995E-4</v>
      </c>
      <c r="AK163" s="192">
        <v>1.789841</v>
      </c>
      <c r="AL163" s="193">
        <v>2</v>
      </c>
      <c r="AM163" s="191">
        <v>4.4559999999999999E-4</v>
      </c>
    </row>
    <row r="164" spans="1:39" ht="12.75" customHeight="1" x14ac:dyDescent="0.25">
      <c r="A164" s="72" t="s">
        <v>20</v>
      </c>
      <c r="B164" s="184" t="s">
        <v>3090</v>
      </c>
      <c r="C164" s="44" t="s">
        <v>3106</v>
      </c>
      <c r="D164" s="45">
        <f>MROUND(MID($C164,6,3)/Basis!$E$3,0.5)</f>
        <v>8</v>
      </c>
      <c r="E164" s="45">
        <f>MROUND(MID($C164,9,3)/Basis!$E$3,0.5)</f>
        <v>31.5</v>
      </c>
      <c r="F164" s="237" t="str">
        <f t="shared" si="2"/>
        <v>10</v>
      </c>
      <c r="G164" s="45">
        <f>ROUND((ROUNDDOWN($F164/5,0)*5+2.2)/Basis!$E$3,1)</f>
        <v>4.8</v>
      </c>
      <c r="H164" s="120">
        <f>ROUND($P164*Basis!$E$2*((TaH-TrH)/LN(1/µ)/Basis!$E$7)^$N164*$AA$4*Glycol,0)</f>
        <v>1122</v>
      </c>
      <c r="I164" s="83">
        <f>ROUND(H164/(MID($C164,9,3)/Basis!$E$3/Basis!$E$9)*Basis!$E$11,0)</f>
        <v>427</v>
      </c>
      <c r="J164" s="123">
        <f>IF(Basis!$E$1=1,ROUND(H164/((TaH-TrH)*1.163)/3600,3),ROUND(H164/(500*(TaH-TrH)),2))</f>
        <v>0.11</v>
      </c>
      <c r="K164" s="84"/>
      <c r="L164" s="177">
        <f>CHOOSE(Basis!$E$1,((AJ164*(J164*3600/Basis!$E$5)^AK164*(((MID(C164,9,3)*10)-144)/1000)*AL164+AM164*(J164*3600/Basis!$E$5)^2)*0.0098)/Basis!$E$10,((AJ164*(J164/Basis!$E$5)^AK164*(((MID(C164,9,3)*10)-144)/1000)*AL164+AM164*(J164/Basis!$E$5)^2)*0.0098)/Basis!$E$10)</f>
        <v>1.2021014124881713E-3</v>
      </c>
      <c r="M164" s="85"/>
      <c r="N164" s="185">
        <v>1.413</v>
      </c>
      <c r="O164" s="186"/>
      <c r="P164" s="187">
        <v>524</v>
      </c>
      <c r="AJ164" s="126">
        <v>3.9689999999999994E-4</v>
      </c>
      <c r="AK164" s="132">
        <v>1.7345999999999999</v>
      </c>
      <c r="AL164" s="129">
        <v>2</v>
      </c>
      <c r="AM164" s="126">
        <v>3.6734700000000002E-4</v>
      </c>
    </row>
    <row r="165" spans="1:39" ht="12.75" customHeight="1" x14ac:dyDescent="0.25">
      <c r="A165" s="72" t="s">
        <v>20</v>
      </c>
      <c r="B165" s="184" t="s">
        <v>3090</v>
      </c>
      <c r="C165" s="44" t="s">
        <v>3118</v>
      </c>
      <c r="D165" s="45">
        <f>MROUND(MID($C165,6,3)/Basis!$E$3,0.5)</f>
        <v>8</v>
      </c>
      <c r="E165" s="45">
        <f>MROUND(MID($C165,9,3)/Basis!$E$3,0.5)</f>
        <v>31.5</v>
      </c>
      <c r="F165" s="237" t="str">
        <f t="shared" si="2"/>
        <v>15</v>
      </c>
      <c r="G165" s="45">
        <f>ROUND((ROUNDDOWN($F165/5,0)*5+2.2)/Basis!$E$3,1)</f>
        <v>6.8</v>
      </c>
      <c r="H165" s="120">
        <f>ROUND($P165*Basis!$E$2*((TaH-TrH)/LN(1/µ)/Basis!$E$7)^$N165*$AA$4*Glycol,0)</f>
        <v>1869</v>
      </c>
      <c r="I165" s="83">
        <f>ROUND(H165/(MID($C165,9,3)/Basis!$E$3/Basis!$E$9)*Basis!$E$11,0)</f>
        <v>712</v>
      </c>
      <c r="J165" s="123">
        <f>IF(Basis!$E$1=1,ROUND(H165/((TaH-TrH)*1.163)/3600,3),ROUND(H165/(500*(TaH-TrH)),2))</f>
        <v>0.19</v>
      </c>
      <c r="K165" s="84"/>
      <c r="L165" s="177">
        <f>CHOOSE(Basis!$E$1,((AJ165*(J165*3600/Basis!$E$5)^AK165*(((MID(C165,9,3)*10)-144)/1000)*AL165+AM165*(J165*3600/Basis!$E$5)^2)*0.0098)/Basis!$E$10,((AJ165*(J165/Basis!$E$5)^AK165*(((MID(C165,9,3)*10)-144)/1000)*AL165+AM165*(J165/Basis!$E$5)^2)*0.0098)/Basis!$E$10)</f>
        <v>3.4007889554262824E-3</v>
      </c>
      <c r="M165" s="85"/>
      <c r="N165" s="185">
        <v>1.4079999999999999</v>
      </c>
      <c r="O165" s="186"/>
      <c r="P165" s="187">
        <v>872</v>
      </c>
      <c r="AJ165" s="125">
        <v>2.0829999999999999E-4</v>
      </c>
      <c r="AK165" s="131">
        <v>1.724</v>
      </c>
      <c r="AL165" s="128">
        <v>2</v>
      </c>
      <c r="AM165" s="125">
        <v>4.6182900000000003E-4</v>
      </c>
    </row>
    <row r="166" spans="1:39" ht="12.75" customHeight="1" x14ac:dyDescent="0.25">
      <c r="A166" s="72" t="s">
        <v>20</v>
      </c>
      <c r="B166" s="184" t="s">
        <v>3090</v>
      </c>
      <c r="C166" s="44" t="s">
        <v>3095</v>
      </c>
      <c r="D166" s="45">
        <f>MROUND(MID($C166,6,3)/Basis!$E$3,0.5)</f>
        <v>8</v>
      </c>
      <c r="E166" s="45">
        <f>MROUND(MID($C166,9,3)/Basis!$E$3,0.5)</f>
        <v>35.5</v>
      </c>
      <c r="F166" s="237" t="str">
        <f t="shared" si="2"/>
        <v>05</v>
      </c>
      <c r="G166" s="45">
        <f>ROUND((ROUNDDOWN($F166/5,0)*5+2.2)/Basis!$E$3,1)</f>
        <v>2.8</v>
      </c>
      <c r="H166" s="120">
        <f>ROUND($P166*Basis!$E$2*((TaH-TrH)/LN(1/µ)/Basis!$E$7)^$N166*$AA$4*Glycol,0)</f>
        <v>879</v>
      </c>
      <c r="I166" s="83">
        <f>ROUND(H166/(MID($C166,9,3)/Basis!$E$3/Basis!$E$9)*Basis!$E$11,0)</f>
        <v>298</v>
      </c>
      <c r="J166" s="123">
        <f>IF(Basis!$E$1=1,ROUND(H166/((TaH-TrH)*1.163)/3600,3),ROUND(H166/(500*(TaH-TrH)),2))</f>
        <v>0.09</v>
      </c>
      <c r="K166" s="84"/>
      <c r="L166" s="177">
        <f>CHOOSE(Basis!$E$1,((AJ166*(J166*3600/Basis!$E$5)^AK166*(((MID(C166,9,3)*10)-144)/1000)*AL166+AM166*(J166*3600/Basis!$E$5)^2)*0.0098)/Basis!$E$10,((AJ166*(J166/Basis!$E$5)^AK166*(((MID(C166,9,3)*10)-144)/1000)*AL166+AM166*(J166/Basis!$E$5)^2)*0.0098)/Basis!$E$10)</f>
        <v>1.6350646488443275E-3</v>
      </c>
      <c r="M166" s="85"/>
      <c r="N166" s="185">
        <v>1.399</v>
      </c>
      <c r="O166" s="186"/>
      <c r="P166" s="187">
        <v>409</v>
      </c>
      <c r="AJ166" s="191">
        <v>9.3669999999999995E-4</v>
      </c>
      <c r="AK166" s="192">
        <v>1.789841</v>
      </c>
      <c r="AL166" s="193">
        <v>2</v>
      </c>
      <c r="AM166" s="191">
        <v>4.4559999999999999E-4</v>
      </c>
    </row>
    <row r="167" spans="1:39" ht="12.75" customHeight="1" x14ac:dyDescent="0.25">
      <c r="A167" s="72" t="s">
        <v>20</v>
      </c>
      <c r="B167" s="184" t="s">
        <v>3090</v>
      </c>
      <c r="C167" s="44" t="s">
        <v>3107</v>
      </c>
      <c r="D167" s="45">
        <f>MROUND(MID($C167,6,3)/Basis!$E$3,0.5)</f>
        <v>8</v>
      </c>
      <c r="E167" s="45">
        <f>MROUND(MID($C167,9,3)/Basis!$E$3,0.5)</f>
        <v>35.5</v>
      </c>
      <c r="F167" s="237" t="str">
        <f t="shared" si="2"/>
        <v>10</v>
      </c>
      <c r="G167" s="45">
        <f>ROUND((ROUNDDOWN($F167/5,0)*5+2.2)/Basis!$E$3,1)</f>
        <v>4.8</v>
      </c>
      <c r="H167" s="120">
        <f>ROUND($P167*Basis!$E$2*((TaH-TrH)/LN(1/µ)/Basis!$E$7)^$N167*$AA$4*Glycol,0)</f>
        <v>1263</v>
      </c>
      <c r="I167" s="83">
        <f>ROUND(H167/(MID($C167,9,3)/Basis!$E$3/Basis!$E$9)*Basis!$E$11,0)</f>
        <v>428</v>
      </c>
      <c r="J167" s="123">
        <f>IF(Basis!$E$1=1,ROUND(H167/((TaH-TrH)*1.163)/3600,3),ROUND(H167/(500*(TaH-TrH)),2))</f>
        <v>0.13</v>
      </c>
      <c r="K167" s="84"/>
      <c r="L167" s="177">
        <f>CHOOSE(Basis!$E$1,((AJ167*(J167*3600/Basis!$E$5)^AK167*(((MID(C167,9,3)*10)-144)/1000)*AL167+AM167*(J167*3600/Basis!$E$5)^2)*0.0098)/Basis!$E$10,((AJ167*(J167/Basis!$E$5)^AK167*(((MID(C167,9,3)*10)-144)/1000)*AL167+AM167*(J167/Basis!$E$5)^2)*0.0098)/Basis!$E$10)</f>
        <v>1.7437063506862351E-3</v>
      </c>
      <c r="M167" s="85"/>
      <c r="N167" s="185">
        <v>1.413</v>
      </c>
      <c r="O167" s="186"/>
      <c r="P167" s="187">
        <v>590</v>
      </c>
      <c r="AJ167" s="126">
        <v>3.9689999999999994E-4</v>
      </c>
      <c r="AK167" s="132">
        <v>1.7345999999999999</v>
      </c>
      <c r="AL167" s="129">
        <v>2</v>
      </c>
      <c r="AM167" s="126">
        <v>3.6734700000000002E-4</v>
      </c>
    </row>
    <row r="168" spans="1:39" ht="12.75" customHeight="1" x14ac:dyDescent="0.25">
      <c r="A168" s="72" t="s">
        <v>20</v>
      </c>
      <c r="B168" s="184" t="s">
        <v>3090</v>
      </c>
      <c r="C168" s="44" t="s">
        <v>3119</v>
      </c>
      <c r="D168" s="45">
        <f>MROUND(MID($C168,6,3)/Basis!$E$3,0.5)</f>
        <v>8</v>
      </c>
      <c r="E168" s="45">
        <f>MROUND(MID($C168,9,3)/Basis!$E$3,0.5)</f>
        <v>35.5</v>
      </c>
      <c r="F168" s="237" t="str">
        <f t="shared" si="2"/>
        <v>15</v>
      </c>
      <c r="G168" s="45">
        <f>ROUND((ROUNDDOWN($F168/5,0)*5+2.2)/Basis!$E$3,1)</f>
        <v>6.8</v>
      </c>
      <c r="H168" s="120">
        <f>ROUND($P168*Basis!$E$2*((TaH-TrH)/LN(1/µ)/Basis!$E$7)^$N168*$AA$4*Glycol,0)</f>
        <v>2103</v>
      </c>
      <c r="I168" s="83">
        <f>ROUND(H168/(MID($C168,9,3)/Basis!$E$3/Basis!$E$9)*Basis!$E$11,0)</f>
        <v>712</v>
      </c>
      <c r="J168" s="123">
        <f>IF(Basis!$E$1=1,ROUND(H168/((TaH-TrH)*1.163)/3600,3),ROUND(H168/(500*(TaH-TrH)),2))</f>
        <v>0.21</v>
      </c>
      <c r="K168" s="84"/>
      <c r="L168" s="177">
        <f>CHOOSE(Basis!$E$1,((AJ168*(J168*3600/Basis!$E$5)^AK168*(((MID(C168,9,3)*10)-144)/1000)*AL168+AM168*(J168*3600/Basis!$E$5)^2)*0.0098)/Basis!$E$10,((AJ168*(J168/Basis!$E$5)^AK168*(((MID(C168,9,3)*10)-144)/1000)*AL168+AM168*(J168/Basis!$E$5)^2)*0.0098)/Basis!$E$10)</f>
        <v>4.241476669335705E-3</v>
      </c>
      <c r="M168" s="85"/>
      <c r="N168" s="185">
        <v>1.4079999999999999</v>
      </c>
      <c r="O168" s="186"/>
      <c r="P168" s="187">
        <v>981</v>
      </c>
      <c r="AJ168" s="125">
        <v>2.0829999999999999E-4</v>
      </c>
      <c r="AK168" s="131">
        <v>1.724</v>
      </c>
      <c r="AL168" s="128">
        <v>2</v>
      </c>
      <c r="AM168" s="125">
        <v>4.6182900000000003E-4</v>
      </c>
    </row>
    <row r="169" spans="1:39" ht="12.75" customHeight="1" x14ac:dyDescent="0.25">
      <c r="A169" s="72" t="s">
        <v>20</v>
      </c>
      <c r="B169" s="184" t="s">
        <v>3090</v>
      </c>
      <c r="C169" s="44" t="s">
        <v>3096</v>
      </c>
      <c r="D169" s="45">
        <f>MROUND(MID($C169,6,3)/Basis!$E$3,0.5)</f>
        <v>8</v>
      </c>
      <c r="E169" s="45">
        <f>MROUND(MID($C169,9,3)/Basis!$E$3,0.5)</f>
        <v>39.5</v>
      </c>
      <c r="F169" s="237" t="str">
        <f t="shared" si="2"/>
        <v>05</v>
      </c>
      <c r="G169" s="45">
        <f>ROUND((ROUNDDOWN($F169/5,0)*5+2.2)/Basis!$E$3,1)</f>
        <v>2.8</v>
      </c>
      <c r="H169" s="120">
        <f>ROUND($P169*Basis!$E$2*((TaH-TrH)/LN(1/µ)/Basis!$E$7)^$N169*$AA$4*Glycol,0)</f>
        <v>976</v>
      </c>
      <c r="I169" s="83">
        <f>ROUND(H169/(MID($C169,9,3)/Basis!$E$3/Basis!$E$9)*Basis!$E$11,0)</f>
        <v>297</v>
      </c>
      <c r="J169" s="123">
        <f>IF(Basis!$E$1=1,ROUND(H169/((TaH-TrH)*1.163)/3600,3),ROUND(H169/(500*(TaH-TrH)),2))</f>
        <v>0.1</v>
      </c>
      <c r="K169" s="84"/>
      <c r="L169" s="177">
        <f>CHOOSE(Basis!$E$1,((AJ169*(J169*3600/Basis!$E$5)^AK169*(((MID(C169,9,3)*10)-144)/1000)*AL169+AM169*(J169*3600/Basis!$E$5)^2)*0.0098)/Basis!$E$10,((AJ169*(J169/Basis!$E$5)^AK169*(((MID(C169,9,3)*10)-144)/1000)*AL169+AM169*(J169/Basis!$E$5)^2)*0.0098)/Basis!$E$10)</f>
        <v>2.154775111521688E-3</v>
      </c>
      <c r="M169" s="85"/>
      <c r="N169" s="185">
        <v>1.399</v>
      </c>
      <c r="O169" s="186"/>
      <c r="P169" s="187">
        <v>454</v>
      </c>
      <c r="AJ169" s="191">
        <v>9.3669999999999995E-4</v>
      </c>
      <c r="AK169" s="192">
        <v>1.789841</v>
      </c>
      <c r="AL169" s="193">
        <v>2</v>
      </c>
      <c r="AM169" s="191">
        <v>4.4559999999999999E-4</v>
      </c>
    </row>
    <row r="170" spans="1:39" ht="12.75" customHeight="1" x14ac:dyDescent="0.25">
      <c r="A170" s="72" t="s">
        <v>20</v>
      </c>
      <c r="B170" s="184" t="s">
        <v>3090</v>
      </c>
      <c r="C170" s="44" t="s">
        <v>3108</v>
      </c>
      <c r="D170" s="45">
        <f>MROUND(MID($C170,6,3)/Basis!$E$3,0.5)</f>
        <v>8</v>
      </c>
      <c r="E170" s="45">
        <f>MROUND(MID($C170,9,3)/Basis!$E$3,0.5)</f>
        <v>39.5</v>
      </c>
      <c r="F170" s="237" t="str">
        <f t="shared" si="2"/>
        <v>10</v>
      </c>
      <c r="G170" s="45">
        <f>ROUND((ROUNDDOWN($F170/5,0)*5+2.2)/Basis!$E$3,1)</f>
        <v>4.8</v>
      </c>
      <c r="H170" s="120">
        <f>ROUND($P170*Basis!$E$2*((TaH-TrH)/LN(1/µ)/Basis!$E$7)^$N170*$AA$4*Glycol,0)</f>
        <v>1402</v>
      </c>
      <c r="I170" s="83">
        <f>ROUND(H170/(MID($C170,9,3)/Basis!$E$3/Basis!$E$9)*Basis!$E$11,0)</f>
        <v>427</v>
      </c>
      <c r="J170" s="123">
        <f>IF(Basis!$E$1=1,ROUND(H170/((TaH-TrH)*1.163)/3600,3),ROUND(H170/(500*(TaH-TrH)),2))</f>
        <v>0.14000000000000001</v>
      </c>
      <c r="K170" s="84"/>
      <c r="L170" s="177">
        <f>CHOOSE(Basis!$E$1,((AJ170*(J170*3600/Basis!$E$5)^AK170*(((MID(C170,9,3)*10)-144)/1000)*AL170+AM170*(J170*3600/Basis!$E$5)^2)*0.0098)/Basis!$E$10,((AJ170*(J170/Basis!$E$5)^AK170*(((MID(C170,9,3)*10)-144)/1000)*AL170+AM170*(J170/Basis!$E$5)^2)*0.0098)/Basis!$E$10)</f>
        <v>2.111331507410046E-3</v>
      </c>
      <c r="M170" s="85"/>
      <c r="N170" s="185">
        <v>1.413</v>
      </c>
      <c r="O170" s="186"/>
      <c r="P170" s="187">
        <v>655</v>
      </c>
      <c r="AJ170" s="126">
        <v>3.9689999999999994E-4</v>
      </c>
      <c r="AK170" s="132">
        <v>1.7345999999999999</v>
      </c>
      <c r="AL170" s="129">
        <v>2</v>
      </c>
      <c r="AM170" s="126">
        <v>3.6734700000000002E-4</v>
      </c>
    </row>
    <row r="171" spans="1:39" ht="12.75" customHeight="1" x14ac:dyDescent="0.25">
      <c r="A171" s="72" t="s">
        <v>20</v>
      </c>
      <c r="B171" s="184" t="s">
        <v>3090</v>
      </c>
      <c r="C171" s="44" t="s">
        <v>3120</v>
      </c>
      <c r="D171" s="45">
        <f>MROUND(MID($C171,6,3)/Basis!$E$3,0.5)</f>
        <v>8</v>
      </c>
      <c r="E171" s="45">
        <f>MROUND(MID($C171,9,3)/Basis!$E$3,0.5)</f>
        <v>39.5</v>
      </c>
      <c r="F171" s="237" t="str">
        <f t="shared" si="2"/>
        <v>15</v>
      </c>
      <c r="G171" s="45">
        <f>ROUND((ROUNDDOWN($F171/5,0)*5+2.2)/Basis!$E$3,1)</f>
        <v>6.8</v>
      </c>
      <c r="H171" s="120">
        <f>ROUND($P171*Basis!$E$2*((TaH-TrH)/LN(1/µ)/Basis!$E$7)^$N171*$AA$4*Glycol,0)</f>
        <v>2337</v>
      </c>
      <c r="I171" s="83">
        <f>ROUND(H171/(MID($C171,9,3)/Basis!$E$3/Basis!$E$9)*Basis!$E$11,0)</f>
        <v>712</v>
      </c>
      <c r="J171" s="123">
        <f>IF(Basis!$E$1=1,ROUND(H171/((TaH-TrH)*1.163)/3600,3),ROUND(H171/(500*(TaH-TrH)),2))</f>
        <v>0.23</v>
      </c>
      <c r="K171" s="84"/>
      <c r="L171" s="177">
        <f>CHOOSE(Basis!$E$1,((AJ171*(J171*3600/Basis!$E$5)^AK171*(((MID(C171,9,3)*10)-144)/1000)*AL171+AM171*(J171*3600/Basis!$E$5)^2)*0.0098)/Basis!$E$10,((AJ171*(J171/Basis!$E$5)^AK171*(((MID(C171,9,3)*10)-144)/1000)*AL171+AM171*(J171/Basis!$E$5)^2)*0.0098)/Basis!$E$10)</f>
        <v>5.1886211863249277E-3</v>
      </c>
      <c r="M171" s="85"/>
      <c r="N171" s="185">
        <v>1.4079999999999999</v>
      </c>
      <c r="O171" s="186"/>
      <c r="P171" s="187">
        <v>1090</v>
      </c>
      <c r="AJ171" s="125">
        <v>2.0829999999999999E-4</v>
      </c>
      <c r="AK171" s="131">
        <v>1.724</v>
      </c>
      <c r="AL171" s="128">
        <v>2</v>
      </c>
      <c r="AM171" s="125">
        <v>4.6182900000000003E-4</v>
      </c>
    </row>
    <row r="172" spans="1:39" ht="12.75" customHeight="1" x14ac:dyDescent="0.25">
      <c r="A172" s="72" t="s">
        <v>20</v>
      </c>
      <c r="B172" s="184" t="s">
        <v>3090</v>
      </c>
      <c r="C172" s="44" t="s">
        <v>3097</v>
      </c>
      <c r="D172" s="45">
        <f>MROUND(MID($C172,6,3)/Basis!$E$3,0.5)</f>
        <v>8</v>
      </c>
      <c r="E172" s="45">
        <f>MROUND(MID($C172,9,3)/Basis!$E$3,0.5)</f>
        <v>43.5</v>
      </c>
      <c r="F172" s="237" t="str">
        <f t="shared" si="2"/>
        <v>05</v>
      </c>
      <c r="G172" s="45">
        <f>ROUND((ROUNDDOWN($F172/5,0)*5+2.2)/Basis!$E$3,1)</f>
        <v>2.8</v>
      </c>
      <c r="H172" s="120">
        <f>ROUND($P172*Basis!$E$2*((TaH-TrH)/LN(1/µ)/Basis!$E$7)^$N172*$AA$4*Glycol,0)</f>
        <v>1073</v>
      </c>
      <c r="I172" s="83">
        <f>ROUND(H172/(MID($C172,9,3)/Basis!$E$3/Basis!$E$9)*Basis!$E$11,0)</f>
        <v>297</v>
      </c>
      <c r="J172" s="123">
        <f>IF(Basis!$E$1=1,ROUND(H172/((TaH-TrH)*1.163)/3600,3),ROUND(H172/(500*(TaH-TrH)),2))</f>
        <v>0.11</v>
      </c>
      <c r="K172" s="84"/>
      <c r="L172" s="177">
        <f>CHOOSE(Basis!$E$1,((AJ172*(J172*3600/Basis!$E$5)^AK172*(((MID(C172,9,3)*10)-144)/1000)*AL172+AM172*(J172*3600/Basis!$E$5)^2)*0.0098)/Basis!$E$10,((AJ172*(J172/Basis!$E$5)^AK172*(((MID(C172,9,3)*10)-144)/1000)*AL172+AM172*(J172/Basis!$E$5)^2)*0.0098)/Basis!$E$10)</f>
        <v>2.7680212822149236E-3</v>
      </c>
      <c r="M172" s="85"/>
      <c r="N172" s="185">
        <v>1.399</v>
      </c>
      <c r="O172" s="186"/>
      <c r="P172" s="187">
        <v>499</v>
      </c>
      <c r="AJ172" s="191">
        <v>9.3669999999999995E-4</v>
      </c>
      <c r="AK172" s="192">
        <v>1.789841</v>
      </c>
      <c r="AL172" s="193">
        <v>2</v>
      </c>
      <c r="AM172" s="191">
        <v>4.4559999999999999E-4</v>
      </c>
    </row>
    <row r="173" spans="1:39" ht="12.75" customHeight="1" x14ac:dyDescent="0.25">
      <c r="A173" s="72" t="s">
        <v>20</v>
      </c>
      <c r="B173" s="184" t="s">
        <v>3090</v>
      </c>
      <c r="C173" s="44" t="s">
        <v>3109</v>
      </c>
      <c r="D173" s="45">
        <f>MROUND(MID($C173,6,3)/Basis!$E$3,0.5)</f>
        <v>8</v>
      </c>
      <c r="E173" s="45">
        <f>MROUND(MID($C173,9,3)/Basis!$E$3,0.5)</f>
        <v>43.5</v>
      </c>
      <c r="F173" s="237" t="str">
        <f t="shared" si="2"/>
        <v>10</v>
      </c>
      <c r="G173" s="45">
        <f>ROUND((ROUNDDOWN($F173/5,0)*5+2.2)/Basis!$E$3,1)</f>
        <v>4.8</v>
      </c>
      <c r="H173" s="120">
        <f>ROUND($P173*Basis!$E$2*((TaH-TrH)/LN(1/µ)/Basis!$E$7)^$N173*$AA$4*Glycol,0)</f>
        <v>1543</v>
      </c>
      <c r="I173" s="83">
        <f>ROUND(H173/(MID($C173,9,3)/Basis!$E$3/Basis!$E$9)*Basis!$E$11,0)</f>
        <v>428</v>
      </c>
      <c r="J173" s="123">
        <f>IF(Basis!$E$1=1,ROUND(H173/((TaH-TrH)*1.163)/3600,3),ROUND(H173/(500*(TaH-TrH)),2))</f>
        <v>0.15</v>
      </c>
      <c r="K173" s="84"/>
      <c r="L173" s="177">
        <f>CHOOSE(Basis!$E$1,((AJ173*(J173*3600/Basis!$E$5)^AK173*(((MID(C173,9,3)*10)-144)/1000)*AL173+AM173*(J173*3600/Basis!$E$5)^2)*0.0098)/Basis!$E$10,((AJ173*(J173/Basis!$E$5)^AK173*(((MID(C173,9,3)*10)-144)/1000)*AL173+AM173*(J173/Basis!$E$5)^2)*0.0098)/Basis!$E$10)</f>
        <v>2.5231404577737973E-3</v>
      </c>
      <c r="M173" s="85"/>
      <c r="N173" s="185">
        <v>1.413</v>
      </c>
      <c r="O173" s="186"/>
      <c r="P173" s="187">
        <v>721</v>
      </c>
      <c r="AJ173" s="126">
        <v>3.9689999999999994E-4</v>
      </c>
      <c r="AK173" s="132">
        <v>1.7345999999999999</v>
      </c>
      <c r="AL173" s="129">
        <v>2</v>
      </c>
      <c r="AM173" s="126">
        <v>3.6734700000000002E-4</v>
      </c>
    </row>
    <row r="174" spans="1:39" ht="12.75" customHeight="1" x14ac:dyDescent="0.25">
      <c r="A174" s="72" t="s">
        <v>20</v>
      </c>
      <c r="B174" s="184" t="s">
        <v>3090</v>
      </c>
      <c r="C174" s="44" t="s">
        <v>3121</v>
      </c>
      <c r="D174" s="45">
        <f>MROUND(MID($C174,6,3)/Basis!$E$3,0.5)</f>
        <v>8</v>
      </c>
      <c r="E174" s="45">
        <f>MROUND(MID($C174,9,3)/Basis!$E$3,0.5)</f>
        <v>43.5</v>
      </c>
      <c r="F174" s="237" t="str">
        <f t="shared" si="2"/>
        <v>15</v>
      </c>
      <c r="G174" s="45">
        <f>ROUND((ROUNDDOWN($F174/5,0)*5+2.2)/Basis!$E$3,1)</f>
        <v>6.8</v>
      </c>
      <c r="H174" s="120">
        <f>ROUND($P174*Basis!$E$2*((TaH-TrH)/LN(1/µ)/Basis!$E$7)^$N174*$AA$4*Glycol,0)</f>
        <v>2571</v>
      </c>
      <c r="I174" s="83">
        <f>ROUND(H174/(MID($C174,9,3)/Basis!$E$3/Basis!$E$9)*Basis!$E$11,0)</f>
        <v>712</v>
      </c>
      <c r="J174" s="123">
        <f>IF(Basis!$E$1=1,ROUND(H174/((TaH-TrH)*1.163)/3600,3),ROUND(H174/(500*(TaH-TrH)),2))</f>
        <v>0.26</v>
      </c>
      <c r="K174" s="84"/>
      <c r="L174" s="177">
        <f>CHOOSE(Basis!$E$1,((AJ174*(J174*3600/Basis!$E$5)^AK174*(((MID(C174,9,3)*10)-144)/1000)*AL174+AM174*(J174*3600/Basis!$E$5)^2)*0.0098)/Basis!$E$10,((AJ174*(J174/Basis!$E$5)^AK174*(((MID(C174,9,3)*10)-144)/1000)*AL174+AM174*(J174/Basis!$E$5)^2)*0.0098)/Basis!$E$10)</f>
        <v>6.7391609105620425E-3</v>
      </c>
      <c r="M174" s="85"/>
      <c r="N174" s="185">
        <v>1.4079999999999999</v>
      </c>
      <c r="O174" s="186"/>
      <c r="P174" s="187">
        <v>1199</v>
      </c>
      <c r="AJ174" s="125">
        <v>2.0829999999999999E-4</v>
      </c>
      <c r="AK174" s="131">
        <v>1.724</v>
      </c>
      <c r="AL174" s="128">
        <v>2</v>
      </c>
      <c r="AM174" s="125">
        <v>4.6182900000000003E-4</v>
      </c>
    </row>
    <row r="175" spans="1:39" ht="12.75" customHeight="1" x14ac:dyDescent="0.25">
      <c r="A175" s="72" t="s">
        <v>20</v>
      </c>
      <c r="B175" s="184" t="s">
        <v>3090</v>
      </c>
      <c r="C175" s="44" t="s">
        <v>3098</v>
      </c>
      <c r="D175" s="45">
        <f>MROUND(MID($C175,6,3)/Basis!$E$3,0.5)</f>
        <v>8</v>
      </c>
      <c r="E175" s="45">
        <f>MROUND(MID($C175,9,3)/Basis!$E$3,0.5)</f>
        <v>47</v>
      </c>
      <c r="F175" s="237" t="str">
        <f t="shared" si="2"/>
        <v>05</v>
      </c>
      <c r="G175" s="45">
        <f>ROUND((ROUNDDOWN($F175/5,0)*5+2.2)/Basis!$E$3,1)</f>
        <v>2.8</v>
      </c>
      <c r="H175" s="120">
        <f>ROUND($P175*Basis!$E$2*((TaH-TrH)/LN(1/µ)/Basis!$E$7)^$N175*$AA$4*Glycol,0)</f>
        <v>1172</v>
      </c>
      <c r="I175" s="83">
        <f>ROUND(H175/(MID($C175,9,3)/Basis!$E$3/Basis!$E$9)*Basis!$E$11,0)</f>
        <v>298</v>
      </c>
      <c r="J175" s="123">
        <f>IF(Basis!$E$1=1,ROUND(H175/((TaH-TrH)*1.163)/3600,3),ROUND(H175/(500*(TaH-TrH)),2))</f>
        <v>0.12</v>
      </c>
      <c r="K175" s="84"/>
      <c r="L175" s="177">
        <f>CHOOSE(Basis!$E$1,((AJ175*(J175*3600/Basis!$E$5)^AK175*(((MID(C175,9,3)*10)-144)/1000)*AL175+AM175*(J175*3600/Basis!$E$5)^2)*0.0098)/Basis!$E$10,((AJ175*(J175/Basis!$E$5)^AK175*(((MID(C175,9,3)*10)-144)/1000)*AL175+AM175*(J175/Basis!$E$5)^2)*0.0098)/Basis!$E$10)</f>
        <v>3.4812704474307963E-3</v>
      </c>
      <c r="M175" s="85"/>
      <c r="N175" s="185">
        <v>1.399</v>
      </c>
      <c r="O175" s="186"/>
      <c r="P175" s="187">
        <v>545</v>
      </c>
      <c r="AJ175" s="191">
        <v>9.3669999999999995E-4</v>
      </c>
      <c r="AK175" s="192">
        <v>1.789841</v>
      </c>
      <c r="AL175" s="193">
        <v>2</v>
      </c>
      <c r="AM175" s="191">
        <v>4.4559999999999999E-4</v>
      </c>
    </row>
    <row r="176" spans="1:39" ht="12.75" customHeight="1" x14ac:dyDescent="0.25">
      <c r="A176" s="72" t="s">
        <v>20</v>
      </c>
      <c r="B176" s="184" t="s">
        <v>3090</v>
      </c>
      <c r="C176" s="44" t="s">
        <v>3110</v>
      </c>
      <c r="D176" s="45">
        <f>MROUND(MID($C176,6,3)/Basis!$E$3,0.5)</f>
        <v>8</v>
      </c>
      <c r="E176" s="45">
        <f>MROUND(MID($C176,9,3)/Basis!$E$3,0.5)</f>
        <v>47</v>
      </c>
      <c r="F176" s="237" t="str">
        <f t="shared" si="2"/>
        <v>10</v>
      </c>
      <c r="G176" s="45">
        <f>ROUND((ROUNDDOWN($F176/5,0)*5+2.2)/Basis!$E$3,1)</f>
        <v>4.8</v>
      </c>
      <c r="H176" s="120">
        <f>ROUND($P176*Basis!$E$2*((TaH-TrH)/LN(1/µ)/Basis!$E$7)^$N176*$AA$4*Glycol,0)</f>
        <v>1682</v>
      </c>
      <c r="I176" s="83">
        <f>ROUND(H176/(MID($C176,9,3)/Basis!$E$3/Basis!$E$9)*Basis!$E$11,0)</f>
        <v>427</v>
      </c>
      <c r="J176" s="123">
        <f>IF(Basis!$E$1=1,ROUND(H176/((TaH-TrH)*1.163)/3600,3),ROUND(H176/(500*(TaH-TrH)),2))</f>
        <v>0.17</v>
      </c>
      <c r="K176" s="84"/>
      <c r="L176" s="177">
        <f>CHOOSE(Basis!$E$1,((AJ176*(J176*3600/Basis!$E$5)^AK176*(((MID(C176,9,3)*10)-144)/1000)*AL176+AM176*(J176*3600/Basis!$E$5)^2)*0.0098)/Basis!$E$10,((AJ176*(J176/Basis!$E$5)^AK176*(((MID(C176,9,3)*10)-144)/1000)*AL176+AM176*(J176/Basis!$E$5)^2)*0.0098)/Basis!$E$10)</f>
        <v>3.3401886340364232E-3</v>
      </c>
      <c r="M176" s="85"/>
      <c r="N176" s="185">
        <v>1.413</v>
      </c>
      <c r="O176" s="186"/>
      <c r="P176" s="187">
        <v>786</v>
      </c>
      <c r="AJ176" s="126">
        <v>3.9689999999999994E-4</v>
      </c>
      <c r="AK176" s="132">
        <v>1.7345999999999999</v>
      </c>
      <c r="AL176" s="129">
        <v>2</v>
      </c>
      <c r="AM176" s="126">
        <v>3.6734700000000002E-4</v>
      </c>
    </row>
    <row r="177" spans="1:39" ht="12.75" customHeight="1" x14ac:dyDescent="0.25">
      <c r="A177" s="72" t="s">
        <v>20</v>
      </c>
      <c r="B177" s="184" t="s">
        <v>3090</v>
      </c>
      <c r="C177" s="44" t="s">
        <v>3122</v>
      </c>
      <c r="D177" s="45">
        <f>MROUND(MID($C177,6,3)/Basis!$E$3,0.5)</f>
        <v>8</v>
      </c>
      <c r="E177" s="45">
        <f>MROUND(MID($C177,9,3)/Basis!$E$3,0.5)</f>
        <v>47</v>
      </c>
      <c r="F177" s="237" t="str">
        <f t="shared" si="2"/>
        <v>15</v>
      </c>
      <c r="G177" s="45">
        <f>ROUND((ROUNDDOWN($F177/5,0)*5+2.2)/Basis!$E$3,1)</f>
        <v>6.8</v>
      </c>
      <c r="H177" s="120">
        <f>ROUND($P177*Basis!$E$2*((TaH-TrH)/LN(1/µ)/Basis!$E$7)^$N177*$AA$4*Glycol,0)</f>
        <v>2804</v>
      </c>
      <c r="I177" s="83">
        <f>ROUND(H177/(MID($C177,9,3)/Basis!$E$3/Basis!$E$9)*Basis!$E$11,0)</f>
        <v>712</v>
      </c>
      <c r="J177" s="123">
        <f>IF(Basis!$E$1=1,ROUND(H177/((TaH-TrH)*1.163)/3600,3),ROUND(H177/(500*(TaH-TrH)),2))</f>
        <v>0.28000000000000003</v>
      </c>
      <c r="K177" s="84"/>
      <c r="L177" s="177">
        <f>CHOOSE(Basis!$E$1,((AJ177*(J177*3600/Basis!$E$5)^AK177*(((MID(C177,9,3)*10)-144)/1000)*AL177+AM177*(J177*3600/Basis!$E$5)^2)*0.0098)/Basis!$E$10,((AJ177*(J177/Basis!$E$5)^AK177*(((MID(C177,9,3)*10)-144)/1000)*AL177+AM177*(J177/Basis!$E$5)^2)*0.0098)/Basis!$E$10)</f>
        <v>7.9563552060216876E-3</v>
      </c>
      <c r="M177" s="85"/>
      <c r="N177" s="185">
        <v>1.4079999999999999</v>
      </c>
      <c r="O177" s="186"/>
      <c r="P177" s="187">
        <v>1308</v>
      </c>
      <c r="AJ177" s="125">
        <v>2.0829999999999999E-4</v>
      </c>
      <c r="AK177" s="131">
        <v>1.724</v>
      </c>
      <c r="AL177" s="128">
        <v>2</v>
      </c>
      <c r="AM177" s="125">
        <v>4.6182900000000003E-4</v>
      </c>
    </row>
    <row r="178" spans="1:39" ht="12.75" customHeight="1" x14ac:dyDescent="0.25">
      <c r="A178" s="72" t="s">
        <v>20</v>
      </c>
      <c r="B178" s="184" t="s">
        <v>3090</v>
      </c>
      <c r="C178" s="44" t="s">
        <v>3099</v>
      </c>
      <c r="D178" s="45">
        <f>MROUND(MID($C178,6,3)/Basis!$E$3,0.5)</f>
        <v>8</v>
      </c>
      <c r="E178" s="45">
        <f>MROUND(MID($C178,9,3)/Basis!$E$3,0.5)</f>
        <v>55</v>
      </c>
      <c r="F178" s="237" t="str">
        <f t="shared" si="2"/>
        <v>05</v>
      </c>
      <c r="G178" s="45">
        <f>ROUND((ROUNDDOWN($F178/5,0)*5+2.2)/Basis!$E$3,1)</f>
        <v>2.8</v>
      </c>
      <c r="H178" s="120">
        <f>ROUND($P178*Basis!$E$2*((TaH-TrH)/LN(1/µ)/Basis!$E$7)^$N178*$AA$4*Glycol,0)</f>
        <v>1368</v>
      </c>
      <c r="I178" s="83">
        <f>ROUND(H178/(MID($C178,9,3)/Basis!$E$3/Basis!$E$9)*Basis!$E$11,0)</f>
        <v>298</v>
      </c>
      <c r="J178" s="123">
        <f>IF(Basis!$E$1=1,ROUND(H178/((TaH-TrH)*1.163)/3600,3),ROUND(H178/(500*(TaH-TrH)),2))</f>
        <v>0.14000000000000001</v>
      </c>
      <c r="K178" s="84"/>
      <c r="L178" s="177">
        <f>CHOOSE(Basis!$E$1,((AJ178*(J178*3600/Basis!$E$5)^AK178*(((MID(C178,9,3)*10)-144)/1000)*AL178+AM178*(J178*3600/Basis!$E$5)^2)*0.0098)/Basis!$E$10,((AJ178*(J178/Basis!$E$5)^AK178*(((MID(C178,9,3)*10)-144)/1000)*AL178+AM178*(J178/Basis!$E$5)^2)*0.0098)/Basis!$E$10)</f>
        <v>5.2330180366849657E-3</v>
      </c>
      <c r="M178" s="85"/>
      <c r="N178" s="185">
        <v>1.399</v>
      </c>
      <c r="O178" s="186"/>
      <c r="P178" s="187">
        <v>636</v>
      </c>
      <c r="AJ178" s="191">
        <v>9.3669999999999995E-4</v>
      </c>
      <c r="AK178" s="192">
        <v>1.789841</v>
      </c>
      <c r="AL178" s="193">
        <v>2</v>
      </c>
      <c r="AM178" s="191">
        <v>4.4559999999999999E-4</v>
      </c>
    </row>
    <row r="179" spans="1:39" ht="12.75" customHeight="1" x14ac:dyDescent="0.25">
      <c r="A179" s="72" t="s">
        <v>20</v>
      </c>
      <c r="B179" s="184" t="s">
        <v>3090</v>
      </c>
      <c r="C179" s="44" t="s">
        <v>3111</v>
      </c>
      <c r="D179" s="45">
        <f>MROUND(MID($C179,6,3)/Basis!$E$3,0.5)</f>
        <v>8</v>
      </c>
      <c r="E179" s="45">
        <f>MROUND(MID($C179,9,3)/Basis!$E$3,0.5)</f>
        <v>55</v>
      </c>
      <c r="F179" s="237" t="str">
        <f t="shared" si="2"/>
        <v>10</v>
      </c>
      <c r="G179" s="45">
        <f>ROUND((ROUNDDOWN($F179/5,0)*5+2.2)/Basis!$E$3,1)</f>
        <v>4.8</v>
      </c>
      <c r="H179" s="120">
        <f>ROUND($P179*Basis!$E$2*((TaH-TrH)/LN(1/µ)/Basis!$E$7)^$N179*$AA$4*Glycol,0)</f>
        <v>1963</v>
      </c>
      <c r="I179" s="83">
        <f>ROUND(H179/(MID($C179,9,3)/Basis!$E$3/Basis!$E$9)*Basis!$E$11,0)</f>
        <v>427</v>
      </c>
      <c r="J179" s="123">
        <f>IF(Basis!$E$1=1,ROUND(H179/((TaH-TrH)*1.163)/3600,3),ROUND(H179/(500*(TaH-TrH)),2))</f>
        <v>0.2</v>
      </c>
      <c r="K179" s="84"/>
      <c r="L179" s="177">
        <f>CHOOSE(Basis!$E$1,((AJ179*(J179*3600/Basis!$E$5)^AK179*(((MID(C179,9,3)*10)-144)/1000)*AL179+AM179*(J179*3600/Basis!$E$5)^2)*0.0098)/Basis!$E$10,((AJ179*(J179/Basis!$E$5)^AK179*(((MID(C179,9,3)*10)-144)/1000)*AL179+AM179*(J179/Basis!$E$5)^2)*0.0098)/Basis!$E$10)</f>
        <v>4.921601650189459E-3</v>
      </c>
      <c r="M179" s="85"/>
      <c r="N179" s="185">
        <v>1.413</v>
      </c>
      <c r="O179" s="186"/>
      <c r="P179" s="187">
        <v>917</v>
      </c>
      <c r="AJ179" s="126">
        <v>3.9689999999999994E-4</v>
      </c>
      <c r="AK179" s="132">
        <v>1.7345999999999999</v>
      </c>
      <c r="AL179" s="129">
        <v>2</v>
      </c>
      <c r="AM179" s="126">
        <v>3.6734700000000002E-4</v>
      </c>
    </row>
    <row r="180" spans="1:39" ht="12.75" customHeight="1" x14ac:dyDescent="0.25">
      <c r="A180" s="72" t="s">
        <v>20</v>
      </c>
      <c r="B180" s="184" t="s">
        <v>3090</v>
      </c>
      <c r="C180" s="44" t="s">
        <v>3123</v>
      </c>
      <c r="D180" s="45">
        <f>MROUND(MID($C180,6,3)/Basis!$E$3,0.5)</f>
        <v>8</v>
      </c>
      <c r="E180" s="45">
        <f>MROUND(MID($C180,9,3)/Basis!$E$3,0.5)</f>
        <v>55</v>
      </c>
      <c r="F180" s="237" t="str">
        <f t="shared" si="2"/>
        <v>15</v>
      </c>
      <c r="G180" s="45">
        <f>ROUND((ROUNDDOWN($F180/5,0)*5+2.2)/Basis!$E$3,1)</f>
        <v>6.8</v>
      </c>
      <c r="H180" s="120">
        <f>ROUND($P180*Basis!$E$2*((TaH-TrH)/LN(1/µ)/Basis!$E$7)^$N180*$AA$4*Glycol,0)</f>
        <v>3272</v>
      </c>
      <c r="I180" s="83">
        <f>ROUND(H180/(MID($C180,9,3)/Basis!$E$3/Basis!$E$9)*Basis!$E$11,0)</f>
        <v>712</v>
      </c>
      <c r="J180" s="123">
        <f>IF(Basis!$E$1=1,ROUND(H180/((TaH-TrH)*1.163)/3600,3),ROUND(H180/(500*(TaH-TrH)),2))</f>
        <v>0.33</v>
      </c>
      <c r="K180" s="84"/>
      <c r="L180" s="177">
        <f>CHOOSE(Basis!$E$1,((AJ180*(J180*3600/Basis!$E$5)^AK180*(((MID(C180,9,3)*10)-144)/1000)*AL180+AM180*(J180*3600/Basis!$E$5)^2)*0.0098)/Basis!$E$10,((AJ180*(J180/Basis!$E$5)^AK180*(((MID(C180,9,3)*10)-144)/1000)*AL180+AM180*(J180/Basis!$E$5)^2)*0.0098)/Basis!$E$10)</f>
        <v>1.1402661305964245E-2</v>
      </c>
      <c r="M180" s="85"/>
      <c r="N180" s="185">
        <v>1.4079999999999999</v>
      </c>
      <c r="O180" s="186"/>
      <c r="P180" s="187">
        <v>1526</v>
      </c>
      <c r="AJ180" s="125">
        <v>2.0829999999999999E-4</v>
      </c>
      <c r="AK180" s="131">
        <v>1.724</v>
      </c>
      <c r="AL180" s="128">
        <v>2</v>
      </c>
      <c r="AM180" s="125">
        <v>4.6182900000000003E-4</v>
      </c>
    </row>
    <row r="181" spans="1:39" ht="12.75" customHeight="1" x14ac:dyDescent="0.25">
      <c r="A181" s="72" t="s">
        <v>20</v>
      </c>
      <c r="B181" s="184" t="s">
        <v>3090</v>
      </c>
      <c r="C181" s="44" t="s">
        <v>3100</v>
      </c>
      <c r="D181" s="45">
        <f>MROUND(MID($C181,6,3)/Basis!$E$3,0.5)</f>
        <v>8</v>
      </c>
      <c r="E181" s="45">
        <f>MROUND(MID($C181,9,3)/Basis!$E$3,0.5)</f>
        <v>63</v>
      </c>
      <c r="F181" s="237" t="str">
        <f t="shared" si="2"/>
        <v>05</v>
      </c>
      <c r="G181" s="45">
        <f>ROUND((ROUNDDOWN($F181/5,0)*5+2.2)/Basis!$E$3,1)</f>
        <v>2.8</v>
      </c>
      <c r="H181" s="120">
        <f>ROUND($P181*Basis!$E$2*((TaH-TrH)/LN(1/µ)/Basis!$E$7)^$N181*$AA$4*Glycol,0)</f>
        <v>1561</v>
      </c>
      <c r="I181" s="83">
        <f>ROUND(H181/(MID($C181,9,3)/Basis!$E$3/Basis!$E$9)*Basis!$E$11,0)</f>
        <v>297</v>
      </c>
      <c r="J181" s="123">
        <f>IF(Basis!$E$1=1,ROUND(H181/((TaH-TrH)*1.163)/3600,3),ROUND(H181/(500*(TaH-TrH)),2))</f>
        <v>0.16</v>
      </c>
      <c r="K181" s="84"/>
      <c r="L181" s="177">
        <f>CHOOSE(Basis!$E$1,((AJ181*(J181*3600/Basis!$E$5)^AK181*(((MID(C181,9,3)*10)-144)/1000)*AL181+AM181*(J181*3600/Basis!$E$5)^2)*0.0098)/Basis!$E$10,((AJ181*(J181/Basis!$E$5)^AK181*(((MID(C181,9,3)*10)-144)/1000)*AL181+AM181*(J181/Basis!$E$5)^2)*0.0098)/Basis!$E$10)</f>
        <v>7.4594127780594783E-3</v>
      </c>
      <c r="M181" s="85"/>
      <c r="N181" s="185">
        <v>1.399</v>
      </c>
      <c r="O181" s="186"/>
      <c r="P181" s="187">
        <v>726</v>
      </c>
      <c r="AJ181" s="191">
        <v>9.3669999999999995E-4</v>
      </c>
      <c r="AK181" s="192">
        <v>1.789841</v>
      </c>
      <c r="AL181" s="193">
        <v>2</v>
      </c>
      <c r="AM181" s="191">
        <v>4.4559999999999999E-4</v>
      </c>
    </row>
    <row r="182" spans="1:39" ht="12.75" customHeight="1" x14ac:dyDescent="0.25">
      <c r="A182" s="72" t="s">
        <v>20</v>
      </c>
      <c r="B182" s="184" t="s">
        <v>3090</v>
      </c>
      <c r="C182" s="44" t="s">
        <v>3112</v>
      </c>
      <c r="D182" s="45">
        <f>MROUND(MID($C182,6,3)/Basis!$E$3,0.5)</f>
        <v>8</v>
      </c>
      <c r="E182" s="45">
        <f>MROUND(MID($C182,9,3)/Basis!$E$3,0.5)</f>
        <v>63</v>
      </c>
      <c r="F182" s="237" t="str">
        <f t="shared" si="2"/>
        <v>10</v>
      </c>
      <c r="G182" s="45">
        <f>ROUND((ROUNDDOWN($F182/5,0)*5+2.2)/Basis!$E$3,1)</f>
        <v>4.8</v>
      </c>
      <c r="H182" s="120">
        <f>ROUND($P182*Basis!$E$2*((TaH-TrH)/LN(1/µ)/Basis!$E$7)^$N182*$AA$4*Glycol,0)</f>
        <v>2243</v>
      </c>
      <c r="I182" s="83">
        <f>ROUND(H182/(MID($C182,9,3)/Basis!$E$3/Basis!$E$9)*Basis!$E$11,0)</f>
        <v>427</v>
      </c>
      <c r="J182" s="123">
        <f>IF(Basis!$E$1=1,ROUND(H182/((TaH-TrH)*1.163)/3600,3),ROUND(H182/(500*(TaH-TrH)),2))</f>
        <v>0.22</v>
      </c>
      <c r="K182" s="84"/>
      <c r="L182" s="177">
        <f>CHOOSE(Basis!$E$1,((AJ182*(J182*3600/Basis!$E$5)^AK182*(((MID(C182,9,3)*10)-144)/1000)*AL182+AM182*(J182*3600/Basis!$E$5)^2)*0.0098)/Basis!$E$10,((AJ182*(J182/Basis!$E$5)^AK182*(((MID(C182,9,3)*10)-144)/1000)*AL182+AM182*(J182/Basis!$E$5)^2)*0.0098)/Basis!$E$10)</f>
        <v>6.3402792021210316E-3</v>
      </c>
      <c r="M182" s="85"/>
      <c r="N182" s="185">
        <v>1.413</v>
      </c>
      <c r="O182" s="186"/>
      <c r="P182" s="187">
        <v>1048</v>
      </c>
      <c r="AJ182" s="126">
        <v>3.9689999999999994E-4</v>
      </c>
      <c r="AK182" s="132">
        <v>1.7345999999999999</v>
      </c>
      <c r="AL182" s="129">
        <v>2</v>
      </c>
      <c r="AM182" s="126">
        <v>3.6734700000000002E-4</v>
      </c>
    </row>
    <row r="183" spans="1:39" ht="12.75" customHeight="1" x14ac:dyDescent="0.25">
      <c r="A183" s="72" t="s">
        <v>20</v>
      </c>
      <c r="B183" s="184" t="s">
        <v>3090</v>
      </c>
      <c r="C183" s="44" t="s">
        <v>3124</v>
      </c>
      <c r="D183" s="45">
        <f>MROUND(MID($C183,6,3)/Basis!$E$3,0.5)</f>
        <v>8</v>
      </c>
      <c r="E183" s="45">
        <f>MROUND(MID($C183,9,3)/Basis!$E$3,0.5)</f>
        <v>63</v>
      </c>
      <c r="F183" s="237" t="str">
        <f t="shared" si="2"/>
        <v>15</v>
      </c>
      <c r="G183" s="45">
        <f>ROUND((ROUNDDOWN($F183/5,0)*5+2.2)/Basis!$E$3,1)</f>
        <v>6.8</v>
      </c>
      <c r="H183" s="120">
        <f>ROUND($P183*Basis!$E$2*((TaH-TrH)/LN(1/µ)/Basis!$E$7)^$N183*$AA$4*Glycol,0)</f>
        <v>3739</v>
      </c>
      <c r="I183" s="83">
        <f>ROUND(H183/(MID($C183,9,3)/Basis!$E$3/Basis!$E$9)*Basis!$E$11,0)</f>
        <v>712</v>
      </c>
      <c r="J183" s="123">
        <f>IF(Basis!$E$1=1,ROUND(H183/((TaH-TrH)*1.163)/3600,3),ROUND(H183/(500*(TaH-TrH)),2))</f>
        <v>0.37</v>
      </c>
      <c r="K183" s="84"/>
      <c r="L183" s="177">
        <f>CHOOSE(Basis!$E$1,((AJ183*(J183*3600/Basis!$E$5)^AK183*(((MID(C183,9,3)*10)-144)/1000)*AL183+AM183*(J183*3600/Basis!$E$5)^2)*0.0098)/Basis!$E$10,((AJ183*(J183/Basis!$E$5)^AK183*(((MID(C183,9,3)*10)-144)/1000)*AL183+AM183*(J183/Basis!$E$5)^2)*0.0098)/Basis!$E$10)</f>
        <v>1.4786677814499674E-2</v>
      </c>
      <c r="M183" s="85"/>
      <c r="N183" s="185">
        <v>1.4079999999999999</v>
      </c>
      <c r="O183" s="186"/>
      <c r="P183" s="187">
        <v>1744</v>
      </c>
      <c r="AJ183" s="125">
        <v>2.0829999999999999E-4</v>
      </c>
      <c r="AK183" s="131">
        <v>1.724</v>
      </c>
      <c r="AL183" s="128">
        <v>2</v>
      </c>
      <c r="AM183" s="125">
        <v>4.6182900000000003E-4</v>
      </c>
    </row>
    <row r="184" spans="1:39" ht="12.75" customHeight="1" x14ac:dyDescent="0.25">
      <c r="A184" s="72" t="s">
        <v>20</v>
      </c>
      <c r="B184" s="184" t="s">
        <v>3090</v>
      </c>
      <c r="C184" s="44" t="s">
        <v>3101</v>
      </c>
      <c r="D184" s="45">
        <f>MROUND(MID($C184,6,3)/Basis!$E$3,0.5)</f>
        <v>8</v>
      </c>
      <c r="E184" s="45">
        <f>MROUND(MID($C184,9,3)/Basis!$E$3,0.5)</f>
        <v>71</v>
      </c>
      <c r="F184" s="237" t="str">
        <f t="shared" si="2"/>
        <v>05</v>
      </c>
      <c r="G184" s="45">
        <f>ROUND((ROUNDDOWN($F184/5,0)*5+2.2)/Basis!$E$3,1)</f>
        <v>2.8</v>
      </c>
      <c r="H184" s="120">
        <f>ROUND($P184*Basis!$E$2*((TaH-TrH)/LN(1/µ)/Basis!$E$7)^$N184*$AA$4*Glycol,0)</f>
        <v>1757</v>
      </c>
      <c r="I184" s="83">
        <f>ROUND(H184/(MID($C184,9,3)/Basis!$E$3/Basis!$E$9)*Basis!$E$11,0)</f>
        <v>298</v>
      </c>
      <c r="J184" s="123">
        <f>IF(Basis!$E$1=1,ROUND(H184/((TaH-TrH)*1.163)/3600,3),ROUND(H184/(500*(TaH-TrH)),2))</f>
        <v>0.18</v>
      </c>
      <c r="K184" s="84"/>
      <c r="L184" s="177">
        <f>CHOOSE(Basis!$E$1,((AJ184*(J184*3600/Basis!$E$5)^AK184*(((MID(C184,9,3)*10)-144)/1000)*AL184+AM184*(J184*3600/Basis!$E$5)^2)*0.0098)/Basis!$E$10,((AJ184*(J184/Basis!$E$5)^AK184*(((MID(C184,9,3)*10)-144)/1000)*AL184+AM184*(J184/Basis!$E$5)^2)*0.0098)/Basis!$E$10)</f>
        <v>1.0208323181453474E-2</v>
      </c>
      <c r="M184" s="85"/>
      <c r="N184" s="185">
        <v>1.399</v>
      </c>
      <c r="O184" s="186"/>
      <c r="P184" s="187">
        <v>817</v>
      </c>
      <c r="AJ184" s="191">
        <v>9.3669999999999995E-4</v>
      </c>
      <c r="AK184" s="192">
        <v>1.789841</v>
      </c>
      <c r="AL184" s="193">
        <v>2</v>
      </c>
      <c r="AM184" s="191">
        <v>4.4559999999999999E-4</v>
      </c>
    </row>
    <row r="185" spans="1:39" ht="12.75" customHeight="1" x14ac:dyDescent="0.25">
      <c r="A185" s="72" t="s">
        <v>20</v>
      </c>
      <c r="B185" s="184" t="s">
        <v>3090</v>
      </c>
      <c r="C185" s="44" t="s">
        <v>3113</v>
      </c>
      <c r="D185" s="45">
        <f>MROUND(MID($C185,6,3)/Basis!$E$3,0.5)</f>
        <v>8</v>
      </c>
      <c r="E185" s="45">
        <f>MROUND(MID($C185,9,3)/Basis!$E$3,0.5)</f>
        <v>71</v>
      </c>
      <c r="F185" s="237" t="str">
        <f t="shared" si="2"/>
        <v>10</v>
      </c>
      <c r="G185" s="45">
        <f>ROUND((ROUNDDOWN($F185/5,0)*5+2.2)/Basis!$E$3,1)</f>
        <v>4.8</v>
      </c>
      <c r="H185" s="120">
        <f>ROUND($P185*Basis!$E$2*((TaH-TrH)/LN(1/µ)/Basis!$E$7)^$N185*$AA$4*Glycol,0)</f>
        <v>2524</v>
      </c>
      <c r="I185" s="83">
        <f>ROUND(H185/(MID($C185,9,3)/Basis!$E$3/Basis!$E$9)*Basis!$E$11,0)</f>
        <v>427</v>
      </c>
      <c r="J185" s="123">
        <f>IF(Basis!$E$1=1,ROUND(H185/((TaH-TrH)*1.163)/3600,3),ROUND(H185/(500*(TaH-TrH)),2))</f>
        <v>0.25</v>
      </c>
      <c r="K185" s="84"/>
      <c r="L185" s="177">
        <f>CHOOSE(Basis!$E$1,((AJ185*(J185*3600/Basis!$E$5)^AK185*(((MID(C185,9,3)*10)-144)/1000)*AL185+AM185*(J185*3600/Basis!$E$5)^2)*0.0098)/Basis!$E$10,((AJ185*(J185/Basis!$E$5)^AK185*(((MID(C185,9,3)*10)-144)/1000)*AL185+AM185*(J185/Basis!$E$5)^2)*0.0098)/Basis!$E$10)</f>
        <v>8.6163343041734883E-3</v>
      </c>
      <c r="M185" s="85"/>
      <c r="N185" s="185">
        <v>1.413</v>
      </c>
      <c r="O185" s="186"/>
      <c r="P185" s="187">
        <v>1179</v>
      </c>
      <c r="AJ185" s="126">
        <v>3.9689999999999994E-4</v>
      </c>
      <c r="AK185" s="132">
        <v>1.7345999999999999</v>
      </c>
      <c r="AL185" s="129">
        <v>2</v>
      </c>
      <c r="AM185" s="126">
        <v>3.6734700000000002E-4</v>
      </c>
    </row>
    <row r="186" spans="1:39" ht="12.75" customHeight="1" x14ac:dyDescent="0.25">
      <c r="A186" s="72" t="s">
        <v>20</v>
      </c>
      <c r="B186" s="184" t="s">
        <v>3090</v>
      </c>
      <c r="C186" s="44" t="s">
        <v>3125</v>
      </c>
      <c r="D186" s="45">
        <f>MROUND(MID($C186,6,3)/Basis!$E$3,0.5)</f>
        <v>8</v>
      </c>
      <c r="E186" s="45">
        <f>MROUND(MID($C186,9,3)/Basis!$E$3,0.5)</f>
        <v>71</v>
      </c>
      <c r="F186" s="237" t="str">
        <f t="shared" si="2"/>
        <v>15</v>
      </c>
      <c r="G186" s="45">
        <f>ROUND((ROUNDDOWN($F186/5,0)*5+2.2)/Basis!$E$3,1)</f>
        <v>6.8</v>
      </c>
      <c r="H186" s="120">
        <f>ROUND($P186*Basis!$E$2*((TaH-TrH)/LN(1/µ)/Basis!$E$7)^$N186*$AA$4*Glycol,0)</f>
        <v>4206</v>
      </c>
      <c r="I186" s="83">
        <f>ROUND(H186/(MID($C186,9,3)/Basis!$E$3/Basis!$E$9)*Basis!$E$11,0)</f>
        <v>712</v>
      </c>
      <c r="J186" s="123">
        <f>IF(Basis!$E$1=1,ROUND(H186/((TaH-TrH)*1.163)/3600,3),ROUND(H186/(500*(TaH-TrH)),2))</f>
        <v>0.42</v>
      </c>
      <c r="K186" s="84"/>
      <c r="L186" s="177">
        <f>CHOOSE(Basis!$E$1,((AJ186*(J186*3600/Basis!$E$5)^AK186*(((MID(C186,9,3)*10)-144)/1000)*AL186+AM186*(J186*3600/Basis!$E$5)^2)*0.0098)/Basis!$E$10,((AJ186*(J186/Basis!$E$5)^AK186*(((MID(C186,9,3)*10)-144)/1000)*AL186+AM186*(J186/Basis!$E$5)^2)*0.0098)/Basis!$E$10)</f>
        <v>1.9575082342513456E-2</v>
      </c>
      <c r="M186" s="85"/>
      <c r="N186" s="185">
        <v>1.4079999999999999</v>
      </c>
      <c r="O186" s="186"/>
      <c r="P186" s="187">
        <v>1962</v>
      </c>
      <c r="AJ186" s="125">
        <v>2.0829999999999999E-4</v>
      </c>
      <c r="AK186" s="131">
        <v>1.724</v>
      </c>
      <c r="AL186" s="128">
        <v>2</v>
      </c>
      <c r="AM186" s="125">
        <v>4.6182900000000003E-4</v>
      </c>
    </row>
    <row r="187" spans="1:39" ht="12.75" customHeight="1" x14ac:dyDescent="0.25">
      <c r="A187" s="72" t="s">
        <v>20</v>
      </c>
      <c r="B187" s="184" t="s">
        <v>3090</v>
      </c>
      <c r="C187" s="44" t="s">
        <v>3102</v>
      </c>
      <c r="D187" s="45">
        <f>MROUND(MID($C187,6,3)/Basis!$E$3,0.5)</f>
        <v>8</v>
      </c>
      <c r="E187" s="45">
        <f>MROUND(MID($C187,9,3)/Basis!$E$3,0.5)</f>
        <v>78.5</v>
      </c>
      <c r="F187" s="237" t="str">
        <f t="shared" si="2"/>
        <v>05</v>
      </c>
      <c r="G187" s="45">
        <f>ROUND((ROUNDDOWN($F187/5,0)*5+2.2)/Basis!$E$3,1)</f>
        <v>2.8</v>
      </c>
      <c r="H187" s="120">
        <f>ROUND($P187*Basis!$E$2*((TaH-TrH)/LN(1/µ)/Basis!$E$7)^$N187*$AA$4*Glycol,0)</f>
        <v>1952</v>
      </c>
      <c r="I187" s="83">
        <f>ROUND(H187/(MID($C187,9,3)/Basis!$E$3/Basis!$E$9)*Basis!$E$11,0)</f>
        <v>297</v>
      </c>
      <c r="J187" s="123">
        <f>IF(Basis!$E$1=1,ROUND(H187/((TaH-TrH)*1.163)/3600,3),ROUND(H187/(500*(TaH-TrH)),2))</f>
        <v>0.2</v>
      </c>
      <c r="K187" s="84"/>
      <c r="L187" s="177">
        <f>CHOOSE(Basis!$E$1,((AJ187*(J187*3600/Basis!$E$5)^AK187*(((MID(C187,9,3)*10)-144)/1000)*AL187+AM187*(J187*3600/Basis!$E$5)^2)*0.0098)/Basis!$E$10,((AJ187*(J187/Basis!$E$5)^AK187*(((MID(C187,9,3)*10)-144)/1000)*AL187+AM187*(J187/Basis!$E$5)^2)*0.0098)/Basis!$E$10)</f>
        <v>1.3526329175454136E-2</v>
      </c>
      <c r="M187" s="85"/>
      <c r="N187" s="185">
        <v>1.399</v>
      </c>
      <c r="O187" s="186"/>
      <c r="P187" s="187">
        <v>908</v>
      </c>
      <c r="AJ187" s="191">
        <v>9.3669999999999995E-4</v>
      </c>
      <c r="AK187" s="192">
        <v>1.789841</v>
      </c>
      <c r="AL187" s="193">
        <v>2</v>
      </c>
      <c r="AM187" s="191">
        <v>4.4559999999999999E-4</v>
      </c>
    </row>
    <row r="188" spans="1:39" ht="12.75" customHeight="1" x14ac:dyDescent="0.25">
      <c r="A188" s="72" t="s">
        <v>20</v>
      </c>
      <c r="B188" s="184" t="s">
        <v>3090</v>
      </c>
      <c r="C188" s="44" t="s">
        <v>3114</v>
      </c>
      <c r="D188" s="45">
        <f>MROUND(MID($C188,6,3)/Basis!$E$3,0.5)</f>
        <v>8</v>
      </c>
      <c r="E188" s="45">
        <f>MROUND(MID($C188,9,3)/Basis!$E$3,0.5)</f>
        <v>78.5</v>
      </c>
      <c r="F188" s="237" t="str">
        <f t="shared" si="2"/>
        <v>10</v>
      </c>
      <c r="G188" s="45">
        <f>ROUND((ROUNDDOWN($F188/5,0)*5+2.2)/Basis!$E$3,1)</f>
        <v>4.8</v>
      </c>
      <c r="H188" s="120">
        <f>ROUND($P188*Basis!$E$2*((TaH-TrH)/LN(1/µ)/Basis!$E$7)^$N188*$AA$4*Glycol,0)</f>
        <v>2804</v>
      </c>
      <c r="I188" s="83">
        <f>ROUND(H188/(MID($C188,9,3)/Basis!$E$3/Basis!$E$9)*Basis!$E$11,0)</f>
        <v>427</v>
      </c>
      <c r="J188" s="123">
        <f>IF(Basis!$E$1=1,ROUND(H188/((TaH-TrH)*1.163)/3600,3),ROUND(H188/(500*(TaH-TrH)),2))</f>
        <v>0.28000000000000003</v>
      </c>
      <c r="K188" s="84"/>
      <c r="L188" s="177">
        <f>CHOOSE(Basis!$E$1,((AJ188*(J188*3600/Basis!$E$5)^AK188*(((MID(C188,9,3)*10)-144)/1000)*AL188+AM188*(J188*3600/Basis!$E$5)^2)*0.0098)/Basis!$E$10,((AJ188*(J188/Basis!$E$5)^AK188*(((MID(C188,9,3)*10)-144)/1000)*AL188+AM188*(J188/Basis!$E$5)^2)*0.0098)/Basis!$E$10)</f>
        <v>1.1329396121928459E-2</v>
      </c>
      <c r="M188" s="85"/>
      <c r="N188" s="185">
        <v>1.413</v>
      </c>
      <c r="O188" s="186"/>
      <c r="P188" s="187">
        <v>1310</v>
      </c>
      <c r="AJ188" s="126">
        <v>3.9689999999999994E-4</v>
      </c>
      <c r="AK188" s="132">
        <v>1.7345999999999999</v>
      </c>
      <c r="AL188" s="129">
        <v>2</v>
      </c>
      <c r="AM188" s="126">
        <v>3.6734700000000002E-4</v>
      </c>
    </row>
    <row r="189" spans="1:39" ht="12.75" customHeight="1" x14ac:dyDescent="0.25">
      <c r="A189" s="72" t="s">
        <v>20</v>
      </c>
      <c r="B189" s="184" t="s">
        <v>3090</v>
      </c>
      <c r="C189" s="44" t="s">
        <v>3126</v>
      </c>
      <c r="D189" s="45">
        <f>MROUND(MID($C189,6,3)/Basis!$E$3,0.5)</f>
        <v>8</v>
      </c>
      <c r="E189" s="45">
        <f>MROUND(MID($C189,9,3)/Basis!$E$3,0.5)</f>
        <v>78.5</v>
      </c>
      <c r="F189" s="237" t="str">
        <f t="shared" si="2"/>
        <v>15</v>
      </c>
      <c r="G189" s="45">
        <f>ROUND((ROUNDDOWN($F189/5,0)*5+2.2)/Basis!$E$3,1)</f>
        <v>6.8</v>
      </c>
      <c r="H189" s="120">
        <f>ROUND($P189*Basis!$E$2*((TaH-TrH)/LN(1/µ)/Basis!$E$7)^$N189*$AA$4*Glycol,0)</f>
        <v>4674</v>
      </c>
      <c r="I189" s="83">
        <f>ROUND(H189/(MID($C189,9,3)/Basis!$E$3/Basis!$E$9)*Basis!$E$11,0)</f>
        <v>712</v>
      </c>
      <c r="J189" s="123">
        <f>IF(Basis!$E$1=1,ROUND(H189/((TaH-TrH)*1.163)/3600,3),ROUND(H189/(500*(TaH-TrH)),2))</f>
        <v>0.47</v>
      </c>
      <c r="K189" s="84"/>
      <c r="L189" s="177">
        <f>CHOOSE(Basis!$E$1,((AJ189*(J189*3600/Basis!$E$5)^AK189*(((MID(C189,9,3)*10)-144)/1000)*AL189+AM189*(J189*3600/Basis!$E$5)^2)*0.0098)/Basis!$E$10,((AJ189*(J189/Basis!$E$5)^AK189*(((MID(C189,9,3)*10)-144)/1000)*AL189+AM189*(J189/Basis!$E$5)^2)*0.0098)/Basis!$E$10)</f>
        <v>2.5145301667064975E-2</v>
      </c>
      <c r="M189" s="85"/>
      <c r="N189" s="185">
        <v>1.4079999999999999</v>
      </c>
      <c r="O189" s="186"/>
      <c r="P189" s="187">
        <v>2180</v>
      </c>
      <c r="AJ189" s="125">
        <v>2.0829999999999999E-4</v>
      </c>
      <c r="AK189" s="131">
        <v>1.724</v>
      </c>
      <c r="AL189" s="128">
        <v>2</v>
      </c>
      <c r="AM189" s="125">
        <v>4.6182900000000003E-4</v>
      </c>
    </row>
    <row r="190" spans="1:39" ht="12.75" customHeight="1" x14ac:dyDescent="0.25">
      <c r="A190" s="72" t="s">
        <v>20</v>
      </c>
      <c r="B190" s="184" t="s">
        <v>3090</v>
      </c>
      <c r="C190" s="236" t="s">
        <v>4105</v>
      </c>
      <c r="D190" s="45">
        <f>MROUND(MID($C190,6,3)/Basis!$E$3,0.5)</f>
        <v>8</v>
      </c>
      <c r="E190" s="45">
        <f>MROUND(MID($C190,9,3)/Basis!$E$3,0.5)</f>
        <v>86.5</v>
      </c>
      <c r="F190" s="237" t="str">
        <f t="shared" si="2"/>
        <v>05</v>
      </c>
      <c r="G190" s="45">
        <f>ROUND((ROUNDDOWN($F190/5,0)*5+2.2)/Basis!$E$3,1)</f>
        <v>2.8</v>
      </c>
      <c r="H190" s="120">
        <f>ROUND($P190*Basis!$E$2*((TaH-TrH)/LN(1/µ)/Basis!$E$7)^$N190*$AA$4*Glycol,0)</f>
        <v>2148</v>
      </c>
      <c r="I190" s="83">
        <f>ROUND(H190/(MID($C190,9,3)/Basis!$E$3/Basis!$E$9)*Basis!$E$11,0)</f>
        <v>298</v>
      </c>
      <c r="J190" s="123">
        <f>IF(Basis!$E$1=1,ROUND(H190/((TaH-TrH)*1.163)/3600,3),ROUND(H190/(500*(TaH-TrH)),2))</f>
        <v>0.21</v>
      </c>
      <c r="K190" s="84"/>
      <c r="L190" s="177">
        <f>CHOOSE(Basis!$E$1,((AJ190*(J190*3600/Basis!$E$5)^AK190*(((MID(C190,9,3)*10)-144)/1000)*AL190+AM190*(J190*3600/Basis!$E$5)^2)*0.0098)/Basis!$E$10,((AJ190*(J190/Basis!$E$5)^AK190*(((MID(C190,9,3)*10)-144)/1000)*AL190+AM190*(J190/Basis!$E$5)^2)*0.0098)/Basis!$E$10)</f>
        <v>1.6031522345338167E-2</v>
      </c>
      <c r="M190" s="85"/>
      <c r="N190" s="185">
        <v>1.399</v>
      </c>
      <c r="O190" s="186"/>
      <c r="P190" s="187">
        <v>999</v>
      </c>
      <c r="AJ190" s="191">
        <v>9.3669999999999995E-4</v>
      </c>
      <c r="AK190" s="192">
        <v>1.789841</v>
      </c>
      <c r="AL190" s="193">
        <v>2</v>
      </c>
      <c r="AM190" s="191">
        <v>4.4559999999999999E-4</v>
      </c>
    </row>
    <row r="191" spans="1:39" ht="12.75" customHeight="1" x14ac:dyDescent="0.25">
      <c r="A191" s="72" t="s">
        <v>20</v>
      </c>
      <c r="B191" s="184" t="s">
        <v>3090</v>
      </c>
      <c r="C191" s="236" t="s">
        <v>4107</v>
      </c>
      <c r="D191" s="45">
        <f>MROUND(MID($C191,6,3)/Basis!$E$3,0.5)</f>
        <v>8</v>
      </c>
      <c r="E191" s="45">
        <f>MROUND(MID($C191,9,3)/Basis!$E$3,0.5)</f>
        <v>86.5</v>
      </c>
      <c r="F191" s="237" t="str">
        <f t="shared" si="2"/>
        <v>10</v>
      </c>
      <c r="G191" s="45">
        <f>ROUND((ROUNDDOWN($F191/5,0)*5+2.2)/Basis!$E$3,1)</f>
        <v>4.8</v>
      </c>
      <c r="H191" s="120">
        <f>ROUND($P191*Basis!$E$2*((TaH-TrH)/LN(1/µ)/Basis!$E$7)^$N191*$AA$4*Glycol,0)</f>
        <v>3084</v>
      </c>
      <c r="I191" s="83">
        <f>ROUND(H191/(MID($C191,9,3)/Basis!$E$3/Basis!$E$9)*Basis!$E$11,0)</f>
        <v>427</v>
      </c>
      <c r="J191" s="123">
        <f>IF(Basis!$E$1=1,ROUND(H191/((TaH-TrH)*1.163)/3600,3),ROUND(H191/(500*(TaH-TrH)),2))</f>
        <v>0.31</v>
      </c>
      <c r="K191" s="84"/>
      <c r="L191" s="177">
        <f>CHOOSE(Basis!$E$1,((AJ191*(J191*3600/Basis!$E$5)^AK191*(((MID(C191,9,3)*10)-144)/1000)*AL191+AM191*(J191*3600/Basis!$E$5)^2)*0.0098)/Basis!$E$10,((AJ191*(J191/Basis!$E$5)^AK191*(((MID(C191,9,3)*10)-144)/1000)*AL191+AM191*(J191/Basis!$E$5)^2)*0.0098)/Basis!$E$10)</f>
        <v>1.4507803186429911E-2</v>
      </c>
      <c r="M191" s="85"/>
      <c r="N191" s="185">
        <v>1.413</v>
      </c>
      <c r="O191" s="186"/>
      <c r="P191" s="187">
        <v>1441</v>
      </c>
      <c r="AJ191" s="126">
        <v>3.9689999999999994E-4</v>
      </c>
      <c r="AK191" s="132">
        <v>1.7345999999999999</v>
      </c>
      <c r="AL191" s="129">
        <v>2</v>
      </c>
      <c r="AM191" s="126">
        <v>3.6734700000000002E-4</v>
      </c>
    </row>
    <row r="192" spans="1:39" ht="12.75" customHeight="1" x14ac:dyDescent="0.25">
      <c r="A192" s="72" t="s">
        <v>20</v>
      </c>
      <c r="B192" s="184" t="s">
        <v>3090</v>
      </c>
      <c r="C192" s="236" t="s">
        <v>4109</v>
      </c>
      <c r="D192" s="45">
        <f>MROUND(MID($C192,6,3)/Basis!$E$3,0.5)</f>
        <v>8</v>
      </c>
      <c r="E192" s="45">
        <f>MROUND(MID($C192,9,3)/Basis!$E$3,0.5)</f>
        <v>86.5</v>
      </c>
      <c r="F192" s="237" t="str">
        <f t="shared" si="2"/>
        <v>15</v>
      </c>
      <c r="G192" s="45">
        <f>ROUND((ROUNDDOWN($F192/5,0)*5+2.2)/Basis!$E$3,1)</f>
        <v>6.8</v>
      </c>
      <c r="H192" s="120">
        <f>ROUND($P192*Basis!$E$2*((TaH-TrH)/LN(1/µ)/Basis!$E$7)^$N192*$AA$4*Glycol,0)</f>
        <v>5141</v>
      </c>
      <c r="I192" s="83">
        <f>ROUND(H192/(MID($C192,9,3)/Basis!$E$3/Basis!$E$9)*Basis!$E$11,0)</f>
        <v>712</v>
      </c>
      <c r="J192" s="123">
        <f>IF(Basis!$E$1=1,ROUND(H192/((TaH-TrH)*1.163)/3600,3),ROUND(H192/(500*(TaH-TrH)),2))</f>
        <v>0.51</v>
      </c>
      <c r="K192" s="84"/>
      <c r="L192" s="177">
        <f>CHOOSE(Basis!$E$1,((AJ192*(J192*3600/Basis!$E$5)^AK192*(((MID(C192,9,3)*10)-144)/1000)*AL192+AM192*(J192*3600/Basis!$E$5)^2)*0.0098)/Basis!$E$10,((AJ192*(J192/Basis!$E$5)^AK192*(((MID(C192,9,3)*10)-144)/1000)*AL192+AM192*(J192/Basis!$E$5)^2)*0.0098)/Basis!$E$10)</f>
        <v>3.0383859745280586E-2</v>
      </c>
      <c r="M192" s="85"/>
      <c r="N192" s="185">
        <v>1.4079999999999999</v>
      </c>
      <c r="O192" s="186"/>
      <c r="P192" s="187">
        <v>2398</v>
      </c>
      <c r="AJ192" s="125">
        <v>2.0829999999999999E-4</v>
      </c>
      <c r="AK192" s="131">
        <v>1.724</v>
      </c>
      <c r="AL192" s="128">
        <v>2</v>
      </c>
      <c r="AM192" s="125">
        <v>4.6182900000000003E-4</v>
      </c>
    </row>
    <row r="193" spans="1:39" ht="12.75" customHeight="1" x14ac:dyDescent="0.25">
      <c r="A193" s="72" t="s">
        <v>20</v>
      </c>
      <c r="B193" s="184" t="s">
        <v>3090</v>
      </c>
      <c r="C193" s="44" t="s">
        <v>4066</v>
      </c>
      <c r="D193" s="45">
        <f>MROUND(MID($C193,6,3)/Basis!$E$3,0.5)</f>
        <v>8</v>
      </c>
      <c r="E193" s="45">
        <f>MROUND(MID($C193,9,3)/Basis!$E$3,0.5)</f>
        <v>94.5</v>
      </c>
      <c r="F193" s="237" t="str">
        <f t="shared" si="2"/>
        <v>05</v>
      </c>
      <c r="G193" s="45">
        <f>ROUND((ROUNDDOWN($F193/5,0)*5+2.2)/Basis!$E$3,1)</f>
        <v>2.8</v>
      </c>
      <c r="H193" s="120">
        <f>ROUND($P193*Basis!$E$2*((TaH-TrH)/LN(1/µ)/Basis!$E$7)^$N193*$AA$4*Glycol,0)</f>
        <v>2344</v>
      </c>
      <c r="I193" s="83">
        <f>ROUND(H193/(MID($C193,9,3)/Basis!$E$3/Basis!$E$9)*Basis!$E$11,0)</f>
        <v>298</v>
      </c>
      <c r="J193" s="123">
        <f>IF(Basis!$E$1=1,ROUND(H193/((TaH-TrH)*1.163)/3600,3),ROUND(H193/(500*(TaH-TrH)),2))</f>
        <v>0.23</v>
      </c>
      <c r="K193" s="84"/>
      <c r="L193" s="177">
        <f>CHOOSE(Basis!$E$1,((AJ193*(J193*3600/Basis!$E$5)^AK193*(((MID(C193,9,3)*10)-144)/1000)*AL193+AM193*(J193*3600/Basis!$E$5)^2)*0.0098)/Basis!$E$10,((AJ193*(J193/Basis!$E$5)^AK193*(((MID(C193,9,3)*10)-144)/1000)*AL193+AM193*(J193/Basis!$E$5)^2)*0.0098)/Basis!$E$10)</f>
        <v>2.0397492608584408E-2</v>
      </c>
      <c r="M193" s="85"/>
      <c r="N193" s="185">
        <v>1.399</v>
      </c>
      <c r="O193" s="186"/>
      <c r="P193" s="187">
        <v>1090</v>
      </c>
      <c r="AJ193" s="191">
        <v>9.3669999999999995E-4</v>
      </c>
      <c r="AK193" s="192">
        <v>1.789841</v>
      </c>
      <c r="AL193" s="193">
        <v>2</v>
      </c>
      <c r="AM193" s="191">
        <v>4.4559999999999999E-4</v>
      </c>
    </row>
    <row r="194" spans="1:39" ht="12.75" customHeight="1" x14ac:dyDescent="0.25">
      <c r="A194" s="72" t="s">
        <v>20</v>
      </c>
      <c r="B194" s="184" t="s">
        <v>3090</v>
      </c>
      <c r="C194" s="44" t="s">
        <v>4070</v>
      </c>
      <c r="D194" s="45">
        <f>MROUND(MID($C194,6,3)/Basis!$E$3,0.5)</f>
        <v>8</v>
      </c>
      <c r="E194" s="45">
        <f>MROUND(MID($C194,9,3)/Basis!$E$3,0.5)</f>
        <v>94.5</v>
      </c>
      <c r="F194" s="237" t="str">
        <f t="shared" si="2"/>
        <v>10</v>
      </c>
      <c r="G194" s="45">
        <f>ROUND((ROUNDDOWN($F194/5,0)*5+2.2)/Basis!$E$3,1)</f>
        <v>4.8</v>
      </c>
      <c r="H194" s="120">
        <f>ROUND($P194*Basis!$E$2*((TaH-TrH)/LN(1/µ)/Basis!$E$7)^$N194*$AA$4*Glycol,0)</f>
        <v>3365</v>
      </c>
      <c r="I194" s="83">
        <f>ROUND(H194/(MID($C194,9,3)/Basis!$E$3/Basis!$E$9)*Basis!$E$11,0)</f>
        <v>427</v>
      </c>
      <c r="J194" s="123">
        <f>IF(Basis!$E$1=1,ROUND(H194/((TaH-TrH)*1.163)/3600,3),ROUND(H194/(500*(TaH-TrH)),2))</f>
        <v>0.34</v>
      </c>
      <c r="K194" s="84"/>
      <c r="L194" s="177">
        <f>CHOOSE(Basis!$E$1,((AJ194*(J194*3600/Basis!$E$5)^AK194*(((MID(C194,9,3)*10)-144)/1000)*AL194+AM194*(J194*3600/Basis!$E$5)^2)*0.0098)/Basis!$E$10,((AJ194*(J194/Basis!$E$5)^AK194*(((MID(C194,9,3)*10)-144)/1000)*AL194+AM194*(J194/Basis!$E$5)^2)*0.0098)/Basis!$E$10)</f>
        <v>1.8179094256636105E-2</v>
      </c>
      <c r="M194" s="85"/>
      <c r="N194" s="185">
        <v>1.413</v>
      </c>
      <c r="O194" s="186"/>
      <c r="P194" s="187">
        <v>1572</v>
      </c>
      <c r="AJ194" s="126">
        <v>3.9689999999999994E-4</v>
      </c>
      <c r="AK194" s="132">
        <v>1.7345999999999999</v>
      </c>
      <c r="AL194" s="129">
        <v>2</v>
      </c>
      <c r="AM194" s="126">
        <v>3.6734700000000002E-4</v>
      </c>
    </row>
    <row r="195" spans="1:39" ht="12.75" customHeight="1" x14ac:dyDescent="0.25">
      <c r="A195" s="72" t="s">
        <v>20</v>
      </c>
      <c r="B195" s="184" t="s">
        <v>3090</v>
      </c>
      <c r="C195" s="44" t="s">
        <v>4076</v>
      </c>
      <c r="D195" s="45">
        <f>MROUND(MID($C195,6,3)/Basis!$E$3,0.5)</f>
        <v>8</v>
      </c>
      <c r="E195" s="45">
        <f>MROUND(MID($C195,9,3)/Basis!$E$3,0.5)</f>
        <v>94.5</v>
      </c>
      <c r="F195" s="237" t="str">
        <f t="shared" si="2"/>
        <v>15</v>
      </c>
      <c r="G195" s="45">
        <f>ROUND((ROUNDDOWN($F195/5,0)*5+2.2)/Basis!$E$3,1)</f>
        <v>6.8</v>
      </c>
      <c r="H195" s="120">
        <f>ROUND($P195*Basis!$E$2*((TaH-TrH)/LN(1/µ)/Basis!$E$7)^$N195*$AA$4*Glycol,0)</f>
        <v>5608</v>
      </c>
      <c r="I195" s="83">
        <f>ROUND(H195/(MID($C195,9,3)/Basis!$E$3/Basis!$E$9)*Basis!$E$11,0)</f>
        <v>712</v>
      </c>
      <c r="J195" s="123">
        <f>IF(Basis!$E$1=1,ROUND(H195/((TaH-TrH)*1.163)/3600,3),ROUND(H195/(500*(TaH-TrH)),2))</f>
        <v>0.56000000000000005</v>
      </c>
      <c r="K195" s="84"/>
      <c r="L195" s="177">
        <f>CHOOSE(Basis!$E$1,((AJ195*(J195*3600/Basis!$E$5)^AK195*(((MID(C195,9,3)*10)-144)/1000)*AL195+AM195*(J195*3600/Basis!$E$5)^2)*0.0098)/Basis!$E$10,((AJ195*(J195/Basis!$E$5)^AK195*(((MID(C195,9,3)*10)-144)/1000)*AL195+AM195*(J195/Basis!$E$5)^2)*0.0098)/Basis!$E$10)</f>
        <v>3.747951055948457E-2</v>
      </c>
      <c r="M195" s="85"/>
      <c r="N195" s="185">
        <v>1.4079999999999999</v>
      </c>
      <c r="O195" s="186"/>
      <c r="P195" s="187">
        <v>2616</v>
      </c>
      <c r="AJ195" s="125">
        <v>2.0829999999999999E-4</v>
      </c>
      <c r="AK195" s="131">
        <v>1.724</v>
      </c>
      <c r="AL195" s="128">
        <v>2</v>
      </c>
      <c r="AM195" s="125">
        <v>4.6182900000000003E-4</v>
      </c>
    </row>
    <row r="196" spans="1:39" ht="12.75" customHeight="1" x14ac:dyDescent="0.25">
      <c r="A196" s="72" t="s">
        <v>20</v>
      </c>
      <c r="B196" s="184" t="s">
        <v>3090</v>
      </c>
      <c r="C196" s="236" t="s">
        <v>4106</v>
      </c>
      <c r="D196" s="45">
        <f>MROUND(MID($C196,6,3)/Basis!$E$3,0.5)</f>
        <v>8</v>
      </c>
      <c r="E196" s="45">
        <f>MROUND(MID($C196,9,3)/Basis!$E$3,0.5)</f>
        <v>102.5</v>
      </c>
      <c r="F196" s="237" t="str">
        <f t="shared" si="2"/>
        <v>05</v>
      </c>
      <c r="G196" s="45">
        <f>ROUND((ROUNDDOWN($F196/5,0)*5+2.2)/Basis!$E$3,1)</f>
        <v>2.8</v>
      </c>
      <c r="H196" s="120">
        <f>ROUND($P196*Basis!$E$2*((TaH-TrH)/LN(1/µ)/Basis!$E$7)^$N196*$AA$4*Glycol,0)</f>
        <v>2537</v>
      </c>
      <c r="I196" s="83">
        <f>ROUND(H196/(MID($C196,9,3)/Basis!$E$3/Basis!$E$9)*Basis!$E$11,0)</f>
        <v>297</v>
      </c>
      <c r="J196" s="123">
        <f>IF(Basis!$E$1=1,ROUND(H196/((TaH-TrH)*1.163)/3600,3),ROUND(H196/(500*(TaH-TrH)),2))</f>
        <v>0.25</v>
      </c>
      <c r="K196" s="84"/>
      <c r="L196" s="177">
        <f>CHOOSE(Basis!$E$1,((AJ196*(J196*3600/Basis!$E$5)^AK196*(((MID(C196,9,3)*10)-144)/1000)*AL196+AM196*(J196*3600/Basis!$E$5)^2)*0.0098)/Basis!$E$10,((AJ196*(J196/Basis!$E$5)^AK196*(((MID(C196,9,3)*10)-144)/1000)*AL196+AM196*(J196/Basis!$E$5)^2)*0.0098)/Basis!$E$10)</f>
        <v>2.5452222787025122E-2</v>
      </c>
      <c r="M196" s="85"/>
      <c r="N196" s="185">
        <v>1.399</v>
      </c>
      <c r="O196" s="186"/>
      <c r="P196" s="187">
        <v>1180</v>
      </c>
      <c r="AJ196" s="191">
        <v>9.3669999999999995E-4</v>
      </c>
      <c r="AK196" s="192">
        <v>1.789841</v>
      </c>
      <c r="AL196" s="193">
        <v>2</v>
      </c>
      <c r="AM196" s="191">
        <v>4.4559999999999999E-4</v>
      </c>
    </row>
    <row r="197" spans="1:39" ht="12.75" customHeight="1" x14ac:dyDescent="0.25">
      <c r="A197" s="72" t="s">
        <v>20</v>
      </c>
      <c r="B197" s="184" t="s">
        <v>3090</v>
      </c>
      <c r="C197" s="236" t="s">
        <v>4108</v>
      </c>
      <c r="D197" s="45">
        <f>MROUND(MID($C197,6,3)/Basis!$E$3,0.5)</f>
        <v>8</v>
      </c>
      <c r="E197" s="45">
        <f>MROUND(MID($C197,9,3)/Basis!$E$3,0.5)</f>
        <v>102.5</v>
      </c>
      <c r="F197" s="237" t="str">
        <f t="shared" si="2"/>
        <v>10</v>
      </c>
      <c r="G197" s="45">
        <f>ROUND((ROUNDDOWN($F197/5,0)*5+2.2)/Basis!$E$3,1)</f>
        <v>4.8</v>
      </c>
      <c r="H197" s="120">
        <f>ROUND($P197*Basis!$E$2*((TaH-TrH)/LN(1/µ)/Basis!$E$7)^$N197*$AA$4*Glycol,0)</f>
        <v>3645</v>
      </c>
      <c r="I197" s="83">
        <f>ROUND(H197/(MID($C197,9,3)/Basis!$E$3/Basis!$E$9)*Basis!$E$11,0)</f>
        <v>427</v>
      </c>
      <c r="J197" s="123">
        <f>IF(Basis!$E$1=1,ROUND(H197/((TaH-TrH)*1.163)/3600,3),ROUND(H197/(500*(TaH-TrH)),2))</f>
        <v>0.36</v>
      </c>
      <c r="K197" s="84"/>
      <c r="L197" s="177">
        <f>CHOOSE(Basis!$E$1,((AJ197*(J197*3600/Basis!$E$5)^AK197*(((MID(C197,9,3)*10)-144)/1000)*AL197+AM197*(J197*3600/Basis!$E$5)^2)*0.0098)/Basis!$E$10,((AJ197*(J197/Basis!$E$5)^AK197*(((MID(C197,9,3)*10)-144)/1000)*AL197+AM197*(J197/Basis!$E$5)^2)*0.0098)/Basis!$E$10)</f>
        <v>2.1273202054444634E-2</v>
      </c>
      <c r="M197" s="85"/>
      <c r="N197" s="185">
        <v>1.413</v>
      </c>
      <c r="O197" s="186"/>
      <c r="P197" s="187">
        <v>1703</v>
      </c>
      <c r="AJ197" s="126">
        <v>3.9689999999999994E-4</v>
      </c>
      <c r="AK197" s="132">
        <v>1.7345999999999999</v>
      </c>
      <c r="AL197" s="129">
        <v>2</v>
      </c>
      <c r="AM197" s="126">
        <v>3.6734700000000002E-4</v>
      </c>
    </row>
    <row r="198" spans="1:39" ht="12.75" customHeight="1" x14ac:dyDescent="0.25">
      <c r="A198" s="72" t="s">
        <v>20</v>
      </c>
      <c r="B198" s="184" t="s">
        <v>3090</v>
      </c>
      <c r="C198" s="236" t="s">
        <v>4108</v>
      </c>
      <c r="D198" s="45">
        <f>MROUND(MID($C198,6,3)/Basis!$E$3,0.5)</f>
        <v>8</v>
      </c>
      <c r="E198" s="45">
        <f>MROUND(MID($C198,9,3)/Basis!$E$3,0.5)</f>
        <v>102.5</v>
      </c>
      <c r="F198" s="237" t="str">
        <f t="shared" si="2"/>
        <v>10</v>
      </c>
      <c r="G198" s="45">
        <f>ROUND((ROUNDDOWN($F198/5,0)*5+2.2)/Basis!$E$3,1)</f>
        <v>4.8</v>
      </c>
      <c r="H198" s="120">
        <f>ROUND($P198*Basis!$E$2*((TaH-TrH)/LN(1/µ)/Basis!$E$7)^$N198*$AA$4*Glycol,0)</f>
        <v>3645</v>
      </c>
      <c r="I198" s="83">
        <f>ROUND(H198/(MID($C198,9,3)/Basis!$E$3/Basis!$E$9)*Basis!$E$11,0)</f>
        <v>427</v>
      </c>
      <c r="J198" s="123">
        <f>IF(Basis!$E$1=1,ROUND(H198/((TaH-TrH)*1.163)/3600,3),ROUND(H198/(500*(TaH-TrH)),2))</f>
        <v>0.36</v>
      </c>
      <c r="K198" s="84"/>
      <c r="L198" s="177">
        <f>CHOOSE(Basis!$E$1,((AJ198*(J198*3600/Basis!$E$5)^AK198*(((MID(C198,9,3)*10)-144)/1000)*AL198+AM198*(J198*3600/Basis!$E$5)^2)*0.0098)/Basis!$E$10,((AJ198*(J198/Basis!$E$5)^AK198*(((MID(C198,9,3)*10)-144)/1000)*AL198+AM198*(J198/Basis!$E$5)^2)*0.0098)/Basis!$E$10)</f>
        <v>2.1273202054444634E-2</v>
      </c>
      <c r="M198" s="85"/>
      <c r="N198" s="185">
        <v>1.413</v>
      </c>
      <c r="O198" s="186"/>
      <c r="P198" s="187">
        <v>1703</v>
      </c>
      <c r="AJ198" s="126">
        <v>3.9689999999999994E-4</v>
      </c>
      <c r="AK198" s="132">
        <v>1.7345999999999999</v>
      </c>
      <c r="AL198" s="129">
        <v>2</v>
      </c>
      <c r="AM198" s="126">
        <v>3.6734700000000002E-4</v>
      </c>
    </row>
    <row r="199" spans="1:39" ht="12.75" customHeight="1" x14ac:dyDescent="0.25">
      <c r="A199" s="72" t="s">
        <v>20</v>
      </c>
      <c r="B199" s="184" t="s">
        <v>3090</v>
      </c>
      <c r="C199" s="44" t="s">
        <v>4067</v>
      </c>
      <c r="D199" s="45">
        <f>MROUND(MID($C199,6,3)/Basis!$E$3,0.5)</f>
        <v>8</v>
      </c>
      <c r="E199" s="45">
        <f>MROUND(MID($C199,9,3)/Basis!$E$3,0.5)</f>
        <v>110</v>
      </c>
      <c r="F199" s="237" t="str">
        <f t="shared" si="2"/>
        <v>05</v>
      </c>
      <c r="G199" s="45">
        <f>ROUND((ROUNDDOWN($F199/5,0)*5+2.2)/Basis!$E$3,1)</f>
        <v>2.8</v>
      </c>
      <c r="H199" s="120">
        <f>ROUND($P199*Basis!$E$2*((TaH-TrH)/LN(1/µ)/Basis!$E$7)^$N199*$AA$4*Glycol,0)</f>
        <v>2733</v>
      </c>
      <c r="I199" s="83">
        <f>ROUND(H199/(MID($C199,9,3)/Basis!$E$3/Basis!$E$9)*Basis!$E$11,0)</f>
        <v>298</v>
      </c>
      <c r="J199" s="123">
        <f>IF(Basis!$E$1=1,ROUND(H199/((TaH-TrH)*1.163)/3600,3),ROUND(H199/(500*(TaH-TrH)),2))</f>
        <v>0.27</v>
      </c>
      <c r="K199" s="84"/>
      <c r="L199" s="177">
        <f>CHOOSE(Basis!$E$1,((AJ199*(J199*3600/Basis!$E$5)^AK199*(((MID(C199,9,3)*10)-144)/1000)*AL199+AM199*(J199*3600/Basis!$E$5)^2)*0.0098)/Basis!$E$10,((AJ199*(J199/Basis!$E$5)^AK199*(((MID(C199,9,3)*10)-144)/1000)*AL199+AM199*(J199/Basis!$E$5)^2)*0.0098)/Basis!$E$10)</f>
        <v>3.1238810726581735E-2</v>
      </c>
      <c r="M199" s="85"/>
      <c r="N199" s="185">
        <v>1.399</v>
      </c>
      <c r="O199" s="186"/>
      <c r="P199" s="187">
        <v>1271</v>
      </c>
      <c r="AJ199" s="191">
        <v>9.3669999999999995E-4</v>
      </c>
      <c r="AK199" s="192">
        <v>1.789841</v>
      </c>
      <c r="AL199" s="193">
        <v>2</v>
      </c>
      <c r="AM199" s="191">
        <v>4.4559999999999999E-4</v>
      </c>
    </row>
    <row r="200" spans="1:39" ht="12.75" customHeight="1" x14ac:dyDescent="0.25">
      <c r="A200" s="72" t="s">
        <v>20</v>
      </c>
      <c r="B200" s="184" t="s">
        <v>3090</v>
      </c>
      <c r="C200" s="44" t="s">
        <v>4071</v>
      </c>
      <c r="D200" s="45">
        <f>MROUND(MID($C200,6,3)/Basis!$E$3,0.5)</f>
        <v>8</v>
      </c>
      <c r="E200" s="45">
        <f>MROUND(MID($C200,9,3)/Basis!$E$3,0.5)</f>
        <v>110</v>
      </c>
      <c r="F200" s="237" t="str">
        <f t="shared" si="2"/>
        <v>10</v>
      </c>
      <c r="G200" s="45">
        <f>ROUND((ROUNDDOWN($F200/5,0)*5+2.2)/Basis!$E$3,1)</f>
        <v>4.8</v>
      </c>
      <c r="H200" s="120">
        <f>ROUND($P200*Basis!$E$2*((TaH-TrH)/LN(1/µ)/Basis!$E$7)^$N200*$AA$4*Glycol,0)</f>
        <v>3925</v>
      </c>
      <c r="I200" s="83">
        <f>ROUND(H200/(MID($C200,9,3)/Basis!$E$3/Basis!$E$9)*Basis!$E$11,0)</f>
        <v>427</v>
      </c>
      <c r="J200" s="123">
        <f>IF(Basis!$E$1=1,ROUND(H200/((TaH-TrH)*1.163)/3600,3),ROUND(H200/(500*(TaH-TrH)),2))</f>
        <v>0.39</v>
      </c>
      <c r="K200" s="84"/>
      <c r="L200" s="177">
        <f>CHOOSE(Basis!$E$1,((AJ200*(J200*3600/Basis!$E$5)^AK200*(((MID(C200,9,3)*10)-144)/1000)*AL200+AM200*(J200*3600/Basis!$E$5)^2)*0.0098)/Basis!$E$10,((AJ200*(J200/Basis!$E$5)^AK200*(((MID(C200,9,3)*10)-144)/1000)*AL200+AM200*(J200/Basis!$E$5)^2)*0.0098)/Basis!$E$10)</f>
        <v>2.5878833700040665E-2</v>
      </c>
      <c r="M200" s="85"/>
      <c r="N200" s="185">
        <v>1.413</v>
      </c>
      <c r="O200" s="186"/>
      <c r="P200" s="187">
        <v>1834</v>
      </c>
      <c r="AJ200" s="126">
        <v>3.9689999999999994E-4</v>
      </c>
      <c r="AK200" s="132">
        <v>1.7345999999999999</v>
      </c>
      <c r="AL200" s="129">
        <v>2</v>
      </c>
      <c r="AM200" s="126">
        <v>3.6734700000000002E-4</v>
      </c>
    </row>
    <row r="201" spans="1:39" ht="12.75" customHeight="1" x14ac:dyDescent="0.25">
      <c r="A201" s="72" t="s">
        <v>20</v>
      </c>
      <c r="B201" s="184" t="s">
        <v>3090</v>
      </c>
      <c r="C201" s="44" t="s">
        <v>4077</v>
      </c>
      <c r="D201" s="45">
        <f>MROUND(MID($C201,6,3)/Basis!$E$3,0.5)</f>
        <v>8</v>
      </c>
      <c r="E201" s="45">
        <f>MROUND(MID($C201,9,3)/Basis!$E$3,0.5)</f>
        <v>110</v>
      </c>
      <c r="F201" s="237" t="str">
        <f t="shared" si="2"/>
        <v>15</v>
      </c>
      <c r="G201" s="45">
        <f>ROUND((ROUNDDOWN($F201/5,0)*5+2.2)/Basis!$E$3,1)</f>
        <v>6.8</v>
      </c>
      <c r="H201" s="120">
        <f>ROUND($P201*Basis!$E$2*((TaH-TrH)/LN(1/µ)/Basis!$E$7)^$N201*$AA$4*Glycol,0)</f>
        <v>6543</v>
      </c>
      <c r="I201" s="83">
        <f>ROUND(H201/(MID($C201,9,3)/Basis!$E$3/Basis!$E$9)*Basis!$E$11,0)</f>
        <v>712</v>
      </c>
      <c r="J201" s="123">
        <f>IF(Basis!$E$1=1,ROUND(H201/((TaH-TrH)*1.163)/3600,3),ROUND(H201/(500*(TaH-TrH)),2))</f>
        <v>0.65</v>
      </c>
      <c r="K201" s="84"/>
      <c r="L201" s="177">
        <f>CHOOSE(Basis!$E$1,((AJ201*(J201*3600/Basis!$E$5)^AK201*(((MID(C201,9,3)*10)-144)/1000)*AL201+AM201*(J201*3600/Basis!$E$5)^2)*0.0098)/Basis!$E$10,((AJ201*(J201/Basis!$E$5)^AK201*(((MID(C201,9,3)*10)-144)/1000)*AL201+AM201*(J201/Basis!$E$5)^2)*0.0098)/Basis!$E$10)</f>
        <v>5.2777917928650678E-2</v>
      </c>
      <c r="M201" s="85"/>
      <c r="N201" s="185">
        <v>1.4079999999999999</v>
      </c>
      <c r="O201" s="186"/>
      <c r="P201" s="187">
        <v>3052</v>
      </c>
      <c r="AJ201" s="125">
        <v>2.0829999999999999E-4</v>
      </c>
      <c r="AK201" s="131">
        <v>1.724</v>
      </c>
      <c r="AL201" s="128">
        <v>2</v>
      </c>
      <c r="AM201" s="125">
        <v>4.6182900000000003E-4</v>
      </c>
    </row>
    <row r="202" spans="1:39" ht="12.75" customHeight="1" x14ac:dyDescent="0.25">
      <c r="A202" s="72" t="s">
        <v>20</v>
      </c>
      <c r="B202" s="184" t="s">
        <v>3090</v>
      </c>
      <c r="C202" s="44" t="s">
        <v>3127</v>
      </c>
      <c r="D202" s="45">
        <f>MROUND(MID($C202,6,3)/Basis!$E$3,0.5)</f>
        <v>14</v>
      </c>
      <c r="E202" s="45">
        <f>MROUND(MID($C202,9,3)/Basis!$E$3,0.5)</f>
        <v>19.5</v>
      </c>
      <c r="F202" s="237" t="str">
        <f t="shared" ref="F202:F265" si="3">RIGHT(C202,2)</f>
        <v>05</v>
      </c>
      <c r="G202" s="45">
        <f>ROUND((ROUNDDOWN($F202/5,0)*5+2.2)/Basis!$E$3,1)</f>
        <v>2.8</v>
      </c>
      <c r="H202" s="120">
        <f>ROUND($P202*Basis!$E$2*((TaH-TrH)/LN(1/µ)/Basis!$E$7)^$N202*$AA$4*Glycol,0)</f>
        <v>543</v>
      </c>
      <c r="I202" s="83">
        <f>ROUND(H202/(MID($C202,9,3)/Basis!$E$3/Basis!$E$9)*Basis!$E$11,0)</f>
        <v>331</v>
      </c>
      <c r="J202" s="123">
        <f>IF(Basis!$E$1=1,ROUND(H202/((TaH-TrH)*1.163)/3600,3),ROUND(H202/(500*(TaH-TrH)),2))</f>
        <v>0.05</v>
      </c>
      <c r="K202" s="84"/>
      <c r="L202" s="177">
        <f>CHOOSE(Basis!$E$1,((AJ202*(J202*3600/Basis!$E$5)^AK202*(((MID(C202,9,3)*10)-144)/1000)*AL202+AM202*(J202*3600/Basis!$E$5)^2)*0.0098)/Basis!$E$10,((AJ202*(J202/Basis!$E$5)^AK202*(((MID(C202,9,3)*10)-144)/1000)*AL202+AM202*(J202/Basis!$E$5)^2)*0.0098)/Basis!$E$10)</f>
        <v>3.5666802948877105E-4</v>
      </c>
      <c r="M202" s="85"/>
      <c r="N202" s="185">
        <v>1.3919999999999999</v>
      </c>
      <c r="O202" s="186"/>
      <c r="P202" s="187">
        <v>252</v>
      </c>
      <c r="AJ202" s="191">
        <v>9.3669999999999995E-4</v>
      </c>
      <c r="AK202" s="192">
        <v>1.789841</v>
      </c>
      <c r="AL202" s="193">
        <v>2</v>
      </c>
      <c r="AM202" s="191">
        <v>4.4559999999999999E-4</v>
      </c>
    </row>
    <row r="203" spans="1:39" ht="12.75" customHeight="1" x14ac:dyDescent="0.25">
      <c r="A203" s="72" t="s">
        <v>20</v>
      </c>
      <c r="B203" s="184" t="s">
        <v>3090</v>
      </c>
      <c r="C203" s="44" t="s">
        <v>3139</v>
      </c>
      <c r="D203" s="45">
        <f>MROUND(MID($C203,6,3)/Basis!$E$3,0.5)</f>
        <v>14</v>
      </c>
      <c r="E203" s="45">
        <f>MROUND(MID($C203,9,3)/Basis!$E$3,0.5)</f>
        <v>19.5</v>
      </c>
      <c r="F203" s="237" t="str">
        <f t="shared" si="3"/>
        <v>10</v>
      </c>
      <c r="G203" s="45">
        <f>ROUND((ROUNDDOWN($F203/5,0)*5+2.2)/Basis!$E$3,1)</f>
        <v>4.8</v>
      </c>
      <c r="H203" s="120">
        <f>ROUND($P203*Basis!$E$2*((TaH-TrH)/LN(1/µ)/Basis!$E$7)^$N203*$AA$4*Glycol,0)</f>
        <v>965</v>
      </c>
      <c r="I203" s="83">
        <f>ROUND(H203/(MID($C203,9,3)/Basis!$E$3/Basis!$E$9)*Basis!$E$11,0)</f>
        <v>588</v>
      </c>
      <c r="J203" s="123">
        <f>IF(Basis!$E$1=1,ROUND(H203/((TaH-TrH)*1.163)/3600,3),ROUND(H203/(500*(TaH-TrH)),2))</f>
        <v>0.1</v>
      </c>
      <c r="K203" s="84"/>
      <c r="L203" s="177">
        <f>CHOOSE(Basis!$E$1,((AJ203*(J203*3600/Basis!$E$5)^AK203*(((MID(C203,9,3)*10)-144)/1000)*AL203+AM203*(J203*3600/Basis!$E$5)^2)*0.0098)/Basis!$E$10,((AJ203*(J203/Basis!$E$5)^AK203*(((MID(C203,9,3)*10)-144)/1000)*AL203+AM203*(J203/Basis!$E$5)^2)*0.0098)/Basis!$E$10)</f>
        <v>8.2769374243100264E-4</v>
      </c>
      <c r="M203" s="85"/>
      <c r="N203" s="185">
        <v>1.399</v>
      </c>
      <c r="O203" s="186"/>
      <c r="P203" s="187">
        <v>449</v>
      </c>
      <c r="AJ203" s="126">
        <v>3.9689999999999994E-4</v>
      </c>
      <c r="AK203" s="132">
        <v>1.7345999999999999</v>
      </c>
      <c r="AL203" s="129">
        <v>2</v>
      </c>
      <c r="AM203" s="126">
        <v>3.6734700000000002E-4</v>
      </c>
    </row>
    <row r="204" spans="1:39" ht="12.75" customHeight="1" x14ac:dyDescent="0.25">
      <c r="A204" s="72" t="s">
        <v>20</v>
      </c>
      <c r="B204" s="184" t="s">
        <v>3090</v>
      </c>
      <c r="C204" s="44" t="s">
        <v>3151</v>
      </c>
      <c r="D204" s="45">
        <f>MROUND(MID($C204,6,3)/Basis!$E$3,0.5)</f>
        <v>14</v>
      </c>
      <c r="E204" s="45">
        <f>MROUND(MID($C204,9,3)/Basis!$E$3,0.5)</f>
        <v>19.5</v>
      </c>
      <c r="F204" s="237" t="str">
        <f t="shared" si="3"/>
        <v>15</v>
      </c>
      <c r="G204" s="45">
        <f>ROUND((ROUNDDOWN($F204/5,0)*5+2.2)/Basis!$E$3,1)</f>
        <v>6.8</v>
      </c>
      <c r="H204" s="120">
        <f>ROUND($P204*Basis!$E$2*((TaH-TrH)/LN(1/µ)/Basis!$E$7)^$N204*$AA$4*Glycol,0)</f>
        <v>1585</v>
      </c>
      <c r="I204" s="83">
        <f>ROUND(H204/(MID($C204,9,3)/Basis!$E$3/Basis!$E$9)*Basis!$E$11,0)</f>
        <v>966</v>
      </c>
      <c r="J204" s="123">
        <f>IF(Basis!$E$1=1,ROUND(H204/((TaH-TrH)*1.163)/3600,3),ROUND(H204/(500*(TaH-TrH)),2))</f>
        <v>0.16</v>
      </c>
      <c r="K204" s="84"/>
      <c r="L204" s="177">
        <f>CHOOSE(Basis!$E$1,((AJ204*(J204*3600/Basis!$E$5)^AK204*(((MID(C204,9,3)*10)-144)/1000)*AL204+AM204*(J204*3600/Basis!$E$5)^2)*0.0098)/Basis!$E$10,((AJ204*(J204/Basis!$E$5)^AK204*(((MID(C204,9,3)*10)-144)/1000)*AL204+AM204*(J204/Basis!$E$5)^2)*0.0098)/Basis!$E$10)</f>
        <v>2.2317222030060809E-3</v>
      </c>
      <c r="M204" s="85"/>
      <c r="N204" s="185">
        <v>1.39</v>
      </c>
      <c r="O204" s="186"/>
      <c r="P204" s="187">
        <v>735</v>
      </c>
      <c r="AJ204" s="125">
        <v>2.0829999999999999E-4</v>
      </c>
      <c r="AK204" s="131">
        <v>1.724</v>
      </c>
      <c r="AL204" s="128">
        <v>2</v>
      </c>
      <c r="AM204" s="125">
        <v>4.6182900000000003E-4</v>
      </c>
    </row>
    <row r="205" spans="1:39" ht="12.75" customHeight="1" x14ac:dyDescent="0.25">
      <c r="A205" s="72" t="s">
        <v>20</v>
      </c>
      <c r="B205" s="184" t="s">
        <v>3090</v>
      </c>
      <c r="C205" s="44" t="s">
        <v>3128</v>
      </c>
      <c r="D205" s="45">
        <f>MROUND(MID($C205,6,3)/Basis!$E$3,0.5)</f>
        <v>14</v>
      </c>
      <c r="E205" s="45">
        <f>MROUND(MID($C205,9,3)/Basis!$E$3,0.5)</f>
        <v>23.5</v>
      </c>
      <c r="F205" s="237" t="str">
        <f t="shared" si="3"/>
        <v>05</v>
      </c>
      <c r="G205" s="45">
        <f>ROUND((ROUNDDOWN($F205/5,0)*5+2.2)/Basis!$E$3,1)</f>
        <v>2.8</v>
      </c>
      <c r="H205" s="120">
        <f>ROUND($P205*Basis!$E$2*((TaH-TrH)/LN(1/µ)/Basis!$E$7)^$N205*$AA$4*Glycol,0)</f>
        <v>651</v>
      </c>
      <c r="I205" s="83">
        <f>ROUND(H205/(MID($C205,9,3)/Basis!$E$3/Basis!$E$9)*Basis!$E$11,0)</f>
        <v>331</v>
      </c>
      <c r="J205" s="123">
        <f>IF(Basis!$E$1=1,ROUND(H205/((TaH-TrH)*1.163)/3600,3),ROUND(H205/(500*(TaH-TrH)),2))</f>
        <v>7.0000000000000007E-2</v>
      </c>
      <c r="K205" s="84"/>
      <c r="L205" s="177">
        <f>CHOOSE(Basis!$E$1,((AJ205*(J205*3600/Basis!$E$5)^AK205*(((MID(C205,9,3)*10)-144)/1000)*AL205+AM205*(J205*3600/Basis!$E$5)^2)*0.0098)/Basis!$E$10,((AJ205*(J205/Basis!$E$5)^AK205*(((MID(C205,9,3)*10)-144)/1000)*AL205+AM205*(J205/Basis!$E$5)^2)*0.0098)/Basis!$E$10)</f>
        <v>7.6306080623919864E-4</v>
      </c>
      <c r="M205" s="85"/>
      <c r="N205" s="185">
        <v>1.3919999999999999</v>
      </c>
      <c r="O205" s="186"/>
      <c r="P205" s="187">
        <v>302</v>
      </c>
      <c r="AJ205" s="191">
        <v>9.3669999999999995E-4</v>
      </c>
      <c r="AK205" s="192">
        <v>1.789841</v>
      </c>
      <c r="AL205" s="193">
        <v>2</v>
      </c>
      <c r="AM205" s="191">
        <v>4.4559999999999999E-4</v>
      </c>
    </row>
    <row r="206" spans="1:39" ht="12.75" customHeight="1" x14ac:dyDescent="0.25">
      <c r="A206" s="72" t="s">
        <v>20</v>
      </c>
      <c r="B206" s="184" t="s">
        <v>3090</v>
      </c>
      <c r="C206" s="44" t="s">
        <v>3140</v>
      </c>
      <c r="D206" s="45">
        <f>MROUND(MID($C206,6,3)/Basis!$E$3,0.5)</f>
        <v>14</v>
      </c>
      <c r="E206" s="45">
        <f>MROUND(MID($C206,9,3)/Basis!$E$3,0.5)</f>
        <v>23.5</v>
      </c>
      <c r="F206" s="237" t="str">
        <f t="shared" si="3"/>
        <v>10</v>
      </c>
      <c r="G206" s="45">
        <f>ROUND((ROUNDDOWN($F206/5,0)*5+2.2)/Basis!$E$3,1)</f>
        <v>4.8</v>
      </c>
      <c r="H206" s="120">
        <f>ROUND($P206*Basis!$E$2*((TaH-TrH)/LN(1/µ)/Basis!$E$7)^$N206*$AA$4*Glycol,0)</f>
        <v>1159</v>
      </c>
      <c r="I206" s="83">
        <f>ROUND(H206/(MID($C206,9,3)/Basis!$E$3/Basis!$E$9)*Basis!$E$11,0)</f>
        <v>589</v>
      </c>
      <c r="J206" s="123">
        <f>IF(Basis!$E$1=1,ROUND(H206/((TaH-TrH)*1.163)/3600,3),ROUND(H206/(500*(TaH-TrH)),2))</f>
        <v>0.12</v>
      </c>
      <c r="K206" s="84"/>
      <c r="L206" s="177">
        <f>CHOOSE(Basis!$E$1,((AJ206*(J206*3600/Basis!$E$5)^AK206*(((MID(C206,9,3)*10)-144)/1000)*AL206+AM206*(J206*3600/Basis!$E$5)^2)*0.0098)/Basis!$E$10,((AJ206*(J206/Basis!$E$5)^AK206*(((MID(C206,9,3)*10)-144)/1000)*AL206+AM206*(J206/Basis!$E$5)^2)*0.0098)/Basis!$E$10)</f>
        <v>1.2579198374497906E-3</v>
      </c>
      <c r="M206" s="85"/>
      <c r="N206" s="185">
        <v>1.399</v>
      </c>
      <c r="O206" s="186"/>
      <c r="P206" s="187">
        <v>539</v>
      </c>
      <c r="AJ206" s="126">
        <v>3.9689999999999994E-4</v>
      </c>
      <c r="AK206" s="132">
        <v>1.7345999999999999</v>
      </c>
      <c r="AL206" s="129">
        <v>2</v>
      </c>
      <c r="AM206" s="126">
        <v>3.6734700000000002E-4</v>
      </c>
    </row>
    <row r="207" spans="1:39" ht="12.75" customHeight="1" x14ac:dyDescent="0.25">
      <c r="A207" s="72" t="s">
        <v>20</v>
      </c>
      <c r="B207" s="184" t="s">
        <v>3090</v>
      </c>
      <c r="C207" s="44" t="s">
        <v>3152</v>
      </c>
      <c r="D207" s="45">
        <f>MROUND(MID($C207,6,3)/Basis!$E$3,0.5)</f>
        <v>14</v>
      </c>
      <c r="E207" s="45">
        <f>MROUND(MID($C207,9,3)/Basis!$E$3,0.5)</f>
        <v>23.5</v>
      </c>
      <c r="F207" s="237" t="str">
        <f t="shared" si="3"/>
        <v>15</v>
      </c>
      <c r="G207" s="45">
        <f>ROUND((ROUNDDOWN($F207/5,0)*5+2.2)/Basis!$E$3,1)</f>
        <v>6.8</v>
      </c>
      <c r="H207" s="120">
        <f>ROUND($P207*Basis!$E$2*((TaH-TrH)/LN(1/µ)/Basis!$E$7)^$N207*$AA$4*Glycol,0)</f>
        <v>1902</v>
      </c>
      <c r="I207" s="83">
        <f>ROUND(H207/(MID($C207,9,3)/Basis!$E$3/Basis!$E$9)*Basis!$E$11,0)</f>
        <v>966</v>
      </c>
      <c r="J207" s="123">
        <f>IF(Basis!$E$1=1,ROUND(H207/((TaH-TrH)*1.163)/3600,3),ROUND(H207/(500*(TaH-TrH)),2))</f>
        <v>0.19</v>
      </c>
      <c r="K207" s="84"/>
      <c r="L207" s="177">
        <f>CHOOSE(Basis!$E$1,((AJ207*(J207*3600/Basis!$E$5)^AK207*(((MID(C207,9,3)*10)-144)/1000)*AL207+AM207*(J207*3600/Basis!$E$5)^2)*0.0098)/Basis!$E$10,((AJ207*(J207/Basis!$E$5)^AK207*(((MID(C207,9,3)*10)-144)/1000)*AL207+AM207*(J207/Basis!$E$5)^2)*0.0098)/Basis!$E$10)</f>
        <v>3.2213019283929057E-3</v>
      </c>
      <c r="M207" s="85"/>
      <c r="N207" s="185">
        <v>1.39</v>
      </c>
      <c r="O207" s="186"/>
      <c r="P207" s="187">
        <v>882</v>
      </c>
      <c r="AJ207" s="125">
        <v>2.0829999999999999E-4</v>
      </c>
      <c r="AK207" s="131">
        <v>1.724</v>
      </c>
      <c r="AL207" s="128">
        <v>2</v>
      </c>
      <c r="AM207" s="125">
        <v>4.6182900000000003E-4</v>
      </c>
    </row>
    <row r="208" spans="1:39" ht="12.75" customHeight="1" x14ac:dyDescent="0.25">
      <c r="A208" s="72" t="s">
        <v>20</v>
      </c>
      <c r="B208" s="184" t="s">
        <v>3090</v>
      </c>
      <c r="C208" s="44" t="s">
        <v>3129</v>
      </c>
      <c r="D208" s="45">
        <f>MROUND(MID($C208,6,3)/Basis!$E$3,0.5)</f>
        <v>14</v>
      </c>
      <c r="E208" s="45">
        <f>MROUND(MID($C208,9,3)/Basis!$E$3,0.5)</f>
        <v>27.5</v>
      </c>
      <c r="F208" s="237" t="str">
        <f t="shared" si="3"/>
        <v>05</v>
      </c>
      <c r="G208" s="45">
        <f>ROUND((ROUNDDOWN($F208/5,0)*5+2.2)/Basis!$E$3,1)</f>
        <v>2.8</v>
      </c>
      <c r="H208" s="120">
        <f>ROUND($P208*Basis!$E$2*((TaH-TrH)/LN(1/µ)/Basis!$E$7)^$N208*$AA$4*Glycol,0)</f>
        <v>759</v>
      </c>
      <c r="I208" s="83">
        <f>ROUND(H208/(MID($C208,9,3)/Basis!$E$3/Basis!$E$9)*Basis!$E$11,0)</f>
        <v>330</v>
      </c>
      <c r="J208" s="123">
        <f>IF(Basis!$E$1=1,ROUND(H208/((TaH-TrH)*1.163)/3600,3),ROUND(H208/(500*(TaH-TrH)),2))</f>
        <v>0.08</v>
      </c>
      <c r="K208" s="84"/>
      <c r="L208" s="177">
        <f>CHOOSE(Basis!$E$1,((AJ208*(J208*3600/Basis!$E$5)^AK208*(((MID(C208,9,3)*10)-144)/1000)*AL208+AM208*(J208*3600/Basis!$E$5)^2)*0.0098)/Basis!$E$10,((AJ208*(J208/Basis!$E$5)^AK208*(((MID(C208,9,3)*10)-144)/1000)*AL208+AM208*(J208/Basis!$E$5)^2)*0.0098)/Basis!$E$10)</f>
        <v>1.0923297387185865E-3</v>
      </c>
      <c r="M208" s="85"/>
      <c r="N208" s="185">
        <v>1.3919999999999999</v>
      </c>
      <c r="O208" s="186"/>
      <c r="P208" s="187">
        <v>352</v>
      </c>
      <c r="AJ208" s="191">
        <v>9.3669999999999995E-4</v>
      </c>
      <c r="AK208" s="192">
        <v>1.789841</v>
      </c>
      <c r="AL208" s="193">
        <v>2</v>
      </c>
      <c r="AM208" s="191">
        <v>4.4559999999999999E-4</v>
      </c>
    </row>
    <row r="209" spans="1:39" ht="12.75" customHeight="1" x14ac:dyDescent="0.25">
      <c r="A209" s="72" t="s">
        <v>20</v>
      </c>
      <c r="B209" s="184" t="s">
        <v>3090</v>
      </c>
      <c r="C209" s="44" t="s">
        <v>3141</v>
      </c>
      <c r="D209" s="45">
        <f>MROUND(MID($C209,6,3)/Basis!$E$3,0.5)</f>
        <v>14</v>
      </c>
      <c r="E209" s="45">
        <f>MROUND(MID($C209,9,3)/Basis!$E$3,0.5)</f>
        <v>27.5</v>
      </c>
      <c r="F209" s="237" t="str">
        <f t="shared" si="3"/>
        <v>10</v>
      </c>
      <c r="G209" s="45">
        <f>ROUND((ROUNDDOWN($F209/5,0)*5+2.2)/Basis!$E$3,1)</f>
        <v>4.8</v>
      </c>
      <c r="H209" s="120">
        <f>ROUND($P209*Basis!$E$2*((TaH-TrH)/LN(1/µ)/Basis!$E$7)^$N209*$AA$4*Glycol,0)</f>
        <v>1353</v>
      </c>
      <c r="I209" s="83">
        <f>ROUND(H209/(MID($C209,9,3)/Basis!$E$3/Basis!$E$9)*Basis!$E$11,0)</f>
        <v>589</v>
      </c>
      <c r="J209" s="123">
        <f>IF(Basis!$E$1=1,ROUND(H209/((TaH-TrH)*1.163)/3600,3),ROUND(H209/(500*(TaH-TrH)),2))</f>
        <v>0.14000000000000001</v>
      </c>
      <c r="K209" s="84"/>
      <c r="L209" s="177">
        <f>CHOOSE(Basis!$E$1,((AJ209*(J209*3600/Basis!$E$5)^AK209*(((MID(C209,9,3)*10)-144)/1000)*AL209+AM209*(J209*3600/Basis!$E$5)^2)*0.0098)/Basis!$E$10,((AJ209*(J209/Basis!$E$5)^AK209*(((MID(C209,9,3)*10)-144)/1000)*AL209+AM209*(J209/Basis!$E$5)^2)*0.0098)/Basis!$E$10)</f>
        <v>1.7969949455121314E-3</v>
      </c>
      <c r="M209" s="85"/>
      <c r="N209" s="185">
        <v>1.399</v>
      </c>
      <c r="O209" s="186"/>
      <c r="P209" s="187">
        <v>629</v>
      </c>
      <c r="AJ209" s="126">
        <v>3.9689999999999994E-4</v>
      </c>
      <c r="AK209" s="132">
        <v>1.7345999999999999</v>
      </c>
      <c r="AL209" s="129">
        <v>2</v>
      </c>
      <c r="AM209" s="126">
        <v>3.6734700000000002E-4</v>
      </c>
    </row>
    <row r="210" spans="1:39" ht="12.75" customHeight="1" x14ac:dyDescent="0.25">
      <c r="A210" s="72" t="s">
        <v>20</v>
      </c>
      <c r="B210" s="184" t="s">
        <v>3090</v>
      </c>
      <c r="C210" s="44" t="s">
        <v>3153</v>
      </c>
      <c r="D210" s="45">
        <f>MROUND(MID($C210,6,3)/Basis!$E$3,0.5)</f>
        <v>14</v>
      </c>
      <c r="E210" s="45">
        <f>MROUND(MID($C210,9,3)/Basis!$E$3,0.5)</f>
        <v>27.5</v>
      </c>
      <c r="F210" s="237" t="str">
        <f t="shared" si="3"/>
        <v>15</v>
      </c>
      <c r="G210" s="45">
        <f>ROUND((ROUNDDOWN($F210/5,0)*5+2.2)/Basis!$E$3,1)</f>
        <v>6.8</v>
      </c>
      <c r="H210" s="120">
        <f>ROUND($P210*Basis!$E$2*((TaH-TrH)/LN(1/µ)/Basis!$E$7)^$N210*$AA$4*Glycol,0)</f>
        <v>2219</v>
      </c>
      <c r="I210" s="83">
        <f>ROUND(H210/(MID($C210,9,3)/Basis!$E$3/Basis!$E$9)*Basis!$E$11,0)</f>
        <v>966</v>
      </c>
      <c r="J210" s="123">
        <f>IF(Basis!$E$1=1,ROUND(H210/((TaH-TrH)*1.163)/3600,3),ROUND(H210/(500*(TaH-TrH)),2))</f>
        <v>0.22</v>
      </c>
      <c r="K210" s="84"/>
      <c r="L210" s="177">
        <f>CHOOSE(Basis!$E$1,((AJ210*(J210*3600/Basis!$E$5)^AK210*(((MID(C210,9,3)*10)-144)/1000)*AL210+AM210*(J210*3600/Basis!$E$5)^2)*0.0098)/Basis!$E$10,((AJ210*(J210/Basis!$E$5)^AK210*(((MID(C210,9,3)*10)-144)/1000)*AL210+AM210*(J210/Basis!$E$5)^2)*0.0098)/Basis!$E$10)</f>
        <v>4.4126570809010718E-3</v>
      </c>
      <c r="M210" s="85"/>
      <c r="N210" s="185">
        <v>1.39</v>
      </c>
      <c r="O210" s="186"/>
      <c r="P210" s="187">
        <v>1029</v>
      </c>
      <c r="AJ210" s="125">
        <v>2.0829999999999999E-4</v>
      </c>
      <c r="AK210" s="131">
        <v>1.724</v>
      </c>
      <c r="AL210" s="128">
        <v>2</v>
      </c>
      <c r="AM210" s="125">
        <v>4.6182900000000003E-4</v>
      </c>
    </row>
    <row r="211" spans="1:39" ht="12.75" customHeight="1" x14ac:dyDescent="0.25">
      <c r="A211" s="72" t="s">
        <v>20</v>
      </c>
      <c r="B211" s="184" t="s">
        <v>3090</v>
      </c>
      <c r="C211" s="44" t="s">
        <v>3130</v>
      </c>
      <c r="D211" s="45">
        <f>MROUND(MID($C211,6,3)/Basis!$E$3,0.5)</f>
        <v>14</v>
      </c>
      <c r="E211" s="45">
        <f>MROUND(MID($C211,9,3)/Basis!$E$3,0.5)</f>
        <v>31.5</v>
      </c>
      <c r="F211" s="237" t="str">
        <f t="shared" si="3"/>
        <v>05</v>
      </c>
      <c r="G211" s="45">
        <f>ROUND((ROUNDDOWN($F211/5,0)*5+2.2)/Basis!$E$3,1)</f>
        <v>2.8</v>
      </c>
      <c r="H211" s="120">
        <f>ROUND($P211*Basis!$E$2*((TaH-TrH)/LN(1/µ)/Basis!$E$7)^$N211*$AA$4*Glycol,0)</f>
        <v>866</v>
      </c>
      <c r="I211" s="83">
        <f>ROUND(H211/(MID($C211,9,3)/Basis!$E$3/Basis!$E$9)*Basis!$E$11,0)</f>
        <v>330</v>
      </c>
      <c r="J211" s="123">
        <f>IF(Basis!$E$1=1,ROUND(H211/((TaH-TrH)*1.163)/3600,3),ROUND(H211/(500*(TaH-TrH)),2))</f>
        <v>0.09</v>
      </c>
      <c r="K211" s="84"/>
      <c r="L211" s="177">
        <f>CHOOSE(Basis!$E$1,((AJ211*(J211*3600/Basis!$E$5)^AK211*(((MID(C211,9,3)*10)-144)/1000)*AL211+AM211*(J211*3600/Basis!$E$5)^2)*0.0098)/Basis!$E$10,((AJ211*(J211/Basis!$E$5)^AK211*(((MID(C211,9,3)*10)-144)/1000)*AL211+AM211*(J211/Basis!$E$5)^2)*0.0098)/Basis!$E$10)</f>
        <v>1.4993141541742069E-3</v>
      </c>
      <c r="M211" s="85"/>
      <c r="N211" s="185">
        <v>1.3919999999999999</v>
      </c>
      <c r="O211" s="186"/>
      <c r="P211" s="187">
        <v>402</v>
      </c>
      <c r="AJ211" s="191">
        <v>9.3669999999999995E-4</v>
      </c>
      <c r="AK211" s="192">
        <v>1.789841</v>
      </c>
      <c r="AL211" s="193">
        <v>2</v>
      </c>
      <c r="AM211" s="191">
        <v>4.4559999999999999E-4</v>
      </c>
    </row>
    <row r="212" spans="1:39" ht="12.75" customHeight="1" x14ac:dyDescent="0.25">
      <c r="A212" s="72" t="s">
        <v>20</v>
      </c>
      <c r="B212" s="184" t="s">
        <v>3090</v>
      </c>
      <c r="C212" s="44" t="s">
        <v>3142</v>
      </c>
      <c r="D212" s="45">
        <f>MROUND(MID($C212,6,3)/Basis!$E$3,0.5)</f>
        <v>14</v>
      </c>
      <c r="E212" s="45">
        <f>MROUND(MID($C212,9,3)/Basis!$E$3,0.5)</f>
        <v>31.5</v>
      </c>
      <c r="F212" s="237" t="str">
        <f t="shared" si="3"/>
        <v>10</v>
      </c>
      <c r="G212" s="45">
        <f>ROUND((ROUNDDOWN($F212/5,0)*5+2.2)/Basis!$E$3,1)</f>
        <v>4.8</v>
      </c>
      <c r="H212" s="120">
        <f>ROUND($P212*Basis!$E$2*((TaH-TrH)/LN(1/µ)/Basis!$E$7)^$N212*$AA$4*Glycol,0)</f>
        <v>1544</v>
      </c>
      <c r="I212" s="83">
        <f>ROUND(H212/(MID($C212,9,3)/Basis!$E$3/Basis!$E$9)*Basis!$E$11,0)</f>
        <v>588</v>
      </c>
      <c r="J212" s="123">
        <f>IF(Basis!$E$1=1,ROUND(H212/((TaH-TrH)*1.163)/3600,3),ROUND(H212/(500*(TaH-TrH)),2))</f>
        <v>0.15</v>
      </c>
      <c r="K212" s="84"/>
      <c r="L212" s="177">
        <f>CHOOSE(Basis!$E$1,((AJ212*(J212*3600/Basis!$E$5)^AK212*(((MID(C212,9,3)*10)-144)/1000)*AL212+AM212*(J212*3600/Basis!$E$5)^2)*0.0098)/Basis!$E$10,((AJ212*(J212/Basis!$E$5)^AK212*(((MID(C212,9,3)*10)-144)/1000)*AL212+AM212*(J212/Basis!$E$5)^2)*0.0098)/Basis!$E$10)</f>
        <v>2.1688421272060645E-3</v>
      </c>
      <c r="M212" s="85"/>
      <c r="N212" s="185">
        <v>1.399</v>
      </c>
      <c r="O212" s="186"/>
      <c r="P212" s="187">
        <v>718</v>
      </c>
      <c r="AJ212" s="126">
        <v>3.9689999999999994E-4</v>
      </c>
      <c r="AK212" s="132">
        <v>1.7345999999999999</v>
      </c>
      <c r="AL212" s="129">
        <v>2</v>
      </c>
      <c r="AM212" s="126">
        <v>3.6734700000000002E-4</v>
      </c>
    </row>
    <row r="213" spans="1:39" ht="12.75" customHeight="1" x14ac:dyDescent="0.25">
      <c r="A213" s="72" t="s">
        <v>20</v>
      </c>
      <c r="B213" s="184" t="s">
        <v>3090</v>
      </c>
      <c r="C213" s="44" t="s">
        <v>3154</v>
      </c>
      <c r="D213" s="45">
        <f>MROUND(MID($C213,6,3)/Basis!$E$3,0.5)</f>
        <v>14</v>
      </c>
      <c r="E213" s="45">
        <f>MROUND(MID($C213,9,3)/Basis!$E$3,0.5)</f>
        <v>31.5</v>
      </c>
      <c r="F213" s="237" t="str">
        <f t="shared" si="3"/>
        <v>15</v>
      </c>
      <c r="G213" s="45">
        <f>ROUND((ROUNDDOWN($F213/5,0)*5+2.2)/Basis!$E$3,1)</f>
        <v>6.8</v>
      </c>
      <c r="H213" s="120">
        <f>ROUND($P213*Basis!$E$2*((TaH-TrH)/LN(1/µ)/Basis!$E$7)^$N213*$AA$4*Glycol,0)</f>
        <v>2536</v>
      </c>
      <c r="I213" s="83">
        <f>ROUND(H213/(MID($C213,9,3)/Basis!$E$3/Basis!$E$9)*Basis!$E$11,0)</f>
        <v>966</v>
      </c>
      <c r="J213" s="123">
        <f>IF(Basis!$E$1=1,ROUND(H213/((TaH-TrH)*1.163)/3600,3),ROUND(H213/(500*(TaH-TrH)),2))</f>
        <v>0.25</v>
      </c>
      <c r="K213" s="84"/>
      <c r="L213" s="177">
        <f>CHOOSE(Basis!$E$1,((AJ213*(J213*3600/Basis!$E$5)^AK213*(((MID(C213,9,3)*10)-144)/1000)*AL213+AM213*(J213*3600/Basis!$E$5)^2)*0.0098)/Basis!$E$10,((AJ213*(J213/Basis!$E$5)^AK213*(((MID(C213,9,3)*10)-144)/1000)*AL213+AM213*(J213/Basis!$E$5)^2)*0.0098)/Basis!$E$10)</f>
        <v>5.813441427274706E-3</v>
      </c>
      <c r="M213" s="85"/>
      <c r="N213" s="185">
        <v>1.39</v>
      </c>
      <c r="O213" s="186"/>
      <c r="P213" s="187">
        <v>1176</v>
      </c>
      <c r="AJ213" s="125">
        <v>2.0829999999999999E-4</v>
      </c>
      <c r="AK213" s="131">
        <v>1.724</v>
      </c>
      <c r="AL213" s="128">
        <v>2</v>
      </c>
      <c r="AM213" s="125">
        <v>4.6182900000000003E-4</v>
      </c>
    </row>
    <row r="214" spans="1:39" ht="12.75" customHeight="1" x14ac:dyDescent="0.25">
      <c r="A214" s="72" t="s">
        <v>20</v>
      </c>
      <c r="B214" s="184" t="s">
        <v>3090</v>
      </c>
      <c r="C214" s="44" t="s">
        <v>3131</v>
      </c>
      <c r="D214" s="45">
        <f>MROUND(MID($C214,6,3)/Basis!$E$3,0.5)</f>
        <v>14</v>
      </c>
      <c r="E214" s="45">
        <f>MROUND(MID($C214,9,3)/Basis!$E$3,0.5)</f>
        <v>35.5</v>
      </c>
      <c r="F214" s="237" t="str">
        <f t="shared" si="3"/>
        <v>05</v>
      </c>
      <c r="G214" s="45">
        <f>ROUND((ROUNDDOWN($F214/5,0)*5+2.2)/Basis!$E$3,1)</f>
        <v>2.8</v>
      </c>
      <c r="H214" s="120">
        <f>ROUND($P214*Basis!$E$2*((TaH-TrH)/LN(1/µ)/Basis!$E$7)^$N214*$AA$4*Glycol,0)</f>
        <v>976</v>
      </c>
      <c r="I214" s="83">
        <f>ROUND(H214/(MID($C214,9,3)/Basis!$E$3/Basis!$E$9)*Basis!$E$11,0)</f>
        <v>331</v>
      </c>
      <c r="J214" s="123">
        <f>IF(Basis!$E$1=1,ROUND(H214/((TaH-TrH)*1.163)/3600,3),ROUND(H214/(500*(TaH-TrH)),2))</f>
        <v>0.1</v>
      </c>
      <c r="K214" s="84"/>
      <c r="L214" s="177">
        <f>CHOOSE(Basis!$E$1,((AJ214*(J214*3600/Basis!$E$5)^AK214*(((MID(C214,9,3)*10)-144)/1000)*AL214+AM214*(J214*3600/Basis!$E$5)^2)*0.0098)/Basis!$E$10,((AJ214*(J214/Basis!$E$5)^AK214*(((MID(C214,9,3)*10)-144)/1000)*AL214+AM214*(J214/Basis!$E$5)^2)*0.0098)/Basis!$E$10)</f>
        <v>1.9908520511786694E-3</v>
      </c>
      <c r="M214" s="85"/>
      <c r="N214" s="185">
        <v>1.3919999999999999</v>
      </c>
      <c r="O214" s="186"/>
      <c r="P214" s="187">
        <v>453</v>
      </c>
      <c r="AJ214" s="191">
        <v>9.3669999999999995E-4</v>
      </c>
      <c r="AK214" s="192">
        <v>1.789841</v>
      </c>
      <c r="AL214" s="193">
        <v>2</v>
      </c>
      <c r="AM214" s="191">
        <v>4.4559999999999999E-4</v>
      </c>
    </row>
    <row r="215" spans="1:39" ht="12.75" customHeight="1" x14ac:dyDescent="0.25">
      <c r="A215" s="72" t="s">
        <v>20</v>
      </c>
      <c r="B215" s="184" t="s">
        <v>3090</v>
      </c>
      <c r="C215" s="44" t="s">
        <v>3143</v>
      </c>
      <c r="D215" s="45">
        <f>MROUND(MID($C215,6,3)/Basis!$E$3,0.5)</f>
        <v>14</v>
      </c>
      <c r="E215" s="45">
        <f>MROUND(MID($C215,9,3)/Basis!$E$3,0.5)</f>
        <v>35.5</v>
      </c>
      <c r="F215" s="237" t="str">
        <f t="shared" si="3"/>
        <v>10</v>
      </c>
      <c r="G215" s="45">
        <f>ROUND((ROUNDDOWN($F215/5,0)*5+2.2)/Basis!$E$3,1)</f>
        <v>4.8</v>
      </c>
      <c r="H215" s="120">
        <f>ROUND($P215*Basis!$E$2*((TaH-TrH)/LN(1/µ)/Basis!$E$7)^$N215*$AA$4*Glycol,0)</f>
        <v>1737</v>
      </c>
      <c r="I215" s="83">
        <f>ROUND(H215/(MID($C215,9,3)/Basis!$E$3/Basis!$E$9)*Basis!$E$11,0)</f>
        <v>588</v>
      </c>
      <c r="J215" s="123">
        <f>IF(Basis!$E$1=1,ROUND(H215/((TaH-TrH)*1.163)/3600,3),ROUND(H215/(500*(TaH-TrH)),2))</f>
        <v>0.17</v>
      </c>
      <c r="K215" s="84"/>
      <c r="L215" s="177">
        <f>CHOOSE(Basis!$E$1,((AJ215*(J215*3600/Basis!$E$5)^AK215*(((MID(C215,9,3)*10)-144)/1000)*AL215+AM215*(J215*3600/Basis!$E$5)^2)*0.0098)/Basis!$E$10,((AJ215*(J215/Basis!$E$5)^AK215*(((MID(C215,9,3)*10)-144)/1000)*AL215+AM215*(J215/Basis!$E$5)^2)*0.0098)/Basis!$E$10)</f>
        <v>2.8999806581481834E-3</v>
      </c>
      <c r="M215" s="85"/>
      <c r="N215" s="185">
        <v>1.399</v>
      </c>
      <c r="O215" s="186"/>
      <c r="P215" s="187">
        <v>808</v>
      </c>
      <c r="AJ215" s="126">
        <v>3.9689999999999994E-4</v>
      </c>
      <c r="AK215" s="132">
        <v>1.7345999999999999</v>
      </c>
      <c r="AL215" s="129">
        <v>2</v>
      </c>
      <c r="AM215" s="126">
        <v>3.6734700000000002E-4</v>
      </c>
    </row>
    <row r="216" spans="1:39" ht="12.75" customHeight="1" x14ac:dyDescent="0.25">
      <c r="A216" s="72" t="s">
        <v>20</v>
      </c>
      <c r="B216" s="184" t="s">
        <v>3090</v>
      </c>
      <c r="C216" s="44" t="s">
        <v>3155</v>
      </c>
      <c r="D216" s="45">
        <f>MROUND(MID($C216,6,3)/Basis!$E$3,0.5)</f>
        <v>14</v>
      </c>
      <c r="E216" s="45">
        <f>MROUND(MID($C216,9,3)/Basis!$E$3,0.5)</f>
        <v>35.5</v>
      </c>
      <c r="F216" s="237" t="str">
        <f t="shared" si="3"/>
        <v>15</v>
      </c>
      <c r="G216" s="45">
        <f>ROUND((ROUNDDOWN($F216/5,0)*5+2.2)/Basis!$E$3,1)</f>
        <v>6.8</v>
      </c>
      <c r="H216" s="120">
        <f>ROUND($P216*Basis!$E$2*((TaH-TrH)/LN(1/µ)/Basis!$E$7)^$N216*$AA$4*Glycol,0)</f>
        <v>2853</v>
      </c>
      <c r="I216" s="83">
        <f>ROUND(H216/(MID($C216,9,3)/Basis!$E$3/Basis!$E$9)*Basis!$E$11,0)</f>
        <v>966</v>
      </c>
      <c r="J216" s="123">
        <f>IF(Basis!$E$1=1,ROUND(H216/((TaH-TrH)*1.163)/3600,3),ROUND(H216/(500*(TaH-TrH)),2))</f>
        <v>0.28999999999999998</v>
      </c>
      <c r="K216" s="84"/>
      <c r="L216" s="177">
        <f>CHOOSE(Basis!$E$1,((AJ216*(J216*3600/Basis!$E$5)^AK216*(((MID(C216,9,3)*10)-144)/1000)*AL216+AM216*(J216*3600/Basis!$E$5)^2)*0.0098)/Basis!$E$10,((AJ216*(J216/Basis!$E$5)^AK216*(((MID(C216,9,3)*10)-144)/1000)*AL216+AM216*(J216/Basis!$E$5)^2)*0.0098)/Basis!$E$10)</f>
        <v>7.9575753104098659E-3</v>
      </c>
      <c r="M216" s="85"/>
      <c r="N216" s="185">
        <v>1.39</v>
      </c>
      <c r="O216" s="186"/>
      <c r="P216" s="187">
        <v>1323</v>
      </c>
      <c r="AJ216" s="125">
        <v>2.0829999999999999E-4</v>
      </c>
      <c r="AK216" s="131">
        <v>1.724</v>
      </c>
      <c r="AL216" s="128">
        <v>2</v>
      </c>
      <c r="AM216" s="125">
        <v>4.6182900000000003E-4</v>
      </c>
    </row>
    <row r="217" spans="1:39" ht="12.75" customHeight="1" x14ac:dyDescent="0.25">
      <c r="A217" s="72" t="s">
        <v>20</v>
      </c>
      <c r="B217" s="184" t="s">
        <v>3090</v>
      </c>
      <c r="C217" s="44" t="s">
        <v>3132</v>
      </c>
      <c r="D217" s="45">
        <f>MROUND(MID($C217,6,3)/Basis!$E$3,0.5)</f>
        <v>14</v>
      </c>
      <c r="E217" s="45">
        <f>MROUND(MID($C217,9,3)/Basis!$E$3,0.5)</f>
        <v>39.5</v>
      </c>
      <c r="F217" s="237" t="str">
        <f t="shared" si="3"/>
        <v>05</v>
      </c>
      <c r="G217" s="45">
        <f>ROUND((ROUNDDOWN($F217/5,0)*5+2.2)/Basis!$E$3,1)</f>
        <v>2.8</v>
      </c>
      <c r="H217" s="120">
        <f>ROUND($P217*Basis!$E$2*((TaH-TrH)/LN(1/µ)/Basis!$E$7)^$N217*$AA$4*Glycol,0)</f>
        <v>1084</v>
      </c>
      <c r="I217" s="83">
        <f>ROUND(H217/(MID($C217,9,3)/Basis!$E$3/Basis!$E$9)*Basis!$E$11,0)</f>
        <v>330</v>
      </c>
      <c r="J217" s="123">
        <f>IF(Basis!$E$1=1,ROUND(H217/((TaH-TrH)*1.163)/3600,3),ROUND(H217/(500*(TaH-TrH)),2))</f>
        <v>0.11</v>
      </c>
      <c r="K217" s="84"/>
      <c r="L217" s="177">
        <f>CHOOSE(Basis!$E$1,((AJ217*(J217*3600/Basis!$E$5)^AK217*(((MID(C217,9,3)*10)-144)/1000)*AL217+AM217*(J217*3600/Basis!$E$5)^2)*0.0098)/Basis!$E$10,((AJ217*(J217/Basis!$E$5)^AK217*(((MID(C217,9,3)*10)-144)/1000)*AL217+AM217*(J217/Basis!$E$5)^2)*0.0098)/Basis!$E$10)</f>
        <v>2.5736078003025251E-3</v>
      </c>
      <c r="M217" s="85"/>
      <c r="N217" s="185">
        <v>1.3919999999999999</v>
      </c>
      <c r="O217" s="186"/>
      <c r="P217" s="187">
        <v>503</v>
      </c>
      <c r="AJ217" s="191">
        <v>9.3669999999999995E-4</v>
      </c>
      <c r="AK217" s="192">
        <v>1.789841</v>
      </c>
      <c r="AL217" s="193">
        <v>2</v>
      </c>
      <c r="AM217" s="191">
        <v>4.4559999999999999E-4</v>
      </c>
    </row>
    <row r="218" spans="1:39" ht="12.75" customHeight="1" x14ac:dyDescent="0.25">
      <c r="A218" s="72" t="s">
        <v>20</v>
      </c>
      <c r="B218" s="184" t="s">
        <v>3090</v>
      </c>
      <c r="C218" s="44" t="s">
        <v>3144</v>
      </c>
      <c r="D218" s="45">
        <f>MROUND(MID($C218,6,3)/Basis!$E$3,0.5)</f>
        <v>14</v>
      </c>
      <c r="E218" s="45">
        <f>MROUND(MID($C218,9,3)/Basis!$E$3,0.5)</f>
        <v>39.5</v>
      </c>
      <c r="F218" s="237" t="str">
        <f t="shared" si="3"/>
        <v>10</v>
      </c>
      <c r="G218" s="45">
        <f>ROUND((ROUNDDOWN($F218/5,0)*5+2.2)/Basis!$E$3,1)</f>
        <v>4.8</v>
      </c>
      <c r="H218" s="120">
        <f>ROUND($P218*Basis!$E$2*((TaH-TrH)/LN(1/µ)/Basis!$E$7)^$N218*$AA$4*Glycol,0)</f>
        <v>1931</v>
      </c>
      <c r="I218" s="83">
        <f>ROUND(H218/(MID($C218,9,3)/Basis!$E$3/Basis!$E$9)*Basis!$E$11,0)</f>
        <v>589</v>
      </c>
      <c r="J218" s="123">
        <f>IF(Basis!$E$1=1,ROUND(H218/((TaH-TrH)*1.163)/3600,3),ROUND(H218/(500*(TaH-TrH)),2))</f>
        <v>0.19</v>
      </c>
      <c r="K218" s="84"/>
      <c r="L218" s="177">
        <f>CHOOSE(Basis!$E$1,((AJ218*(J218*3600/Basis!$E$5)^AK218*(((MID(C218,9,3)*10)-144)/1000)*AL218+AM218*(J218*3600/Basis!$E$5)^2)*0.0098)/Basis!$E$10,((AJ218*(J218/Basis!$E$5)^AK218*(((MID(C218,9,3)*10)-144)/1000)*AL218+AM218*(J218/Basis!$E$5)^2)*0.0098)/Basis!$E$10)</f>
        <v>3.7601217483713349E-3</v>
      </c>
      <c r="M218" s="85"/>
      <c r="N218" s="185">
        <v>1.399</v>
      </c>
      <c r="O218" s="186"/>
      <c r="P218" s="187">
        <v>898</v>
      </c>
      <c r="AJ218" s="126">
        <v>3.9689999999999994E-4</v>
      </c>
      <c r="AK218" s="132">
        <v>1.7345999999999999</v>
      </c>
      <c r="AL218" s="129">
        <v>2</v>
      </c>
      <c r="AM218" s="126">
        <v>3.6734700000000002E-4</v>
      </c>
    </row>
    <row r="219" spans="1:39" ht="12.75" customHeight="1" x14ac:dyDescent="0.25">
      <c r="A219" s="72" t="s">
        <v>20</v>
      </c>
      <c r="B219" s="184" t="s">
        <v>3090</v>
      </c>
      <c r="C219" s="44" t="s">
        <v>3156</v>
      </c>
      <c r="D219" s="45">
        <f>MROUND(MID($C219,6,3)/Basis!$E$3,0.5)</f>
        <v>14</v>
      </c>
      <c r="E219" s="45">
        <f>MROUND(MID($C219,9,3)/Basis!$E$3,0.5)</f>
        <v>39.5</v>
      </c>
      <c r="F219" s="237" t="str">
        <f t="shared" si="3"/>
        <v>15</v>
      </c>
      <c r="G219" s="45">
        <f>ROUND((ROUNDDOWN($F219/5,0)*5+2.2)/Basis!$E$3,1)</f>
        <v>6.8</v>
      </c>
      <c r="H219" s="120">
        <f>ROUND($P219*Basis!$E$2*((TaH-TrH)/LN(1/µ)/Basis!$E$7)^$N219*$AA$4*Glycol,0)</f>
        <v>3170</v>
      </c>
      <c r="I219" s="83">
        <f>ROUND(H219/(MID($C219,9,3)/Basis!$E$3/Basis!$E$9)*Basis!$E$11,0)</f>
        <v>966</v>
      </c>
      <c r="J219" s="123">
        <f>IF(Basis!$E$1=1,ROUND(H219/((TaH-TrH)*1.163)/3600,3),ROUND(H219/(500*(TaH-TrH)),2))</f>
        <v>0.32</v>
      </c>
      <c r="K219" s="84"/>
      <c r="L219" s="177">
        <f>CHOOSE(Basis!$E$1,((AJ219*(J219*3600/Basis!$E$5)^AK219*(((MID(C219,9,3)*10)-144)/1000)*AL219+AM219*(J219*3600/Basis!$E$5)^2)*0.0098)/Basis!$E$10,((AJ219*(J219/Basis!$E$5)^AK219*(((MID(C219,9,3)*10)-144)/1000)*AL219+AM219*(J219/Basis!$E$5)^2)*0.0098)/Basis!$E$10)</f>
        <v>9.8636772760199564E-3</v>
      </c>
      <c r="M219" s="85"/>
      <c r="N219" s="185">
        <v>1.39</v>
      </c>
      <c r="O219" s="186"/>
      <c r="P219" s="187">
        <v>1470</v>
      </c>
      <c r="AJ219" s="125">
        <v>2.0829999999999999E-4</v>
      </c>
      <c r="AK219" s="131">
        <v>1.724</v>
      </c>
      <c r="AL219" s="128">
        <v>2</v>
      </c>
      <c r="AM219" s="125">
        <v>4.6182900000000003E-4</v>
      </c>
    </row>
    <row r="220" spans="1:39" ht="12.75" customHeight="1" x14ac:dyDescent="0.25">
      <c r="A220" s="72" t="s">
        <v>20</v>
      </c>
      <c r="B220" s="184" t="s">
        <v>3090</v>
      </c>
      <c r="C220" s="44" t="s">
        <v>3133</v>
      </c>
      <c r="D220" s="45">
        <f>MROUND(MID($C220,6,3)/Basis!$E$3,0.5)</f>
        <v>14</v>
      </c>
      <c r="E220" s="45">
        <f>MROUND(MID($C220,9,3)/Basis!$E$3,0.5)</f>
        <v>43.5</v>
      </c>
      <c r="F220" s="237" t="str">
        <f t="shared" si="3"/>
        <v>05</v>
      </c>
      <c r="G220" s="45">
        <f>ROUND((ROUNDDOWN($F220/5,0)*5+2.2)/Basis!$E$3,1)</f>
        <v>2.8</v>
      </c>
      <c r="H220" s="120">
        <f>ROUND($P220*Basis!$E$2*((TaH-TrH)/LN(1/µ)/Basis!$E$7)^$N220*$AA$4*Glycol,0)</f>
        <v>1192</v>
      </c>
      <c r="I220" s="83">
        <f>ROUND(H220/(MID($C220,9,3)/Basis!$E$3/Basis!$E$9)*Basis!$E$11,0)</f>
        <v>330</v>
      </c>
      <c r="J220" s="123">
        <f>IF(Basis!$E$1=1,ROUND(H220/((TaH-TrH)*1.163)/3600,3),ROUND(H220/(500*(TaH-TrH)),2))</f>
        <v>0.12</v>
      </c>
      <c r="K220" s="84"/>
      <c r="L220" s="177">
        <f>CHOOSE(Basis!$E$1,((AJ220*(J220*3600/Basis!$E$5)^AK220*(((MID(C220,9,3)*10)-144)/1000)*AL220+AM220*(J220*3600/Basis!$E$5)^2)*0.0098)/Basis!$E$10,((AJ220*(J220/Basis!$E$5)^AK220*(((MID(C220,9,3)*10)-144)/1000)*AL220+AM220*(J220/Basis!$E$5)^2)*0.0098)/Basis!$E$10)</f>
        <v>3.2540947374069557E-3</v>
      </c>
      <c r="M220" s="85"/>
      <c r="N220" s="185">
        <v>1.3919999999999999</v>
      </c>
      <c r="O220" s="186"/>
      <c r="P220" s="187">
        <v>553</v>
      </c>
      <c r="AJ220" s="191">
        <v>9.3669999999999995E-4</v>
      </c>
      <c r="AK220" s="192">
        <v>1.789841</v>
      </c>
      <c r="AL220" s="193">
        <v>2</v>
      </c>
      <c r="AM220" s="191">
        <v>4.4559999999999999E-4</v>
      </c>
    </row>
    <row r="221" spans="1:39" ht="12.75" customHeight="1" x14ac:dyDescent="0.25">
      <c r="A221" s="72" t="s">
        <v>20</v>
      </c>
      <c r="B221" s="184" t="s">
        <v>3090</v>
      </c>
      <c r="C221" s="44" t="s">
        <v>3145</v>
      </c>
      <c r="D221" s="45">
        <f>MROUND(MID($C221,6,3)/Basis!$E$3,0.5)</f>
        <v>14</v>
      </c>
      <c r="E221" s="45">
        <f>MROUND(MID($C221,9,3)/Basis!$E$3,0.5)</f>
        <v>43.5</v>
      </c>
      <c r="F221" s="237" t="str">
        <f t="shared" si="3"/>
        <v>10</v>
      </c>
      <c r="G221" s="45">
        <f>ROUND((ROUNDDOWN($F221/5,0)*5+2.2)/Basis!$E$3,1)</f>
        <v>4.8</v>
      </c>
      <c r="H221" s="120">
        <f>ROUND($P221*Basis!$E$2*((TaH-TrH)/LN(1/µ)/Basis!$E$7)^$N221*$AA$4*Glycol,0)</f>
        <v>2124</v>
      </c>
      <c r="I221" s="83">
        <f>ROUND(H221/(MID($C221,9,3)/Basis!$E$3/Basis!$E$9)*Basis!$E$11,0)</f>
        <v>589</v>
      </c>
      <c r="J221" s="123">
        <f>IF(Basis!$E$1=1,ROUND(H221/((TaH-TrH)*1.163)/3600,3),ROUND(H221/(500*(TaH-TrH)),2))</f>
        <v>0.21</v>
      </c>
      <c r="K221" s="84"/>
      <c r="L221" s="177">
        <f>CHOOSE(Basis!$E$1,((AJ221*(J221*3600/Basis!$E$5)^AK221*(((MID(C221,9,3)*10)-144)/1000)*AL221+AM221*(J221*3600/Basis!$E$5)^2)*0.0098)/Basis!$E$10,((AJ221*(J221/Basis!$E$5)^AK221*(((MID(C221,9,3)*10)-144)/1000)*AL221+AM221*(J221/Basis!$E$5)^2)*0.0098)/Basis!$E$10)</f>
        <v>4.7563103514067749E-3</v>
      </c>
      <c r="M221" s="85"/>
      <c r="N221" s="185">
        <v>1.399</v>
      </c>
      <c r="O221" s="186"/>
      <c r="P221" s="187">
        <v>988</v>
      </c>
      <c r="AJ221" s="126">
        <v>3.9689999999999994E-4</v>
      </c>
      <c r="AK221" s="132">
        <v>1.7345999999999999</v>
      </c>
      <c r="AL221" s="129">
        <v>2</v>
      </c>
      <c r="AM221" s="126">
        <v>3.6734700000000002E-4</v>
      </c>
    </row>
    <row r="222" spans="1:39" ht="12.75" customHeight="1" x14ac:dyDescent="0.25">
      <c r="A222" s="72" t="s">
        <v>20</v>
      </c>
      <c r="B222" s="184" t="s">
        <v>3090</v>
      </c>
      <c r="C222" s="44" t="s">
        <v>3157</v>
      </c>
      <c r="D222" s="45">
        <f>MROUND(MID($C222,6,3)/Basis!$E$3,0.5)</f>
        <v>14</v>
      </c>
      <c r="E222" s="45">
        <f>MROUND(MID($C222,9,3)/Basis!$E$3,0.5)</f>
        <v>43.5</v>
      </c>
      <c r="F222" s="237" t="str">
        <f t="shared" si="3"/>
        <v>15</v>
      </c>
      <c r="G222" s="45">
        <f>ROUND((ROUNDDOWN($F222/5,0)*5+2.2)/Basis!$E$3,1)</f>
        <v>6.8</v>
      </c>
      <c r="H222" s="120">
        <f>ROUND($P222*Basis!$E$2*((TaH-TrH)/LN(1/µ)/Basis!$E$7)^$N222*$AA$4*Glycol,0)</f>
        <v>3487</v>
      </c>
      <c r="I222" s="83">
        <f>ROUND(H222/(MID($C222,9,3)/Basis!$E$3/Basis!$E$9)*Basis!$E$11,0)</f>
        <v>966</v>
      </c>
      <c r="J222" s="123">
        <f>IF(Basis!$E$1=1,ROUND(H222/((TaH-TrH)*1.163)/3600,3),ROUND(H222/(500*(TaH-TrH)),2))</f>
        <v>0.35</v>
      </c>
      <c r="K222" s="84"/>
      <c r="L222" s="177">
        <f>CHOOSE(Basis!$E$1,((AJ222*(J222*3600/Basis!$E$5)^AK222*(((MID(C222,9,3)*10)-144)/1000)*AL222+AM222*(J222*3600/Basis!$E$5)^2)*0.0098)/Basis!$E$10,((AJ222*(J222/Basis!$E$5)^AK222*(((MID(C222,9,3)*10)-144)/1000)*AL222+AM222*(J222/Basis!$E$5)^2)*0.0098)/Basis!$E$10)</f>
        <v>1.2001939850326142E-2</v>
      </c>
      <c r="M222" s="85"/>
      <c r="N222" s="185">
        <v>1.39</v>
      </c>
      <c r="O222" s="186"/>
      <c r="P222" s="187">
        <v>1617</v>
      </c>
      <c r="AJ222" s="125">
        <v>2.0829999999999999E-4</v>
      </c>
      <c r="AK222" s="131">
        <v>1.724</v>
      </c>
      <c r="AL222" s="128">
        <v>2</v>
      </c>
      <c r="AM222" s="125">
        <v>4.6182900000000003E-4</v>
      </c>
    </row>
    <row r="223" spans="1:39" ht="12.75" customHeight="1" x14ac:dyDescent="0.25">
      <c r="A223" s="72" t="s">
        <v>20</v>
      </c>
      <c r="B223" s="184" t="s">
        <v>3090</v>
      </c>
      <c r="C223" s="44" t="s">
        <v>3134</v>
      </c>
      <c r="D223" s="45">
        <f>MROUND(MID($C223,6,3)/Basis!$E$3,0.5)</f>
        <v>14</v>
      </c>
      <c r="E223" s="45">
        <f>MROUND(MID($C223,9,3)/Basis!$E$3,0.5)</f>
        <v>47</v>
      </c>
      <c r="F223" s="237" t="str">
        <f t="shared" si="3"/>
        <v>05</v>
      </c>
      <c r="G223" s="45">
        <f>ROUND((ROUNDDOWN($F223/5,0)*5+2.2)/Basis!$E$3,1)</f>
        <v>2.8</v>
      </c>
      <c r="H223" s="120">
        <f>ROUND($P223*Basis!$E$2*((TaH-TrH)/LN(1/µ)/Basis!$E$7)^$N223*$AA$4*Glycol,0)</f>
        <v>1302</v>
      </c>
      <c r="I223" s="83">
        <f>ROUND(H223/(MID($C223,9,3)/Basis!$E$3/Basis!$E$9)*Basis!$E$11,0)</f>
        <v>331</v>
      </c>
      <c r="J223" s="123">
        <f>IF(Basis!$E$1=1,ROUND(H223/((TaH-TrH)*1.163)/3600,3),ROUND(H223/(500*(TaH-TrH)),2))</f>
        <v>0.13</v>
      </c>
      <c r="K223" s="84"/>
      <c r="L223" s="177">
        <f>CHOOSE(Basis!$E$1,((AJ223*(J223*3600/Basis!$E$5)^AK223*(((MID(C223,9,3)*10)-144)/1000)*AL223+AM223*(J223*3600/Basis!$E$5)^2)*0.0098)/Basis!$E$10,((AJ223*(J223/Basis!$E$5)^AK223*(((MID(C223,9,3)*10)-144)/1000)*AL223+AM223*(J223/Basis!$E$5)^2)*0.0098)/Basis!$E$10)</f>
        <v>4.0386929159459961E-3</v>
      </c>
      <c r="M223" s="85"/>
      <c r="N223" s="185">
        <v>1.3919999999999999</v>
      </c>
      <c r="O223" s="186"/>
      <c r="P223" s="187">
        <v>604</v>
      </c>
      <c r="AJ223" s="191">
        <v>9.3669999999999995E-4</v>
      </c>
      <c r="AK223" s="192">
        <v>1.789841</v>
      </c>
      <c r="AL223" s="193">
        <v>2</v>
      </c>
      <c r="AM223" s="191">
        <v>4.4559999999999999E-4</v>
      </c>
    </row>
    <row r="224" spans="1:39" ht="12.75" customHeight="1" x14ac:dyDescent="0.25">
      <c r="A224" s="72" t="s">
        <v>20</v>
      </c>
      <c r="B224" s="184" t="s">
        <v>3090</v>
      </c>
      <c r="C224" s="44" t="s">
        <v>3146</v>
      </c>
      <c r="D224" s="45">
        <f>MROUND(MID($C224,6,3)/Basis!$E$3,0.5)</f>
        <v>14</v>
      </c>
      <c r="E224" s="45">
        <f>MROUND(MID($C224,9,3)/Basis!$E$3,0.5)</f>
        <v>47</v>
      </c>
      <c r="F224" s="237" t="str">
        <f t="shared" si="3"/>
        <v>10</v>
      </c>
      <c r="G224" s="45">
        <f>ROUND((ROUNDDOWN($F224/5,0)*5+2.2)/Basis!$E$3,1)</f>
        <v>4.8</v>
      </c>
      <c r="H224" s="120">
        <f>ROUND($P224*Basis!$E$2*((TaH-TrH)/LN(1/µ)/Basis!$E$7)^$N224*$AA$4*Glycol,0)</f>
        <v>2318</v>
      </c>
      <c r="I224" s="83">
        <f>ROUND(H224/(MID($C224,9,3)/Basis!$E$3/Basis!$E$9)*Basis!$E$11,0)</f>
        <v>589</v>
      </c>
      <c r="J224" s="123">
        <f>IF(Basis!$E$1=1,ROUND(H224/((TaH-TrH)*1.163)/3600,3),ROUND(H224/(500*(TaH-TrH)),2))</f>
        <v>0.23</v>
      </c>
      <c r="K224" s="84"/>
      <c r="L224" s="177">
        <f>CHOOSE(Basis!$E$1,((AJ224*(J224*3600/Basis!$E$5)^AK224*(((MID(C224,9,3)*10)-144)/1000)*AL224+AM224*(J224*3600/Basis!$E$5)^2)*0.0098)/Basis!$E$10,((AJ224*(J224/Basis!$E$5)^AK224*(((MID(C224,9,3)*10)-144)/1000)*AL224+AM224*(J224/Basis!$E$5)^2)*0.0098)/Basis!$E$10)</f>
        <v>5.8953895259909019E-3</v>
      </c>
      <c r="M224" s="85"/>
      <c r="N224" s="185">
        <v>1.399</v>
      </c>
      <c r="O224" s="186"/>
      <c r="P224" s="187">
        <v>1078</v>
      </c>
      <c r="AJ224" s="126">
        <v>3.9689999999999994E-4</v>
      </c>
      <c r="AK224" s="132">
        <v>1.7345999999999999</v>
      </c>
      <c r="AL224" s="129">
        <v>2</v>
      </c>
      <c r="AM224" s="126">
        <v>3.6734700000000002E-4</v>
      </c>
    </row>
    <row r="225" spans="1:39" ht="12.75" customHeight="1" x14ac:dyDescent="0.25">
      <c r="A225" s="72" t="s">
        <v>20</v>
      </c>
      <c r="B225" s="184" t="s">
        <v>3090</v>
      </c>
      <c r="C225" s="44" t="s">
        <v>3158</v>
      </c>
      <c r="D225" s="45">
        <f>MROUND(MID($C225,6,3)/Basis!$E$3,0.5)</f>
        <v>14</v>
      </c>
      <c r="E225" s="45">
        <f>MROUND(MID($C225,9,3)/Basis!$E$3,0.5)</f>
        <v>47</v>
      </c>
      <c r="F225" s="237" t="str">
        <f t="shared" si="3"/>
        <v>15</v>
      </c>
      <c r="G225" s="45">
        <f>ROUND((ROUNDDOWN($F225/5,0)*5+2.2)/Basis!$E$3,1)</f>
        <v>6.8</v>
      </c>
      <c r="H225" s="120">
        <f>ROUND($P225*Basis!$E$2*((TaH-TrH)/LN(1/µ)/Basis!$E$7)^$N225*$AA$4*Glycol,0)</f>
        <v>3804</v>
      </c>
      <c r="I225" s="83">
        <f>ROUND(H225/(MID($C225,9,3)/Basis!$E$3/Basis!$E$9)*Basis!$E$11,0)</f>
        <v>966</v>
      </c>
      <c r="J225" s="123">
        <f>IF(Basis!$E$1=1,ROUND(H225/((TaH-TrH)*1.163)/3600,3),ROUND(H225/(500*(TaH-TrH)),2))</f>
        <v>0.38</v>
      </c>
      <c r="K225" s="84"/>
      <c r="L225" s="177">
        <f>CHOOSE(Basis!$E$1,((AJ225*(J225*3600/Basis!$E$5)^AK225*(((MID(C225,9,3)*10)-144)/1000)*AL225+AM225*(J225*3600/Basis!$E$5)^2)*0.0098)/Basis!$E$10,((AJ225*(J225/Basis!$E$5)^AK225*(((MID(C225,9,3)*10)-144)/1000)*AL225+AM225*(J225/Basis!$E$5)^2)*0.0098)/Basis!$E$10)</f>
        <v>1.437899500846411E-2</v>
      </c>
      <c r="M225" s="85"/>
      <c r="N225" s="185">
        <v>1.39</v>
      </c>
      <c r="O225" s="186"/>
      <c r="P225" s="187">
        <v>1764</v>
      </c>
      <c r="AJ225" s="125">
        <v>2.0829999999999999E-4</v>
      </c>
      <c r="AK225" s="131">
        <v>1.724</v>
      </c>
      <c r="AL225" s="128">
        <v>2</v>
      </c>
      <c r="AM225" s="125">
        <v>4.6182900000000003E-4</v>
      </c>
    </row>
    <row r="226" spans="1:39" ht="12.75" customHeight="1" x14ac:dyDescent="0.25">
      <c r="A226" s="72" t="s">
        <v>20</v>
      </c>
      <c r="B226" s="184" t="s">
        <v>3090</v>
      </c>
      <c r="C226" s="44" t="s">
        <v>3135</v>
      </c>
      <c r="D226" s="45">
        <f>MROUND(MID($C226,6,3)/Basis!$E$3,0.5)</f>
        <v>14</v>
      </c>
      <c r="E226" s="45">
        <f>MROUND(MID($C226,9,3)/Basis!$E$3,0.5)</f>
        <v>55</v>
      </c>
      <c r="F226" s="237" t="str">
        <f t="shared" si="3"/>
        <v>05</v>
      </c>
      <c r="G226" s="45">
        <f>ROUND((ROUNDDOWN($F226/5,0)*5+2.2)/Basis!$E$3,1)</f>
        <v>2.8</v>
      </c>
      <c r="H226" s="120">
        <f>ROUND($P226*Basis!$E$2*((TaH-TrH)/LN(1/µ)/Basis!$E$7)^$N226*$AA$4*Glycol,0)</f>
        <v>1517</v>
      </c>
      <c r="I226" s="83">
        <f>ROUND(H226/(MID($C226,9,3)/Basis!$E$3/Basis!$E$9)*Basis!$E$11,0)</f>
        <v>330</v>
      </c>
      <c r="J226" s="123">
        <f>IF(Basis!$E$1=1,ROUND(H226/((TaH-TrH)*1.163)/3600,3),ROUND(H226/(500*(TaH-TrH)),2))</f>
        <v>0.15</v>
      </c>
      <c r="K226" s="84"/>
      <c r="L226" s="177">
        <f>CHOOSE(Basis!$E$1,((AJ226*(J226*3600/Basis!$E$5)^AK226*(((MID(C226,9,3)*10)-144)/1000)*AL226+AM226*(J226*3600/Basis!$E$5)^2)*0.0098)/Basis!$E$10,((AJ226*(J226/Basis!$E$5)^AK226*(((MID(C226,9,3)*10)-144)/1000)*AL226+AM226*(J226/Basis!$E$5)^2)*0.0098)/Basis!$E$10)</f>
        <v>5.9451599356808551E-3</v>
      </c>
      <c r="M226" s="85"/>
      <c r="N226" s="185">
        <v>1.3919999999999999</v>
      </c>
      <c r="O226" s="186"/>
      <c r="P226" s="187">
        <v>704</v>
      </c>
      <c r="AJ226" s="191">
        <v>9.3669999999999995E-4</v>
      </c>
      <c r="AK226" s="192">
        <v>1.789841</v>
      </c>
      <c r="AL226" s="193">
        <v>2</v>
      </c>
      <c r="AM226" s="191">
        <v>4.4559999999999999E-4</v>
      </c>
    </row>
    <row r="227" spans="1:39" ht="12.75" customHeight="1" x14ac:dyDescent="0.25">
      <c r="A227" s="72" t="s">
        <v>20</v>
      </c>
      <c r="B227" s="184" t="s">
        <v>3090</v>
      </c>
      <c r="C227" s="44" t="s">
        <v>3147</v>
      </c>
      <c r="D227" s="45">
        <f>MROUND(MID($C227,6,3)/Basis!$E$3,0.5)</f>
        <v>14</v>
      </c>
      <c r="E227" s="45">
        <f>MROUND(MID($C227,9,3)/Basis!$E$3,0.5)</f>
        <v>55</v>
      </c>
      <c r="F227" s="237" t="str">
        <f t="shared" si="3"/>
        <v>10</v>
      </c>
      <c r="G227" s="45">
        <f>ROUND((ROUNDDOWN($F227/5,0)*5+2.2)/Basis!$E$3,1)</f>
        <v>4.8</v>
      </c>
      <c r="H227" s="120">
        <f>ROUND($P227*Basis!$E$2*((TaH-TrH)/LN(1/µ)/Basis!$E$7)^$N227*$AA$4*Glycol,0)</f>
        <v>2703</v>
      </c>
      <c r="I227" s="83">
        <f>ROUND(H227/(MID($C227,9,3)/Basis!$E$3/Basis!$E$9)*Basis!$E$11,0)</f>
        <v>588</v>
      </c>
      <c r="J227" s="123">
        <f>IF(Basis!$E$1=1,ROUND(H227/((TaH-TrH)*1.163)/3600,3),ROUND(H227/(500*(TaH-TrH)),2))</f>
        <v>0.27</v>
      </c>
      <c r="K227" s="84"/>
      <c r="L227" s="177">
        <f>CHOOSE(Basis!$E$1,((AJ227*(J227*3600/Basis!$E$5)^AK227*(((MID(C227,9,3)*10)-144)/1000)*AL227+AM227*(J227*3600/Basis!$E$5)^2)*0.0098)/Basis!$E$10,((AJ227*(J227/Basis!$E$5)^AK227*(((MID(C227,9,3)*10)-144)/1000)*AL227+AM227*(J227/Basis!$E$5)^2)*0.0098)/Basis!$E$10)</f>
        <v>8.6287270013287037E-3</v>
      </c>
      <c r="M227" s="85"/>
      <c r="N227" s="185">
        <v>1.399</v>
      </c>
      <c r="O227" s="186"/>
      <c r="P227" s="187">
        <v>1257</v>
      </c>
      <c r="AJ227" s="126">
        <v>3.9689999999999994E-4</v>
      </c>
      <c r="AK227" s="132">
        <v>1.7345999999999999</v>
      </c>
      <c r="AL227" s="129">
        <v>2</v>
      </c>
      <c r="AM227" s="126">
        <v>3.6734700000000002E-4</v>
      </c>
    </row>
    <row r="228" spans="1:39" ht="12.75" customHeight="1" x14ac:dyDescent="0.25">
      <c r="A228" s="72" t="s">
        <v>20</v>
      </c>
      <c r="B228" s="184" t="s">
        <v>3090</v>
      </c>
      <c r="C228" s="44" t="s">
        <v>3159</v>
      </c>
      <c r="D228" s="45">
        <f>MROUND(MID($C228,6,3)/Basis!$E$3,0.5)</f>
        <v>14</v>
      </c>
      <c r="E228" s="45">
        <f>MROUND(MID($C228,9,3)/Basis!$E$3,0.5)</f>
        <v>55</v>
      </c>
      <c r="F228" s="237" t="str">
        <f t="shared" si="3"/>
        <v>15</v>
      </c>
      <c r="G228" s="45">
        <f>ROUND((ROUNDDOWN($F228/5,0)*5+2.2)/Basis!$E$3,1)</f>
        <v>6.8</v>
      </c>
      <c r="H228" s="120">
        <f>ROUND($P228*Basis!$E$2*((TaH-TrH)/LN(1/µ)/Basis!$E$7)^$N228*$AA$4*Glycol,0)</f>
        <v>4438</v>
      </c>
      <c r="I228" s="83">
        <f>ROUND(H228/(MID($C228,9,3)/Basis!$E$3/Basis!$E$9)*Basis!$E$11,0)</f>
        <v>966</v>
      </c>
      <c r="J228" s="123">
        <f>IF(Basis!$E$1=1,ROUND(H228/((TaH-TrH)*1.163)/3600,3),ROUND(H228/(500*(TaH-TrH)),2))</f>
        <v>0.44</v>
      </c>
      <c r="K228" s="84"/>
      <c r="L228" s="177">
        <f>CHOOSE(Basis!$E$1,((AJ228*(J228*3600/Basis!$E$5)^AK228*(((MID(C228,9,3)*10)-144)/1000)*AL228+AM228*(J228*3600/Basis!$E$5)^2)*0.0098)/Basis!$E$10,((AJ228*(J228/Basis!$E$5)^AK228*(((MID(C228,9,3)*10)-144)/1000)*AL228+AM228*(J228/Basis!$E$5)^2)*0.0098)/Basis!$E$10)</f>
        <v>1.9875200664094782E-2</v>
      </c>
      <c r="M228" s="85"/>
      <c r="N228" s="185">
        <v>1.39</v>
      </c>
      <c r="O228" s="186"/>
      <c r="P228" s="187">
        <v>2058</v>
      </c>
      <c r="AJ228" s="125">
        <v>2.0829999999999999E-4</v>
      </c>
      <c r="AK228" s="131">
        <v>1.724</v>
      </c>
      <c r="AL228" s="128">
        <v>2</v>
      </c>
      <c r="AM228" s="125">
        <v>4.6182900000000003E-4</v>
      </c>
    </row>
    <row r="229" spans="1:39" ht="12.75" customHeight="1" x14ac:dyDescent="0.25">
      <c r="A229" s="72" t="s">
        <v>20</v>
      </c>
      <c r="B229" s="184" t="s">
        <v>3090</v>
      </c>
      <c r="C229" s="44" t="s">
        <v>3136</v>
      </c>
      <c r="D229" s="45">
        <f>MROUND(MID($C229,6,3)/Basis!$E$3,0.5)</f>
        <v>14</v>
      </c>
      <c r="E229" s="45">
        <f>MROUND(MID($C229,9,3)/Basis!$E$3,0.5)</f>
        <v>63</v>
      </c>
      <c r="F229" s="237" t="str">
        <f t="shared" si="3"/>
        <v>05</v>
      </c>
      <c r="G229" s="45">
        <f>ROUND((ROUNDDOWN($F229/5,0)*5+2.2)/Basis!$E$3,1)</f>
        <v>2.8</v>
      </c>
      <c r="H229" s="120">
        <f>ROUND($P229*Basis!$E$2*((TaH-TrH)/LN(1/µ)/Basis!$E$7)^$N229*$AA$4*Glycol,0)</f>
        <v>1735</v>
      </c>
      <c r="I229" s="83">
        <f>ROUND(H229/(MID($C229,9,3)/Basis!$E$3/Basis!$E$9)*Basis!$E$11,0)</f>
        <v>331</v>
      </c>
      <c r="J229" s="123">
        <f>IF(Basis!$E$1=1,ROUND(H229/((TaH-TrH)*1.163)/3600,3),ROUND(H229/(500*(TaH-TrH)),2))</f>
        <v>0.17</v>
      </c>
      <c r="K229" s="84"/>
      <c r="L229" s="177">
        <f>CHOOSE(Basis!$E$1,((AJ229*(J229*3600/Basis!$E$5)^AK229*(((MID(C229,9,3)*10)-144)/1000)*AL229+AM229*(J229*3600/Basis!$E$5)^2)*0.0098)/Basis!$E$10,((AJ229*(J229/Basis!$E$5)^AK229*(((MID(C229,9,3)*10)-144)/1000)*AL229+AM229*(J229/Basis!$E$5)^2)*0.0098)/Basis!$E$10)</f>
        <v>8.3418670549575986E-3</v>
      </c>
      <c r="M229" s="85"/>
      <c r="N229" s="185">
        <v>1.3919999999999999</v>
      </c>
      <c r="O229" s="186"/>
      <c r="P229" s="187">
        <v>805</v>
      </c>
      <c r="AJ229" s="191">
        <v>9.3669999999999995E-4</v>
      </c>
      <c r="AK229" s="192">
        <v>1.789841</v>
      </c>
      <c r="AL229" s="193">
        <v>2</v>
      </c>
      <c r="AM229" s="191">
        <v>4.4559999999999999E-4</v>
      </c>
    </row>
    <row r="230" spans="1:39" ht="12.75" customHeight="1" x14ac:dyDescent="0.25">
      <c r="A230" s="72" t="s">
        <v>20</v>
      </c>
      <c r="B230" s="184" t="s">
        <v>3090</v>
      </c>
      <c r="C230" s="44" t="s">
        <v>3148</v>
      </c>
      <c r="D230" s="45">
        <f>MROUND(MID($C230,6,3)/Basis!$E$3,0.5)</f>
        <v>14</v>
      </c>
      <c r="E230" s="45">
        <f>MROUND(MID($C230,9,3)/Basis!$E$3,0.5)</f>
        <v>63</v>
      </c>
      <c r="F230" s="237" t="str">
        <f t="shared" si="3"/>
        <v>10</v>
      </c>
      <c r="G230" s="45">
        <f>ROUND((ROUNDDOWN($F230/5,0)*5+2.2)/Basis!$E$3,1)</f>
        <v>4.8</v>
      </c>
      <c r="H230" s="120">
        <f>ROUND($P230*Basis!$E$2*((TaH-TrH)/LN(1/µ)/Basis!$E$7)^$N230*$AA$4*Glycol,0)</f>
        <v>3090</v>
      </c>
      <c r="I230" s="83">
        <f>ROUND(H230/(MID($C230,9,3)/Basis!$E$3/Basis!$E$9)*Basis!$E$11,0)</f>
        <v>589</v>
      </c>
      <c r="J230" s="123">
        <f>IF(Basis!$E$1=1,ROUND(H230/((TaH-TrH)*1.163)/3600,3),ROUND(H230/(500*(TaH-TrH)),2))</f>
        <v>0.31</v>
      </c>
      <c r="K230" s="84"/>
      <c r="L230" s="177">
        <f>CHOOSE(Basis!$E$1,((AJ230*(J230*3600/Basis!$E$5)^AK230*(((MID(C230,9,3)*10)-144)/1000)*AL230+AM230*(J230*3600/Basis!$E$5)^2)*0.0098)/Basis!$E$10,((AJ230*(J230/Basis!$E$5)^AK230*(((MID(C230,9,3)*10)-144)/1000)*AL230+AM230*(J230/Basis!$E$5)^2)*0.0098)/Basis!$E$10)</f>
        <v>1.2011673198649115E-2</v>
      </c>
      <c r="M230" s="85"/>
      <c r="N230" s="185">
        <v>1.399</v>
      </c>
      <c r="O230" s="186"/>
      <c r="P230" s="187">
        <v>1437</v>
      </c>
      <c r="AJ230" s="126">
        <v>3.9689999999999994E-4</v>
      </c>
      <c r="AK230" s="132">
        <v>1.7345999999999999</v>
      </c>
      <c r="AL230" s="129">
        <v>2</v>
      </c>
      <c r="AM230" s="126">
        <v>3.6734700000000002E-4</v>
      </c>
    </row>
    <row r="231" spans="1:39" ht="12.75" customHeight="1" x14ac:dyDescent="0.25">
      <c r="A231" s="72" t="s">
        <v>20</v>
      </c>
      <c r="B231" s="184" t="s">
        <v>3090</v>
      </c>
      <c r="C231" s="44" t="s">
        <v>3160</v>
      </c>
      <c r="D231" s="45">
        <f>MROUND(MID($C231,6,3)/Basis!$E$3,0.5)</f>
        <v>14</v>
      </c>
      <c r="E231" s="45">
        <f>MROUND(MID($C231,9,3)/Basis!$E$3,0.5)</f>
        <v>63</v>
      </c>
      <c r="F231" s="237" t="str">
        <f t="shared" si="3"/>
        <v>15</v>
      </c>
      <c r="G231" s="45">
        <f>ROUND((ROUNDDOWN($F231/5,0)*5+2.2)/Basis!$E$3,1)</f>
        <v>6.8</v>
      </c>
      <c r="H231" s="120">
        <f>ROUND($P231*Basis!$E$2*((TaH-TrH)/LN(1/µ)/Basis!$E$7)^$N231*$AA$4*Glycol,0)</f>
        <v>5073</v>
      </c>
      <c r="I231" s="83">
        <f>ROUND(H231/(MID($C231,9,3)/Basis!$E$3/Basis!$E$9)*Basis!$E$11,0)</f>
        <v>966</v>
      </c>
      <c r="J231" s="123">
        <f>IF(Basis!$E$1=1,ROUND(H231/((TaH-TrH)*1.163)/3600,3),ROUND(H231/(500*(TaH-TrH)),2))</f>
        <v>0.51</v>
      </c>
      <c r="K231" s="84"/>
      <c r="L231" s="177">
        <f>CHOOSE(Basis!$E$1,((AJ231*(J231*3600/Basis!$E$5)^AK231*(((MID(C231,9,3)*10)-144)/1000)*AL231+AM231*(J231*3600/Basis!$E$5)^2)*0.0098)/Basis!$E$10,((AJ231*(J231/Basis!$E$5)^AK231*(((MID(C231,9,3)*10)-144)/1000)*AL231+AM231*(J231/Basis!$E$5)^2)*0.0098)/Basis!$E$10)</f>
        <v>2.7429699194466403E-2</v>
      </c>
      <c r="M231" s="85"/>
      <c r="N231" s="185">
        <v>1.39</v>
      </c>
      <c r="O231" s="186"/>
      <c r="P231" s="187">
        <v>2352</v>
      </c>
      <c r="AJ231" s="125">
        <v>2.0829999999999999E-4</v>
      </c>
      <c r="AK231" s="131">
        <v>1.724</v>
      </c>
      <c r="AL231" s="128">
        <v>2</v>
      </c>
      <c r="AM231" s="125">
        <v>4.6182900000000003E-4</v>
      </c>
    </row>
    <row r="232" spans="1:39" ht="12.75" customHeight="1" x14ac:dyDescent="0.25">
      <c r="A232" s="72" t="s">
        <v>20</v>
      </c>
      <c r="B232" s="184" t="s">
        <v>3090</v>
      </c>
      <c r="C232" s="44" t="s">
        <v>3137</v>
      </c>
      <c r="D232" s="45">
        <f>MROUND(MID($C232,6,3)/Basis!$E$3,0.5)</f>
        <v>14</v>
      </c>
      <c r="E232" s="45">
        <f>MROUND(MID($C232,9,3)/Basis!$E$3,0.5)</f>
        <v>71</v>
      </c>
      <c r="F232" s="237" t="str">
        <f t="shared" si="3"/>
        <v>05</v>
      </c>
      <c r="G232" s="45">
        <f>ROUND((ROUNDDOWN($F232/5,0)*5+2.2)/Basis!$E$3,1)</f>
        <v>2.8</v>
      </c>
      <c r="H232" s="120">
        <f>ROUND($P232*Basis!$E$2*((TaH-TrH)/LN(1/µ)/Basis!$E$7)^$N232*$AA$4*Glycol,0)</f>
        <v>1951</v>
      </c>
      <c r="I232" s="83">
        <f>ROUND(H232/(MID($C232,9,3)/Basis!$E$3/Basis!$E$9)*Basis!$E$11,0)</f>
        <v>330</v>
      </c>
      <c r="J232" s="123">
        <f>IF(Basis!$E$1=1,ROUND(H232/((TaH-TrH)*1.163)/3600,3),ROUND(H232/(500*(TaH-TrH)),2))</f>
        <v>0.2</v>
      </c>
      <c r="K232" s="84"/>
      <c r="L232" s="177">
        <f>CHOOSE(Basis!$E$1,((AJ232*(J232*3600/Basis!$E$5)^AK232*(((MID(C232,9,3)*10)-144)/1000)*AL232+AM232*(J232*3600/Basis!$E$5)^2)*0.0098)/Basis!$E$10,((AJ232*(J232/Basis!$E$5)^AK232*(((MID(C232,9,3)*10)-144)/1000)*AL232+AM232*(J232/Basis!$E$5)^2)*0.0098)/Basis!$E$10)</f>
        <v>1.2392713408696339E-2</v>
      </c>
      <c r="M232" s="85"/>
      <c r="N232" s="185">
        <v>1.3919999999999999</v>
      </c>
      <c r="O232" s="186"/>
      <c r="P232" s="187">
        <v>905</v>
      </c>
      <c r="AJ232" s="191">
        <v>9.3669999999999995E-4</v>
      </c>
      <c r="AK232" s="192">
        <v>1.789841</v>
      </c>
      <c r="AL232" s="193">
        <v>2</v>
      </c>
      <c r="AM232" s="191">
        <v>4.4559999999999999E-4</v>
      </c>
    </row>
    <row r="233" spans="1:39" ht="12.75" customHeight="1" x14ac:dyDescent="0.25">
      <c r="A233" s="72" t="s">
        <v>20</v>
      </c>
      <c r="B233" s="184" t="s">
        <v>3090</v>
      </c>
      <c r="C233" s="44" t="s">
        <v>3149</v>
      </c>
      <c r="D233" s="45">
        <f>MROUND(MID($C233,6,3)/Basis!$E$3,0.5)</f>
        <v>14</v>
      </c>
      <c r="E233" s="45">
        <f>MROUND(MID($C233,9,3)/Basis!$E$3,0.5)</f>
        <v>71</v>
      </c>
      <c r="F233" s="237" t="str">
        <f t="shared" si="3"/>
        <v>10</v>
      </c>
      <c r="G233" s="45">
        <f>ROUND((ROUNDDOWN($F233/5,0)*5+2.2)/Basis!$E$3,1)</f>
        <v>4.8</v>
      </c>
      <c r="H233" s="120">
        <f>ROUND($P233*Basis!$E$2*((TaH-TrH)/LN(1/µ)/Basis!$E$7)^$N233*$AA$4*Glycol,0)</f>
        <v>3475</v>
      </c>
      <c r="I233" s="83">
        <f>ROUND(H233/(MID($C233,9,3)/Basis!$E$3/Basis!$E$9)*Basis!$E$11,0)</f>
        <v>588</v>
      </c>
      <c r="J233" s="123">
        <f>IF(Basis!$E$1=1,ROUND(H233/((TaH-TrH)*1.163)/3600,3),ROUND(H233/(500*(TaH-TrH)),2))</f>
        <v>0.35</v>
      </c>
      <c r="K233" s="84"/>
      <c r="L233" s="177">
        <f>CHOOSE(Basis!$E$1,((AJ233*(J233*3600/Basis!$E$5)^AK233*(((MID(C233,9,3)*10)-144)/1000)*AL233+AM233*(J233*3600/Basis!$E$5)^2)*0.0098)/Basis!$E$10,((AJ233*(J233/Basis!$E$5)^AK233*(((MID(C233,9,3)*10)-144)/1000)*AL233+AM233*(J233/Basis!$E$5)^2)*0.0098)/Basis!$E$10)</f>
        <v>1.6093711963140616E-2</v>
      </c>
      <c r="M233" s="85"/>
      <c r="N233" s="185">
        <v>1.399</v>
      </c>
      <c r="O233" s="186"/>
      <c r="P233" s="187">
        <v>1616</v>
      </c>
      <c r="AJ233" s="126">
        <v>3.9689999999999994E-4</v>
      </c>
      <c r="AK233" s="132">
        <v>1.7345999999999999</v>
      </c>
      <c r="AL233" s="129">
        <v>2</v>
      </c>
      <c r="AM233" s="126">
        <v>3.6734700000000002E-4</v>
      </c>
    </row>
    <row r="234" spans="1:39" ht="12.75" customHeight="1" x14ac:dyDescent="0.25">
      <c r="A234" s="72" t="s">
        <v>20</v>
      </c>
      <c r="B234" s="184" t="s">
        <v>3090</v>
      </c>
      <c r="C234" s="44" t="s">
        <v>3161</v>
      </c>
      <c r="D234" s="45">
        <f>MROUND(MID($C234,6,3)/Basis!$E$3,0.5)</f>
        <v>14</v>
      </c>
      <c r="E234" s="45">
        <f>MROUND(MID($C234,9,3)/Basis!$E$3,0.5)</f>
        <v>71</v>
      </c>
      <c r="F234" s="237" t="str">
        <f t="shared" si="3"/>
        <v>15</v>
      </c>
      <c r="G234" s="45">
        <f>ROUND((ROUNDDOWN($F234/5,0)*5+2.2)/Basis!$E$3,1)</f>
        <v>6.8</v>
      </c>
      <c r="H234" s="120">
        <f>ROUND($P234*Basis!$E$2*((TaH-TrH)/LN(1/µ)/Basis!$E$7)^$N234*$AA$4*Glycol,0)</f>
        <v>5707</v>
      </c>
      <c r="I234" s="83">
        <f>ROUND(H234/(MID($C234,9,3)/Basis!$E$3/Basis!$E$9)*Basis!$E$11,0)</f>
        <v>966</v>
      </c>
      <c r="J234" s="123">
        <f>IF(Basis!$E$1=1,ROUND(H234/((TaH-TrH)*1.163)/3600,3),ROUND(H234/(500*(TaH-TrH)),2))</f>
        <v>0.56999999999999995</v>
      </c>
      <c r="K234" s="84"/>
      <c r="L234" s="177">
        <f>CHOOSE(Basis!$E$1,((AJ234*(J234*3600/Basis!$E$5)^AK234*(((MID(C234,9,3)*10)-144)/1000)*AL234+AM234*(J234*3600/Basis!$E$5)^2)*0.0098)/Basis!$E$10,((AJ234*(J234/Basis!$E$5)^AK234*(((MID(C234,9,3)*10)-144)/1000)*AL234+AM234*(J234/Basis!$E$5)^2)*0.0098)/Basis!$E$10)</f>
        <v>3.5185538723677946E-2</v>
      </c>
      <c r="M234" s="85"/>
      <c r="N234" s="185">
        <v>1.39</v>
      </c>
      <c r="O234" s="186"/>
      <c r="P234" s="187">
        <v>2646</v>
      </c>
      <c r="AJ234" s="125">
        <v>2.0829999999999999E-4</v>
      </c>
      <c r="AK234" s="131">
        <v>1.724</v>
      </c>
      <c r="AL234" s="128">
        <v>2</v>
      </c>
      <c r="AM234" s="125">
        <v>4.6182900000000003E-4</v>
      </c>
    </row>
    <row r="235" spans="1:39" ht="12.75" customHeight="1" x14ac:dyDescent="0.25">
      <c r="A235" s="72" t="s">
        <v>20</v>
      </c>
      <c r="B235" s="184" t="s">
        <v>3090</v>
      </c>
      <c r="C235" s="44" t="s">
        <v>3138</v>
      </c>
      <c r="D235" s="45">
        <f>MROUND(MID($C235,6,3)/Basis!$E$3,0.5)</f>
        <v>14</v>
      </c>
      <c r="E235" s="45">
        <f>MROUND(MID($C235,9,3)/Basis!$E$3,0.5)</f>
        <v>78.5</v>
      </c>
      <c r="F235" s="237" t="str">
        <f t="shared" si="3"/>
        <v>05</v>
      </c>
      <c r="G235" s="45">
        <f>ROUND((ROUNDDOWN($F235/5,0)*5+2.2)/Basis!$E$3,1)</f>
        <v>2.8</v>
      </c>
      <c r="H235" s="120">
        <f>ROUND($P235*Basis!$E$2*((TaH-TrH)/LN(1/µ)/Basis!$E$7)^$N235*$AA$4*Glycol,0)</f>
        <v>2168</v>
      </c>
      <c r="I235" s="83">
        <f>ROUND(H235/(MID($C235,9,3)/Basis!$E$3/Basis!$E$9)*Basis!$E$11,0)</f>
        <v>330</v>
      </c>
      <c r="J235" s="123">
        <f>IF(Basis!$E$1=1,ROUND(H235/((TaH-TrH)*1.163)/3600,3),ROUND(H235/(500*(TaH-TrH)),2))</f>
        <v>0.22</v>
      </c>
      <c r="K235" s="84"/>
      <c r="L235" s="177">
        <f>CHOOSE(Basis!$E$1,((AJ235*(J235*3600/Basis!$E$5)^AK235*(((MID(C235,9,3)*10)-144)/1000)*AL235+AM235*(J235*3600/Basis!$E$5)^2)*0.0098)/Basis!$E$10,((AJ235*(J235/Basis!$E$5)^AK235*(((MID(C235,9,3)*10)-144)/1000)*AL235+AM235*(J235/Basis!$E$5)^2)*0.0098)/Basis!$E$10)</f>
        <v>1.611442639786214E-2</v>
      </c>
      <c r="M235" s="85"/>
      <c r="N235" s="185">
        <v>1.3919999999999999</v>
      </c>
      <c r="O235" s="186"/>
      <c r="P235" s="187">
        <v>1006</v>
      </c>
      <c r="AJ235" s="191">
        <v>9.3669999999999995E-4</v>
      </c>
      <c r="AK235" s="192">
        <v>1.789841</v>
      </c>
      <c r="AL235" s="193">
        <v>2</v>
      </c>
      <c r="AM235" s="191">
        <v>4.4559999999999999E-4</v>
      </c>
    </row>
    <row r="236" spans="1:39" ht="12.75" customHeight="1" x14ac:dyDescent="0.25">
      <c r="A236" s="72" t="s">
        <v>20</v>
      </c>
      <c r="B236" s="184" t="s">
        <v>3090</v>
      </c>
      <c r="C236" s="44" t="s">
        <v>3150</v>
      </c>
      <c r="D236" s="45">
        <f>MROUND(MID($C236,6,3)/Basis!$E$3,0.5)</f>
        <v>14</v>
      </c>
      <c r="E236" s="45">
        <f>MROUND(MID($C236,9,3)/Basis!$E$3,0.5)</f>
        <v>78.5</v>
      </c>
      <c r="F236" s="237" t="str">
        <f t="shared" si="3"/>
        <v>10</v>
      </c>
      <c r="G236" s="45">
        <f>ROUND((ROUNDDOWN($F236/5,0)*5+2.2)/Basis!$E$3,1)</f>
        <v>4.8</v>
      </c>
      <c r="H236" s="120">
        <f>ROUND($P236*Basis!$E$2*((TaH-TrH)/LN(1/µ)/Basis!$E$7)^$N236*$AA$4*Glycol,0)</f>
        <v>3862</v>
      </c>
      <c r="I236" s="83">
        <f>ROUND(H236/(MID($C236,9,3)/Basis!$E$3/Basis!$E$9)*Basis!$E$11,0)</f>
        <v>589</v>
      </c>
      <c r="J236" s="123">
        <f>IF(Basis!$E$1=1,ROUND(H236/((TaH-TrH)*1.163)/3600,3),ROUND(H236/(500*(TaH-TrH)),2))</f>
        <v>0.39</v>
      </c>
      <c r="K236" s="84"/>
      <c r="L236" s="177">
        <f>CHOOSE(Basis!$E$1,((AJ236*(J236*3600/Basis!$E$5)^AK236*(((MID(C236,9,3)*10)-144)/1000)*AL236+AM236*(J236*3600/Basis!$E$5)^2)*0.0098)/Basis!$E$10,((AJ236*(J236/Basis!$E$5)^AK236*(((MID(C236,9,3)*10)-144)/1000)*AL236+AM236*(J236/Basis!$E$5)^2)*0.0098)/Basis!$E$10)</f>
        <v>2.0922613337750761E-2</v>
      </c>
      <c r="M236" s="85"/>
      <c r="N236" s="185">
        <v>1.399</v>
      </c>
      <c r="O236" s="186"/>
      <c r="P236" s="187">
        <v>1796</v>
      </c>
      <c r="AJ236" s="126">
        <v>3.9689999999999994E-4</v>
      </c>
      <c r="AK236" s="132">
        <v>1.7345999999999999</v>
      </c>
      <c r="AL236" s="129">
        <v>2</v>
      </c>
      <c r="AM236" s="126">
        <v>3.6734700000000002E-4</v>
      </c>
    </row>
    <row r="237" spans="1:39" ht="12.75" customHeight="1" x14ac:dyDescent="0.25">
      <c r="A237" s="72" t="s">
        <v>20</v>
      </c>
      <c r="B237" s="184" t="s">
        <v>3090</v>
      </c>
      <c r="C237" s="44" t="s">
        <v>3162</v>
      </c>
      <c r="D237" s="45">
        <f>MROUND(MID($C237,6,3)/Basis!$E$3,0.5)</f>
        <v>14</v>
      </c>
      <c r="E237" s="45">
        <f>MROUND(MID($C237,9,3)/Basis!$E$3,0.5)</f>
        <v>78.5</v>
      </c>
      <c r="F237" s="237" t="str">
        <f t="shared" si="3"/>
        <v>15</v>
      </c>
      <c r="G237" s="45">
        <f>ROUND((ROUNDDOWN($F237/5,0)*5+2.2)/Basis!$E$3,1)</f>
        <v>6.8</v>
      </c>
      <c r="H237" s="120">
        <f>ROUND($P237*Basis!$E$2*((TaH-TrH)/LN(1/µ)/Basis!$E$7)^$N237*$AA$4*Glycol,0)</f>
        <v>6341</v>
      </c>
      <c r="I237" s="83">
        <f>ROUND(H237/(MID($C237,9,3)/Basis!$E$3/Basis!$E$9)*Basis!$E$11,0)</f>
        <v>966</v>
      </c>
      <c r="J237" s="123">
        <f>IF(Basis!$E$1=1,ROUND(H237/((TaH-TrH)*1.163)/3600,3),ROUND(H237/(500*(TaH-TrH)),2))</f>
        <v>0.63</v>
      </c>
      <c r="K237" s="84"/>
      <c r="L237" s="177">
        <f>CHOOSE(Basis!$E$1,((AJ237*(J237*3600/Basis!$E$5)^AK237*(((MID(C237,9,3)*10)-144)/1000)*AL237+AM237*(J237*3600/Basis!$E$5)^2)*0.0098)/Basis!$E$10,((AJ237*(J237/Basis!$E$5)^AK237*(((MID(C237,9,3)*10)-144)/1000)*AL237+AM237*(J237/Basis!$E$5)^2)*0.0098)/Basis!$E$10)</f>
        <v>4.4071664651669097E-2</v>
      </c>
      <c r="M237" s="85"/>
      <c r="N237" s="185">
        <v>1.39</v>
      </c>
      <c r="O237" s="186"/>
      <c r="P237" s="187">
        <v>2940</v>
      </c>
      <c r="AJ237" s="125">
        <v>2.0829999999999999E-4</v>
      </c>
      <c r="AK237" s="131">
        <v>1.724</v>
      </c>
      <c r="AL237" s="128">
        <v>2</v>
      </c>
      <c r="AM237" s="125">
        <v>4.6182900000000003E-4</v>
      </c>
    </row>
    <row r="238" spans="1:39" ht="12.75" customHeight="1" x14ac:dyDescent="0.25">
      <c r="A238" s="72" t="s">
        <v>20</v>
      </c>
      <c r="B238" s="184" t="s">
        <v>3090</v>
      </c>
      <c r="C238" s="44" t="s">
        <v>4110</v>
      </c>
      <c r="D238" s="45">
        <f>MROUND(MID($C238,6,3)/Basis!$E$3,0.5)</f>
        <v>14</v>
      </c>
      <c r="E238" s="45">
        <f>MROUND(MID($C238,9,3)/Basis!$E$3,0.5)</f>
        <v>86.5</v>
      </c>
      <c r="F238" s="237" t="str">
        <f t="shared" si="3"/>
        <v>05</v>
      </c>
      <c r="G238" s="45">
        <f>ROUND((ROUNDDOWN($F238/5,0)*5+2.2)/Basis!$E$3,1)</f>
        <v>2.8</v>
      </c>
      <c r="H238" s="120">
        <f>ROUND($P238*Basis!$E$2*((TaH-TrH)/LN(1/µ)/Basis!$E$7)^$N238*$AA$4*Glycol,0)</f>
        <v>2386</v>
      </c>
      <c r="I238" s="83">
        <f>ROUND(H238/(MID($C238,9,3)/Basis!$E$3/Basis!$E$9)*Basis!$E$11,0)</f>
        <v>331</v>
      </c>
      <c r="J238" s="123">
        <f>IF(Basis!$E$1=1,ROUND(H238/((TaH-TrH)*1.163)/3600,3),ROUND(H238/(500*(TaH-TrH)),2))</f>
        <v>0.24</v>
      </c>
      <c r="K238" s="84"/>
      <c r="L238" s="177">
        <f>CHOOSE(Basis!$E$1,((AJ238*(J238*3600/Basis!$E$5)^AK238*(((MID(C238,9,3)*10)-144)/1000)*AL238+AM238*(J238*3600/Basis!$E$5)^2)*0.0098)/Basis!$E$10,((AJ238*(J238/Basis!$E$5)^AK238*(((MID(C238,9,3)*10)-144)/1000)*AL238+AM238*(J238/Basis!$E$5)^2)*0.0098)/Basis!$E$10)</f>
        <v>2.047948868232824E-2</v>
      </c>
      <c r="M238" s="85"/>
      <c r="N238" s="185">
        <v>1.3919999999999999</v>
      </c>
      <c r="O238" s="186"/>
      <c r="P238" s="187">
        <v>1107</v>
      </c>
      <c r="AJ238" s="191">
        <v>9.3669999999999995E-4</v>
      </c>
      <c r="AK238" s="192">
        <v>1.789841</v>
      </c>
      <c r="AL238" s="193">
        <v>2</v>
      </c>
      <c r="AM238" s="191">
        <v>4.4559999999999999E-4</v>
      </c>
    </row>
    <row r="239" spans="1:39" ht="12.75" customHeight="1" x14ac:dyDescent="0.25">
      <c r="A239" s="72" t="s">
        <v>20</v>
      </c>
      <c r="B239" s="184" t="s">
        <v>3090</v>
      </c>
      <c r="C239" s="44" t="s">
        <v>4111</v>
      </c>
      <c r="D239" s="45">
        <f>MROUND(MID($C239,6,3)/Basis!$E$3,0.5)</f>
        <v>14</v>
      </c>
      <c r="E239" s="45">
        <f>MROUND(MID($C239,9,3)/Basis!$E$3,0.5)</f>
        <v>86.5</v>
      </c>
      <c r="F239" s="237" t="str">
        <f t="shared" si="3"/>
        <v>10</v>
      </c>
      <c r="G239" s="45">
        <f>ROUND((ROUNDDOWN($F239/5,0)*5+2.2)/Basis!$E$3,1)</f>
        <v>4.8</v>
      </c>
      <c r="H239" s="120">
        <f>ROUND($P239*Basis!$E$2*((TaH-TrH)/LN(1/µ)/Basis!$E$7)^$N239*$AA$4*Glycol,0)</f>
        <v>4247</v>
      </c>
      <c r="I239" s="83">
        <f>ROUND(H239/(MID($C239,9,3)/Basis!$E$3/Basis!$E$9)*Basis!$E$11,0)</f>
        <v>588</v>
      </c>
      <c r="J239" s="123">
        <f>IF(Basis!$E$1=1,ROUND(H239/((TaH-TrH)*1.163)/3600,3),ROUND(H239/(500*(TaH-TrH)),2))</f>
        <v>0.42</v>
      </c>
      <c r="K239" s="84"/>
      <c r="L239" s="177">
        <f>CHOOSE(Basis!$E$1,((AJ239*(J239*3600/Basis!$E$5)^AK239*(((MID(C239,9,3)*10)-144)/1000)*AL239+AM239*(J239*3600/Basis!$E$5)^2)*0.0098)/Basis!$E$10,((AJ239*(J239/Basis!$E$5)^AK239*(((MID(C239,9,3)*10)-144)/1000)*AL239+AM239*(J239/Basis!$E$5)^2)*0.0098)/Basis!$E$10)</f>
        <v>2.541457995757522E-2</v>
      </c>
      <c r="M239" s="85"/>
      <c r="N239" s="185">
        <v>1.399</v>
      </c>
      <c r="O239" s="186"/>
      <c r="P239" s="187">
        <v>1975</v>
      </c>
      <c r="AJ239" s="126">
        <v>3.9689999999999994E-4</v>
      </c>
      <c r="AK239" s="132">
        <v>1.7345999999999999</v>
      </c>
      <c r="AL239" s="129">
        <v>2</v>
      </c>
      <c r="AM239" s="126">
        <v>3.6734700000000002E-4</v>
      </c>
    </row>
    <row r="240" spans="1:39" ht="12.75" customHeight="1" x14ac:dyDescent="0.25">
      <c r="A240" s="72" t="s">
        <v>20</v>
      </c>
      <c r="B240" s="184" t="s">
        <v>3090</v>
      </c>
      <c r="C240" s="44" t="s">
        <v>4112</v>
      </c>
      <c r="D240" s="45">
        <f>MROUND(MID($C240,6,3)/Basis!$E$3,0.5)</f>
        <v>14</v>
      </c>
      <c r="E240" s="45">
        <f>MROUND(MID($C240,9,3)/Basis!$E$3,0.5)</f>
        <v>86.5</v>
      </c>
      <c r="F240" s="237" t="str">
        <f t="shared" si="3"/>
        <v>15</v>
      </c>
      <c r="G240" s="45">
        <f>ROUND((ROUNDDOWN($F240/5,0)*5+2.2)/Basis!$E$3,1)</f>
        <v>6.8</v>
      </c>
      <c r="H240" s="120">
        <f>ROUND($P240*Basis!$E$2*((TaH-TrH)/LN(1/µ)/Basis!$E$7)^$N240*$AA$4*Glycol,0)</f>
        <v>7139</v>
      </c>
      <c r="I240" s="83">
        <f>ROUND(H240/(MID($C240,9,3)/Basis!$E$3/Basis!$E$9)*Basis!$E$11,0)</f>
        <v>989</v>
      </c>
      <c r="J240" s="123">
        <f>IF(Basis!$E$1=1,ROUND(H240/((TaH-TrH)*1.163)/3600,3),ROUND(H240/(500*(TaH-TrH)),2))</f>
        <v>0.71</v>
      </c>
      <c r="K240" s="84"/>
      <c r="L240" s="177">
        <f>CHOOSE(Basis!$E$1,((AJ240*(J240*3600/Basis!$E$5)^AK240*(((MID(C240,9,3)*10)-144)/1000)*AL240+AM240*(J240*3600/Basis!$E$5)^2)*0.0098)/Basis!$E$10,((AJ240*(J240/Basis!$E$5)^AK240*(((MID(C240,9,3)*10)-144)/1000)*AL240+AM240*(J240/Basis!$E$5)^2)*0.0098)/Basis!$E$10)</f>
        <v>5.7174798459750119E-2</v>
      </c>
      <c r="M240" s="85"/>
      <c r="N240" s="185">
        <v>1.39</v>
      </c>
      <c r="O240" s="186"/>
      <c r="P240" s="187">
        <v>3310</v>
      </c>
      <c r="AJ240" s="125">
        <v>2.0829999999999999E-4</v>
      </c>
      <c r="AK240" s="131">
        <v>1.724</v>
      </c>
      <c r="AL240" s="128">
        <v>2</v>
      </c>
      <c r="AM240" s="125">
        <v>4.6182900000000003E-4</v>
      </c>
    </row>
    <row r="241" spans="1:39" ht="12.75" customHeight="1" x14ac:dyDescent="0.25">
      <c r="A241" s="72" t="s">
        <v>20</v>
      </c>
      <c r="B241" s="184" t="s">
        <v>3090</v>
      </c>
      <c r="C241" s="44" t="s">
        <v>4068</v>
      </c>
      <c r="D241" s="45">
        <f>MROUND(MID($C241,6,3)/Basis!$E$3,0.5)</f>
        <v>14</v>
      </c>
      <c r="E241" s="45">
        <f>MROUND(MID($C241,9,3)/Basis!$E$3,0.5)</f>
        <v>94.5</v>
      </c>
      <c r="F241" s="237" t="str">
        <f t="shared" si="3"/>
        <v>05</v>
      </c>
      <c r="G241" s="45">
        <f>ROUND((ROUNDDOWN($F241/5,0)*5+2.2)/Basis!$E$3,1)</f>
        <v>2.8</v>
      </c>
      <c r="H241" s="120">
        <f>ROUND($P241*Basis!$E$2*((TaH-TrH)/LN(1/µ)/Basis!$E$7)^$N241*$AA$4*Glycol,0)</f>
        <v>2601</v>
      </c>
      <c r="I241" s="83">
        <f>ROUND(H241/(MID($C241,9,3)/Basis!$E$3/Basis!$E$9)*Basis!$E$11,0)</f>
        <v>330</v>
      </c>
      <c r="J241" s="123">
        <f>IF(Basis!$E$1=1,ROUND(H241/((TaH-TrH)*1.163)/3600,3),ROUND(H241/(500*(TaH-TrH)),2))</f>
        <v>0.26</v>
      </c>
      <c r="K241" s="84"/>
      <c r="L241" s="177">
        <f>CHOOSE(Basis!$E$1,((AJ241*(J241*3600/Basis!$E$5)^AK241*(((MID(C241,9,3)*10)-144)/1000)*AL241+AM241*(J241*3600/Basis!$E$5)^2)*0.0098)/Basis!$E$10,((AJ241*(J241/Basis!$E$5)^AK241*(((MID(C241,9,3)*10)-144)/1000)*AL241+AM241*(J241/Basis!$E$5)^2)*0.0098)/Basis!$E$10)</f>
        <v>2.5531816468014255E-2</v>
      </c>
      <c r="M241" s="85"/>
      <c r="N241" s="185">
        <v>1.3919999999999999</v>
      </c>
      <c r="O241" s="186"/>
      <c r="P241" s="187">
        <v>1207</v>
      </c>
      <c r="AJ241" s="191">
        <v>9.3669999999999995E-4</v>
      </c>
      <c r="AK241" s="192">
        <v>1.789841</v>
      </c>
      <c r="AL241" s="193">
        <v>2</v>
      </c>
      <c r="AM241" s="191">
        <v>4.4559999999999999E-4</v>
      </c>
    </row>
    <row r="242" spans="1:39" ht="12.75" customHeight="1" x14ac:dyDescent="0.25">
      <c r="A242" s="72" t="s">
        <v>20</v>
      </c>
      <c r="B242" s="184" t="s">
        <v>3090</v>
      </c>
      <c r="C242" s="44" t="s">
        <v>4072</v>
      </c>
      <c r="D242" s="45">
        <f>MROUND(MID($C242,6,3)/Basis!$E$3,0.5)</f>
        <v>14</v>
      </c>
      <c r="E242" s="45">
        <f>MROUND(MID($C242,9,3)/Basis!$E$3,0.5)</f>
        <v>94.5</v>
      </c>
      <c r="F242" s="237" t="str">
        <f t="shared" si="3"/>
        <v>10</v>
      </c>
      <c r="G242" s="45">
        <f>ROUND((ROUNDDOWN($F242/5,0)*5+2.2)/Basis!$E$3,1)</f>
        <v>4.8</v>
      </c>
      <c r="H242" s="120">
        <f>ROUND($P242*Basis!$E$2*((TaH-TrH)/LN(1/µ)/Basis!$E$7)^$N242*$AA$4*Glycol,0)</f>
        <v>4634</v>
      </c>
      <c r="I242" s="83">
        <f>ROUND(H242/(MID($C242,9,3)/Basis!$E$3/Basis!$E$9)*Basis!$E$11,0)</f>
        <v>589</v>
      </c>
      <c r="J242" s="123">
        <f>IF(Basis!$E$1=1,ROUND(H242/((TaH-TrH)*1.163)/3600,3),ROUND(H242/(500*(TaH-TrH)),2))</f>
        <v>0.46</v>
      </c>
      <c r="K242" s="84"/>
      <c r="L242" s="177">
        <f>CHOOSE(Basis!$E$1,((AJ242*(J242*3600/Basis!$E$5)^AK242*(((MID(C242,9,3)*10)-144)/1000)*AL242+AM242*(J242*3600/Basis!$E$5)^2)*0.0098)/Basis!$E$10,((AJ242*(J242/Basis!$E$5)^AK242*(((MID(C242,9,3)*10)-144)/1000)*AL242+AM242*(J242/Basis!$E$5)^2)*0.0098)/Basis!$E$10)</f>
        <v>3.1721359756805269E-2</v>
      </c>
      <c r="M242" s="85"/>
      <c r="N242" s="185">
        <v>1.399</v>
      </c>
      <c r="O242" s="186"/>
      <c r="P242" s="187">
        <v>2155</v>
      </c>
      <c r="AJ242" s="126">
        <v>3.9689999999999994E-4</v>
      </c>
      <c r="AK242" s="132">
        <v>1.7345999999999999</v>
      </c>
      <c r="AL242" s="129">
        <v>2</v>
      </c>
      <c r="AM242" s="126">
        <v>3.6734700000000002E-4</v>
      </c>
    </row>
    <row r="243" spans="1:39" ht="12.75" customHeight="1" x14ac:dyDescent="0.25">
      <c r="A243" s="72" t="s">
        <v>20</v>
      </c>
      <c r="B243" s="184" t="s">
        <v>3090</v>
      </c>
      <c r="C243" s="44" t="s">
        <v>4078</v>
      </c>
      <c r="D243" s="45">
        <f>MROUND(MID($C243,6,3)/Basis!$E$3,0.5)</f>
        <v>14</v>
      </c>
      <c r="E243" s="45">
        <f>MROUND(MID($C243,9,3)/Basis!$E$3,0.5)</f>
        <v>94.5</v>
      </c>
      <c r="F243" s="237" t="str">
        <f t="shared" si="3"/>
        <v>15</v>
      </c>
      <c r="G243" s="45">
        <f>ROUND((ROUNDDOWN($F243/5,0)*5+2.2)/Basis!$E$3,1)</f>
        <v>6.8</v>
      </c>
      <c r="H243" s="120">
        <f>ROUND($P243*Basis!$E$2*((TaH-TrH)/LN(1/µ)/Basis!$E$7)^$N243*$AA$4*Glycol,0)</f>
        <v>7609</v>
      </c>
      <c r="I243" s="83">
        <f>ROUND(H243/(MID($C243,9,3)/Basis!$E$3/Basis!$E$9)*Basis!$E$11,0)</f>
        <v>966</v>
      </c>
      <c r="J243" s="123">
        <f>IF(Basis!$E$1=1,ROUND(H243/((TaH-TrH)*1.163)/3600,3),ROUND(H243/(500*(TaH-TrH)),2))</f>
        <v>0.76</v>
      </c>
      <c r="K243" s="84"/>
      <c r="L243" s="177">
        <f>CHOOSE(Basis!$E$1,((AJ243*(J243*3600/Basis!$E$5)^AK243*(((MID(C243,9,3)*10)-144)/1000)*AL243+AM243*(J243*3600/Basis!$E$5)^2)*0.0098)/Basis!$E$10,((AJ243*(J243/Basis!$E$5)^AK243*(((MID(C243,9,3)*10)-144)/1000)*AL243+AM243*(J243/Basis!$E$5)^2)*0.0098)/Basis!$E$10)</f>
        <v>6.7088122888031052E-2</v>
      </c>
      <c r="M243" s="85"/>
      <c r="N243" s="185">
        <v>1.39</v>
      </c>
      <c r="O243" s="186"/>
      <c r="P243" s="187">
        <v>3528</v>
      </c>
      <c r="AJ243" s="125">
        <v>2.0829999999999999E-4</v>
      </c>
      <c r="AK243" s="131">
        <v>1.724</v>
      </c>
      <c r="AL243" s="128">
        <v>2</v>
      </c>
      <c r="AM243" s="125">
        <v>4.6182900000000003E-4</v>
      </c>
    </row>
    <row r="244" spans="1:39" ht="12.75" customHeight="1" x14ac:dyDescent="0.25">
      <c r="A244" s="72" t="s">
        <v>20</v>
      </c>
      <c r="B244" s="184" t="s">
        <v>3090</v>
      </c>
      <c r="C244" s="44" t="s">
        <v>4113</v>
      </c>
      <c r="D244" s="45">
        <f>MROUND(MID($C244,6,3)/Basis!$E$3,0.5)</f>
        <v>14</v>
      </c>
      <c r="E244" s="45">
        <f>MROUND(MID($C244,9,3)/Basis!$E$3,0.5)</f>
        <v>102.5</v>
      </c>
      <c r="F244" s="237" t="str">
        <f t="shared" si="3"/>
        <v>05</v>
      </c>
      <c r="G244" s="45">
        <f>ROUND((ROUNDDOWN($F244/5,0)*5+2.2)/Basis!$E$3,1)</f>
        <v>2.8</v>
      </c>
      <c r="H244" s="120">
        <f>ROUND($P244*Basis!$E$2*((TaH-TrH)/LN(1/µ)/Basis!$E$7)^$N244*$AA$4*Glycol,0)</f>
        <v>2819</v>
      </c>
      <c r="I244" s="83">
        <f>ROUND(H244/(MID($C244,9,3)/Basis!$E$3/Basis!$E$9)*Basis!$E$11,0)</f>
        <v>330</v>
      </c>
      <c r="J244" s="123">
        <f>IF(Basis!$E$1=1,ROUND(H244/((TaH-TrH)*1.163)/3600,3),ROUND(H244/(500*(TaH-TrH)),2))</f>
        <v>0.28000000000000003</v>
      </c>
      <c r="K244" s="84"/>
      <c r="L244" s="177">
        <f>CHOOSE(Basis!$E$1,((AJ244*(J244*3600/Basis!$E$5)^AK244*(((MID(C244,9,3)*10)-144)/1000)*AL244+AM244*(J244*3600/Basis!$E$5)^2)*0.0098)/Basis!$E$10,((AJ244*(J244/Basis!$E$5)^AK244*(((MID(C244,9,3)*10)-144)/1000)*AL244+AM244*(J244/Basis!$E$5)^2)*0.0098)/Basis!$E$10)</f>
        <v>3.1314522796041272E-2</v>
      </c>
      <c r="M244" s="85"/>
      <c r="N244" s="185">
        <v>1.3919999999999999</v>
      </c>
      <c r="O244" s="186"/>
      <c r="P244" s="187">
        <v>1308</v>
      </c>
      <c r="AJ244" s="191">
        <v>9.3669999999999995E-4</v>
      </c>
      <c r="AK244" s="192">
        <v>1.789841</v>
      </c>
      <c r="AL244" s="193">
        <v>2</v>
      </c>
      <c r="AM244" s="191">
        <v>4.4559999999999999E-4</v>
      </c>
    </row>
    <row r="245" spans="1:39" ht="12.75" customHeight="1" x14ac:dyDescent="0.25">
      <c r="A245" s="72" t="s">
        <v>20</v>
      </c>
      <c r="B245" s="184" t="s">
        <v>3090</v>
      </c>
      <c r="C245" s="44" t="s">
        <v>4114</v>
      </c>
      <c r="D245" s="45">
        <f>MROUND(MID($C245,6,3)/Basis!$E$3,0.5)</f>
        <v>14</v>
      </c>
      <c r="E245" s="45">
        <f>MROUND(MID($C245,9,3)/Basis!$E$3,0.5)</f>
        <v>102.5</v>
      </c>
      <c r="F245" s="237" t="str">
        <f t="shared" si="3"/>
        <v>10</v>
      </c>
      <c r="G245" s="45">
        <f>ROUND((ROUNDDOWN($F245/5,0)*5+2.2)/Basis!$E$3,1)</f>
        <v>4.8</v>
      </c>
      <c r="H245" s="120">
        <f>ROUND($P245*Basis!$E$2*((TaH-TrH)/LN(1/µ)/Basis!$E$7)^$N245*$AA$4*Glycol,0)</f>
        <v>5019</v>
      </c>
      <c r="I245" s="83">
        <f>ROUND(H245/(MID($C245,9,3)/Basis!$E$3/Basis!$E$9)*Basis!$E$11,0)</f>
        <v>588</v>
      </c>
      <c r="J245" s="123">
        <f>IF(Basis!$E$1=1,ROUND(H245/((TaH-TrH)*1.163)/3600,3),ROUND(H245/(500*(TaH-TrH)),2))</f>
        <v>0.5</v>
      </c>
      <c r="K245" s="84"/>
      <c r="L245" s="177">
        <f>CHOOSE(Basis!$E$1,((AJ245*(J245*3600/Basis!$E$5)^AK245*(((MID(C245,9,3)*10)-144)/1000)*AL245+AM245*(J245*3600/Basis!$E$5)^2)*0.0098)/Basis!$E$10,((AJ245*(J245/Basis!$E$5)^AK245*(((MID(C245,9,3)*10)-144)/1000)*AL245+AM245*(J245/Basis!$E$5)^2)*0.0098)/Basis!$E$10)</f>
        <v>3.8903357716936413E-2</v>
      </c>
      <c r="M245" s="85"/>
      <c r="N245" s="185">
        <v>1.399</v>
      </c>
      <c r="O245" s="186"/>
      <c r="P245" s="187">
        <v>2334</v>
      </c>
      <c r="AJ245" s="126">
        <v>3.9689999999999994E-4</v>
      </c>
      <c r="AK245" s="132">
        <v>1.7345999999999999</v>
      </c>
      <c r="AL245" s="129">
        <v>2</v>
      </c>
      <c r="AM245" s="126">
        <v>3.6734700000000002E-4</v>
      </c>
    </row>
    <row r="246" spans="1:39" ht="12.75" customHeight="1" x14ac:dyDescent="0.25">
      <c r="A246" s="72" t="s">
        <v>20</v>
      </c>
      <c r="B246" s="184" t="s">
        <v>3090</v>
      </c>
      <c r="C246" s="44" t="s">
        <v>4115</v>
      </c>
      <c r="D246" s="45">
        <f>MROUND(MID($C246,6,3)/Basis!$E$3,0.5)</f>
        <v>14</v>
      </c>
      <c r="E246" s="45">
        <f>MROUND(MID($C246,9,3)/Basis!$E$3,0.5)</f>
        <v>102.5</v>
      </c>
      <c r="F246" s="237" t="str">
        <f t="shared" si="3"/>
        <v>15</v>
      </c>
      <c r="G246" s="45">
        <f>ROUND((ROUNDDOWN($F246/5,0)*5+2.2)/Basis!$E$3,1)</f>
        <v>6.8</v>
      </c>
      <c r="H246" s="120">
        <f>ROUND($P246*Basis!$E$2*((TaH-TrH)/LN(1/µ)/Basis!$E$7)^$N246*$AA$4*Glycol,0)</f>
        <v>8407</v>
      </c>
      <c r="I246" s="83">
        <f>ROUND(H246/(MID($C246,9,3)/Basis!$E$3/Basis!$E$9)*Basis!$E$11,0)</f>
        <v>986</v>
      </c>
      <c r="J246" s="123">
        <f>IF(Basis!$E$1=1,ROUND(H246/((TaH-TrH)*1.163)/3600,3),ROUND(H246/(500*(TaH-TrH)),2))</f>
        <v>0.84</v>
      </c>
      <c r="K246" s="84"/>
      <c r="L246" s="177">
        <f>CHOOSE(Basis!$E$1,((AJ246*(J246*3600/Basis!$E$5)^AK246*(((MID(C246,9,3)*10)-144)/1000)*AL246+AM246*(J246*3600/Basis!$E$5)^2)*0.0098)/Basis!$E$10,((AJ246*(J246/Basis!$E$5)^AK246*(((MID(C246,9,3)*10)-144)/1000)*AL246+AM246*(J246/Basis!$E$5)^2)*0.0098)/Basis!$E$10)</f>
        <v>8.3547575719411044E-2</v>
      </c>
      <c r="M246" s="85"/>
      <c r="N246" s="185">
        <v>1.39</v>
      </c>
      <c r="O246" s="186"/>
      <c r="P246" s="187">
        <v>3898</v>
      </c>
      <c r="AJ246" s="125">
        <v>2.0829999999999999E-4</v>
      </c>
      <c r="AK246" s="131">
        <v>1.724</v>
      </c>
      <c r="AL246" s="128">
        <v>2</v>
      </c>
      <c r="AM246" s="125">
        <v>4.6182900000000003E-4</v>
      </c>
    </row>
    <row r="247" spans="1:39" ht="12.75" customHeight="1" x14ac:dyDescent="0.25">
      <c r="A247" s="72" t="s">
        <v>20</v>
      </c>
      <c r="B247" s="184" t="s">
        <v>3090</v>
      </c>
      <c r="C247" s="44" t="s">
        <v>4069</v>
      </c>
      <c r="D247" s="45">
        <f>MROUND(MID($C247,6,3)/Basis!$E$3,0.5)</f>
        <v>14</v>
      </c>
      <c r="E247" s="45">
        <f>MROUND(MID($C247,9,3)/Basis!$E$3,0.5)</f>
        <v>110</v>
      </c>
      <c r="F247" s="237" t="str">
        <f t="shared" si="3"/>
        <v>05</v>
      </c>
      <c r="G247" s="45">
        <f>ROUND((ROUNDDOWN($F247/5,0)*5+2.2)/Basis!$E$3,1)</f>
        <v>2.8</v>
      </c>
      <c r="H247" s="120">
        <f>ROUND($P247*Basis!$E$2*((TaH-TrH)/LN(1/µ)/Basis!$E$7)^$N247*$AA$4*Glycol,0)</f>
        <v>3035</v>
      </c>
      <c r="I247" s="83">
        <f>ROUND(H247/(MID($C247,9,3)/Basis!$E$3/Basis!$E$9)*Basis!$E$11,0)</f>
        <v>330</v>
      </c>
      <c r="J247" s="123">
        <f>IF(Basis!$E$1=1,ROUND(H247/((TaH-TrH)*1.163)/3600,3),ROUND(H247/(500*(TaH-TrH)),2))</f>
        <v>0.3</v>
      </c>
      <c r="K247" s="84"/>
      <c r="L247" s="177">
        <f>CHOOSE(Basis!$E$1,((AJ247*(J247*3600/Basis!$E$5)^AK247*(((MID(C247,9,3)*10)-144)/1000)*AL247+AM247*(J247*3600/Basis!$E$5)^2)*0.0098)/Basis!$E$10,((AJ247*(J247/Basis!$E$5)^AK247*(((MID(C247,9,3)*10)-144)/1000)*AL247+AM247*(J247/Basis!$E$5)^2)*0.0098)/Basis!$E$10)</f>
        <v>3.7869995356242817E-2</v>
      </c>
      <c r="M247" s="85"/>
      <c r="N247" s="185">
        <v>1.3919999999999999</v>
      </c>
      <c r="O247" s="186"/>
      <c r="P247" s="187">
        <v>1408</v>
      </c>
      <c r="AJ247" s="191">
        <v>9.3669999999999995E-4</v>
      </c>
      <c r="AK247" s="192">
        <v>1.789841</v>
      </c>
      <c r="AL247" s="193">
        <v>2</v>
      </c>
      <c r="AM247" s="191">
        <v>4.4559999999999999E-4</v>
      </c>
    </row>
    <row r="248" spans="1:39" ht="12.75" customHeight="1" x14ac:dyDescent="0.25">
      <c r="A248" s="72" t="s">
        <v>20</v>
      </c>
      <c r="B248" s="184" t="s">
        <v>3090</v>
      </c>
      <c r="C248" s="44" t="s">
        <v>4073</v>
      </c>
      <c r="D248" s="45">
        <f>MROUND(MID($C248,6,3)/Basis!$E$3,0.5)</f>
        <v>14</v>
      </c>
      <c r="E248" s="45">
        <f>MROUND(MID($C248,9,3)/Basis!$E$3,0.5)</f>
        <v>110</v>
      </c>
      <c r="F248" s="237" t="str">
        <f t="shared" si="3"/>
        <v>10</v>
      </c>
      <c r="G248" s="45">
        <f>ROUND((ROUNDDOWN($F248/5,0)*5+2.2)/Basis!$E$3,1)</f>
        <v>4.8</v>
      </c>
      <c r="H248" s="120">
        <f>ROUND($P248*Basis!$E$2*((TaH-TrH)/LN(1/µ)/Basis!$E$7)^$N248*$AA$4*Glycol,0)</f>
        <v>5406</v>
      </c>
      <c r="I248" s="83">
        <f>ROUND(H248/(MID($C248,9,3)/Basis!$E$3/Basis!$E$9)*Basis!$E$11,0)</f>
        <v>588</v>
      </c>
      <c r="J248" s="123">
        <f>IF(Basis!$E$1=1,ROUND(H248/((TaH-TrH)*1.163)/3600,3),ROUND(H248/(500*(TaH-TrH)),2))</f>
        <v>0.54</v>
      </c>
      <c r="K248" s="84"/>
      <c r="L248" s="177">
        <f>CHOOSE(Basis!$E$1,((AJ248*(J248*3600/Basis!$E$5)^AK248*(((MID(C248,9,3)*10)-144)/1000)*AL248+AM248*(J248*3600/Basis!$E$5)^2)*0.0098)/Basis!$E$10,((AJ248*(J248/Basis!$E$5)^AK248*(((MID(C248,9,3)*10)-144)/1000)*AL248+AM248*(J248/Basis!$E$5)^2)*0.0098)/Basis!$E$10)</f>
        <v>4.7003645663797076E-2</v>
      </c>
      <c r="M248" s="85"/>
      <c r="N248" s="185">
        <v>1.399</v>
      </c>
      <c r="O248" s="186"/>
      <c r="P248" s="187">
        <v>2514</v>
      </c>
      <c r="AJ248" s="126">
        <v>3.9689999999999994E-4</v>
      </c>
      <c r="AK248" s="132">
        <v>1.7345999999999999</v>
      </c>
      <c r="AL248" s="129">
        <v>2</v>
      </c>
      <c r="AM248" s="126">
        <v>3.6734700000000002E-4</v>
      </c>
    </row>
    <row r="249" spans="1:39" ht="12.75" customHeight="1" x14ac:dyDescent="0.25">
      <c r="A249" s="72" t="s">
        <v>20</v>
      </c>
      <c r="B249" s="184" t="s">
        <v>3090</v>
      </c>
      <c r="C249" s="44" t="s">
        <v>4079</v>
      </c>
      <c r="D249" s="45">
        <f>MROUND(MID($C249,6,3)/Basis!$E$3,0.5)</f>
        <v>14</v>
      </c>
      <c r="E249" s="45">
        <f>MROUND(MID($C249,9,3)/Basis!$E$3,0.5)</f>
        <v>110</v>
      </c>
      <c r="F249" s="237" t="str">
        <f t="shared" si="3"/>
        <v>15</v>
      </c>
      <c r="G249" s="45">
        <f>ROUND((ROUNDDOWN($F249/5,0)*5+2.2)/Basis!$E$3,1)</f>
        <v>6.8</v>
      </c>
      <c r="H249" s="120">
        <f>ROUND($P249*Basis!$E$2*((TaH-TrH)/LN(1/µ)/Basis!$E$7)^$N249*$AA$4*Glycol,0)</f>
        <v>8877</v>
      </c>
      <c r="I249" s="83">
        <f>ROUND(H249/(MID($C249,9,3)/Basis!$E$3/Basis!$E$9)*Basis!$E$11,0)</f>
        <v>966</v>
      </c>
      <c r="J249" s="123">
        <f>IF(Basis!$E$1=1,ROUND(H249/((TaH-TrH)*1.163)/3600,3),ROUND(H249/(500*(TaH-TrH)),2))</f>
        <v>0.89</v>
      </c>
      <c r="K249" s="84"/>
      <c r="L249" s="177">
        <f>CHOOSE(Basis!$E$1,((AJ249*(J249*3600/Basis!$E$5)^AK249*(((MID(C249,9,3)*10)-144)/1000)*AL249+AM249*(J249*3600/Basis!$E$5)^2)*0.0098)/Basis!$E$10,((AJ249*(J249/Basis!$E$5)^AK249*(((MID(C249,9,3)*10)-144)/1000)*AL249+AM249*(J249/Basis!$E$5)^2)*0.0098)/Basis!$E$10)</f>
        <v>9.5853373585394003E-2</v>
      </c>
      <c r="M249" s="85"/>
      <c r="N249" s="185">
        <v>1.39</v>
      </c>
      <c r="O249" s="186"/>
      <c r="P249" s="187">
        <v>4116</v>
      </c>
      <c r="AJ249" s="125">
        <v>2.0829999999999999E-4</v>
      </c>
      <c r="AK249" s="131">
        <v>1.724</v>
      </c>
      <c r="AL249" s="128">
        <v>2</v>
      </c>
      <c r="AM249" s="125">
        <v>4.6182900000000003E-4</v>
      </c>
    </row>
    <row r="250" spans="1:39" ht="12.75" customHeight="1" x14ac:dyDescent="0.25">
      <c r="A250" s="72" t="s">
        <v>20</v>
      </c>
      <c r="B250" s="184" t="s">
        <v>3090</v>
      </c>
      <c r="C250" s="44" t="s">
        <v>3163</v>
      </c>
      <c r="D250" s="45">
        <f>MROUND(MID($C250,6,3)/Basis!$E$3,0.5)</f>
        <v>19.5</v>
      </c>
      <c r="E250" s="45">
        <f>MROUND(MID($C250,9,3)/Basis!$E$3,0.5)</f>
        <v>19.5</v>
      </c>
      <c r="F250" s="237" t="str">
        <f t="shared" si="3"/>
        <v>10</v>
      </c>
      <c r="G250" s="45">
        <f>ROUND((ROUNDDOWN($F250/5,0)*5+2.2)/Basis!$E$3,1)</f>
        <v>4.8</v>
      </c>
      <c r="H250" s="120">
        <f>ROUND($P250*Basis!$E$2*((TaH-TrH)/LN(1/µ)/Basis!$E$7)^$N250*$AA$4*Glycol,0)</f>
        <v>1162</v>
      </c>
      <c r="I250" s="83">
        <f>ROUND(H250/(MID($C250,9,3)/Basis!$E$3/Basis!$E$9)*Basis!$E$11,0)</f>
        <v>708</v>
      </c>
      <c r="J250" s="123">
        <f>IF(Basis!$E$1=1,ROUND(H250/((TaH-TrH)*1.163)/3600,3),ROUND(H250/(500*(TaH-TrH)),2))</f>
        <v>0.12</v>
      </c>
      <c r="K250" s="84"/>
      <c r="L250" s="177">
        <f>CHOOSE(Basis!$E$1,((AJ250*(J250*3600/Basis!$E$5)^AK250*(((MID(C250,9,3)*10)-144)/1000)*AL250+AM250*(J250*3600/Basis!$E$5)^2)*0.0098)/Basis!$E$10,((AJ250*(J250/Basis!$E$5)^AK250*(((MID(C250,9,3)*10)-144)/1000)*AL250+AM250*(J250/Basis!$E$5)^2)*0.0098)/Basis!$E$10)</f>
        <v>1.177724754177181E-3</v>
      </c>
      <c r="M250" s="85"/>
      <c r="N250" s="185">
        <v>1.385</v>
      </c>
      <c r="O250" s="186"/>
      <c r="P250" s="187">
        <v>538</v>
      </c>
      <c r="AJ250" s="126">
        <v>3.9689999999999994E-4</v>
      </c>
      <c r="AK250" s="132">
        <v>1.7345999999999999</v>
      </c>
      <c r="AL250" s="129">
        <v>2</v>
      </c>
      <c r="AM250" s="126">
        <v>3.6734700000000002E-4</v>
      </c>
    </row>
    <row r="251" spans="1:39" ht="12.75" customHeight="1" x14ac:dyDescent="0.25">
      <c r="A251" s="72" t="s">
        <v>20</v>
      </c>
      <c r="B251" s="184" t="s">
        <v>3090</v>
      </c>
      <c r="C251" s="44" t="s">
        <v>3175</v>
      </c>
      <c r="D251" s="45">
        <f>MROUND(MID($C251,6,3)/Basis!$E$3,0.5)</f>
        <v>19.5</v>
      </c>
      <c r="E251" s="45">
        <f>MROUND(MID($C251,9,3)/Basis!$E$3,0.5)</f>
        <v>19.5</v>
      </c>
      <c r="F251" s="237" t="str">
        <f t="shared" si="3"/>
        <v>15</v>
      </c>
      <c r="G251" s="45">
        <f>ROUND((ROUNDDOWN($F251/5,0)*5+2.2)/Basis!$E$3,1)</f>
        <v>6.8</v>
      </c>
      <c r="H251" s="120">
        <f>ROUND($P251*Basis!$E$2*((TaH-TrH)/LN(1/µ)/Basis!$E$7)^$N251*$AA$4*Glycol,0)</f>
        <v>1880</v>
      </c>
      <c r="I251" s="83">
        <f>ROUND(H251/(MID($C251,9,3)/Basis!$E$3/Basis!$E$9)*Basis!$E$11,0)</f>
        <v>1146</v>
      </c>
      <c r="J251" s="123">
        <f>IF(Basis!$E$1=1,ROUND(H251/((TaH-TrH)*1.163)/3600,3),ROUND(H251/(500*(TaH-TrH)),2))</f>
        <v>0.19</v>
      </c>
      <c r="K251" s="84"/>
      <c r="L251" s="177">
        <f>CHOOSE(Basis!$E$1,((AJ251*(J251*3600/Basis!$E$5)^AK251*(((MID(C251,9,3)*10)-144)/1000)*AL251+AM251*(J251*3600/Basis!$E$5)^2)*0.0098)/Basis!$E$10,((AJ251*(J251/Basis!$E$5)^AK251*(((MID(C251,9,3)*10)-144)/1000)*AL251+AM251*(J251/Basis!$E$5)^2)*0.0098)/Basis!$E$10)</f>
        <v>3.1315584148762171E-3</v>
      </c>
      <c r="M251" s="85"/>
      <c r="N251" s="185">
        <v>1.373</v>
      </c>
      <c r="O251" s="186"/>
      <c r="P251" s="187">
        <v>867</v>
      </c>
      <c r="AJ251" s="125">
        <v>2.0829999999999999E-4</v>
      </c>
      <c r="AK251" s="131">
        <v>1.724</v>
      </c>
      <c r="AL251" s="128">
        <v>2</v>
      </c>
      <c r="AM251" s="125">
        <v>4.6182900000000003E-4</v>
      </c>
    </row>
    <row r="252" spans="1:39" ht="12.75" customHeight="1" x14ac:dyDescent="0.25">
      <c r="A252" s="72" t="s">
        <v>20</v>
      </c>
      <c r="B252" s="184" t="s">
        <v>3090</v>
      </c>
      <c r="C252" s="44" t="s">
        <v>3187</v>
      </c>
      <c r="D252" s="45">
        <f>MROUND(MID($C252,6,3)/Basis!$E$3,0.5)</f>
        <v>19.5</v>
      </c>
      <c r="E252" s="45">
        <f>MROUND(MID($C252,9,3)/Basis!$E$3,0.5)</f>
        <v>19.5</v>
      </c>
      <c r="F252" s="237" t="str">
        <f t="shared" si="3"/>
        <v>20</v>
      </c>
      <c r="G252" s="45">
        <f>ROUND((ROUNDDOWN($F252/5,0)*5+2.2)/Basis!$E$3,1)</f>
        <v>8.6999999999999993</v>
      </c>
      <c r="H252" s="120">
        <f>ROUND($P252*Basis!$E$2*((TaH-TrH)/LN(1/µ)/Basis!$E$7)^$N252*$AA$4*Glycol,0)</f>
        <v>2631</v>
      </c>
      <c r="I252" s="83">
        <f>ROUND(H252/(MID($C252,9,3)/Basis!$E$3/Basis!$E$9)*Basis!$E$11,0)</f>
        <v>1604</v>
      </c>
      <c r="J252" s="123">
        <f>IF(Basis!$E$1=1,ROUND(H252/((TaH-TrH)*1.163)/3600,3),ROUND(H252/(500*(TaH-TrH)),2))</f>
        <v>0.26</v>
      </c>
      <c r="K252" s="84"/>
      <c r="L252" s="177">
        <f>CHOOSE(Basis!$E$1,((AJ252*(J252*3600/Basis!$E$5)^AK252*(((MID(C252,9,3)*10)-144)/1000)*AL252+AM252*(J252*3600/Basis!$E$5)^2)*0.0098)/Basis!$E$10,((AJ252*(J252/Basis!$E$5)^AK252*(((MID(C252,9,3)*10)-144)/1000)*AL252+AM252*(J252/Basis!$E$5)^2)*0.0098)/Basis!$E$10)</f>
        <v>4.6273795118290505E-3</v>
      </c>
      <c r="M252" s="85"/>
      <c r="N252" s="185">
        <v>1.373</v>
      </c>
      <c r="O252" s="186"/>
      <c r="P252" s="187">
        <v>1213</v>
      </c>
      <c r="AJ252" s="126">
        <v>1.2760000000000001E-4</v>
      </c>
      <c r="AK252" s="132">
        <v>1.7219</v>
      </c>
      <c r="AL252" s="129">
        <v>2</v>
      </c>
      <c r="AM252" s="126">
        <v>3.76611E-4</v>
      </c>
    </row>
    <row r="253" spans="1:39" ht="12.75" customHeight="1" x14ac:dyDescent="0.25">
      <c r="A253" s="72" t="s">
        <v>20</v>
      </c>
      <c r="B253" s="184" t="s">
        <v>3090</v>
      </c>
      <c r="C253" s="44" t="s">
        <v>3164</v>
      </c>
      <c r="D253" s="45">
        <f>MROUND(MID($C253,6,3)/Basis!$E$3,0.5)</f>
        <v>19.5</v>
      </c>
      <c r="E253" s="45">
        <f>MROUND(MID($C253,9,3)/Basis!$E$3,0.5)</f>
        <v>23.5</v>
      </c>
      <c r="F253" s="237" t="str">
        <f t="shared" si="3"/>
        <v>10</v>
      </c>
      <c r="G253" s="45">
        <f>ROUND((ROUNDDOWN($F253/5,0)*5+2.2)/Basis!$E$3,1)</f>
        <v>4.8</v>
      </c>
      <c r="H253" s="120">
        <f>ROUND($P253*Basis!$E$2*((TaH-TrH)/LN(1/µ)/Basis!$E$7)^$N253*$AA$4*Glycol,0)</f>
        <v>1396</v>
      </c>
      <c r="I253" s="83">
        <f>ROUND(H253/(MID($C253,9,3)/Basis!$E$3/Basis!$E$9)*Basis!$E$11,0)</f>
        <v>709</v>
      </c>
      <c r="J253" s="123">
        <f>IF(Basis!$E$1=1,ROUND(H253/((TaH-TrH)*1.163)/3600,3),ROUND(H253/(500*(TaH-TrH)),2))</f>
        <v>0.14000000000000001</v>
      </c>
      <c r="K253" s="84"/>
      <c r="L253" s="177">
        <f>CHOOSE(Basis!$E$1,((AJ253*(J253*3600/Basis!$E$5)^AK253*(((MID(C253,9,3)*10)-144)/1000)*AL253+AM253*(J253*3600/Basis!$E$5)^2)*0.0098)/Basis!$E$10,((AJ253*(J253/Basis!$E$5)^AK253*(((MID(C253,9,3)*10)-144)/1000)*AL253+AM253*(J253/Basis!$E$5)^2)*0.0098)/Basis!$E$10)</f>
        <v>1.6922160915461598E-3</v>
      </c>
      <c r="M253" s="85"/>
      <c r="N253" s="185">
        <v>1.385</v>
      </c>
      <c r="O253" s="186"/>
      <c r="P253" s="187">
        <v>646</v>
      </c>
      <c r="AJ253" s="126">
        <v>3.9689999999999994E-4</v>
      </c>
      <c r="AK253" s="132">
        <v>1.7345999999999999</v>
      </c>
      <c r="AL253" s="129">
        <v>2</v>
      </c>
      <c r="AM253" s="126">
        <v>3.6734700000000002E-4</v>
      </c>
    </row>
    <row r="254" spans="1:39" ht="12.75" customHeight="1" x14ac:dyDescent="0.25">
      <c r="A254" s="72" t="s">
        <v>20</v>
      </c>
      <c r="B254" s="184" t="s">
        <v>3090</v>
      </c>
      <c r="C254" s="44" t="s">
        <v>3176</v>
      </c>
      <c r="D254" s="45">
        <f>MROUND(MID($C254,6,3)/Basis!$E$3,0.5)</f>
        <v>19.5</v>
      </c>
      <c r="E254" s="45">
        <f>MROUND(MID($C254,9,3)/Basis!$E$3,0.5)</f>
        <v>23.5</v>
      </c>
      <c r="F254" s="237" t="str">
        <f t="shared" si="3"/>
        <v>15</v>
      </c>
      <c r="G254" s="45">
        <f>ROUND((ROUNDDOWN($F254/5,0)*5+2.2)/Basis!$E$3,1)</f>
        <v>6.8</v>
      </c>
      <c r="H254" s="120">
        <f>ROUND($P254*Basis!$E$2*((TaH-TrH)/LN(1/µ)/Basis!$E$7)^$N254*$AA$4*Glycol,0)</f>
        <v>2256</v>
      </c>
      <c r="I254" s="83">
        <f>ROUND(H254/(MID($C254,9,3)/Basis!$E$3/Basis!$E$9)*Basis!$E$11,0)</f>
        <v>1146</v>
      </c>
      <c r="J254" s="123">
        <f>IF(Basis!$E$1=1,ROUND(H254/((TaH-TrH)*1.163)/3600,3),ROUND(H254/(500*(TaH-TrH)),2))</f>
        <v>0.23</v>
      </c>
      <c r="K254" s="84"/>
      <c r="L254" s="177">
        <f>CHOOSE(Basis!$E$1,((AJ254*(J254*3600/Basis!$E$5)^AK254*(((MID(C254,9,3)*10)-144)/1000)*AL254+AM254*(J254*3600/Basis!$E$5)^2)*0.0098)/Basis!$E$10,((AJ254*(J254/Basis!$E$5)^AK254*(((MID(C254,9,3)*10)-144)/1000)*AL254+AM254*(J254/Basis!$E$5)^2)*0.0098)/Basis!$E$10)</f>
        <v>4.6896095866809625E-3</v>
      </c>
      <c r="M254" s="85"/>
      <c r="N254" s="185">
        <v>1.373</v>
      </c>
      <c r="O254" s="186"/>
      <c r="P254" s="187">
        <v>1040</v>
      </c>
      <c r="AJ254" s="125">
        <v>2.0829999999999999E-4</v>
      </c>
      <c r="AK254" s="131">
        <v>1.724</v>
      </c>
      <c r="AL254" s="128">
        <v>2</v>
      </c>
      <c r="AM254" s="125">
        <v>4.6182900000000003E-4</v>
      </c>
    </row>
    <row r="255" spans="1:39" ht="12.75" customHeight="1" x14ac:dyDescent="0.25">
      <c r="A255" s="72" t="s">
        <v>20</v>
      </c>
      <c r="B255" s="184" t="s">
        <v>3090</v>
      </c>
      <c r="C255" s="44" t="s">
        <v>3188</v>
      </c>
      <c r="D255" s="45">
        <f>MROUND(MID($C255,6,3)/Basis!$E$3,0.5)</f>
        <v>19.5</v>
      </c>
      <c r="E255" s="45">
        <f>MROUND(MID($C255,9,3)/Basis!$E$3,0.5)</f>
        <v>23.5</v>
      </c>
      <c r="F255" s="237" t="str">
        <f t="shared" si="3"/>
        <v>20</v>
      </c>
      <c r="G255" s="45">
        <f>ROUND((ROUNDDOWN($F255/5,0)*5+2.2)/Basis!$E$3,1)</f>
        <v>8.6999999999999993</v>
      </c>
      <c r="H255" s="120">
        <f>ROUND($P255*Basis!$E$2*((TaH-TrH)/LN(1/µ)/Basis!$E$7)^$N255*$AA$4*Glycol,0)</f>
        <v>3156</v>
      </c>
      <c r="I255" s="83">
        <f>ROUND(H255/(MID($C255,9,3)/Basis!$E$3/Basis!$E$9)*Basis!$E$11,0)</f>
        <v>1603</v>
      </c>
      <c r="J255" s="123">
        <f>IF(Basis!$E$1=1,ROUND(H255/((TaH-TrH)*1.163)/3600,3),ROUND(H255/(500*(TaH-TrH)),2))</f>
        <v>0.32</v>
      </c>
      <c r="K255" s="84"/>
      <c r="L255" s="177">
        <f>CHOOSE(Basis!$E$1,((AJ255*(J255*3600/Basis!$E$5)^AK255*(((MID(C255,9,3)*10)-144)/1000)*AL255+AM255*(J255*3600/Basis!$E$5)^2)*0.0098)/Basis!$E$10,((AJ255*(J255/Basis!$E$5)^AK255*(((MID(C255,9,3)*10)-144)/1000)*AL255+AM255*(J255/Basis!$E$5)^2)*0.0098)/Basis!$E$10)</f>
        <v>7.1150325886397423E-3</v>
      </c>
      <c r="M255" s="85"/>
      <c r="N255" s="185">
        <v>1.373</v>
      </c>
      <c r="O255" s="186"/>
      <c r="P255" s="187">
        <v>1455</v>
      </c>
      <c r="AJ255" s="126">
        <v>1.2760000000000001E-4</v>
      </c>
      <c r="AK255" s="132">
        <v>1.7219</v>
      </c>
      <c r="AL255" s="129">
        <v>2</v>
      </c>
      <c r="AM255" s="126">
        <v>3.76611E-4</v>
      </c>
    </row>
    <row r="256" spans="1:39" ht="12.75" customHeight="1" x14ac:dyDescent="0.25">
      <c r="A256" s="72" t="s">
        <v>20</v>
      </c>
      <c r="B256" s="184" t="s">
        <v>3090</v>
      </c>
      <c r="C256" s="44" t="s">
        <v>3165</v>
      </c>
      <c r="D256" s="45">
        <f>MROUND(MID($C256,6,3)/Basis!$E$3,0.5)</f>
        <v>19.5</v>
      </c>
      <c r="E256" s="45">
        <f>MROUND(MID($C256,9,3)/Basis!$E$3,0.5)</f>
        <v>27.5</v>
      </c>
      <c r="F256" s="237" t="str">
        <f t="shared" si="3"/>
        <v>10</v>
      </c>
      <c r="G256" s="45">
        <f>ROUND((ROUNDDOWN($F256/5,0)*5+2.2)/Basis!$E$3,1)</f>
        <v>4.8</v>
      </c>
      <c r="H256" s="120">
        <f>ROUND($P256*Basis!$E$2*((TaH-TrH)/LN(1/µ)/Basis!$E$7)^$N256*$AA$4*Glycol,0)</f>
        <v>1627</v>
      </c>
      <c r="I256" s="83">
        <f>ROUND(H256/(MID($C256,9,3)/Basis!$E$3/Basis!$E$9)*Basis!$E$11,0)</f>
        <v>708</v>
      </c>
      <c r="J256" s="123">
        <f>IF(Basis!$E$1=1,ROUND(H256/((TaH-TrH)*1.163)/3600,3),ROUND(H256/(500*(TaH-TrH)),2))</f>
        <v>0.16</v>
      </c>
      <c r="K256" s="84"/>
      <c r="L256" s="177">
        <f>CHOOSE(Basis!$E$1,((AJ256*(J256*3600/Basis!$E$5)^AK256*(((MID(C256,9,3)*10)-144)/1000)*AL256+AM256*(J256*3600/Basis!$E$5)^2)*0.0098)/Basis!$E$10,((AJ256*(J256/Basis!$E$5)^AK256*(((MID(C256,9,3)*10)-144)/1000)*AL256+AM256*(J256/Basis!$E$5)^2)*0.0098)/Basis!$E$10)</f>
        <v>2.3206016653743865E-3</v>
      </c>
      <c r="M256" s="85"/>
      <c r="N256" s="185">
        <v>1.385</v>
      </c>
      <c r="O256" s="186"/>
      <c r="P256" s="187">
        <v>753</v>
      </c>
      <c r="AJ256" s="126">
        <v>3.9689999999999994E-4</v>
      </c>
      <c r="AK256" s="132">
        <v>1.7345999999999999</v>
      </c>
      <c r="AL256" s="129">
        <v>2</v>
      </c>
      <c r="AM256" s="126">
        <v>3.6734700000000002E-4</v>
      </c>
    </row>
    <row r="257" spans="1:39" ht="12.75" customHeight="1" x14ac:dyDescent="0.25">
      <c r="A257" s="72" t="s">
        <v>20</v>
      </c>
      <c r="B257" s="184" t="s">
        <v>3090</v>
      </c>
      <c r="C257" s="44" t="s">
        <v>3177</v>
      </c>
      <c r="D257" s="45">
        <f>MROUND(MID($C257,6,3)/Basis!$E$3,0.5)</f>
        <v>19.5</v>
      </c>
      <c r="E257" s="45">
        <f>MROUND(MID($C257,9,3)/Basis!$E$3,0.5)</f>
        <v>27.5</v>
      </c>
      <c r="F257" s="237" t="str">
        <f t="shared" si="3"/>
        <v>15</v>
      </c>
      <c r="G257" s="45">
        <f>ROUND((ROUNDDOWN($F257/5,0)*5+2.2)/Basis!$E$3,1)</f>
        <v>6.8</v>
      </c>
      <c r="H257" s="120">
        <f>ROUND($P257*Basis!$E$2*((TaH-TrH)/LN(1/µ)/Basis!$E$7)^$N257*$AA$4*Glycol,0)</f>
        <v>2633</v>
      </c>
      <c r="I257" s="83">
        <f>ROUND(H257/(MID($C257,9,3)/Basis!$E$3/Basis!$E$9)*Basis!$E$11,0)</f>
        <v>1146</v>
      </c>
      <c r="J257" s="123">
        <f>IF(Basis!$E$1=1,ROUND(H257/((TaH-TrH)*1.163)/3600,3),ROUND(H257/(500*(TaH-TrH)),2))</f>
        <v>0.26</v>
      </c>
      <c r="K257" s="84"/>
      <c r="L257" s="177">
        <f>CHOOSE(Basis!$E$1,((AJ257*(J257*3600/Basis!$E$5)^AK257*(((MID(C257,9,3)*10)-144)/1000)*AL257+AM257*(J257*3600/Basis!$E$5)^2)*0.0098)/Basis!$E$10,((AJ257*(J257/Basis!$E$5)^AK257*(((MID(C257,9,3)*10)-144)/1000)*AL257+AM257*(J257/Basis!$E$5)^2)*0.0098)/Basis!$E$10)</f>
        <v>6.122699488726722E-3</v>
      </c>
      <c r="M257" s="85"/>
      <c r="N257" s="185">
        <v>1.373</v>
      </c>
      <c r="O257" s="186"/>
      <c r="P257" s="187">
        <v>1214</v>
      </c>
      <c r="AJ257" s="125">
        <v>2.0829999999999999E-4</v>
      </c>
      <c r="AK257" s="131">
        <v>1.724</v>
      </c>
      <c r="AL257" s="128">
        <v>2</v>
      </c>
      <c r="AM257" s="125">
        <v>4.6182900000000003E-4</v>
      </c>
    </row>
    <row r="258" spans="1:39" ht="12.75" customHeight="1" x14ac:dyDescent="0.25">
      <c r="A258" s="72" t="s">
        <v>20</v>
      </c>
      <c r="B258" s="184" t="s">
        <v>3090</v>
      </c>
      <c r="C258" s="44" t="s">
        <v>3189</v>
      </c>
      <c r="D258" s="45">
        <f>MROUND(MID($C258,6,3)/Basis!$E$3,0.5)</f>
        <v>19.5</v>
      </c>
      <c r="E258" s="45">
        <f>MROUND(MID($C258,9,3)/Basis!$E$3,0.5)</f>
        <v>27.5</v>
      </c>
      <c r="F258" s="237" t="str">
        <f t="shared" si="3"/>
        <v>20</v>
      </c>
      <c r="G258" s="45">
        <f>ROUND((ROUNDDOWN($F258/5,0)*5+2.2)/Basis!$E$3,1)</f>
        <v>8.6999999999999993</v>
      </c>
      <c r="H258" s="120">
        <f>ROUND($P258*Basis!$E$2*((TaH-TrH)/LN(1/µ)/Basis!$E$7)^$N258*$AA$4*Glycol,0)</f>
        <v>3683</v>
      </c>
      <c r="I258" s="83">
        <f>ROUND(H258/(MID($C258,9,3)/Basis!$E$3/Basis!$E$9)*Basis!$E$11,0)</f>
        <v>1604</v>
      </c>
      <c r="J258" s="123">
        <f>IF(Basis!$E$1=1,ROUND(H258/((TaH-TrH)*1.163)/3600,3),ROUND(H258/(500*(TaH-TrH)),2))</f>
        <v>0.37</v>
      </c>
      <c r="K258" s="84"/>
      <c r="L258" s="177">
        <f>CHOOSE(Basis!$E$1,((AJ258*(J258*3600/Basis!$E$5)^AK258*(((MID(C258,9,3)*10)-144)/1000)*AL258+AM258*(J258*3600/Basis!$E$5)^2)*0.0098)/Basis!$E$10,((AJ258*(J258/Basis!$E$5)^AK258*(((MID(C258,9,3)*10)-144)/1000)*AL258+AM258*(J258/Basis!$E$5)^2)*0.0098)/Basis!$E$10)</f>
        <v>9.6517445856657263E-3</v>
      </c>
      <c r="M258" s="85"/>
      <c r="N258" s="185">
        <v>1.373</v>
      </c>
      <c r="O258" s="186"/>
      <c r="P258" s="187">
        <v>1698</v>
      </c>
      <c r="AJ258" s="126">
        <v>1.2760000000000001E-4</v>
      </c>
      <c r="AK258" s="132">
        <v>1.7219</v>
      </c>
      <c r="AL258" s="129">
        <v>2</v>
      </c>
      <c r="AM258" s="126">
        <v>3.76611E-4</v>
      </c>
    </row>
    <row r="259" spans="1:39" ht="12.75" customHeight="1" x14ac:dyDescent="0.25">
      <c r="A259" s="72" t="s">
        <v>20</v>
      </c>
      <c r="B259" s="184" t="s">
        <v>3090</v>
      </c>
      <c r="C259" s="44" t="s">
        <v>3166</v>
      </c>
      <c r="D259" s="45">
        <f>MROUND(MID($C259,6,3)/Basis!$E$3,0.5)</f>
        <v>19.5</v>
      </c>
      <c r="E259" s="45">
        <f>MROUND(MID($C259,9,3)/Basis!$E$3,0.5)</f>
        <v>31.5</v>
      </c>
      <c r="F259" s="237" t="str">
        <f t="shared" si="3"/>
        <v>10</v>
      </c>
      <c r="G259" s="45">
        <f>ROUND((ROUNDDOWN($F259/5,0)*5+2.2)/Basis!$E$3,1)</f>
        <v>4.8</v>
      </c>
      <c r="H259" s="120">
        <f>ROUND($P259*Basis!$E$2*((TaH-TrH)/LN(1/µ)/Basis!$E$7)^$N259*$AA$4*Glycol,0)</f>
        <v>1860</v>
      </c>
      <c r="I259" s="83">
        <f>ROUND(H259/(MID($C259,9,3)/Basis!$E$3/Basis!$E$9)*Basis!$E$11,0)</f>
        <v>709</v>
      </c>
      <c r="J259" s="123">
        <f>IF(Basis!$E$1=1,ROUND(H259/((TaH-TrH)*1.163)/3600,3),ROUND(H259/(500*(TaH-TrH)),2))</f>
        <v>0.19</v>
      </c>
      <c r="K259" s="84"/>
      <c r="L259" s="177">
        <f>CHOOSE(Basis!$E$1,((AJ259*(J259*3600/Basis!$E$5)^AK259*(((MID(C259,9,3)*10)-144)/1000)*AL259+AM259*(J259*3600/Basis!$E$5)^2)*0.0098)/Basis!$E$10,((AJ259*(J259/Basis!$E$5)^AK259*(((MID(C259,9,3)*10)-144)/1000)*AL259+AM259*(J259/Basis!$E$5)^2)*0.0098)/Basis!$E$10)</f>
        <v>3.404198837016622E-3</v>
      </c>
      <c r="M259" s="85"/>
      <c r="N259" s="185">
        <v>1.385</v>
      </c>
      <c r="O259" s="186"/>
      <c r="P259" s="187">
        <v>861</v>
      </c>
      <c r="AJ259" s="126">
        <v>3.9689999999999994E-4</v>
      </c>
      <c r="AK259" s="132">
        <v>1.7345999999999999</v>
      </c>
      <c r="AL259" s="129">
        <v>2</v>
      </c>
      <c r="AM259" s="126">
        <v>3.6734700000000002E-4</v>
      </c>
    </row>
    <row r="260" spans="1:39" ht="12.75" customHeight="1" x14ac:dyDescent="0.25">
      <c r="A260" s="72" t="s">
        <v>20</v>
      </c>
      <c r="B260" s="184" t="s">
        <v>3090</v>
      </c>
      <c r="C260" s="44" t="s">
        <v>3178</v>
      </c>
      <c r="D260" s="45">
        <f>MROUND(MID($C260,6,3)/Basis!$E$3,0.5)</f>
        <v>19.5</v>
      </c>
      <c r="E260" s="45">
        <f>MROUND(MID($C260,9,3)/Basis!$E$3,0.5)</f>
        <v>31.5</v>
      </c>
      <c r="F260" s="237" t="str">
        <f t="shared" si="3"/>
        <v>15</v>
      </c>
      <c r="G260" s="45">
        <f>ROUND((ROUNDDOWN($F260/5,0)*5+2.2)/Basis!$E$3,1)</f>
        <v>6.8</v>
      </c>
      <c r="H260" s="120">
        <f>ROUND($P260*Basis!$E$2*((TaH-TrH)/LN(1/µ)/Basis!$E$7)^$N260*$AA$4*Glycol,0)</f>
        <v>3008</v>
      </c>
      <c r="I260" s="83">
        <f>ROUND(H260/(MID($C260,9,3)/Basis!$E$3/Basis!$E$9)*Basis!$E$11,0)</f>
        <v>1146</v>
      </c>
      <c r="J260" s="123">
        <f>IF(Basis!$E$1=1,ROUND(H260/((TaH-TrH)*1.163)/3600,3),ROUND(H260/(500*(TaH-TrH)),2))</f>
        <v>0.3</v>
      </c>
      <c r="K260" s="84"/>
      <c r="L260" s="177">
        <f>CHOOSE(Basis!$E$1,((AJ260*(J260*3600/Basis!$E$5)^AK260*(((MID(C260,9,3)*10)-144)/1000)*AL260+AM260*(J260*3600/Basis!$E$5)^2)*0.0098)/Basis!$E$10,((AJ260*(J260/Basis!$E$5)^AK260*(((MID(C260,9,3)*10)-144)/1000)*AL260+AM260*(J260/Basis!$E$5)^2)*0.0098)/Basis!$E$10)</f>
        <v>8.304580842692727E-3</v>
      </c>
      <c r="M260" s="85"/>
      <c r="N260" s="185">
        <v>1.373</v>
      </c>
      <c r="O260" s="186"/>
      <c r="P260" s="187">
        <v>1387</v>
      </c>
      <c r="AJ260" s="125">
        <v>2.0829999999999999E-4</v>
      </c>
      <c r="AK260" s="131">
        <v>1.724</v>
      </c>
      <c r="AL260" s="128">
        <v>2</v>
      </c>
      <c r="AM260" s="125">
        <v>4.6182900000000003E-4</v>
      </c>
    </row>
    <row r="261" spans="1:39" ht="12.75" customHeight="1" x14ac:dyDescent="0.25">
      <c r="A261" s="72" t="s">
        <v>20</v>
      </c>
      <c r="B261" s="184" t="s">
        <v>3090</v>
      </c>
      <c r="C261" s="44" t="s">
        <v>3190</v>
      </c>
      <c r="D261" s="45">
        <f>MROUND(MID($C261,6,3)/Basis!$E$3,0.5)</f>
        <v>19.5</v>
      </c>
      <c r="E261" s="45">
        <f>MROUND(MID($C261,9,3)/Basis!$E$3,0.5)</f>
        <v>31.5</v>
      </c>
      <c r="F261" s="237" t="str">
        <f t="shared" si="3"/>
        <v>20</v>
      </c>
      <c r="G261" s="45">
        <f>ROUND((ROUNDDOWN($F261/5,0)*5+2.2)/Basis!$E$3,1)</f>
        <v>8.6999999999999993</v>
      </c>
      <c r="H261" s="120">
        <f>ROUND($P261*Basis!$E$2*((TaH-TrH)/LN(1/µ)/Basis!$E$7)^$N261*$AA$4*Glycol,0)</f>
        <v>4208</v>
      </c>
      <c r="I261" s="83">
        <f>ROUND(H261/(MID($C261,9,3)/Basis!$E$3/Basis!$E$9)*Basis!$E$11,0)</f>
        <v>1603</v>
      </c>
      <c r="J261" s="123">
        <f>IF(Basis!$E$1=1,ROUND(H261/((TaH-TrH)*1.163)/3600,3),ROUND(H261/(500*(TaH-TrH)),2))</f>
        <v>0.42</v>
      </c>
      <c r="K261" s="84"/>
      <c r="L261" s="177">
        <f>CHOOSE(Basis!$E$1,((AJ261*(J261*3600/Basis!$E$5)^AK261*(((MID(C261,9,3)*10)-144)/1000)*AL261+AM261*(J261*3600/Basis!$E$5)^2)*0.0098)/Basis!$E$10,((AJ261*(J261/Basis!$E$5)^AK261*(((MID(C261,9,3)*10)-144)/1000)*AL261+AM261*(J261/Basis!$E$5)^2)*0.0098)/Basis!$E$10)</f>
        <v>1.2607694752682985E-2</v>
      </c>
      <c r="M261" s="85"/>
      <c r="N261" s="185">
        <v>1.373</v>
      </c>
      <c r="O261" s="186"/>
      <c r="P261" s="187">
        <v>1940</v>
      </c>
      <c r="AJ261" s="126">
        <v>1.2760000000000001E-4</v>
      </c>
      <c r="AK261" s="132">
        <v>1.7219</v>
      </c>
      <c r="AL261" s="129">
        <v>2</v>
      </c>
      <c r="AM261" s="126">
        <v>3.76611E-4</v>
      </c>
    </row>
    <row r="262" spans="1:39" ht="12.75" customHeight="1" x14ac:dyDescent="0.25">
      <c r="A262" s="72" t="s">
        <v>20</v>
      </c>
      <c r="B262" s="184" t="s">
        <v>3090</v>
      </c>
      <c r="C262" s="44" t="s">
        <v>3167</v>
      </c>
      <c r="D262" s="45">
        <f>MROUND(MID($C262,6,3)/Basis!$E$3,0.5)</f>
        <v>19.5</v>
      </c>
      <c r="E262" s="45">
        <f>MROUND(MID($C262,9,3)/Basis!$E$3,0.5)</f>
        <v>35.5</v>
      </c>
      <c r="F262" s="237" t="str">
        <f t="shared" si="3"/>
        <v>10</v>
      </c>
      <c r="G262" s="45">
        <f>ROUND((ROUNDDOWN($F262/5,0)*5+2.2)/Basis!$E$3,1)</f>
        <v>4.8</v>
      </c>
      <c r="H262" s="120">
        <f>ROUND($P262*Basis!$E$2*((TaH-TrH)/LN(1/µ)/Basis!$E$7)^$N262*$AA$4*Glycol,0)</f>
        <v>2091</v>
      </c>
      <c r="I262" s="83">
        <f>ROUND(H262/(MID($C262,9,3)/Basis!$E$3/Basis!$E$9)*Basis!$E$11,0)</f>
        <v>708</v>
      </c>
      <c r="J262" s="123">
        <f>IF(Basis!$E$1=1,ROUND(H262/((TaH-TrH)*1.163)/3600,3),ROUND(H262/(500*(TaH-TrH)),2))</f>
        <v>0.21</v>
      </c>
      <c r="K262" s="84"/>
      <c r="L262" s="177">
        <f>CHOOSE(Basis!$E$1,((AJ262*(J262*3600/Basis!$E$5)^AK262*(((MID(C262,9,3)*10)-144)/1000)*AL262+AM262*(J262*3600/Basis!$E$5)^2)*0.0098)/Basis!$E$10,((AJ262*(J262/Basis!$E$5)^AK262*(((MID(C262,9,3)*10)-144)/1000)*AL262+AM262*(J262/Basis!$E$5)^2)*0.0098)/Basis!$E$10)</f>
        <v>4.3329096846455228E-3</v>
      </c>
      <c r="M262" s="85"/>
      <c r="N262" s="185">
        <v>1.385</v>
      </c>
      <c r="O262" s="186"/>
      <c r="P262" s="187">
        <v>968</v>
      </c>
      <c r="AJ262" s="126">
        <v>3.9689999999999994E-4</v>
      </c>
      <c r="AK262" s="132">
        <v>1.7345999999999999</v>
      </c>
      <c r="AL262" s="129">
        <v>2</v>
      </c>
      <c r="AM262" s="126">
        <v>3.6734700000000002E-4</v>
      </c>
    </row>
    <row r="263" spans="1:39" ht="12.75" customHeight="1" x14ac:dyDescent="0.25">
      <c r="A263" s="72" t="s">
        <v>20</v>
      </c>
      <c r="B263" s="184" t="s">
        <v>3090</v>
      </c>
      <c r="C263" s="44" t="s">
        <v>3179</v>
      </c>
      <c r="D263" s="45">
        <f>MROUND(MID($C263,6,3)/Basis!$E$3,0.5)</f>
        <v>19.5</v>
      </c>
      <c r="E263" s="45">
        <f>MROUND(MID($C263,9,3)/Basis!$E$3,0.5)</f>
        <v>35.5</v>
      </c>
      <c r="F263" s="237" t="str">
        <f t="shared" si="3"/>
        <v>15</v>
      </c>
      <c r="G263" s="45">
        <f>ROUND((ROUNDDOWN($F263/5,0)*5+2.2)/Basis!$E$3,1)</f>
        <v>6.8</v>
      </c>
      <c r="H263" s="120">
        <f>ROUND($P263*Basis!$E$2*((TaH-TrH)/LN(1/µ)/Basis!$E$7)^$N263*$AA$4*Glycol,0)</f>
        <v>3386</v>
      </c>
      <c r="I263" s="83">
        <f>ROUND(H263/(MID($C263,9,3)/Basis!$E$3/Basis!$E$9)*Basis!$E$11,0)</f>
        <v>1147</v>
      </c>
      <c r="J263" s="123">
        <f>IF(Basis!$E$1=1,ROUND(H263/((TaH-TrH)*1.163)/3600,3),ROUND(H263/(500*(TaH-TrH)),2))</f>
        <v>0.34</v>
      </c>
      <c r="K263" s="84"/>
      <c r="L263" s="177">
        <f>CHOOSE(Basis!$E$1,((AJ263*(J263*3600/Basis!$E$5)^AK263*(((MID(C263,9,3)*10)-144)/1000)*AL263+AM263*(J263*3600/Basis!$E$5)^2)*0.0098)/Basis!$E$10,((AJ263*(J263/Basis!$E$5)^AK263*(((MID(C263,9,3)*10)-144)/1000)*AL263+AM263*(J263/Basis!$E$5)^2)*0.0098)/Basis!$E$10)</f>
        <v>1.085508029368876E-2</v>
      </c>
      <c r="M263" s="85"/>
      <c r="N263" s="185">
        <v>1.373</v>
      </c>
      <c r="O263" s="186"/>
      <c r="P263" s="187">
        <v>1561</v>
      </c>
      <c r="AJ263" s="125">
        <v>2.0829999999999999E-4</v>
      </c>
      <c r="AK263" s="131">
        <v>1.724</v>
      </c>
      <c r="AL263" s="128">
        <v>2</v>
      </c>
      <c r="AM263" s="125">
        <v>4.6182900000000003E-4</v>
      </c>
    </row>
    <row r="264" spans="1:39" ht="12.75" customHeight="1" x14ac:dyDescent="0.25">
      <c r="A264" s="72" t="s">
        <v>20</v>
      </c>
      <c r="B264" s="184" t="s">
        <v>3090</v>
      </c>
      <c r="C264" s="44" t="s">
        <v>3191</v>
      </c>
      <c r="D264" s="45">
        <f>MROUND(MID($C264,6,3)/Basis!$E$3,0.5)</f>
        <v>19.5</v>
      </c>
      <c r="E264" s="45">
        <f>MROUND(MID($C264,9,3)/Basis!$E$3,0.5)</f>
        <v>35.5</v>
      </c>
      <c r="F264" s="237" t="str">
        <f t="shared" si="3"/>
        <v>20</v>
      </c>
      <c r="G264" s="45">
        <f>ROUND((ROUNDDOWN($F264/5,0)*5+2.2)/Basis!$E$3,1)</f>
        <v>8.6999999999999993</v>
      </c>
      <c r="H264" s="120">
        <f>ROUND($P264*Basis!$E$2*((TaH-TrH)/LN(1/µ)/Basis!$E$7)^$N264*$AA$4*Glycol,0)</f>
        <v>4735</v>
      </c>
      <c r="I264" s="83">
        <f>ROUND(H264/(MID($C264,9,3)/Basis!$E$3/Basis!$E$9)*Basis!$E$11,0)</f>
        <v>1604</v>
      </c>
      <c r="J264" s="123">
        <f>IF(Basis!$E$1=1,ROUND(H264/((TaH-TrH)*1.163)/3600,3),ROUND(H264/(500*(TaH-TrH)),2))</f>
        <v>0.47</v>
      </c>
      <c r="K264" s="84"/>
      <c r="L264" s="177">
        <f>CHOOSE(Basis!$E$1,((AJ264*(J264*3600/Basis!$E$5)^AK264*(((MID(C264,9,3)*10)-144)/1000)*AL264+AM264*(J264*3600/Basis!$E$5)^2)*0.0098)/Basis!$E$10,((AJ264*(J264/Basis!$E$5)^AK264*(((MID(C264,9,3)*10)-144)/1000)*AL264+AM264*(J264/Basis!$E$5)^2)*0.0098)/Basis!$E$10)</f>
        <v>1.5993566399738358E-2</v>
      </c>
      <c r="M264" s="85"/>
      <c r="N264" s="185">
        <v>1.373</v>
      </c>
      <c r="O264" s="186"/>
      <c r="P264" s="187">
        <v>2183</v>
      </c>
      <c r="AJ264" s="126">
        <v>1.2760000000000001E-4</v>
      </c>
      <c r="AK264" s="132">
        <v>1.7219</v>
      </c>
      <c r="AL264" s="129">
        <v>2</v>
      </c>
      <c r="AM264" s="126">
        <v>3.76611E-4</v>
      </c>
    </row>
    <row r="265" spans="1:39" ht="12.75" customHeight="1" x14ac:dyDescent="0.25">
      <c r="A265" s="72" t="s">
        <v>20</v>
      </c>
      <c r="B265" s="184" t="s">
        <v>3090</v>
      </c>
      <c r="C265" s="44" t="s">
        <v>3168</v>
      </c>
      <c r="D265" s="45">
        <f>MROUND(MID($C265,6,3)/Basis!$E$3,0.5)</f>
        <v>19.5</v>
      </c>
      <c r="E265" s="45">
        <f>MROUND(MID($C265,9,3)/Basis!$E$3,0.5)</f>
        <v>39.5</v>
      </c>
      <c r="F265" s="237" t="str">
        <f t="shared" si="3"/>
        <v>10</v>
      </c>
      <c r="G265" s="45">
        <f>ROUND((ROUNDDOWN($F265/5,0)*5+2.2)/Basis!$E$3,1)</f>
        <v>4.8</v>
      </c>
      <c r="H265" s="120">
        <f>ROUND($P265*Basis!$E$2*((TaH-TrH)/LN(1/µ)/Basis!$E$7)^$N265*$AA$4*Glycol,0)</f>
        <v>2324</v>
      </c>
      <c r="I265" s="83">
        <f>ROUND(H265/(MID($C265,9,3)/Basis!$E$3/Basis!$E$9)*Basis!$E$11,0)</f>
        <v>708</v>
      </c>
      <c r="J265" s="123">
        <f>IF(Basis!$E$1=1,ROUND(H265/((TaH-TrH)*1.163)/3600,3),ROUND(H265/(500*(TaH-TrH)),2))</f>
        <v>0.23</v>
      </c>
      <c r="K265" s="84"/>
      <c r="L265" s="177">
        <f>CHOOSE(Basis!$E$1,((AJ265*(J265*3600/Basis!$E$5)^AK265*(((MID(C265,9,3)*10)-144)/1000)*AL265+AM265*(J265*3600/Basis!$E$5)^2)*0.0098)/Basis!$E$10,((AJ265*(J265/Basis!$E$5)^AK265*(((MID(C265,9,3)*10)-144)/1000)*AL265+AM265*(J265/Basis!$E$5)^2)*0.0098)/Basis!$E$10)</f>
        <v>5.3996163181241211E-3</v>
      </c>
      <c r="M265" s="85"/>
      <c r="N265" s="185">
        <v>1.385</v>
      </c>
      <c r="O265" s="186"/>
      <c r="P265" s="187">
        <v>1076</v>
      </c>
      <c r="AJ265" s="126">
        <v>3.9689999999999994E-4</v>
      </c>
      <c r="AK265" s="132">
        <v>1.7345999999999999</v>
      </c>
      <c r="AL265" s="129">
        <v>2</v>
      </c>
      <c r="AM265" s="126">
        <v>3.6734700000000002E-4</v>
      </c>
    </row>
    <row r="266" spans="1:39" ht="12.75" customHeight="1" x14ac:dyDescent="0.25">
      <c r="A266" s="72" t="s">
        <v>20</v>
      </c>
      <c r="B266" s="184" t="s">
        <v>3090</v>
      </c>
      <c r="C266" s="44" t="s">
        <v>3180</v>
      </c>
      <c r="D266" s="45">
        <f>MROUND(MID($C266,6,3)/Basis!$E$3,0.5)</f>
        <v>19.5</v>
      </c>
      <c r="E266" s="45">
        <f>MROUND(MID($C266,9,3)/Basis!$E$3,0.5)</f>
        <v>39.5</v>
      </c>
      <c r="F266" s="237" t="str">
        <f t="shared" ref="F266:F329" si="4">RIGHT(C266,2)</f>
        <v>15</v>
      </c>
      <c r="G266" s="45">
        <f>ROUND((ROUNDDOWN($F266/5,0)*5+2.2)/Basis!$E$3,1)</f>
        <v>6.8</v>
      </c>
      <c r="H266" s="120">
        <f>ROUND($P266*Basis!$E$2*((TaH-TrH)/LN(1/µ)/Basis!$E$7)^$N266*$AA$4*Glycol,0)</f>
        <v>3761</v>
      </c>
      <c r="I266" s="83">
        <f>ROUND(H266/(MID($C266,9,3)/Basis!$E$3/Basis!$E$9)*Basis!$E$11,0)</f>
        <v>1146</v>
      </c>
      <c r="J266" s="123">
        <f>IF(Basis!$E$1=1,ROUND(H266/((TaH-TrH)*1.163)/3600,3),ROUND(H266/(500*(TaH-TrH)),2))</f>
        <v>0.38</v>
      </c>
      <c r="K266" s="84"/>
      <c r="L266" s="177">
        <f>CHOOSE(Basis!$E$1,((AJ266*(J266*3600/Basis!$E$5)^AK266*(((MID(C266,9,3)*10)-144)/1000)*AL266+AM266*(J266*3600/Basis!$E$5)^2)*0.0098)/Basis!$E$10,((AJ266*(J266/Basis!$E$5)^AK266*(((MID(C266,9,3)*10)-144)/1000)*AL266+AM266*(J266/Basis!$E$5)^2)*0.0098)/Basis!$E$10)</f>
        <v>1.3786057701373792E-2</v>
      </c>
      <c r="M266" s="85"/>
      <c r="N266" s="185">
        <v>1.373</v>
      </c>
      <c r="O266" s="186"/>
      <c r="P266" s="187">
        <v>1734</v>
      </c>
      <c r="AJ266" s="125">
        <v>2.0829999999999999E-4</v>
      </c>
      <c r="AK266" s="131">
        <v>1.724</v>
      </c>
      <c r="AL266" s="128">
        <v>2</v>
      </c>
      <c r="AM266" s="125">
        <v>4.6182900000000003E-4</v>
      </c>
    </row>
    <row r="267" spans="1:39" ht="12.75" customHeight="1" x14ac:dyDescent="0.25">
      <c r="A267" s="72" t="s">
        <v>20</v>
      </c>
      <c r="B267" s="184" t="s">
        <v>3090</v>
      </c>
      <c r="C267" s="44" t="s">
        <v>3192</v>
      </c>
      <c r="D267" s="45">
        <f>MROUND(MID($C267,6,3)/Basis!$E$3,0.5)</f>
        <v>19.5</v>
      </c>
      <c r="E267" s="45">
        <f>MROUND(MID($C267,9,3)/Basis!$E$3,0.5)</f>
        <v>39.5</v>
      </c>
      <c r="F267" s="237" t="str">
        <f t="shared" si="4"/>
        <v>20</v>
      </c>
      <c r="G267" s="45">
        <f>ROUND((ROUNDDOWN($F267/5,0)*5+2.2)/Basis!$E$3,1)</f>
        <v>8.6999999999999993</v>
      </c>
      <c r="H267" s="120">
        <f>ROUND($P267*Basis!$E$2*((TaH-TrH)/LN(1/µ)/Basis!$E$7)^$N267*$AA$4*Glycol,0)</f>
        <v>5259</v>
      </c>
      <c r="I267" s="83">
        <f>ROUND(H267/(MID($C267,9,3)/Basis!$E$3/Basis!$E$9)*Basis!$E$11,0)</f>
        <v>1603</v>
      </c>
      <c r="J267" s="123">
        <f>IF(Basis!$E$1=1,ROUND(H267/((TaH-TrH)*1.163)/3600,3),ROUND(H267/(500*(TaH-TrH)),2))</f>
        <v>0.53</v>
      </c>
      <c r="K267" s="84"/>
      <c r="L267" s="177">
        <f>CHOOSE(Basis!$E$1,((AJ267*(J267*3600/Basis!$E$5)^AK267*(((MID(C267,9,3)*10)-144)/1000)*AL267+AM267*(J267*3600/Basis!$E$5)^2)*0.0098)/Basis!$E$10,((AJ267*(J267/Basis!$E$5)^AK267*(((MID(C267,9,3)*10)-144)/1000)*AL267+AM267*(J267/Basis!$E$5)^2)*0.0098)/Basis!$E$10)</f>
        <v>2.0574783929454853E-2</v>
      </c>
      <c r="M267" s="85"/>
      <c r="N267" s="185">
        <v>1.373</v>
      </c>
      <c r="O267" s="186"/>
      <c r="P267" s="187">
        <v>2425</v>
      </c>
      <c r="AJ267" s="126">
        <v>1.2760000000000001E-4</v>
      </c>
      <c r="AK267" s="132">
        <v>1.7219</v>
      </c>
      <c r="AL267" s="129">
        <v>2</v>
      </c>
      <c r="AM267" s="126">
        <v>3.76611E-4</v>
      </c>
    </row>
    <row r="268" spans="1:39" ht="12.75" customHeight="1" x14ac:dyDescent="0.25">
      <c r="A268" s="72" t="s">
        <v>20</v>
      </c>
      <c r="B268" s="184" t="s">
        <v>3090</v>
      </c>
      <c r="C268" s="44" t="s">
        <v>3169</v>
      </c>
      <c r="D268" s="45">
        <f>MROUND(MID($C268,6,3)/Basis!$E$3,0.5)</f>
        <v>19.5</v>
      </c>
      <c r="E268" s="45">
        <f>MROUND(MID($C268,9,3)/Basis!$E$3,0.5)</f>
        <v>43.5</v>
      </c>
      <c r="F268" s="237" t="str">
        <f t="shared" si="4"/>
        <v>10</v>
      </c>
      <c r="G268" s="45">
        <f>ROUND((ROUNDDOWN($F268/5,0)*5+2.2)/Basis!$E$3,1)</f>
        <v>4.8</v>
      </c>
      <c r="H268" s="120">
        <f>ROUND($P268*Basis!$E$2*((TaH-TrH)/LN(1/µ)/Basis!$E$7)^$N268*$AA$4*Glycol,0)</f>
        <v>2558</v>
      </c>
      <c r="I268" s="83">
        <f>ROUND(H268/(MID($C268,9,3)/Basis!$E$3/Basis!$E$9)*Basis!$E$11,0)</f>
        <v>709</v>
      </c>
      <c r="J268" s="123">
        <f>IF(Basis!$E$1=1,ROUND(H268/((TaH-TrH)*1.163)/3600,3),ROUND(H268/(500*(TaH-TrH)),2))</f>
        <v>0.26</v>
      </c>
      <c r="K268" s="84"/>
      <c r="L268" s="177">
        <f>CHOOSE(Basis!$E$1,((AJ268*(J268*3600/Basis!$E$5)^AK268*(((MID(C268,9,3)*10)-144)/1000)*AL268+AM268*(J268*3600/Basis!$E$5)^2)*0.0098)/Basis!$E$10,((AJ268*(J268/Basis!$E$5)^AK268*(((MID(C268,9,3)*10)-144)/1000)*AL268+AM268*(J268/Basis!$E$5)^2)*0.0098)/Basis!$E$10)</f>
        <v>7.1198952148428278E-3</v>
      </c>
      <c r="M268" s="85"/>
      <c r="N268" s="185">
        <v>1.385</v>
      </c>
      <c r="O268" s="186"/>
      <c r="P268" s="187">
        <v>1184</v>
      </c>
      <c r="AJ268" s="126">
        <v>3.9689999999999994E-4</v>
      </c>
      <c r="AK268" s="132">
        <v>1.7345999999999999</v>
      </c>
      <c r="AL268" s="129">
        <v>2</v>
      </c>
      <c r="AM268" s="126">
        <v>3.6734700000000002E-4</v>
      </c>
    </row>
    <row r="269" spans="1:39" ht="12.75" customHeight="1" x14ac:dyDescent="0.25">
      <c r="A269" s="72" t="s">
        <v>20</v>
      </c>
      <c r="B269" s="184" t="s">
        <v>3090</v>
      </c>
      <c r="C269" s="44" t="s">
        <v>3181</v>
      </c>
      <c r="D269" s="45">
        <f>MROUND(MID($C269,6,3)/Basis!$E$3,0.5)</f>
        <v>19.5</v>
      </c>
      <c r="E269" s="45">
        <f>MROUND(MID($C269,9,3)/Basis!$E$3,0.5)</f>
        <v>43.5</v>
      </c>
      <c r="F269" s="237" t="str">
        <f t="shared" si="4"/>
        <v>15</v>
      </c>
      <c r="G269" s="45">
        <f>ROUND((ROUNDDOWN($F269/5,0)*5+2.2)/Basis!$E$3,1)</f>
        <v>6.8</v>
      </c>
      <c r="H269" s="120">
        <f>ROUND($P269*Basis!$E$2*((TaH-TrH)/LN(1/µ)/Basis!$E$7)^$N269*$AA$4*Glycol,0)</f>
        <v>4136</v>
      </c>
      <c r="I269" s="83">
        <f>ROUND(H269/(MID($C269,9,3)/Basis!$E$3/Basis!$E$9)*Basis!$E$11,0)</f>
        <v>1146</v>
      </c>
      <c r="J269" s="123">
        <f>IF(Basis!$E$1=1,ROUND(H269/((TaH-TrH)*1.163)/3600,3),ROUND(H269/(500*(TaH-TrH)),2))</f>
        <v>0.41</v>
      </c>
      <c r="K269" s="84"/>
      <c r="L269" s="177">
        <f>CHOOSE(Basis!$E$1,((AJ269*(J269*3600/Basis!$E$5)^AK269*(((MID(C269,9,3)*10)-144)/1000)*AL269+AM269*(J269*3600/Basis!$E$5)^2)*0.0098)/Basis!$E$10,((AJ269*(J269/Basis!$E$5)^AK269*(((MID(C269,9,3)*10)-144)/1000)*AL269+AM269*(J269/Basis!$E$5)^2)*0.0098)/Basis!$E$10)</f>
        <v>1.6325379935801403E-2</v>
      </c>
      <c r="M269" s="85"/>
      <c r="N269" s="185">
        <v>1.373</v>
      </c>
      <c r="O269" s="186"/>
      <c r="P269" s="187">
        <v>1907</v>
      </c>
      <c r="AJ269" s="125">
        <v>2.0829999999999999E-4</v>
      </c>
      <c r="AK269" s="131">
        <v>1.724</v>
      </c>
      <c r="AL269" s="128">
        <v>2</v>
      </c>
      <c r="AM269" s="125">
        <v>4.6182900000000003E-4</v>
      </c>
    </row>
    <row r="270" spans="1:39" ht="12.75" customHeight="1" x14ac:dyDescent="0.25">
      <c r="A270" s="72" t="s">
        <v>20</v>
      </c>
      <c r="B270" s="184" t="s">
        <v>3090</v>
      </c>
      <c r="C270" s="44" t="s">
        <v>3193</v>
      </c>
      <c r="D270" s="45">
        <f>MROUND(MID($C270,6,3)/Basis!$E$3,0.5)</f>
        <v>19.5</v>
      </c>
      <c r="E270" s="45">
        <f>MROUND(MID($C270,9,3)/Basis!$E$3,0.5)</f>
        <v>43.5</v>
      </c>
      <c r="F270" s="237" t="str">
        <f t="shared" si="4"/>
        <v>20</v>
      </c>
      <c r="G270" s="45">
        <f>ROUND((ROUNDDOWN($F270/5,0)*5+2.2)/Basis!$E$3,1)</f>
        <v>8.6999999999999993</v>
      </c>
      <c r="H270" s="120">
        <f>ROUND($P270*Basis!$E$2*((TaH-TrH)/LN(1/µ)/Basis!$E$7)^$N270*$AA$4*Glycol,0)</f>
        <v>5786</v>
      </c>
      <c r="I270" s="83">
        <f>ROUND(H270/(MID($C270,9,3)/Basis!$E$3/Basis!$E$9)*Basis!$E$11,0)</f>
        <v>1603</v>
      </c>
      <c r="J270" s="123">
        <f>IF(Basis!$E$1=1,ROUND(H270/((TaH-TrH)*1.163)/3600,3),ROUND(H270/(500*(TaH-TrH)),2))</f>
        <v>0.57999999999999996</v>
      </c>
      <c r="K270" s="84"/>
      <c r="L270" s="177">
        <f>CHOOSE(Basis!$E$1,((AJ270*(J270*3600/Basis!$E$5)^AK270*(((MID(C270,9,3)*10)-144)/1000)*AL270+AM270*(J270*3600/Basis!$E$5)^2)*0.0098)/Basis!$E$10,((AJ270*(J270/Basis!$E$5)^AK270*(((MID(C270,9,3)*10)-144)/1000)*AL270+AM270*(J270/Basis!$E$5)^2)*0.0098)/Basis!$E$10)</f>
        <v>2.4931592627257033E-2</v>
      </c>
      <c r="M270" s="85"/>
      <c r="N270" s="185">
        <v>1.373</v>
      </c>
      <c r="O270" s="186"/>
      <c r="P270" s="187">
        <v>2668</v>
      </c>
      <c r="AJ270" s="126">
        <v>1.2760000000000001E-4</v>
      </c>
      <c r="AK270" s="132">
        <v>1.7219</v>
      </c>
      <c r="AL270" s="129">
        <v>2</v>
      </c>
      <c r="AM270" s="126">
        <v>3.76611E-4</v>
      </c>
    </row>
    <row r="271" spans="1:39" ht="12.75" customHeight="1" x14ac:dyDescent="0.25">
      <c r="A271" s="72" t="s">
        <v>20</v>
      </c>
      <c r="B271" s="184" t="s">
        <v>3090</v>
      </c>
      <c r="C271" s="44" t="s">
        <v>3170</v>
      </c>
      <c r="D271" s="45">
        <f>MROUND(MID($C271,6,3)/Basis!$E$3,0.5)</f>
        <v>19.5</v>
      </c>
      <c r="E271" s="45">
        <f>MROUND(MID($C271,9,3)/Basis!$E$3,0.5)</f>
        <v>47</v>
      </c>
      <c r="F271" s="237" t="str">
        <f t="shared" si="4"/>
        <v>10</v>
      </c>
      <c r="G271" s="45">
        <f>ROUND((ROUNDDOWN($F271/5,0)*5+2.2)/Basis!$E$3,1)</f>
        <v>4.8</v>
      </c>
      <c r="H271" s="120">
        <f>ROUND($P271*Basis!$E$2*((TaH-TrH)/LN(1/µ)/Basis!$E$7)^$N271*$AA$4*Glycol,0)</f>
        <v>2789</v>
      </c>
      <c r="I271" s="83">
        <f>ROUND(H271/(MID($C271,9,3)/Basis!$E$3/Basis!$E$9)*Basis!$E$11,0)</f>
        <v>708</v>
      </c>
      <c r="J271" s="123">
        <f>IF(Basis!$E$1=1,ROUND(H271/((TaH-TrH)*1.163)/3600,3),ROUND(H271/(500*(TaH-TrH)),2))</f>
        <v>0.28000000000000003</v>
      </c>
      <c r="K271" s="84"/>
      <c r="L271" s="177">
        <f>CHOOSE(Basis!$E$1,((AJ271*(J271*3600/Basis!$E$5)^AK271*(((MID(C271,9,3)*10)-144)/1000)*AL271+AM271*(J271*3600/Basis!$E$5)^2)*0.0098)/Basis!$E$10,((AJ271*(J271/Basis!$E$5)^AK271*(((MID(C271,9,3)*10)-144)/1000)*AL271+AM271*(J271/Basis!$E$5)^2)*0.0098)/Basis!$E$10)</f>
        <v>8.5398710994788306E-3</v>
      </c>
      <c r="M271" s="85"/>
      <c r="N271" s="185">
        <v>1.385</v>
      </c>
      <c r="O271" s="186"/>
      <c r="P271" s="187">
        <v>1291</v>
      </c>
      <c r="AJ271" s="126">
        <v>3.9689999999999994E-4</v>
      </c>
      <c r="AK271" s="132">
        <v>1.7345999999999999</v>
      </c>
      <c r="AL271" s="129">
        <v>2</v>
      </c>
      <c r="AM271" s="126">
        <v>3.6734700000000002E-4</v>
      </c>
    </row>
    <row r="272" spans="1:39" ht="12.75" customHeight="1" x14ac:dyDescent="0.25">
      <c r="A272" s="72" t="s">
        <v>20</v>
      </c>
      <c r="B272" s="184" t="s">
        <v>3090</v>
      </c>
      <c r="C272" s="44" t="s">
        <v>3182</v>
      </c>
      <c r="D272" s="45">
        <f>MROUND(MID($C272,6,3)/Basis!$E$3,0.5)</f>
        <v>19.5</v>
      </c>
      <c r="E272" s="45">
        <f>MROUND(MID($C272,9,3)/Basis!$E$3,0.5)</f>
        <v>47</v>
      </c>
      <c r="F272" s="237" t="str">
        <f t="shared" si="4"/>
        <v>15</v>
      </c>
      <c r="G272" s="45">
        <f>ROUND((ROUNDDOWN($F272/5,0)*5+2.2)/Basis!$E$3,1)</f>
        <v>6.8</v>
      </c>
      <c r="H272" s="120">
        <f>ROUND($P272*Basis!$E$2*((TaH-TrH)/LN(1/µ)/Basis!$E$7)^$N272*$AA$4*Glycol,0)</f>
        <v>4513</v>
      </c>
      <c r="I272" s="83">
        <f>ROUND(H272/(MID($C272,9,3)/Basis!$E$3/Basis!$E$9)*Basis!$E$11,0)</f>
        <v>1146</v>
      </c>
      <c r="J272" s="123">
        <f>IF(Basis!$E$1=1,ROUND(H272/((TaH-TrH)*1.163)/3600,3),ROUND(H272/(500*(TaH-TrH)),2))</f>
        <v>0.45</v>
      </c>
      <c r="K272" s="84"/>
      <c r="L272" s="177">
        <f>CHOOSE(Basis!$E$1,((AJ272*(J272*3600/Basis!$E$5)^AK272*(((MID(C272,9,3)*10)-144)/1000)*AL272+AM272*(J272*3600/Basis!$E$5)^2)*0.0098)/Basis!$E$10,((AJ272*(J272/Basis!$E$5)^AK272*(((MID(C272,9,3)*10)-144)/1000)*AL272+AM272*(J272/Basis!$E$5)^2)*0.0098)/Basis!$E$10)</f>
        <v>1.9964279531181142E-2</v>
      </c>
      <c r="M272" s="85"/>
      <c r="N272" s="185">
        <v>1.373</v>
      </c>
      <c r="O272" s="186"/>
      <c r="P272" s="187">
        <v>2081</v>
      </c>
      <c r="AJ272" s="125">
        <v>2.0829999999999999E-4</v>
      </c>
      <c r="AK272" s="131">
        <v>1.724</v>
      </c>
      <c r="AL272" s="128">
        <v>2</v>
      </c>
      <c r="AM272" s="125">
        <v>4.6182900000000003E-4</v>
      </c>
    </row>
    <row r="273" spans="1:39" ht="12.75" customHeight="1" x14ac:dyDescent="0.25">
      <c r="A273" s="72" t="s">
        <v>20</v>
      </c>
      <c r="B273" s="184" t="s">
        <v>3090</v>
      </c>
      <c r="C273" s="44" t="s">
        <v>3194</v>
      </c>
      <c r="D273" s="45">
        <f>MROUND(MID($C273,6,3)/Basis!$E$3,0.5)</f>
        <v>19.5</v>
      </c>
      <c r="E273" s="45">
        <f>MROUND(MID($C273,9,3)/Basis!$E$3,0.5)</f>
        <v>47</v>
      </c>
      <c r="F273" s="237" t="str">
        <f t="shared" si="4"/>
        <v>20</v>
      </c>
      <c r="G273" s="45">
        <f>ROUND((ROUNDDOWN($F273/5,0)*5+2.2)/Basis!$E$3,1)</f>
        <v>8.6999999999999993</v>
      </c>
      <c r="H273" s="120">
        <f>ROUND($P273*Basis!$E$2*((TaH-TrH)/LN(1/µ)/Basis!$E$7)^$N273*$AA$4*Glycol,0)</f>
        <v>6311</v>
      </c>
      <c r="I273" s="83">
        <f>ROUND(H273/(MID($C273,9,3)/Basis!$E$3/Basis!$E$9)*Basis!$E$11,0)</f>
        <v>1603</v>
      </c>
      <c r="J273" s="123">
        <f>IF(Basis!$E$1=1,ROUND(H273/((TaH-TrH)*1.163)/3600,3),ROUND(H273/(500*(TaH-TrH)),2))</f>
        <v>0.63</v>
      </c>
      <c r="K273" s="84"/>
      <c r="L273" s="177">
        <f>CHOOSE(Basis!$E$1,((AJ273*(J273*3600/Basis!$E$5)^AK273*(((MID(C273,9,3)*10)-144)/1000)*AL273+AM273*(J273*3600/Basis!$E$5)^2)*0.0098)/Basis!$E$10,((AJ273*(J273/Basis!$E$5)^AK273*(((MID(C273,9,3)*10)-144)/1000)*AL273+AM273*(J273/Basis!$E$5)^2)*0.0098)/Basis!$E$10)</f>
        <v>2.9749535014537223E-2</v>
      </c>
      <c r="M273" s="85"/>
      <c r="N273" s="185">
        <v>1.373</v>
      </c>
      <c r="O273" s="186"/>
      <c r="P273" s="187">
        <v>2910</v>
      </c>
      <c r="AJ273" s="126">
        <v>1.2760000000000001E-4</v>
      </c>
      <c r="AK273" s="132">
        <v>1.7219</v>
      </c>
      <c r="AL273" s="129">
        <v>2</v>
      </c>
      <c r="AM273" s="126">
        <v>3.76611E-4</v>
      </c>
    </row>
    <row r="274" spans="1:39" ht="12.75" customHeight="1" x14ac:dyDescent="0.25">
      <c r="A274" s="72" t="s">
        <v>20</v>
      </c>
      <c r="B274" s="184" t="s">
        <v>3090</v>
      </c>
      <c r="C274" s="44" t="s">
        <v>3171</v>
      </c>
      <c r="D274" s="45">
        <f>MROUND(MID($C274,6,3)/Basis!$E$3,0.5)</f>
        <v>19.5</v>
      </c>
      <c r="E274" s="45">
        <f>MROUND(MID($C274,9,3)/Basis!$E$3,0.5)</f>
        <v>55</v>
      </c>
      <c r="F274" s="237" t="str">
        <f t="shared" si="4"/>
        <v>10</v>
      </c>
      <c r="G274" s="45">
        <f>ROUND((ROUNDDOWN($F274/5,0)*5+2.2)/Basis!$E$3,1)</f>
        <v>4.8</v>
      </c>
      <c r="H274" s="120">
        <f>ROUND($P274*Basis!$E$2*((TaH-TrH)/LN(1/µ)/Basis!$E$7)^$N274*$AA$4*Glycol,0)</f>
        <v>3253</v>
      </c>
      <c r="I274" s="83">
        <f>ROUND(H274/(MID($C274,9,3)/Basis!$E$3/Basis!$E$9)*Basis!$E$11,0)</f>
        <v>708</v>
      </c>
      <c r="J274" s="123">
        <f>IF(Basis!$E$1=1,ROUND(H274/((TaH-TrH)*1.163)/3600,3),ROUND(H274/(500*(TaH-TrH)),2))</f>
        <v>0.33</v>
      </c>
      <c r="K274" s="84"/>
      <c r="L274" s="177">
        <f>CHOOSE(Basis!$E$1,((AJ274*(J274*3600/Basis!$E$5)^AK274*(((MID(C274,9,3)*10)-144)/1000)*AL274+AM274*(J274*3600/Basis!$E$5)^2)*0.0098)/Basis!$E$10,((AJ274*(J274/Basis!$E$5)^AK274*(((MID(C274,9,3)*10)-144)/1000)*AL274+AM274*(J274/Basis!$E$5)^2)*0.0098)/Basis!$E$10)</f>
        <v>1.2571256736469315E-2</v>
      </c>
      <c r="M274" s="85"/>
      <c r="N274" s="185">
        <v>1.385</v>
      </c>
      <c r="O274" s="186"/>
      <c r="P274" s="187">
        <v>1506</v>
      </c>
      <c r="AJ274" s="126">
        <v>3.9689999999999994E-4</v>
      </c>
      <c r="AK274" s="132">
        <v>1.7345999999999999</v>
      </c>
      <c r="AL274" s="129">
        <v>2</v>
      </c>
      <c r="AM274" s="126">
        <v>3.6734700000000002E-4</v>
      </c>
    </row>
    <row r="275" spans="1:39" ht="12.75" customHeight="1" x14ac:dyDescent="0.25">
      <c r="A275" s="72" t="s">
        <v>20</v>
      </c>
      <c r="B275" s="184" t="s">
        <v>3090</v>
      </c>
      <c r="C275" s="44" t="s">
        <v>3183</v>
      </c>
      <c r="D275" s="45">
        <f>MROUND(MID($C275,6,3)/Basis!$E$3,0.5)</f>
        <v>19.5</v>
      </c>
      <c r="E275" s="45">
        <f>MROUND(MID($C275,9,3)/Basis!$E$3,0.5)</f>
        <v>55</v>
      </c>
      <c r="F275" s="237" t="str">
        <f t="shared" si="4"/>
        <v>15</v>
      </c>
      <c r="G275" s="45">
        <f>ROUND((ROUNDDOWN($F275/5,0)*5+2.2)/Basis!$E$3,1)</f>
        <v>6.8</v>
      </c>
      <c r="H275" s="120">
        <f>ROUND($P275*Basis!$E$2*((TaH-TrH)/LN(1/µ)/Basis!$E$7)^$N275*$AA$4*Glycol,0)</f>
        <v>5266</v>
      </c>
      <c r="I275" s="83">
        <f>ROUND(H275/(MID($C275,9,3)/Basis!$E$3/Basis!$E$9)*Basis!$E$11,0)</f>
        <v>1146</v>
      </c>
      <c r="J275" s="123">
        <f>IF(Basis!$E$1=1,ROUND(H275/((TaH-TrH)*1.163)/3600,3),ROUND(H275/(500*(TaH-TrH)),2))</f>
        <v>0.53</v>
      </c>
      <c r="K275" s="84"/>
      <c r="L275" s="177">
        <f>CHOOSE(Basis!$E$1,((AJ275*(J275*3600/Basis!$E$5)^AK275*(((MID(C275,9,3)*10)-144)/1000)*AL275+AM275*(J275*3600/Basis!$E$5)^2)*0.0098)/Basis!$E$10,((AJ275*(J275/Basis!$E$5)^AK275*(((MID(C275,9,3)*10)-144)/1000)*AL275+AM275*(J275/Basis!$E$5)^2)*0.0098)/Basis!$E$10)</f>
        <v>2.8489234615429151E-2</v>
      </c>
      <c r="M275" s="85"/>
      <c r="N275" s="185">
        <v>1.373</v>
      </c>
      <c r="O275" s="186"/>
      <c r="P275" s="187">
        <v>2428</v>
      </c>
      <c r="AJ275" s="125">
        <v>2.0829999999999999E-4</v>
      </c>
      <c r="AK275" s="131">
        <v>1.724</v>
      </c>
      <c r="AL275" s="128">
        <v>2</v>
      </c>
      <c r="AM275" s="125">
        <v>4.6182900000000003E-4</v>
      </c>
    </row>
    <row r="276" spans="1:39" ht="12.75" customHeight="1" x14ac:dyDescent="0.25">
      <c r="A276" s="72" t="s">
        <v>20</v>
      </c>
      <c r="B276" s="184" t="s">
        <v>3090</v>
      </c>
      <c r="C276" s="44" t="s">
        <v>3195</v>
      </c>
      <c r="D276" s="45">
        <f>MROUND(MID($C276,6,3)/Basis!$E$3,0.5)</f>
        <v>19.5</v>
      </c>
      <c r="E276" s="45">
        <f>MROUND(MID($C276,9,3)/Basis!$E$3,0.5)</f>
        <v>55</v>
      </c>
      <c r="F276" s="237" t="str">
        <f t="shared" si="4"/>
        <v>20</v>
      </c>
      <c r="G276" s="45">
        <f>ROUND((ROUNDDOWN($F276/5,0)*5+2.2)/Basis!$E$3,1)</f>
        <v>8.6999999999999993</v>
      </c>
      <c r="H276" s="120">
        <f>ROUND($P276*Basis!$E$2*((TaH-TrH)/LN(1/µ)/Basis!$E$7)^$N276*$AA$4*Glycol,0)</f>
        <v>7363</v>
      </c>
      <c r="I276" s="83">
        <f>ROUND(H276/(MID($C276,9,3)/Basis!$E$3/Basis!$E$9)*Basis!$E$11,0)</f>
        <v>1603</v>
      </c>
      <c r="J276" s="123">
        <f>IF(Basis!$E$1=1,ROUND(H276/((TaH-TrH)*1.163)/3600,3),ROUND(H276/(500*(TaH-TrH)),2))</f>
        <v>0.74</v>
      </c>
      <c r="K276" s="84"/>
      <c r="L276" s="177">
        <f>CHOOSE(Basis!$E$1,((AJ276*(J276*3600/Basis!$E$5)^AK276*(((MID(C276,9,3)*10)-144)/1000)*AL276+AM276*(J276*3600/Basis!$E$5)^2)*0.0098)/Basis!$E$10,((AJ276*(J276/Basis!$E$5)^AK276*(((MID(C276,9,3)*10)-144)/1000)*AL276+AM276*(J276/Basis!$E$5)^2)*0.0098)/Basis!$E$10)</f>
        <v>4.190494357011549E-2</v>
      </c>
      <c r="M276" s="85"/>
      <c r="N276" s="185">
        <v>1.373</v>
      </c>
      <c r="O276" s="186"/>
      <c r="P276" s="187">
        <v>3395</v>
      </c>
      <c r="AJ276" s="126">
        <v>1.2760000000000001E-4</v>
      </c>
      <c r="AK276" s="132">
        <v>1.7219</v>
      </c>
      <c r="AL276" s="129">
        <v>2</v>
      </c>
      <c r="AM276" s="126">
        <v>3.76611E-4</v>
      </c>
    </row>
    <row r="277" spans="1:39" ht="12.75" customHeight="1" x14ac:dyDescent="0.25">
      <c r="A277" s="72" t="s">
        <v>20</v>
      </c>
      <c r="B277" s="184" t="s">
        <v>3090</v>
      </c>
      <c r="C277" s="44" t="s">
        <v>3172</v>
      </c>
      <c r="D277" s="45">
        <f>MROUND(MID($C277,6,3)/Basis!$E$3,0.5)</f>
        <v>19.5</v>
      </c>
      <c r="E277" s="45">
        <f>MROUND(MID($C277,9,3)/Basis!$E$3,0.5)</f>
        <v>63</v>
      </c>
      <c r="F277" s="237" t="str">
        <f t="shared" si="4"/>
        <v>10</v>
      </c>
      <c r="G277" s="45">
        <f>ROUND((ROUNDDOWN($F277/5,0)*5+2.2)/Basis!$E$3,1)</f>
        <v>4.8</v>
      </c>
      <c r="H277" s="120">
        <f>ROUND($P277*Basis!$E$2*((TaH-TrH)/LN(1/µ)/Basis!$E$7)^$N277*$AA$4*Glycol,0)</f>
        <v>3720</v>
      </c>
      <c r="I277" s="83">
        <f>ROUND(H277/(MID($C277,9,3)/Basis!$E$3/Basis!$E$9)*Basis!$E$11,0)</f>
        <v>709</v>
      </c>
      <c r="J277" s="123">
        <f>IF(Basis!$E$1=1,ROUND(H277/((TaH-TrH)*1.163)/3600,3),ROUND(H277/(500*(TaH-TrH)),2))</f>
        <v>0.37</v>
      </c>
      <c r="K277" s="84"/>
      <c r="L277" s="177">
        <f>CHOOSE(Basis!$E$1,((AJ277*(J277*3600/Basis!$E$5)^AK277*(((MID(C277,9,3)*10)-144)/1000)*AL277+AM277*(J277*3600/Basis!$E$5)^2)*0.0098)/Basis!$E$10,((AJ277*(J277/Basis!$E$5)^AK277*(((MID(C277,9,3)*10)-144)/1000)*AL277+AM277*(J277/Basis!$E$5)^2)*0.0098)/Basis!$E$10)</f>
        <v>1.6715495784043289E-2</v>
      </c>
      <c r="M277" s="85"/>
      <c r="N277" s="185">
        <v>1.385</v>
      </c>
      <c r="O277" s="186"/>
      <c r="P277" s="187">
        <v>1722</v>
      </c>
      <c r="AJ277" s="126">
        <v>3.9689999999999994E-4</v>
      </c>
      <c r="AK277" s="132">
        <v>1.7345999999999999</v>
      </c>
      <c r="AL277" s="129">
        <v>2</v>
      </c>
      <c r="AM277" s="126">
        <v>3.6734700000000002E-4</v>
      </c>
    </row>
    <row r="278" spans="1:39" ht="12.75" customHeight="1" x14ac:dyDescent="0.25">
      <c r="A278" s="72" t="s">
        <v>20</v>
      </c>
      <c r="B278" s="184" t="s">
        <v>3090</v>
      </c>
      <c r="C278" s="44" t="s">
        <v>3184</v>
      </c>
      <c r="D278" s="45">
        <f>MROUND(MID($C278,6,3)/Basis!$E$3,0.5)</f>
        <v>19.5</v>
      </c>
      <c r="E278" s="45">
        <f>MROUND(MID($C278,9,3)/Basis!$E$3,0.5)</f>
        <v>63</v>
      </c>
      <c r="F278" s="237" t="str">
        <f t="shared" si="4"/>
        <v>15</v>
      </c>
      <c r="G278" s="45">
        <f>ROUND((ROUNDDOWN($F278/5,0)*5+2.2)/Basis!$E$3,1)</f>
        <v>6.8</v>
      </c>
      <c r="H278" s="120">
        <f>ROUND($P278*Basis!$E$2*((TaH-TrH)/LN(1/µ)/Basis!$E$7)^$N278*$AA$4*Glycol,0)</f>
        <v>6016</v>
      </c>
      <c r="I278" s="83">
        <f>ROUND(H278/(MID($C278,9,3)/Basis!$E$3/Basis!$E$9)*Basis!$E$11,0)</f>
        <v>1146</v>
      </c>
      <c r="J278" s="123">
        <f>IF(Basis!$E$1=1,ROUND(H278/((TaH-TrH)*1.163)/3600,3),ROUND(H278/(500*(TaH-TrH)),2))</f>
        <v>0.6</v>
      </c>
      <c r="K278" s="84"/>
      <c r="L278" s="177">
        <f>CHOOSE(Basis!$E$1,((AJ278*(J278*3600/Basis!$E$5)^AK278*(((MID(C278,9,3)*10)-144)/1000)*AL278+AM278*(J278*3600/Basis!$E$5)^2)*0.0098)/Basis!$E$10,((AJ278*(J278/Basis!$E$5)^AK278*(((MID(C278,9,3)*10)-144)/1000)*AL278+AM278*(J278/Basis!$E$5)^2)*0.0098)/Basis!$E$10)</f>
        <v>3.7529754792229086E-2</v>
      </c>
      <c r="M278" s="85"/>
      <c r="N278" s="185">
        <v>1.373</v>
      </c>
      <c r="O278" s="186"/>
      <c r="P278" s="187">
        <v>2774</v>
      </c>
      <c r="AJ278" s="125">
        <v>2.0829999999999999E-4</v>
      </c>
      <c r="AK278" s="131">
        <v>1.724</v>
      </c>
      <c r="AL278" s="128">
        <v>2</v>
      </c>
      <c r="AM278" s="125">
        <v>4.6182900000000003E-4</v>
      </c>
    </row>
    <row r="279" spans="1:39" ht="12.75" customHeight="1" x14ac:dyDescent="0.25">
      <c r="A279" s="72" t="s">
        <v>20</v>
      </c>
      <c r="B279" s="184" t="s">
        <v>3090</v>
      </c>
      <c r="C279" s="44" t="s">
        <v>3196</v>
      </c>
      <c r="D279" s="45">
        <f>MROUND(MID($C279,6,3)/Basis!$E$3,0.5)</f>
        <v>19.5</v>
      </c>
      <c r="E279" s="45">
        <f>MROUND(MID($C279,9,3)/Basis!$E$3,0.5)</f>
        <v>63</v>
      </c>
      <c r="F279" s="237" t="str">
        <f t="shared" si="4"/>
        <v>20</v>
      </c>
      <c r="G279" s="45">
        <f>ROUND((ROUNDDOWN($F279/5,0)*5+2.2)/Basis!$E$3,1)</f>
        <v>8.6999999999999993</v>
      </c>
      <c r="H279" s="120">
        <f>ROUND($P279*Basis!$E$2*((TaH-TrH)/LN(1/µ)/Basis!$E$7)^$N279*$AA$4*Glycol,0)</f>
        <v>8415</v>
      </c>
      <c r="I279" s="83">
        <f>ROUND(H279/(MID($C279,9,3)/Basis!$E$3/Basis!$E$9)*Basis!$E$11,0)</f>
        <v>1603</v>
      </c>
      <c r="J279" s="123">
        <f>IF(Basis!$E$1=1,ROUND(H279/((TaH-TrH)*1.163)/3600,3),ROUND(H279/(500*(TaH-TrH)),2))</f>
        <v>0.84</v>
      </c>
      <c r="K279" s="84"/>
      <c r="L279" s="177">
        <f>CHOOSE(Basis!$E$1,((AJ279*(J279*3600/Basis!$E$5)^AK279*(((MID(C279,9,3)*10)-144)/1000)*AL279+AM279*(J279*3600/Basis!$E$5)^2)*0.0098)/Basis!$E$10,((AJ279*(J279/Basis!$E$5)^AK279*(((MID(C279,9,3)*10)-144)/1000)*AL279+AM279*(J279/Basis!$E$5)^2)*0.0098)/Basis!$E$10)</f>
        <v>5.5088338720495358E-2</v>
      </c>
      <c r="M279" s="85"/>
      <c r="N279" s="185">
        <v>1.373</v>
      </c>
      <c r="O279" s="186"/>
      <c r="P279" s="187">
        <v>3880</v>
      </c>
      <c r="AJ279" s="126">
        <v>1.2760000000000001E-4</v>
      </c>
      <c r="AK279" s="132">
        <v>1.7219</v>
      </c>
      <c r="AL279" s="129">
        <v>2</v>
      </c>
      <c r="AM279" s="126">
        <v>3.76611E-4</v>
      </c>
    </row>
    <row r="280" spans="1:39" ht="12.75" customHeight="1" x14ac:dyDescent="0.25">
      <c r="A280" s="72" t="s">
        <v>20</v>
      </c>
      <c r="B280" s="184" t="s">
        <v>3090</v>
      </c>
      <c r="C280" s="44" t="s">
        <v>3173</v>
      </c>
      <c r="D280" s="45">
        <f>MROUND(MID($C280,6,3)/Basis!$E$3,0.5)</f>
        <v>19.5</v>
      </c>
      <c r="E280" s="45">
        <f>MROUND(MID($C280,9,3)/Basis!$E$3,0.5)</f>
        <v>71</v>
      </c>
      <c r="F280" s="237" t="str">
        <f t="shared" si="4"/>
        <v>10</v>
      </c>
      <c r="G280" s="45">
        <f>ROUND((ROUNDDOWN($F280/5,0)*5+2.2)/Basis!$E$3,1)</f>
        <v>4.8</v>
      </c>
      <c r="H280" s="120">
        <f>ROUND($P280*Basis!$E$2*((TaH-TrH)/LN(1/µ)/Basis!$E$7)^$N280*$AA$4*Glycol,0)</f>
        <v>4184</v>
      </c>
      <c r="I280" s="83">
        <f>ROUND(H280/(MID($C280,9,3)/Basis!$E$3/Basis!$E$9)*Basis!$E$11,0)</f>
        <v>708</v>
      </c>
      <c r="J280" s="123">
        <f>IF(Basis!$E$1=1,ROUND(H280/((TaH-TrH)*1.163)/3600,3),ROUND(H280/(500*(TaH-TrH)),2))</f>
        <v>0.42</v>
      </c>
      <c r="K280" s="84"/>
      <c r="L280" s="177">
        <f>CHOOSE(Basis!$E$1,((AJ280*(J280*3600/Basis!$E$5)^AK280*(((MID(C280,9,3)*10)-144)/1000)*AL280+AM280*(J280*3600/Basis!$E$5)^2)*0.0098)/Basis!$E$10,((AJ280*(J280/Basis!$E$5)^AK280*(((MID(C280,9,3)*10)-144)/1000)*AL280+AM280*(J280/Basis!$E$5)^2)*0.0098)/Basis!$E$10)</f>
        <v>2.2596533401072642E-2</v>
      </c>
      <c r="M280" s="85"/>
      <c r="N280" s="185">
        <v>1.385</v>
      </c>
      <c r="O280" s="186"/>
      <c r="P280" s="187">
        <v>1937</v>
      </c>
      <c r="AJ280" s="126">
        <v>3.9689999999999994E-4</v>
      </c>
      <c r="AK280" s="132">
        <v>1.7345999999999999</v>
      </c>
      <c r="AL280" s="129">
        <v>2</v>
      </c>
      <c r="AM280" s="126">
        <v>3.6734700000000002E-4</v>
      </c>
    </row>
    <row r="281" spans="1:39" ht="12.75" customHeight="1" x14ac:dyDescent="0.25">
      <c r="A281" s="72" t="s">
        <v>20</v>
      </c>
      <c r="B281" s="184" t="s">
        <v>3090</v>
      </c>
      <c r="C281" s="44" t="s">
        <v>3185</v>
      </c>
      <c r="D281" s="45">
        <f>MROUND(MID($C281,6,3)/Basis!$E$3,0.5)</f>
        <v>19.5</v>
      </c>
      <c r="E281" s="45">
        <f>MROUND(MID($C281,9,3)/Basis!$E$3,0.5)</f>
        <v>71</v>
      </c>
      <c r="F281" s="237" t="str">
        <f t="shared" si="4"/>
        <v>15</v>
      </c>
      <c r="G281" s="45">
        <f>ROUND((ROUNDDOWN($F281/5,0)*5+2.2)/Basis!$E$3,1)</f>
        <v>6.8</v>
      </c>
      <c r="H281" s="120">
        <f>ROUND($P281*Basis!$E$2*((TaH-TrH)/LN(1/µ)/Basis!$E$7)^$N281*$AA$4*Glycol,0)</f>
        <v>6769</v>
      </c>
      <c r="I281" s="83">
        <f>ROUND(H281/(MID($C281,9,3)/Basis!$E$3/Basis!$E$9)*Basis!$E$11,0)</f>
        <v>1146</v>
      </c>
      <c r="J281" s="123">
        <f>IF(Basis!$E$1=1,ROUND(H281/((TaH-TrH)*1.163)/3600,3),ROUND(H281/(500*(TaH-TrH)),2))</f>
        <v>0.68</v>
      </c>
      <c r="K281" s="84"/>
      <c r="L281" s="177">
        <f>CHOOSE(Basis!$E$1,((AJ281*(J281*3600/Basis!$E$5)^AK281*(((MID(C281,9,3)*10)-144)/1000)*AL281+AM281*(J281*3600/Basis!$E$5)^2)*0.0098)/Basis!$E$10,((AJ281*(J281/Basis!$E$5)^AK281*(((MID(C281,9,3)*10)-144)/1000)*AL281+AM281*(J281/Basis!$E$5)^2)*0.0098)/Basis!$E$10)</f>
        <v>4.9408115967079523E-2</v>
      </c>
      <c r="M281" s="85"/>
      <c r="N281" s="185">
        <v>1.373</v>
      </c>
      <c r="O281" s="186"/>
      <c r="P281" s="187">
        <v>3121</v>
      </c>
      <c r="AJ281" s="125">
        <v>2.0829999999999999E-4</v>
      </c>
      <c r="AK281" s="131">
        <v>1.724</v>
      </c>
      <c r="AL281" s="128">
        <v>2</v>
      </c>
      <c r="AM281" s="125">
        <v>4.6182900000000003E-4</v>
      </c>
    </row>
    <row r="282" spans="1:39" ht="12.75" customHeight="1" x14ac:dyDescent="0.25">
      <c r="A282" s="72" t="s">
        <v>20</v>
      </c>
      <c r="B282" s="184" t="s">
        <v>3090</v>
      </c>
      <c r="C282" s="44" t="s">
        <v>3197</v>
      </c>
      <c r="D282" s="45">
        <f>MROUND(MID($C282,6,3)/Basis!$E$3,0.5)</f>
        <v>19.5</v>
      </c>
      <c r="E282" s="45">
        <f>MROUND(MID($C282,9,3)/Basis!$E$3,0.5)</f>
        <v>71</v>
      </c>
      <c r="F282" s="237" t="str">
        <f t="shared" si="4"/>
        <v>20</v>
      </c>
      <c r="G282" s="45">
        <f>ROUND((ROUNDDOWN($F282/5,0)*5+2.2)/Basis!$E$3,1)</f>
        <v>8.6999999999999993</v>
      </c>
      <c r="H282" s="120">
        <f>ROUND($P282*Basis!$E$2*((TaH-TrH)/LN(1/µ)/Basis!$E$7)^$N282*$AA$4*Glycol,0)</f>
        <v>9467</v>
      </c>
      <c r="I282" s="83">
        <f>ROUND(H282/(MID($C282,9,3)/Basis!$E$3/Basis!$E$9)*Basis!$E$11,0)</f>
        <v>1603</v>
      </c>
      <c r="J282" s="123">
        <f>IF(Basis!$E$1=1,ROUND(H282/((TaH-TrH)*1.163)/3600,3),ROUND(H282/(500*(TaH-TrH)),2))</f>
        <v>0.95</v>
      </c>
      <c r="K282" s="84"/>
      <c r="L282" s="177">
        <f>CHOOSE(Basis!$E$1,((AJ282*(J282*3600/Basis!$E$5)^AK282*(((MID(C282,9,3)*10)-144)/1000)*AL282+AM282*(J282*3600/Basis!$E$5)^2)*0.0098)/Basis!$E$10,((AJ282*(J282/Basis!$E$5)^AK282*(((MID(C282,9,3)*10)-144)/1000)*AL282+AM282*(J282/Basis!$E$5)^2)*0.0098)/Basis!$E$10)</f>
        <v>7.176220730168556E-2</v>
      </c>
      <c r="M282" s="85"/>
      <c r="N282" s="185">
        <v>1.373</v>
      </c>
      <c r="O282" s="186"/>
      <c r="P282" s="187">
        <v>4365</v>
      </c>
      <c r="AJ282" s="126">
        <v>1.2760000000000001E-4</v>
      </c>
      <c r="AK282" s="132">
        <v>1.7219</v>
      </c>
      <c r="AL282" s="129">
        <v>2</v>
      </c>
      <c r="AM282" s="126">
        <v>3.76611E-4</v>
      </c>
    </row>
    <row r="283" spans="1:39" ht="12.75" customHeight="1" x14ac:dyDescent="0.25">
      <c r="A283" s="72" t="s">
        <v>20</v>
      </c>
      <c r="B283" s="184" t="s">
        <v>3090</v>
      </c>
      <c r="C283" s="44" t="s">
        <v>3174</v>
      </c>
      <c r="D283" s="45">
        <f>MROUND(MID($C283,6,3)/Basis!$E$3,0.5)</f>
        <v>19.5</v>
      </c>
      <c r="E283" s="45">
        <f>MROUND(MID($C283,9,3)/Basis!$E$3,0.5)</f>
        <v>78.5</v>
      </c>
      <c r="F283" s="237" t="str">
        <f t="shared" si="4"/>
        <v>10</v>
      </c>
      <c r="G283" s="45">
        <f>ROUND((ROUNDDOWN($F283/5,0)*5+2.2)/Basis!$E$3,1)</f>
        <v>4.8</v>
      </c>
      <c r="H283" s="120">
        <f>ROUND($P283*Basis!$E$2*((TaH-TrH)/LN(1/µ)/Basis!$E$7)^$N283*$AA$4*Glycol,0)</f>
        <v>4649</v>
      </c>
      <c r="I283" s="83">
        <f>ROUND(H283/(MID($C283,9,3)/Basis!$E$3/Basis!$E$9)*Basis!$E$11,0)</f>
        <v>709</v>
      </c>
      <c r="J283" s="123">
        <f>IF(Basis!$E$1=1,ROUND(H283/((TaH-TrH)*1.163)/3600,3),ROUND(H283/(500*(TaH-TrH)),2))</f>
        <v>0.46</v>
      </c>
      <c r="K283" s="84"/>
      <c r="L283" s="177">
        <f>CHOOSE(Basis!$E$1,((AJ283*(J283*3600/Basis!$E$5)^AK283*(((MID(C283,9,3)*10)-144)/1000)*AL283+AM283*(J283*3600/Basis!$E$5)^2)*0.0098)/Basis!$E$10,((AJ283*(J283/Basis!$E$5)^AK283*(((MID(C283,9,3)*10)-144)/1000)*AL283+AM283*(J283/Basis!$E$5)^2)*0.0098)/Basis!$E$10)</f>
        <v>2.8421620075424408E-2</v>
      </c>
      <c r="M283" s="85"/>
      <c r="N283" s="185">
        <v>1.385</v>
      </c>
      <c r="O283" s="186"/>
      <c r="P283" s="187">
        <v>2152</v>
      </c>
      <c r="AJ283" s="126">
        <v>3.9689999999999994E-4</v>
      </c>
      <c r="AK283" s="132">
        <v>1.7345999999999999</v>
      </c>
      <c r="AL283" s="129">
        <v>2</v>
      </c>
      <c r="AM283" s="126">
        <v>3.6734700000000002E-4</v>
      </c>
    </row>
    <row r="284" spans="1:39" ht="12.75" customHeight="1" x14ac:dyDescent="0.25">
      <c r="A284" s="72" t="s">
        <v>20</v>
      </c>
      <c r="B284" s="184" t="s">
        <v>3090</v>
      </c>
      <c r="C284" s="44" t="s">
        <v>3186</v>
      </c>
      <c r="D284" s="45">
        <f>MROUND(MID($C284,6,3)/Basis!$E$3,0.5)</f>
        <v>19.5</v>
      </c>
      <c r="E284" s="45">
        <f>MROUND(MID($C284,9,3)/Basis!$E$3,0.5)</f>
        <v>78.5</v>
      </c>
      <c r="F284" s="237" t="str">
        <f t="shared" si="4"/>
        <v>15</v>
      </c>
      <c r="G284" s="45">
        <f>ROUND((ROUNDDOWN($F284/5,0)*5+2.2)/Basis!$E$3,1)</f>
        <v>6.8</v>
      </c>
      <c r="H284" s="120">
        <f>ROUND($P284*Basis!$E$2*((TaH-TrH)/LN(1/µ)/Basis!$E$7)^$N284*$AA$4*Glycol,0)</f>
        <v>7521</v>
      </c>
      <c r="I284" s="83">
        <f>ROUND(H284/(MID($C284,9,3)/Basis!$E$3/Basis!$E$9)*Basis!$E$11,0)</f>
        <v>1146</v>
      </c>
      <c r="J284" s="123">
        <f>IF(Basis!$E$1=1,ROUND(H284/((TaH-TrH)*1.163)/3600,3),ROUND(H284/(500*(TaH-TrH)),2))</f>
        <v>0.75</v>
      </c>
      <c r="K284" s="84"/>
      <c r="L284" s="177">
        <f>CHOOSE(Basis!$E$1,((AJ284*(J284*3600/Basis!$E$5)^AK284*(((MID(C284,9,3)*10)-144)/1000)*AL284+AM284*(J284*3600/Basis!$E$5)^2)*0.0098)/Basis!$E$10,((AJ284*(J284/Basis!$E$5)^AK284*(((MID(C284,9,3)*10)-144)/1000)*AL284+AM284*(J284/Basis!$E$5)^2)*0.0098)/Basis!$E$10)</f>
        <v>6.1583958819513666E-2</v>
      </c>
      <c r="M284" s="85"/>
      <c r="N284" s="185">
        <v>1.373</v>
      </c>
      <c r="O284" s="186"/>
      <c r="P284" s="187">
        <v>3468</v>
      </c>
      <c r="AJ284" s="125">
        <v>2.0829999999999999E-4</v>
      </c>
      <c r="AK284" s="131">
        <v>1.724</v>
      </c>
      <c r="AL284" s="128">
        <v>2</v>
      </c>
      <c r="AM284" s="125">
        <v>4.6182900000000003E-4</v>
      </c>
    </row>
    <row r="285" spans="1:39" ht="12.75" customHeight="1" x14ac:dyDescent="0.25">
      <c r="A285" s="72" t="s">
        <v>20</v>
      </c>
      <c r="B285" s="184" t="s">
        <v>3090</v>
      </c>
      <c r="C285" s="44" t="s">
        <v>3198</v>
      </c>
      <c r="D285" s="45">
        <f>MROUND(MID($C285,6,3)/Basis!$E$3,0.5)</f>
        <v>19.5</v>
      </c>
      <c r="E285" s="45">
        <f>MROUND(MID($C285,9,3)/Basis!$E$3,0.5)</f>
        <v>78.5</v>
      </c>
      <c r="F285" s="237" t="str">
        <f t="shared" si="4"/>
        <v>20</v>
      </c>
      <c r="G285" s="45">
        <f>ROUND((ROUNDDOWN($F285/5,0)*5+2.2)/Basis!$E$3,1)</f>
        <v>8.6999999999999993</v>
      </c>
      <c r="H285" s="120">
        <f>ROUND($P285*Basis!$E$2*((TaH-TrH)/LN(1/µ)/Basis!$E$7)^$N285*$AA$4*Glycol,0)</f>
        <v>10519</v>
      </c>
      <c r="I285" s="83">
        <f>ROUND(H285/(MID($C285,9,3)/Basis!$E$3/Basis!$E$9)*Basis!$E$11,0)</f>
        <v>1603</v>
      </c>
      <c r="J285" s="123">
        <f>IF(Basis!$E$1=1,ROUND(H285/((TaH-TrH)*1.163)/3600,3),ROUND(H285/(500*(TaH-TrH)),2))</f>
        <v>1.05</v>
      </c>
      <c r="K285" s="84"/>
      <c r="L285" s="177">
        <f>CHOOSE(Basis!$E$1,((AJ285*(J285*3600/Basis!$E$5)^AK285*(((MID(C285,9,3)*10)-144)/1000)*AL285+AM285*(J285*3600/Basis!$E$5)^2)*0.0098)/Basis!$E$10,((AJ285*(J285/Basis!$E$5)^AK285*(((MID(C285,9,3)*10)-144)/1000)*AL285+AM285*(J285/Basis!$E$5)^2)*0.0098)/Basis!$E$10)</f>
        <v>8.9252134968730135E-2</v>
      </c>
      <c r="M285" s="85"/>
      <c r="N285" s="185">
        <v>1.373</v>
      </c>
      <c r="O285" s="186"/>
      <c r="P285" s="187">
        <v>4850</v>
      </c>
      <c r="AJ285" s="126">
        <v>1.2760000000000001E-4</v>
      </c>
      <c r="AK285" s="132">
        <v>1.7219</v>
      </c>
      <c r="AL285" s="129">
        <v>2</v>
      </c>
      <c r="AM285" s="126">
        <v>3.76611E-4</v>
      </c>
    </row>
    <row r="286" spans="1:39" ht="12.75" customHeight="1" x14ac:dyDescent="0.25">
      <c r="A286" s="72" t="s">
        <v>20</v>
      </c>
      <c r="B286" s="184" t="s">
        <v>3090</v>
      </c>
      <c r="C286" s="44" t="s">
        <v>4116</v>
      </c>
      <c r="D286" s="45">
        <f>MROUND(MID($C286,6,3)/Basis!$E$3,0.5)</f>
        <v>19.5</v>
      </c>
      <c r="E286" s="45">
        <f>MROUND(MID($C286,9,3)/Basis!$E$3,0.5)</f>
        <v>86.5</v>
      </c>
      <c r="F286" s="237" t="str">
        <f t="shared" si="4"/>
        <v>10</v>
      </c>
      <c r="G286" s="45">
        <f>ROUND((ROUNDDOWN($F286/5,0)*5+2.2)/Basis!$E$3,1)</f>
        <v>4.8</v>
      </c>
      <c r="H286" s="120">
        <f>ROUND($P286*Basis!$E$2*((TaH-TrH)/LN(1/µ)/Basis!$E$7)^$N286*$AA$4*Glycol,0)</f>
        <v>5113</v>
      </c>
      <c r="I286" s="83">
        <f>ROUND(H286/(MID($C286,9,3)/Basis!$E$3/Basis!$E$9)*Basis!$E$11,0)</f>
        <v>708</v>
      </c>
      <c r="J286" s="123">
        <f>IF(Basis!$E$1=1,ROUND(H286/((TaH-TrH)*1.163)/3600,3),ROUND(H286/(500*(TaH-TrH)),2))</f>
        <v>0.51</v>
      </c>
      <c r="K286" s="84"/>
      <c r="L286" s="177">
        <f>CHOOSE(Basis!$E$1,((AJ286*(J286*3600/Basis!$E$5)^AK286*(((MID(C286,9,3)*10)-144)/1000)*AL286+AM286*(J286*3600/Basis!$E$5)^2)*0.0098)/Basis!$E$10,((AJ286*(J286/Basis!$E$5)^AK286*(((MID(C286,9,3)*10)-144)/1000)*AL286+AM286*(J286/Basis!$E$5)^2)*0.0098)/Basis!$E$10)</f>
        <v>3.6400875355354453E-2</v>
      </c>
      <c r="M286" s="85"/>
      <c r="N286" s="185">
        <v>1.385</v>
      </c>
      <c r="O286" s="186"/>
      <c r="P286" s="187">
        <v>2367</v>
      </c>
      <c r="AJ286" s="126">
        <v>3.9689999999999994E-4</v>
      </c>
      <c r="AK286" s="132">
        <v>1.7345999999999999</v>
      </c>
      <c r="AL286" s="129">
        <v>2</v>
      </c>
      <c r="AM286" s="126">
        <v>3.6734700000000002E-4</v>
      </c>
    </row>
    <row r="287" spans="1:39" ht="12.75" customHeight="1" x14ac:dyDescent="0.25">
      <c r="A287" s="72" t="s">
        <v>20</v>
      </c>
      <c r="B287" s="184" t="s">
        <v>3090</v>
      </c>
      <c r="C287" s="44" t="s">
        <v>4117</v>
      </c>
      <c r="D287" s="45">
        <f>MROUND(MID($C287,6,3)/Basis!$E$3,0.5)</f>
        <v>19.5</v>
      </c>
      <c r="E287" s="45">
        <f>MROUND(MID($C287,9,3)/Basis!$E$3,0.5)</f>
        <v>86.5</v>
      </c>
      <c r="F287" s="237" t="str">
        <f t="shared" si="4"/>
        <v>15</v>
      </c>
      <c r="G287" s="45">
        <f>ROUND((ROUNDDOWN($F287/5,0)*5+2.2)/Basis!$E$3,1)</f>
        <v>6.8</v>
      </c>
      <c r="H287" s="120">
        <f>ROUND($P287*Basis!$E$2*((TaH-TrH)/LN(1/µ)/Basis!$E$7)^$N287*$AA$4*Glycol,0)</f>
        <v>8274</v>
      </c>
      <c r="I287" s="83">
        <f>ROUND(H287/(MID($C287,9,3)/Basis!$E$3/Basis!$E$9)*Basis!$E$11,0)</f>
        <v>1146</v>
      </c>
      <c r="J287" s="123">
        <f>IF(Basis!$E$1=1,ROUND(H287/((TaH-TrH)*1.163)/3600,3),ROUND(H287/(500*(TaH-TrH)),2))</f>
        <v>0.83</v>
      </c>
      <c r="K287" s="84"/>
      <c r="L287" s="177">
        <f>CHOOSE(Basis!$E$1,((AJ287*(J287*3600/Basis!$E$5)^AK287*(((MID(C287,9,3)*10)-144)/1000)*AL287+AM287*(J287*3600/Basis!$E$5)^2)*0.0098)/Basis!$E$10,((AJ287*(J287/Basis!$E$5)^AK287*(((MID(C287,9,3)*10)-144)/1000)*AL287+AM287*(J287/Basis!$E$5)^2)*0.0098)/Basis!$E$10)</f>
        <v>7.710240082934039E-2</v>
      </c>
      <c r="M287" s="85"/>
      <c r="N287" s="185">
        <v>1.373</v>
      </c>
      <c r="O287" s="186"/>
      <c r="P287" s="187">
        <v>3815</v>
      </c>
      <c r="AJ287" s="125">
        <v>2.0829999999999999E-4</v>
      </c>
      <c r="AK287" s="131">
        <v>1.724</v>
      </c>
      <c r="AL287" s="128">
        <v>2</v>
      </c>
      <c r="AM287" s="125">
        <v>4.6182900000000003E-4</v>
      </c>
    </row>
    <row r="288" spans="1:39" ht="12.75" customHeight="1" x14ac:dyDescent="0.25">
      <c r="A288" s="72" t="s">
        <v>20</v>
      </c>
      <c r="B288" s="184" t="s">
        <v>3090</v>
      </c>
      <c r="C288" s="44" t="s">
        <v>4118</v>
      </c>
      <c r="D288" s="45">
        <f>MROUND(MID($C288,6,3)/Basis!$E$3,0.5)</f>
        <v>19.5</v>
      </c>
      <c r="E288" s="45">
        <f>MROUND(MID($C288,9,3)/Basis!$E$3,0.5)</f>
        <v>86.5</v>
      </c>
      <c r="F288" s="237" t="str">
        <f t="shared" si="4"/>
        <v>20</v>
      </c>
      <c r="G288" s="45">
        <f>ROUND((ROUNDDOWN($F288/5,0)*5+2.2)/Basis!$E$3,1)</f>
        <v>8.6999999999999993</v>
      </c>
      <c r="H288" s="120">
        <f>ROUND($P288*Basis!$E$2*((TaH-TrH)/LN(1/µ)/Basis!$E$7)^$N288*$AA$4*Glycol,0)</f>
        <v>11571</v>
      </c>
      <c r="I288" s="83">
        <f>ROUND(H288/(MID($C288,9,3)/Basis!$E$3/Basis!$E$9)*Basis!$E$11,0)</f>
        <v>1603</v>
      </c>
      <c r="J288" s="123">
        <f>IF(Basis!$E$1=1,ROUND(H288/((TaH-TrH)*1.163)/3600,3),ROUND(H288/(500*(TaH-TrH)),2))</f>
        <v>1.1599999999999999</v>
      </c>
      <c r="K288" s="84"/>
      <c r="L288" s="177">
        <f>CHOOSE(Basis!$E$1,((AJ288*(J288*3600/Basis!$E$5)^AK288*(((MID(C288,9,3)*10)-144)/1000)*AL288+AM288*(J288*3600/Basis!$E$5)^2)*0.0098)/Basis!$E$10,((AJ288*(J288/Basis!$E$5)^AK288*(((MID(C288,9,3)*10)-144)/1000)*AL288+AM288*(J288/Basis!$E$5)^2)*0.0098)/Basis!$E$10)</f>
        <v>0.11074963722301349</v>
      </c>
      <c r="M288" s="85"/>
      <c r="N288" s="185">
        <v>1.373</v>
      </c>
      <c r="O288" s="186"/>
      <c r="P288" s="187">
        <v>5335</v>
      </c>
      <c r="AJ288" s="126">
        <v>1.2760000000000001E-4</v>
      </c>
      <c r="AK288" s="132">
        <v>1.7219</v>
      </c>
      <c r="AL288" s="129">
        <v>2</v>
      </c>
      <c r="AM288" s="126">
        <v>3.76611E-4</v>
      </c>
    </row>
    <row r="289" spans="1:39" ht="12.75" customHeight="1" x14ac:dyDescent="0.25">
      <c r="A289" s="72" t="s">
        <v>20</v>
      </c>
      <c r="B289" s="184" t="s">
        <v>3090</v>
      </c>
      <c r="C289" s="44" t="s">
        <v>4074</v>
      </c>
      <c r="D289" s="45">
        <f>MROUND(MID($C289,6,3)/Basis!$E$3,0.5)</f>
        <v>19.5</v>
      </c>
      <c r="E289" s="45">
        <f>MROUND(MID($C289,9,3)/Basis!$E$3,0.5)</f>
        <v>94.5</v>
      </c>
      <c r="F289" s="237" t="str">
        <f t="shared" si="4"/>
        <v>10</v>
      </c>
      <c r="G289" s="45">
        <f>ROUND((ROUNDDOWN($F289/5,0)*5+2.2)/Basis!$E$3,1)</f>
        <v>4.8</v>
      </c>
      <c r="H289" s="120">
        <f>ROUND($P289*Basis!$E$2*((TaH-TrH)/LN(1/µ)/Basis!$E$7)^$N289*$AA$4*Glycol,0)</f>
        <v>5578</v>
      </c>
      <c r="I289" s="83">
        <f>ROUND(H289/(MID($C289,9,3)/Basis!$E$3/Basis!$E$9)*Basis!$E$11,0)</f>
        <v>708</v>
      </c>
      <c r="J289" s="123">
        <f>IF(Basis!$E$1=1,ROUND(H289/((TaH-TrH)*1.163)/3600,3),ROUND(H289/(500*(TaH-TrH)),2))</f>
        <v>0.56000000000000005</v>
      </c>
      <c r="K289" s="84"/>
      <c r="L289" s="177">
        <f>CHOOSE(Basis!$E$1,((AJ289*(J289*3600/Basis!$E$5)^AK289*(((MID(C289,9,3)*10)-144)/1000)*AL289+AM289*(J289*3600/Basis!$E$5)^2)*0.0098)/Basis!$E$10,((AJ289*(J289/Basis!$E$5)^AK289*(((MID(C289,9,3)*10)-144)/1000)*AL289+AM289*(J289/Basis!$E$5)^2)*0.0098)/Basis!$E$10)</f>
        <v>4.5609367140711739E-2</v>
      </c>
      <c r="M289" s="85"/>
      <c r="N289" s="185">
        <v>1.385</v>
      </c>
      <c r="O289" s="186"/>
      <c r="P289" s="187">
        <v>2582</v>
      </c>
      <c r="AJ289" s="126">
        <v>3.9689999999999994E-4</v>
      </c>
      <c r="AK289" s="132">
        <v>1.7345999999999999</v>
      </c>
      <c r="AL289" s="129">
        <v>2</v>
      </c>
      <c r="AM289" s="126">
        <v>3.6734700000000002E-4</v>
      </c>
    </row>
    <row r="290" spans="1:39" ht="12.75" customHeight="1" x14ac:dyDescent="0.25">
      <c r="A290" s="72" t="s">
        <v>20</v>
      </c>
      <c r="B290" s="184" t="s">
        <v>3090</v>
      </c>
      <c r="C290" s="44" t="s">
        <v>4080</v>
      </c>
      <c r="D290" s="45">
        <f>MROUND(MID($C290,6,3)/Basis!$E$3,0.5)</f>
        <v>19.5</v>
      </c>
      <c r="E290" s="45">
        <f>MROUND(MID($C290,9,3)/Basis!$E$3,0.5)</f>
        <v>94.5</v>
      </c>
      <c r="F290" s="237" t="str">
        <f t="shared" si="4"/>
        <v>15</v>
      </c>
      <c r="G290" s="45">
        <f>ROUND((ROUNDDOWN($F290/5,0)*5+2.2)/Basis!$E$3,1)</f>
        <v>6.8</v>
      </c>
      <c r="H290" s="120">
        <f>ROUND($P290*Basis!$E$2*((TaH-TrH)/LN(1/µ)/Basis!$E$7)^$N290*$AA$4*Glycol,0)</f>
        <v>9027</v>
      </c>
      <c r="I290" s="83">
        <f>ROUND(H290/(MID($C290,9,3)/Basis!$E$3/Basis!$E$9)*Basis!$E$11,0)</f>
        <v>1146</v>
      </c>
      <c r="J290" s="123">
        <f>IF(Basis!$E$1=1,ROUND(H290/((TaH-TrH)*1.163)/3600,3),ROUND(H290/(500*(TaH-TrH)),2))</f>
        <v>0.9</v>
      </c>
      <c r="K290" s="84"/>
      <c r="L290" s="177">
        <f>CHOOSE(Basis!$E$1,((AJ290*(J290*3600/Basis!$E$5)^AK290*(((MID(C290,9,3)*10)-144)/1000)*AL290+AM290*(J290*3600/Basis!$E$5)^2)*0.0098)/Basis!$E$10,((AJ290*(J290/Basis!$E$5)^AK290*(((MID(C290,9,3)*10)-144)/1000)*AL290+AM290*(J290/Basis!$E$5)^2)*0.0098)/Basis!$E$10)</f>
        <v>9.2668637111770535E-2</v>
      </c>
      <c r="M290" s="85"/>
      <c r="N290" s="185">
        <v>1.373</v>
      </c>
      <c r="O290" s="186"/>
      <c r="P290" s="187">
        <v>4162</v>
      </c>
      <c r="AJ290" s="125">
        <v>2.0829999999999999E-4</v>
      </c>
      <c r="AK290" s="131">
        <v>1.724</v>
      </c>
      <c r="AL290" s="128">
        <v>2</v>
      </c>
      <c r="AM290" s="125">
        <v>4.6182900000000003E-4</v>
      </c>
    </row>
    <row r="291" spans="1:39" ht="12.75" customHeight="1" x14ac:dyDescent="0.25">
      <c r="A291" s="72" t="s">
        <v>20</v>
      </c>
      <c r="B291" s="184" t="s">
        <v>3090</v>
      </c>
      <c r="C291" s="44" t="s">
        <v>4082</v>
      </c>
      <c r="D291" s="45">
        <f>MROUND(MID($C291,6,3)/Basis!$E$3,0.5)</f>
        <v>19.5</v>
      </c>
      <c r="E291" s="45">
        <f>MROUND(MID($C291,9,3)/Basis!$E$3,0.5)</f>
        <v>94.5</v>
      </c>
      <c r="F291" s="237" t="str">
        <f t="shared" si="4"/>
        <v>20</v>
      </c>
      <c r="G291" s="45">
        <f>ROUND((ROUNDDOWN($F291/5,0)*5+2.2)/Basis!$E$3,1)</f>
        <v>8.6999999999999993</v>
      </c>
      <c r="H291" s="120">
        <f>ROUND($P291*Basis!$E$2*((TaH-TrH)/LN(1/µ)/Basis!$E$7)^$N291*$AA$4*Glycol,0)</f>
        <v>12623</v>
      </c>
      <c r="I291" s="83">
        <f>ROUND(H291/(MID($C291,9,3)/Basis!$E$3/Basis!$E$9)*Basis!$E$11,0)</f>
        <v>1603</v>
      </c>
      <c r="J291" s="123">
        <f>IF(Basis!$E$1=1,ROUND(H291/((TaH-TrH)*1.163)/3600,3),ROUND(H291/(500*(TaH-TrH)),2))</f>
        <v>1.26</v>
      </c>
      <c r="K291" s="84"/>
      <c r="L291" s="177">
        <f>CHOOSE(Basis!$E$1,((AJ291*(J291*3600/Basis!$E$5)^AK291*(((MID(C291,9,3)*10)-144)/1000)*AL291+AM291*(J291*3600/Basis!$E$5)^2)*0.0098)/Basis!$E$10,((AJ291*(J291/Basis!$E$5)^AK291*(((MID(C291,9,3)*10)-144)/1000)*AL291+AM291*(J291/Basis!$E$5)^2)*0.0098)/Basis!$E$10)</f>
        <v>0.13282423173561977</v>
      </c>
      <c r="M291" s="85"/>
      <c r="N291" s="185">
        <v>1.373</v>
      </c>
      <c r="O291" s="186"/>
      <c r="P291" s="187">
        <v>5820</v>
      </c>
      <c r="AJ291" s="126">
        <v>1.2760000000000001E-4</v>
      </c>
      <c r="AK291" s="132">
        <v>1.7219</v>
      </c>
      <c r="AL291" s="129">
        <v>2</v>
      </c>
      <c r="AM291" s="126">
        <v>3.76611E-4</v>
      </c>
    </row>
    <row r="292" spans="1:39" ht="12.75" customHeight="1" x14ac:dyDescent="0.25">
      <c r="A292" s="72" t="s">
        <v>20</v>
      </c>
      <c r="B292" s="184" t="s">
        <v>3090</v>
      </c>
      <c r="C292" s="44" t="s">
        <v>4119</v>
      </c>
      <c r="D292" s="45">
        <f>MROUND(MID($C292,6,3)/Basis!$E$3,0.5)</f>
        <v>19.5</v>
      </c>
      <c r="E292" s="45">
        <f>MROUND(MID($C292,9,3)/Basis!$E$3,0.5)</f>
        <v>102.5</v>
      </c>
      <c r="F292" s="237" t="str">
        <f t="shared" si="4"/>
        <v>10</v>
      </c>
      <c r="G292" s="45">
        <f>ROUND((ROUNDDOWN($F292/5,0)*5+2.2)/Basis!$E$3,1)</f>
        <v>4.8</v>
      </c>
      <c r="H292" s="120">
        <f>ROUND($P292*Basis!$E$2*((TaH-TrH)/LN(1/µ)/Basis!$E$7)^$N292*$AA$4*Glycol,0)</f>
        <v>6044</v>
      </c>
      <c r="I292" s="83">
        <f>ROUND(H292/(MID($C292,9,3)/Basis!$E$3/Basis!$E$9)*Basis!$E$11,0)</f>
        <v>709</v>
      </c>
      <c r="J292" s="123">
        <f>IF(Basis!$E$1=1,ROUND(H292/((TaH-TrH)*1.163)/3600,3),ROUND(H292/(500*(TaH-TrH)),2))</f>
        <v>0.6</v>
      </c>
      <c r="K292" s="84"/>
      <c r="L292" s="177">
        <f>CHOOSE(Basis!$E$1,((AJ292*(J292*3600/Basis!$E$5)^AK292*(((MID(C292,9,3)*10)-144)/1000)*AL292+AM292*(J292*3600/Basis!$E$5)^2)*0.0098)/Basis!$E$10,((AJ292*(J292/Basis!$E$5)^AK292*(((MID(C292,9,3)*10)-144)/1000)*AL292+AM292*(J292/Basis!$E$5)^2)*0.0098)/Basis!$E$10)</f>
        <v>5.4428266568016227E-2</v>
      </c>
      <c r="M292" s="85"/>
      <c r="N292" s="185">
        <v>1.385</v>
      </c>
      <c r="O292" s="186"/>
      <c r="P292" s="187">
        <v>2798</v>
      </c>
      <c r="AJ292" s="126">
        <v>3.9689999999999994E-4</v>
      </c>
      <c r="AK292" s="132">
        <v>1.7345999999999999</v>
      </c>
      <c r="AL292" s="129">
        <v>2</v>
      </c>
      <c r="AM292" s="126">
        <v>3.6734700000000002E-4</v>
      </c>
    </row>
    <row r="293" spans="1:39" ht="12.75" customHeight="1" x14ac:dyDescent="0.25">
      <c r="A293" s="72" t="s">
        <v>20</v>
      </c>
      <c r="B293" s="184" t="s">
        <v>3090</v>
      </c>
      <c r="C293" s="44" t="s">
        <v>4120</v>
      </c>
      <c r="D293" s="45">
        <f>MROUND(MID($C293,6,3)/Basis!$E$3,0.5)</f>
        <v>19.5</v>
      </c>
      <c r="E293" s="45">
        <f>MROUND(MID($C293,9,3)/Basis!$E$3,0.5)</f>
        <v>102.5</v>
      </c>
      <c r="F293" s="237" t="str">
        <f t="shared" si="4"/>
        <v>15</v>
      </c>
      <c r="G293" s="45">
        <f>ROUND((ROUNDDOWN($F293/5,0)*5+2.2)/Basis!$E$3,1)</f>
        <v>6.8</v>
      </c>
      <c r="H293" s="120">
        <f>ROUND($P293*Basis!$E$2*((TaH-TrH)/LN(1/µ)/Basis!$E$7)^$N293*$AA$4*Glycol,0)</f>
        <v>9777</v>
      </c>
      <c r="I293" s="83">
        <f>ROUND(H293/(MID($C293,9,3)/Basis!$E$3/Basis!$E$9)*Basis!$E$11,0)</f>
        <v>1146</v>
      </c>
      <c r="J293" s="123">
        <f>IF(Basis!$E$1=1,ROUND(H293/((TaH-TrH)*1.163)/3600,3),ROUND(H293/(500*(TaH-TrH)),2))</f>
        <v>0.98</v>
      </c>
      <c r="K293" s="84"/>
      <c r="L293" s="177">
        <f>CHOOSE(Basis!$E$1,((AJ293*(J293*3600/Basis!$E$5)^AK293*(((MID(C293,9,3)*10)-144)/1000)*AL293+AM293*(J293*3600/Basis!$E$5)^2)*0.0098)/Basis!$E$10,((AJ293*(J293/Basis!$E$5)^AK293*(((MID(C293,9,3)*10)-144)/1000)*AL293+AM293*(J293/Basis!$E$5)^2)*0.0098)/Basis!$E$10)</f>
        <v>0.11209699301970286</v>
      </c>
      <c r="M293" s="85"/>
      <c r="N293" s="185">
        <v>1.373</v>
      </c>
      <c r="O293" s="186"/>
      <c r="P293" s="187">
        <v>4508</v>
      </c>
      <c r="AJ293" s="125">
        <v>2.0829999999999999E-4</v>
      </c>
      <c r="AK293" s="131">
        <v>1.724</v>
      </c>
      <c r="AL293" s="128">
        <v>2</v>
      </c>
      <c r="AM293" s="125">
        <v>4.6182900000000003E-4</v>
      </c>
    </row>
    <row r="294" spans="1:39" ht="12.75" customHeight="1" x14ac:dyDescent="0.25">
      <c r="A294" s="72" t="s">
        <v>20</v>
      </c>
      <c r="B294" s="184" t="s">
        <v>3090</v>
      </c>
      <c r="C294" s="44" t="s">
        <v>4121</v>
      </c>
      <c r="D294" s="45">
        <f>MROUND(MID($C294,6,3)/Basis!$E$3,0.5)</f>
        <v>19.5</v>
      </c>
      <c r="E294" s="45">
        <f>MROUND(MID($C294,9,3)/Basis!$E$3,0.5)</f>
        <v>102.5</v>
      </c>
      <c r="F294" s="237" t="str">
        <f t="shared" si="4"/>
        <v>20</v>
      </c>
      <c r="G294" s="45">
        <f>ROUND((ROUNDDOWN($F294/5,0)*5+2.2)/Basis!$E$3,1)</f>
        <v>8.6999999999999993</v>
      </c>
      <c r="H294" s="120">
        <f>ROUND($P294*Basis!$E$2*((TaH-TrH)/LN(1/µ)/Basis!$E$7)^$N294*$AA$4*Glycol,0)</f>
        <v>13674</v>
      </c>
      <c r="I294" s="83">
        <f>ROUND(H294/(MID($C294,9,3)/Basis!$E$3/Basis!$E$9)*Basis!$E$11,0)</f>
        <v>1603</v>
      </c>
      <c r="J294" s="123">
        <f>IF(Basis!$E$1=1,ROUND(H294/((TaH-TrH)*1.163)/3600,3),ROUND(H294/(500*(TaH-TrH)),2))</f>
        <v>1.37</v>
      </c>
      <c r="K294" s="84"/>
      <c r="L294" s="177">
        <f>CHOOSE(Basis!$E$1,((AJ294*(J294*3600/Basis!$E$5)^AK294*(((MID(C294,9,3)*10)-144)/1000)*AL294+AM294*(J294*3600/Basis!$E$5)^2)*0.0098)/Basis!$E$10,((AJ294*(J294/Basis!$E$5)^AK294*(((MID(C294,9,3)*10)-144)/1000)*AL294+AM294*(J294/Basis!$E$5)^2)*0.0098)/Basis!$E$10)</f>
        <v>0.15943247155741183</v>
      </c>
      <c r="M294" s="85"/>
      <c r="N294" s="185">
        <v>1.373</v>
      </c>
      <c r="O294" s="186"/>
      <c r="P294" s="187">
        <v>6305</v>
      </c>
      <c r="AJ294" s="126">
        <v>1.2760000000000001E-4</v>
      </c>
      <c r="AK294" s="132">
        <v>1.7219</v>
      </c>
      <c r="AL294" s="129">
        <v>2</v>
      </c>
      <c r="AM294" s="126">
        <v>3.76611E-4</v>
      </c>
    </row>
    <row r="295" spans="1:39" ht="12.75" customHeight="1" x14ac:dyDescent="0.25">
      <c r="A295" s="72" t="s">
        <v>20</v>
      </c>
      <c r="B295" s="184" t="s">
        <v>3090</v>
      </c>
      <c r="C295" s="44" t="s">
        <v>4075</v>
      </c>
      <c r="D295" s="45">
        <f>MROUND(MID($C295,6,3)/Basis!$E$3,0.5)</f>
        <v>19.5</v>
      </c>
      <c r="E295" s="45">
        <f>MROUND(MID($C295,9,3)/Basis!$E$3,0.5)</f>
        <v>110</v>
      </c>
      <c r="F295" s="237" t="str">
        <f t="shared" si="4"/>
        <v>10</v>
      </c>
      <c r="G295" s="45">
        <f>ROUND((ROUNDDOWN($F295/5,0)*5+2.2)/Basis!$E$3,1)</f>
        <v>4.8</v>
      </c>
      <c r="H295" s="120">
        <f>ROUND($P295*Basis!$E$2*((TaH-TrH)/LN(1/µ)/Basis!$E$7)^$N295*$AA$4*Glycol,0)</f>
        <v>6509</v>
      </c>
      <c r="I295" s="83">
        <f>ROUND(H295/(MID($C295,9,3)/Basis!$E$3/Basis!$E$9)*Basis!$E$11,0)</f>
        <v>709</v>
      </c>
      <c r="J295" s="123">
        <f>IF(Basis!$E$1=1,ROUND(H295/((TaH-TrH)*1.163)/3600,3),ROUND(H295/(500*(TaH-TrH)),2))</f>
        <v>0.65</v>
      </c>
      <c r="K295" s="84"/>
      <c r="L295" s="177">
        <f>CHOOSE(Basis!$E$1,((AJ295*(J295*3600/Basis!$E$5)^AK295*(((MID(C295,9,3)*10)-144)/1000)*AL295+AM295*(J295*3600/Basis!$E$5)^2)*0.0098)/Basis!$E$10,((AJ295*(J295/Basis!$E$5)^AK295*(((MID(C295,9,3)*10)-144)/1000)*AL295+AM295*(J295/Basis!$E$5)^2)*0.0098)/Basis!$E$10)</f>
        <v>6.609065502110871E-2</v>
      </c>
      <c r="M295" s="85"/>
      <c r="N295" s="185">
        <v>1.385</v>
      </c>
      <c r="O295" s="186"/>
      <c r="P295" s="187">
        <v>3013</v>
      </c>
      <c r="AJ295" s="126">
        <v>3.9689999999999994E-4</v>
      </c>
      <c r="AK295" s="132">
        <v>1.7345999999999999</v>
      </c>
      <c r="AL295" s="129">
        <v>2</v>
      </c>
      <c r="AM295" s="126">
        <v>3.6734700000000002E-4</v>
      </c>
    </row>
    <row r="296" spans="1:39" ht="12.75" customHeight="1" x14ac:dyDescent="0.25">
      <c r="A296" s="72" t="s">
        <v>20</v>
      </c>
      <c r="B296" s="184" t="s">
        <v>3090</v>
      </c>
      <c r="C296" s="44" t="s">
        <v>4081</v>
      </c>
      <c r="D296" s="45">
        <f>MROUND(MID($C296,6,3)/Basis!$E$3,0.5)</f>
        <v>19.5</v>
      </c>
      <c r="E296" s="45">
        <f>MROUND(MID($C296,9,3)/Basis!$E$3,0.5)</f>
        <v>110</v>
      </c>
      <c r="F296" s="237" t="str">
        <f t="shared" si="4"/>
        <v>15</v>
      </c>
      <c r="G296" s="45">
        <f>ROUND((ROUNDDOWN($F296/5,0)*5+2.2)/Basis!$E$3,1)</f>
        <v>6.8</v>
      </c>
      <c r="H296" s="120">
        <f>ROUND($P296*Basis!$E$2*((TaH-TrH)/LN(1/µ)/Basis!$E$7)^$N296*$AA$4*Glycol,0)</f>
        <v>10530</v>
      </c>
      <c r="I296" s="83">
        <f>ROUND(H296/(MID($C296,9,3)/Basis!$E$3/Basis!$E$9)*Basis!$E$11,0)</f>
        <v>1146</v>
      </c>
      <c r="J296" s="123">
        <f>IF(Basis!$E$1=1,ROUND(H296/((TaH-TrH)*1.163)/3600,3),ROUND(H296/(500*(TaH-TrH)),2))</f>
        <v>1.05</v>
      </c>
      <c r="K296" s="84"/>
      <c r="L296" s="177">
        <f>CHOOSE(Basis!$E$1,((AJ296*(J296*3600/Basis!$E$5)^AK296*(((MID(C296,9,3)*10)-144)/1000)*AL296+AM296*(J296*3600/Basis!$E$5)^2)*0.0098)/Basis!$E$10,((AJ296*(J296/Basis!$E$5)^AK296*(((MID(C296,9,3)*10)-144)/1000)*AL296+AM296*(J296/Basis!$E$5)^2)*0.0098)/Basis!$E$10)</f>
        <v>0.13129518631210635</v>
      </c>
      <c r="M296" s="85"/>
      <c r="N296" s="185">
        <v>1.373</v>
      </c>
      <c r="O296" s="186"/>
      <c r="P296" s="187">
        <v>4855</v>
      </c>
      <c r="AJ296" s="125">
        <v>2.0829999999999999E-4</v>
      </c>
      <c r="AK296" s="131">
        <v>1.724</v>
      </c>
      <c r="AL296" s="128">
        <v>2</v>
      </c>
      <c r="AM296" s="125">
        <v>4.6182900000000003E-4</v>
      </c>
    </row>
    <row r="297" spans="1:39" ht="12.75" customHeight="1" x14ac:dyDescent="0.25">
      <c r="A297" s="72" t="s">
        <v>20</v>
      </c>
      <c r="B297" s="184" t="s">
        <v>3090</v>
      </c>
      <c r="C297" s="44" t="s">
        <v>4083</v>
      </c>
      <c r="D297" s="45">
        <f>MROUND(MID($C297,6,3)/Basis!$E$3,0.5)</f>
        <v>19.5</v>
      </c>
      <c r="E297" s="45">
        <f>MROUND(MID($C297,9,3)/Basis!$E$3,0.5)</f>
        <v>110</v>
      </c>
      <c r="F297" s="237" t="str">
        <f t="shared" si="4"/>
        <v>20</v>
      </c>
      <c r="G297" s="45">
        <f>ROUND((ROUNDDOWN($F297/5,0)*5+2.2)/Basis!$E$3,1)</f>
        <v>8.6999999999999993</v>
      </c>
      <c r="H297" s="120">
        <f>ROUND($P297*Basis!$E$2*((TaH-TrH)/LN(1/µ)/Basis!$E$7)^$N297*$AA$4*Glycol,0)</f>
        <v>14726</v>
      </c>
      <c r="I297" s="83">
        <f>ROUND(H297/(MID($C297,9,3)/Basis!$E$3/Basis!$E$9)*Basis!$E$11,0)</f>
        <v>1603</v>
      </c>
      <c r="J297" s="123">
        <f>IF(Basis!$E$1=1,ROUND(H297/((TaH-TrH)*1.163)/3600,3),ROUND(H297/(500*(TaH-TrH)),2))</f>
        <v>1.47</v>
      </c>
      <c r="K297" s="84"/>
      <c r="L297" s="177">
        <f>CHOOSE(Basis!$E$1,((AJ297*(J297*3600/Basis!$E$5)^AK297*(((MID(C297,9,3)*10)-144)/1000)*AL297+AM297*(J297*3600/Basis!$E$5)^2)*0.0098)/Basis!$E$10,((AJ297*(J297/Basis!$E$5)^AK297*(((MID(C297,9,3)*10)-144)/1000)*AL297+AM297*(J297/Basis!$E$5)^2)*0.0098)/Basis!$E$10)</f>
        <v>0.18635501696180629</v>
      </c>
      <c r="M297" s="85"/>
      <c r="N297" s="185">
        <v>1.373</v>
      </c>
      <c r="O297" s="186"/>
      <c r="P297" s="187">
        <v>6790</v>
      </c>
      <c r="AJ297" s="126">
        <v>1.2760000000000001E-4</v>
      </c>
      <c r="AK297" s="132">
        <v>1.7219</v>
      </c>
      <c r="AL297" s="129">
        <v>2</v>
      </c>
      <c r="AM297" s="126">
        <v>3.76611E-4</v>
      </c>
    </row>
    <row r="298" spans="1:39" ht="12.75" customHeight="1" x14ac:dyDescent="0.25">
      <c r="A298" s="72" t="s">
        <v>20</v>
      </c>
      <c r="B298" s="184" t="s">
        <v>3090</v>
      </c>
      <c r="C298" s="44" t="s">
        <v>3199</v>
      </c>
      <c r="D298" s="45">
        <f>MROUND(MID($C298,6,3)/Basis!$E$3,0.5)</f>
        <v>25.5</v>
      </c>
      <c r="E298" s="45">
        <f>MROUND(MID($C298,9,3)/Basis!$E$3,0.5)</f>
        <v>19.5</v>
      </c>
      <c r="F298" s="237" t="str">
        <f t="shared" si="4"/>
        <v>10</v>
      </c>
      <c r="G298" s="45">
        <f>ROUND((ROUNDDOWN($F298/5,0)*5+2.2)/Basis!$E$3,1)</f>
        <v>4.8</v>
      </c>
      <c r="H298" s="120">
        <f>ROUND($P298*Basis!$E$2*((TaH-TrH)/LN(1/µ)/Basis!$E$7)^$N298*$AA$4*Glycol,0)</f>
        <v>1315</v>
      </c>
      <c r="I298" s="83">
        <f>ROUND(H298/(MID($C298,9,3)/Basis!$E$3/Basis!$E$9)*Basis!$E$11,0)</f>
        <v>802</v>
      </c>
      <c r="J298" s="123">
        <f>IF(Basis!$E$1=1,ROUND(H298/((TaH-TrH)*1.163)/3600,3),ROUND(H298/(500*(TaH-TrH)),2))</f>
        <v>0.13</v>
      </c>
      <c r="K298" s="84"/>
      <c r="L298" s="177">
        <f>CHOOSE(Basis!$E$1,((AJ298*(J298*3600/Basis!$E$5)^AK298*(((MID(C298,9,3)*10)-144)/1000)*AL298+AM298*(J298*3600/Basis!$E$5)^2)*0.0098)/Basis!$E$10,((AJ298*(J298/Basis!$E$5)^AK298*(((MID(C298,9,3)*10)-144)/1000)*AL298+AM298*(J298/Basis!$E$5)^2)*0.0098)/Basis!$E$10)</f>
        <v>1.3751481461631344E-3</v>
      </c>
      <c r="M298" s="85"/>
      <c r="N298" s="185">
        <v>1.371</v>
      </c>
      <c r="O298" s="186"/>
      <c r="P298" s="187">
        <v>606</v>
      </c>
      <c r="AJ298" s="126">
        <v>3.9689999999999994E-4</v>
      </c>
      <c r="AK298" s="132">
        <v>1.7345999999999999</v>
      </c>
      <c r="AL298" s="129">
        <v>2</v>
      </c>
      <c r="AM298" s="126">
        <v>3.6734700000000002E-4</v>
      </c>
    </row>
    <row r="299" spans="1:39" ht="12.75" customHeight="1" x14ac:dyDescent="0.25">
      <c r="A299" s="72" t="s">
        <v>20</v>
      </c>
      <c r="B299" s="184" t="s">
        <v>3090</v>
      </c>
      <c r="C299" s="44" t="s">
        <v>3211</v>
      </c>
      <c r="D299" s="45">
        <f>MROUND(MID($C299,6,3)/Basis!$E$3,0.5)</f>
        <v>25.5</v>
      </c>
      <c r="E299" s="45">
        <f>MROUND(MID($C299,9,3)/Basis!$E$3,0.5)</f>
        <v>19.5</v>
      </c>
      <c r="F299" s="237" t="str">
        <f t="shared" si="4"/>
        <v>15</v>
      </c>
      <c r="G299" s="45">
        <f>ROUND((ROUNDDOWN($F299/5,0)*5+2.2)/Basis!$E$3,1)</f>
        <v>6.8</v>
      </c>
      <c r="H299" s="120">
        <f>ROUND($P299*Basis!$E$2*((TaH-TrH)/LN(1/µ)/Basis!$E$7)^$N299*$AA$4*Glycol,0)</f>
        <v>2097</v>
      </c>
      <c r="I299" s="83">
        <f>ROUND(H299/(MID($C299,9,3)/Basis!$E$3/Basis!$E$9)*Basis!$E$11,0)</f>
        <v>1278</v>
      </c>
      <c r="J299" s="123">
        <f>IF(Basis!$E$1=1,ROUND(H299/((TaH-TrH)*1.163)/3600,3),ROUND(H299/(500*(TaH-TrH)),2))</f>
        <v>0.21</v>
      </c>
      <c r="K299" s="84"/>
      <c r="L299" s="177">
        <f>CHOOSE(Basis!$E$1,((AJ299*(J299*3600/Basis!$E$5)^AK299*(((MID(C299,9,3)*10)-144)/1000)*AL299+AM299*(J299*3600/Basis!$E$5)^2)*0.0098)/Basis!$E$10,((AJ299*(J299/Basis!$E$5)^AK299*(((MID(C299,9,3)*10)-144)/1000)*AL299+AM299*(J299/Basis!$E$5)^2)*0.0098)/Basis!$E$10)</f>
        <v>3.8148991976587956E-3</v>
      </c>
      <c r="M299" s="85"/>
      <c r="N299" s="185">
        <v>1.355</v>
      </c>
      <c r="O299" s="186"/>
      <c r="P299" s="187">
        <v>961</v>
      </c>
      <c r="AJ299" s="125">
        <v>2.0829999999999999E-4</v>
      </c>
      <c r="AK299" s="131">
        <v>1.724</v>
      </c>
      <c r="AL299" s="128">
        <v>2</v>
      </c>
      <c r="AM299" s="125">
        <v>4.6182900000000003E-4</v>
      </c>
    </row>
    <row r="300" spans="1:39" ht="12.75" customHeight="1" x14ac:dyDescent="0.25">
      <c r="A300" s="72" t="s">
        <v>20</v>
      </c>
      <c r="B300" s="184" t="s">
        <v>3090</v>
      </c>
      <c r="C300" s="44" t="s">
        <v>3223</v>
      </c>
      <c r="D300" s="45">
        <f>MROUND(MID($C300,6,3)/Basis!$E$3,0.5)</f>
        <v>25.5</v>
      </c>
      <c r="E300" s="45">
        <f>MROUND(MID($C300,9,3)/Basis!$E$3,0.5)</f>
        <v>19.5</v>
      </c>
      <c r="F300" s="237" t="str">
        <f t="shared" si="4"/>
        <v>20</v>
      </c>
      <c r="G300" s="45">
        <f>ROUND((ROUNDDOWN($F300/5,0)*5+2.2)/Basis!$E$3,1)</f>
        <v>8.6999999999999993</v>
      </c>
      <c r="H300" s="120">
        <f>ROUND($P300*Basis!$E$2*((TaH-TrH)/LN(1/µ)/Basis!$E$7)^$N300*$AA$4*Glycol,0)</f>
        <v>2930</v>
      </c>
      <c r="I300" s="83">
        <f>ROUND(H300/(MID($C300,9,3)/Basis!$E$3/Basis!$E$9)*Basis!$E$11,0)</f>
        <v>1786</v>
      </c>
      <c r="J300" s="123">
        <f>IF(Basis!$E$1=1,ROUND(H300/((TaH-TrH)*1.163)/3600,3),ROUND(H300/(500*(TaH-TrH)),2))</f>
        <v>0.28999999999999998</v>
      </c>
      <c r="K300" s="84"/>
      <c r="L300" s="177">
        <f>CHOOSE(Basis!$E$1,((AJ300*(J300*3600/Basis!$E$5)^AK300*(((MID(C300,9,3)*10)-144)/1000)*AL300+AM300*(J300*3600/Basis!$E$5)^2)*0.0098)/Basis!$E$10,((AJ300*(J300/Basis!$E$5)^AK300*(((MID(C300,9,3)*10)-144)/1000)*AL300+AM300*(J300/Basis!$E$5)^2)*0.0098)/Basis!$E$10)</f>
        <v>5.7444432043868661E-3</v>
      </c>
      <c r="M300" s="85"/>
      <c r="N300" s="185">
        <v>1.355</v>
      </c>
      <c r="O300" s="186"/>
      <c r="P300" s="187">
        <v>1343</v>
      </c>
      <c r="AJ300" s="126">
        <v>1.2760000000000001E-4</v>
      </c>
      <c r="AK300" s="132">
        <v>1.7219</v>
      </c>
      <c r="AL300" s="129">
        <v>2</v>
      </c>
      <c r="AM300" s="126">
        <v>3.76611E-4</v>
      </c>
    </row>
    <row r="301" spans="1:39" ht="12.75" customHeight="1" x14ac:dyDescent="0.25">
      <c r="A301" s="72" t="s">
        <v>20</v>
      </c>
      <c r="B301" s="184" t="s">
        <v>3090</v>
      </c>
      <c r="C301" s="44" t="s">
        <v>3200</v>
      </c>
      <c r="D301" s="45">
        <f>MROUND(MID($C301,6,3)/Basis!$E$3,0.5)</f>
        <v>25.5</v>
      </c>
      <c r="E301" s="45">
        <f>MROUND(MID($C301,9,3)/Basis!$E$3,0.5)</f>
        <v>23.5</v>
      </c>
      <c r="F301" s="237" t="str">
        <f t="shared" si="4"/>
        <v>10</v>
      </c>
      <c r="G301" s="45">
        <f>ROUND((ROUNDDOWN($F301/5,0)*5+2.2)/Basis!$E$3,1)</f>
        <v>4.8</v>
      </c>
      <c r="H301" s="120">
        <f>ROUND($P301*Basis!$E$2*((TaH-TrH)/LN(1/µ)/Basis!$E$7)^$N301*$AA$4*Glycol,0)</f>
        <v>1578</v>
      </c>
      <c r="I301" s="83">
        <f>ROUND(H301/(MID($C301,9,3)/Basis!$E$3/Basis!$E$9)*Basis!$E$11,0)</f>
        <v>802</v>
      </c>
      <c r="J301" s="123">
        <f>IF(Basis!$E$1=1,ROUND(H301/((TaH-TrH)*1.163)/3600,3),ROUND(H301/(500*(TaH-TrH)),2))</f>
        <v>0.16</v>
      </c>
      <c r="K301" s="84"/>
      <c r="L301" s="177">
        <f>CHOOSE(Basis!$E$1,((AJ301*(J301*3600/Basis!$E$5)^AK301*(((MID(C301,9,3)*10)-144)/1000)*AL301+AM301*(J301*3600/Basis!$E$5)^2)*0.0098)/Basis!$E$10,((AJ301*(J301/Basis!$E$5)^AK301*(((MID(C301,9,3)*10)-144)/1000)*AL301+AM301*(J301/Basis!$E$5)^2)*0.0098)/Basis!$E$10)</f>
        <v>2.1885127192364483E-3</v>
      </c>
      <c r="M301" s="85"/>
      <c r="N301" s="185">
        <v>1.371</v>
      </c>
      <c r="O301" s="186"/>
      <c r="P301" s="187">
        <v>727</v>
      </c>
      <c r="AJ301" s="126">
        <v>3.9689999999999994E-4</v>
      </c>
      <c r="AK301" s="132">
        <v>1.7345999999999999</v>
      </c>
      <c r="AL301" s="129">
        <v>2</v>
      </c>
      <c r="AM301" s="126">
        <v>3.6734700000000002E-4</v>
      </c>
    </row>
    <row r="302" spans="1:39" ht="12.75" customHeight="1" x14ac:dyDescent="0.25">
      <c r="A302" s="72" t="s">
        <v>20</v>
      </c>
      <c r="B302" s="184" t="s">
        <v>3090</v>
      </c>
      <c r="C302" s="44" t="s">
        <v>3212</v>
      </c>
      <c r="D302" s="45">
        <f>MROUND(MID($C302,6,3)/Basis!$E$3,0.5)</f>
        <v>25.5</v>
      </c>
      <c r="E302" s="45">
        <f>MROUND(MID($C302,9,3)/Basis!$E$3,0.5)</f>
        <v>23.5</v>
      </c>
      <c r="F302" s="237" t="str">
        <f t="shared" si="4"/>
        <v>15</v>
      </c>
      <c r="G302" s="45">
        <f>ROUND((ROUNDDOWN($F302/5,0)*5+2.2)/Basis!$E$3,1)</f>
        <v>6.8</v>
      </c>
      <c r="H302" s="120">
        <f>ROUND($P302*Basis!$E$2*((TaH-TrH)/LN(1/µ)/Basis!$E$7)^$N302*$AA$4*Glycol,0)</f>
        <v>2516</v>
      </c>
      <c r="I302" s="83">
        <f>ROUND(H302/(MID($C302,9,3)/Basis!$E$3/Basis!$E$9)*Basis!$E$11,0)</f>
        <v>1278</v>
      </c>
      <c r="J302" s="123">
        <f>IF(Basis!$E$1=1,ROUND(H302/((TaH-TrH)*1.163)/3600,3),ROUND(H302/(500*(TaH-TrH)),2))</f>
        <v>0.25</v>
      </c>
      <c r="K302" s="84"/>
      <c r="L302" s="177">
        <f>CHOOSE(Basis!$E$1,((AJ302*(J302*3600/Basis!$E$5)^AK302*(((MID(C302,9,3)*10)-144)/1000)*AL302+AM302*(J302*3600/Basis!$E$5)^2)*0.0098)/Basis!$E$10,((AJ302*(J302/Basis!$E$5)^AK302*(((MID(C302,9,3)*10)-144)/1000)*AL302+AM302*(J302/Basis!$E$5)^2)*0.0098)/Basis!$E$10)</f>
        <v>5.5253632032331154E-3</v>
      </c>
      <c r="M302" s="85"/>
      <c r="N302" s="185">
        <v>1.355</v>
      </c>
      <c r="O302" s="186"/>
      <c r="P302" s="187">
        <v>1153</v>
      </c>
      <c r="AJ302" s="125">
        <v>2.0829999999999999E-4</v>
      </c>
      <c r="AK302" s="131">
        <v>1.724</v>
      </c>
      <c r="AL302" s="128">
        <v>2</v>
      </c>
      <c r="AM302" s="125">
        <v>4.6182900000000003E-4</v>
      </c>
    </row>
    <row r="303" spans="1:39" ht="12.75" customHeight="1" x14ac:dyDescent="0.25">
      <c r="A303" s="72" t="s">
        <v>20</v>
      </c>
      <c r="B303" s="184" t="s">
        <v>3090</v>
      </c>
      <c r="C303" s="44" t="s">
        <v>3224</v>
      </c>
      <c r="D303" s="45">
        <f>MROUND(MID($C303,6,3)/Basis!$E$3,0.5)</f>
        <v>25.5</v>
      </c>
      <c r="E303" s="45">
        <f>MROUND(MID($C303,9,3)/Basis!$E$3,0.5)</f>
        <v>23.5</v>
      </c>
      <c r="F303" s="237" t="str">
        <f t="shared" si="4"/>
        <v>20</v>
      </c>
      <c r="G303" s="45">
        <f>ROUND((ROUNDDOWN($F303/5,0)*5+2.2)/Basis!$E$3,1)</f>
        <v>8.6999999999999993</v>
      </c>
      <c r="H303" s="120">
        <f>ROUND($P303*Basis!$E$2*((TaH-TrH)/LN(1/µ)/Basis!$E$7)^$N303*$AA$4*Glycol,0)</f>
        <v>3515</v>
      </c>
      <c r="I303" s="83">
        <f>ROUND(H303/(MID($C303,9,3)/Basis!$E$3/Basis!$E$9)*Basis!$E$11,0)</f>
        <v>1786</v>
      </c>
      <c r="J303" s="123">
        <f>IF(Basis!$E$1=1,ROUND(H303/((TaH-TrH)*1.163)/3600,3),ROUND(H303/(500*(TaH-TrH)),2))</f>
        <v>0.35</v>
      </c>
      <c r="K303" s="84"/>
      <c r="L303" s="177">
        <f>CHOOSE(Basis!$E$1,((AJ303*(J303*3600/Basis!$E$5)^AK303*(((MID(C303,9,3)*10)-144)/1000)*AL303+AM303*(J303*3600/Basis!$E$5)^2)*0.0098)/Basis!$E$10,((AJ303*(J303/Basis!$E$5)^AK303*(((MID(C303,9,3)*10)-144)/1000)*AL303+AM303*(J303/Basis!$E$5)^2)*0.0098)/Basis!$E$10)</f>
        <v>8.4936663523094875E-3</v>
      </c>
      <c r="M303" s="85"/>
      <c r="N303" s="185">
        <v>1.355</v>
      </c>
      <c r="O303" s="186"/>
      <c r="P303" s="187">
        <v>1611</v>
      </c>
      <c r="AJ303" s="126">
        <v>1.2760000000000001E-4</v>
      </c>
      <c r="AK303" s="132">
        <v>1.7219</v>
      </c>
      <c r="AL303" s="129">
        <v>2</v>
      </c>
      <c r="AM303" s="126">
        <v>3.76611E-4</v>
      </c>
    </row>
    <row r="304" spans="1:39" ht="12.75" customHeight="1" x14ac:dyDescent="0.25">
      <c r="A304" s="72" t="s">
        <v>20</v>
      </c>
      <c r="B304" s="184" t="s">
        <v>3090</v>
      </c>
      <c r="C304" s="44" t="s">
        <v>3201</v>
      </c>
      <c r="D304" s="45">
        <f>MROUND(MID($C304,6,3)/Basis!$E$3,0.5)</f>
        <v>25.5</v>
      </c>
      <c r="E304" s="45">
        <f>MROUND(MID($C304,9,3)/Basis!$E$3,0.5)</f>
        <v>27.5</v>
      </c>
      <c r="F304" s="237" t="str">
        <f t="shared" si="4"/>
        <v>10</v>
      </c>
      <c r="G304" s="45">
        <f>ROUND((ROUNDDOWN($F304/5,0)*5+2.2)/Basis!$E$3,1)</f>
        <v>4.8</v>
      </c>
      <c r="H304" s="120">
        <f>ROUND($P304*Basis!$E$2*((TaH-TrH)/LN(1/µ)/Basis!$E$7)^$N304*$AA$4*Glycol,0)</f>
        <v>1840</v>
      </c>
      <c r="I304" s="83">
        <f>ROUND(H304/(MID($C304,9,3)/Basis!$E$3/Basis!$E$9)*Basis!$E$11,0)</f>
        <v>801</v>
      </c>
      <c r="J304" s="123">
        <f>IF(Basis!$E$1=1,ROUND(H304/((TaH-TrH)*1.163)/3600,3),ROUND(H304/(500*(TaH-TrH)),2))</f>
        <v>0.18</v>
      </c>
      <c r="K304" s="84"/>
      <c r="L304" s="177">
        <f>CHOOSE(Basis!$E$1,((AJ304*(J304*3600/Basis!$E$5)^AK304*(((MID(C304,9,3)*10)-144)/1000)*AL304+AM304*(J304*3600/Basis!$E$5)^2)*0.0098)/Basis!$E$10,((AJ304*(J304/Basis!$E$5)^AK304*(((MID(C304,9,3)*10)-144)/1000)*AL304+AM304*(J304/Basis!$E$5)^2)*0.0098)/Basis!$E$10)</f>
        <v>2.9084053126863948E-3</v>
      </c>
      <c r="M304" s="85"/>
      <c r="N304" s="185">
        <v>1.371</v>
      </c>
      <c r="O304" s="186"/>
      <c r="P304" s="187">
        <v>848</v>
      </c>
      <c r="AJ304" s="126">
        <v>3.9689999999999994E-4</v>
      </c>
      <c r="AK304" s="132">
        <v>1.7345999999999999</v>
      </c>
      <c r="AL304" s="129">
        <v>2</v>
      </c>
      <c r="AM304" s="126">
        <v>3.6734700000000002E-4</v>
      </c>
    </row>
    <row r="305" spans="1:39" ht="12.75" customHeight="1" x14ac:dyDescent="0.25">
      <c r="A305" s="72" t="s">
        <v>20</v>
      </c>
      <c r="B305" s="184" t="s">
        <v>3090</v>
      </c>
      <c r="C305" s="44" t="s">
        <v>3213</v>
      </c>
      <c r="D305" s="45">
        <f>MROUND(MID($C305,6,3)/Basis!$E$3,0.5)</f>
        <v>25.5</v>
      </c>
      <c r="E305" s="45">
        <f>MROUND(MID($C305,9,3)/Basis!$E$3,0.5)</f>
        <v>27.5</v>
      </c>
      <c r="F305" s="237" t="str">
        <f t="shared" si="4"/>
        <v>15</v>
      </c>
      <c r="G305" s="45">
        <f>ROUND((ROUNDDOWN($F305/5,0)*5+2.2)/Basis!$E$3,1)</f>
        <v>6.8</v>
      </c>
      <c r="H305" s="120">
        <f>ROUND($P305*Basis!$E$2*((TaH-TrH)/LN(1/µ)/Basis!$E$7)^$N305*$AA$4*Glycol,0)</f>
        <v>2934</v>
      </c>
      <c r="I305" s="83">
        <f>ROUND(H305/(MID($C305,9,3)/Basis!$E$3/Basis!$E$9)*Basis!$E$11,0)</f>
        <v>1278</v>
      </c>
      <c r="J305" s="123">
        <f>IF(Basis!$E$1=1,ROUND(H305/((TaH-TrH)*1.163)/3600,3),ROUND(H305/(500*(TaH-TrH)),2))</f>
        <v>0.28999999999999998</v>
      </c>
      <c r="K305" s="84"/>
      <c r="L305" s="177">
        <f>CHOOSE(Basis!$E$1,((AJ305*(J305*3600/Basis!$E$5)^AK305*(((MID(C305,9,3)*10)-144)/1000)*AL305+AM305*(J305*3600/Basis!$E$5)^2)*0.0098)/Basis!$E$10,((AJ305*(J305/Basis!$E$5)^AK305*(((MID(C305,9,3)*10)-144)/1000)*AL305+AM305*(J305/Basis!$E$5)^2)*0.0098)/Basis!$E$10)</f>
        <v>7.5854955863368994E-3</v>
      </c>
      <c r="M305" s="85"/>
      <c r="N305" s="185">
        <v>1.355</v>
      </c>
      <c r="O305" s="186"/>
      <c r="P305" s="187">
        <v>1345</v>
      </c>
      <c r="AJ305" s="125">
        <v>2.0829999999999999E-4</v>
      </c>
      <c r="AK305" s="131">
        <v>1.724</v>
      </c>
      <c r="AL305" s="128">
        <v>2</v>
      </c>
      <c r="AM305" s="125">
        <v>4.6182900000000003E-4</v>
      </c>
    </row>
    <row r="306" spans="1:39" ht="12.75" customHeight="1" x14ac:dyDescent="0.25">
      <c r="A306" s="72" t="s">
        <v>20</v>
      </c>
      <c r="B306" s="184" t="s">
        <v>3090</v>
      </c>
      <c r="C306" s="44" t="s">
        <v>3225</v>
      </c>
      <c r="D306" s="45">
        <f>MROUND(MID($C306,6,3)/Basis!$E$3,0.5)</f>
        <v>25.5</v>
      </c>
      <c r="E306" s="45">
        <f>MROUND(MID($C306,9,3)/Basis!$E$3,0.5)</f>
        <v>27.5</v>
      </c>
      <c r="F306" s="237" t="str">
        <f t="shared" si="4"/>
        <v>20</v>
      </c>
      <c r="G306" s="45">
        <f>ROUND((ROUNDDOWN($F306/5,0)*5+2.2)/Basis!$E$3,1)</f>
        <v>8.6999999999999993</v>
      </c>
      <c r="H306" s="120">
        <f>ROUND($P306*Basis!$E$2*((TaH-TrH)/LN(1/µ)/Basis!$E$7)^$N306*$AA$4*Glycol,0)</f>
        <v>4102</v>
      </c>
      <c r="I306" s="83">
        <f>ROUND(H306/(MID($C306,9,3)/Basis!$E$3/Basis!$E$9)*Basis!$E$11,0)</f>
        <v>1786</v>
      </c>
      <c r="J306" s="123">
        <f>IF(Basis!$E$1=1,ROUND(H306/((TaH-TrH)*1.163)/3600,3),ROUND(H306/(500*(TaH-TrH)),2))</f>
        <v>0.41</v>
      </c>
      <c r="K306" s="84"/>
      <c r="L306" s="177">
        <f>CHOOSE(Basis!$E$1,((AJ306*(J306*3600/Basis!$E$5)^AK306*(((MID(C306,9,3)*10)-144)/1000)*AL306+AM306*(J306*3600/Basis!$E$5)^2)*0.0098)/Basis!$E$10,((AJ306*(J306/Basis!$E$5)^AK306*(((MID(C306,9,3)*10)-144)/1000)*AL306+AM306*(J306/Basis!$E$5)^2)*0.0098)/Basis!$E$10)</f>
        <v>1.1818392726907644E-2</v>
      </c>
      <c r="M306" s="85"/>
      <c r="N306" s="185">
        <v>1.355</v>
      </c>
      <c r="O306" s="186"/>
      <c r="P306" s="187">
        <v>1880</v>
      </c>
      <c r="AJ306" s="126">
        <v>1.2760000000000001E-4</v>
      </c>
      <c r="AK306" s="132">
        <v>1.7219</v>
      </c>
      <c r="AL306" s="129">
        <v>2</v>
      </c>
      <c r="AM306" s="126">
        <v>3.76611E-4</v>
      </c>
    </row>
    <row r="307" spans="1:39" ht="12.75" customHeight="1" x14ac:dyDescent="0.25">
      <c r="A307" s="72" t="s">
        <v>20</v>
      </c>
      <c r="B307" s="184" t="s">
        <v>3090</v>
      </c>
      <c r="C307" s="44" t="s">
        <v>3202</v>
      </c>
      <c r="D307" s="45">
        <f>MROUND(MID($C307,6,3)/Basis!$E$3,0.5)</f>
        <v>25.5</v>
      </c>
      <c r="E307" s="45">
        <f>MROUND(MID($C307,9,3)/Basis!$E$3,0.5)</f>
        <v>31.5</v>
      </c>
      <c r="F307" s="237" t="str">
        <f t="shared" si="4"/>
        <v>10</v>
      </c>
      <c r="G307" s="45">
        <f>ROUND((ROUNDDOWN($F307/5,0)*5+2.2)/Basis!$E$3,1)</f>
        <v>4.8</v>
      </c>
      <c r="H307" s="120">
        <f>ROUND($P307*Basis!$E$2*((TaH-TrH)/LN(1/µ)/Basis!$E$7)^$N307*$AA$4*Glycol,0)</f>
        <v>2103</v>
      </c>
      <c r="I307" s="83">
        <f>ROUND(H307/(MID($C307,9,3)/Basis!$E$3/Basis!$E$9)*Basis!$E$11,0)</f>
        <v>801</v>
      </c>
      <c r="J307" s="123">
        <f>IF(Basis!$E$1=1,ROUND(H307/((TaH-TrH)*1.163)/3600,3),ROUND(H307/(500*(TaH-TrH)),2))</f>
        <v>0.21</v>
      </c>
      <c r="K307" s="84"/>
      <c r="L307" s="177">
        <f>CHOOSE(Basis!$E$1,((AJ307*(J307*3600/Basis!$E$5)^AK307*(((MID(C307,9,3)*10)-144)/1000)*AL307+AM307*(J307*3600/Basis!$E$5)^2)*0.0098)/Basis!$E$10,((AJ307*(J307/Basis!$E$5)^AK307*(((MID(C307,9,3)*10)-144)/1000)*AL307+AM307*(J307/Basis!$E$5)^2)*0.0098)/Basis!$E$10)</f>
        <v>4.1212093512648972E-3</v>
      </c>
      <c r="M307" s="85"/>
      <c r="N307" s="185">
        <v>1.371</v>
      </c>
      <c r="O307" s="186"/>
      <c r="P307" s="187">
        <v>969</v>
      </c>
      <c r="AJ307" s="126">
        <v>3.9689999999999994E-4</v>
      </c>
      <c r="AK307" s="132">
        <v>1.7345999999999999</v>
      </c>
      <c r="AL307" s="129">
        <v>2</v>
      </c>
      <c r="AM307" s="126">
        <v>3.6734700000000002E-4</v>
      </c>
    </row>
    <row r="308" spans="1:39" ht="12.75" customHeight="1" x14ac:dyDescent="0.25">
      <c r="A308" s="72" t="s">
        <v>20</v>
      </c>
      <c r="B308" s="184" t="s">
        <v>3090</v>
      </c>
      <c r="C308" s="44" t="s">
        <v>3214</v>
      </c>
      <c r="D308" s="45">
        <f>MROUND(MID($C308,6,3)/Basis!$E$3,0.5)</f>
        <v>25.5</v>
      </c>
      <c r="E308" s="45">
        <f>MROUND(MID($C308,9,3)/Basis!$E$3,0.5)</f>
        <v>31.5</v>
      </c>
      <c r="F308" s="237" t="str">
        <f t="shared" si="4"/>
        <v>15</v>
      </c>
      <c r="G308" s="45">
        <f>ROUND((ROUNDDOWN($F308/5,0)*5+2.2)/Basis!$E$3,1)</f>
        <v>6.8</v>
      </c>
      <c r="H308" s="120">
        <f>ROUND($P308*Basis!$E$2*((TaH-TrH)/LN(1/µ)/Basis!$E$7)^$N308*$AA$4*Glycol,0)</f>
        <v>3356</v>
      </c>
      <c r="I308" s="83">
        <f>ROUND(H308/(MID($C308,9,3)/Basis!$E$3/Basis!$E$9)*Basis!$E$11,0)</f>
        <v>1279</v>
      </c>
      <c r="J308" s="123">
        <f>IF(Basis!$E$1=1,ROUND(H308/((TaH-TrH)*1.163)/3600,3),ROUND(H308/(500*(TaH-TrH)),2))</f>
        <v>0.34</v>
      </c>
      <c r="K308" s="84"/>
      <c r="L308" s="177">
        <f>CHOOSE(Basis!$E$1,((AJ308*(J308*3600/Basis!$E$5)^AK308*(((MID(C308,9,3)*10)-144)/1000)*AL308+AM308*(J308*3600/Basis!$E$5)^2)*0.0098)/Basis!$E$10,((AJ308*(J308/Basis!$E$5)^AK308*(((MID(C308,9,3)*10)-144)/1000)*AL308+AM308*(J308/Basis!$E$5)^2)*0.0098)/Basis!$E$10)</f>
        <v>1.0610342233549093E-2</v>
      </c>
      <c r="M308" s="85"/>
      <c r="N308" s="185">
        <v>1.355</v>
      </c>
      <c r="O308" s="186"/>
      <c r="P308" s="187">
        <v>1538</v>
      </c>
      <c r="AJ308" s="125">
        <v>2.0829999999999999E-4</v>
      </c>
      <c r="AK308" s="131">
        <v>1.724</v>
      </c>
      <c r="AL308" s="128">
        <v>2</v>
      </c>
      <c r="AM308" s="125">
        <v>4.6182900000000003E-4</v>
      </c>
    </row>
    <row r="309" spans="1:39" ht="12.75" customHeight="1" x14ac:dyDescent="0.25">
      <c r="A309" s="72" t="s">
        <v>20</v>
      </c>
      <c r="B309" s="184" t="s">
        <v>3090</v>
      </c>
      <c r="C309" s="44" t="s">
        <v>3226</v>
      </c>
      <c r="D309" s="45">
        <f>MROUND(MID($C309,6,3)/Basis!$E$3,0.5)</f>
        <v>25.5</v>
      </c>
      <c r="E309" s="45">
        <f>MROUND(MID($C309,9,3)/Basis!$E$3,0.5)</f>
        <v>31.5</v>
      </c>
      <c r="F309" s="237" t="str">
        <f t="shared" si="4"/>
        <v>20</v>
      </c>
      <c r="G309" s="45">
        <f>ROUND((ROUNDDOWN($F309/5,0)*5+2.2)/Basis!$E$3,1)</f>
        <v>8.6999999999999993</v>
      </c>
      <c r="H309" s="120">
        <f>ROUND($P309*Basis!$E$2*((TaH-TrH)/LN(1/µ)/Basis!$E$7)^$N309*$AA$4*Glycol,0)</f>
        <v>4686</v>
      </c>
      <c r="I309" s="83">
        <f>ROUND(H309/(MID($C309,9,3)/Basis!$E$3/Basis!$E$9)*Basis!$E$11,0)</f>
        <v>1785</v>
      </c>
      <c r="J309" s="123">
        <f>IF(Basis!$E$1=1,ROUND(H309/((TaH-TrH)*1.163)/3600,3),ROUND(H309/(500*(TaH-TrH)),2))</f>
        <v>0.47</v>
      </c>
      <c r="K309" s="84"/>
      <c r="L309" s="177">
        <f>CHOOSE(Basis!$E$1,((AJ309*(J309*3600/Basis!$E$5)^AK309*(((MID(C309,9,3)*10)-144)/1000)*AL309+AM309*(J309*3600/Basis!$E$5)^2)*0.0098)/Basis!$E$10,((AJ309*(J309/Basis!$E$5)^AK309*(((MID(C309,9,3)*10)-144)/1000)*AL309+AM309*(J309/Basis!$E$5)^2)*0.0098)/Basis!$E$10)</f>
        <v>1.5734130280911161E-2</v>
      </c>
      <c r="M309" s="85"/>
      <c r="N309" s="185">
        <v>1.355</v>
      </c>
      <c r="O309" s="186"/>
      <c r="P309" s="187">
        <v>2148</v>
      </c>
      <c r="AJ309" s="126">
        <v>1.2760000000000001E-4</v>
      </c>
      <c r="AK309" s="132">
        <v>1.7219</v>
      </c>
      <c r="AL309" s="129">
        <v>2</v>
      </c>
      <c r="AM309" s="126">
        <v>3.76611E-4</v>
      </c>
    </row>
    <row r="310" spans="1:39" ht="12.75" customHeight="1" x14ac:dyDescent="0.25">
      <c r="A310" s="72" t="s">
        <v>20</v>
      </c>
      <c r="B310" s="184" t="s">
        <v>3090</v>
      </c>
      <c r="C310" s="44" t="s">
        <v>3203</v>
      </c>
      <c r="D310" s="45">
        <f>MROUND(MID($C310,6,3)/Basis!$E$3,0.5)</f>
        <v>25.5</v>
      </c>
      <c r="E310" s="45">
        <f>MROUND(MID($C310,9,3)/Basis!$E$3,0.5)</f>
        <v>35.5</v>
      </c>
      <c r="F310" s="237" t="str">
        <f t="shared" si="4"/>
        <v>10</v>
      </c>
      <c r="G310" s="45">
        <f>ROUND((ROUNDDOWN($F310/5,0)*5+2.2)/Basis!$E$3,1)</f>
        <v>4.8</v>
      </c>
      <c r="H310" s="120">
        <f>ROUND($P310*Basis!$E$2*((TaH-TrH)/LN(1/µ)/Basis!$E$7)^$N310*$AA$4*Glycol,0)</f>
        <v>2366</v>
      </c>
      <c r="I310" s="83">
        <f>ROUND(H310/(MID($C310,9,3)/Basis!$E$3/Basis!$E$9)*Basis!$E$11,0)</f>
        <v>801</v>
      </c>
      <c r="J310" s="123">
        <f>IF(Basis!$E$1=1,ROUND(H310/((TaH-TrH)*1.163)/3600,3),ROUND(H310/(500*(TaH-TrH)),2))</f>
        <v>0.24</v>
      </c>
      <c r="K310" s="84"/>
      <c r="L310" s="177">
        <f>CHOOSE(Basis!$E$1,((AJ310*(J310*3600/Basis!$E$5)^AK310*(((MID(C310,9,3)*10)-144)/1000)*AL310+AM310*(J310*3600/Basis!$E$5)^2)*0.0098)/Basis!$E$10,((AJ310*(J310/Basis!$E$5)^AK310*(((MID(C310,9,3)*10)-144)/1000)*AL310+AM310*(J310/Basis!$E$5)^2)*0.0098)/Basis!$E$10)</f>
        <v>5.5865261385593208E-3</v>
      </c>
      <c r="M310" s="85"/>
      <c r="N310" s="185">
        <v>1.371</v>
      </c>
      <c r="O310" s="186"/>
      <c r="P310" s="187">
        <v>1090</v>
      </c>
      <c r="AJ310" s="126">
        <v>3.9689999999999994E-4</v>
      </c>
      <c r="AK310" s="132">
        <v>1.7345999999999999</v>
      </c>
      <c r="AL310" s="129">
        <v>2</v>
      </c>
      <c r="AM310" s="126">
        <v>3.6734700000000002E-4</v>
      </c>
    </row>
    <row r="311" spans="1:39" ht="12.75" customHeight="1" x14ac:dyDescent="0.25">
      <c r="A311" s="72" t="s">
        <v>20</v>
      </c>
      <c r="B311" s="184" t="s">
        <v>3090</v>
      </c>
      <c r="C311" s="44" t="s">
        <v>3215</v>
      </c>
      <c r="D311" s="45">
        <f>MROUND(MID($C311,6,3)/Basis!$E$3,0.5)</f>
        <v>25.5</v>
      </c>
      <c r="E311" s="45">
        <f>MROUND(MID($C311,9,3)/Basis!$E$3,0.5)</f>
        <v>35.5</v>
      </c>
      <c r="F311" s="237" t="str">
        <f t="shared" si="4"/>
        <v>15</v>
      </c>
      <c r="G311" s="45">
        <f>ROUND((ROUNDDOWN($F311/5,0)*5+2.2)/Basis!$E$3,1)</f>
        <v>6.8</v>
      </c>
      <c r="H311" s="120">
        <f>ROUND($P311*Basis!$E$2*((TaH-TrH)/LN(1/µ)/Basis!$E$7)^$N311*$AA$4*Glycol,0)</f>
        <v>3774</v>
      </c>
      <c r="I311" s="83">
        <f>ROUND(H311/(MID($C311,9,3)/Basis!$E$3/Basis!$E$9)*Basis!$E$11,0)</f>
        <v>1278</v>
      </c>
      <c r="J311" s="123">
        <f>IF(Basis!$E$1=1,ROUND(H311/((TaH-TrH)*1.163)/3600,3),ROUND(H311/(500*(TaH-TrH)),2))</f>
        <v>0.38</v>
      </c>
      <c r="K311" s="84"/>
      <c r="L311" s="177">
        <f>CHOOSE(Basis!$E$1,((AJ311*(J311*3600/Basis!$E$5)^AK311*(((MID(C311,9,3)*10)-144)/1000)*AL311+AM311*(J311*3600/Basis!$E$5)^2)*0.0098)/Basis!$E$10,((AJ311*(J311/Basis!$E$5)^AK311*(((MID(C311,9,3)*10)-144)/1000)*AL311+AM311*(J311/Basis!$E$5)^2)*0.0098)/Basis!$E$10)</f>
        <v>1.3489589047828631E-2</v>
      </c>
      <c r="M311" s="85"/>
      <c r="N311" s="185">
        <v>1.355</v>
      </c>
      <c r="O311" s="186"/>
      <c r="P311" s="187">
        <v>1730</v>
      </c>
      <c r="AJ311" s="125">
        <v>2.0829999999999999E-4</v>
      </c>
      <c r="AK311" s="131">
        <v>1.724</v>
      </c>
      <c r="AL311" s="128">
        <v>2</v>
      </c>
      <c r="AM311" s="125">
        <v>4.6182900000000003E-4</v>
      </c>
    </row>
    <row r="312" spans="1:39" ht="12.75" customHeight="1" x14ac:dyDescent="0.25">
      <c r="A312" s="72" t="s">
        <v>20</v>
      </c>
      <c r="B312" s="184" t="s">
        <v>3090</v>
      </c>
      <c r="C312" s="44" t="s">
        <v>3227</v>
      </c>
      <c r="D312" s="45">
        <f>MROUND(MID($C312,6,3)/Basis!$E$3,0.5)</f>
        <v>25.5</v>
      </c>
      <c r="E312" s="45">
        <f>MROUND(MID($C312,9,3)/Basis!$E$3,0.5)</f>
        <v>35.5</v>
      </c>
      <c r="F312" s="237" t="str">
        <f t="shared" si="4"/>
        <v>20</v>
      </c>
      <c r="G312" s="45">
        <f>ROUND((ROUNDDOWN($F312/5,0)*5+2.2)/Basis!$E$3,1)</f>
        <v>8.6999999999999993</v>
      </c>
      <c r="H312" s="120">
        <f>ROUND($P312*Basis!$E$2*((TaH-TrH)/LN(1/µ)/Basis!$E$7)^$N312*$AA$4*Glycol,0)</f>
        <v>5273</v>
      </c>
      <c r="I312" s="83">
        <f>ROUND(H312/(MID($C312,9,3)/Basis!$E$3/Basis!$E$9)*Basis!$E$11,0)</f>
        <v>1786</v>
      </c>
      <c r="J312" s="123">
        <f>IF(Basis!$E$1=1,ROUND(H312/((TaH-TrH)*1.163)/3600,3),ROUND(H312/(500*(TaH-TrH)),2))</f>
        <v>0.53</v>
      </c>
      <c r="K312" s="84"/>
      <c r="L312" s="177">
        <f>CHOOSE(Basis!$E$1,((AJ312*(J312*3600/Basis!$E$5)^AK312*(((MID(C312,9,3)*10)-144)/1000)*AL312+AM312*(J312*3600/Basis!$E$5)^2)*0.0098)/Basis!$E$10,((AJ312*(J312/Basis!$E$5)^AK312*(((MID(C312,9,3)*10)-144)/1000)*AL312+AM312*(J312/Basis!$E$5)^2)*0.0098)/Basis!$E$10)</f>
        <v>2.025572143447045E-2</v>
      </c>
      <c r="M312" s="85"/>
      <c r="N312" s="185">
        <v>1.355</v>
      </c>
      <c r="O312" s="186"/>
      <c r="P312" s="187">
        <v>2417</v>
      </c>
      <c r="AJ312" s="126">
        <v>1.2760000000000001E-4</v>
      </c>
      <c r="AK312" s="132">
        <v>1.7219</v>
      </c>
      <c r="AL312" s="129">
        <v>2</v>
      </c>
      <c r="AM312" s="126">
        <v>3.76611E-4</v>
      </c>
    </row>
    <row r="313" spans="1:39" ht="12.75" customHeight="1" x14ac:dyDescent="0.25">
      <c r="A313" s="72" t="s">
        <v>20</v>
      </c>
      <c r="B313" s="184" t="s">
        <v>3090</v>
      </c>
      <c r="C313" s="44" t="s">
        <v>3204</v>
      </c>
      <c r="D313" s="45">
        <f>MROUND(MID($C313,6,3)/Basis!$E$3,0.5)</f>
        <v>25.5</v>
      </c>
      <c r="E313" s="45">
        <f>MROUND(MID($C313,9,3)/Basis!$E$3,0.5)</f>
        <v>39.5</v>
      </c>
      <c r="F313" s="237" t="str">
        <f t="shared" si="4"/>
        <v>10</v>
      </c>
      <c r="G313" s="45">
        <f>ROUND((ROUNDDOWN($F313/5,0)*5+2.2)/Basis!$E$3,1)</f>
        <v>4.8</v>
      </c>
      <c r="H313" s="120">
        <f>ROUND($P313*Basis!$E$2*((TaH-TrH)/LN(1/µ)/Basis!$E$7)^$N313*$AA$4*Glycol,0)</f>
        <v>2628</v>
      </c>
      <c r="I313" s="83">
        <f>ROUND(H313/(MID($C313,9,3)/Basis!$E$3/Basis!$E$9)*Basis!$E$11,0)</f>
        <v>801</v>
      </c>
      <c r="J313" s="123">
        <f>IF(Basis!$E$1=1,ROUND(H313/((TaH-TrH)*1.163)/3600,3),ROUND(H313/(500*(TaH-TrH)),2))</f>
        <v>0.26</v>
      </c>
      <c r="K313" s="84"/>
      <c r="L313" s="177">
        <f>CHOOSE(Basis!$E$1,((AJ313*(J313*3600/Basis!$E$5)^AK313*(((MID(C313,9,3)*10)-144)/1000)*AL313+AM313*(J313*3600/Basis!$E$5)^2)*0.0098)/Basis!$E$10,((AJ313*(J313/Basis!$E$5)^AK313*(((MID(C313,9,3)*10)-144)/1000)*AL313+AM313*(J313/Basis!$E$5)^2)*0.0098)/Basis!$E$10)</f>
        <v>6.8132665706699689E-3</v>
      </c>
      <c r="M313" s="85"/>
      <c r="N313" s="185">
        <v>1.371</v>
      </c>
      <c r="O313" s="186"/>
      <c r="P313" s="187">
        <v>1211</v>
      </c>
      <c r="AJ313" s="126">
        <v>3.9689999999999994E-4</v>
      </c>
      <c r="AK313" s="132">
        <v>1.7345999999999999</v>
      </c>
      <c r="AL313" s="129">
        <v>2</v>
      </c>
      <c r="AM313" s="126">
        <v>3.6734700000000002E-4</v>
      </c>
    </row>
    <row r="314" spans="1:39" ht="12.75" customHeight="1" x14ac:dyDescent="0.25">
      <c r="A314" s="72" t="s">
        <v>20</v>
      </c>
      <c r="B314" s="184" t="s">
        <v>3090</v>
      </c>
      <c r="C314" s="44" t="s">
        <v>3216</v>
      </c>
      <c r="D314" s="45">
        <f>MROUND(MID($C314,6,3)/Basis!$E$3,0.5)</f>
        <v>25.5</v>
      </c>
      <c r="E314" s="45">
        <f>MROUND(MID($C314,9,3)/Basis!$E$3,0.5)</f>
        <v>39.5</v>
      </c>
      <c r="F314" s="237" t="str">
        <f t="shared" si="4"/>
        <v>15</v>
      </c>
      <c r="G314" s="45">
        <f>ROUND((ROUNDDOWN($F314/5,0)*5+2.2)/Basis!$E$3,1)</f>
        <v>6.8</v>
      </c>
      <c r="H314" s="120">
        <f>ROUND($P314*Basis!$E$2*((TaH-TrH)/LN(1/µ)/Basis!$E$7)^$N314*$AA$4*Glycol,0)</f>
        <v>4193</v>
      </c>
      <c r="I314" s="83">
        <f>ROUND(H314/(MID($C314,9,3)/Basis!$E$3/Basis!$E$9)*Basis!$E$11,0)</f>
        <v>1278</v>
      </c>
      <c r="J314" s="123">
        <f>IF(Basis!$E$1=1,ROUND(H314/((TaH-TrH)*1.163)/3600,3),ROUND(H314/(500*(TaH-TrH)),2))</f>
        <v>0.42</v>
      </c>
      <c r="K314" s="84"/>
      <c r="L314" s="177">
        <f>CHOOSE(Basis!$E$1,((AJ314*(J314*3600/Basis!$E$5)^AK314*(((MID(C314,9,3)*10)-144)/1000)*AL314+AM314*(J314*3600/Basis!$E$5)^2)*0.0098)/Basis!$E$10,((AJ314*(J314/Basis!$E$5)^AK314*(((MID(C314,9,3)*10)-144)/1000)*AL314+AM314*(J314/Basis!$E$5)^2)*0.0098)/Basis!$E$10)</f>
        <v>1.675667589273178E-2</v>
      </c>
      <c r="M314" s="85"/>
      <c r="N314" s="185">
        <v>1.355</v>
      </c>
      <c r="O314" s="186"/>
      <c r="P314" s="187">
        <v>1922</v>
      </c>
      <c r="AJ314" s="125">
        <v>2.0829999999999999E-4</v>
      </c>
      <c r="AK314" s="131">
        <v>1.724</v>
      </c>
      <c r="AL314" s="128">
        <v>2</v>
      </c>
      <c r="AM314" s="125">
        <v>4.6182900000000003E-4</v>
      </c>
    </row>
    <row r="315" spans="1:39" ht="12.75" customHeight="1" x14ac:dyDescent="0.25">
      <c r="A315" s="72" t="s">
        <v>20</v>
      </c>
      <c r="B315" s="184" t="s">
        <v>3090</v>
      </c>
      <c r="C315" s="44" t="s">
        <v>3228</v>
      </c>
      <c r="D315" s="45">
        <f>MROUND(MID($C315,6,3)/Basis!$E$3,0.5)</f>
        <v>25.5</v>
      </c>
      <c r="E315" s="45">
        <f>MROUND(MID($C315,9,3)/Basis!$E$3,0.5)</f>
        <v>39.5</v>
      </c>
      <c r="F315" s="237" t="str">
        <f t="shared" si="4"/>
        <v>20</v>
      </c>
      <c r="G315" s="45">
        <f>ROUND((ROUNDDOWN($F315/5,0)*5+2.2)/Basis!$E$3,1)</f>
        <v>8.6999999999999993</v>
      </c>
      <c r="H315" s="120">
        <f>ROUND($P315*Basis!$E$2*((TaH-TrH)/LN(1/µ)/Basis!$E$7)^$N315*$AA$4*Glycol,0)</f>
        <v>5858</v>
      </c>
      <c r="I315" s="83">
        <f>ROUND(H315/(MID($C315,9,3)/Basis!$E$3/Basis!$E$9)*Basis!$E$11,0)</f>
        <v>1786</v>
      </c>
      <c r="J315" s="123">
        <f>IF(Basis!$E$1=1,ROUND(H315/((TaH-TrH)*1.163)/3600,3),ROUND(H315/(500*(TaH-TrH)),2))</f>
        <v>0.59</v>
      </c>
      <c r="K315" s="84"/>
      <c r="L315" s="177">
        <f>CHOOSE(Basis!$E$1,((AJ315*(J315*3600/Basis!$E$5)^AK315*(((MID(C315,9,3)*10)-144)/1000)*AL315+AM315*(J315*3600/Basis!$E$5)^2)*0.0098)/Basis!$E$10,((AJ315*(J315/Basis!$E$5)^AK315*(((MID(C315,9,3)*10)-144)/1000)*AL315+AM315*(J315/Basis!$E$5)^2)*0.0098)/Basis!$E$10)</f>
        <v>2.5397457081690444E-2</v>
      </c>
      <c r="M315" s="85"/>
      <c r="N315" s="185">
        <v>1.355</v>
      </c>
      <c r="O315" s="186"/>
      <c r="P315" s="187">
        <v>2685</v>
      </c>
      <c r="AJ315" s="126">
        <v>1.2760000000000001E-4</v>
      </c>
      <c r="AK315" s="132">
        <v>1.7219</v>
      </c>
      <c r="AL315" s="129">
        <v>2</v>
      </c>
      <c r="AM315" s="126">
        <v>3.76611E-4</v>
      </c>
    </row>
    <row r="316" spans="1:39" ht="12.75" customHeight="1" x14ac:dyDescent="0.25">
      <c r="A316" s="72" t="s">
        <v>20</v>
      </c>
      <c r="B316" s="184" t="s">
        <v>3090</v>
      </c>
      <c r="C316" s="44" t="s">
        <v>3205</v>
      </c>
      <c r="D316" s="45">
        <f>MROUND(MID($C316,6,3)/Basis!$E$3,0.5)</f>
        <v>25.5</v>
      </c>
      <c r="E316" s="45">
        <f>MROUND(MID($C316,9,3)/Basis!$E$3,0.5)</f>
        <v>43.5</v>
      </c>
      <c r="F316" s="237" t="str">
        <f t="shared" si="4"/>
        <v>10</v>
      </c>
      <c r="G316" s="45">
        <f>ROUND((ROUNDDOWN($F316/5,0)*5+2.2)/Basis!$E$3,1)</f>
        <v>4.8</v>
      </c>
      <c r="H316" s="120">
        <f>ROUND($P316*Basis!$E$2*((TaH-TrH)/LN(1/µ)/Basis!$E$7)^$N316*$AA$4*Glycol,0)</f>
        <v>2891</v>
      </c>
      <c r="I316" s="83">
        <f>ROUND(H316/(MID($C316,9,3)/Basis!$E$3/Basis!$E$9)*Basis!$E$11,0)</f>
        <v>801</v>
      </c>
      <c r="J316" s="123">
        <f>IF(Basis!$E$1=1,ROUND(H316/((TaH-TrH)*1.163)/3600,3),ROUND(H316/(500*(TaH-TrH)),2))</f>
        <v>0.28999999999999998</v>
      </c>
      <c r="K316" s="84"/>
      <c r="L316" s="177">
        <f>CHOOSE(Basis!$E$1,((AJ316*(J316*3600/Basis!$E$5)^AK316*(((MID(C316,9,3)*10)-144)/1000)*AL316+AM316*(J316*3600/Basis!$E$5)^2)*0.0098)/Basis!$E$10,((AJ316*(J316/Basis!$E$5)^AK316*(((MID(C316,9,3)*10)-144)/1000)*AL316+AM316*(J316/Basis!$E$5)^2)*0.0098)/Basis!$E$10)</f>
        <v>8.7535646782706481E-3</v>
      </c>
      <c r="M316" s="85"/>
      <c r="N316" s="185">
        <v>1.371</v>
      </c>
      <c r="O316" s="186"/>
      <c r="P316" s="187">
        <v>1332</v>
      </c>
      <c r="AJ316" s="126">
        <v>3.9689999999999994E-4</v>
      </c>
      <c r="AK316" s="132">
        <v>1.7345999999999999</v>
      </c>
      <c r="AL316" s="129">
        <v>2</v>
      </c>
      <c r="AM316" s="126">
        <v>3.6734700000000002E-4</v>
      </c>
    </row>
    <row r="317" spans="1:39" ht="12.75" customHeight="1" x14ac:dyDescent="0.25">
      <c r="A317" s="72" t="s">
        <v>20</v>
      </c>
      <c r="B317" s="184" t="s">
        <v>3090</v>
      </c>
      <c r="C317" s="44" t="s">
        <v>3217</v>
      </c>
      <c r="D317" s="45">
        <f>MROUND(MID($C317,6,3)/Basis!$E$3,0.5)</f>
        <v>25.5</v>
      </c>
      <c r="E317" s="45">
        <f>MROUND(MID($C317,9,3)/Basis!$E$3,0.5)</f>
        <v>43.5</v>
      </c>
      <c r="F317" s="237" t="str">
        <f t="shared" si="4"/>
        <v>15</v>
      </c>
      <c r="G317" s="45">
        <f>ROUND((ROUNDDOWN($F317/5,0)*5+2.2)/Basis!$E$3,1)</f>
        <v>6.8</v>
      </c>
      <c r="H317" s="120">
        <f>ROUND($P317*Basis!$E$2*((TaH-TrH)/LN(1/µ)/Basis!$E$7)^$N317*$AA$4*Glycol,0)</f>
        <v>4612</v>
      </c>
      <c r="I317" s="83">
        <f>ROUND(H317/(MID($C317,9,3)/Basis!$E$3/Basis!$E$9)*Basis!$E$11,0)</f>
        <v>1278</v>
      </c>
      <c r="J317" s="123">
        <f>IF(Basis!$E$1=1,ROUND(H317/((TaH-TrH)*1.163)/3600,3),ROUND(H317/(500*(TaH-TrH)),2))</f>
        <v>0.46</v>
      </c>
      <c r="K317" s="84"/>
      <c r="L317" s="177">
        <f>CHOOSE(Basis!$E$1,((AJ317*(J317*3600/Basis!$E$5)^AK317*(((MID(C317,9,3)*10)-144)/1000)*AL317+AM317*(J317*3600/Basis!$E$5)^2)*0.0098)/Basis!$E$10,((AJ317*(J317/Basis!$E$5)^AK317*(((MID(C317,9,3)*10)-144)/1000)*AL317+AM317*(J317/Basis!$E$5)^2)*0.0098)/Basis!$E$10)</f>
        <v>2.0422836883981825E-2</v>
      </c>
      <c r="M317" s="85"/>
      <c r="N317" s="185">
        <v>1.355</v>
      </c>
      <c r="O317" s="186"/>
      <c r="P317" s="187">
        <v>2114</v>
      </c>
      <c r="AJ317" s="125">
        <v>2.0829999999999999E-4</v>
      </c>
      <c r="AK317" s="131">
        <v>1.724</v>
      </c>
      <c r="AL317" s="128">
        <v>2</v>
      </c>
      <c r="AM317" s="125">
        <v>4.6182900000000003E-4</v>
      </c>
    </row>
    <row r="318" spans="1:39" ht="12.75" customHeight="1" x14ac:dyDescent="0.25">
      <c r="A318" s="72" t="s">
        <v>20</v>
      </c>
      <c r="B318" s="184" t="s">
        <v>3090</v>
      </c>
      <c r="C318" s="44" t="s">
        <v>3229</v>
      </c>
      <c r="D318" s="45">
        <f>MROUND(MID($C318,6,3)/Basis!$E$3,0.5)</f>
        <v>25.5</v>
      </c>
      <c r="E318" s="45">
        <f>MROUND(MID($C318,9,3)/Basis!$E$3,0.5)</f>
        <v>43.5</v>
      </c>
      <c r="F318" s="237" t="str">
        <f t="shared" si="4"/>
        <v>20</v>
      </c>
      <c r="G318" s="45">
        <f>ROUND((ROUNDDOWN($F318/5,0)*5+2.2)/Basis!$E$3,1)</f>
        <v>8.6999999999999993</v>
      </c>
      <c r="H318" s="120">
        <f>ROUND($P318*Basis!$E$2*((TaH-TrH)/LN(1/µ)/Basis!$E$7)^$N318*$AA$4*Glycol,0)</f>
        <v>6445</v>
      </c>
      <c r="I318" s="83">
        <f>ROUND(H318/(MID($C318,9,3)/Basis!$E$3/Basis!$E$9)*Basis!$E$11,0)</f>
        <v>1786</v>
      </c>
      <c r="J318" s="123">
        <f>IF(Basis!$E$1=1,ROUND(H318/((TaH-TrH)*1.163)/3600,3),ROUND(H318/(500*(TaH-TrH)),2))</f>
        <v>0.64</v>
      </c>
      <c r="K318" s="84"/>
      <c r="L318" s="177">
        <f>CHOOSE(Basis!$E$1,((AJ318*(J318*3600/Basis!$E$5)^AK318*(((MID(C318,9,3)*10)-144)/1000)*AL318+AM318*(J318*3600/Basis!$E$5)^2)*0.0098)/Basis!$E$10,((AJ318*(J318/Basis!$E$5)^AK318*(((MID(C318,9,3)*10)-144)/1000)*AL318+AM318*(J318/Basis!$E$5)^2)*0.0098)/Basis!$E$10)</f>
        <v>3.0239522381362884E-2</v>
      </c>
      <c r="M318" s="85"/>
      <c r="N318" s="185">
        <v>1.355</v>
      </c>
      <c r="O318" s="186"/>
      <c r="P318" s="187">
        <v>2954</v>
      </c>
      <c r="AJ318" s="126">
        <v>1.2760000000000001E-4</v>
      </c>
      <c r="AK318" s="132">
        <v>1.7219</v>
      </c>
      <c r="AL318" s="129">
        <v>2</v>
      </c>
      <c r="AM318" s="126">
        <v>3.76611E-4</v>
      </c>
    </row>
    <row r="319" spans="1:39" ht="12.75" customHeight="1" x14ac:dyDescent="0.25">
      <c r="A319" s="72" t="s">
        <v>20</v>
      </c>
      <c r="B319" s="184" t="s">
        <v>3090</v>
      </c>
      <c r="C319" s="44" t="s">
        <v>3206</v>
      </c>
      <c r="D319" s="45">
        <f>MROUND(MID($C319,6,3)/Basis!$E$3,0.5)</f>
        <v>25.5</v>
      </c>
      <c r="E319" s="45">
        <f>MROUND(MID($C319,9,3)/Basis!$E$3,0.5)</f>
        <v>47</v>
      </c>
      <c r="F319" s="237" t="str">
        <f t="shared" si="4"/>
        <v>10</v>
      </c>
      <c r="G319" s="45">
        <f>ROUND((ROUNDDOWN($F319/5,0)*5+2.2)/Basis!$E$3,1)</f>
        <v>4.8</v>
      </c>
      <c r="H319" s="120">
        <f>ROUND($P319*Basis!$E$2*((TaH-TrH)/LN(1/µ)/Basis!$E$7)^$N319*$AA$4*Glycol,0)</f>
        <v>3153</v>
      </c>
      <c r="I319" s="83">
        <f>ROUND(H319/(MID($C319,9,3)/Basis!$E$3/Basis!$E$9)*Basis!$E$11,0)</f>
        <v>801</v>
      </c>
      <c r="J319" s="123">
        <f>IF(Basis!$E$1=1,ROUND(H319/((TaH-TrH)*1.163)/3600,3),ROUND(H319/(500*(TaH-TrH)),2))</f>
        <v>0.32</v>
      </c>
      <c r="K319" s="84"/>
      <c r="L319" s="177">
        <f>CHOOSE(Basis!$E$1,((AJ319*(J319*3600/Basis!$E$5)^AK319*(((MID(C319,9,3)*10)-144)/1000)*AL319+AM319*(J319*3600/Basis!$E$5)^2)*0.0098)/Basis!$E$10,((AJ319*(J319/Basis!$E$5)^AK319*(((MID(C319,9,3)*10)-144)/1000)*AL319+AM319*(J319/Basis!$E$5)^2)*0.0098)/Basis!$E$10)</f>
        <v>1.0986661791739674E-2</v>
      </c>
      <c r="M319" s="85"/>
      <c r="N319" s="185">
        <v>1.371</v>
      </c>
      <c r="O319" s="186"/>
      <c r="P319" s="187">
        <v>1453</v>
      </c>
      <c r="AJ319" s="126">
        <v>3.9689999999999994E-4</v>
      </c>
      <c r="AK319" s="132">
        <v>1.7345999999999999</v>
      </c>
      <c r="AL319" s="129">
        <v>2</v>
      </c>
      <c r="AM319" s="126">
        <v>3.6734700000000002E-4</v>
      </c>
    </row>
    <row r="320" spans="1:39" ht="12.75" customHeight="1" x14ac:dyDescent="0.25">
      <c r="A320" s="72" t="s">
        <v>20</v>
      </c>
      <c r="B320" s="184" t="s">
        <v>3090</v>
      </c>
      <c r="C320" s="44" t="s">
        <v>3218</v>
      </c>
      <c r="D320" s="45">
        <f>MROUND(MID($C320,6,3)/Basis!$E$3,0.5)</f>
        <v>25.5</v>
      </c>
      <c r="E320" s="45">
        <f>MROUND(MID($C320,9,3)/Basis!$E$3,0.5)</f>
        <v>47</v>
      </c>
      <c r="F320" s="237" t="str">
        <f t="shared" si="4"/>
        <v>15</v>
      </c>
      <c r="G320" s="45">
        <f>ROUND((ROUNDDOWN($F320/5,0)*5+2.2)/Basis!$E$3,1)</f>
        <v>6.8</v>
      </c>
      <c r="H320" s="120">
        <f>ROUND($P320*Basis!$E$2*((TaH-TrH)/LN(1/µ)/Basis!$E$7)^$N320*$AA$4*Glycol,0)</f>
        <v>5031</v>
      </c>
      <c r="I320" s="83">
        <f>ROUND(H320/(MID($C320,9,3)/Basis!$E$3/Basis!$E$9)*Basis!$E$11,0)</f>
        <v>1278</v>
      </c>
      <c r="J320" s="123">
        <f>IF(Basis!$E$1=1,ROUND(H320/((TaH-TrH)*1.163)/3600,3),ROUND(H320/(500*(TaH-TrH)),2))</f>
        <v>0.5</v>
      </c>
      <c r="K320" s="84"/>
      <c r="L320" s="177">
        <f>CHOOSE(Basis!$E$1,((AJ320*(J320*3600/Basis!$E$5)^AK320*(((MID(C320,9,3)*10)-144)/1000)*AL320+AM320*(J320*3600/Basis!$E$5)^2)*0.0098)/Basis!$E$10,((AJ320*(J320/Basis!$E$5)^AK320*(((MID(C320,9,3)*10)-144)/1000)*AL320+AM320*(J320/Basis!$E$5)^2)*0.0098)/Basis!$E$10)</f>
        <v>2.4498994284988244E-2</v>
      </c>
      <c r="M320" s="85"/>
      <c r="N320" s="185">
        <v>1.355</v>
      </c>
      <c r="O320" s="186"/>
      <c r="P320" s="187">
        <v>2306</v>
      </c>
      <c r="AJ320" s="125">
        <v>2.0829999999999999E-4</v>
      </c>
      <c r="AK320" s="131">
        <v>1.724</v>
      </c>
      <c r="AL320" s="128">
        <v>2</v>
      </c>
      <c r="AM320" s="125">
        <v>4.6182900000000003E-4</v>
      </c>
    </row>
    <row r="321" spans="1:39" ht="12.75" customHeight="1" x14ac:dyDescent="0.25">
      <c r="A321" s="72" t="s">
        <v>20</v>
      </c>
      <c r="B321" s="184" t="s">
        <v>3090</v>
      </c>
      <c r="C321" s="44" t="s">
        <v>3230</v>
      </c>
      <c r="D321" s="45">
        <f>MROUND(MID($C321,6,3)/Basis!$E$3,0.5)</f>
        <v>25.5</v>
      </c>
      <c r="E321" s="45">
        <f>MROUND(MID($C321,9,3)/Basis!$E$3,0.5)</f>
        <v>47</v>
      </c>
      <c r="F321" s="237" t="str">
        <f t="shared" si="4"/>
        <v>20</v>
      </c>
      <c r="G321" s="45">
        <f>ROUND((ROUNDDOWN($F321/5,0)*5+2.2)/Basis!$E$3,1)</f>
        <v>8.6999999999999993</v>
      </c>
      <c r="H321" s="120">
        <f>ROUND($P321*Basis!$E$2*((TaH-TrH)/LN(1/µ)/Basis!$E$7)^$N321*$AA$4*Glycol,0)</f>
        <v>7030</v>
      </c>
      <c r="I321" s="83">
        <f>ROUND(H321/(MID($C321,9,3)/Basis!$E$3/Basis!$E$9)*Basis!$E$11,0)</f>
        <v>1786</v>
      </c>
      <c r="J321" s="123">
        <f>IF(Basis!$E$1=1,ROUND(H321/((TaH-TrH)*1.163)/3600,3),ROUND(H321/(500*(TaH-TrH)),2))</f>
        <v>0.7</v>
      </c>
      <c r="K321" s="84"/>
      <c r="L321" s="177">
        <f>CHOOSE(Basis!$E$1,((AJ321*(J321*3600/Basis!$E$5)^AK321*(((MID(C321,9,3)*10)-144)/1000)*AL321+AM321*(J321*3600/Basis!$E$5)^2)*0.0098)/Basis!$E$10,((AJ321*(J321/Basis!$E$5)^AK321*(((MID(C321,9,3)*10)-144)/1000)*AL321+AM321*(J321/Basis!$E$5)^2)*0.0098)/Basis!$E$10)</f>
        <v>3.6566072468536569E-2</v>
      </c>
      <c r="M321" s="85"/>
      <c r="N321" s="185">
        <v>1.355</v>
      </c>
      <c r="O321" s="186"/>
      <c r="P321" s="187">
        <v>3222</v>
      </c>
      <c r="AJ321" s="126">
        <v>1.2760000000000001E-4</v>
      </c>
      <c r="AK321" s="132">
        <v>1.7219</v>
      </c>
      <c r="AL321" s="129">
        <v>2</v>
      </c>
      <c r="AM321" s="126">
        <v>3.76611E-4</v>
      </c>
    </row>
    <row r="322" spans="1:39" ht="12.75" customHeight="1" x14ac:dyDescent="0.25">
      <c r="A322" s="72" t="s">
        <v>20</v>
      </c>
      <c r="B322" s="184" t="s">
        <v>3090</v>
      </c>
      <c r="C322" s="44" t="s">
        <v>3207</v>
      </c>
      <c r="D322" s="45">
        <f>MROUND(MID($C322,6,3)/Basis!$E$3,0.5)</f>
        <v>25.5</v>
      </c>
      <c r="E322" s="45">
        <f>MROUND(MID($C322,9,3)/Basis!$E$3,0.5)</f>
        <v>55</v>
      </c>
      <c r="F322" s="237" t="str">
        <f t="shared" si="4"/>
        <v>10</v>
      </c>
      <c r="G322" s="45">
        <f>ROUND((ROUNDDOWN($F322/5,0)*5+2.2)/Basis!$E$3,1)</f>
        <v>4.8</v>
      </c>
      <c r="H322" s="120">
        <f>ROUND($P322*Basis!$E$2*((TaH-TrH)/LN(1/µ)/Basis!$E$7)^$N322*$AA$4*Glycol,0)</f>
        <v>3679</v>
      </c>
      <c r="I322" s="83">
        <f>ROUND(H322/(MID($C322,9,3)/Basis!$E$3/Basis!$E$9)*Basis!$E$11,0)</f>
        <v>801</v>
      </c>
      <c r="J322" s="123">
        <f>IF(Basis!$E$1=1,ROUND(H322/((TaH-TrH)*1.163)/3600,3),ROUND(H322/(500*(TaH-TrH)),2))</f>
        <v>0.37</v>
      </c>
      <c r="K322" s="84"/>
      <c r="L322" s="177">
        <f>CHOOSE(Basis!$E$1,((AJ322*(J322*3600/Basis!$E$5)^AK322*(((MID(C322,9,3)*10)-144)/1000)*AL322+AM322*(J322*3600/Basis!$E$5)^2)*0.0098)/Basis!$E$10,((AJ322*(J322/Basis!$E$5)^AK322*(((MID(C322,9,3)*10)-144)/1000)*AL322+AM322*(J322/Basis!$E$5)^2)*0.0098)/Basis!$E$10)</f>
        <v>1.5584573765886244E-2</v>
      </c>
      <c r="M322" s="85"/>
      <c r="N322" s="185">
        <v>1.371</v>
      </c>
      <c r="O322" s="186"/>
      <c r="P322" s="187">
        <v>1695</v>
      </c>
      <c r="AJ322" s="126">
        <v>3.9689999999999994E-4</v>
      </c>
      <c r="AK322" s="132">
        <v>1.7345999999999999</v>
      </c>
      <c r="AL322" s="129">
        <v>2</v>
      </c>
      <c r="AM322" s="126">
        <v>3.6734700000000002E-4</v>
      </c>
    </row>
    <row r="323" spans="1:39" ht="12.75" customHeight="1" x14ac:dyDescent="0.25">
      <c r="A323" s="72" t="s">
        <v>20</v>
      </c>
      <c r="B323" s="184" t="s">
        <v>3090</v>
      </c>
      <c r="C323" s="44" t="s">
        <v>3219</v>
      </c>
      <c r="D323" s="45">
        <f>MROUND(MID($C323,6,3)/Basis!$E$3,0.5)</f>
        <v>25.5</v>
      </c>
      <c r="E323" s="45">
        <f>MROUND(MID($C323,9,3)/Basis!$E$3,0.5)</f>
        <v>55</v>
      </c>
      <c r="F323" s="237" t="str">
        <f t="shared" si="4"/>
        <v>15</v>
      </c>
      <c r="G323" s="45">
        <f>ROUND((ROUNDDOWN($F323/5,0)*5+2.2)/Basis!$E$3,1)</f>
        <v>6.8</v>
      </c>
      <c r="H323" s="120">
        <f>ROUND($P323*Basis!$E$2*((TaH-TrH)/LN(1/µ)/Basis!$E$7)^$N323*$AA$4*Glycol,0)</f>
        <v>5871</v>
      </c>
      <c r="I323" s="83">
        <f>ROUND(H323/(MID($C323,9,3)/Basis!$E$3/Basis!$E$9)*Basis!$E$11,0)</f>
        <v>1278</v>
      </c>
      <c r="J323" s="123">
        <f>IF(Basis!$E$1=1,ROUND(H323/((TaH-TrH)*1.163)/3600,3),ROUND(H323/(500*(TaH-TrH)),2))</f>
        <v>0.59</v>
      </c>
      <c r="K323" s="84"/>
      <c r="L323" s="177">
        <f>CHOOSE(Basis!$E$1,((AJ323*(J323*3600/Basis!$E$5)^AK323*(((MID(C323,9,3)*10)-144)/1000)*AL323+AM323*(J323*3600/Basis!$E$5)^2)*0.0098)/Basis!$E$10,((AJ323*(J323/Basis!$E$5)^AK323*(((MID(C323,9,3)*10)-144)/1000)*AL323+AM323*(J323/Basis!$E$5)^2)*0.0098)/Basis!$E$10)</f>
        <v>3.5065906705835585E-2</v>
      </c>
      <c r="M323" s="85"/>
      <c r="N323" s="185">
        <v>1.355</v>
      </c>
      <c r="O323" s="186"/>
      <c r="P323" s="187">
        <v>2691</v>
      </c>
      <c r="AJ323" s="125">
        <v>2.0829999999999999E-4</v>
      </c>
      <c r="AK323" s="131">
        <v>1.724</v>
      </c>
      <c r="AL323" s="128">
        <v>2</v>
      </c>
      <c r="AM323" s="125">
        <v>4.6182900000000003E-4</v>
      </c>
    </row>
    <row r="324" spans="1:39" ht="12.75" customHeight="1" x14ac:dyDescent="0.25">
      <c r="A324" s="72" t="s">
        <v>20</v>
      </c>
      <c r="B324" s="184" t="s">
        <v>3090</v>
      </c>
      <c r="C324" s="44" t="s">
        <v>3231</v>
      </c>
      <c r="D324" s="45">
        <f>MROUND(MID($C324,6,3)/Basis!$E$3,0.5)</f>
        <v>25.5</v>
      </c>
      <c r="E324" s="45">
        <f>MROUND(MID($C324,9,3)/Basis!$E$3,0.5)</f>
        <v>55</v>
      </c>
      <c r="F324" s="237" t="str">
        <f t="shared" si="4"/>
        <v>20</v>
      </c>
      <c r="G324" s="45">
        <f>ROUND((ROUNDDOWN($F324/5,0)*5+2.2)/Basis!$E$3,1)</f>
        <v>8.6999999999999993</v>
      </c>
      <c r="H324" s="120">
        <f>ROUND($P324*Basis!$E$2*((TaH-TrH)/LN(1/µ)/Basis!$E$7)^$N324*$AA$4*Glycol,0)</f>
        <v>8201</v>
      </c>
      <c r="I324" s="83">
        <f>ROUND(H324/(MID($C324,9,3)/Basis!$E$3/Basis!$E$9)*Basis!$E$11,0)</f>
        <v>1785</v>
      </c>
      <c r="J324" s="123">
        <f>IF(Basis!$E$1=1,ROUND(H324/((TaH-TrH)*1.163)/3600,3),ROUND(H324/(500*(TaH-TrH)),2))</f>
        <v>0.82</v>
      </c>
      <c r="K324" s="84"/>
      <c r="L324" s="177">
        <f>CHOOSE(Basis!$E$1,((AJ324*(J324*3600/Basis!$E$5)^AK324*(((MID(C324,9,3)*10)-144)/1000)*AL324+AM324*(J324*3600/Basis!$E$5)^2)*0.0098)/Basis!$E$10,((AJ324*(J324/Basis!$E$5)^AK324*(((MID(C324,9,3)*10)-144)/1000)*AL324+AM324*(J324/Basis!$E$5)^2)*0.0098)/Basis!$E$10)</f>
        <v>5.1209180827019078E-2</v>
      </c>
      <c r="M324" s="85"/>
      <c r="N324" s="185">
        <v>1.355</v>
      </c>
      <c r="O324" s="186"/>
      <c r="P324" s="187">
        <v>3759</v>
      </c>
      <c r="AJ324" s="126">
        <v>1.2760000000000001E-4</v>
      </c>
      <c r="AK324" s="132">
        <v>1.7219</v>
      </c>
      <c r="AL324" s="129">
        <v>2</v>
      </c>
      <c r="AM324" s="126">
        <v>3.76611E-4</v>
      </c>
    </row>
    <row r="325" spans="1:39" ht="12.75" customHeight="1" x14ac:dyDescent="0.25">
      <c r="A325" s="72" t="s">
        <v>20</v>
      </c>
      <c r="B325" s="184" t="s">
        <v>3090</v>
      </c>
      <c r="C325" s="44" t="s">
        <v>3208</v>
      </c>
      <c r="D325" s="45">
        <f>MROUND(MID($C325,6,3)/Basis!$E$3,0.5)</f>
        <v>25.5</v>
      </c>
      <c r="E325" s="45">
        <f>MROUND(MID($C325,9,3)/Basis!$E$3,0.5)</f>
        <v>63</v>
      </c>
      <c r="F325" s="237" t="str">
        <f t="shared" si="4"/>
        <v>10</v>
      </c>
      <c r="G325" s="45">
        <f>ROUND((ROUNDDOWN($F325/5,0)*5+2.2)/Basis!$E$3,1)</f>
        <v>4.8</v>
      </c>
      <c r="H325" s="120">
        <f>ROUND($P325*Basis!$E$2*((TaH-TrH)/LN(1/µ)/Basis!$E$7)^$N325*$AA$4*Glycol,0)</f>
        <v>4206</v>
      </c>
      <c r="I325" s="83">
        <f>ROUND(H325/(MID($C325,9,3)/Basis!$E$3/Basis!$E$9)*Basis!$E$11,0)</f>
        <v>801</v>
      </c>
      <c r="J325" s="123">
        <f>IF(Basis!$E$1=1,ROUND(H325/((TaH-TrH)*1.163)/3600,3),ROUND(H325/(500*(TaH-TrH)),2))</f>
        <v>0.42</v>
      </c>
      <c r="K325" s="84"/>
      <c r="L325" s="177">
        <f>CHOOSE(Basis!$E$1,((AJ325*(J325*3600/Basis!$E$5)^AK325*(((MID(C325,9,3)*10)-144)/1000)*AL325+AM325*(J325*3600/Basis!$E$5)^2)*0.0098)/Basis!$E$10,((AJ325*(J325/Basis!$E$5)^AK325*(((MID(C325,9,3)*10)-144)/1000)*AL325+AM325*(J325/Basis!$E$5)^2)*0.0098)/Basis!$E$10)</f>
        <v>2.118751012282135E-2</v>
      </c>
      <c r="M325" s="85"/>
      <c r="N325" s="185">
        <v>1.371</v>
      </c>
      <c r="O325" s="186"/>
      <c r="P325" s="187">
        <v>1938</v>
      </c>
      <c r="AJ325" s="126">
        <v>3.9689999999999994E-4</v>
      </c>
      <c r="AK325" s="132">
        <v>1.7345999999999999</v>
      </c>
      <c r="AL325" s="129">
        <v>2</v>
      </c>
      <c r="AM325" s="126">
        <v>3.6734700000000002E-4</v>
      </c>
    </row>
    <row r="326" spans="1:39" ht="12.75" customHeight="1" x14ac:dyDescent="0.25">
      <c r="A326" s="72" t="s">
        <v>20</v>
      </c>
      <c r="B326" s="184" t="s">
        <v>3090</v>
      </c>
      <c r="C326" s="44" t="s">
        <v>3220</v>
      </c>
      <c r="D326" s="45">
        <f>MROUND(MID($C326,6,3)/Basis!$E$3,0.5)</f>
        <v>25.5</v>
      </c>
      <c r="E326" s="45">
        <f>MROUND(MID($C326,9,3)/Basis!$E$3,0.5)</f>
        <v>63</v>
      </c>
      <c r="F326" s="237" t="str">
        <f t="shared" si="4"/>
        <v>15</v>
      </c>
      <c r="G326" s="45">
        <f>ROUND((ROUNDDOWN($F326/5,0)*5+2.2)/Basis!$E$3,1)</f>
        <v>6.8</v>
      </c>
      <c r="H326" s="120">
        <f>ROUND($P326*Basis!$E$2*((TaH-TrH)/LN(1/µ)/Basis!$E$7)^$N326*$AA$4*Glycol,0)</f>
        <v>6709</v>
      </c>
      <c r="I326" s="83">
        <f>ROUND(H326/(MID($C326,9,3)/Basis!$E$3/Basis!$E$9)*Basis!$E$11,0)</f>
        <v>1278</v>
      </c>
      <c r="J326" s="123">
        <f>IF(Basis!$E$1=1,ROUND(H326/((TaH-TrH)*1.163)/3600,3),ROUND(H326/(500*(TaH-TrH)),2))</f>
        <v>0.67</v>
      </c>
      <c r="K326" s="84"/>
      <c r="L326" s="177">
        <f>CHOOSE(Basis!$E$1,((AJ326*(J326*3600/Basis!$E$5)^AK326*(((MID(C326,9,3)*10)-144)/1000)*AL326+AM326*(J326*3600/Basis!$E$5)^2)*0.0098)/Basis!$E$10,((AJ326*(J326/Basis!$E$5)^AK326*(((MID(C326,9,3)*10)-144)/1000)*AL326+AM326*(J326/Basis!$E$5)^2)*0.0098)/Basis!$E$10)</f>
        <v>4.6442664832217623E-2</v>
      </c>
      <c r="M326" s="85"/>
      <c r="N326" s="185">
        <v>1.355</v>
      </c>
      <c r="O326" s="186"/>
      <c r="P326" s="187">
        <v>3075</v>
      </c>
      <c r="AJ326" s="125">
        <v>2.0829999999999999E-4</v>
      </c>
      <c r="AK326" s="131">
        <v>1.724</v>
      </c>
      <c r="AL326" s="128">
        <v>2</v>
      </c>
      <c r="AM326" s="125">
        <v>4.6182900000000003E-4</v>
      </c>
    </row>
    <row r="327" spans="1:39" ht="12.75" customHeight="1" x14ac:dyDescent="0.25">
      <c r="A327" s="72" t="s">
        <v>20</v>
      </c>
      <c r="B327" s="184" t="s">
        <v>3090</v>
      </c>
      <c r="C327" s="44" t="s">
        <v>3232</v>
      </c>
      <c r="D327" s="45">
        <f>MROUND(MID($C327,6,3)/Basis!$E$3,0.5)</f>
        <v>25.5</v>
      </c>
      <c r="E327" s="45">
        <f>MROUND(MID($C327,9,3)/Basis!$E$3,0.5)</f>
        <v>63</v>
      </c>
      <c r="F327" s="237" t="str">
        <f t="shared" si="4"/>
        <v>20</v>
      </c>
      <c r="G327" s="45">
        <f>ROUND((ROUNDDOWN($F327/5,0)*5+2.2)/Basis!$E$3,1)</f>
        <v>8.6999999999999993</v>
      </c>
      <c r="H327" s="120">
        <f>ROUND($P327*Basis!$E$2*((TaH-TrH)/LN(1/µ)/Basis!$E$7)^$N327*$AA$4*Glycol,0)</f>
        <v>9373</v>
      </c>
      <c r="I327" s="83">
        <f>ROUND(H327/(MID($C327,9,3)/Basis!$E$3/Basis!$E$9)*Basis!$E$11,0)</f>
        <v>1786</v>
      </c>
      <c r="J327" s="123">
        <f>IF(Basis!$E$1=1,ROUND(H327/((TaH-TrH)*1.163)/3600,3),ROUND(H327/(500*(TaH-TrH)),2))</f>
        <v>0.94</v>
      </c>
      <c r="K327" s="84"/>
      <c r="L327" s="177">
        <f>CHOOSE(Basis!$E$1,((AJ327*(J327*3600/Basis!$E$5)^AK327*(((MID(C327,9,3)*10)-144)/1000)*AL327+AM327*(J327*3600/Basis!$E$5)^2)*0.0098)/Basis!$E$10,((AJ327*(J327/Basis!$E$5)^AK327*(((MID(C327,9,3)*10)-144)/1000)*AL327+AM327*(J327/Basis!$E$5)^2)*0.0098)/Basis!$E$10)</f>
        <v>6.8589414314115263E-2</v>
      </c>
      <c r="M327" s="85"/>
      <c r="N327" s="185">
        <v>1.355</v>
      </c>
      <c r="O327" s="186"/>
      <c r="P327" s="187">
        <v>4296</v>
      </c>
      <c r="AJ327" s="126">
        <v>1.2760000000000001E-4</v>
      </c>
      <c r="AK327" s="132">
        <v>1.7219</v>
      </c>
      <c r="AL327" s="129">
        <v>2</v>
      </c>
      <c r="AM327" s="126">
        <v>3.76611E-4</v>
      </c>
    </row>
    <row r="328" spans="1:39" ht="12.75" customHeight="1" x14ac:dyDescent="0.25">
      <c r="A328" s="72" t="s">
        <v>20</v>
      </c>
      <c r="B328" s="184" t="s">
        <v>3090</v>
      </c>
      <c r="C328" s="44" t="s">
        <v>3209</v>
      </c>
      <c r="D328" s="45">
        <f>MROUND(MID($C328,6,3)/Basis!$E$3,0.5)</f>
        <v>25.5</v>
      </c>
      <c r="E328" s="45">
        <f>MROUND(MID($C328,9,3)/Basis!$E$3,0.5)</f>
        <v>71</v>
      </c>
      <c r="F328" s="237" t="str">
        <f t="shared" si="4"/>
        <v>10</v>
      </c>
      <c r="G328" s="45">
        <f>ROUND((ROUNDDOWN($F328/5,0)*5+2.2)/Basis!$E$3,1)</f>
        <v>4.8</v>
      </c>
      <c r="H328" s="120">
        <f>ROUND($P328*Basis!$E$2*((TaH-TrH)/LN(1/µ)/Basis!$E$7)^$N328*$AA$4*Glycol,0)</f>
        <v>4731</v>
      </c>
      <c r="I328" s="83">
        <f>ROUND(H328/(MID($C328,9,3)/Basis!$E$3/Basis!$E$9)*Basis!$E$11,0)</f>
        <v>801</v>
      </c>
      <c r="J328" s="123">
        <f>IF(Basis!$E$1=1,ROUND(H328/((TaH-TrH)*1.163)/3600,3),ROUND(H328/(500*(TaH-TrH)),2))</f>
        <v>0.47</v>
      </c>
      <c r="K328" s="84"/>
      <c r="L328" s="177">
        <f>CHOOSE(Basis!$E$1,((AJ328*(J328*3600/Basis!$E$5)^AK328*(((MID(C328,9,3)*10)-144)/1000)*AL328+AM328*(J328*3600/Basis!$E$5)^2)*0.0098)/Basis!$E$10,((AJ328*(J328/Basis!$E$5)^AK328*(((MID(C328,9,3)*10)-144)/1000)*AL328+AM328*(J328/Basis!$E$5)^2)*0.0098)/Basis!$E$10)</f>
        <v>2.7867223225593714E-2</v>
      </c>
      <c r="M328" s="85"/>
      <c r="N328" s="185">
        <v>1.371</v>
      </c>
      <c r="O328" s="186"/>
      <c r="P328" s="187">
        <v>2180</v>
      </c>
      <c r="AJ328" s="126">
        <v>3.9689999999999994E-4</v>
      </c>
      <c r="AK328" s="132">
        <v>1.7345999999999999</v>
      </c>
      <c r="AL328" s="129">
        <v>2</v>
      </c>
      <c r="AM328" s="126">
        <v>3.6734700000000002E-4</v>
      </c>
    </row>
    <row r="329" spans="1:39" ht="12.75" customHeight="1" x14ac:dyDescent="0.25">
      <c r="A329" s="72" t="s">
        <v>20</v>
      </c>
      <c r="B329" s="184" t="s">
        <v>3090</v>
      </c>
      <c r="C329" s="44" t="s">
        <v>3221</v>
      </c>
      <c r="D329" s="45">
        <f>MROUND(MID($C329,6,3)/Basis!$E$3,0.5)</f>
        <v>25.5</v>
      </c>
      <c r="E329" s="45">
        <f>MROUND(MID($C329,9,3)/Basis!$E$3,0.5)</f>
        <v>71</v>
      </c>
      <c r="F329" s="237" t="str">
        <f t="shared" si="4"/>
        <v>15</v>
      </c>
      <c r="G329" s="45">
        <f>ROUND((ROUNDDOWN($F329/5,0)*5+2.2)/Basis!$E$3,1)</f>
        <v>6.8</v>
      </c>
      <c r="H329" s="120">
        <f>ROUND($P329*Basis!$E$2*((TaH-TrH)/LN(1/µ)/Basis!$E$7)^$N329*$AA$4*Glycol,0)</f>
        <v>7549</v>
      </c>
      <c r="I329" s="83">
        <f>ROUND(H329/(MID($C329,9,3)/Basis!$E$3/Basis!$E$9)*Basis!$E$11,0)</f>
        <v>1278</v>
      </c>
      <c r="J329" s="123">
        <f>IF(Basis!$E$1=1,ROUND(H329/((TaH-TrH)*1.163)/3600,3),ROUND(H329/(500*(TaH-TrH)),2))</f>
        <v>0.75</v>
      </c>
      <c r="K329" s="84"/>
      <c r="L329" s="177">
        <f>CHOOSE(Basis!$E$1,((AJ329*(J329*3600/Basis!$E$5)^AK329*(((MID(C329,9,3)*10)-144)/1000)*AL329+AM329*(J329*3600/Basis!$E$5)^2)*0.0098)/Basis!$E$10,((AJ329*(J329/Basis!$E$5)^AK329*(((MID(C329,9,3)*10)-144)/1000)*AL329+AM329*(J329/Basis!$E$5)^2)*0.0098)/Basis!$E$10)</f>
        <v>5.9669405463075198E-2</v>
      </c>
      <c r="M329" s="85"/>
      <c r="N329" s="185">
        <v>1.355</v>
      </c>
      <c r="O329" s="186"/>
      <c r="P329" s="187">
        <v>3460</v>
      </c>
      <c r="AJ329" s="125">
        <v>2.0829999999999999E-4</v>
      </c>
      <c r="AK329" s="131">
        <v>1.724</v>
      </c>
      <c r="AL329" s="128">
        <v>2</v>
      </c>
      <c r="AM329" s="125">
        <v>4.6182900000000003E-4</v>
      </c>
    </row>
    <row r="330" spans="1:39" ht="12.75" customHeight="1" x14ac:dyDescent="0.25">
      <c r="A330" s="72" t="s">
        <v>20</v>
      </c>
      <c r="B330" s="184" t="s">
        <v>3090</v>
      </c>
      <c r="C330" s="44" t="s">
        <v>3233</v>
      </c>
      <c r="D330" s="45">
        <f>MROUND(MID($C330,6,3)/Basis!$E$3,0.5)</f>
        <v>25.5</v>
      </c>
      <c r="E330" s="45">
        <f>MROUND(MID($C330,9,3)/Basis!$E$3,0.5)</f>
        <v>71</v>
      </c>
      <c r="F330" s="237" t="str">
        <f t="shared" ref="F330:F345" si="5">RIGHT(C330,2)</f>
        <v>20</v>
      </c>
      <c r="G330" s="45">
        <f>ROUND((ROUNDDOWN($F330/5,0)*5+2.2)/Basis!$E$3,1)</f>
        <v>8.6999999999999993</v>
      </c>
      <c r="H330" s="120">
        <f>ROUND($P330*Basis!$E$2*((TaH-TrH)/LN(1/µ)/Basis!$E$7)^$N330*$AA$4*Glycol,0)</f>
        <v>10544</v>
      </c>
      <c r="I330" s="83">
        <f>ROUND(H330/(MID($C330,9,3)/Basis!$E$3/Basis!$E$9)*Basis!$E$11,0)</f>
        <v>1785</v>
      </c>
      <c r="J330" s="123">
        <f>IF(Basis!$E$1=1,ROUND(H330/((TaH-TrH)*1.163)/3600,3),ROUND(H330/(500*(TaH-TrH)),2))</f>
        <v>1.05</v>
      </c>
      <c r="K330" s="84"/>
      <c r="L330" s="177">
        <f>CHOOSE(Basis!$E$1,((AJ330*(J330*3600/Basis!$E$5)^AK330*(((MID(C330,9,3)*10)-144)/1000)*AL330+AM330*(J330*3600/Basis!$E$5)^2)*0.0098)/Basis!$E$10,((AJ330*(J330/Basis!$E$5)^AK330*(((MID(C330,9,3)*10)-144)/1000)*AL330+AM330*(J330/Basis!$E$5)^2)*0.0098)/Basis!$E$10)</f>
        <v>8.7181226105647616E-2</v>
      </c>
      <c r="M330" s="85"/>
      <c r="N330" s="185">
        <v>1.355</v>
      </c>
      <c r="O330" s="186"/>
      <c r="P330" s="187">
        <v>4833</v>
      </c>
      <c r="AJ330" s="126">
        <v>1.2760000000000001E-4</v>
      </c>
      <c r="AK330" s="132">
        <v>1.7219</v>
      </c>
      <c r="AL330" s="129">
        <v>2</v>
      </c>
      <c r="AM330" s="126">
        <v>3.76611E-4</v>
      </c>
    </row>
    <row r="331" spans="1:39" ht="12.75" customHeight="1" x14ac:dyDescent="0.25">
      <c r="A331" s="72" t="s">
        <v>20</v>
      </c>
      <c r="B331" s="184" t="s">
        <v>3090</v>
      </c>
      <c r="C331" s="44" t="s">
        <v>3210</v>
      </c>
      <c r="D331" s="45">
        <f>MROUND(MID($C331,6,3)/Basis!$E$3,0.5)</f>
        <v>25.5</v>
      </c>
      <c r="E331" s="45">
        <f>MROUND(MID($C331,9,3)/Basis!$E$3,0.5)</f>
        <v>78.5</v>
      </c>
      <c r="F331" s="237" t="str">
        <f t="shared" si="5"/>
        <v>10</v>
      </c>
      <c r="G331" s="45">
        <f>ROUND((ROUNDDOWN($F331/5,0)*5+2.2)/Basis!$E$3,1)</f>
        <v>4.8</v>
      </c>
      <c r="H331" s="120">
        <f>ROUND($P331*Basis!$E$2*((TaH-TrH)/LN(1/µ)/Basis!$E$7)^$N331*$AA$4*Glycol,0)</f>
        <v>5256</v>
      </c>
      <c r="I331" s="83">
        <f>ROUND(H331/(MID($C331,9,3)/Basis!$E$3/Basis!$E$9)*Basis!$E$11,0)</f>
        <v>801</v>
      </c>
      <c r="J331" s="123">
        <f>IF(Basis!$E$1=1,ROUND(H331/((TaH-TrH)*1.163)/3600,3),ROUND(H331/(500*(TaH-TrH)),2))</f>
        <v>0.53</v>
      </c>
      <c r="K331" s="84"/>
      <c r="L331" s="177">
        <f>CHOOSE(Basis!$E$1,((AJ331*(J331*3600/Basis!$E$5)^AK331*(((MID(C331,9,3)*10)-144)/1000)*AL331+AM331*(J331*3600/Basis!$E$5)^2)*0.0098)/Basis!$E$10,((AJ331*(J331/Basis!$E$5)^AK331*(((MID(C331,9,3)*10)-144)/1000)*AL331+AM331*(J331/Basis!$E$5)^2)*0.0098)/Basis!$E$10)</f>
        <v>3.6979914945077824E-2</v>
      </c>
      <c r="M331" s="85"/>
      <c r="N331" s="185">
        <v>1.371</v>
      </c>
      <c r="O331" s="186"/>
      <c r="P331" s="187">
        <v>2422</v>
      </c>
      <c r="AJ331" s="126">
        <v>3.9689999999999994E-4</v>
      </c>
      <c r="AK331" s="132">
        <v>1.7345999999999999</v>
      </c>
      <c r="AL331" s="129">
        <v>2</v>
      </c>
      <c r="AM331" s="126">
        <v>3.6734700000000002E-4</v>
      </c>
    </row>
    <row r="332" spans="1:39" ht="12.75" customHeight="1" x14ac:dyDescent="0.25">
      <c r="A332" s="72" t="s">
        <v>20</v>
      </c>
      <c r="B332" s="184" t="s">
        <v>3090</v>
      </c>
      <c r="C332" s="44" t="s">
        <v>3222</v>
      </c>
      <c r="D332" s="45">
        <f>MROUND(MID($C332,6,3)/Basis!$E$3,0.5)</f>
        <v>25.5</v>
      </c>
      <c r="E332" s="45">
        <f>MROUND(MID($C332,9,3)/Basis!$E$3,0.5)</f>
        <v>78.5</v>
      </c>
      <c r="F332" s="237" t="str">
        <f t="shared" si="5"/>
        <v>15</v>
      </c>
      <c r="G332" s="45">
        <f>ROUND((ROUNDDOWN($F332/5,0)*5+2.2)/Basis!$E$3,1)</f>
        <v>6.8</v>
      </c>
      <c r="H332" s="120">
        <f>ROUND($P332*Basis!$E$2*((TaH-TrH)/LN(1/µ)/Basis!$E$7)^$N332*$AA$4*Glycol,0)</f>
        <v>8387</v>
      </c>
      <c r="I332" s="83">
        <f>ROUND(H332/(MID($C332,9,3)/Basis!$E$3/Basis!$E$9)*Basis!$E$11,0)</f>
        <v>1278</v>
      </c>
      <c r="J332" s="123">
        <f>IF(Basis!$E$1=1,ROUND(H332/((TaH-TrH)*1.163)/3600,3),ROUND(H332/(500*(TaH-TrH)),2))</f>
        <v>0.84</v>
      </c>
      <c r="K332" s="84"/>
      <c r="L332" s="177">
        <f>CHOOSE(Basis!$E$1,((AJ332*(J332*3600/Basis!$E$5)^AK332*(((MID(C332,9,3)*10)-144)/1000)*AL332+AM332*(J332*3600/Basis!$E$5)^2)*0.0098)/Basis!$E$10,((AJ332*(J332/Basis!$E$5)^AK332*(((MID(C332,9,3)*10)-144)/1000)*AL332+AM332*(J332/Basis!$E$5)^2)*0.0098)/Basis!$E$10)</f>
        <v>7.6564598906654652E-2</v>
      </c>
      <c r="M332" s="85"/>
      <c r="N332" s="185">
        <v>1.355</v>
      </c>
      <c r="O332" s="186"/>
      <c r="P332" s="187">
        <v>3844</v>
      </c>
      <c r="AJ332" s="125">
        <v>2.0829999999999999E-4</v>
      </c>
      <c r="AK332" s="131">
        <v>1.724</v>
      </c>
      <c r="AL332" s="128">
        <v>2</v>
      </c>
      <c r="AM332" s="125">
        <v>4.6182900000000003E-4</v>
      </c>
    </row>
    <row r="333" spans="1:39" ht="12.75" customHeight="1" x14ac:dyDescent="0.25">
      <c r="A333" s="72" t="s">
        <v>20</v>
      </c>
      <c r="B333" s="184" t="s">
        <v>3090</v>
      </c>
      <c r="C333" s="44" t="s">
        <v>3234</v>
      </c>
      <c r="D333" s="45">
        <f>MROUND(MID($C333,6,3)/Basis!$E$3,0.5)</f>
        <v>25.5</v>
      </c>
      <c r="E333" s="45">
        <f>MROUND(MID($C333,9,3)/Basis!$E$3,0.5)</f>
        <v>78.5</v>
      </c>
      <c r="F333" s="237" t="str">
        <f t="shared" si="5"/>
        <v>20</v>
      </c>
      <c r="G333" s="45">
        <f>ROUND((ROUNDDOWN($F333/5,0)*5+2.2)/Basis!$E$3,1)</f>
        <v>8.6999999999999993</v>
      </c>
      <c r="H333" s="120">
        <f>ROUND($P333*Basis!$E$2*((TaH-TrH)/LN(1/µ)/Basis!$E$7)^$N333*$AA$4*Glycol,0)</f>
        <v>11716</v>
      </c>
      <c r="I333" s="83">
        <f>ROUND(H333/(MID($C333,9,3)/Basis!$E$3/Basis!$E$9)*Basis!$E$11,0)</f>
        <v>1786</v>
      </c>
      <c r="J333" s="123">
        <f>IF(Basis!$E$1=1,ROUND(H333/((TaH-TrH)*1.163)/3600,3),ROUND(H333/(500*(TaH-TrH)),2))</f>
        <v>1.17</v>
      </c>
      <c r="K333" s="84"/>
      <c r="L333" s="177">
        <f>CHOOSE(Basis!$E$1,((AJ333*(J333*3600/Basis!$E$5)^AK333*(((MID(C333,9,3)*10)-144)/1000)*AL333+AM333*(J333*3600/Basis!$E$5)^2)*0.0098)/Basis!$E$10,((AJ333*(J333/Basis!$E$5)^AK333*(((MID(C333,9,3)*10)-144)/1000)*AL333+AM333*(J333/Basis!$E$5)^2)*0.0098)/Basis!$E$10)</f>
        <v>0.11011096297988003</v>
      </c>
      <c r="M333" s="85"/>
      <c r="N333" s="185">
        <v>1.355</v>
      </c>
      <c r="O333" s="186"/>
      <c r="P333" s="187">
        <v>5370</v>
      </c>
      <c r="AJ333" s="126">
        <v>1.2760000000000001E-4</v>
      </c>
      <c r="AK333" s="132">
        <v>1.7219</v>
      </c>
      <c r="AL333" s="129">
        <v>2</v>
      </c>
      <c r="AM333" s="126">
        <v>3.76611E-4</v>
      </c>
    </row>
    <row r="334" spans="1:39" ht="12.75" customHeight="1" x14ac:dyDescent="0.25">
      <c r="A334" s="72" t="s">
        <v>20</v>
      </c>
      <c r="B334" s="184" t="s">
        <v>3090</v>
      </c>
      <c r="C334" s="44" t="s">
        <v>4122</v>
      </c>
      <c r="D334" s="45">
        <f>MROUND(MID($C334,6,3)/Basis!$E$3,0.5)</f>
        <v>25.5</v>
      </c>
      <c r="E334" s="45">
        <f>MROUND(MID($C334,9,3)/Basis!$E$3,0.5)</f>
        <v>86.5</v>
      </c>
      <c r="F334" s="237" t="str">
        <f t="shared" si="5"/>
        <v>10</v>
      </c>
      <c r="G334" s="45">
        <f>ROUND((ROUNDDOWN($F334/5,0)*5+2.2)/Basis!$E$3,1)</f>
        <v>4.8</v>
      </c>
      <c r="H334" s="120">
        <f>ROUND($P334*Basis!$E$2*((TaH-TrH)/LN(1/µ)/Basis!$E$7)^$N334*$AA$4*Glycol,0)</f>
        <v>5782</v>
      </c>
      <c r="I334" s="83">
        <f>ROUND(H334/(MID($C334,9,3)/Basis!$E$3/Basis!$E$9)*Basis!$E$11,0)</f>
        <v>801</v>
      </c>
      <c r="J334" s="123">
        <f>IF(Basis!$E$1=1,ROUND(H334/((TaH-TrH)*1.163)/3600,3),ROUND(H334/(500*(TaH-TrH)),2))</f>
        <v>0.57999999999999996</v>
      </c>
      <c r="K334" s="84"/>
      <c r="L334" s="177">
        <f>CHOOSE(Basis!$E$1,((AJ334*(J334*3600/Basis!$E$5)^AK334*(((MID(C334,9,3)*10)-144)/1000)*AL334+AM334*(J334*3600/Basis!$E$5)^2)*0.0098)/Basis!$E$10,((AJ334*(J334/Basis!$E$5)^AK334*(((MID(C334,9,3)*10)-144)/1000)*AL334+AM334*(J334/Basis!$E$5)^2)*0.0098)/Basis!$E$10)</f>
        <v>4.61985863057678E-2</v>
      </c>
      <c r="M334" s="85"/>
      <c r="N334" s="185">
        <v>1.371</v>
      </c>
      <c r="O334" s="186"/>
      <c r="P334" s="187">
        <v>2664</v>
      </c>
      <c r="AJ334" s="126">
        <v>3.9689999999999994E-4</v>
      </c>
      <c r="AK334" s="132">
        <v>1.7345999999999999</v>
      </c>
      <c r="AL334" s="129">
        <v>2</v>
      </c>
      <c r="AM334" s="126">
        <v>3.6734700000000002E-4</v>
      </c>
    </row>
    <row r="335" spans="1:39" ht="12.75" customHeight="1" x14ac:dyDescent="0.25">
      <c r="A335" s="72" t="s">
        <v>20</v>
      </c>
      <c r="B335" s="184" t="s">
        <v>3090</v>
      </c>
      <c r="C335" s="44" t="s">
        <v>4123</v>
      </c>
      <c r="D335" s="45">
        <f>MROUND(MID($C335,6,3)/Basis!$E$3,0.5)</f>
        <v>25.5</v>
      </c>
      <c r="E335" s="45">
        <f>MROUND(MID($C335,9,3)/Basis!$E$3,0.5)</f>
        <v>86.5</v>
      </c>
      <c r="F335" s="237" t="str">
        <f t="shared" si="5"/>
        <v>15</v>
      </c>
      <c r="G335" s="45">
        <f>ROUND((ROUNDDOWN($F335/5,0)*5+2.2)/Basis!$E$3,1)</f>
        <v>6.8</v>
      </c>
      <c r="H335" s="120">
        <f>ROUND($P335*Basis!$E$2*((TaH-TrH)/LN(1/µ)/Basis!$E$7)^$N335*$AA$4*Glycol,0)</f>
        <v>9307</v>
      </c>
      <c r="I335" s="83">
        <f>ROUND(H335/(MID($C335,9,3)/Basis!$E$3/Basis!$E$9)*Basis!$E$11,0)</f>
        <v>1289</v>
      </c>
      <c r="J335" s="123">
        <f>IF(Basis!$E$1=1,ROUND(H335/((TaH-TrH)*1.163)/3600,3),ROUND(H335/(500*(TaH-TrH)),2))</f>
        <v>0.93</v>
      </c>
      <c r="K335" s="84"/>
      <c r="L335" s="177">
        <f>CHOOSE(Basis!$E$1,((AJ335*(J335*3600/Basis!$E$5)^AK335*(((MID(C335,9,3)*10)-144)/1000)*AL335+AM335*(J335*3600/Basis!$E$5)^2)*0.0098)/Basis!$E$10,((AJ335*(J335/Basis!$E$5)^AK335*(((MID(C335,9,3)*10)-144)/1000)*AL335+AM335*(J335/Basis!$E$5)^2)*0.0098)/Basis!$E$10)</f>
        <v>9.589090453221126E-2</v>
      </c>
      <c r="M335" s="85"/>
      <c r="N335" s="185">
        <v>1.355</v>
      </c>
      <c r="O335" s="186"/>
      <c r="P335" s="187">
        <v>4266</v>
      </c>
      <c r="AJ335" s="125">
        <v>2.0829999999999999E-4</v>
      </c>
      <c r="AK335" s="131">
        <v>1.724</v>
      </c>
      <c r="AL335" s="128">
        <v>2</v>
      </c>
      <c r="AM335" s="125">
        <v>4.6182900000000003E-4</v>
      </c>
    </row>
    <row r="336" spans="1:39" ht="12.75" customHeight="1" x14ac:dyDescent="0.25">
      <c r="A336" s="72" t="s">
        <v>20</v>
      </c>
      <c r="B336" s="184" t="s">
        <v>3090</v>
      </c>
      <c r="C336" s="44" t="s">
        <v>4124</v>
      </c>
      <c r="D336" s="45">
        <f>MROUND(MID($C336,6,3)/Basis!$E$3,0.5)</f>
        <v>25.5</v>
      </c>
      <c r="E336" s="45">
        <f>MROUND(MID($C336,9,3)/Basis!$E$3,0.5)</f>
        <v>86.5</v>
      </c>
      <c r="F336" s="237" t="str">
        <f t="shared" si="5"/>
        <v>20</v>
      </c>
      <c r="G336" s="45">
        <f>ROUND((ROUNDDOWN($F336/5,0)*5+2.2)/Basis!$E$3,1)</f>
        <v>8.6999999999999993</v>
      </c>
      <c r="H336" s="120">
        <f>ROUND($P336*Basis!$E$2*((TaH-TrH)/LN(1/µ)/Basis!$E$7)^$N336*$AA$4*Glycol,0)</f>
        <v>13001</v>
      </c>
      <c r="I336" s="83">
        <f>ROUND(H336/(MID($C336,9,3)/Basis!$E$3/Basis!$E$9)*Basis!$E$11,0)</f>
        <v>1801</v>
      </c>
      <c r="J336" s="123">
        <f>IF(Basis!$E$1=1,ROUND(H336/((TaH-TrH)*1.163)/3600,3),ROUND(H336/(500*(TaH-TrH)),2))</f>
        <v>1.3</v>
      </c>
      <c r="K336" s="84"/>
      <c r="L336" s="177">
        <f>CHOOSE(Basis!$E$1,((AJ336*(J336*3600/Basis!$E$5)^AK336*(((MID(C336,9,3)*10)-144)/1000)*AL336+AM336*(J336*3600/Basis!$E$5)^2)*0.0098)/Basis!$E$10,((AJ336*(J336/Basis!$E$5)^AK336*(((MID(C336,9,3)*10)-144)/1000)*AL336+AM336*(J336/Basis!$E$5)^2)*0.0098)/Basis!$E$10)</f>
        <v>0.1381054304879431</v>
      </c>
      <c r="M336" s="85"/>
      <c r="N336" s="185">
        <v>1.355</v>
      </c>
      <c r="O336" s="186"/>
      <c r="P336" s="187">
        <v>5959</v>
      </c>
      <c r="AJ336" s="126">
        <v>1.2760000000000001E-4</v>
      </c>
      <c r="AK336" s="132">
        <v>1.7219</v>
      </c>
      <c r="AL336" s="129">
        <v>2</v>
      </c>
      <c r="AM336" s="126">
        <v>3.76611E-4</v>
      </c>
    </row>
    <row r="337" spans="1:39" ht="12.75" customHeight="1" x14ac:dyDescent="0.25">
      <c r="A337" s="72" t="s">
        <v>20</v>
      </c>
      <c r="B337" s="184" t="s">
        <v>3090</v>
      </c>
      <c r="C337" s="44" t="s">
        <v>4128</v>
      </c>
      <c r="D337" s="45">
        <f>MROUND(MID($C337,6,3)/Basis!$E$3,0.5)</f>
        <v>25.5</v>
      </c>
      <c r="E337" s="45">
        <f>MROUND(MID($C337,9,3)/Basis!$E$3,0.5)</f>
        <v>94.5</v>
      </c>
      <c r="F337" s="237" t="str">
        <f t="shared" si="5"/>
        <v>10</v>
      </c>
      <c r="G337" s="45">
        <f>ROUND((ROUNDDOWN($F337/5,0)*5+2.2)/Basis!$E$3,1)</f>
        <v>4.8</v>
      </c>
      <c r="H337" s="120">
        <f>ROUND($P337*Basis!$E$2*((TaH-TrH)/LN(1/µ)/Basis!$E$7)^$N337*$AA$4*Glycol,0)</f>
        <v>6307</v>
      </c>
      <c r="I337" s="83">
        <f>ROUND(H337/(MID($C337,9,3)/Basis!$E$3/Basis!$E$9)*Basis!$E$11,0)</f>
        <v>801</v>
      </c>
      <c r="J337" s="123">
        <f>IF(Basis!$E$1=1,ROUND(H337/((TaH-TrH)*1.163)/3600,3),ROUND(H337/(500*(TaH-TrH)),2))</f>
        <v>0.63</v>
      </c>
      <c r="K337" s="84"/>
      <c r="L337" s="177">
        <f>CHOOSE(Basis!$E$1,((AJ337*(J337*3600/Basis!$E$5)^AK337*(((MID(C337,9,3)*10)-144)/1000)*AL337+AM337*(J337*3600/Basis!$E$5)^2)*0.0098)/Basis!$E$10,((AJ337*(J337/Basis!$E$5)^AK337*(((MID(C337,9,3)*10)-144)/1000)*AL337+AM337*(J337/Basis!$E$5)^2)*0.0098)/Basis!$E$10)</f>
        <v>5.6704673999981269E-2</v>
      </c>
      <c r="M337" s="85"/>
      <c r="N337" s="185">
        <v>1.371</v>
      </c>
      <c r="O337" s="186"/>
      <c r="P337" s="187">
        <v>2906</v>
      </c>
      <c r="AJ337" s="126">
        <v>3.9689999999999994E-4</v>
      </c>
      <c r="AK337" s="132">
        <v>1.7345999999999999</v>
      </c>
      <c r="AL337" s="129">
        <v>2</v>
      </c>
      <c r="AM337" s="126">
        <v>3.6734700000000002E-4</v>
      </c>
    </row>
    <row r="338" spans="1:39" ht="12.75" customHeight="1" x14ac:dyDescent="0.25">
      <c r="A338" s="72" t="s">
        <v>20</v>
      </c>
      <c r="B338" s="184" t="s">
        <v>3090</v>
      </c>
      <c r="C338" s="44" t="s">
        <v>4129</v>
      </c>
      <c r="D338" s="45">
        <f>MROUND(MID($C338,6,3)/Basis!$E$3,0.5)</f>
        <v>25.5</v>
      </c>
      <c r="E338" s="45">
        <f>MROUND(MID($C338,9,3)/Basis!$E$3,0.5)</f>
        <v>94.5</v>
      </c>
      <c r="F338" s="237" t="str">
        <f t="shared" si="5"/>
        <v>15</v>
      </c>
      <c r="G338" s="45">
        <f>ROUND((ROUNDDOWN($F338/5,0)*5+2.2)/Basis!$E$3,1)</f>
        <v>6.8</v>
      </c>
      <c r="H338" s="120">
        <f>ROUND($P338*Basis!$E$2*((TaH-TrH)/LN(1/µ)/Basis!$E$7)^$N338*$AA$4*Glycol,0)</f>
        <v>10064</v>
      </c>
      <c r="I338" s="83">
        <f>ROUND(H338/(MID($C338,9,3)/Basis!$E$3/Basis!$E$9)*Basis!$E$11,0)</f>
        <v>1278</v>
      </c>
      <c r="J338" s="123">
        <f>IF(Basis!$E$1=1,ROUND(H338/((TaH-TrH)*1.163)/3600,3),ROUND(H338/(500*(TaH-TrH)),2))</f>
        <v>1.01</v>
      </c>
      <c r="K338" s="84"/>
      <c r="L338" s="177">
        <f>CHOOSE(Basis!$E$1,((AJ338*(J338*3600/Basis!$E$5)^AK338*(((MID(C338,9,3)*10)-144)/1000)*AL338+AM338*(J338*3600/Basis!$E$5)^2)*0.0098)/Basis!$E$10,((AJ338*(J338/Basis!$E$5)^AK338*(((MID(C338,9,3)*10)-144)/1000)*AL338+AM338*(J338/Basis!$E$5)^2)*0.0098)/Basis!$E$10)</f>
        <v>0.11553865978868166</v>
      </c>
      <c r="M338" s="85"/>
      <c r="N338" s="185">
        <v>1.355</v>
      </c>
      <c r="O338" s="186"/>
      <c r="P338" s="187">
        <v>4613</v>
      </c>
      <c r="AJ338" s="125">
        <v>2.0829999999999999E-4</v>
      </c>
      <c r="AK338" s="131">
        <v>1.724</v>
      </c>
      <c r="AL338" s="128">
        <v>2</v>
      </c>
      <c r="AM338" s="125">
        <v>4.6182900000000003E-4</v>
      </c>
    </row>
    <row r="339" spans="1:39" ht="12.75" customHeight="1" x14ac:dyDescent="0.25">
      <c r="A339" s="72" t="s">
        <v>20</v>
      </c>
      <c r="B339" s="184" t="s">
        <v>3090</v>
      </c>
      <c r="C339" s="44" t="s">
        <v>4130</v>
      </c>
      <c r="D339" s="45">
        <f>MROUND(MID($C339,6,3)/Basis!$E$3,0.5)</f>
        <v>25.5</v>
      </c>
      <c r="E339" s="45">
        <f>MROUND(MID($C339,9,3)/Basis!$E$3,0.5)</f>
        <v>94.5</v>
      </c>
      <c r="F339" s="237" t="str">
        <f t="shared" si="5"/>
        <v>20</v>
      </c>
      <c r="G339" s="45">
        <f>ROUND((ROUNDDOWN($F339/5,0)*5+2.2)/Basis!$E$3,1)</f>
        <v>8.6999999999999993</v>
      </c>
      <c r="H339" s="120">
        <f>ROUND($P339*Basis!$E$2*((TaH-TrH)/LN(1/µ)/Basis!$E$7)^$N339*$AA$4*Glycol,0)</f>
        <v>14059</v>
      </c>
      <c r="I339" s="83">
        <f>ROUND(H339/(MID($C339,9,3)/Basis!$E$3/Basis!$E$9)*Basis!$E$11,0)</f>
        <v>1785</v>
      </c>
      <c r="J339" s="123">
        <f>IF(Basis!$E$1=1,ROUND(H339/((TaH-TrH)*1.163)/3600,3),ROUND(H339/(500*(TaH-TrH)),2))</f>
        <v>1.41</v>
      </c>
      <c r="K339" s="84"/>
      <c r="L339" s="177">
        <f>CHOOSE(Basis!$E$1,((AJ339*(J339*3600/Basis!$E$5)^AK339*(((MID(C339,9,3)*10)-144)/1000)*AL339+AM339*(J339*3600/Basis!$E$5)^2)*0.0098)/Basis!$E$10,((AJ339*(J339/Basis!$E$5)^AK339*(((MID(C339,9,3)*10)-144)/1000)*AL339+AM339*(J339/Basis!$E$5)^2)*0.0098)/Basis!$E$10)</f>
        <v>0.16509836439497536</v>
      </c>
      <c r="M339" s="85"/>
      <c r="N339" s="185">
        <v>1.355</v>
      </c>
      <c r="O339" s="186"/>
      <c r="P339" s="187">
        <v>6444</v>
      </c>
      <c r="AJ339" s="126">
        <v>1.2760000000000001E-4</v>
      </c>
      <c r="AK339" s="132">
        <v>1.7219</v>
      </c>
      <c r="AL339" s="129">
        <v>2</v>
      </c>
      <c r="AM339" s="126">
        <v>3.76611E-4</v>
      </c>
    </row>
    <row r="340" spans="1:39" ht="12.75" customHeight="1" x14ac:dyDescent="0.25">
      <c r="A340" s="72" t="s">
        <v>20</v>
      </c>
      <c r="B340" s="184" t="s">
        <v>3090</v>
      </c>
      <c r="C340" s="44" t="s">
        <v>4125</v>
      </c>
      <c r="D340" s="45">
        <f>MROUND(MID($C340,6,3)/Basis!$E$3,0.5)</f>
        <v>25.5</v>
      </c>
      <c r="E340" s="45">
        <f>MROUND(MID($C340,9,3)/Basis!$E$3,0.5)</f>
        <v>102.5</v>
      </c>
      <c r="F340" s="237" t="str">
        <f t="shared" si="5"/>
        <v>10</v>
      </c>
      <c r="G340" s="45">
        <f>ROUND((ROUNDDOWN($F340/5,0)*5+2.2)/Basis!$E$3,1)</f>
        <v>4.8</v>
      </c>
      <c r="H340" s="120">
        <f>ROUND($P340*Basis!$E$2*((TaH-TrH)/LN(1/µ)/Basis!$E$7)^$N340*$AA$4*Glycol,0)</f>
        <v>6834</v>
      </c>
      <c r="I340" s="83">
        <f>ROUND(H340/(MID($C340,9,3)/Basis!$E$3/Basis!$E$9)*Basis!$E$11,0)</f>
        <v>801</v>
      </c>
      <c r="J340" s="123">
        <f>IF(Basis!$E$1=1,ROUND(H340/((TaH-TrH)*1.163)/3600,3),ROUND(H340/(500*(TaH-TrH)),2))</f>
        <v>0.68</v>
      </c>
      <c r="K340" s="84"/>
      <c r="L340" s="177">
        <f>CHOOSE(Basis!$E$1,((AJ340*(J340*3600/Basis!$E$5)^AK340*(((MID(C340,9,3)*10)-144)/1000)*AL340+AM340*(J340*3600/Basis!$E$5)^2)*0.0098)/Basis!$E$10,((AJ340*(J340/Basis!$E$5)^AK340*(((MID(C340,9,3)*10)-144)/1000)*AL340+AM340*(J340/Basis!$E$5)^2)*0.0098)/Basis!$E$10)</f>
        <v>6.8562025665362056E-2</v>
      </c>
      <c r="M340" s="85"/>
      <c r="N340" s="185">
        <v>1.371</v>
      </c>
      <c r="O340" s="186"/>
      <c r="P340" s="187">
        <v>3149</v>
      </c>
      <c r="AJ340" s="126">
        <v>3.9689999999999994E-4</v>
      </c>
      <c r="AK340" s="132">
        <v>1.7345999999999999</v>
      </c>
      <c r="AL340" s="129">
        <v>2</v>
      </c>
      <c r="AM340" s="126">
        <v>3.6734700000000002E-4</v>
      </c>
    </row>
    <row r="341" spans="1:39" ht="12.75" customHeight="1" x14ac:dyDescent="0.25">
      <c r="A341" s="72" t="s">
        <v>20</v>
      </c>
      <c r="B341" s="184" t="s">
        <v>3090</v>
      </c>
      <c r="C341" s="44" t="s">
        <v>4126</v>
      </c>
      <c r="D341" s="45">
        <f>MROUND(MID($C341,6,3)/Basis!$E$3,0.5)</f>
        <v>25.5</v>
      </c>
      <c r="E341" s="45">
        <f>MROUND(MID($C341,9,3)/Basis!$E$3,0.5)</f>
        <v>102.5</v>
      </c>
      <c r="F341" s="237" t="str">
        <f t="shared" si="5"/>
        <v>15</v>
      </c>
      <c r="G341" s="45">
        <f>ROUND((ROUNDDOWN($F341/5,0)*5+2.2)/Basis!$E$3,1)</f>
        <v>6.8</v>
      </c>
      <c r="H341" s="120">
        <f>ROUND($P341*Basis!$E$2*((TaH-TrH)/LN(1/µ)/Basis!$E$7)^$N341*$AA$4*Glycol,0)</f>
        <v>10985</v>
      </c>
      <c r="I341" s="83">
        <f>ROUND(H341/(MID($C341,9,3)/Basis!$E$3/Basis!$E$9)*Basis!$E$11,0)</f>
        <v>1288</v>
      </c>
      <c r="J341" s="123">
        <f>IF(Basis!$E$1=1,ROUND(H341/((TaH-TrH)*1.163)/3600,3),ROUND(H341/(500*(TaH-TrH)),2))</f>
        <v>1.1000000000000001</v>
      </c>
      <c r="K341" s="84"/>
      <c r="L341" s="177">
        <f>CHOOSE(Basis!$E$1,((AJ341*(J341*3600/Basis!$E$5)^AK341*(((MID(C341,9,3)*10)-144)/1000)*AL341+AM341*(J341*3600/Basis!$E$5)^2)*0.0098)/Basis!$E$10,((AJ341*(J341/Basis!$E$5)^AK341*(((MID(C341,9,3)*10)-144)/1000)*AL341+AM341*(J341/Basis!$E$5)^2)*0.0098)/Basis!$E$10)</f>
        <v>0.13975605669289129</v>
      </c>
      <c r="M341" s="85"/>
      <c r="N341" s="185">
        <v>1.355</v>
      </c>
      <c r="O341" s="186"/>
      <c r="P341" s="187">
        <v>5035</v>
      </c>
      <c r="AJ341" s="125">
        <v>2.0829999999999999E-4</v>
      </c>
      <c r="AK341" s="131">
        <v>1.724</v>
      </c>
      <c r="AL341" s="128">
        <v>2</v>
      </c>
      <c r="AM341" s="125">
        <v>4.6182900000000003E-4</v>
      </c>
    </row>
    <row r="342" spans="1:39" ht="12.75" customHeight="1" x14ac:dyDescent="0.25">
      <c r="A342" s="72" t="s">
        <v>20</v>
      </c>
      <c r="B342" s="184" t="s">
        <v>3090</v>
      </c>
      <c r="C342" s="44" t="s">
        <v>4127</v>
      </c>
      <c r="D342" s="45">
        <f>MROUND(MID($C342,6,3)/Basis!$E$3,0.5)</f>
        <v>25.5</v>
      </c>
      <c r="E342" s="45">
        <f>MROUND(MID($C342,9,3)/Basis!$E$3,0.5)</f>
        <v>102.5</v>
      </c>
      <c r="F342" s="237" t="str">
        <f t="shared" si="5"/>
        <v>20</v>
      </c>
      <c r="G342" s="45">
        <f>ROUND((ROUNDDOWN($F342/5,0)*5+2.2)/Basis!$E$3,1)</f>
        <v>8.6999999999999993</v>
      </c>
      <c r="H342" s="120">
        <f>ROUND($P342*Basis!$E$2*((TaH-TrH)/LN(1/µ)/Basis!$E$7)^$N342*$AA$4*Glycol,0)</f>
        <v>15344</v>
      </c>
      <c r="I342" s="83">
        <f>ROUND(H342/(MID($C342,9,3)/Basis!$E$3/Basis!$E$9)*Basis!$E$11,0)</f>
        <v>1799</v>
      </c>
      <c r="J342" s="123">
        <f>IF(Basis!$E$1=1,ROUND(H342/((TaH-TrH)*1.163)/3600,3),ROUND(H342/(500*(TaH-TrH)),2))</f>
        <v>1.53</v>
      </c>
      <c r="K342" s="84"/>
      <c r="L342" s="177">
        <f>CHOOSE(Basis!$E$1,((AJ342*(J342*3600/Basis!$E$5)^AK342*(((MID(C342,9,3)*10)-144)/1000)*AL342+AM342*(J342*3600/Basis!$E$5)^2)*0.0098)/Basis!$E$10,((AJ342*(J342/Basis!$E$5)^AK342*(((MID(C342,9,3)*10)-144)/1000)*AL342+AM342*(J342/Basis!$E$5)^2)*0.0098)/Basis!$E$10)</f>
        <v>0.19732978991163885</v>
      </c>
      <c r="M342" s="85"/>
      <c r="N342" s="185">
        <v>1.355</v>
      </c>
      <c r="O342" s="186"/>
      <c r="P342" s="187">
        <v>7033</v>
      </c>
      <c r="AJ342" s="126">
        <v>1.2760000000000001E-4</v>
      </c>
      <c r="AK342" s="132">
        <v>1.7219</v>
      </c>
      <c r="AL342" s="129">
        <v>2</v>
      </c>
      <c r="AM342" s="126">
        <v>3.76611E-4</v>
      </c>
    </row>
    <row r="343" spans="1:39" ht="12.75" customHeight="1" x14ac:dyDescent="0.25">
      <c r="A343" s="72" t="s">
        <v>20</v>
      </c>
      <c r="B343" s="184" t="s">
        <v>3090</v>
      </c>
      <c r="C343" s="44" t="s">
        <v>4131</v>
      </c>
      <c r="D343" s="45">
        <f>MROUND(MID($C343,6,3)/Basis!$E$3,0.5)</f>
        <v>25.5</v>
      </c>
      <c r="E343" s="45">
        <f>MROUND(MID($C343,9,3)/Basis!$E$3,0.5)</f>
        <v>110</v>
      </c>
      <c r="F343" s="237" t="str">
        <f t="shared" si="5"/>
        <v>10</v>
      </c>
      <c r="G343" s="45">
        <f>ROUND((ROUNDDOWN($F343/5,0)*5+2.2)/Basis!$E$3,1)</f>
        <v>4.8</v>
      </c>
      <c r="H343" s="120">
        <f>ROUND($P343*Basis!$E$2*((TaH-TrH)/LN(1/µ)/Basis!$E$7)^$N343*$AA$4*Glycol,0)</f>
        <v>7359</v>
      </c>
      <c r="I343" s="83">
        <f>ROUND(H343/(MID($C343,9,3)/Basis!$E$3/Basis!$E$9)*Basis!$E$11,0)</f>
        <v>801</v>
      </c>
      <c r="J343" s="123">
        <f>IF(Basis!$E$1=1,ROUND(H343/((TaH-TrH)*1.163)/3600,3),ROUND(H343/(500*(TaH-TrH)),2))</f>
        <v>0.74</v>
      </c>
      <c r="K343" s="84"/>
      <c r="L343" s="177">
        <f>CHOOSE(Basis!$E$1,((AJ343*(J343*3600/Basis!$E$5)^AK343*(((MID(C343,9,3)*10)-144)/1000)*AL343+AM343*(J343*3600/Basis!$E$5)^2)*0.0098)/Basis!$E$10,((AJ343*(J343/Basis!$E$5)^AK343*(((MID(C343,9,3)*10)-144)/1000)*AL343+AM343*(J343/Basis!$E$5)^2)*0.0098)/Basis!$E$10)</f>
        <v>8.3909662083055267E-2</v>
      </c>
      <c r="M343" s="85"/>
      <c r="N343" s="185">
        <v>1.371</v>
      </c>
      <c r="O343" s="186"/>
      <c r="P343" s="187">
        <v>3391</v>
      </c>
      <c r="AJ343" s="126">
        <v>3.9689999999999994E-4</v>
      </c>
      <c r="AK343" s="132">
        <v>1.7345999999999999</v>
      </c>
      <c r="AL343" s="129">
        <v>2</v>
      </c>
      <c r="AM343" s="126">
        <v>3.6734700000000002E-4</v>
      </c>
    </row>
    <row r="344" spans="1:39" ht="12.75" customHeight="1" x14ac:dyDescent="0.25">
      <c r="A344" s="72" t="s">
        <v>20</v>
      </c>
      <c r="B344" s="184" t="s">
        <v>3090</v>
      </c>
      <c r="C344" s="44" t="s">
        <v>4132</v>
      </c>
      <c r="D344" s="45">
        <f>MROUND(MID($C344,6,3)/Basis!$E$3,0.5)</f>
        <v>25.5</v>
      </c>
      <c r="E344" s="45">
        <f>MROUND(MID($C344,9,3)/Basis!$E$3,0.5)</f>
        <v>110</v>
      </c>
      <c r="F344" s="237" t="str">
        <f t="shared" si="5"/>
        <v>15</v>
      </c>
      <c r="G344" s="45">
        <f>ROUND((ROUNDDOWN($F344/5,0)*5+2.2)/Basis!$E$3,1)</f>
        <v>6.8</v>
      </c>
      <c r="H344" s="120">
        <f>ROUND($P344*Basis!$E$2*((TaH-TrH)/LN(1/µ)/Basis!$E$7)^$N344*$AA$4*Glycol,0)</f>
        <v>11742</v>
      </c>
      <c r="I344" s="83">
        <f>ROUND(H344/(MID($C344,9,3)/Basis!$E$3/Basis!$E$9)*Basis!$E$11,0)</f>
        <v>1278</v>
      </c>
      <c r="J344" s="123">
        <f>IF(Basis!$E$1=1,ROUND(H344/((TaH-TrH)*1.163)/3600,3),ROUND(H344/(500*(TaH-TrH)),2))</f>
        <v>1.17</v>
      </c>
      <c r="K344" s="84"/>
      <c r="L344" s="177">
        <f>CHOOSE(Basis!$E$1,((AJ344*(J344*3600/Basis!$E$5)^AK344*(((MID(C344,9,3)*10)-144)/1000)*AL344+AM344*(J344*3600/Basis!$E$5)^2)*0.0098)/Basis!$E$10,((AJ344*(J344/Basis!$E$5)^AK344*(((MID(C344,9,3)*10)-144)/1000)*AL344+AM344*(J344/Basis!$E$5)^2)*0.0098)/Basis!$E$10)</f>
        <v>0.16136116701610548</v>
      </c>
      <c r="M344" s="85"/>
      <c r="N344" s="185">
        <v>1.355</v>
      </c>
      <c r="O344" s="186"/>
      <c r="P344" s="187">
        <v>5382</v>
      </c>
      <c r="AJ344" s="125">
        <v>2.0829999999999999E-4</v>
      </c>
      <c r="AK344" s="131">
        <v>1.724</v>
      </c>
      <c r="AL344" s="128">
        <v>2</v>
      </c>
      <c r="AM344" s="125">
        <v>4.6182900000000003E-4</v>
      </c>
    </row>
    <row r="345" spans="1:39" ht="12.75" customHeight="1" x14ac:dyDescent="0.25">
      <c r="A345" s="72" t="s">
        <v>20</v>
      </c>
      <c r="B345" s="184" t="s">
        <v>3090</v>
      </c>
      <c r="C345" s="44" t="s">
        <v>4133</v>
      </c>
      <c r="D345" s="45">
        <f>MROUND(MID($C345,6,3)/Basis!$E$3,0.5)</f>
        <v>25.5</v>
      </c>
      <c r="E345" s="45">
        <f>MROUND(MID($C345,9,3)/Basis!$E$3,0.5)</f>
        <v>110</v>
      </c>
      <c r="F345" s="237" t="str">
        <f t="shared" si="5"/>
        <v>20</v>
      </c>
      <c r="G345" s="45">
        <f>ROUND((ROUNDDOWN($F345/5,0)*5+2.2)/Basis!$E$3,1)</f>
        <v>8.6999999999999993</v>
      </c>
      <c r="H345" s="120">
        <f>ROUND($P345*Basis!$E$2*((TaH-TrH)/LN(1/µ)/Basis!$E$7)^$N345*$AA$4*Glycol,0)</f>
        <v>16402</v>
      </c>
      <c r="I345" s="83">
        <f>ROUND(H345/(MID($C345,9,3)/Basis!$E$3/Basis!$E$9)*Basis!$E$11,0)</f>
        <v>1785</v>
      </c>
      <c r="J345" s="123">
        <f>IF(Basis!$E$1=1,ROUND(H345/((TaH-TrH)*1.163)/3600,3),ROUND(H345/(500*(TaH-TrH)),2))</f>
        <v>1.64</v>
      </c>
      <c r="K345" s="84"/>
      <c r="L345" s="177">
        <f>CHOOSE(Basis!$E$1,((AJ345*(J345*3600/Basis!$E$5)^AK345*(((MID(C345,9,3)*10)-144)/1000)*AL345+AM345*(J345*3600/Basis!$E$5)^2)*0.0098)/Basis!$E$10,((AJ345*(J345/Basis!$E$5)^AK345*(((MID(C345,9,3)*10)-144)/1000)*AL345+AM345*(J345/Basis!$E$5)^2)*0.0098)/Basis!$E$10)</f>
        <v>0.23011842859381368</v>
      </c>
      <c r="M345" s="85"/>
      <c r="N345" s="185">
        <v>1.355</v>
      </c>
      <c r="O345" s="186"/>
      <c r="P345" s="187">
        <v>7518</v>
      </c>
      <c r="AJ345" s="126">
        <v>1.2760000000000001E-4</v>
      </c>
      <c r="AK345" s="132">
        <v>1.7219</v>
      </c>
      <c r="AL345" s="129">
        <v>2</v>
      </c>
      <c r="AM345" s="126">
        <v>3.76611E-4</v>
      </c>
    </row>
    <row r="346" spans="1:39" ht="12.75" customHeight="1" x14ac:dyDescent="0.2"/>
    <row r="347" spans="1:39" ht="12.75" customHeight="1" x14ac:dyDescent="0.2"/>
    <row r="348" spans="1:39" ht="12.75" customHeight="1" x14ac:dyDescent="0.2"/>
    <row r="349" spans="1:39" ht="12.75" customHeight="1" x14ac:dyDescent="0.2"/>
    <row r="350" spans="1:39" ht="12.75" customHeight="1" x14ac:dyDescent="0.2"/>
    <row r="351" spans="1:39" ht="12.75" customHeight="1" x14ac:dyDescent="0.2"/>
    <row r="352" spans="1:39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</sheetData>
  <sheetProtection algorithmName="SHA-512" hashValue="QnUBUu+gj/GjZ/A80A0/TdjX+hheYWJ2h00sI/AkFDEbPSLB1H+JaETK5Ac8+Aym1bTX1NcVrM80dcwerxRQWw==" saltValue="/BN/aGU2Qr4B787ZDjY/rg==" spinCount="100000" sheet="1" sort="0" autoFilter="0"/>
  <autoFilter ref="A9:AV345">
    <sortState ref="A10:AV345">
      <sortCondition ref="C9:C345"/>
    </sortState>
  </autoFilter>
  <mergeCells count="7">
    <mergeCell ref="A1:C3"/>
    <mergeCell ref="A4:A5"/>
    <mergeCell ref="M7:M8"/>
    <mergeCell ref="AO7:AS7"/>
    <mergeCell ref="H8:J8"/>
    <mergeCell ref="AJ8:AL8"/>
    <mergeCell ref="AO8:AS8"/>
  </mergeCells>
  <dataValidations count="5">
    <dataValidation type="decimal" allowBlank="1" showErrorMessage="1" errorTitle="ERROR" error="Entering T between 95 and 180ºF" sqref="R3 V3">
      <formula1>95</formula1>
      <formula2>210</formula2>
    </dataValidation>
    <dataValidation type="decimal" allowBlank="1" showErrorMessage="1" errorTitle="ERROR" error="Air T between 50 and 77ºF" promptTitle="Omgevingº:" prompt="Geheel getal tussen 10 en 25" sqref="R5 V5 T7">
      <formula1>50</formula1>
      <formula2>77</formula2>
    </dataValidation>
    <dataValidation type="decimal" operator="lessThan" allowBlank="1" showErrorMessage="1" errorTitle="ERROR" error="Return T must &lt;  Entering T" promptTitle="Retourº:" prompt="Altijd lager dan Aanvoerº" sqref="V4 R4">
      <formula1>R3</formula1>
    </dataValidation>
    <dataValidation type="list" allowBlank="1" showInputMessage="1" showErrorMessage="1" sqref="V7 R7">
      <formula1>#REF!</formula1>
    </dataValidation>
    <dataValidation type="custom" allowBlank="1" showInputMessage="1" showErrorMessage="1" errorTitle="try again" error="&lt;200ºF" sqref="I2">
      <formula1>I2&lt;200</formula1>
    </dataValidation>
  </dataValidations>
  <printOptions horizontalCentered="1"/>
  <pageMargins left="0" right="0" top="0" bottom="0.19685039370078741" header="0" footer="0"/>
  <pageSetup paperSize="9" fitToHeight="1000" orientation="landscape" r:id="rId1"/>
  <headerFooter>
    <oddFooter>&amp;R&amp;8&amp;D 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2</xdr:row>
                    <xdr:rowOff>180975</xdr:rowOff>
                  </from>
                  <to>
                    <xdr:col>4</xdr:col>
                    <xdr:colOff>438150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U2252"/>
  <sheetViews>
    <sheetView showGridLines="0" showRowColHeaders="0" showZeros="0" zoomScaleNormal="100" workbookViewId="0">
      <pane ySplit="9" topLeftCell="A674" activePane="bottomLeft" state="frozen"/>
      <selection activeCell="I2" sqref="I2"/>
      <selection pane="bottomLeft" activeCell="I2" sqref="I2"/>
    </sheetView>
  </sheetViews>
  <sheetFormatPr defaultColWidth="0" defaultRowHeight="12.75" customHeight="1" zeroHeight="1" x14ac:dyDescent="0.2"/>
  <cols>
    <col min="1" max="1" width="19.7109375" style="1" customWidth="1"/>
    <col min="2" max="3" width="24.140625" style="1" customWidth="1"/>
    <col min="4" max="5" width="6.7109375" style="7" customWidth="1"/>
    <col min="6" max="6" width="6.7109375" style="6" customWidth="1"/>
    <col min="7" max="7" width="6.7109375" style="7" customWidth="1"/>
    <col min="8" max="10" width="8.7109375" style="2" customWidth="1"/>
    <col min="11" max="11" width="11.28515625" style="2" hidden="1" customWidth="1"/>
    <col min="12" max="12" width="11.28515625" style="178" hidden="1" customWidth="1"/>
    <col min="13" max="13" width="32.140625" style="2" hidden="1" customWidth="1"/>
    <col min="14" max="14" width="9" style="7" hidden="1" customWidth="1"/>
    <col min="15" max="15" width="6" hidden="1" customWidth="1"/>
    <col min="16" max="16" width="9.140625" style="7" hidden="1" customWidth="1"/>
    <col min="17" max="17" width="6" hidden="1" customWidth="1"/>
    <col min="18" max="18" width="7" style="2" hidden="1" customWidth="1"/>
    <col min="19" max="22" width="4.28515625" style="2" hidden="1" customWidth="1"/>
    <col min="23" max="23" width="6" hidden="1" customWidth="1"/>
    <col min="24" max="24" width="18.140625" style="38" hidden="1" customWidth="1"/>
    <col min="25" max="28" width="4.28515625" style="38" hidden="1" customWidth="1"/>
    <col min="29" max="29" width="6" hidden="1" customWidth="1"/>
    <col min="30" max="30" width="6.140625" style="2" hidden="1" customWidth="1"/>
    <col min="31" max="34" width="4.28515625" style="2" hidden="1" customWidth="1"/>
    <col min="35" max="35" width="7.7109375" hidden="1" customWidth="1"/>
    <col min="36" max="36" width="10" style="127" hidden="1" customWidth="1"/>
    <col min="37" max="37" width="9" style="133" hidden="1" customWidth="1"/>
    <col min="38" max="38" width="6.28515625" style="130" hidden="1" customWidth="1"/>
    <col min="39" max="39" width="12" style="127" hidden="1" customWidth="1"/>
    <col min="40" max="40" width="7.7109375" hidden="1" customWidth="1"/>
    <col min="41" max="45" width="7.7109375" style="10" hidden="1" customWidth="1"/>
    <col min="46" max="46" width="7.7109375" hidden="1" customWidth="1"/>
    <col min="47" max="47" width="7.7109375" style="2" hidden="1" customWidth="1"/>
    <col min="48" max="48" width="20.42578125" style="2" hidden="1" customWidth="1"/>
    <col min="49" max="49" width="7.140625" style="3" hidden="1" customWidth="1"/>
    <col min="50" max="50" width="6" style="3" hidden="1" customWidth="1"/>
    <col min="51" max="51" width="5.28515625" style="3" hidden="1" customWidth="1"/>
    <col min="52" max="52" width="7.7109375" style="3" hidden="1" customWidth="1"/>
    <col min="53" max="53" width="10.5703125" style="3" hidden="1" customWidth="1"/>
    <col min="54" max="54" width="7.7109375" style="3" hidden="1" customWidth="1"/>
    <col min="55" max="55" width="3" style="3" hidden="1" customWidth="1"/>
    <col min="56" max="56" width="10.5703125" style="3" hidden="1" customWidth="1"/>
    <col min="57" max="57" width="9.28515625" style="3" hidden="1" customWidth="1"/>
    <col min="58" max="58" width="10.5703125" style="3" hidden="1" customWidth="1"/>
    <col min="59" max="73" width="0" style="3" hidden="1" customWidth="1"/>
    <col min="74" max="16384" width="7.7109375" style="3" hidden="1"/>
  </cols>
  <sheetData>
    <row r="1" spans="1:73" ht="13.5" customHeight="1" x14ac:dyDescent="0.25">
      <c r="A1" s="247" t="str">
        <f>Basis!A1</f>
        <v>Selection Model 2022-10</v>
      </c>
      <c r="B1" s="247"/>
      <c r="C1" s="247"/>
      <c r="D1" s="21"/>
      <c r="E1" s="21"/>
      <c r="F1" s="22"/>
      <c r="G1" s="21"/>
      <c r="H1" s="25"/>
      <c r="I1" s="26"/>
      <c r="J1" s="27"/>
      <c r="K1" s="27"/>
      <c r="L1" s="27"/>
      <c r="M1" s="27"/>
      <c r="AJ1"/>
      <c r="AK1"/>
      <c r="AL1"/>
      <c r="AM1"/>
      <c r="AN1" s="87" t="s">
        <v>101</v>
      </c>
      <c r="BS1"/>
      <c r="BT1"/>
      <c r="BU1"/>
    </row>
    <row r="2" spans="1:73" ht="15" customHeight="1" x14ac:dyDescent="0.25">
      <c r="A2" s="247"/>
      <c r="B2" s="247"/>
      <c r="C2" s="247"/>
      <c r="D2" s="139" t="s">
        <v>94</v>
      </c>
      <c r="E2" s="140"/>
      <c r="F2" s="141"/>
      <c r="G2" s="24"/>
      <c r="H2" s="146" t="s">
        <v>26</v>
      </c>
      <c r="I2" s="8">
        <v>140</v>
      </c>
      <c r="J2" s="28" t="str">
        <f>CHOOSE(Basis!$E$1,"EWT ºC","EWT ºF")</f>
        <v>EWT ºF</v>
      </c>
      <c r="K2" s="28"/>
      <c r="L2" s="28"/>
      <c r="M2" s="28"/>
      <c r="Q2" s="7"/>
      <c r="R2" s="7"/>
      <c r="T2" s="7"/>
      <c r="U2" s="35"/>
      <c r="V2" s="34"/>
      <c r="W2" s="54"/>
      <c r="X2" s="36"/>
      <c r="Y2" s="35"/>
      <c r="Z2" s="36"/>
      <c r="AA2" s="36"/>
      <c r="AB2" s="36"/>
      <c r="AC2" s="54"/>
      <c r="AD2" s="36"/>
      <c r="AE2" s="35"/>
      <c r="AF2" s="36"/>
      <c r="AG2" s="36"/>
      <c r="AH2" s="36"/>
      <c r="AI2" s="54"/>
      <c r="AJ2" s="54"/>
      <c r="AK2" s="54"/>
      <c r="AL2" s="54"/>
      <c r="AM2" s="54"/>
      <c r="AN2" t="s">
        <v>102</v>
      </c>
      <c r="AO2" s="86">
        <v>16</v>
      </c>
      <c r="AP2" s="89" t="s">
        <v>95</v>
      </c>
      <c r="AQ2" s="89"/>
      <c r="AR2" s="89"/>
      <c r="AS2" s="89"/>
      <c r="AU2" s="13"/>
      <c r="AV2" s="81"/>
      <c r="BS2"/>
      <c r="BT2"/>
      <c r="BU2"/>
    </row>
    <row r="3" spans="1:73" ht="15" customHeight="1" x14ac:dyDescent="0.25">
      <c r="A3" s="247"/>
      <c r="B3" s="247"/>
      <c r="C3" s="247"/>
      <c r="D3" s="142" t="s">
        <v>2963</v>
      </c>
      <c r="E3" s="143"/>
      <c r="F3" s="138"/>
      <c r="G3" s="24"/>
      <c r="H3" s="146" t="s">
        <v>24</v>
      </c>
      <c r="I3" s="8">
        <v>120</v>
      </c>
      <c r="J3" s="28" t="str">
        <f>CHOOSE(Basis!$E$1,"LWT ºC","LWT ºF")</f>
        <v>LWT ºF</v>
      </c>
      <c r="K3" s="28"/>
      <c r="L3" s="28"/>
      <c r="M3" s="28"/>
      <c r="R3" s="55"/>
      <c r="T3" s="7"/>
      <c r="U3" s="35"/>
      <c r="V3" s="55"/>
      <c r="W3" s="54"/>
      <c r="X3" s="36"/>
      <c r="Y3" s="35"/>
      <c r="Z3" s="7" t="s">
        <v>3334</v>
      </c>
      <c r="AA3" s="219">
        <f>IF(Basis!$E$1=1,$F$3/1000,IF(Basis!$E$1=2,$F$3*0.0003048))</f>
        <v>0</v>
      </c>
      <c r="AB3" s="36"/>
      <c r="AC3" s="54"/>
      <c r="AD3" s="37"/>
      <c r="AE3" s="35"/>
      <c r="AF3" s="37"/>
      <c r="AG3" s="37"/>
      <c r="AH3" s="37"/>
      <c r="AI3" s="54"/>
      <c r="AJ3" s="54"/>
      <c r="AK3" s="54"/>
      <c r="AL3" s="54"/>
      <c r="AM3" s="54"/>
      <c r="AN3" t="s">
        <v>103</v>
      </c>
      <c r="AO3" s="86">
        <v>18</v>
      </c>
      <c r="AP3" s="89" t="s">
        <v>95</v>
      </c>
      <c r="AQ3" s="89"/>
      <c r="AR3" s="89"/>
      <c r="AS3" s="89"/>
      <c r="AU3" s="13"/>
      <c r="AV3" s="81"/>
      <c r="BS3"/>
      <c r="BT3"/>
      <c r="BU3"/>
    </row>
    <row r="4" spans="1:73" ht="15" customHeight="1" x14ac:dyDescent="0.25">
      <c r="A4" s="248" t="str">
        <f>CHOOSE(Basis!$E$1,"Metric","Imperial")</f>
        <v>Imperial</v>
      </c>
      <c r="B4" s="96"/>
      <c r="C4" s="17"/>
      <c r="D4" s="51">
        <v>1</v>
      </c>
      <c r="E4" s="52"/>
      <c r="F4" s="53"/>
      <c r="G4" s="23" t="s">
        <v>88</v>
      </c>
      <c r="H4" s="146" t="s">
        <v>2967</v>
      </c>
      <c r="I4" s="8">
        <v>65</v>
      </c>
      <c r="J4" s="28" t="str">
        <f>CHOOSE(Basis!$E$1,"AT ºC","AT ºF")</f>
        <v>AT ºF</v>
      </c>
      <c r="K4" s="28"/>
      <c r="L4" s="28"/>
      <c r="M4" s="28"/>
      <c r="R4" s="55"/>
      <c r="T4" s="7"/>
      <c r="U4" s="35"/>
      <c r="V4" s="55"/>
      <c r="W4" s="54"/>
      <c r="X4" s="36"/>
      <c r="Y4" s="35"/>
      <c r="Z4" s="7" t="s">
        <v>3335</v>
      </c>
      <c r="AA4" s="220">
        <f>-(0.000265264729874266*$AA$3^6)+(0.000957582908802335*$AA$3^5)+(0.00470250661483425*$AA$3^4)-(0.0298716926548353*$AA$3^3)+(0.0557086806557086*$AA$3^2)-(0.0484008125693582*$AA$3)+1</f>
        <v>1</v>
      </c>
      <c r="AB4" s="36"/>
      <c r="AC4" s="54"/>
      <c r="AD4" s="37"/>
      <c r="AE4" s="35"/>
      <c r="AF4" s="37"/>
      <c r="AG4" s="37"/>
      <c r="AH4" s="37"/>
      <c r="AI4" s="54"/>
      <c r="AJ4" s="54"/>
      <c r="AK4" s="54"/>
      <c r="AL4" s="54"/>
      <c r="AM4" s="54"/>
      <c r="AN4" t="s">
        <v>104</v>
      </c>
      <c r="AO4" s="86">
        <v>27</v>
      </c>
      <c r="AP4" s="89" t="s">
        <v>95</v>
      </c>
      <c r="AQ4" s="89"/>
      <c r="AR4" s="89"/>
      <c r="AS4" s="89"/>
      <c r="AU4" s="13"/>
      <c r="AV4" s="81"/>
      <c r="BS4"/>
      <c r="BT4"/>
      <c r="BU4"/>
    </row>
    <row r="5" spans="1:73" ht="15" customHeight="1" x14ac:dyDescent="0.25">
      <c r="A5" s="248"/>
      <c r="B5" s="96"/>
      <c r="C5" s="17"/>
      <c r="D5" s="23"/>
      <c r="E5" s="21"/>
      <c r="F5" s="22"/>
      <c r="G5" s="21"/>
      <c r="H5" s="29" t="s">
        <v>25</v>
      </c>
      <c r="I5" s="31">
        <f>(I2+I3)/2</f>
        <v>130</v>
      </c>
      <c r="J5" s="28" t="str">
        <f>CHOOSE(Basis!$E$1,"ºC","ºF")</f>
        <v>ºF</v>
      </c>
      <c r="K5" s="28"/>
      <c r="L5" s="28"/>
      <c r="M5" s="28"/>
      <c r="R5" s="55"/>
      <c r="T5" s="7"/>
      <c r="U5" s="35"/>
      <c r="V5" s="55"/>
      <c r="W5" s="54"/>
      <c r="X5" s="36"/>
      <c r="Y5" s="35"/>
      <c r="Z5" s="36"/>
      <c r="AA5" s="36"/>
      <c r="AB5" s="36"/>
      <c r="AC5" s="54"/>
      <c r="AD5" s="37"/>
      <c r="AE5" s="35"/>
      <c r="AF5" s="37"/>
      <c r="AG5" s="37"/>
      <c r="AH5" s="37"/>
      <c r="AI5" s="54"/>
      <c r="AJ5" s="54"/>
      <c r="AK5" s="54"/>
      <c r="AL5" s="54"/>
      <c r="AM5" s="54"/>
      <c r="AN5" s="54"/>
      <c r="AO5" s="88">
        <f>(AO2+AO3)/2-AO4</f>
        <v>-10</v>
      </c>
      <c r="AP5" s="34"/>
      <c r="AQ5" s="11"/>
      <c r="AR5" s="11"/>
      <c r="AS5" s="11"/>
      <c r="AT5" s="56"/>
      <c r="AU5" s="13"/>
      <c r="AV5" s="81"/>
      <c r="BS5"/>
      <c r="BT5"/>
      <c r="BU5"/>
    </row>
    <row r="6" spans="1:73" ht="15" customHeight="1" x14ac:dyDescent="0.2">
      <c r="A6" s="96"/>
      <c r="B6" s="33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R6" s="39"/>
      <c r="T6" s="7"/>
      <c r="U6" s="35"/>
      <c r="V6" s="39"/>
      <c r="W6" s="54"/>
      <c r="Y6" s="35"/>
      <c r="Z6" s="36"/>
      <c r="AA6" s="36"/>
      <c r="AB6" s="36"/>
      <c r="AC6" s="54"/>
      <c r="AD6" s="37"/>
      <c r="AE6" s="35"/>
      <c r="AF6" s="37"/>
      <c r="AG6" s="37"/>
      <c r="AH6" s="37"/>
      <c r="AI6" s="54"/>
      <c r="AJ6" s="54"/>
      <c r="AK6" s="54"/>
      <c r="AL6" s="54"/>
      <c r="AM6" s="54"/>
      <c r="AN6" s="54"/>
      <c r="AO6" s="34"/>
      <c r="AP6" s="34"/>
      <c r="AQ6" s="13"/>
      <c r="AR6" s="13"/>
      <c r="AS6" s="35"/>
      <c r="AT6" s="56"/>
      <c r="AU6" s="13"/>
      <c r="AV6" s="81"/>
      <c r="BS6"/>
      <c r="BT6"/>
      <c r="BU6"/>
    </row>
    <row r="7" spans="1:73" ht="15" customHeight="1" x14ac:dyDescent="0.25">
      <c r="A7" s="18"/>
      <c r="B7" s="33"/>
      <c r="C7" s="17"/>
      <c r="D7" s="21"/>
      <c r="E7" s="21"/>
      <c r="F7" s="22"/>
      <c r="G7" s="21"/>
      <c r="H7" s="17"/>
      <c r="I7" s="17"/>
      <c r="J7" s="27"/>
      <c r="K7" s="27"/>
      <c r="L7" s="27"/>
      <c r="M7" s="249" t="s">
        <v>106</v>
      </c>
      <c r="N7" s="12"/>
      <c r="O7" s="54"/>
      <c r="P7" s="12"/>
      <c r="Q7" s="54"/>
      <c r="R7" s="57"/>
      <c r="S7" s="90"/>
      <c r="T7" s="55"/>
      <c r="U7" s="35"/>
      <c r="V7" s="57"/>
      <c r="W7" s="54"/>
      <c r="X7" s="36"/>
      <c r="Y7" s="35"/>
      <c r="Z7" s="36"/>
      <c r="AA7" s="36"/>
      <c r="AB7" s="36"/>
      <c r="AC7" s="54"/>
      <c r="AD7" s="36"/>
      <c r="AE7" s="35"/>
      <c r="AF7" s="36"/>
      <c r="AG7" s="36"/>
      <c r="AH7" s="36"/>
      <c r="AI7" s="54"/>
      <c r="AJ7" s="54"/>
      <c r="AK7" s="54"/>
      <c r="AL7" s="54"/>
      <c r="AM7" s="54"/>
      <c r="AN7" s="54"/>
      <c r="AO7" s="251" t="s">
        <v>110</v>
      </c>
      <c r="AP7" s="252"/>
      <c r="AQ7" s="252"/>
      <c r="AR7" s="252"/>
      <c r="AS7" s="253"/>
      <c r="AT7" s="56"/>
      <c r="AU7" s="13"/>
      <c r="AV7" s="81"/>
      <c r="BS7"/>
      <c r="BT7"/>
      <c r="BU7"/>
    </row>
    <row r="8" spans="1:73" s="5" customFormat="1" ht="23.25" customHeight="1" x14ac:dyDescent="0.2">
      <c r="A8" s="181" t="str">
        <f>Basis!C1</f>
        <v>LA/2022-10-12</v>
      </c>
      <c r="B8" s="19"/>
      <c r="C8" s="20"/>
      <c r="D8" s="42" t="s">
        <v>86</v>
      </c>
      <c r="E8" s="15" t="s">
        <v>84</v>
      </c>
      <c r="F8" s="16"/>
      <c r="G8" s="15" t="s">
        <v>85</v>
      </c>
      <c r="H8" s="254" t="str">
        <f>I2&amp;"/"&amp;I3&amp;"/"&amp;I4&amp;"º"</f>
        <v>140/120/65º</v>
      </c>
      <c r="I8" s="255"/>
      <c r="J8" s="256"/>
      <c r="K8" s="27"/>
      <c r="L8" s="27"/>
      <c r="M8" s="250"/>
      <c r="N8" s="228" t="s">
        <v>118</v>
      </c>
      <c r="P8" s="121" t="s">
        <v>49</v>
      </c>
      <c r="R8" s="58" t="s">
        <v>93</v>
      </c>
      <c r="S8" s="90"/>
      <c r="T8" s="40"/>
      <c r="U8" s="35"/>
      <c r="V8" s="40"/>
      <c r="X8" s="58" t="s">
        <v>92</v>
      </c>
      <c r="Y8" s="35"/>
      <c r="Z8" s="36"/>
      <c r="AA8" s="36"/>
      <c r="AB8" s="36"/>
      <c r="AD8" s="58" t="s">
        <v>140</v>
      </c>
      <c r="AE8" s="35"/>
      <c r="AF8" s="36"/>
      <c r="AG8" s="36"/>
      <c r="AH8" s="36"/>
      <c r="AJ8" s="257" t="s">
        <v>98</v>
      </c>
      <c r="AK8" s="258"/>
      <c r="AL8" s="258"/>
      <c r="AM8" s="35"/>
      <c r="AO8" s="251" t="s">
        <v>100</v>
      </c>
      <c r="AP8" s="252"/>
      <c r="AQ8" s="252"/>
      <c r="AR8" s="252"/>
      <c r="AS8" s="253"/>
      <c r="AT8" s="41"/>
      <c r="AU8" s="14"/>
      <c r="AV8" s="82"/>
      <c r="BS8"/>
      <c r="BT8"/>
      <c r="BU8"/>
    </row>
    <row r="9" spans="1:73" s="4" customFormat="1" ht="38.25" customHeight="1" x14ac:dyDescent="0.2">
      <c r="A9" s="59" t="s">
        <v>22</v>
      </c>
      <c r="B9" s="59" t="s">
        <v>0</v>
      </c>
      <c r="C9" s="59" t="s">
        <v>87</v>
      </c>
      <c r="D9" s="60" t="str">
        <f>"H in "&amp;CHOOSE(Basis!$E$1,"cm","inch")</f>
        <v>H in inch</v>
      </c>
      <c r="E9" s="60" t="str">
        <f>"L in "&amp;CHOOSE(Basis!$E$1,"cm","inch")</f>
        <v>L in inch</v>
      </c>
      <c r="F9" s="61" t="s">
        <v>1</v>
      </c>
      <c r="G9" s="60" t="str">
        <f>"D in "&amp;CHOOSE(Basis!$E$1,"cm","inch")</f>
        <v>D in inch</v>
      </c>
      <c r="H9" s="122" t="str">
        <f>"Heating in "&amp;CHOOSE(Basis!$E$1,"Watt","BTU/h")</f>
        <v>Heating in BTU/h</v>
      </c>
      <c r="I9" s="122" t="str">
        <f>CHOOSE(Basis!$E$1,"Watt/m¹","BTU/h per foot")</f>
        <v>BTU/h per foot</v>
      </c>
      <c r="J9" s="122" t="str">
        <f>"Flow in "&amp;CHOOSE(Basis!$E$1,"l/s","GPM")</f>
        <v>Flow in GPM</v>
      </c>
      <c r="K9" s="94"/>
      <c r="L9" s="60" t="str">
        <f>"Water side pressure drop "&amp;CHOOSE(Basis!$E$1,"[kPa]","ftH2O")</f>
        <v>Water side pressure drop ftH2O</v>
      </c>
      <c r="M9" s="60" t="s">
        <v>105</v>
      </c>
      <c r="N9" s="79">
        <v>1</v>
      </c>
      <c r="O9" s="64" t="s">
        <v>99</v>
      </c>
      <c r="P9" s="79">
        <v>1</v>
      </c>
      <c r="Q9" s="64" t="s">
        <v>99</v>
      </c>
      <c r="R9" s="79">
        <v>1</v>
      </c>
      <c r="S9" s="79">
        <v>0.8</v>
      </c>
      <c r="T9" s="79">
        <v>0.6</v>
      </c>
      <c r="U9" s="79">
        <v>0.4</v>
      </c>
      <c r="V9" s="79">
        <v>0.2</v>
      </c>
      <c r="W9" s="64" t="s">
        <v>99</v>
      </c>
      <c r="X9" s="79">
        <v>1</v>
      </c>
      <c r="Y9" s="79">
        <v>0.8</v>
      </c>
      <c r="Z9" s="79">
        <v>0.6</v>
      </c>
      <c r="AA9" s="79">
        <v>0.4</v>
      </c>
      <c r="AB9" s="79">
        <v>0.2</v>
      </c>
      <c r="AC9" s="64" t="s">
        <v>99</v>
      </c>
      <c r="AD9" s="79">
        <v>1</v>
      </c>
      <c r="AE9" s="79">
        <v>0.8</v>
      </c>
      <c r="AF9" s="79">
        <v>0.6</v>
      </c>
      <c r="AG9" s="79">
        <v>0.4</v>
      </c>
      <c r="AH9" s="79">
        <v>0.2</v>
      </c>
      <c r="AI9" s="64" t="s">
        <v>99</v>
      </c>
      <c r="AJ9" s="79" t="s">
        <v>2959</v>
      </c>
      <c r="AK9" s="79" t="s">
        <v>2960</v>
      </c>
      <c r="AL9" s="79" t="s">
        <v>2961</v>
      </c>
      <c r="AM9" s="79" t="s">
        <v>2962</v>
      </c>
      <c r="AN9" s="64" t="s">
        <v>99</v>
      </c>
      <c r="AO9" s="79">
        <v>1</v>
      </c>
      <c r="AP9" s="79">
        <v>0.8</v>
      </c>
      <c r="AQ9" s="79">
        <v>0.6</v>
      </c>
      <c r="AR9" s="79">
        <v>0.4</v>
      </c>
      <c r="AS9" s="79">
        <v>0.2</v>
      </c>
      <c r="AT9" s="64" t="s">
        <v>99</v>
      </c>
      <c r="AU9" s="65" t="s">
        <v>28</v>
      </c>
      <c r="AV9" s="66" t="s">
        <v>2</v>
      </c>
      <c r="AZ9" s="32"/>
      <c r="BS9"/>
      <c r="BT9"/>
      <c r="BU9"/>
    </row>
    <row r="10" spans="1:73" ht="12.75" customHeight="1" x14ac:dyDescent="0.25">
      <c r="A10" s="72" t="s">
        <v>883</v>
      </c>
      <c r="B10" s="43" t="s">
        <v>4040</v>
      </c>
      <c r="C10" s="44" t="s">
        <v>3338</v>
      </c>
      <c r="D10" s="45">
        <f>MROUND(MID($C10,6,3)/Basis!$E$3,0.5)</f>
        <v>4.5</v>
      </c>
      <c r="E10" s="45">
        <f>MROUND(MID($C10,9,3)/Basis!$E$3,0.5)</f>
        <v>39.5</v>
      </c>
      <c r="F10" s="229" t="str">
        <f>MID(C10,12,2)</f>
        <v>11</v>
      </c>
      <c r="G10" s="45">
        <f>ROUND(5/Basis!$E$3,1)</f>
        <v>2</v>
      </c>
      <c r="H10" s="120">
        <f>ROUND($P10*Basis!$E$2*((TaH-TrH)/LN(1/µ)/Basis!$E$7)^$N10*Glycol,0)</f>
        <v>595</v>
      </c>
      <c r="I10" s="83">
        <f>ROUND(H10/(MID($C10,9,3)/Basis!$E$3/Basis!$E$9)*Basis!$E$11,0)</f>
        <v>181</v>
      </c>
      <c r="J10" s="123">
        <f>IF(Basis!$E$1=1,ROUND(H10/((TaH-TrH)*1.163)/3600,3),ROUND(H10/(500*(TaH-TrH)),2))</f>
        <v>0.06</v>
      </c>
      <c r="K10" s="84"/>
      <c r="L10" s="177">
        <f>CHOOSE(Basis!$E$1,((AJ10*(J10*3600/Basis!$E$5)^AK10*(((MID(C10,9,3)*10)-144)/1000)*AL10+AM10*(J10*3600/Basis!$E$5)^2)*0.0098)/Basis!$E$10,((AJ10*(J10/Basis!$E$5)^AK10*(((MID(C10,9,3)*10)-144)/1000)*AL10+AM10*(J10/Basis!$E$5)^2)*0.0098)/Basis!$E$10)</f>
        <v>0</v>
      </c>
      <c r="M10" s="85"/>
      <c r="N10" s="110">
        <v>1.224</v>
      </c>
      <c r="O10" s="74"/>
      <c r="P10" s="73">
        <v>261</v>
      </c>
      <c r="Q10" s="74"/>
      <c r="R10" s="75"/>
      <c r="S10" s="75"/>
      <c r="T10" s="75"/>
      <c r="U10" s="75"/>
      <c r="V10" s="75"/>
      <c r="W10" s="74"/>
      <c r="X10" s="76"/>
      <c r="Y10" s="76"/>
      <c r="Z10" s="76"/>
      <c r="AA10" s="76"/>
      <c r="AB10" s="76"/>
      <c r="AC10" s="74"/>
      <c r="AD10" s="77"/>
      <c r="AE10" s="77"/>
      <c r="AF10" s="77"/>
      <c r="AG10" s="77"/>
      <c r="AH10" s="77"/>
      <c r="AI10" s="68"/>
      <c r="AJ10" s="213"/>
      <c r="AK10" s="213"/>
      <c r="AL10" s="213"/>
      <c r="AM10" s="213"/>
      <c r="AN10" s="74"/>
      <c r="AO10" s="73"/>
      <c r="AP10" s="73"/>
      <c r="AQ10" s="73"/>
      <c r="AR10" s="73"/>
      <c r="AS10" s="73"/>
      <c r="AT10" s="74"/>
      <c r="AU10" s="47"/>
      <c r="AV10" s="48"/>
    </row>
    <row r="11" spans="1:73" ht="12.75" customHeight="1" x14ac:dyDescent="0.25">
      <c r="A11" s="72" t="s">
        <v>883</v>
      </c>
      <c r="B11" s="43" t="s">
        <v>4040</v>
      </c>
      <c r="C11" s="44" t="s">
        <v>3339</v>
      </c>
      <c r="D11" s="45">
        <f>MROUND(MID($C11,6,3)/Basis!$E$3,0.5)</f>
        <v>4.5</v>
      </c>
      <c r="E11" s="45">
        <f>MROUND(MID($C11,9,3)/Basis!$E$3,0.5)</f>
        <v>39.5</v>
      </c>
      <c r="F11" s="229" t="str">
        <f t="shared" ref="F11:F74" si="0">MID(C11,12,2)</f>
        <v>22</v>
      </c>
      <c r="G11" s="45">
        <f>ROUND(9/Basis!$E$3,1)</f>
        <v>3.5</v>
      </c>
      <c r="H11" s="120">
        <f>ROUND($P11*Basis!$E$2*((TaH-TrH)/LN(1/µ)/Basis!$E$7)^$N11*Glycol,0)</f>
        <v>1040</v>
      </c>
      <c r="I11" s="83">
        <f>ROUND(H11/(MID($C11,9,3)/Basis!$E$3/Basis!$E$9)*Basis!$E$11,0)</f>
        <v>317</v>
      </c>
      <c r="J11" s="123">
        <f>IF(Basis!$E$1=1,ROUND(H11/((TaH-TrH)*1.163)/3600,3),ROUND(H11/(500*(TaH-TrH)),2))</f>
        <v>0.1</v>
      </c>
      <c r="K11" s="84"/>
      <c r="L11" s="177">
        <f>CHOOSE(Basis!$E$1,((AJ11*(J11*3600/Basis!$E$5)^AK11*(((MID(C11,9,3)*10)-144)/1000)*AL11+AM11*(J11*3600/Basis!$E$5)^2)*0.0098)/Basis!$E$10,((AJ11*(J11/Basis!$E$5)^AK11*(((MID(C11,9,3)*10)-144)/1000)*AL11+AM11*(J11/Basis!$E$5)^2)*0.0098)/Basis!$E$10)</f>
        <v>0</v>
      </c>
      <c r="M11" s="85"/>
      <c r="N11" s="109">
        <v>1.206</v>
      </c>
      <c r="O11" s="68"/>
      <c r="P11" s="67">
        <v>454</v>
      </c>
      <c r="Q11" s="68"/>
      <c r="R11" s="69"/>
      <c r="S11" s="69"/>
      <c r="T11" s="69"/>
      <c r="U11" s="69"/>
      <c r="V11" s="69"/>
      <c r="W11" s="68"/>
      <c r="X11" s="70"/>
      <c r="Y11" s="70"/>
      <c r="Z11" s="70"/>
      <c r="AA11" s="70"/>
      <c r="AB11" s="70"/>
      <c r="AC11" s="68"/>
      <c r="AD11" s="71"/>
      <c r="AE11" s="71"/>
      <c r="AF11" s="71"/>
      <c r="AG11" s="71"/>
      <c r="AH11" s="71"/>
      <c r="AI11" s="68"/>
      <c r="AJ11" s="214"/>
      <c r="AK11" s="214"/>
      <c r="AL11" s="214"/>
      <c r="AM11" s="214"/>
      <c r="AN11" s="68"/>
      <c r="AO11" s="67"/>
      <c r="AP11" s="67"/>
      <c r="AQ11" s="67"/>
      <c r="AR11" s="67"/>
      <c r="AS11" s="67"/>
      <c r="AT11" s="68"/>
      <c r="AU11" s="49"/>
      <c r="AV11" s="50"/>
    </row>
    <row r="12" spans="1:73" ht="12.75" customHeight="1" x14ac:dyDescent="0.25">
      <c r="A12" s="72" t="s">
        <v>883</v>
      </c>
      <c r="B12" s="43" t="s">
        <v>4040</v>
      </c>
      <c r="C12" s="44" t="s">
        <v>3340</v>
      </c>
      <c r="D12" s="45">
        <f>MROUND(MID($C12,6,3)/Basis!$E$3,0.5)</f>
        <v>4.5</v>
      </c>
      <c r="E12" s="45">
        <f>MROUND(MID($C12,9,3)/Basis!$E$3,0.5)</f>
        <v>39.5</v>
      </c>
      <c r="F12" s="229" t="str">
        <f t="shared" si="0"/>
        <v>34</v>
      </c>
      <c r="G12" s="45">
        <f>ROUND(16.9/Basis!$E$3,1)</f>
        <v>6.7</v>
      </c>
      <c r="H12" s="120">
        <f>ROUND($P12*Basis!$E$2*((TaH-TrH)/LN(1/µ)/Basis!$E$7)^$N12*Glycol,0)</f>
        <v>1589</v>
      </c>
      <c r="I12" s="83">
        <f>ROUND(H12/(MID($C12,9,3)/Basis!$E$3/Basis!$E$9)*Basis!$E$11,0)</f>
        <v>484</v>
      </c>
      <c r="J12" s="123">
        <f>IF(Basis!$E$1=1,ROUND(H12/((TaH-TrH)*1.163)/3600,3),ROUND(H12/(500*(TaH-TrH)),2))</f>
        <v>0.16</v>
      </c>
      <c r="K12" s="84"/>
      <c r="L12" s="177">
        <f>CHOOSE(Basis!$E$1,((AJ12*(J12*3600/Basis!$E$5)^AK12*(((MID(C12,9,3)*10)-144)/1000)*AL12+AM12*(J12*3600/Basis!$E$5)^2)*0.0098)/Basis!$E$10,((AJ12*(J12/Basis!$E$5)^AK12*(((MID(C12,9,3)*10)-144)/1000)*AL12+AM12*(J12/Basis!$E$5)^2)*0.0098)/Basis!$E$10)</f>
        <v>0</v>
      </c>
      <c r="M12" s="85"/>
      <c r="N12" s="110">
        <v>1.452</v>
      </c>
      <c r="O12" s="74"/>
      <c r="P12" s="73">
        <v>752</v>
      </c>
      <c r="Q12" s="74"/>
      <c r="R12" s="75"/>
      <c r="S12" s="75"/>
      <c r="T12" s="75"/>
      <c r="U12" s="75"/>
      <c r="V12" s="75"/>
      <c r="W12" s="74"/>
      <c r="X12" s="76"/>
      <c r="Y12" s="76"/>
      <c r="Z12" s="76"/>
      <c r="AA12" s="76"/>
      <c r="AB12" s="76"/>
      <c r="AC12" s="74"/>
      <c r="AD12" s="77"/>
      <c r="AE12" s="77"/>
      <c r="AF12" s="77"/>
      <c r="AG12" s="77"/>
      <c r="AH12" s="77"/>
      <c r="AI12" s="68"/>
      <c r="AJ12" s="213"/>
      <c r="AK12" s="213"/>
      <c r="AL12" s="213"/>
      <c r="AM12" s="213"/>
      <c r="AN12" s="74"/>
      <c r="AO12" s="73"/>
      <c r="AP12" s="73"/>
      <c r="AQ12" s="73"/>
      <c r="AR12" s="73"/>
      <c r="AS12" s="73"/>
      <c r="AT12" s="74"/>
      <c r="AU12" s="47"/>
      <c r="AV12" s="48"/>
    </row>
    <row r="13" spans="1:73" ht="12.75" customHeight="1" x14ac:dyDescent="0.25">
      <c r="A13" s="72" t="s">
        <v>883</v>
      </c>
      <c r="B13" s="43" t="s">
        <v>4040</v>
      </c>
      <c r="C13" s="44" t="s">
        <v>3341</v>
      </c>
      <c r="D13" s="45">
        <f>MROUND(MID($C13,6,3)/Basis!$E$3,0.5)</f>
        <v>4.5</v>
      </c>
      <c r="E13" s="45">
        <f>MROUND(MID($C13,9,3)/Basis!$E$3,0.5)</f>
        <v>47</v>
      </c>
      <c r="F13" s="229" t="str">
        <f t="shared" si="0"/>
        <v>11</v>
      </c>
      <c r="G13" s="45">
        <f>ROUND(5/Basis!$E$3,1)</f>
        <v>2</v>
      </c>
      <c r="H13" s="120">
        <f>ROUND($P13*Basis!$E$2*((TaH-TrH)/LN(1/µ)/Basis!$E$7)^$N13*Glycol,0)</f>
        <v>713</v>
      </c>
      <c r="I13" s="83">
        <f>ROUND(H13/(MID($C13,9,3)/Basis!$E$3/Basis!$E$9)*Basis!$E$11,0)</f>
        <v>181</v>
      </c>
      <c r="J13" s="123">
        <f>IF(Basis!$E$1=1,ROUND(H13/((TaH-TrH)*1.163)/3600,3),ROUND(H13/(500*(TaH-TrH)),2))</f>
        <v>7.0000000000000007E-2</v>
      </c>
      <c r="K13" s="84"/>
      <c r="L13" s="177">
        <f>CHOOSE(Basis!$E$1,((AJ13*(J13*3600/Basis!$E$5)^AK13*(((MID(C13,9,3)*10)-144)/1000)*AL13+AM13*(J13*3600/Basis!$E$5)^2)*0.0098)/Basis!$E$10,((AJ13*(J13/Basis!$E$5)^AK13*(((MID(C13,9,3)*10)-144)/1000)*AL13+AM13*(J13/Basis!$E$5)^2)*0.0098)/Basis!$E$10)</f>
        <v>0</v>
      </c>
      <c r="M13" s="85"/>
      <c r="N13" s="109">
        <v>1.224</v>
      </c>
      <c r="O13" s="68"/>
      <c r="P13" s="67">
        <v>313</v>
      </c>
      <c r="Q13" s="68"/>
      <c r="R13" s="69"/>
      <c r="S13" s="69"/>
      <c r="T13" s="69"/>
      <c r="U13" s="69"/>
      <c r="V13" s="69"/>
      <c r="W13" s="68"/>
      <c r="X13" s="70"/>
      <c r="Y13" s="70"/>
      <c r="Z13" s="70"/>
      <c r="AA13" s="70"/>
      <c r="AB13" s="70"/>
      <c r="AC13" s="68"/>
      <c r="AD13" s="71"/>
      <c r="AE13" s="71"/>
      <c r="AF13" s="71"/>
      <c r="AG13" s="71"/>
      <c r="AH13" s="71"/>
      <c r="AI13" s="68"/>
      <c r="AJ13" s="214"/>
      <c r="AK13" s="214"/>
      <c r="AL13" s="214"/>
      <c r="AM13" s="214"/>
      <c r="AN13" s="68"/>
      <c r="AO13" s="67"/>
      <c r="AP13" s="67"/>
      <c r="AQ13" s="67"/>
      <c r="AR13" s="67"/>
      <c r="AS13" s="67"/>
      <c r="AT13" s="68"/>
      <c r="AU13" s="49"/>
      <c r="AV13" s="50"/>
    </row>
    <row r="14" spans="1:73" ht="12.75" customHeight="1" x14ac:dyDescent="0.25">
      <c r="A14" s="72" t="s">
        <v>883</v>
      </c>
      <c r="B14" s="43" t="s">
        <v>4040</v>
      </c>
      <c r="C14" s="44" t="s">
        <v>3342</v>
      </c>
      <c r="D14" s="45">
        <f>MROUND(MID($C14,6,3)/Basis!$E$3,0.5)</f>
        <v>4.5</v>
      </c>
      <c r="E14" s="45">
        <f>MROUND(MID($C14,9,3)/Basis!$E$3,0.5)</f>
        <v>47</v>
      </c>
      <c r="F14" s="229" t="str">
        <f t="shared" si="0"/>
        <v>22</v>
      </c>
      <c r="G14" s="45">
        <f>ROUND(9/Basis!$E$3,1)</f>
        <v>3.5</v>
      </c>
      <c r="H14" s="120">
        <f>ROUND($P14*Basis!$E$2*((TaH-TrH)/LN(1/µ)/Basis!$E$7)^$N14*Glycol,0)</f>
        <v>1249</v>
      </c>
      <c r="I14" s="83">
        <f>ROUND(H14/(MID($C14,9,3)/Basis!$E$3/Basis!$E$9)*Basis!$E$11,0)</f>
        <v>317</v>
      </c>
      <c r="J14" s="123">
        <f>IF(Basis!$E$1=1,ROUND(H14/((TaH-TrH)*1.163)/3600,3),ROUND(H14/(500*(TaH-TrH)),2))</f>
        <v>0.12</v>
      </c>
      <c r="K14" s="84"/>
      <c r="L14" s="177">
        <f>CHOOSE(Basis!$E$1,((AJ14*(J14*3600/Basis!$E$5)^AK14*(((MID(C14,9,3)*10)-144)/1000)*AL14+AM14*(J14*3600/Basis!$E$5)^2)*0.0098)/Basis!$E$10,((AJ14*(J14/Basis!$E$5)^AK14*(((MID(C14,9,3)*10)-144)/1000)*AL14+AM14*(J14/Basis!$E$5)^2)*0.0098)/Basis!$E$10)</f>
        <v>0</v>
      </c>
      <c r="M14" s="85"/>
      <c r="N14" s="110">
        <v>1.206</v>
      </c>
      <c r="O14" s="74"/>
      <c r="P14" s="73">
        <v>545</v>
      </c>
      <c r="Q14" s="74"/>
      <c r="R14" s="75"/>
      <c r="S14" s="75"/>
      <c r="T14" s="75"/>
      <c r="U14" s="75"/>
      <c r="V14" s="75"/>
      <c r="W14" s="74"/>
      <c r="X14" s="76"/>
      <c r="Y14" s="76"/>
      <c r="Z14" s="76"/>
      <c r="AA14" s="76"/>
      <c r="AB14" s="76"/>
      <c r="AC14" s="74"/>
      <c r="AD14" s="77"/>
      <c r="AE14" s="77"/>
      <c r="AF14" s="77"/>
      <c r="AG14" s="77"/>
      <c r="AH14" s="77"/>
      <c r="AI14" s="68"/>
      <c r="AJ14" s="213"/>
      <c r="AK14" s="213"/>
      <c r="AL14" s="213"/>
      <c r="AM14" s="213"/>
      <c r="AN14" s="74"/>
      <c r="AO14" s="73"/>
      <c r="AP14" s="73"/>
      <c r="AQ14" s="73"/>
      <c r="AR14" s="73"/>
      <c r="AS14" s="73"/>
      <c r="AT14" s="74"/>
      <c r="AU14" s="47"/>
      <c r="AV14" s="48"/>
    </row>
    <row r="15" spans="1:73" ht="12.75" customHeight="1" x14ac:dyDescent="0.25">
      <c r="A15" s="72" t="s">
        <v>883</v>
      </c>
      <c r="B15" s="43" t="s">
        <v>4040</v>
      </c>
      <c r="C15" s="44" t="s">
        <v>3343</v>
      </c>
      <c r="D15" s="45">
        <f>MROUND(MID($C15,6,3)/Basis!$E$3,0.5)</f>
        <v>4.5</v>
      </c>
      <c r="E15" s="45">
        <f>MROUND(MID($C15,9,3)/Basis!$E$3,0.5)</f>
        <v>47</v>
      </c>
      <c r="F15" s="229" t="str">
        <f t="shared" si="0"/>
        <v>34</v>
      </c>
      <c r="G15" s="45">
        <f>ROUND(16.9/Basis!$E$3,1)</f>
        <v>6.7</v>
      </c>
      <c r="H15" s="120">
        <f>ROUND($P15*Basis!$E$2*((TaH-TrH)/LN(1/µ)/Basis!$E$7)^$N15*Glycol,0)</f>
        <v>1908</v>
      </c>
      <c r="I15" s="83">
        <f>ROUND(H15/(MID($C15,9,3)/Basis!$E$3/Basis!$E$9)*Basis!$E$11,0)</f>
        <v>485</v>
      </c>
      <c r="J15" s="123">
        <f>IF(Basis!$E$1=1,ROUND(H15/((TaH-TrH)*1.163)/3600,3),ROUND(H15/(500*(TaH-TrH)),2))</f>
        <v>0.19</v>
      </c>
      <c r="K15" s="84"/>
      <c r="L15" s="177">
        <f>CHOOSE(Basis!$E$1,((AJ15*(J15*3600/Basis!$E$5)^AK15*(((MID(C15,9,3)*10)-144)/1000)*AL15+AM15*(J15*3600/Basis!$E$5)^2)*0.0098)/Basis!$E$10,((AJ15*(J15/Basis!$E$5)^AK15*(((MID(C15,9,3)*10)-144)/1000)*AL15+AM15*(J15/Basis!$E$5)^2)*0.0098)/Basis!$E$10)</f>
        <v>0</v>
      </c>
      <c r="M15" s="85"/>
      <c r="N15" s="109">
        <v>1.452</v>
      </c>
      <c r="O15" s="68"/>
      <c r="P15" s="67">
        <v>903</v>
      </c>
      <c r="Q15" s="68"/>
      <c r="R15" s="69"/>
      <c r="S15" s="69"/>
      <c r="T15" s="69"/>
      <c r="U15" s="69"/>
      <c r="V15" s="69"/>
      <c r="W15" s="68"/>
      <c r="X15" s="70"/>
      <c r="Y15" s="70"/>
      <c r="Z15" s="70"/>
      <c r="AA15" s="70"/>
      <c r="AB15" s="70"/>
      <c r="AC15" s="68"/>
      <c r="AD15" s="71"/>
      <c r="AE15" s="71"/>
      <c r="AF15" s="71"/>
      <c r="AG15" s="71"/>
      <c r="AH15" s="71"/>
      <c r="AI15" s="68"/>
      <c r="AJ15" s="214"/>
      <c r="AK15" s="214"/>
      <c r="AL15" s="214"/>
      <c r="AM15" s="214"/>
      <c r="AN15" s="68"/>
      <c r="AO15" s="67"/>
      <c r="AP15" s="67"/>
      <c r="AQ15" s="67"/>
      <c r="AR15" s="67"/>
      <c r="AS15" s="67"/>
      <c r="AT15" s="68"/>
      <c r="AU15" s="49"/>
      <c r="AV15" s="50"/>
    </row>
    <row r="16" spans="1:73" ht="12.75" customHeight="1" x14ac:dyDescent="0.25">
      <c r="A16" s="72" t="s">
        <v>883</v>
      </c>
      <c r="B16" s="43" t="s">
        <v>4040</v>
      </c>
      <c r="C16" s="44" t="s">
        <v>3344</v>
      </c>
      <c r="D16" s="45">
        <f>MROUND(MID($C16,6,3)/Basis!$E$3,0.5)</f>
        <v>4.5</v>
      </c>
      <c r="E16" s="45">
        <f>MROUND(MID($C16,9,3)/Basis!$E$3,0.5)</f>
        <v>55</v>
      </c>
      <c r="F16" s="229" t="str">
        <f t="shared" si="0"/>
        <v>11</v>
      </c>
      <c r="G16" s="45">
        <f>ROUND(5/Basis!$E$3,1)</f>
        <v>2</v>
      </c>
      <c r="H16" s="120">
        <f>ROUND($P16*Basis!$E$2*((TaH-TrH)/LN(1/µ)/Basis!$E$7)^$N16*Glycol,0)</f>
        <v>832</v>
      </c>
      <c r="I16" s="83">
        <f>ROUND(H16/(MID($C16,9,3)/Basis!$E$3/Basis!$E$9)*Basis!$E$11,0)</f>
        <v>181</v>
      </c>
      <c r="J16" s="123">
        <f>IF(Basis!$E$1=1,ROUND(H16/((TaH-TrH)*1.163)/3600,3),ROUND(H16/(500*(TaH-TrH)),2))</f>
        <v>0.08</v>
      </c>
      <c r="K16" s="84"/>
      <c r="L16" s="177">
        <f>CHOOSE(Basis!$E$1,((AJ16*(J16*3600/Basis!$E$5)^AK16*(((MID(C16,9,3)*10)-144)/1000)*AL16+AM16*(J16*3600/Basis!$E$5)^2)*0.0098)/Basis!$E$10,((AJ16*(J16/Basis!$E$5)^AK16*(((MID(C16,9,3)*10)-144)/1000)*AL16+AM16*(J16/Basis!$E$5)^2)*0.0098)/Basis!$E$10)</f>
        <v>0</v>
      </c>
      <c r="M16" s="85"/>
      <c r="N16" s="110">
        <v>1.224</v>
      </c>
      <c r="O16" s="74"/>
      <c r="P16" s="73">
        <v>365</v>
      </c>
      <c r="Q16" s="74"/>
      <c r="R16" s="75"/>
      <c r="S16" s="75"/>
      <c r="T16" s="75"/>
      <c r="U16" s="75"/>
      <c r="V16" s="75"/>
      <c r="W16" s="74"/>
      <c r="X16" s="76"/>
      <c r="Y16" s="76"/>
      <c r="Z16" s="76"/>
      <c r="AA16" s="76"/>
      <c r="AB16" s="76"/>
      <c r="AC16" s="74"/>
      <c r="AD16" s="77"/>
      <c r="AE16" s="77"/>
      <c r="AF16" s="77"/>
      <c r="AG16" s="77"/>
      <c r="AH16" s="77"/>
      <c r="AI16" s="68"/>
      <c r="AJ16" s="213"/>
      <c r="AK16" s="213"/>
      <c r="AL16" s="213"/>
      <c r="AM16" s="213"/>
      <c r="AN16" s="74"/>
      <c r="AO16" s="73"/>
      <c r="AP16" s="73"/>
      <c r="AQ16" s="73"/>
      <c r="AR16" s="73"/>
      <c r="AS16" s="73"/>
      <c r="AT16" s="74"/>
      <c r="AU16" s="47"/>
      <c r="AV16" s="48"/>
    </row>
    <row r="17" spans="1:48" ht="12.75" customHeight="1" x14ac:dyDescent="0.25">
      <c r="A17" s="72" t="s">
        <v>883</v>
      </c>
      <c r="B17" s="43" t="s">
        <v>4040</v>
      </c>
      <c r="C17" s="44" t="s">
        <v>3345</v>
      </c>
      <c r="D17" s="45">
        <f>MROUND(MID($C17,6,3)/Basis!$E$3,0.5)</f>
        <v>4.5</v>
      </c>
      <c r="E17" s="45">
        <f>MROUND(MID($C17,9,3)/Basis!$E$3,0.5)</f>
        <v>55</v>
      </c>
      <c r="F17" s="229" t="str">
        <f t="shared" si="0"/>
        <v>22</v>
      </c>
      <c r="G17" s="45">
        <f>ROUND(9/Basis!$E$3,1)</f>
        <v>3.5</v>
      </c>
      <c r="H17" s="120">
        <f>ROUND($P17*Basis!$E$2*((TaH-TrH)/LN(1/µ)/Basis!$E$7)^$N17*Glycol,0)</f>
        <v>1455</v>
      </c>
      <c r="I17" s="83">
        <f>ROUND(H17/(MID($C17,9,3)/Basis!$E$3/Basis!$E$9)*Basis!$E$11,0)</f>
        <v>317</v>
      </c>
      <c r="J17" s="123">
        <f>IF(Basis!$E$1=1,ROUND(H17/((TaH-TrH)*1.163)/3600,3),ROUND(H17/(500*(TaH-TrH)),2))</f>
        <v>0.15</v>
      </c>
      <c r="K17" s="84"/>
      <c r="L17" s="177">
        <f>CHOOSE(Basis!$E$1,((AJ17*(J17*3600/Basis!$E$5)^AK17*(((MID(C17,9,3)*10)-144)/1000)*AL17+AM17*(J17*3600/Basis!$E$5)^2)*0.0098)/Basis!$E$10,((AJ17*(J17/Basis!$E$5)^AK17*(((MID(C17,9,3)*10)-144)/1000)*AL17+AM17*(J17/Basis!$E$5)^2)*0.0098)/Basis!$E$10)</f>
        <v>0</v>
      </c>
      <c r="M17" s="85"/>
      <c r="N17" s="109">
        <v>1.206</v>
      </c>
      <c r="O17" s="68"/>
      <c r="P17" s="67">
        <v>635</v>
      </c>
      <c r="Q17" s="68"/>
      <c r="R17" s="69"/>
      <c r="S17" s="69"/>
      <c r="T17" s="69"/>
      <c r="U17" s="69"/>
      <c r="V17" s="69"/>
      <c r="W17" s="68"/>
      <c r="X17" s="70"/>
      <c r="Y17" s="70"/>
      <c r="Z17" s="70"/>
      <c r="AA17" s="70"/>
      <c r="AB17" s="70"/>
      <c r="AC17" s="68"/>
      <c r="AD17" s="71"/>
      <c r="AE17" s="71"/>
      <c r="AF17" s="71"/>
      <c r="AG17" s="71"/>
      <c r="AH17" s="71"/>
      <c r="AI17" s="68"/>
      <c r="AJ17" s="214"/>
      <c r="AK17" s="214"/>
      <c r="AL17" s="214"/>
      <c r="AM17" s="214"/>
      <c r="AN17" s="68"/>
      <c r="AO17" s="67"/>
      <c r="AP17" s="67"/>
      <c r="AQ17" s="67"/>
      <c r="AR17" s="67"/>
      <c r="AS17" s="67"/>
      <c r="AT17" s="68"/>
      <c r="AU17" s="49"/>
      <c r="AV17" s="50"/>
    </row>
    <row r="18" spans="1:48" ht="12.75" customHeight="1" x14ac:dyDescent="0.25">
      <c r="A18" s="72" t="s">
        <v>883</v>
      </c>
      <c r="B18" s="43" t="s">
        <v>4040</v>
      </c>
      <c r="C18" s="44" t="s">
        <v>3346</v>
      </c>
      <c r="D18" s="45">
        <f>MROUND(MID($C18,6,3)/Basis!$E$3,0.5)</f>
        <v>4.5</v>
      </c>
      <c r="E18" s="45">
        <f>MROUND(MID($C18,9,3)/Basis!$E$3,0.5)</f>
        <v>55</v>
      </c>
      <c r="F18" s="229" t="str">
        <f t="shared" si="0"/>
        <v>34</v>
      </c>
      <c r="G18" s="45">
        <f>ROUND(16.9/Basis!$E$3,1)</f>
        <v>6.7</v>
      </c>
      <c r="H18" s="120">
        <f>ROUND($P18*Basis!$E$2*((TaH-TrH)/LN(1/µ)/Basis!$E$7)^$N18*Glycol,0)</f>
        <v>2225</v>
      </c>
      <c r="I18" s="83">
        <f>ROUND(H18/(MID($C18,9,3)/Basis!$E$3/Basis!$E$9)*Basis!$E$11,0)</f>
        <v>484</v>
      </c>
      <c r="J18" s="123">
        <f>IF(Basis!$E$1=1,ROUND(H18/((TaH-TrH)*1.163)/3600,3),ROUND(H18/(500*(TaH-TrH)),2))</f>
        <v>0.22</v>
      </c>
      <c r="K18" s="84"/>
      <c r="L18" s="177">
        <f>CHOOSE(Basis!$E$1,((AJ18*(J18*3600/Basis!$E$5)^AK18*(((MID(C18,9,3)*10)-144)/1000)*AL18+AM18*(J18*3600/Basis!$E$5)^2)*0.0098)/Basis!$E$10,((AJ18*(J18/Basis!$E$5)^AK18*(((MID(C18,9,3)*10)-144)/1000)*AL18+AM18*(J18/Basis!$E$5)^2)*0.0098)/Basis!$E$10)</f>
        <v>0</v>
      </c>
      <c r="M18" s="85"/>
      <c r="N18" s="110">
        <v>1.452</v>
      </c>
      <c r="O18" s="74"/>
      <c r="P18" s="73">
        <v>1053</v>
      </c>
      <c r="Q18" s="74"/>
      <c r="R18" s="75"/>
      <c r="S18" s="75"/>
      <c r="T18" s="75"/>
      <c r="U18" s="75"/>
      <c r="V18" s="75"/>
      <c r="W18" s="74"/>
      <c r="X18" s="76"/>
      <c r="Y18" s="76"/>
      <c r="Z18" s="76"/>
      <c r="AA18" s="76"/>
      <c r="AB18" s="76"/>
      <c r="AC18" s="74"/>
      <c r="AD18" s="77"/>
      <c r="AE18" s="77"/>
      <c r="AF18" s="77"/>
      <c r="AG18" s="77"/>
      <c r="AH18" s="77"/>
      <c r="AI18" s="68"/>
      <c r="AJ18" s="213"/>
      <c r="AK18" s="213"/>
      <c r="AL18" s="213"/>
      <c r="AM18" s="213"/>
      <c r="AN18" s="74"/>
      <c r="AO18" s="73"/>
      <c r="AP18" s="73"/>
      <c r="AQ18" s="73"/>
      <c r="AR18" s="73"/>
      <c r="AS18" s="73"/>
      <c r="AT18" s="74"/>
      <c r="AU18" s="47"/>
      <c r="AV18" s="48"/>
    </row>
    <row r="19" spans="1:48" ht="12.75" customHeight="1" x14ac:dyDescent="0.25">
      <c r="A19" s="72" t="s">
        <v>883</v>
      </c>
      <c r="B19" s="43" t="s">
        <v>4040</v>
      </c>
      <c r="C19" s="44" t="s">
        <v>3347</v>
      </c>
      <c r="D19" s="45">
        <f>MROUND(MID($C19,6,3)/Basis!$E$3,0.5)</f>
        <v>4.5</v>
      </c>
      <c r="E19" s="45">
        <f>MROUND(MID($C19,9,3)/Basis!$E$3,0.5)</f>
        <v>63</v>
      </c>
      <c r="F19" s="229" t="str">
        <f t="shared" si="0"/>
        <v>11</v>
      </c>
      <c r="G19" s="45">
        <f>ROUND(5/Basis!$E$3,1)</f>
        <v>2</v>
      </c>
      <c r="H19" s="120">
        <f>ROUND($P19*Basis!$E$2*((TaH-TrH)/LN(1/µ)/Basis!$E$7)^$N19*Glycol,0)</f>
        <v>950</v>
      </c>
      <c r="I19" s="83">
        <f>ROUND(H19/(MID($C19,9,3)/Basis!$E$3/Basis!$E$9)*Basis!$E$11,0)</f>
        <v>181</v>
      </c>
      <c r="J19" s="123">
        <f>IF(Basis!$E$1=1,ROUND(H19/((TaH-TrH)*1.163)/3600,3),ROUND(H19/(500*(TaH-TrH)),2))</f>
        <v>0.1</v>
      </c>
      <c r="K19" s="84"/>
      <c r="L19" s="177">
        <f>CHOOSE(Basis!$E$1,((AJ19*(J19*3600/Basis!$E$5)^AK19*(((MID(C19,9,3)*10)-144)/1000)*AL19+AM19*(J19*3600/Basis!$E$5)^2)*0.0098)/Basis!$E$10,((AJ19*(J19/Basis!$E$5)^AK19*(((MID(C19,9,3)*10)-144)/1000)*AL19+AM19*(J19/Basis!$E$5)^2)*0.0098)/Basis!$E$10)</f>
        <v>0</v>
      </c>
      <c r="M19" s="85"/>
      <c r="N19" s="109">
        <v>1.224</v>
      </c>
      <c r="O19" s="68"/>
      <c r="P19" s="67">
        <v>417</v>
      </c>
      <c r="Q19" s="68"/>
      <c r="R19" s="69"/>
      <c r="S19" s="69"/>
      <c r="T19" s="69"/>
      <c r="U19" s="69"/>
      <c r="V19" s="69"/>
      <c r="W19" s="68"/>
      <c r="X19" s="70"/>
      <c r="Y19" s="70"/>
      <c r="Z19" s="70"/>
      <c r="AA19" s="70"/>
      <c r="AB19" s="70"/>
      <c r="AC19" s="68"/>
      <c r="AD19" s="71"/>
      <c r="AE19" s="71"/>
      <c r="AF19" s="71"/>
      <c r="AG19" s="71"/>
      <c r="AH19" s="71"/>
      <c r="AI19" s="68"/>
      <c r="AJ19" s="214"/>
      <c r="AK19" s="214"/>
      <c r="AL19" s="214"/>
      <c r="AM19" s="214"/>
      <c r="AN19" s="68"/>
      <c r="AO19" s="67"/>
      <c r="AP19" s="67"/>
      <c r="AQ19" s="67"/>
      <c r="AR19" s="67"/>
      <c r="AS19" s="67"/>
      <c r="AT19" s="68"/>
      <c r="AU19" s="49"/>
      <c r="AV19" s="50"/>
    </row>
    <row r="20" spans="1:48" ht="12.75" customHeight="1" x14ac:dyDescent="0.25">
      <c r="A20" s="72" t="s">
        <v>883</v>
      </c>
      <c r="B20" s="43" t="s">
        <v>4040</v>
      </c>
      <c r="C20" s="44" t="s">
        <v>3348</v>
      </c>
      <c r="D20" s="45">
        <f>MROUND(MID($C20,6,3)/Basis!$E$3,0.5)</f>
        <v>4.5</v>
      </c>
      <c r="E20" s="45">
        <f>MROUND(MID($C20,9,3)/Basis!$E$3,0.5)</f>
        <v>63</v>
      </c>
      <c r="F20" s="229" t="str">
        <f t="shared" si="0"/>
        <v>22</v>
      </c>
      <c r="G20" s="45">
        <f>ROUND(9/Basis!$E$3,1)</f>
        <v>3.5</v>
      </c>
      <c r="H20" s="120">
        <f>ROUND($P20*Basis!$E$2*((TaH-TrH)/LN(1/µ)/Basis!$E$7)^$N20*Glycol,0)</f>
        <v>1664</v>
      </c>
      <c r="I20" s="83">
        <f>ROUND(H20/(MID($C20,9,3)/Basis!$E$3/Basis!$E$9)*Basis!$E$11,0)</f>
        <v>317</v>
      </c>
      <c r="J20" s="123">
        <f>IF(Basis!$E$1=1,ROUND(H20/((TaH-TrH)*1.163)/3600,3),ROUND(H20/(500*(TaH-TrH)),2))</f>
        <v>0.17</v>
      </c>
      <c r="K20" s="84"/>
      <c r="L20" s="177">
        <f>CHOOSE(Basis!$E$1,((AJ20*(J20*3600/Basis!$E$5)^AK20*(((MID(C20,9,3)*10)-144)/1000)*AL20+AM20*(J20*3600/Basis!$E$5)^2)*0.0098)/Basis!$E$10,((AJ20*(J20/Basis!$E$5)^AK20*(((MID(C20,9,3)*10)-144)/1000)*AL20+AM20*(J20/Basis!$E$5)^2)*0.0098)/Basis!$E$10)</f>
        <v>0</v>
      </c>
      <c r="M20" s="85"/>
      <c r="N20" s="110">
        <v>1.206</v>
      </c>
      <c r="O20" s="74"/>
      <c r="P20" s="73">
        <v>726</v>
      </c>
      <c r="Q20" s="74"/>
      <c r="R20" s="75"/>
      <c r="S20" s="75"/>
      <c r="T20" s="75"/>
      <c r="U20" s="75"/>
      <c r="V20" s="75"/>
      <c r="W20" s="74"/>
      <c r="X20" s="76"/>
      <c r="Y20" s="76"/>
      <c r="Z20" s="76"/>
      <c r="AA20" s="76"/>
      <c r="AB20" s="76"/>
      <c r="AC20" s="74"/>
      <c r="AD20" s="77"/>
      <c r="AE20" s="77"/>
      <c r="AF20" s="77"/>
      <c r="AG20" s="77"/>
      <c r="AH20" s="77"/>
      <c r="AI20" s="68"/>
      <c r="AJ20" s="213"/>
      <c r="AK20" s="213"/>
      <c r="AL20" s="213"/>
      <c r="AM20" s="213"/>
      <c r="AN20" s="74"/>
      <c r="AO20" s="73"/>
      <c r="AP20" s="73"/>
      <c r="AQ20" s="73"/>
      <c r="AR20" s="73"/>
      <c r="AS20" s="73"/>
      <c r="AT20" s="74"/>
      <c r="AU20" s="47"/>
      <c r="AV20" s="48"/>
    </row>
    <row r="21" spans="1:48" ht="12.75" customHeight="1" x14ac:dyDescent="0.25">
      <c r="A21" s="72" t="s">
        <v>883</v>
      </c>
      <c r="B21" s="43" t="s">
        <v>4040</v>
      </c>
      <c r="C21" s="44" t="s">
        <v>3349</v>
      </c>
      <c r="D21" s="45">
        <f>MROUND(MID($C21,6,3)/Basis!$E$3,0.5)</f>
        <v>4.5</v>
      </c>
      <c r="E21" s="45">
        <f>MROUND(MID($C21,9,3)/Basis!$E$3,0.5)</f>
        <v>63</v>
      </c>
      <c r="F21" s="229" t="str">
        <f t="shared" si="0"/>
        <v>34</v>
      </c>
      <c r="G21" s="45">
        <f>ROUND(16.9/Basis!$E$3,1)</f>
        <v>6.7</v>
      </c>
      <c r="H21" s="120">
        <f>ROUND($P21*Basis!$E$2*((TaH-TrH)/LN(1/µ)/Basis!$E$7)^$N21*Glycol,0)</f>
        <v>2544</v>
      </c>
      <c r="I21" s="83">
        <f>ROUND(H21/(MID($C21,9,3)/Basis!$E$3/Basis!$E$9)*Basis!$E$11,0)</f>
        <v>485</v>
      </c>
      <c r="J21" s="123">
        <f>IF(Basis!$E$1=1,ROUND(H21/((TaH-TrH)*1.163)/3600,3),ROUND(H21/(500*(TaH-TrH)),2))</f>
        <v>0.25</v>
      </c>
      <c r="K21" s="84"/>
      <c r="L21" s="177">
        <f>CHOOSE(Basis!$E$1,((AJ21*(J21*3600/Basis!$E$5)^AK21*(((MID(C21,9,3)*10)-144)/1000)*AL21+AM21*(J21*3600/Basis!$E$5)^2)*0.0098)/Basis!$E$10,((AJ21*(J21/Basis!$E$5)^AK21*(((MID(C21,9,3)*10)-144)/1000)*AL21+AM21*(J21/Basis!$E$5)^2)*0.0098)/Basis!$E$10)</f>
        <v>0</v>
      </c>
      <c r="M21" s="85"/>
      <c r="N21" s="109">
        <v>1.452</v>
      </c>
      <c r="O21" s="68"/>
      <c r="P21" s="67">
        <v>1204</v>
      </c>
      <c r="Q21" s="68"/>
      <c r="R21" s="69"/>
      <c r="S21" s="69"/>
      <c r="T21" s="69"/>
      <c r="U21" s="69"/>
      <c r="V21" s="69"/>
      <c r="W21" s="68"/>
      <c r="X21" s="70"/>
      <c r="Y21" s="70"/>
      <c r="Z21" s="70"/>
      <c r="AA21" s="70"/>
      <c r="AB21" s="70"/>
      <c r="AC21" s="68"/>
      <c r="AD21" s="71"/>
      <c r="AE21" s="71"/>
      <c r="AF21" s="71"/>
      <c r="AG21" s="71"/>
      <c r="AH21" s="71"/>
      <c r="AI21" s="68"/>
      <c r="AJ21" s="214"/>
      <c r="AK21" s="214"/>
      <c r="AL21" s="214"/>
      <c r="AM21" s="214"/>
      <c r="AN21" s="68"/>
      <c r="AO21" s="67"/>
      <c r="AP21" s="67"/>
      <c r="AQ21" s="67"/>
      <c r="AR21" s="67"/>
      <c r="AS21" s="67"/>
      <c r="AT21" s="68"/>
      <c r="AU21" s="49"/>
      <c r="AV21" s="50"/>
    </row>
    <row r="22" spans="1:48" ht="12.75" customHeight="1" x14ac:dyDescent="0.25">
      <c r="A22" s="72" t="s">
        <v>883</v>
      </c>
      <c r="B22" s="43" t="s">
        <v>4040</v>
      </c>
      <c r="C22" s="44" t="s">
        <v>3350</v>
      </c>
      <c r="D22" s="45">
        <f>MROUND(MID($C22,6,3)/Basis!$E$3,0.5)</f>
        <v>4.5</v>
      </c>
      <c r="E22" s="45">
        <f>MROUND(MID($C22,9,3)/Basis!$E$3,0.5)</f>
        <v>71</v>
      </c>
      <c r="F22" s="229" t="str">
        <f t="shared" si="0"/>
        <v>11</v>
      </c>
      <c r="G22" s="45">
        <f>ROUND(5/Basis!$E$3,1)</f>
        <v>2</v>
      </c>
      <c r="H22" s="120">
        <f>ROUND($P22*Basis!$E$2*((TaH-TrH)/LN(1/µ)/Basis!$E$7)^$N22*Glycol,0)</f>
        <v>1068</v>
      </c>
      <c r="I22" s="83">
        <f>ROUND(H22/(MID($C22,9,3)/Basis!$E$3/Basis!$E$9)*Basis!$E$11,0)</f>
        <v>181</v>
      </c>
      <c r="J22" s="123">
        <f>IF(Basis!$E$1=1,ROUND(H22/((TaH-TrH)*1.163)/3600,3),ROUND(H22/(500*(TaH-TrH)),2))</f>
        <v>0.11</v>
      </c>
      <c r="K22" s="84"/>
      <c r="L22" s="177">
        <f>CHOOSE(Basis!$E$1,((AJ22*(J22*3600/Basis!$E$5)^AK22*(((MID(C22,9,3)*10)-144)/1000)*AL22+AM22*(J22*3600/Basis!$E$5)^2)*0.0098)/Basis!$E$10,((AJ22*(J22/Basis!$E$5)^AK22*(((MID(C22,9,3)*10)-144)/1000)*AL22+AM22*(J22/Basis!$E$5)^2)*0.0098)/Basis!$E$10)</f>
        <v>0</v>
      </c>
      <c r="M22" s="85"/>
      <c r="N22" s="110">
        <v>1.224</v>
      </c>
      <c r="O22" s="74"/>
      <c r="P22" s="73">
        <v>469</v>
      </c>
      <c r="Q22" s="74"/>
      <c r="R22" s="75"/>
      <c r="S22" s="75"/>
      <c r="T22" s="75"/>
      <c r="U22" s="75"/>
      <c r="V22" s="75"/>
      <c r="W22" s="74"/>
      <c r="X22" s="76"/>
      <c r="Y22" s="76"/>
      <c r="Z22" s="76"/>
      <c r="AA22" s="76"/>
      <c r="AB22" s="76"/>
      <c r="AC22" s="74"/>
      <c r="AD22" s="77"/>
      <c r="AE22" s="77"/>
      <c r="AF22" s="77"/>
      <c r="AG22" s="77"/>
      <c r="AH22" s="77"/>
      <c r="AI22" s="68"/>
      <c r="AJ22" s="213"/>
      <c r="AK22" s="213"/>
      <c r="AL22" s="213"/>
      <c r="AM22" s="213"/>
      <c r="AN22" s="74"/>
      <c r="AO22" s="73"/>
      <c r="AP22" s="73"/>
      <c r="AQ22" s="73"/>
      <c r="AR22" s="73"/>
      <c r="AS22" s="73"/>
      <c r="AT22" s="74"/>
      <c r="AU22" s="47"/>
      <c r="AV22" s="48"/>
    </row>
    <row r="23" spans="1:48" ht="12.75" customHeight="1" x14ac:dyDescent="0.25">
      <c r="A23" s="72" t="s">
        <v>883</v>
      </c>
      <c r="B23" s="43" t="s">
        <v>4040</v>
      </c>
      <c r="C23" s="44" t="s">
        <v>3351</v>
      </c>
      <c r="D23" s="45">
        <f>MROUND(MID($C23,6,3)/Basis!$E$3,0.5)</f>
        <v>4.5</v>
      </c>
      <c r="E23" s="45">
        <f>MROUND(MID($C23,9,3)/Basis!$E$3,0.5)</f>
        <v>71</v>
      </c>
      <c r="F23" s="229" t="str">
        <f t="shared" si="0"/>
        <v>22</v>
      </c>
      <c r="G23" s="45">
        <f>ROUND(9/Basis!$E$3,1)</f>
        <v>3.5</v>
      </c>
      <c r="H23" s="120">
        <f>ROUND($P23*Basis!$E$2*((TaH-TrH)/LN(1/µ)/Basis!$E$7)^$N23*Glycol,0)</f>
        <v>1872</v>
      </c>
      <c r="I23" s="83">
        <f>ROUND(H23/(MID($C23,9,3)/Basis!$E$3/Basis!$E$9)*Basis!$E$11,0)</f>
        <v>317</v>
      </c>
      <c r="J23" s="123">
        <f>IF(Basis!$E$1=1,ROUND(H23/((TaH-TrH)*1.163)/3600,3),ROUND(H23/(500*(TaH-TrH)),2))</f>
        <v>0.19</v>
      </c>
      <c r="K23" s="84"/>
      <c r="L23" s="177">
        <f>CHOOSE(Basis!$E$1,((AJ23*(J23*3600/Basis!$E$5)^AK23*(((MID(C23,9,3)*10)-144)/1000)*AL23+AM23*(J23*3600/Basis!$E$5)^2)*0.0098)/Basis!$E$10,((AJ23*(J23/Basis!$E$5)^AK23*(((MID(C23,9,3)*10)-144)/1000)*AL23+AM23*(J23/Basis!$E$5)^2)*0.0098)/Basis!$E$10)</f>
        <v>0</v>
      </c>
      <c r="M23" s="85"/>
      <c r="N23" s="109">
        <v>1.206</v>
      </c>
      <c r="O23" s="68"/>
      <c r="P23" s="67">
        <v>817</v>
      </c>
      <c r="Q23" s="68"/>
      <c r="R23" s="69"/>
      <c r="S23" s="69"/>
      <c r="T23" s="69"/>
      <c r="U23" s="69"/>
      <c r="V23" s="69"/>
      <c r="W23" s="68"/>
      <c r="X23" s="70"/>
      <c r="Y23" s="70"/>
      <c r="Z23" s="70"/>
      <c r="AA23" s="70"/>
      <c r="AB23" s="70"/>
      <c r="AC23" s="68"/>
      <c r="AD23" s="71"/>
      <c r="AE23" s="71"/>
      <c r="AF23" s="71"/>
      <c r="AG23" s="71"/>
      <c r="AH23" s="71"/>
      <c r="AI23" s="68"/>
      <c r="AJ23" s="214"/>
      <c r="AK23" s="214"/>
      <c r="AL23" s="214"/>
      <c r="AM23" s="214"/>
      <c r="AN23" s="68"/>
      <c r="AO23" s="67"/>
      <c r="AP23" s="67"/>
      <c r="AQ23" s="67"/>
      <c r="AR23" s="67"/>
      <c r="AS23" s="67"/>
      <c r="AT23" s="68"/>
      <c r="AU23" s="49"/>
      <c r="AV23" s="50"/>
    </row>
    <row r="24" spans="1:48" ht="12.75" customHeight="1" x14ac:dyDescent="0.25">
      <c r="A24" s="72" t="s">
        <v>883</v>
      </c>
      <c r="B24" s="43" t="s">
        <v>4040</v>
      </c>
      <c r="C24" s="44" t="s">
        <v>3352</v>
      </c>
      <c r="D24" s="45">
        <f>MROUND(MID($C24,6,3)/Basis!$E$3,0.5)</f>
        <v>4.5</v>
      </c>
      <c r="E24" s="45">
        <f>MROUND(MID($C24,9,3)/Basis!$E$3,0.5)</f>
        <v>71</v>
      </c>
      <c r="F24" s="229" t="str">
        <f t="shared" si="0"/>
        <v>34</v>
      </c>
      <c r="G24" s="45">
        <f>ROUND(16.9/Basis!$E$3,1)</f>
        <v>6.7</v>
      </c>
      <c r="H24" s="120">
        <f>ROUND($P24*Basis!$E$2*((TaH-TrH)/LN(1/µ)/Basis!$E$7)^$N24*Glycol,0)</f>
        <v>2861</v>
      </c>
      <c r="I24" s="83">
        <f>ROUND(H24/(MID($C24,9,3)/Basis!$E$3/Basis!$E$9)*Basis!$E$11,0)</f>
        <v>484</v>
      </c>
      <c r="J24" s="123">
        <f>IF(Basis!$E$1=1,ROUND(H24/((TaH-TrH)*1.163)/3600,3),ROUND(H24/(500*(TaH-TrH)),2))</f>
        <v>0.28999999999999998</v>
      </c>
      <c r="K24" s="84"/>
      <c r="L24" s="177">
        <f>CHOOSE(Basis!$E$1,((AJ24*(J24*3600/Basis!$E$5)^AK24*(((MID(C24,9,3)*10)-144)/1000)*AL24+AM24*(J24*3600/Basis!$E$5)^2)*0.0098)/Basis!$E$10,((AJ24*(J24/Basis!$E$5)^AK24*(((MID(C24,9,3)*10)-144)/1000)*AL24+AM24*(J24/Basis!$E$5)^2)*0.0098)/Basis!$E$10)</f>
        <v>0</v>
      </c>
      <c r="M24" s="85"/>
      <c r="N24" s="110">
        <v>1.452</v>
      </c>
      <c r="O24" s="74"/>
      <c r="P24" s="73">
        <v>1354</v>
      </c>
      <c r="Q24" s="74"/>
      <c r="R24" s="75"/>
      <c r="S24" s="75"/>
      <c r="T24" s="75"/>
      <c r="U24" s="75"/>
      <c r="V24" s="75"/>
      <c r="W24" s="74"/>
      <c r="X24" s="76"/>
      <c r="Y24" s="76"/>
      <c r="Z24" s="76"/>
      <c r="AA24" s="76"/>
      <c r="AB24" s="76"/>
      <c r="AC24" s="74"/>
      <c r="AD24" s="77"/>
      <c r="AE24" s="77"/>
      <c r="AF24" s="77"/>
      <c r="AG24" s="77"/>
      <c r="AH24" s="77"/>
      <c r="AI24" s="68"/>
      <c r="AJ24" s="213"/>
      <c r="AK24" s="213"/>
      <c r="AL24" s="213"/>
      <c r="AM24" s="213"/>
      <c r="AN24" s="74"/>
      <c r="AO24" s="73"/>
      <c r="AP24" s="73"/>
      <c r="AQ24" s="73"/>
      <c r="AR24" s="73"/>
      <c r="AS24" s="73"/>
      <c r="AT24" s="74"/>
      <c r="AU24" s="47"/>
      <c r="AV24" s="48"/>
    </row>
    <row r="25" spans="1:48" ht="12.75" customHeight="1" x14ac:dyDescent="0.25">
      <c r="A25" s="72" t="s">
        <v>883</v>
      </c>
      <c r="B25" s="43" t="s">
        <v>4040</v>
      </c>
      <c r="C25" s="44" t="s">
        <v>3353</v>
      </c>
      <c r="D25" s="45">
        <f>MROUND(MID($C25,6,3)/Basis!$E$3,0.5)</f>
        <v>4.5</v>
      </c>
      <c r="E25" s="45">
        <f>MROUND(MID($C25,9,3)/Basis!$E$3,0.5)</f>
        <v>78.5</v>
      </c>
      <c r="F25" s="229" t="str">
        <f t="shared" si="0"/>
        <v>11</v>
      </c>
      <c r="G25" s="45">
        <f>ROUND(5/Basis!$E$3,1)</f>
        <v>2</v>
      </c>
      <c r="H25" s="120">
        <f>ROUND($P25*Basis!$E$2*((TaH-TrH)/LN(1/µ)/Basis!$E$7)^$N25*Glycol,0)</f>
        <v>1187</v>
      </c>
      <c r="I25" s="83">
        <f>ROUND(H25/(MID($C25,9,3)/Basis!$E$3/Basis!$E$9)*Basis!$E$11,0)</f>
        <v>181</v>
      </c>
      <c r="J25" s="123">
        <f>IF(Basis!$E$1=1,ROUND(H25/((TaH-TrH)*1.163)/3600,3),ROUND(H25/(500*(TaH-TrH)),2))</f>
        <v>0.12</v>
      </c>
      <c r="K25" s="84"/>
      <c r="L25" s="177">
        <f>CHOOSE(Basis!$E$1,((AJ25*(J25*3600/Basis!$E$5)^AK25*(((MID(C25,9,3)*10)-144)/1000)*AL25+AM25*(J25*3600/Basis!$E$5)^2)*0.0098)/Basis!$E$10,((AJ25*(J25/Basis!$E$5)^AK25*(((MID(C25,9,3)*10)-144)/1000)*AL25+AM25*(J25/Basis!$E$5)^2)*0.0098)/Basis!$E$10)</f>
        <v>0</v>
      </c>
      <c r="M25" s="85"/>
      <c r="N25" s="109">
        <v>1.224</v>
      </c>
      <c r="O25" s="68"/>
      <c r="P25" s="67">
        <v>521</v>
      </c>
      <c r="Q25" s="68"/>
      <c r="R25" s="69"/>
      <c r="S25" s="69"/>
      <c r="T25" s="69"/>
      <c r="U25" s="69"/>
      <c r="V25" s="69"/>
      <c r="W25" s="68"/>
      <c r="X25" s="70"/>
      <c r="Y25" s="70"/>
      <c r="Z25" s="70"/>
      <c r="AA25" s="70"/>
      <c r="AB25" s="70"/>
      <c r="AC25" s="68"/>
      <c r="AD25" s="71"/>
      <c r="AE25" s="71"/>
      <c r="AF25" s="71"/>
      <c r="AG25" s="71"/>
      <c r="AH25" s="71"/>
      <c r="AI25" s="68"/>
      <c r="AJ25" s="214"/>
      <c r="AK25" s="214"/>
      <c r="AL25" s="214"/>
      <c r="AM25" s="214"/>
      <c r="AN25" s="68"/>
      <c r="AO25" s="67"/>
      <c r="AP25" s="67"/>
      <c r="AQ25" s="67"/>
      <c r="AR25" s="67"/>
      <c r="AS25" s="67"/>
      <c r="AT25" s="68"/>
      <c r="AU25" s="49"/>
      <c r="AV25" s="50"/>
    </row>
    <row r="26" spans="1:48" ht="12.75" customHeight="1" x14ac:dyDescent="0.25">
      <c r="A26" s="72" t="s">
        <v>883</v>
      </c>
      <c r="B26" s="43" t="s">
        <v>4040</v>
      </c>
      <c r="C26" s="44" t="s">
        <v>3354</v>
      </c>
      <c r="D26" s="45">
        <f>MROUND(MID($C26,6,3)/Basis!$E$3,0.5)</f>
        <v>4.5</v>
      </c>
      <c r="E26" s="45">
        <f>MROUND(MID($C26,9,3)/Basis!$E$3,0.5)</f>
        <v>78.5</v>
      </c>
      <c r="F26" s="229" t="str">
        <f t="shared" si="0"/>
        <v>22</v>
      </c>
      <c r="G26" s="45">
        <f>ROUND(9/Basis!$E$3,1)</f>
        <v>3.5</v>
      </c>
      <c r="H26" s="120">
        <f>ROUND($P26*Basis!$E$2*((TaH-TrH)/LN(1/µ)/Basis!$E$7)^$N26*Glycol,0)</f>
        <v>2081</v>
      </c>
      <c r="I26" s="83">
        <f>ROUND(H26/(MID($C26,9,3)/Basis!$E$3/Basis!$E$9)*Basis!$E$11,0)</f>
        <v>317</v>
      </c>
      <c r="J26" s="123">
        <f>IF(Basis!$E$1=1,ROUND(H26/((TaH-TrH)*1.163)/3600,3),ROUND(H26/(500*(TaH-TrH)),2))</f>
        <v>0.21</v>
      </c>
      <c r="K26" s="84"/>
      <c r="L26" s="177">
        <f>CHOOSE(Basis!$E$1,((AJ26*(J26*3600/Basis!$E$5)^AK26*(((MID(C26,9,3)*10)-144)/1000)*AL26+AM26*(J26*3600/Basis!$E$5)^2)*0.0098)/Basis!$E$10,((AJ26*(J26/Basis!$E$5)^AK26*(((MID(C26,9,3)*10)-144)/1000)*AL26+AM26*(J26/Basis!$E$5)^2)*0.0098)/Basis!$E$10)</f>
        <v>0</v>
      </c>
      <c r="M26" s="85"/>
      <c r="N26" s="110">
        <v>1.206</v>
      </c>
      <c r="O26" s="74"/>
      <c r="P26" s="73">
        <v>908</v>
      </c>
      <c r="Q26" s="74"/>
      <c r="R26" s="75"/>
      <c r="S26" s="75"/>
      <c r="T26" s="75"/>
      <c r="U26" s="75"/>
      <c r="V26" s="75"/>
      <c r="W26" s="74"/>
      <c r="X26" s="76"/>
      <c r="Y26" s="76"/>
      <c r="Z26" s="76"/>
      <c r="AA26" s="76"/>
      <c r="AB26" s="76"/>
      <c r="AC26" s="74"/>
      <c r="AD26" s="77"/>
      <c r="AE26" s="77"/>
      <c r="AF26" s="77"/>
      <c r="AG26" s="77"/>
      <c r="AH26" s="77"/>
      <c r="AI26" s="68"/>
      <c r="AJ26" s="213"/>
      <c r="AK26" s="213"/>
      <c r="AL26" s="213"/>
      <c r="AM26" s="213"/>
      <c r="AN26" s="74"/>
      <c r="AO26" s="73"/>
      <c r="AP26" s="73"/>
      <c r="AQ26" s="73"/>
      <c r="AR26" s="73"/>
      <c r="AS26" s="73"/>
      <c r="AT26" s="74"/>
      <c r="AU26" s="47"/>
      <c r="AV26" s="48"/>
    </row>
    <row r="27" spans="1:48" ht="12.75" customHeight="1" x14ac:dyDescent="0.25">
      <c r="A27" s="72" t="s">
        <v>883</v>
      </c>
      <c r="B27" s="43" t="s">
        <v>4040</v>
      </c>
      <c r="C27" s="44" t="s">
        <v>3355</v>
      </c>
      <c r="D27" s="45">
        <f>MROUND(MID($C27,6,3)/Basis!$E$3,0.5)</f>
        <v>4.5</v>
      </c>
      <c r="E27" s="45">
        <f>MROUND(MID($C27,9,3)/Basis!$E$3,0.5)</f>
        <v>78.5</v>
      </c>
      <c r="F27" s="229" t="str">
        <f t="shared" si="0"/>
        <v>34</v>
      </c>
      <c r="G27" s="45">
        <f>ROUND(16.9/Basis!$E$3,1)</f>
        <v>6.7</v>
      </c>
      <c r="H27" s="120">
        <f>ROUND($P27*Basis!$E$2*((TaH-TrH)/LN(1/µ)/Basis!$E$7)^$N27*Glycol,0)</f>
        <v>3180</v>
      </c>
      <c r="I27" s="83">
        <f>ROUND(H27/(MID($C27,9,3)/Basis!$E$3/Basis!$E$9)*Basis!$E$11,0)</f>
        <v>485</v>
      </c>
      <c r="J27" s="123">
        <f>IF(Basis!$E$1=1,ROUND(H27/((TaH-TrH)*1.163)/3600,3),ROUND(H27/(500*(TaH-TrH)),2))</f>
        <v>0.32</v>
      </c>
      <c r="K27" s="84"/>
      <c r="L27" s="177">
        <f>CHOOSE(Basis!$E$1,((AJ27*(J27*3600/Basis!$E$5)^AK27*(((MID(C27,9,3)*10)-144)/1000)*AL27+AM27*(J27*3600/Basis!$E$5)^2)*0.0098)/Basis!$E$10,((AJ27*(J27/Basis!$E$5)^AK27*(((MID(C27,9,3)*10)-144)/1000)*AL27+AM27*(J27/Basis!$E$5)^2)*0.0098)/Basis!$E$10)</f>
        <v>0</v>
      </c>
      <c r="M27" s="85"/>
      <c r="N27" s="109">
        <v>1.452</v>
      </c>
      <c r="O27" s="68"/>
      <c r="P27" s="67">
        <v>1505</v>
      </c>
      <c r="Q27" s="68"/>
      <c r="R27" s="69"/>
      <c r="S27" s="69"/>
      <c r="T27" s="69"/>
      <c r="U27" s="69"/>
      <c r="V27" s="69"/>
      <c r="W27" s="68"/>
      <c r="X27" s="70"/>
      <c r="Y27" s="70"/>
      <c r="Z27" s="70"/>
      <c r="AA27" s="70"/>
      <c r="AB27" s="70"/>
      <c r="AC27" s="68"/>
      <c r="AD27" s="71"/>
      <c r="AE27" s="71"/>
      <c r="AF27" s="71"/>
      <c r="AG27" s="71"/>
      <c r="AH27" s="71"/>
      <c r="AI27" s="68"/>
      <c r="AJ27" s="214"/>
      <c r="AK27" s="214"/>
      <c r="AL27" s="214"/>
      <c r="AM27" s="214"/>
      <c r="AN27" s="68"/>
      <c r="AO27" s="67"/>
      <c r="AP27" s="67"/>
      <c r="AQ27" s="67"/>
      <c r="AR27" s="67"/>
      <c r="AS27" s="67"/>
      <c r="AT27" s="68"/>
      <c r="AU27" s="49"/>
      <c r="AV27" s="50"/>
    </row>
    <row r="28" spans="1:48" ht="12.75" customHeight="1" x14ac:dyDescent="0.25">
      <c r="A28" s="72" t="s">
        <v>883</v>
      </c>
      <c r="B28" s="43" t="s">
        <v>4040</v>
      </c>
      <c r="C28" s="44" t="s">
        <v>3356</v>
      </c>
      <c r="D28" s="45">
        <f>MROUND(MID($C28,6,3)/Basis!$E$3,0.5)</f>
        <v>4.5</v>
      </c>
      <c r="E28" s="45">
        <f>MROUND(MID($C28,9,3)/Basis!$E$3,0.5)</f>
        <v>86.5</v>
      </c>
      <c r="F28" s="229" t="str">
        <f t="shared" si="0"/>
        <v>11</v>
      </c>
      <c r="G28" s="45">
        <f>ROUND(5/Basis!$E$3,1)</f>
        <v>2</v>
      </c>
      <c r="H28" s="120">
        <f>ROUND($P28*Basis!$E$2*((TaH-TrH)/LN(1/µ)/Basis!$E$7)^$N28*Glycol,0)</f>
        <v>1305</v>
      </c>
      <c r="I28" s="83">
        <f>ROUND(H28/(MID($C28,9,3)/Basis!$E$3/Basis!$E$9)*Basis!$E$11,0)</f>
        <v>181</v>
      </c>
      <c r="J28" s="123">
        <f>IF(Basis!$E$1=1,ROUND(H28/((TaH-TrH)*1.163)/3600,3),ROUND(H28/(500*(TaH-TrH)),2))</f>
        <v>0.13</v>
      </c>
      <c r="K28" s="84"/>
      <c r="L28" s="177">
        <f>CHOOSE(Basis!$E$1,((AJ28*(J28*3600/Basis!$E$5)^AK28*(((MID(C28,9,3)*10)-144)/1000)*AL28+AM28*(J28*3600/Basis!$E$5)^2)*0.0098)/Basis!$E$10,((AJ28*(J28/Basis!$E$5)^AK28*(((MID(C28,9,3)*10)-144)/1000)*AL28+AM28*(J28/Basis!$E$5)^2)*0.0098)/Basis!$E$10)</f>
        <v>0</v>
      </c>
      <c r="M28" s="85"/>
      <c r="N28" s="110">
        <v>1.224</v>
      </c>
      <c r="O28" s="74"/>
      <c r="P28" s="73">
        <v>573</v>
      </c>
      <c r="Q28" s="74"/>
      <c r="R28" s="75"/>
      <c r="S28" s="75"/>
      <c r="T28" s="75"/>
      <c r="U28" s="75"/>
      <c r="V28" s="75"/>
      <c r="W28" s="74"/>
      <c r="X28" s="76"/>
      <c r="Y28" s="76"/>
      <c r="Z28" s="76"/>
      <c r="AA28" s="76"/>
      <c r="AB28" s="76"/>
      <c r="AC28" s="74"/>
      <c r="AD28" s="77"/>
      <c r="AE28" s="77"/>
      <c r="AF28" s="77"/>
      <c r="AG28" s="77"/>
      <c r="AH28" s="77"/>
      <c r="AI28" s="68"/>
      <c r="AJ28" s="213"/>
      <c r="AK28" s="213"/>
      <c r="AL28" s="213"/>
      <c r="AM28" s="213"/>
      <c r="AN28" s="74"/>
      <c r="AO28" s="73"/>
      <c r="AP28" s="73"/>
      <c r="AQ28" s="73"/>
      <c r="AR28" s="73"/>
      <c r="AS28" s="73"/>
      <c r="AT28" s="74"/>
      <c r="AU28" s="47"/>
      <c r="AV28" s="48"/>
    </row>
    <row r="29" spans="1:48" ht="12.75" customHeight="1" x14ac:dyDescent="0.25">
      <c r="A29" s="72" t="s">
        <v>883</v>
      </c>
      <c r="B29" s="43" t="s">
        <v>4040</v>
      </c>
      <c r="C29" s="44" t="s">
        <v>3357</v>
      </c>
      <c r="D29" s="45">
        <f>MROUND(MID($C29,6,3)/Basis!$E$3,0.5)</f>
        <v>4.5</v>
      </c>
      <c r="E29" s="45">
        <f>MROUND(MID($C29,9,3)/Basis!$E$3,0.5)</f>
        <v>86.5</v>
      </c>
      <c r="F29" s="229" t="str">
        <f t="shared" si="0"/>
        <v>22</v>
      </c>
      <c r="G29" s="45">
        <f>ROUND(9/Basis!$E$3,1)</f>
        <v>3.5</v>
      </c>
      <c r="H29" s="120">
        <f>ROUND($P29*Basis!$E$2*((TaH-TrH)/LN(1/µ)/Basis!$E$7)^$N29*Glycol,0)</f>
        <v>2287</v>
      </c>
      <c r="I29" s="83">
        <f>ROUND(H29/(MID($C29,9,3)/Basis!$E$3/Basis!$E$9)*Basis!$E$11,0)</f>
        <v>317</v>
      </c>
      <c r="J29" s="123">
        <f>IF(Basis!$E$1=1,ROUND(H29/((TaH-TrH)*1.163)/3600,3),ROUND(H29/(500*(TaH-TrH)),2))</f>
        <v>0.23</v>
      </c>
      <c r="K29" s="84"/>
      <c r="L29" s="177">
        <f>CHOOSE(Basis!$E$1,((AJ29*(J29*3600/Basis!$E$5)^AK29*(((MID(C29,9,3)*10)-144)/1000)*AL29+AM29*(J29*3600/Basis!$E$5)^2)*0.0098)/Basis!$E$10,((AJ29*(J29/Basis!$E$5)^AK29*(((MID(C29,9,3)*10)-144)/1000)*AL29+AM29*(J29/Basis!$E$5)^2)*0.0098)/Basis!$E$10)</f>
        <v>0</v>
      </c>
      <c r="M29" s="85"/>
      <c r="N29" s="109">
        <v>1.206</v>
      </c>
      <c r="O29" s="68"/>
      <c r="P29" s="67">
        <v>998</v>
      </c>
      <c r="Q29" s="68"/>
      <c r="R29" s="69"/>
      <c r="S29" s="69"/>
      <c r="T29" s="69"/>
      <c r="U29" s="69"/>
      <c r="V29" s="69"/>
      <c r="W29" s="68"/>
      <c r="X29" s="70"/>
      <c r="Y29" s="70"/>
      <c r="Z29" s="70"/>
      <c r="AA29" s="70"/>
      <c r="AB29" s="70"/>
      <c r="AC29" s="68"/>
      <c r="AD29" s="71"/>
      <c r="AE29" s="71"/>
      <c r="AF29" s="71"/>
      <c r="AG29" s="71"/>
      <c r="AH29" s="71"/>
      <c r="AI29" s="68"/>
      <c r="AJ29" s="214"/>
      <c r="AK29" s="214"/>
      <c r="AL29" s="214"/>
      <c r="AM29" s="214"/>
      <c r="AN29" s="68"/>
      <c r="AO29" s="67"/>
      <c r="AP29" s="67"/>
      <c r="AQ29" s="67"/>
      <c r="AR29" s="67"/>
      <c r="AS29" s="67"/>
      <c r="AT29" s="68"/>
      <c r="AU29" s="49"/>
      <c r="AV29" s="50"/>
    </row>
    <row r="30" spans="1:48" ht="12.75" customHeight="1" x14ac:dyDescent="0.25">
      <c r="A30" s="72" t="s">
        <v>883</v>
      </c>
      <c r="B30" s="43" t="s">
        <v>4040</v>
      </c>
      <c r="C30" s="44" t="s">
        <v>3358</v>
      </c>
      <c r="D30" s="45">
        <f>MROUND(MID($C30,6,3)/Basis!$E$3,0.5)</f>
        <v>4.5</v>
      </c>
      <c r="E30" s="45">
        <f>MROUND(MID($C30,9,3)/Basis!$E$3,0.5)</f>
        <v>86.5</v>
      </c>
      <c r="F30" s="229" t="str">
        <f t="shared" si="0"/>
        <v>34</v>
      </c>
      <c r="G30" s="45">
        <f>ROUND(16.9/Basis!$E$3,1)</f>
        <v>6.7</v>
      </c>
      <c r="H30" s="120">
        <f>ROUND($P30*Basis!$E$2*((TaH-TrH)/LN(1/µ)/Basis!$E$7)^$N30*Glycol,0)</f>
        <v>3497</v>
      </c>
      <c r="I30" s="83">
        <f>ROUND(H30/(MID($C30,9,3)/Basis!$E$3/Basis!$E$9)*Basis!$E$11,0)</f>
        <v>484</v>
      </c>
      <c r="J30" s="123">
        <f>IF(Basis!$E$1=1,ROUND(H30/((TaH-TrH)*1.163)/3600,3),ROUND(H30/(500*(TaH-TrH)),2))</f>
        <v>0.35</v>
      </c>
      <c r="K30" s="84"/>
      <c r="L30" s="177">
        <f>CHOOSE(Basis!$E$1,((AJ30*(J30*3600/Basis!$E$5)^AK30*(((MID(C30,9,3)*10)-144)/1000)*AL30+AM30*(J30*3600/Basis!$E$5)^2)*0.0098)/Basis!$E$10,((AJ30*(J30/Basis!$E$5)^AK30*(((MID(C30,9,3)*10)-144)/1000)*AL30+AM30*(J30/Basis!$E$5)^2)*0.0098)/Basis!$E$10)</f>
        <v>0</v>
      </c>
      <c r="M30" s="85"/>
      <c r="N30" s="110">
        <v>1.452</v>
      </c>
      <c r="O30" s="74"/>
      <c r="P30" s="73">
        <v>1655</v>
      </c>
      <c r="Q30" s="74"/>
      <c r="R30" s="75"/>
      <c r="S30" s="75"/>
      <c r="T30" s="75"/>
      <c r="U30" s="75"/>
      <c r="V30" s="75"/>
      <c r="W30" s="74"/>
      <c r="X30" s="76"/>
      <c r="Y30" s="76"/>
      <c r="Z30" s="76"/>
      <c r="AA30" s="76"/>
      <c r="AB30" s="76"/>
      <c r="AC30" s="74"/>
      <c r="AD30" s="77"/>
      <c r="AE30" s="77"/>
      <c r="AF30" s="77"/>
      <c r="AG30" s="77"/>
      <c r="AH30" s="77"/>
      <c r="AI30" s="68"/>
      <c r="AJ30" s="213"/>
      <c r="AK30" s="213"/>
      <c r="AL30" s="213"/>
      <c r="AM30" s="213"/>
      <c r="AN30" s="74"/>
      <c r="AO30" s="73"/>
      <c r="AP30" s="73"/>
      <c r="AQ30" s="73"/>
      <c r="AR30" s="73"/>
      <c r="AS30" s="73"/>
      <c r="AT30" s="74"/>
      <c r="AU30" s="47"/>
      <c r="AV30" s="48"/>
    </row>
    <row r="31" spans="1:48" ht="12.75" customHeight="1" x14ac:dyDescent="0.25">
      <c r="A31" s="72" t="s">
        <v>883</v>
      </c>
      <c r="B31" s="43" t="s">
        <v>4040</v>
      </c>
      <c r="C31" s="44" t="s">
        <v>3359</v>
      </c>
      <c r="D31" s="45">
        <f>MROUND(MID($C31,6,3)/Basis!$E$3,0.5)</f>
        <v>4.5</v>
      </c>
      <c r="E31" s="45">
        <f>MROUND(MID($C31,9,3)/Basis!$E$3,0.5)</f>
        <v>94.5</v>
      </c>
      <c r="F31" s="229" t="str">
        <f t="shared" si="0"/>
        <v>11</v>
      </c>
      <c r="G31" s="45">
        <f>ROUND(5/Basis!$E$3,1)</f>
        <v>2</v>
      </c>
      <c r="H31" s="120">
        <f>ROUND($P31*Basis!$E$2*((TaH-TrH)/LN(1/µ)/Basis!$E$7)^$N31*Glycol,0)</f>
        <v>1424</v>
      </c>
      <c r="I31" s="83">
        <f>ROUND(H31/(MID($C31,9,3)/Basis!$E$3/Basis!$E$9)*Basis!$E$11,0)</f>
        <v>181</v>
      </c>
      <c r="J31" s="123">
        <f>IF(Basis!$E$1=1,ROUND(H31/((TaH-TrH)*1.163)/3600,3),ROUND(H31/(500*(TaH-TrH)),2))</f>
        <v>0.14000000000000001</v>
      </c>
      <c r="K31" s="84"/>
      <c r="L31" s="177">
        <f>CHOOSE(Basis!$E$1,((AJ31*(J31*3600/Basis!$E$5)^AK31*(((MID(C31,9,3)*10)-144)/1000)*AL31+AM31*(J31*3600/Basis!$E$5)^2)*0.0098)/Basis!$E$10,((AJ31*(J31/Basis!$E$5)^AK31*(((MID(C31,9,3)*10)-144)/1000)*AL31+AM31*(J31/Basis!$E$5)^2)*0.0098)/Basis!$E$10)</f>
        <v>0</v>
      </c>
      <c r="M31" s="85"/>
      <c r="N31" s="109">
        <v>1.224</v>
      </c>
      <c r="O31" s="68"/>
      <c r="P31" s="67">
        <v>625</v>
      </c>
      <c r="Q31" s="68"/>
      <c r="R31" s="69"/>
      <c r="S31" s="69"/>
      <c r="T31" s="69"/>
      <c r="U31" s="69"/>
      <c r="V31" s="69"/>
      <c r="W31" s="68"/>
      <c r="X31" s="70"/>
      <c r="Y31" s="70"/>
      <c r="Z31" s="70"/>
      <c r="AA31" s="70"/>
      <c r="AB31" s="70"/>
      <c r="AC31" s="68"/>
      <c r="AD31" s="71"/>
      <c r="AE31" s="71"/>
      <c r="AF31" s="71"/>
      <c r="AG31" s="71"/>
      <c r="AH31" s="71"/>
      <c r="AI31" s="68"/>
      <c r="AJ31" s="214"/>
      <c r="AK31" s="214"/>
      <c r="AL31" s="214"/>
      <c r="AM31" s="214"/>
      <c r="AN31" s="68"/>
      <c r="AO31" s="67"/>
      <c r="AP31" s="67"/>
      <c r="AQ31" s="67"/>
      <c r="AR31" s="67"/>
      <c r="AS31" s="67"/>
      <c r="AT31" s="68"/>
      <c r="AU31" s="49"/>
      <c r="AV31" s="50"/>
    </row>
    <row r="32" spans="1:48" ht="12.75" customHeight="1" x14ac:dyDescent="0.25">
      <c r="A32" s="72" t="s">
        <v>883</v>
      </c>
      <c r="B32" s="43" t="s">
        <v>4040</v>
      </c>
      <c r="C32" s="44" t="s">
        <v>3360</v>
      </c>
      <c r="D32" s="45">
        <f>MROUND(MID($C32,6,3)/Basis!$E$3,0.5)</f>
        <v>4.5</v>
      </c>
      <c r="E32" s="45">
        <f>MROUND(MID($C32,9,3)/Basis!$E$3,0.5)</f>
        <v>94.5</v>
      </c>
      <c r="F32" s="229" t="str">
        <f t="shared" si="0"/>
        <v>22</v>
      </c>
      <c r="G32" s="45">
        <f>ROUND(9/Basis!$E$3,1)</f>
        <v>3.5</v>
      </c>
      <c r="H32" s="120">
        <f>ROUND($P32*Basis!$E$2*((TaH-TrH)/LN(1/µ)/Basis!$E$7)^$N32*Glycol,0)</f>
        <v>2496</v>
      </c>
      <c r="I32" s="83">
        <f>ROUND(H32/(MID($C32,9,3)/Basis!$E$3/Basis!$E$9)*Basis!$E$11,0)</f>
        <v>317</v>
      </c>
      <c r="J32" s="123">
        <f>IF(Basis!$E$1=1,ROUND(H32/((TaH-TrH)*1.163)/3600,3),ROUND(H32/(500*(TaH-TrH)),2))</f>
        <v>0.25</v>
      </c>
      <c r="K32" s="84"/>
      <c r="L32" s="177">
        <f>CHOOSE(Basis!$E$1,((AJ32*(J32*3600/Basis!$E$5)^AK32*(((MID(C32,9,3)*10)-144)/1000)*AL32+AM32*(J32*3600/Basis!$E$5)^2)*0.0098)/Basis!$E$10,((AJ32*(J32/Basis!$E$5)^AK32*(((MID(C32,9,3)*10)-144)/1000)*AL32+AM32*(J32/Basis!$E$5)^2)*0.0098)/Basis!$E$10)</f>
        <v>0</v>
      </c>
      <c r="M32" s="85"/>
      <c r="N32" s="110">
        <v>1.206</v>
      </c>
      <c r="O32" s="74"/>
      <c r="P32" s="73">
        <v>1089</v>
      </c>
      <c r="Q32" s="74"/>
      <c r="R32" s="75"/>
      <c r="S32" s="75"/>
      <c r="T32" s="75"/>
      <c r="U32" s="75"/>
      <c r="V32" s="75"/>
      <c r="W32" s="74"/>
      <c r="X32" s="76"/>
      <c r="Y32" s="76"/>
      <c r="Z32" s="76"/>
      <c r="AA32" s="76"/>
      <c r="AB32" s="76"/>
      <c r="AC32" s="74"/>
      <c r="AD32" s="77"/>
      <c r="AE32" s="77"/>
      <c r="AF32" s="77"/>
      <c r="AG32" s="77"/>
      <c r="AH32" s="77"/>
      <c r="AI32" s="68"/>
      <c r="AJ32" s="213"/>
      <c r="AK32" s="213"/>
      <c r="AL32" s="213"/>
      <c r="AM32" s="213"/>
      <c r="AN32" s="74"/>
      <c r="AO32" s="73"/>
      <c r="AP32" s="73"/>
      <c r="AQ32" s="73"/>
      <c r="AR32" s="73"/>
      <c r="AS32" s="73"/>
      <c r="AT32" s="74"/>
      <c r="AU32" s="47"/>
      <c r="AV32" s="48"/>
    </row>
    <row r="33" spans="1:48" ht="12.75" customHeight="1" x14ac:dyDescent="0.25">
      <c r="A33" s="72" t="s">
        <v>883</v>
      </c>
      <c r="B33" s="43" t="s">
        <v>4040</v>
      </c>
      <c r="C33" s="44" t="s">
        <v>3361</v>
      </c>
      <c r="D33" s="45">
        <f>MROUND(MID($C33,6,3)/Basis!$E$3,0.5)</f>
        <v>4.5</v>
      </c>
      <c r="E33" s="45">
        <f>MROUND(MID($C33,9,3)/Basis!$E$3,0.5)</f>
        <v>94.5</v>
      </c>
      <c r="F33" s="229" t="str">
        <f t="shared" si="0"/>
        <v>34</v>
      </c>
      <c r="G33" s="45">
        <f>ROUND(16.9/Basis!$E$3,1)</f>
        <v>6.7</v>
      </c>
      <c r="H33" s="120">
        <f>ROUND($P33*Basis!$E$2*((TaH-TrH)/LN(1/µ)/Basis!$E$7)^$N33*Glycol,0)</f>
        <v>3816</v>
      </c>
      <c r="I33" s="83">
        <f>ROUND(H33/(MID($C33,9,3)/Basis!$E$3/Basis!$E$9)*Basis!$E$11,0)</f>
        <v>485</v>
      </c>
      <c r="J33" s="123">
        <f>IF(Basis!$E$1=1,ROUND(H33/((TaH-TrH)*1.163)/3600,3),ROUND(H33/(500*(TaH-TrH)),2))</f>
        <v>0.38</v>
      </c>
      <c r="K33" s="84"/>
      <c r="L33" s="177">
        <f>CHOOSE(Basis!$E$1,((AJ33*(J33*3600/Basis!$E$5)^AK33*(((MID(C33,9,3)*10)-144)/1000)*AL33+AM33*(J33*3600/Basis!$E$5)^2)*0.0098)/Basis!$E$10,((AJ33*(J33/Basis!$E$5)^AK33*(((MID(C33,9,3)*10)-144)/1000)*AL33+AM33*(J33/Basis!$E$5)^2)*0.0098)/Basis!$E$10)</f>
        <v>0</v>
      </c>
      <c r="M33" s="85"/>
      <c r="N33" s="109">
        <v>1.452</v>
      </c>
      <c r="O33" s="68"/>
      <c r="P33" s="67">
        <v>1806</v>
      </c>
      <c r="Q33" s="68"/>
      <c r="R33" s="69"/>
      <c r="S33" s="69"/>
      <c r="T33" s="69"/>
      <c r="U33" s="69"/>
      <c r="V33" s="69"/>
      <c r="W33" s="68"/>
      <c r="X33" s="70"/>
      <c r="Y33" s="70"/>
      <c r="Z33" s="70"/>
      <c r="AA33" s="70"/>
      <c r="AB33" s="70"/>
      <c r="AC33" s="68"/>
      <c r="AD33" s="71"/>
      <c r="AE33" s="71"/>
      <c r="AF33" s="71"/>
      <c r="AG33" s="71"/>
      <c r="AH33" s="71"/>
      <c r="AI33" s="68"/>
      <c r="AJ33" s="214"/>
      <c r="AK33" s="214"/>
      <c r="AL33" s="214"/>
      <c r="AM33" s="214"/>
      <c r="AN33" s="68"/>
      <c r="AO33" s="67"/>
      <c r="AP33" s="67"/>
      <c r="AQ33" s="67"/>
      <c r="AR33" s="67"/>
      <c r="AS33" s="67"/>
      <c r="AT33" s="68"/>
      <c r="AU33" s="49"/>
      <c r="AV33" s="50"/>
    </row>
    <row r="34" spans="1:48" ht="12.75" customHeight="1" x14ac:dyDescent="0.25">
      <c r="A34" s="72" t="s">
        <v>883</v>
      </c>
      <c r="B34" s="43" t="s">
        <v>4040</v>
      </c>
      <c r="C34" s="44" t="s">
        <v>3362</v>
      </c>
      <c r="D34" s="45">
        <f>MROUND(MID($C34,6,3)/Basis!$E$3,0.5)</f>
        <v>4.5</v>
      </c>
      <c r="E34" s="45">
        <f>MROUND(MID($C34,9,3)/Basis!$E$3,0.5)</f>
        <v>102.5</v>
      </c>
      <c r="F34" s="229" t="str">
        <f t="shared" si="0"/>
        <v>11</v>
      </c>
      <c r="G34" s="45">
        <f>ROUND(5/Basis!$E$3,1)</f>
        <v>2</v>
      </c>
      <c r="H34" s="120">
        <f>ROUND($P34*Basis!$E$2*((TaH-TrH)/LN(1/µ)/Basis!$E$7)^$N34*Glycol,0)</f>
        <v>1542</v>
      </c>
      <c r="I34" s="83">
        <f>ROUND(H34/(MID($C34,9,3)/Basis!$E$3/Basis!$E$9)*Basis!$E$11,0)</f>
        <v>181</v>
      </c>
      <c r="J34" s="123">
        <f>IF(Basis!$E$1=1,ROUND(H34/((TaH-TrH)*1.163)/3600,3),ROUND(H34/(500*(TaH-TrH)),2))</f>
        <v>0.15</v>
      </c>
      <c r="K34" s="84"/>
      <c r="L34" s="177">
        <f>CHOOSE(Basis!$E$1,((AJ34*(J34*3600/Basis!$E$5)^AK34*(((MID(C34,9,3)*10)-144)/1000)*AL34+AM34*(J34*3600/Basis!$E$5)^2)*0.0098)/Basis!$E$10,((AJ34*(J34/Basis!$E$5)^AK34*(((MID(C34,9,3)*10)-144)/1000)*AL34+AM34*(J34/Basis!$E$5)^2)*0.0098)/Basis!$E$10)</f>
        <v>0</v>
      </c>
      <c r="M34" s="85"/>
      <c r="N34" s="110">
        <v>1.224</v>
      </c>
      <c r="O34" s="74"/>
      <c r="P34" s="73">
        <v>677</v>
      </c>
      <c r="Q34" s="74"/>
      <c r="R34" s="75"/>
      <c r="S34" s="75"/>
      <c r="T34" s="75"/>
      <c r="U34" s="75"/>
      <c r="V34" s="75"/>
      <c r="W34" s="74"/>
      <c r="X34" s="76"/>
      <c r="Y34" s="76"/>
      <c r="Z34" s="76"/>
      <c r="AA34" s="76"/>
      <c r="AB34" s="76"/>
      <c r="AC34" s="74"/>
      <c r="AD34" s="77"/>
      <c r="AE34" s="77"/>
      <c r="AF34" s="77"/>
      <c r="AG34" s="77"/>
      <c r="AH34" s="77"/>
      <c r="AI34" s="68"/>
      <c r="AJ34" s="213"/>
      <c r="AK34" s="213"/>
      <c r="AL34" s="213"/>
      <c r="AM34" s="213"/>
      <c r="AN34" s="74"/>
      <c r="AO34" s="73"/>
      <c r="AP34" s="73"/>
      <c r="AQ34" s="73"/>
      <c r="AR34" s="73"/>
      <c r="AS34" s="73"/>
      <c r="AT34" s="74"/>
      <c r="AU34" s="47"/>
      <c r="AV34" s="48"/>
    </row>
    <row r="35" spans="1:48" ht="12.75" customHeight="1" x14ac:dyDescent="0.25">
      <c r="A35" s="72" t="s">
        <v>883</v>
      </c>
      <c r="B35" s="43" t="s">
        <v>4040</v>
      </c>
      <c r="C35" s="44" t="s">
        <v>3363</v>
      </c>
      <c r="D35" s="45">
        <f>MROUND(MID($C35,6,3)/Basis!$E$3,0.5)</f>
        <v>4.5</v>
      </c>
      <c r="E35" s="45">
        <f>MROUND(MID($C35,9,3)/Basis!$E$3,0.5)</f>
        <v>102.5</v>
      </c>
      <c r="F35" s="229" t="str">
        <f t="shared" si="0"/>
        <v>22</v>
      </c>
      <c r="G35" s="45">
        <f>ROUND(9/Basis!$E$3,1)</f>
        <v>3.5</v>
      </c>
      <c r="H35" s="120">
        <f>ROUND($P35*Basis!$E$2*((TaH-TrH)/LN(1/µ)/Basis!$E$7)^$N35*Glycol,0)</f>
        <v>2704</v>
      </c>
      <c r="I35" s="83">
        <f>ROUND(H35/(MID($C35,9,3)/Basis!$E$3/Basis!$E$9)*Basis!$E$11,0)</f>
        <v>317</v>
      </c>
      <c r="J35" s="123">
        <f>IF(Basis!$E$1=1,ROUND(H35/((TaH-TrH)*1.163)/3600,3),ROUND(H35/(500*(TaH-TrH)),2))</f>
        <v>0.27</v>
      </c>
      <c r="K35" s="84"/>
      <c r="L35" s="177">
        <f>CHOOSE(Basis!$E$1,((AJ35*(J35*3600/Basis!$E$5)^AK35*(((MID(C35,9,3)*10)-144)/1000)*AL35+AM35*(J35*3600/Basis!$E$5)^2)*0.0098)/Basis!$E$10,((AJ35*(J35/Basis!$E$5)^AK35*(((MID(C35,9,3)*10)-144)/1000)*AL35+AM35*(J35/Basis!$E$5)^2)*0.0098)/Basis!$E$10)</f>
        <v>0</v>
      </c>
      <c r="M35" s="85"/>
      <c r="N35" s="109">
        <v>1.206</v>
      </c>
      <c r="O35" s="68"/>
      <c r="P35" s="67">
        <v>1180</v>
      </c>
      <c r="Q35" s="68"/>
      <c r="R35" s="69"/>
      <c r="S35" s="69"/>
      <c r="T35" s="69"/>
      <c r="U35" s="69"/>
      <c r="V35" s="69"/>
      <c r="W35" s="68"/>
      <c r="X35" s="70"/>
      <c r="Y35" s="70"/>
      <c r="Z35" s="70"/>
      <c r="AA35" s="70"/>
      <c r="AB35" s="70"/>
      <c r="AC35" s="68"/>
      <c r="AD35" s="71"/>
      <c r="AE35" s="71"/>
      <c r="AF35" s="71"/>
      <c r="AG35" s="71"/>
      <c r="AH35" s="71"/>
      <c r="AI35" s="68"/>
      <c r="AJ35" s="214"/>
      <c r="AK35" s="214"/>
      <c r="AL35" s="214"/>
      <c r="AM35" s="214"/>
      <c r="AN35" s="68"/>
      <c r="AO35" s="67"/>
      <c r="AP35" s="67"/>
      <c r="AQ35" s="67"/>
      <c r="AR35" s="67"/>
      <c r="AS35" s="67"/>
      <c r="AT35" s="68"/>
      <c r="AU35" s="49"/>
      <c r="AV35" s="50"/>
    </row>
    <row r="36" spans="1:48" ht="12.75" customHeight="1" x14ac:dyDescent="0.25">
      <c r="A36" s="72" t="s">
        <v>883</v>
      </c>
      <c r="B36" s="43" t="s">
        <v>4040</v>
      </c>
      <c r="C36" s="44" t="s">
        <v>3364</v>
      </c>
      <c r="D36" s="45">
        <f>MROUND(MID($C36,6,3)/Basis!$E$3,0.5)</f>
        <v>4.5</v>
      </c>
      <c r="E36" s="45">
        <f>MROUND(MID($C36,9,3)/Basis!$E$3,0.5)</f>
        <v>102.5</v>
      </c>
      <c r="F36" s="229" t="str">
        <f t="shared" si="0"/>
        <v>34</v>
      </c>
      <c r="G36" s="45">
        <f>ROUND(16.9/Basis!$E$3,1)</f>
        <v>6.7</v>
      </c>
      <c r="H36" s="120">
        <f>ROUND($P36*Basis!$E$2*((TaH-TrH)/LN(1/µ)/Basis!$E$7)^$N36*Glycol,0)</f>
        <v>4133</v>
      </c>
      <c r="I36" s="83">
        <f>ROUND(H36/(MID($C36,9,3)/Basis!$E$3/Basis!$E$9)*Basis!$E$11,0)</f>
        <v>485</v>
      </c>
      <c r="J36" s="123">
        <f>IF(Basis!$E$1=1,ROUND(H36/((TaH-TrH)*1.163)/3600,3),ROUND(H36/(500*(TaH-TrH)),2))</f>
        <v>0.41</v>
      </c>
      <c r="K36" s="84"/>
      <c r="L36" s="177">
        <f>CHOOSE(Basis!$E$1,((AJ36*(J36*3600/Basis!$E$5)^AK36*(((MID(C36,9,3)*10)-144)/1000)*AL36+AM36*(J36*3600/Basis!$E$5)^2)*0.0098)/Basis!$E$10,((AJ36*(J36/Basis!$E$5)^AK36*(((MID(C36,9,3)*10)-144)/1000)*AL36+AM36*(J36/Basis!$E$5)^2)*0.0098)/Basis!$E$10)</f>
        <v>0</v>
      </c>
      <c r="M36" s="85"/>
      <c r="N36" s="110">
        <v>1.452</v>
      </c>
      <c r="O36" s="74"/>
      <c r="P36" s="73">
        <v>1956</v>
      </c>
      <c r="Q36" s="74"/>
      <c r="R36" s="75"/>
      <c r="S36" s="75"/>
      <c r="T36" s="75"/>
      <c r="U36" s="75"/>
      <c r="V36" s="75"/>
      <c r="W36" s="74"/>
      <c r="X36" s="76"/>
      <c r="Y36" s="76"/>
      <c r="Z36" s="76"/>
      <c r="AA36" s="76"/>
      <c r="AB36" s="76"/>
      <c r="AC36" s="74"/>
      <c r="AD36" s="77"/>
      <c r="AE36" s="77"/>
      <c r="AF36" s="77"/>
      <c r="AG36" s="77"/>
      <c r="AH36" s="77"/>
      <c r="AI36" s="68"/>
      <c r="AJ36" s="213"/>
      <c r="AK36" s="213"/>
      <c r="AL36" s="213"/>
      <c r="AM36" s="213"/>
      <c r="AN36" s="74"/>
      <c r="AO36" s="73"/>
      <c r="AP36" s="73"/>
      <c r="AQ36" s="73"/>
      <c r="AR36" s="73"/>
      <c r="AS36" s="73"/>
      <c r="AT36" s="74"/>
      <c r="AU36" s="47"/>
      <c r="AV36" s="48"/>
    </row>
    <row r="37" spans="1:48" ht="12.75" customHeight="1" x14ac:dyDescent="0.25">
      <c r="A37" s="72" t="s">
        <v>883</v>
      </c>
      <c r="B37" s="43" t="s">
        <v>4040</v>
      </c>
      <c r="C37" s="44" t="s">
        <v>3365</v>
      </c>
      <c r="D37" s="45">
        <f>MROUND(MID($C37,6,3)/Basis!$E$3,0.5)</f>
        <v>4.5</v>
      </c>
      <c r="E37" s="45">
        <f>MROUND(MID($C37,9,3)/Basis!$E$3,0.5)</f>
        <v>110</v>
      </c>
      <c r="F37" s="229" t="str">
        <f t="shared" si="0"/>
        <v>11</v>
      </c>
      <c r="G37" s="45">
        <f>ROUND(5/Basis!$E$3,1)</f>
        <v>2</v>
      </c>
      <c r="H37" s="120">
        <f>ROUND($P37*Basis!$E$2*((TaH-TrH)/LN(1/µ)/Basis!$E$7)^$N37*Glycol,0)</f>
        <v>1661</v>
      </c>
      <c r="I37" s="83">
        <f>ROUND(H37/(MID($C37,9,3)/Basis!$E$3/Basis!$E$9)*Basis!$E$11,0)</f>
        <v>181</v>
      </c>
      <c r="J37" s="123">
        <f>IF(Basis!$E$1=1,ROUND(H37/((TaH-TrH)*1.163)/3600,3),ROUND(H37/(500*(TaH-TrH)),2))</f>
        <v>0.17</v>
      </c>
      <c r="K37" s="84"/>
      <c r="L37" s="177">
        <f>CHOOSE(Basis!$E$1,((AJ37*(J37*3600/Basis!$E$5)^AK37*(((MID(C37,9,3)*10)-144)/1000)*AL37+AM37*(J37*3600/Basis!$E$5)^2)*0.0098)/Basis!$E$10,((AJ37*(J37/Basis!$E$5)^AK37*(((MID(C37,9,3)*10)-144)/1000)*AL37+AM37*(J37/Basis!$E$5)^2)*0.0098)/Basis!$E$10)</f>
        <v>0</v>
      </c>
      <c r="M37" s="85"/>
      <c r="N37" s="109">
        <v>1.224</v>
      </c>
      <c r="O37" s="68"/>
      <c r="P37" s="67">
        <v>729</v>
      </c>
      <c r="Q37" s="68"/>
      <c r="R37" s="69"/>
      <c r="S37" s="69"/>
      <c r="T37" s="69"/>
      <c r="U37" s="69"/>
      <c r="V37" s="69"/>
      <c r="W37" s="68"/>
      <c r="X37" s="70"/>
      <c r="Y37" s="70"/>
      <c r="Z37" s="70"/>
      <c r="AA37" s="70"/>
      <c r="AB37" s="70"/>
      <c r="AC37" s="68"/>
      <c r="AD37" s="71"/>
      <c r="AE37" s="71"/>
      <c r="AF37" s="71"/>
      <c r="AG37" s="71"/>
      <c r="AH37" s="71"/>
      <c r="AI37" s="68"/>
      <c r="AJ37" s="214"/>
      <c r="AK37" s="214"/>
      <c r="AL37" s="214"/>
      <c r="AM37" s="214"/>
      <c r="AN37" s="68"/>
      <c r="AO37" s="67"/>
      <c r="AP37" s="67"/>
      <c r="AQ37" s="67"/>
      <c r="AR37" s="67"/>
      <c r="AS37" s="67"/>
      <c r="AT37" s="68"/>
      <c r="AU37" s="49"/>
      <c r="AV37" s="50"/>
    </row>
    <row r="38" spans="1:48" ht="12.75" customHeight="1" x14ac:dyDescent="0.25">
      <c r="A38" s="72" t="s">
        <v>883</v>
      </c>
      <c r="B38" s="43" t="s">
        <v>4040</v>
      </c>
      <c r="C38" s="44" t="s">
        <v>3366</v>
      </c>
      <c r="D38" s="45">
        <f>MROUND(MID($C38,6,3)/Basis!$E$3,0.5)</f>
        <v>4.5</v>
      </c>
      <c r="E38" s="45">
        <f>MROUND(MID($C38,9,3)/Basis!$E$3,0.5)</f>
        <v>110</v>
      </c>
      <c r="F38" s="229" t="str">
        <f t="shared" si="0"/>
        <v>22</v>
      </c>
      <c r="G38" s="45">
        <f>ROUND(9/Basis!$E$3,1)</f>
        <v>3.5</v>
      </c>
      <c r="H38" s="120">
        <f>ROUND($P38*Basis!$E$2*((TaH-TrH)/LN(1/µ)/Basis!$E$7)^$N38*Glycol,0)</f>
        <v>2913</v>
      </c>
      <c r="I38" s="83">
        <f>ROUND(H38/(MID($C38,9,3)/Basis!$E$3/Basis!$E$9)*Basis!$E$11,0)</f>
        <v>317</v>
      </c>
      <c r="J38" s="123">
        <f>IF(Basis!$E$1=1,ROUND(H38/((TaH-TrH)*1.163)/3600,3),ROUND(H38/(500*(TaH-TrH)),2))</f>
        <v>0.28999999999999998</v>
      </c>
      <c r="K38" s="84"/>
      <c r="L38" s="177">
        <f>CHOOSE(Basis!$E$1,((AJ38*(J38*3600/Basis!$E$5)^AK38*(((MID(C38,9,3)*10)-144)/1000)*AL38+AM38*(J38*3600/Basis!$E$5)^2)*0.0098)/Basis!$E$10,((AJ38*(J38/Basis!$E$5)^AK38*(((MID(C38,9,3)*10)-144)/1000)*AL38+AM38*(J38/Basis!$E$5)^2)*0.0098)/Basis!$E$10)</f>
        <v>0</v>
      </c>
      <c r="M38" s="85"/>
      <c r="N38" s="110">
        <v>1.206</v>
      </c>
      <c r="O38" s="74"/>
      <c r="P38" s="73">
        <v>1271</v>
      </c>
      <c r="Q38" s="74"/>
      <c r="R38" s="75"/>
      <c r="S38" s="75"/>
      <c r="T38" s="75"/>
      <c r="U38" s="75"/>
      <c r="V38" s="75"/>
      <c r="W38" s="74"/>
      <c r="X38" s="76"/>
      <c r="Y38" s="76"/>
      <c r="Z38" s="76"/>
      <c r="AA38" s="76"/>
      <c r="AB38" s="76"/>
      <c r="AC38" s="74"/>
      <c r="AD38" s="77"/>
      <c r="AE38" s="77"/>
      <c r="AF38" s="77"/>
      <c r="AG38" s="77"/>
      <c r="AH38" s="77"/>
      <c r="AI38" s="68"/>
      <c r="AJ38" s="213"/>
      <c r="AK38" s="213"/>
      <c r="AL38" s="213"/>
      <c r="AM38" s="213"/>
      <c r="AN38" s="74"/>
      <c r="AO38" s="73"/>
      <c r="AP38" s="73"/>
      <c r="AQ38" s="73"/>
      <c r="AR38" s="73"/>
      <c r="AS38" s="73"/>
      <c r="AT38" s="74"/>
      <c r="AU38" s="47"/>
      <c r="AV38" s="48"/>
    </row>
    <row r="39" spans="1:48" ht="12.75" customHeight="1" x14ac:dyDescent="0.25">
      <c r="A39" s="72" t="s">
        <v>883</v>
      </c>
      <c r="B39" s="43" t="s">
        <v>4040</v>
      </c>
      <c r="C39" s="44" t="s">
        <v>3367</v>
      </c>
      <c r="D39" s="45">
        <f>MROUND(MID($C39,6,3)/Basis!$E$3,0.5)</f>
        <v>4.5</v>
      </c>
      <c r="E39" s="45">
        <f>MROUND(MID($C39,9,3)/Basis!$E$3,0.5)</f>
        <v>110</v>
      </c>
      <c r="F39" s="229" t="str">
        <f t="shared" si="0"/>
        <v>34</v>
      </c>
      <c r="G39" s="45">
        <f>ROUND(16.9/Basis!$E$3,1)</f>
        <v>6.7</v>
      </c>
      <c r="H39" s="120">
        <f>ROUND($P39*Basis!$E$2*((TaH-TrH)/LN(1/µ)/Basis!$E$7)^$N39*Glycol,0)</f>
        <v>4450</v>
      </c>
      <c r="I39" s="83">
        <f>ROUND(H39/(MID($C39,9,3)/Basis!$E$3/Basis!$E$9)*Basis!$E$11,0)</f>
        <v>484</v>
      </c>
      <c r="J39" s="123">
        <f>IF(Basis!$E$1=1,ROUND(H39/((TaH-TrH)*1.163)/3600,3),ROUND(H39/(500*(TaH-TrH)),2))</f>
        <v>0.45</v>
      </c>
      <c r="K39" s="84"/>
      <c r="L39" s="177">
        <f>CHOOSE(Basis!$E$1,((AJ39*(J39*3600/Basis!$E$5)^AK39*(((MID(C39,9,3)*10)-144)/1000)*AL39+AM39*(J39*3600/Basis!$E$5)^2)*0.0098)/Basis!$E$10,((AJ39*(J39/Basis!$E$5)^AK39*(((MID(C39,9,3)*10)-144)/1000)*AL39+AM39*(J39/Basis!$E$5)^2)*0.0098)/Basis!$E$10)</f>
        <v>0</v>
      </c>
      <c r="M39" s="85"/>
      <c r="N39" s="109">
        <v>1.452</v>
      </c>
      <c r="O39" s="68"/>
      <c r="P39" s="67">
        <v>2106</v>
      </c>
      <c r="Q39" s="68"/>
      <c r="R39" s="69"/>
      <c r="S39" s="69"/>
      <c r="T39" s="69"/>
      <c r="U39" s="69"/>
      <c r="V39" s="69"/>
      <c r="W39" s="68"/>
      <c r="X39" s="70"/>
      <c r="Y39" s="70"/>
      <c r="Z39" s="70"/>
      <c r="AA39" s="70"/>
      <c r="AB39" s="70"/>
      <c r="AC39" s="68"/>
      <c r="AD39" s="71"/>
      <c r="AE39" s="71"/>
      <c r="AF39" s="71"/>
      <c r="AG39" s="71"/>
      <c r="AH39" s="71"/>
      <c r="AI39" s="68"/>
      <c r="AJ39" s="214"/>
      <c r="AK39" s="214"/>
      <c r="AL39" s="214"/>
      <c r="AM39" s="214"/>
      <c r="AN39" s="68"/>
      <c r="AO39" s="67"/>
      <c r="AP39" s="67"/>
      <c r="AQ39" s="67"/>
      <c r="AR39" s="67"/>
      <c r="AS39" s="67"/>
      <c r="AT39" s="68"/>
      <c r="AU39" s="49"/>
      <c r="AV39" s="50"/>
    </row>
    <row r="40" spans="1:48" ht="12.75" customHeight="1" x14ac:dyDescent="0.25">
      <c r="A40" s="72" t="s">
        <v>883</v>
      </c>
      <c r="B40" s="43" t="s">
        <v>4040</v>
      </c>
      <c r="C40" s="44" t="s">
        <v>3368</v>
      </c>
      <c r="D40" s="45">
        <f>MROUND(MID($C40,6,3)/Basis!$E$3,0.5)</f>
        <v>4.5</v>
      </c>
      <c r="E40" s="45">
        <f>MROUND(MID($C40,9,3)/Basis!$E$3,0.5)</f>
        <v>118</v>
      </c>
      <c r="F40" s="229" t="str">
        <f t="shared" si="0"/>
        <v>11</v>
      </c>
      <c r="G40" s="45">
        <f>ROUND(5/Basis!$E$3,1)</f>
        <v>2</v>
      </c>
      <c r="H40" s="120">
        <f>ROUND($P40*Basis!$E$2*((TaH-TrH)/LN(1/µ)/Basis!$E$7)^$N40*Glycol,0)</f>
        <v>1782</v>
      </c>
      <c r="I40" s="83">
        <f>ROUND(H40/(MID($C40,9,3)/Basis!$E$3/Basis!$E$9)*Basis!$E$11,0)</f>
        <v>181</v>
      </c>
      <c r="J40" s="123">
        <f>IF(Basis!$E$1=1,ROUND(H40/((TaH-TrH)*1.163)/3600,3),ROUND(H40/(500*(TaH-TrH)),2))</f>
        <v>0.18</v>
      </c>
      <c r="K40" s="84"/>
      <c r="L40" s="177">
        <f>CHOOSE(Basis!$E$1,((AJ40*(J40*3600/Basis!$E$5)^AK40*(((MID(C40,9,3)*10)-144)/1000)*AL40+AM40*(J40*3600/Basis!$E$5)^2)*0.0098)/Basis!$E$10,((AJ40*(J40/Basis!$E$5)^AK40*(((MID(C40,9,3)*10)-144)/1000)*AL40+AM40*(J40/Basis!$E$5)^2)*0.0098)/Basis!$E$10)</f>
        <v>0</v>
      </c>
      <c r="M40" s="85"/>
      <c r="N40" s="110">
        <v>1.224</v>
      </c>
      <c r="O40" s="74"/>
      <c r="P40" s="73">
        <v>782</v>
      </c>
      <c r="Q40" s="74"/>
      <c r="R40" s="75"/>
      <c r="S40" s="75"/>
      <c r="T40" s="75"/>
      <c r="U40" s="75"/>
      <c r="V40" s="75"/>
      <c r="W40" s="74"/>
      <c r="X40" s="76"/>
      <c r="Y40" s="76"/>
      <c r="Z40" s="76"/>
      <c r="AA40" s="76"/>
      <c r="AB40" s="76"/>
      <c r="AC40" s="74"/>
      <c r="AD40" s="77"/>
      <c r="AE40" s="77"/>
      <c r="AF40" s="77"/>
      <c r="AG40" s="77"/>
      <c r="AH40" s="77"/>
      <c r="AI40" s="68"/>
      <c r="AJ40" s="213"/>
      <c r="AK40" s="213"/>
      <c r="AL40" s="213"/>
      <c r="AM40" s="213"/>
      <c r="AN40" s="74"/>
      <c r="AO40" s="73"/>
      <c r="AP40" s="73"/>
      <c r="AQ40" s="73"/>
      <c r="AR40" s="73"/>
      <c r="AS40" s="73"/>
      <c r="AT40" s="74"/>
      <c r="AU40" s="47"/>
      <c r="AV40" s="48"/>
    </row>
    <row r="41" spans="1:48" ht="12.75" customHeight="1" x14ac:dyDescent="0.25">
      <c r="A41" s="72" t="s">
        <v>883</v>
      </c>
      <c r="B41" s="43" t="s">
        <v>4040</v>
      </c>
      <c r="C41" s="44" t="s">
        <v>3369</v>
      </c>
      <c r="D41" s="45">
        <f>MROUND(MID($C41,6,3)/Basis!$E$3,0.5)</f>
        <v>4.5</v>
      </c>
      <c r="E41" s="45">
        <f>MROUND(MID($C41,9,3)/Basis!$E$3,0.5)</f>
        <v>118</v>
      </c>
      <c r="F41" s="229" t="str">
        <f t="shared" si="0"/>
        <v>22</v>
      </c>
      <c r="G41" s="45">
        <f>ROUND(9/Basis!$E$3,1)</f>
        <v>3.5</v>
      </c>
      <c r="H41" s="120">
        <f>ROUND($P41*Basis!$E$2*((TaH-TrH)/LN(1/µ)/Basis!$E$7)^$N41*Glycol,0)</f>
        <v>3119</v>
      </c>
      <c r="I41" s="83">
        <f>ROUND(H41/(MID($C41,9,3)/Basis!$E$3/Basis!$E$9)*Basis!$E$11,0)</f>
        <v>317</v>
      </c>
      <c r="J41" s="123">
        <f>IF(Basis!$E$1=1,ROUND(H41/((TaH-TrH)*1.163)/3600,3),ROUND(H41/(500*(TaH-TrH)),2))</f>
        <v>0.31</v>
      </c>
      <c r="K41" s="84"/>
      <c r="L41" s="177">
        <f>CHOOSE(Basis!$E$1,((AJ41*(J41*3600/Basis!$E$5)^AK41*(((MID(C41,9,3)*10)-144)/1000)*AL41+AM41*(J41*3600/Basis!$E$5)^2)*0.0098)/Basis!$E$10,((AJ41*(J41/Basis!$E$5)^AK41*(((MID(C41,9,3)*10)-144)/1000)*AL41+AM41*(J41/Basis!$E$5)^2)*0.0098)/Basis!$E$10)</f>
        <v>0</v>
      </c>
      <c r="M41" s="85"/>
      <c r="N41" s="109">
        <v>1.206</v>
      </c>
      <c r="O41" s="68"/>
      <c r="P41" s="67">
        <v>1361</v>
      </c>
      <c r="Q41" s="68"/>
      <c r="R41" s="69"/>
      <c r="S41" s="69"/>
      <c r="T41" s="69"/>
      <c r="U41" s="69"/>
      <c r="V41" s="69"/>
      <c r="W41" s="68"/>
      <c r="X41" s="70"/>
      <c r="Y41" s="70"/>
      <c r="Z41" s="70"/>
      <c r="AA41" s="70"/>
      <c r="AB41" s="70"/>
      <c r="AC41" s="68"/>
      <c r="AD41" s="71"/>
      <c r="AE41" s="71"/>
      <c r="AF41" s="71"/>
      <c r="AG41" s="71"/>
      <c r="AH41" s="71"/>
      <c r="AI41" s="68"/>
      <c r="AJ41" s="214"/>
      <c r="AK41" s="214"/>
      <c r="AL41" s="214"/>
      <c r="AM41" s="214"/>
      <c r="AN41" s="68"/>
      <c r="AO41" s="67"/>
      <c r="AP41" s="67"/>
      <c r="AQ41" s="67"/>
      <c r="AR41" s="67"/>
      <c r="AS41" s="67"/>
      <c r="AT41" s="68"/>
      <c r="AU41" s="49"/>
      <c r="AV41" s="50"/>
    </row>
    <row r="42" spans="1:48" ht="12.75" customHeight="1" x14ac:dyDescent="0.25">
      <c r="A42" s="72" t="s">
        <v>883</v>
      </c>
      <c r="B42" s="43" t="s">
        <v>4040</v>
      </c>
      <c r="C42" s="44" t="s">
        <v>3370</v>
      </c>
      <c r="D42" s="45">
        <f>MROUND(MID($C42,6,3)/Basis!$E$3,0.5)</f>
        <v>4.5</v>
      </c>
      <c r="E42" s="45">
        <f>MROUND(MID($C42,9,3)/Basis!$E$3,0.5)</f>
        <v>118</v>
      </c>
      <c r="F42" s="229" t="str">
        <f t="shared" si="0"/>
        <v>34</v>
      </c>
      <c r="G42" s="45">
        <f>ROUND(16.9/Basis!$E$3,1)</f>
        <v>6.7</v>
      </c>
      <c r="H42" s="120">
        <f>ROUND($P42*Basis!$E$2*((TaH-TrH)/LN(1/µ)/Basis!$E$7)^$N42*Glycol,0)</f>
        <v>4769</v>
      </c>
      <c r="I42" s="83">
        <f>ROUND(H42/(MID($C42,9,3)/Basis!$E$3/Basis!$E$9)*Basis!$E$11,0)</f>
        <v>485</v>
      </c>
      <c r="J42" s="123">
        <f>IF(Basis!$E$1=1,ROUND(H42/((TaH-TrH)*1.163)/3600,3),ROUND(H42/(500*(TaH-TrH)),2))</f>
        <v>0.48</v>
      </c>
      <c r="K42" s="84"/>
      <c r="L42" s="177">
        <f>CHOOSE(Basis!$E$1,((AJ42*(J42*3600/Basis!$E$5)^AK42*(((MID(C42,9,3)*10)-144)/1000)*AL42+AM42*(J42*3600/Basis!$E$5)^2)*0.0098)/Basis!$E$10,((AJ42*(J42/Basis!$E$5)^AK42*(((MID(C42,9,3)*10)-144)/1000)*AL42+AM42*(J42/Basis!$E$5)^2)*0.0098)/Basis!$E$10)</f>
        <v>0</v>
      </c>
      <c r="M42" s="85"/>
      <c r="N42" s="110">
        <v>1.452</v>
      </c>
      <c r="O42" s="74"/>
      <c r="P42" s="73">
        <v>2257</v>
      </c>
      <c r="Q42" s="74"/>
      <c r="R42" s="75"/>
      <c r="S42" s="75"/>
      <c r="T42" s="75"/>
      <c r="U42" s="75"/>
      <c r="V42" s="75"/>
      <c r="W42" s="74"/>
      <c r="X42" s="76"/>
      <c r="Y42" s="76"/>
      <c r="Z42" s="76"/>
      <c r="AA42" s="76"/>
      <c r="AB42" s="76"/>
      <c r="AC42" s="74"/>
      <c r="AD42" s="77"/>
      <c r="AE42" s="77"/>
      <c r="AF42" s="77"/>
      <c r="AG42" s="77"/>
      <c r="AH42" s="77"/>
      <c r="AI42" s="68"/>
      <c r="AJ42" s="213"/>
      <c r="AK42" s="213"/>
      <c r="AL42" s="213"/>
      <c r="AM42" s="213"/>
      <c r="AN42" s="74"/>
      <c r="AO42" s="73"/>
      <c r="AP42" s="73"/>
      <c r="AQ42" s="73"/>
      <c r="AR42" s="73"/>
      <c r="AS42" s="73"/>
      <c r="AT42" s="74"/>
      <c r="AU42" s="47"/>
      <c r="AV42" s="48"/>
    </row>
    <row r="43" spans="1:48" ht="12.75" customHeight="1" x14ac:dyDescent="0.25">
      <c r="A43" s="72" t="s">
        <v>883</v>
      </c>
      <c r="B43" s="43" t="s">
        <v>4040</v>
      </c>
      <c r="C43" s="44" t="s">
        <v>3371</v>
      </c>
      <c r="D43" s="45">
        <f>MROUND(MID($C43,6,3)/Basis!$E$3,0.5)</f>
        <v>4.5</v>
      </c>
      <c r="E43" s="45">
        <f>MROUND(MID($C43,9,3)/Basis!$E$3,0.5)</f>
        <v>126</v>
      </c>
      <c r="F43" s="229" t="str">
        <f t="shared" si="0"/>
        <v>11</v>
      </c>
      <c r="G43" s="45">
        <f>ROUND(5/Basis!$E$3,1)</f>
        <v>2</v>
      </c>
      <c r="H43" s="120">
        <f>ROUND($P43*Basis!$E$2*((TaH-TrH)/LN(1/µ)/Basis!$E$7)^$N43*Glycol,0)</f>
        <v>1900</v>
      </c>
      <c r="I43" s="83">
        <f>ROUND(H43/(MID($C43,9,3)/Basis!$E$3/Basis!$E$9)*Basis!$E$11,0)</f>
        <v>181</v>
      </c>
      <c r="J43" s="123">
        <f>IF(Basis!$E$1=1,ROUND(H43/((TaH-TrH)*1.163)/3600,3),ROUND(H43/(500*(TaH-TrH)),2))</f>
        <v>0.19</v>
      </c>
      <c r="K43" s="84"/>
      <c r="L43" s="177">
        <f>CHOOSE(Basis!$E$1,((AJ43*(J43*3600/Basis!$E$5)^AK43*(((MID(C43,9,3)*10)-144)/1000)*AL43+AM43*(J43*3600/Basis!$E$5)^2)*0.0098)/Basis!$E$10,((AJ43*(J43/Basis!$E$5)^AK43*(((MID(C43,9,3)*10)-144)/1000)*AL43+AM43*(J43/Basis!$E$5)^2)*0.0098)/Basis!$E$10)</f>
        <v>0</v>
      </c>
      <c r="M43" s="85"/>
      <c r="N43" s="109">
        <v>1.224</v>
      </c>
      <c r="O43" s="68"/>
      <c r="P43" s="67">
        <v>834</v>
      </c>
      <c r="Q43" s="68"/>
      <c r="R43" s="69"/>
      <c r="S43" s="69"/>
      <c r="T43" s="69"/>
      <c r="U43" s="69"/>
      <c r="V43" s="69"/>
      <c r="W43" s="68"/>
      <c r="X43" s="70"/>
      <c r="Y43" s="70"/>
      <c r="Z43" s="70"/>
      <c r="AA43" s="70"/>
      <c r="AB43" s="70"/>
      <c r="AC43" s="68"/>
      <c r="AD43" s="71"/>
      <c r="AE43" s="71"/>
      <c r="AF43" s="71"/>
      <c r="AG43" s="71"/>
      <c r="AH43" s="71"/>
      <c r="AI43" s="68"/>
      <c r="AJ43" s="214"/>
      <c r="AK43" s="214"/>
      <c r="AL43" s="214"/>
      <c r="AM43" s="214"/>
      <c r="AN43" s="68"/>
      <c r="AO43" s="67"/>
      <c r="AP43" s="67"/>
      <c r="AQ43" s="67"/>
      <c r="AR43" s="67"/>
      <c r="AS43" s="67"/>
      <c r="AT43" s="68"/>
      <c r="AU43" s="49"/>
      <c r="AV43" s="50"/>
    </row>
    <row r="44" spans="1:48" ht="12.75" customHeight="1" x14ac:dyDescent="0.25">
      <c r="A44" s="72" t="s">
        <v>883</v>
      </c>
      <c r="B44" s="43" t="s">
        <v>4040</v>
      </c>
      <c r="C44" s="44" t="s">
        <v>3372</v>
      </c>
      <c r="D44" s="45">
        <f>MROUND(MID($C44,6,3)/Basis!$E$3,0.5)</f>
        <v>4.5</v>
      </c>
      <c r="E44" s="45">
        <f>MROUND(MID($C44,9,3)/Basis!$E$3,0.5)</f>
        <v>126</v>
      </c>
      <c r="F44" s="229" t="str">
        <f t="shared" si="0"/>
        <v>22</v>
      </c>
      <c r="G44" s="45">
        <f>ROUND(9/Basis!$E$3,1)</f>
        <v>3.5</v>
      </c>
      <c r="H44" s="120">
        <f>ROUND($P44*Basis!$E$2*((TaH-TrH)/LN(1/µ)/Basis!$E$7)^$N44*Glycol,0)</f>
        <v>3328</v>
      </c>
      <c r="I44" s="83">
        <f>ROUND(H44/(MID($C44,9,3)/Basis!$E$3/Basis!$E$9)*Basis!$E$11,0)</f>
        <v>317</v>
      </c>
      <c r="J44" s="123">
        <f>IF(Basis!$E$1=1,ROUND(H44/((TaH-TrH)*1.163)/3600,3),ROUND(H44/(500*(TaH-TrH)),2))</f>
        <v>0.33</v>
      </c>
      <c r="K44" s="84"/>
      <c r="L44" s="177">
        <f>CHOOSE(Basis!$E$1,((AJ44*(J44*3600/Basis!$E$5)^AK44*(((MID(C44,9,3)*10)-144)/1000)*AL44+AM44*(J44*3600/Basis!$E$5)^2)*0.0098)/Basis!$E$10,((AJ44*(J44/Basis!$E$5)^AK44*(((MID(C44,9,3)*10)-144)/1000)*AL44+AM44*(J44/Basis!$E$5)^2)*0.0098)/Basis!$E$10)</f>
        <v>0</v>
      </c>
      <c r="M44" s="85"/>
      <c r="N44" s="110">
        <v>1.206</v>
      </c>
      <c r="O44" s="74"/>
      <c r="P44" s="73">
        <v>1452</v>
      </c>
      <c r="Q44" s="74"/>
      <c r="R44" s="75"/>
      <c r="S44" s="75"/>
      <c r="T44" s="75"/>
      <c r="U44" s="75"/>
      <c r="V44" s="75"/>
      <c r="W44" s="74"/>
      <c r="X44" s="76"/>
      <c r="Y44" s="76"/>
      <c r="Z44" s="76"/>
      <c r="AA44" s="76"/>
      <c r="AB44" s="76"/>
      <c r="AC44" s="74"/>
      <c r="AD44" s="77"/>
      <c r="AE44" s="77"/>
      <c r="AF44" s="77"/>
      <c r="AG44" s="77"/>
      <c r="AH44" s="77"/>
      <c r="AI44" s="68"/>
      <c r="AJ44" s="213"/>
      <c r="AK44" s="213"/>
      <c r="AL44" s="213"/>
      <c r="AM44" s="213"/>
      <c r="AN44" s="74"/>
      <c r="AO44" s="73"/>
      <c r="AP44" s="73"/>
      <c r="AQ44" s="73"/>
      <c r="AR44" s="73"/>
      <c r="AS44" s="73"/>
      <c r="AT44" s="74"/>
      <c r="AU44" s="47"/>
      <c r="AV44" s="48"/>
    </row>
    <row r="45" spans="1:48" ht="12.75" customHeight="1" x14ac:dyDescent="0.25">
      <c r="A45" s="72" t="s">
        <v>883</v>
      </c>
      <c r="B45" s="43" t="s">
        <v>4040</v>
      </c>
      <c r="C45" s="44" t="s">
        <v>3373</v>
      </c>
      <c r="D45" s="45">
        <f>MROUND(MID($C45,6,3)/Basis!$E$3,0.5)</f>
        <v>4.5</v>
      </c>
      <c r="E45" s="45">
        <f>MROUND(MID($C45,9,3)/Basis!$E$3,0.5)</f>
        <v>126</v>
      </c>
      <c r="F45" s="229" t="str">
        <f t="shared" si="0"/>
        <v>34</v>
      </c>
      <c r="G45" s="45">
        <f>ROUND(16.9/Basis!$E$3,1)</f>
        <v>6.7</v>
      </c>
      <c r="H45" s="120">
        <f>ROUND($P45*Basis!$E$2*((TaH-TrH)/LN(1/µ)/Basis!$E$7)^$N45*Glycol,0)</f>
        <v>5086</v>
      </c>
      <c r="I45" s="83">
        <f>ROUND(H45/(MID($C45,9,3)/Basis!$E$3/Basis!$E$9)*Basis!$E$11,0)</f>
        <v>484</v>
      </c>
      <c r="J45" s="123">
        <f>IF(Basis!$E$1=1,ROUND(H45/((TaH-TrH)*1.163)/3600,3),ROUND(H45/(500*(TaH-TrH)),2))</f>
        <v>0.51</v>
      </c>
      <c r="K45" s="84"/>
      <c r="L45" s="177">
        <f>CHOOSE(Basis!$E$1,((AJ45*(J45*3600/Basis!$E$5)^AK45*(((MID(C45,9,3)*10)-144)/1000)*AL45+AM45*(J45*3600/Basis!$E$5)^2)*0.0098)/Basis!$E$10,((AJ45*(J45/Basis!$E$5)^AK45*(((MID(C45,9,3)*10)-144)/1000)*AL45+AM45*(J45/Basis!$E$5)^2)*0.0098)/Basis!$E$10)</f>
        <v>0</v>
      </c>
      <c r="M45" s="85"/>
      <c r="N45" s="109">
        <v>1.452</v>
      </c>
      <c r="O45" s="68"/>
      <c r="P45" s="67">
        <v>2407</v>
      </c>
      <c r="Q45" s="68"/>
      <c r="R45" s="69"/>
      <c r="S45" s="69"/>
      <c r="T45" s="69"/>
      <c r="U45" s="69"/>
      <c r="V45" s="69"/>
      <c r="W45" s="68"/>
      <c r="X45" s="70"/>
      <c r="Y45" s="70"/>
      <c r="Z45" s="70"/>
      <c r="AA45" s="70"/>
      <c r="AB45" s="70"/>
      <c r="AC45" s="68"/>
      <c r="AD45" s="71"/>
      <c r="AE45" s="71"/>
      <c r="AF45" s="71"/>
      <c r="AG45" s="71"/>
      <c r="AH45" s="71"/>
      <c r="AI45" s="68"/>
      <c r="AJ45" s="214"/>
      <c r="AK45" s="214"/>
      <c r="AL45" s="214"/>
      <c r="AM45" s="214"/>
      <c r="AN45" s="68"/>
      <c r="AO45" s="67"/>
      <c r="AP45" s="67"/>
      <c r="AQ45" s="67"/>
      <c r="AR45" s="67"/>
      <c r="AS45" s="67"/>
      <c r="AT45" s="68"/>
      <c r="AU45" s="49"/>
      <c r="AV45" s="50"/>
    </row>
    <row r="46" spans="1:48" ht="12.75" customHeight="1" x14ac:dyDescent="0.25">
      <c r="A46" s="72" t="s">
        <v>883</v>
      </c>
      <c r="B46" s="43" t="s">
        <v>4040</v>
      </c>
      <c r="C46" s="44" t="s">
        <v>3374</v>
      </c>
      <c r="D46" s="45">
        <f>MROUND(MID($C46,6,3)/Basis!$E$3,0.5)</f>
        <v>4.5</v>
      </c>
      <c r="E46" s="45">
        <f>MROUND(MID($C46,9,3)/Basis!$E$3,0.5)</f>
        <v>134</v>
      </c>
      <c r="F46" s="229" t="str">
        <f t="shared" si="0"/>
        <v>11</v>
      </c>
      <c r="G46" s="45">
        <f>ROUND(5/Basis!$E$3,1)</f>
        <v>2</v>
      </c>
      <c r="H46" s="120">
        <f>ROUND($P46*Basis!$E$2*((TaH-TrH)/LN(1/µ)/Basis!$E$7)^$N46*Glycol,0)</f>
        <v>2018</v>
      </c>
      <c r="I46" s="83">
        <f>ROUND(H46/(MID($C46,9,3)/Basis!$E$3/Basis!$E$9)*Basis!$E$11,0)</f>
        <v>181</v>
      </c>
      <c r="J46" s="123">
        <f>IF(Basis!$E$1=1,ROUND(H46/((TaH-TrH)*1.163)/3600,3),ROUND(H46/(500*(TaH-TrH)),2))</f>
        <v>0.2</v>
      </c>
      <c r="K46" s="84"/>
      <c r="L46" s="177">
        <f>CHOOSE(Basis!$E$1,((AJ46*(J46*3600/Basis!$E$5)^AK46*(((MID(C46,9,3)*10)-144)/1000)*AL46+AM46*(J46*3600/Basis!$E$5)^2)*0.0098)/Basis!$E$10,((AJ46*(J46/Basis!$E$5)^AK46*(((MID(C46,9,3)*10)-144)/1000)*AL46+AM46*(J46/Basis!$E$5)^2)*0.0098)/Basis!$E$10)</f>
        <v>0</v>
      </c>
      <c r="M46" s="85"/>
      <c r="N46" s="110">
        <v>1.224</v>
      </c>
      <c r="O46" s="74"/>
      <c r="P46" s="73">
        <v>886</v>
      </c>
      <c r="Q46" s="74"/>
      <c r="R46" s="75"/>
      <c r="S46" s="75"/>
      <c r="T46" s="75"/>
      <c r="U46" s="75"/>
      <c r="V46" s="75"/>
      <c r="W46" s="74"/>
      <c r="X46" s="76"/>
      <c r="Y46" s="76"/>
      <c r="Z46" s="76"/>
      <c r="AA46" s="76"/>
      <c r="AB46" s="76"/>
      <c r="AC46" s="74"/>
      <c r="AD46" s="77"/>
      <c r="AE46" s="77"/>
      <c r="AF46" s="77"/>
      <c r="AG46" s="77"/>
      <c r="AH46" s="77"/>
      <c r="AI46" s="68"/>
      <c r="AJ46" s="213"/>
      <c r="AK46" s="213"/>
      <c r="AL46" s="213"/>
      <c r="AM46" s="213"/>
      <c r="AN46" s="74"/>
      <c r="AO46" s="73"/>
      <c r="AP46" s="73"/>
      <c r="AQ46" s="73"/>
      <c r="AR46" s="73"/>
      <c r="AS46" s="73"/>
      <c r="AT46" s="74"/>
      <c r="AU46" s="47"/>
      <c r="AV46" s="48"/>
    </row>
    <row r="47" spans="1:48" ht="12.75" customHeight="1" x14ac:dyDescent="0.25">
      <c r="A47" s="72" t="s">
        <v>883</v>
      </c>
      <c r="B47" s="43" t="s">
        <v>4040</v>
      </c>
      <c r="C47" s="44" t="s">
        <v>3375</v>
      </c>
      <c r="D47" s="45">
        <f>MROUND(MID($C47,6,3)/Basis!$E$3,0.5)</f>
        <v>4.5</v>
      </c>
      <c r="E47" s="45">
        <f>MROUND(MID($C47,9,3)/Basis!$E$3,0.5)</f>
        <v>134</v>
      </c>
      <c r="F47" s="229" t="str">
        <f t="shared" si="0"/>
        <v>22</v>
      </c>
      <c r="G47" s="45">
        <f>ROUND(9/Basis!$E$3,1)</f>
        <v>3.5</v>
      </c>
      <c r="H47" s="120">
        <f>ROUND($P47*Basis!$E$2*((TaH-TrH)/LN(1/µ)/Basis!$E$7)^$N47*Glycol,0)</f>
        <v>3536</v>
      </c>
      <c r="I47" s="83">
        <f>ROUND(H47/(MID($C47,9,3)/Basis!$E$3/Basis!$E$9)*Basis!$E$11,0)</f>
        <v>317</v>
      </c>
      <c r="J47" s="123">
        <f>IF(Basis!$E$1=1,ROUND(H47/((TaH-TrH)*1.163)/3600,3),ROUND(H47/(500*(TaH-TrH)),2))</f>
        <v>0.35</v>
      </c>
      <c r="K47" s="84"/>
      <c r="L47" s="177">
        <f>CHOOSE(Basis!$E$1,((AJ47*(J47*3600/Basis!$E$5)^AK47*(((MID(C47,9,3)*10)-144)/1000)*AL47+AM47*(J47*3600/Basis!$E$5)^2)*0.0098)/Basis!$E$10,((AJ47*(J47/Basis!$E$5)^AK47*(((MID(C47,9,3)*10)-144)/1000)*AL47+AM47*(J47/Basis!$E$5)^2)*0.0098)/Basis!$E$10)</f>
        <v>0</v>
      </c>
      <c r="M47" s="85"/>
      <c r="N47" s="109">
        <v>1.206</v>
      </c>
      <c r="O47" s="68"/>
      <c r="P47" s="67">
        <v>1543</v>
      </c>
      <c r="Q47" s="68"/>
      <c r="R47" s="69"/>
      <c r="S47" s="69"/>
      <c r="T47" s="69"/>
      <c r="U47" s="69"/>
      <c r="V47" s="69"/>
      <c r="W47" s="68"/>
      <c r="X47" s="70"/>
      <c r="Y47" s="70"/>
      <c r="Z47" s="70"/>
      <c r="AA47" s="70"/>
      <c r="AB47" s="70"/>
      <c r="AC47" s="68"/>
      <c r="AD47" s="71"/>
      <c r="AE47" s="71"/>
      <c r="AF47" s="71"/>
      <c r="AG47" s="71"/>
      <c r="AH47" s="71"/>
      <c r="AI47" s="68"/>
      <c r="AJ47" s="214"/>
      <c r="AK47" s="214"/>
      <c r="AL47" s="214"/>
      <c r="AM47" s="214"/>
      <c r="AN47" s="68"/>
      <c r="AO47" s="67"/>
      <c r="AP47" s="67"/>
      <c r="AQ47" s="67"/>
      <c r="AR47" s="67"/>
      <c r="AS47" s="67"/>
      <c r="AT47" s="68"/>
      <c r="AU47" s="49"/>
      <c r="AV47" s="50"/>
    </row>
    <row r="48" spans="1:48" ht="12.75" customHeight="1" x14ac:dyDescent="0.25">
      <c r="A48" s="72" t="s">
        <v>883</v>
      </c>
      <c r="B48" s="43" t="s">
        <v>4040</v>
      </c>
      <c r="C48" s="44" t="s">
        <v>3376</v>
      </c>
      <c r="D48" s="45">
        <f>MROUND(MID($C48,6,3)/Basis!$E$3,0.5)</f>
        <v>4.5</v>
      </c>
      <c r="E48" s="45">
        <f>MROUND(MID($C48,9,3)/Basis!$E$3,0.5)</f>
        <v>134</v>
      </c>
      <c r="F48" s="229" t="str">
        <f t="shared" si="0"/>
        <v>34</v>
      </c>
      <c r="G48" s="45">
        <f>ROUND(16.9/Basis!$E$3,1)</f>
        <v>6.7</v>
      </c>
      <c r="H48" s="120">
        <f>ROUND($P48*Basis!$E$2*((TaH-TrH)/LN(1/µ)/Basis!$E$7)^$N48*Glycol,0)</f>
        <v>5405</v>
      </c>
      <c r="I48" s="83">
        <f>ROUND(H48/(MID($C48,9,3)/Basis!$E$3/Basis!$E$9)*Basis!$E$11,0)</f>
        <v>485</v>
      </c>
      <c r="J48" s="123">
        <f>IF(Basis!$E$1=1,ROUND(H48/((TaH-TrH)*1.163)/3600,3),ROUND(H48/(500*(TaH-TrH)),2))</f>
        <v>0.54</v>
      </c>
      <c r="K48" s="84"/>
      <c r="L48" s="177">
        <f>CHOOSE(Basis!$E$1,((AJ48*(J48*3600/Basis!$E$5)^AK48*(((MID(C48,9,3)*10)-144)/1000)*AL48+AM48*(J48*3600/Basis!$E$5)^2)*0.0098)/Basis!$E$10,((AJ48*(J48/Basis!$E$5)^AK48*(((MID(C48,9,3)*10)-144)/1000)*AL48+AM48*(J48/Basis!$E$5)^2)*0.0098)/Basis!$E$10)</f>
        <v>0</v>
      </c>
      <c r="M48" s="85"/>
      <c r="N48" s="110">
        <v>1.452</v>
      </c>
      <c r="O48" s="74"/>
      <c r="P48" s="73">
        <v>2558</v>
      </c>
      <c r="Q48" s="74"/>
      <c r="R48" s="75"/>
      <c r="S48" s="75"/>
      <c r="T48" s="75"/>
      <c r="U48" s="75"/>
      <c r="V48" s="75"/>
      <c r="W48" s="74"/>
      <c r="X48" s="76"/>
      <c r="Y48" s="76"/>
      <c r="Z48" s="76"/>
      <c r="AA48" s="76"/>
      <c r="AB48" s="76"/>
      <c r="AC48" s="74"/>
      <c r="AD48" s="77"/>
      <c r="AE48" s="77"/>
      <c r="AF48" s="77"/>
      <c r="AG48" s="77"/>
      <c r="AH48" s="77"/>
      <c r="AI48" s="68"/>
      <c r="AJ48" s="213"/>
      <c r="AK48" s="213"/>
      <c r="AL48" s="213"/>
      <c r="AM48" s="213"/>
      <c r="AN48" s="74"/>
      <c r="AO48" s="73"/>
      <c r="AP48" s="73"/>
      <c r="AQ48" s="73"/>
      <c r="AR48" s="73"/>
      <c r="AS48" s="73"/>
      <c r="AT48" s="74"/>
      <c r="AU48" s="47"/>
      <c r="AV48" s="48"/>
    </row>
    <row r="49" spans="1:48" ht="12.75" customHeight="1" x14ac:dyDescent="0.25">
      <c r="A49" s="72" t="s">
        <v>883</v>
      </c>
      <c r="B49" s="43" t="s">
        <v>4040</v>
      </c>
      <c r="C49" s="44" t="s">
        <v>3377</v>
      </c>
      <c r="D49" s="45">
        <f>MROUND(MID($C49,6,3)/Basis!$E$3,0.5)</f>
        <v>4.5</v>
      </c>
      <c r="E49" s="45">
        <f>MROUND(MID($C49,9,3)/Basis!$E$3,0.5)</f>
        <v>141.5</v>
      </c>
      <c r="F49" s="229" t="str">
        <f t="shared" si="0"/>
        <v>11</v>
      </c>
      <c r="G49" s="45">
        <f>ROUND(5/Basis!$E$3,1)</f>
        <v>2</v>
      </c>
      <c r="H49" s="120">
        <f>ROUND($P49*Basis!$E$2*((TaH-TrH)/LN(1/µ)/Basis!$E$7)^$N49*Glycol,0)</f>
        <v>2137</v>
      </c>
      <c r="I49" s="83">
        <f>ROUND(H49/(MID($C49,9,3)/Basis!$E$3/Basis!$E$9)*Basis!$E$11,0)</f>
        <v>181</v>
      </c>
      <c r="J49" s="123">
        <f>IF(Basis!$E$1=1,ROUND(H49/((TaH-TrH)*1.163)/3600,3),ROUND(H49/(500*(TaH-TrH)),2))</f>
        <v>0.21</v>
      </c>
      <c r="K49" s="84"/>
      <c r="L49" s="177">
        <f>CHOOSE(Basis!$E$1,((AJ49*(J49*3600/Basis!$E$5)^AK49*(((MID(C49,9,3)*10)-144)/1000)*AL49+AM49*(J49*3600/Basis!$E$5)^2)*0.0098)/Basis!$E$10,((AJ49*(J49/Basis!$E$5)^AK49*(((MID(C49,9,3)*10)-144)/1000)*AL49+AM49*(J49/Basis!$E$5)^2)*0.0098)/Basis!$E$10)</f>
        <v>0</v>
      </c>
      <c r="M49" s="85"/>
      <c r="N49" s="109">
        <v>1.224</v>
      </c>
      <c r="O49" s="68"/>
      <c r="P49" s="67">
        <v>938</v>
      </c>
      <c r="Q49" s="68"/>
      <c r="R49" s="69"/>
      <c r="S49" s="69"/>
      <c r="T49" s="69"/>
      <c r="U49" s="69"/>
      <c r="V49" s="69"/>
      <c r="W49" s="68"/>
      <c r="X49" s="70"/>
      <c r="Y49" s="70"/>
      <c r="Z49" s="70"/>
      <c r="AA49" s="70"/>
      <c r="AB49" s="70"/>
      <c r="AC49" s="68"/>
      <c r="AD49" s="71"/>
      <c r="AE49" s="71"/>
      <c r="AF49" s="71"/>
      <c r="AG49" s="71"/>
      <c r="AH49" s="71"/>
      <c r="AI49" s="68"/>
      <c r="AJ49" s="214"/>
      <c r="AK49" s="214"/>
      <c r="AL49" s="214"/>
      <c r="AM49" s="214"/>
      <c r="AN49" s="68"/>
      <c r="AO49" s="67"/>
      <c r="AP49" s="67"/>
      <c r="AQ49" s="67"/>
      <c r="AR49" s="67"/>
      <c r="AS49" s="67"/>
      <c r="AT49" s="68"/>
      <c r="AU49" s="49"/>
      <c r="AV49" s="50"/>
    </row>
    <row r="50" spans="1:48" ht="12.75" customHeight="1" x14ac:dyDescent="0.25">
      <c r="A50" s="72" t="s">
        <v>883</v>
      </c>
      <c r="B50" s="43" t="s">
        <v>4040</v>
      </c>
      <c r="C50" s="44" t="s">
        <v>3378</v>
      </c>
      <c r="D50" s="45">
        <f>MROUND(MID($C50,6,3)/Basis!$E$3,0.5)</f>
        <v>4.5</v>
      </c>
      <c r="E50" s="45">
        <f>MROUND(MID($C50,9,3)/Basis!$E$3,0.5)</f>
        <v>141.5</v>
      </c>
      <c r="F50" s="229" t="str">
        <f t="shared" si="0"/>
        <v>22</v>
      </c>
      <c r="G50" s="45">
        <f>ROUND(9/Basis!$E$3,1)</f>
        <v>3.5</v>
      </c>
      <c r="H50" s="120">
        <f>ROUND($P50*Basis!$E$2*((TaH-TrH)/LN(1/µ)/Basis!$E$7)^$N50*Glycol,0)</f>
        <v>3745</v>
      </c>
      <c r="I50" s="83">
        <f>ROUND(H50/(MID($C50,9,3)/Basis!$E$3/Basis!$E$9)*Basis!$E$11,0)</f>
        <v>317</v>
      </c>
      <c r="J50" s="123">
        <f>IF(Basis!$E$1=1,ROUND(H50/((TaH-TrH)*1.163)/3600,3),ROUND(H50/(500*(TaH-TrH)),2))</f>
        <v>0.37</v>
      </c>
      <c r="K50" s="84"/>
      <c r="L50" s="177">
        <f>CHOOSE(Basis!$E$1,((AJ50*(J50*3600/Basis!$E$5)^AK50*(((MID(C50,9,3)*10)-144)/1000)*AL50+AM50*(J50*3600/Basis!$E$5)^2)*0.0098)/Basis!$E$10,((AJ50*(J50/Basis!$E$5)^AK50*(((MID(C50,9,3)*10)-144)/1000)*AL50+AM50*(J50/Basis!$E$5)^2)*0.0098)/Basis!$E$10)</f>
        <v>0</v>
      </c>
      <c r="M50" s="85"/>
      <c r="N50" s="110">
        <v>1.206</v>
      </c>
      <c r="O50" s="74"/>
      <c r="P50" s="73">
        <v>1634</v>
      </c>
      <c r="Q50" s="74"/>
      <c r="R50" s="75"/>
      <c r="S50" s="75"/>
      <c r="T50" s="75"/>
      <c r="U50" s="75"/>
      <c r="V50" s="75"/>
      <c r="W50" s="74"/>
      <c r="X50" s="76"/>
      <c r="Y50" s="76"/>
      <c r="Z50" s="76"/>
      <c r="AA50" s="76"/>
      <c r="AB50" s="76"/>
      <c r="AC50" s="74"/>
      <c r="AD50" s="77"/>
      <c r="AE50" s="77"/>
      <c r="AF50" s="77"/>
      <c r="AG50" s="77"/>
      <c r="AH50" s="77"/>
      <c r="AI50" s="68"/>
      <c r="AJ50" s="213"/>
      <c r="AK50" s="213"/>
      <c r="AL50" s="213"/>
      <c r="AM50" s="213"/>
      <c r="AN50" s="74"/>
      <c r="AO50" s="73"/>
      <c r="AP50" s="73"/>
      <c r="AQ50" s="73"/>
      <c r="AR50" s="73"/>
      <c r="AS50" s="73"/>
      <c r="AT50" s="74"/>
      <c r="AU50" s="47"/>
      <c r="AV50" s="48"/>
    </row>
    <row r="51" spans="1:48" ht="12.75" customHeight="1" x14ac:dyDescent="0.25">
      <c r="A51" s="72" t="s">
        <v>883</v>
      </c>
      <c r="B51" s="43" t="s">
        <v>4040</v>
      </c>
      <c r="C51" s="44" t="s">
        <v>3379</v>
      </c>
      <c r="D51" s="45">
        <f>MROUND(MID($C51,6,3)/Basis!$E$3,0.5)</f>
        <v>4.5</v>
      </c>
      <c r="E51" s="45">
        <f>MROUND(MID($C51,9,3)/Basis!$E$3,0.5)</f>
        <v>141.5</v>
      </c>
      <c r="F51" s="229" t="str">
        <f t="shared" si="0"/>
        <v>34</v>
      </c>
      <c r="G51" s="45">
        <f>ROUND(16.9/Basis!$E$3,1)</f>
        <v>6.7</v>
      </c>
      <c r="H51" s="120">
        <f>ROUND($P51*Basis!$E$2*((TaH-TrH)/LN(1/µ)/Basis!$E$7)^$N51*Glycol,0)</f>
        <v>5722</v>
      </c>
      <c r="I51" s="83">
        <f>ROUND(H51/(MID($C51,9,3)/Basis!$E$3/Basis!$E$9)*Basis!$E$11,0)</f>
        <v>484</v>
      </c>
      <c r="J51" s="123">
        <f>IF(Basis!$E$1=1,ROUND(H51/((TaH-TrH)*1.163)/3600,3),ROUND(H51/(500*(TaH-TrH)),2))</f>
        <v>0.56999999999999995</v>
      </c>
      <c r="K51" s="84"/>
      <c r="L51" s="177">
        <f>CHOOSE(Basis!$E$1,((AJ51*(J51*3600/Basis!$E$5)^AK51*(((MID(C51,9,3)*10)-144)/1000)*AL51+AM51*(J51*3600/Basis!$E$5)^2)*0.0098)/Basis!$E$10,((AJ51*(J51/Basis!$E$5)^AK51*(((MID(C51,9,3)*10)-144)/1000)*AL51+AM51*(J51/Basis!$E$5)^2)*0.0098)/Basis!$E$10)</f>
        <v>0</v>
      </c>
      <c r="M51" s="85"/>
      <c r="N51" s="109">
        <v>1.452</v>
      </c>
      <c r="O51" s="68"/>
      <c r="P51" s="67">
        <v>2708</v>
      </c>
      <c r="Q51" s="68"/>
      <c r="R51" s="69"/>
      <c r="S51" s="69"/>
      <c r="T51" s="69"/>
      <c r="U51" s="69"/>
      <c r="V51" s="69"/>
      <c r="W51" s="68"/>
      <c r="X51" s="70"/>
      <c r="Y51" s="70"/>
      <c r="Z51" s="70"/>
      <c r="AA51" s="70"/>
      <c r="AB51" s="70"/>
      <c r="AC51" s="68"/>
      <c r="AD51" s="71"/>
      <c r="AE51" s="71"/>
      <c r="AF51" s="71"/>
      <c r="AG51" s="71"/>
      <c r="AH51" s="71"/>
      <c r="AI51" s="68"/>
      <c r="AJ51" s="214"/>
      <c r="AK51" s="214"/>
      <c r="AL51" s="214"/>
      <c r="AM51" s="214"/>
      <c r="AN51" s="68"/>
      <c r="AO51" s="67"/>
      <c r="AP51" s="67"/>
      <c r="AQ51" s="67"/>
      <c r="AR51" s="67"/>
      <c r="AS51" s="67"/>
      <c r="AT51" s="68"/>
      <c r="AU51" s="49"/>
      <c r="AV51" s="50"/>
    </row>
    <row r="52" spans="1:48" ht="12.75" customHeight="1" x14ac:dyDescent="0.25">
      <c r="A52" s="72" t="s">
        <v>883</v>
      </c>
      <c r="B52" s="43" t="s">
        <v>4040</v>
      </c>
      <c r="C52" s="44" t="s">
        <v>3380</v>
      </c>
      <c r="D52" s="45">
        <f>MROUND(MID($C52,6,3)/Basis!$E$3,0.5)</f>
        <v>4.5</v>
      </c>
      <c r="E52" s="45">
        <f>MROUND(MID($C52,9,3)/Basis!$E$3,0.5)</f>
        <v>149.5</v>
      </c>
      <c r="F52" s="229" t="str">
        <f t="shared" si="0"/>
        <v>11</v>
      </c>
      <c r="G52" s="45">
        <f>ROUND(5/Basis!$E$3,1)</f>
        <v>2</v>
      </c>
      <c r="H52" s="120">
        <f>ROUND($P52*Basis!$E$2*((TaH-TrH)/LN(1/µ)/Basis!$E$7)^$N52*Glycol,0)</f>
        <v>2255</v>
      </c>
      <c r="I52" s="83">
        <f>ROUND(H52/(MID($C52,9,3)/Basis!$E$3/Basis!$E$9)*Basis!$E$11,0)</f>
        <v>181</v>
      </c>
      <c r="J52" s="123">
        <f>IF(Basis!$E$1=1,ROUND(H52/((TaH-TrH)*1.163)/3600,3),ROUND(H52/(500*(TaH-TrH)),2))</f>
        <v>0.23</v>
      </c>
      <c r="K52" s="84"/>
      <c r="L52" s="177">
        <f>CHOOSE(Basis!$E$1,((AJ52*(J52*3600/Basis!$E$5)^AK52*(((MID(C52,9,3)*10)-144)/1000)*AL52+AM52*(J52*3600/Basis!$E$5)^2)*0.0098)/Basis!$E$10,((AJ52*(J52/Basis!$E$5)^AK52*(((MID(C52,9,3)*10)-144)/1000)*AL52+AM52*(J52/Basis!$E$5)^2)*0.0098)/Basis!$E$10)</f>
        <v>0</v>
      </c>
      <c r="M52" s="85"/>
      <c r="N52" s="110">
        <v>1.224</v>
      </c>
      <c r="O52" s="74"/>
      <c r="P52" s="73">
        <v>990</v>
      </c>
      <c r="Q52" s="74"/>
      <c r="R52" s="75"/>
      <c r="S52" s="75"/>
      <c r="T52" s="75"/>
      <c r="U52" s="75"/>
      <c r="V52" s="75"/>
      <c r="W52" s="74"/>
      <c r="X52" s="76"/>
      <c r="Y52" s="76"/>
      <c r="Z52" s="76"/>
      <c r="AA52" s="76"/>
      <c r="AB52" s="76"/>
      <c r="AC52" s="74"/>
      <c r="AD52" s="77"/>
      <c r="AE52" s="77"/>
      <c r="AF52" s="77"/>
      <c r="AG52" s="77"/>
      <c r="AH52" s="77"/>
      <c r="AI52" s="68"/>
      <c r="AJ52" s="213"/>
      <c r="AK52" s="213"/>
      <c r="AL52" s="213"/>
      <c r="AM52" s="213"/>
      <c r="AN52" s="74"/>
      <c r="AO52" s="73"/>
      <c r="AP52" s="73"/>
      <c r="AQ52" s="73"/>
      <c r="AR52" s="73"/>
      <c r="AS52" s="73"/>
      <c r="AT52" s="74"/>
      <c r="AU52" s="47"/>
      <c r="AV52" s="48"/>
    </row>
    <row r="53" spans="1:48" ht="12.75" customHeight="1" x14ac:dyDescent="0.25">
      <c r="A53" s="72" t="s">
        <v>883</v>
      </c>
      <c r="B53" s="43" t="s">
        <v>4040</v>
      </c>
      <c r="C53" s="44" t="s">
        <v>3381</v>
      </c>
      <c r="D53" s="45">
        <f>MROUND(MID($C53,6,3)/Basis!$E$3,0.5)</f>
        <v>4.5</v>
      </c>
      <c r="E53" s="45">
        <f>MROUND(MID($C53,9,3)/Basis!$E$3,0.5)</f>
        <v>149.5</v>
      </c>
      <c r="F53" s="229" t="str">
        <f t="shared" si="0"/>
        <v>22</v>
      </c>
      <c r="G53" s="45">
        <f>ROUND(9/Basis!$E$3,1)</f>
        <v>3.5</v>
      </c>
      <c r="H53" s="120">
        <f>ROUND($P53*Basis!$E$2*((TaH-TrH)/LN(1/µ)/Basis!$E$7)^$N53*Glycol,0)</f>
        <v>3951</v>
      </c>
      <c r="I53" s="83">
        <f>ROUND(H53/(MID($C53,9,3)/Basis!$E$3/Basis!$E$9)*Basis!$E$11,0)</f>
        <v>317</v>
      </c>
      <c r="J53" s="123">
        <f>IF(Basis!$E$1=1,ROUND(H53/((TaH-TrH)*1.163)/3600,3),ROUND(H53/(500*(TaH-TrH)),2))</f>
        <v>0.4</v>
      </c>
      <c r="K53" s="84"/>
      <c r="L53" s="177">
        <f>CHOOSE(Basis!$E$1,((AJ53*(J53*3600/Basis!$E$5)^AK53*(((MID(C53,9,3)*10)-144)/1000)*AL53+AM53*(J53*3600/Basis!$E$5)^2)*0.0098)/Basis!$E$10,((AJ53*(J53/Basis!$E$5)^AK53*(((MID(C53,9,3)*10)-144)/1000)*AL53+AM53*(J53/Basis!$E$5)^2)*0.0098)/Basis!$E$10)</f>
        <v>0</v>
      </c>
      <c r="M53" s="85"/>
      <c r="N53" s="109">
        <v>1.206</v>
      </c>
      <c r="O53" s="68"/>
      <c r="P53" s="67">
        <v>1724</v>
      </c>
      <c r="Q53" s="68"/>
      <c r="R53" s="69"/>
      <c r="S53" s="69"/>
      <c r="T53" s="69"/>
      <c r="U53" s="69"/>
      <c r="V53" s="69"/>
      <c r="W53" s="68"/>
      <c r="X53" s="70"/>
      <c r="Y53" s="70"/>
      <c r="Z53" s="70"/>
      <c r="AA53" s="70"/>
      <c r="AB53" s="70"/>
      <c r="AC53" s="68"/>
      <c r="AD53" s="71"/>
      <c r="AE53" s="71"/>
      <c r="AF53" s="71"/>
      <c r="AG53" s="71"/>
      <c r="AH53" s="71"/>
      <c r="AI53" s="68"/>
      <c r="AJ53" s="214"/>
      <c r="AK53" s="214"/>
      <c r="AL53" s="214"/>
      <c r="AM53" s="214"/>
      <c r="AN53" s="68"/>
      <c r="AO53" s="67"/>
      <c r="AP53" s="67"/>
      <c r="AQ53" s="67"/>
      <c r="AR53" s="67"/>
      <c r="AS53" s="67"/>
      <c r="AT53" s="68"/>
      <c r="AU53" s="49"/>
      <c r="AV53" s="50"/>
    </row>
    <row r="54" spans="1:48" ht="12.75" customHeight="1" x14ac:dyDescent="0.25">
      <c r="A54" s="72" t="s">
        <v>883</v>
      </c>
      <c r="B54" s="43" t="s">
        <v>4040</v>
      </c>
      <c r="C54" s="44" t="s">
        <v>3382</v>
      </c>
      <c r="D54" s="45">
        <f>MROUND(MID($C54,6,3)/Basis!$E$3,0.5)</f>
        <v>4.5</v>
      </c>
      <c r="E54" s="45">
        <f>MROUND(MID($C54,9,3)/Basis!$E$3,0.5)</f>
        <v>149.5</v>
      </c>
      <c r="F54" s="229" t="str">
        <f t="shared" si="0"/>
        <v>34</v>
      </c>
      <c r="G54" s="45">
        <f>ROUND(16.9/Basis!$E$3,1)</f>
        <v>6.7</v>
      </c>
      <c r="H54" s="120">
        <f>ROUND($P54*Basis!$E$2*((TaH-TrH)/LN(1/µ)/Basis!$E$7)^$N54*Glycol,0)</f>
        <v>6041</v>
      </c>
      <c r="I54" s="83">
        <f>ROUND(H54/(MID($C54,9,3)/Basis!$E$3/Basis!$E$9)*Basis!$E$11,0)</f>
        <v>485</v>
      </c>
      <c r="J54" s="123">
        <f>IF(Basis!$E$1=1,ROUND(H54/((TaH-TrH)*1.163)/3600,3),ROUND(H54/(500*(TaH-TrH)),2))</f>
        <v>0.6</v>
      </c>
      <c r="K54" s="84"/>
      <c r="L54" s="177">
        <f>CHOOSE(Basis!$E$1,((AJ54*(J54*3600/Basis!$E$5)^AK54*(((MID(C54,9,3)*10)-144)/1000)*AL54+AM54*(J54*3600/Basis!$E$5)^2)*0.0098)/Basis!$E$10,((AJ54*(J54/Basis!$E$5)^AK54*(((MID(C54,9,3)*10)-144)/1000)*AL54+AM54*(J54/Basis!$E$5)^2)*0.0098)/Basis!$E$10)</f>
        <v>0</v>
      </c>
      <c r="M54" s="85"/>
      <c r="N54" s="110">
        <v>1.452</v>
      </c>
      <c r="O54" s="74"/>
      <c r="P54" s="73">
        <v>2859</v>
      </c>
      <c r="Q54" s="74"/>
      <c r="R54" s="75"/>
      <c r="S54" s="75"/>
      <c r="T54" s="75"/>
      <c r="U54" s="75"/>
      <c r="V54" s="75"/>
      <c r="W54" s="74"/>
      <c r="X54" s="76"/>
      <c r="Y54" s="76"/>
      <c r="Z54" s="76"/>
      <c r="AA54" s="76"/>
      <c r="AB54" s="76"/>
      <c r="AC54" s="74"/>
      <c r="AD54" s="77"/>
      <c r="AE54" s="77"/>
      <c r="AF54" s="77"/>
      <c r="AG54" s="77"/>
      <c r="AH54" s="77"/>
      <c r="AI54" s="68"/>
      <c r="AJ54" s="213"/>
      <c r="AK54" s="213"/>
      <c r="AL54" s="213"/>
      <c r="AM54" s="213"/>
      <c r="AN54" s="74"/>
      <c r="AO54" s="73"/>
      <c r="AP54" s="73"/>
      <c r="AQ54" s="73"/>
      <c r="AR54" s="73"/>
      <c r="AS54" s="73"/>
      <c r="AT54" s="74"/>
      <c r="AU54" s="47"/>
      <c r="AV54" s="48"/>
    </row>
    <row r="55" spans="1:48" ht="12.75" customHeight="1" x14ac:dyDescent="0.25">
      <c r="A55" s="72" t="s">
        <v>883</v>
      </c>
      <c r="B55" s="43" t="s">
        <v>4040</v>
      </c>
      <c r="C55" s="44" t="s">
        <v>3383</v>
      </c>
      <c r="D55" s="45">
        <f>MROUND(MID($C55,6,3)/Basis!$E$3,0.5)</f>
        <v>4.5</v>
      </c>
      <c r="E55" s="45">
        <f>MROUND(MID($C55,9,3)/Basis!$E$3,0.5)</f>
        <v>165.5</v>
      </c>
      <c r="F55" s="229" t="str">
        <f t="shared" si="0"/>
        <v>11</v>
      </c>
      <c r="G55" s="45">
        <f>ROUND(5/Basis!$E$3,1)</f>
        <v>2</v>
      </c>
      <c r="H55" s="120">
        <f>ROUND($P55*Basis!$E$2*((TaH-TrH)/LN(1/µ)/Basis!$E$7)^$N55*Glycol,0)</f>
        <v>2492</v>
      </c>
      <c r="I55" s="83">
        <f>ROUND(H55/(MID($C55,9,3)/Basis!$E$3/Basis!$E$9)*Basis!$E$11,0)</f>
        <v>181</v>
      </c>
      <c r="J55" s="123">
        <f>IF(Basis!$E$1=1,ROUND(H55/((TaH-TrH)*1.163)/3600,3),ROUND(H55/(500*(TaH-TrH)),2))</f>
        <v>0.25</v>
      </c>
      <c r="K55" s="84"/>
      <c r="L55" s="177">
        <f>CHOOSE(Basis!$E$1,((AJ55*(J55*3600/Basis!$E$5)^AK55*(((MID(C55,9,3)*10)-144)/1000)*AL55+AM55*(J55*3600/Basis!$E$5)^2)*0.0098)/Basis!$E$10,((AJ55*(J55/Basis!$E$5)^AK55*(((MID(C55,9,3)*10)-144)/1000)*AL55+AM55*(J55/Basis!$E$5)^2)*0.0098)/Basis!$E$10)</f>
        <v>0</v>
      </c>
      <c r="M55" s="85"/>
      <c r="N55" s="109">
        <v>1.224</v>
      </c>
      <c r="O55" s="68"/>
      <c r="P55" s="67">
        <v>1094</v>
      </c>
      <c r="Q55" s="68"/>
      <c r="R55" s="69"/>
      <c r="S55" s="69"/>
      <c r="T55" s="69"/>
      <c r="U55" s="69"/>
      <c r="V55" s="69"/>
      <c r="W55" s="68"/>
      <c r="X55" s="70"/>
      <c r="Y55" s="70"/>
      <c r="Z55" s="70"/>
      <c r="AA55" s="70"/>
      <c r="AB55" s="70"/>
      <c r="AC55" s="68"/>
      <c r="AD55" s="71"/>
      <c r="AE55" s="71"/>
      <c r="AF55" s="71"/>
      <c r="AG55" s="71"/>
      <c r="AH55" s="71"/>
      <c r="AI55" s="68"/>
      <c r="AJ55" s="214"/>
      <c r="AK55" s="214"/>
      <c r="AL55" s="214"/>
      <c r="AM55" s="214"/>
      <c r="AN55" s="68"/>
      <c r="AO55" s="67"/>
      <c r="AP55" s="67"/>
      <c r="AQ55" s="67"/>
      <c r="AR55" s="67"/>
      <c r="AS55" s="67"/>
      <c r="AT55" s="68"/>
      <c r="AU55" s="49"/>
      <c r="AV55" s="50"/>
    </row>
    <row r="56" spans="1:48" ht="12.75" customHeight="1" x14ac:dyDescent="0.25">
      <c r="A56" s="72" t="s">
        <v>883</v>
      </c>
      <c r="B56" s="43" t="s">
        <v>4040</v>
      </c>
      <c r="C56" s="44" t="s">
        <v>3384</v>
      </c>
      <c r="D56" s="45">
        <f>MROUND(MID($C56,6,3)/Basis!$E$3,0.5)</f>
        <v>4.5</v>
      </c>
      <c r="E56" s="45">
        <f>MROUND(MID($C56,9,3)/Basis!$E$3,0.5)</f>
        <v>165.5</v>
      </c>
      <c r="F56" s="229" t="str">
        <f t="shared" si="0"/>
        <v>22</v>
      </c>
      <c r="G56" s="45">
        <f>ROUND(9/Basis!$E$3,1)</f>
        <v>3.5</v>
      </c>
      <c r="H56" s="120">
        <f>ROUND($P56*Basis!$E$2*((TaH-TrH)/LN(1/µ)/Basis!$E$7)^$N56*Glycol,0)</f>
        <v>4368</v>
      </c>
      <c r="I56" s="83">
        <f>ROUND(H56/(MID($C56,9,3)/Basis!$E$3/Basis!$E$9)*Basis!$E$11,0)</f>
        <v>317</v>
      </c>
      <c r="J56" s="123">
        <f>IF(Basis!$E$1=1,ROUND(H56/((TaH-TrH)*1.163)/3600,3),ROUND(H56/(500*(TaH-TrH)),2))</f>
        <v>0.44</v>
      </c>
      <c r="K56" s="84"/>
      <c r="L56" s="177">
        <f>CHOOSE(Basis!$E$1,((AJ56*(J56*3600/Basis!$E$5)^AK56*(((MID(C56,9,3)*10)-144)/1000)*AL56+AM56*(J56*3600/Basis!$E$5)^2)*0.0098)/Basis!$E$10,((AJ56*(J56/Basis!$E$5)^AK56*(((MID(C56,9,3)*10)-144)/1000)*AL56+AM56*(J56/Basis!$E$5)^2)*0.0098)/Basis!$E$10)</f>
        <v>0</v>
      </c>
      <c r="M56" s="85"/>
      <c r="N56" s="110">
        <v>1.206</v>
      </c>
      <c r="O56" s="74"/>
      <c r="P56" s="73">
        <v>1906</v>
      </c>
      <c r="Q56" s="74"/>
      <c r="R56" s="75"/>
      <c r="S56" s="75"/>
      <c r="T56" s="75"/>
      <c r="U56" s="75"/>
      <c r="V56" s="75"/>
      <c r="W56" s="74"/>
      <c r="X56" s="76"/>
      <c r="Y56" s="76"/>
      <c r="Z56" s="76"/>
      <c r="AA56" s="76"/>
      <c r="AB56" s="76"/>
      <c r="AC56" s="74"/>
      <c r="AD56" s="77"/>
      <c r="AE56" s="77"/>
      <c r="AF56" s="77"/>
      <c r="AG56" s="77"/>
      <c r="AH56" s="77"/>
      <c r="AI56" s="68"/>
      <c r="AJ56" s="213"/>
      <c r="AK56" s="213"/>
      <c r="AL56" s="213"/>
      <c r="AM56" s="213"/>
      <c r="AN56" s="74"/>
      <c r="AO56" s="73"/>
      <c r="AP56" s="73"/>
      <c r="AQ56" s="73"/>
      <c r="AR56" s="73"/>
      <c r="AS56" s="73"/>
      <c r="AT56" s="74"/>
      <c r="AU56" s="47"/>
      <c r="AV56" s="48"/>
    </row>
    <row r="57" spans="1:48" ht="12.75" customHeight="1" x14ac:dyDescent="0.25">
      <c r="A57" s="72" t="s">
        <v>883</v>
      </c>
      <c r="B57" s="43" t="s">
        <v>4040</v>
      </c>
      <c r="C57" s="44" t="s">
        <v>3385</v>
      </c>
      <c r="D57" s="45">
        <f>MROUND(MID($C57,6,3)/Basis!$E$3,0.5)</f>
        <v>4.5</v>
      </c>
      <c r="E57" s="45">
        <f>MROUND(MID($C57,9,3)/Basis!$E$3,0.5)</f>
        <v>165.5</v>
      </c>
      <c r="F57" s="229" t="str">
        <f t="shared" si="0"/>
        <v>34</v>
      </c>
      <c r="G57" s="45">
        <f>ROUND(16.9/Basis!$E$3,1)</f>
        <v>6.7</v>
      </c>
      <c r="H57" s="120">
        <f>ROUND($P57*Basis!$E$2*((TaH-TrH)/LN(1/µ)/Basis!$E$7)^$N57*Glycol,0)</f>
        <v>6677</v>
      </c>
      <c r="I57" s="83">
        <f>ROUND(H57/(MID($C57,9,3)/Basis!$E$3/Basis!$E$9)*Basis!$E$11,0)</f>
        <v>485</v>
      </c>
      <c r="J57" s="123">
        <f>IF(Basis!$E$1=1,ROUND(H57/((TaH-TrH)*1.163)/3600,3),ROUND(H57/(500*(TaH-TrH)),2))</f>
        <v>0.67</v>
      </c>
      <c r="K57" s="84"/>
      <c r="L57" s="177">
        <f>CHOOSE(Basis!$E$1,((AJ57*(J57*3600/Basis!$E$5)^AK57*(((MID(C57,9,3)*10)-144)/1000)*AL57+AM57*(J57*3600/Basis!$E$5)^2)*0.0098)/Basis!$E$10,((AJ57*(J57/Basis!$E$5)^AK57*(((MID(C57,9,3)*10)-144)/1000)*AL57+AM57*(J57/Basis!$E$5)^2)*0.0098)/Basis!$E$10)</f>
        <v>0</v>
      </c>
      <c r="M57" s="85"/>
      <c r="N57" s="109">
        <v>1.452</v>
      </c>
      <c r="O57" s="68"/>
      <c r="P57" s="67">
        <v>3160</v>
      </c>
      <c r="Q57" s="68"/>
      <c r="R57" s="69"/>
      <c r="S57" s="69"/>
      <c r="T57" s="69"/>
      <c r="U57" s="69"/>
      <c r="V57" s="69"/>
      <c r="W57" s="68"/>
      <c r="X57" s="70"/>
      <c r="Y57" s="70"/>
      <c r="Z57" s="70"/>
      <c r="AA57" s="70"/>
      <c r="AB57" s="70"/>
      <c r="AC57" s="68"/>
      <c r="AD57" s="71"/>
      <c r="AE57" s="71"/>
      <c r="AF57" s="71"/>
      <c r="AG57" s="71"/>
      <c r="AH57" s="71"/>
      <c r="AI57" s="68"/>
      <c r="AJ57" s="214"/>
      <c r="AK57" s="214"/>
      <c r="AL57" s="214"/>
      <c r="AM57" s="214"/>
      <c r="AN57" s="68"/>
      <c r="AO57" s="67"/>
      <c r="AP57" s="67"/>
      <c r="AQ57" s="67"/>
      <c r="AR57" s="67"/>
      <c r="AS57" s="67"/>
      <c r="AT57" s="68"/>
      <c r="AU57" s="49"/>
      <c r="AV57" s="50"/>
    </row>
    <row r="58" spans="1:48" ht="12.75" customHeight="1" x14ac:dyDescent="0.25">
      <c r="A58" s="72" t="s">
        <v>883</v>
      </c>
      <c r="B58" s="43" t="s">
        <v>4040</v>
      </c>
      <c r="C58" s="44" t="s">
        <v>3386</v>
      </c>
      <c r="D58" s="45">
        <f>MROUND(MID($C58,6,3)/Basis!$E$3,0.5)</f>
        <v>4.5</v>
      </c>
      <c r="E58" s="45">
        <f>MROUND(MID($C58,9,3)/Basis!$E$3,0.5)</f>
        <v>181</v>
      </c>
      <c r="F58" s="229" t="str">
        <f t="shared" si="0"/>
        <v>11</v>
      </c>
      <c r="G58" s="45">
        <f>ROUND(5/Basis!$E$3,1)</f>
        <v>2</v>
      </c>
      <c r="H58" s="120">
        <f>ROUND($P58*Basis!$E$2*((TaH-TrH)/LN(1/µ)/Basis!$E$7)^$N58*Glycol,0)</f>
        <v>2729</v>
      </c>
      <c r="I58" s="83">
        <f>ROUND(H58/(MID($C58,9,3)/Basis!$E$3/Basis!$E$9)*Basis!$E$11,0)</f>
        <v>181</v>
      </c>
      <c r="J58" s="123">
        <f>IF(Basis!$E$1=1,ROUND(H58/((TaH-TrH)*1.163)/3600,3),ROUND(H58/(500*(TaH-TrH)),2))</f>
        <v>0.27</v>
      </c>
      <c r="K58" s="84"/>
      <c r="L58" s="177">
        <f>CHOOSE(Basis!$E$1,((AJ58*(J58*3600/Basis!$E$5)^AK58*(((MID(C58,9,3)*10)-144)/1000)*AL58+AM58*(J58*3600/Basis!$E$5)^2)*0.0098)/Basis!$E$10,((AJ58*(J58/Basis!$E$5)^AK58*(((MID(C58,9,3)*10)-144)/1000)*AL58+AM58*(J58/Basis!$E$5)^2)*0.0098)/Basis!$E$10)</f>
        <v>0</v>
      </c>
      <c r="M58" s="85"/>
      <c r="N58" s="110">
        <v>1.224</v>
      </c>
      <c r="O58" s="74"/>
      <c r="P58" s="73">
        <v>1198</v>
      </c>
      <c r="Q58" s="74"/>
      <c r="R58" s="75"/>
      <c r="S58" s="75"/>
      <c r="T58" s="75"/>
      <c r="U58" s="75"/>
      <c r="V58" s="75"/>
      <c r="W58" s="74"/>
      <c r="X58" s="76"/>
      <c r="Y58" s="76"/>
      <c r="Z58" s="76"/>
      <c r="AA58" s="76"/>
      <c r="AB58" s="76"/>
      <c r="AC58" s="74"/>
      <c r="AD58" s="77"/>
      <c r="AE58" s="77"/>
      <c r="AF58" s="77"/>
      <c r="AG58" s="77"/>
      <c r="AH58" s="77"/>
      <c r="AI58" s="68"/>
      <c r="AJ58" s="213"/>
      <c r="AK58" s="213"/>
      <c r="AL58" s="213"/>
      <c r="AM58" s="213"/>
      <c r="AN58" s="74"/>
      <c r="AO58" s="73"/>
      <c r="AP58" s="73"/>
      <c r="AQ58" s="73"/>
      <c r="AR58" s="73"/>
      <c r="AS58" s="73"/>
      <c r="AT58" s="74"/>
      <c r="AU58" s="47"/>
      <c r="AV58" s="48"/>
    </row>
    <row r="59" spans="1:48" ht="12.75" customHeight="1" x14ac:dyDescent="0.25">
      <c r="A59" s="72" t="s">
        <v>883</v>
      </c>
      <c r="B59" s="43" t="s">
        <v>4040</v>
      </c>
      <c r="C59" s="44" t="s">
        <v>3387</v>
      </c>
      <c r="D59" s="45">
        <f>MROUND(MID($C59,6,3)/Basis!$E$3,0.5)</f>
        <v>4.5</v>
      </c>
      <c r="E59" s="45">
        <f>MROUND(MID($C59,9,3)/Basis!$E$3,0.5)</f>
        <v>181</v>
      </c>
      <c r="F59" s="229" t="str">
        <f t="shared" si="0"/>
        <v>22</v>
      </c>
      <c r="G59" s="45">
        <f>ROUND(9/Basis!$E$3,1)</f>
        <v>3.5</v>
      </c>
      <c r="H59" s="120">
        <f>ROUND($P59*Basis!$E$2*((TaH-TrH)/LN(1/µ)/Basis!$E$7)^$N59*Glycol,0)</f>
        <v>4783</v>
      </c>
      <c r="I59" s="83">
        <f>ROUND(H59/(MID($C59,9,3)/Basis!$E$3/Basis!$E$9)*Basis!$E$11,0)</f>
        <v>317</v>
      </c>
      <c r="J59" s="123">
        <f>IF(Basis!$E$1=1,ROUND(H59/((TaH-TrH)*1.163)/3600,3),ROUND(H59/(500*(TaH-TrH)),2))</f>
        <v>0.48</v>
      </c>
      <c r="K59" s="84"/>
      <c r="L59" s="177">
        <f>CHOOSE(Basis!$E$1,((AJ59*(J59*3600/Basis!$E$5)^AK59*(((MID(C59,9,3)*10)-144)/1000)*AL59+AM59*(J59*3600/Basis!$E$5)^2)*0.0098)/Basis!$E$10,((AJ59*(J59/Basis!$E$5)^AK59*(((MID(C59,9,3)*10)-144)/1000)*AL59+AM59*(J59/Basis!$E$5)^2)*0.0098)/Basis!$E$10)</f>
        <v>0</v>
      </c>
      <c r="M59" s="85"/>
      <c r="N59" s="109">
        <v>1.206</v>
      </c>
      <c r="O59" s="68"/>
      <c r="P59" s="67">
        <v>2087</v>
      </c>
      <c r="Q59" s="68"/>
      <c r="R59" s="69"/>
      <c r="S59" s="69"/>
      <c r="T59" s="69"/>
      <c r="U59" s="69"/>
      <c r="V59" s="69"/>
      <c r="W59" s="68"/>
      <c r="X59" s="70"/>
      <c r="Y59" s="70"/>
      <c r="Z59" s="70"/>
      <c r="AA59" s="70"/>
      <c r="AB59" s="70"/>
      <c r="AC59" s="68"/>
      <c r="AD59" s="71"/>
      <c r="AE59" s="71"/>
      <c r="AF59" s="71"/>
      <c r="AG59" s="71"/>
      <c r="AH59" s="71"/>
      <c r="AI59" s="68"/>
      <c r="AJ59" s="214"/>
      <c r="AK59" s="214"/>
      <c r="AL59" s="214"/>
      <c r="AM59" s="214"/>
      <c r="AN59" s="68"/>
      <c r="AO59" s="67"/>
      <c r="AP59" s="67"/>
      <c r="AQ59" s="67"/>
      <c r="AR59" s="67"/>
      <c r="AS59" s="67"/>
      <c r="AT59" s="68"/>
      <c r="AU59" s="49"/>
      <c r="AV59" s="50"/>
    </row>
    <row r="60" spans="1:48" ht="12.75" customHeight="1" x14ac:dyDescent="0.25">
      <c r="A60" s="72" t="s">
        <v>883</v>
      </c>
      <c r="B60" s="43" t="s">
        <v>4040</v>
      </c>
      <c r="C60" s="44" t="s">
        <v>3388</v>
      </c>
      <c r="D60" s="45">
        <f>MROUND(MID($C60,6,3)/Basis!$E$3,0.5)</f>
        <v>4.5</v>
      </c>
      <c r="E60" s="45">
        <f>MROUND(MID($C60,9,3)/Basis!$E$3,0.5)</f>
        <v>181</v>
      </c>
      <c r="F60" s="229" t="str">
        <f t="shared" si="0"/>
        <v>34</v>
      </c>
      <c r="G60" s="45">
        <f>ROUND(16.9/Basis!$E$3,1)</f>
        <v>6.7</v>
      </c>
      <c r="H60" s="120">
        <f>ROUND($P60*Basis!$E$2*((TaH-TrH)/LN(1/µ)/Basis!$E$7)^$N60*Glycol,0)</f>
        <v>7313</v>
      </c>
      <c r="I60" s="83">
        <f>ROUND(H60/(MID($C60,9,3)/Basis!$E$3/Basis!$E$9)*Basis!$E$11,0)</f>
        <v>485</v>
      </c>
      <c r="J60" s="123">
        <f>IF(Basis!$E$1=1,ROUND(H60/((TaH-TrH)*1.163)/3600,3),ROUND(H60/(500*(TaH-TrH)),2))</f>
        <v>0.73</v>
      </c>
      <c r="K60" s="84"/>
      <c r="L60" s="177">
        <f>CHOOSE(Basis!$E$1,((AJ60*(J60*3600/Basis!$E$5)^AK60*(((MID(C60,9,3)*10)-144)/1000)*AL60+AM60*(J60*3600/Basis!$E$5)^2)*0.0098)/Basis!$E$10,((AJ60*(J60/Basis!$E$5)^AK60*(((MID(C60,9,3)*10)-144)/1000)*AL60+AM60*(J60/Basis!$E$5)^2)*0.0098)/Basis!$E$10)</f>
        <v>0</v>
      </c>
      <c r="M60" s="85"/>
      <c r="N60" s="110">
        <v>1.452</v>
      </c>
      <c r="O60" s="74"/>
      <c r="P60" s="73">
        <v>3461</v>
      </c>
      <c r="Q60" s="74"/>
      <c r="R60" s="75"/>
      <c r="S60" s="75"/>
      <c r="T60" s="75"/>
      <c r="U60" s="75"/>
      <c r="V60" s="75"/>
      <c r="W60" s="74"/>
      <c r="X60" s="76"/>
      <c r="Y60" s="76"/>
      <c r="Z60" s="76"/>
      <c r="AA60" s="76"/>
      <c r="AB60" s="76"/>
      <c r="AC60" s="74"/>
      <c r="AD60" s="77"/>
      <c r="AE60" s="77"/>
      <c r="AF60" s="77"/>
      <c r="AG60" s="77"/>
      <c r="AH60" s="77"/>
      <c r="AI60" s="68"/>
      <c r="AJ60" s="213"/>
      <c r="AK60" s="213"/>
      <c r="AL60" s="213"/>
      <c r="AM60" s="213"/>
      <c r="AN60" s="74"/>
      <c r="AO60" s="73"/>
      <c r="AP60" s="73"/>
      <c r="AQ60" s="73"/>
      <c r="AR60" s="73"/>
      <c r="AS60" s="73"/>
      <c r="AT60" s="74"/>
      <c r="AU60" s="47"/>
      <c r="AV60" s="48"/>
    </row>
    <row r="61" spans="1:48" ht="12.75" customHeight="1" x14ac:dyDescent="0.25">
      <c r="A61" s="72" t="s">
        <v>883</v>
      </c>
      <c r="B61" s="43" t="s">
        <v>4040</v>
      </c>
      <c r="C61" s="44" t="s">
        <v>3389</v>
      </c>
      <c r="D61" s="45">
        <f>MROUND(MID($C61,6,3)/Basis!$E$3,0.5)</f>
        <v>7</v>
      </c>
      <c r="E61" s="45">
        <f>MROUND(MID($C61,9,3)/Basis!$E$3,0.5)</f>
        <v>39.5</v>
      </c>
      <c r="F61" s="229" t="str">
        <f t="shared" si="0"/>
        <v>11</v>
      </c>
      <c r="G61" s="45">
        <f>ROUND(5/Basis!$E$3,1)</f>
        <v>2</v>
      </c>
      <c r="H61" s="120">
        <f>ROUND($P61*Basis!$E$2*((TaH-TrH)/LN(1/µ)/Basis!$E$7)^$N61*Glycol,0)</f>
        <v>879</v>
      </c>
      <c r="I61" s="83">
        <f>ROUND(H61/(MID($C61,9,3)/Basis!$E$3/Basis!$E$9)*Basis!$E$11,0)</f>
        <v>268</v>
      </c>
      <c r="J61" s="123">
        <f>IF(Basis!$E$1=1,ROUND(H61/((TaH-TrH)*1.163)/3600,3),ROUND(H61/(500*(TaH-TrH)),2))</f>
        <v>0.09</v>
      </c>
      <c r="K61" s="84"/>
      <c r="L61" s="177">
        <f>CHOOSE(Basis!$E$1,((AJ61*(J61*3600/Basis!$E$5)^AK61*(((MID(C61,9,3)*10)-144)/1000)*AL61+AM61*(J61*3600/Basis!$E$5)^2)*0.0098)/Basis!$E$10,((AJ61*(J61/Basis!$E$5)^AK61*(((MID(C61,9,3)*10)-144)/1000)*AL61+AM61*(J61/Basis!$E$5)^2)*0.0098)/Basis!$E$10)</f>
        <v>0</v>
      </c>
      <c r="M61" s="85"/>
      <c r="N61" s="109">
        <v>1.248</v>
      </c>
      <c r="O61" s="68"/>
      <c r="P61" s="67">
        <v>389</v>
      </c>
      <c r="Q61" s="68"/>
      <c r="R61" s="69"/>
      <c r="S61" s="69"/>
      <c r="T61" s="69"/>
      <c r="U61" s="69"/>
      <c r="V61" s="69"/>
      <c r="W61" s="68"/>
      <c r="X61" s="70"/>
      <c r="Y61" s="70"/>
      <c r="Z61" s="70"/>
      <c r="AA61" s="70"/>
      <c r="AB61" s="70"/>
      <c r="AC61" s="68"/>
      <c r="AD61" s="71"/>
      <c r="AE61" s="71"/>
      <c r="AF61" s="71"/>
      <c r="AG61" s="71"/>
      <c r="AH61" s="71"/>
      <c r="AI61" s="68"/>
      <c r="AJ61" s="214"/>
      <c r="AK61" s="214"/>
      <c r="AL61" s="214"/>
      <c r="AM61" s="214"/>
      <c r="AN61" s="68"/>
      <c r="AO61" s="67"/>
      <c r="AP61" s="67"/>
      <c r="AQ61" s="67"/>
      <c r="AR61" s="67"/>
      <c r="AS61" s="67"/>
      <c r="AT61" s="68"/>
      <c r="AU61" s="49"/>
      <c r="AV61" s="50"/>
    </row>
    <row r="62" spans="1:48" ht="12.75" customHeight="1" x14ac:dyDescent="0.25">
      <c r="A62" s="72" t="s">
        <v>883</v>
      </c>
      <c r="B62" s="43" t="s">
        <v>4040</v>
      </c>
      <c r="C62" s="44" t="s">
        <v>3390</v>
      </c>
      <c r="D62" s="45">
        <f>MROUND(MID($C62,6,3)/Basis!$E$3,0.5)</f>
        <v>7</v>
      </c>
      <c r="E62" s="45">
        <f>MROUND(MID($C62,9,3)/Basis!$E$3,0.5)</f>
        <v>39.5</v>
      </c>
      <c r="F62" s="229" t="str">
        <f t="shared" si="0"/>
        <v>22</v>
      </c>
      <c r="G62" s="45">
        <f>ROUND(9/Basis!$E$3,1)</f>
        <v>3.5</v>
      </c>
      <c r="H62" s="120">
        <f>ROUND($P62*Basis!$E$2*((TaH-TrH)/LN(1/µ)/Basis!$E$7)^$N62*Glycol,0)</f>
        <v>1368</v>
      </c>
      <c r="I62" s="83">
        <f>ROUND(H62/(MID($C62,9,3)/Basis!$E$3/Basis!$E$9)*Basis!$E$11,0)</f>
        <v>417</v>
      </c>
      <c r="J62" s="123">
        <f>IF(Basis!$E$1=1,ROUND(H62/((TaH-TrH)*1.163)/3600,3),ROUND(H62/(500*(TaH-TrH)),2))</f>
        <v>0.14000000000000001</v>
      </c>
      <c r="K62" s="84"/>
      <c r="L62" s="177">
        <f>CHOOSE(Basis!$E$1,((AJ62*(J62*3600/Basis!$E$5)^AK62*(((MID(C62,9,3)*10)-144)/1000)*AL62+AM62*(J62*3600/Basis!$E$5)^2)*0.0098)/Basis!$E$10,((AJ62*(J62/Basis!$E$5)^AK62*(((MID(C62,9,3)*10)-144)/1000)*AL62+AM62*(J62/Basis!$E$5)^2)*0.0098)/Basis!$E$10)</f>
        <v>0</v>
      </c>
      <c r="M62" s="85"/>
      <c r="N62" s="110">
        <v>1.349</v>
      </c>
      <c r="O62" s="74"/>
      <c r="P62" s="73">
        <v>626</v>
      </c>
      <c r="Q62" s="74"/>
      <c r="R62" s="75"/>
      <c r="S62" s="75"/>
      <c r="T62" s="75"/>
      <c r="U62" s="75"/>
      <c r="V62" s="75"/>
      <c r="W62" s="74"/>
      <c r="X62" s="76"/>
      <c r="Y62" s="76"/>
      <c r="Z62" s="76"/>
      <c r="AA62" s="76"/>
      <c r="AB62" s="76"/>
      <c r="AC62" s="74"/>
      <c r="AD62" s="77"/>
      <c r="AE62" s="77"/>
      <c r="AF62" s="77"/>
      <c r="AG62" s="77"/>
      <c r="AH62" s="77"/>
      <c r="AI62" s="68"/>
      <c r="AJ62" s="213"/>
      <c r="AK62" s="213"/>
      <c r="AL62" s="213"/>
      <c r="AM62" s="213"/>
      <c r="AN62" s="74"/>
      <c r="AO62" s="73"/>
      <c r="AP62" s="73"/>
      <c r="AQ62" s="73"/>
      <c r="AR62" s="73"/>
      <c r="AS62" s="73"/>
      <c r="AT62" s="74"/>
      <c r="AU62" s="47"/>
      <c r="AV62" s="48"/>
    </row>
    <row r="63" spans="1:48" ht="12.75" customHeight="1" x14ac:dyDescent="0.25">
      <c r="A63" s="72" t="s">
        <v>883</v>
      </c>
      <c r="B63" s="43" t="s">
        <v>4040</v>
      </c>
      <c r="C63" s="200" t="s">
        <v>3391</v>
      </c>
      <c r="D63" s="201">
        <f>MROUND(MID($C63,6,3)/Basis!$E$3,0.5)</f>
        <v>7</v>
      </c>
      <c r="E63" s="201">
        <f>MROUND(MID($C63,9,3)/Basis!$E$3,0.5)</f>
        <v>39.5</v>
      </c>
      <c r="F63" s="229" t="str">
        <f t="shared" si="0"/>
        <v>34</v>
      </c>
      <c r="G63" s="45">
        <f>ROUND(16.9/Basis!$E$3,1)</f>
        <v>6.7</v>
      </c>
      <c r="H63" s="120">
        <f>ROUND($P63*Basis!$E$2*((TaH-TrH)/LN(1/µ)/Basis!$E$7)^$N63*Glycol,0)</f>
        <v>2409</v>
      </c>
      <c r="I63" s="83">
        <f>ROUND(H63/(MID($C63,9,3)/Basis!$E$3/Basis!$E$9)*Basis!$E$11,0)</f>
        <v>734</v>
      </c>
      <c r="J63" s="123">
        <f>IF(Basis!$E$1=1,ROUND(H63/((TaH-TrH)*1.163)/3600,3),ROUND(H63/(500*(TaH-TrH)),2))</f>
        <v>0.24</v>
      </c>
      <c r="K63" s="84"/>
      <c r="L63" s="177">
        <f>CHOOSE(Basis!$E$1,((AJ63*(J63*3600/Basis!$E$5)^AK63*(((MID(C63,9,3)*10)-144)/1000)*AL63+AM63*(J63*3600/Basis!$E$5)^2)*0.0098)/Basis!$E$10,((AJ63*(J63/Basis!$E$5)^AK63*(((MID(C63,9,3)*10)-144)/1000)*AL63+AM63*(J63/Basis!$E$5)^2)*0.0098)/Basis!$E$10)</f>
        <v>0</v>
      </c>
      <c r="M63" s="85"/>
      <c r="N63" s="109">
        <v>1.452</v>
      </c>
      <c r="O63" s="68"/>
      <c r="P63" s="67">
        <v>1140</v>
      </c>
      <c r="Q63" s="68"/>
      <c r="R63" s="69"/>
      <c r="S63" s="69"/>
      <c r="T63" s="69"/>
      <c r="U63" s="69"/>
      <c r="V63" s="69"/>
      <c r="W63" s="68"/>
      <c r="X63" s="70"/>
      <c r="Y63" s="70"/>
      <c r="Z63" s="70"/>
      <c r="AA63" s="70"/>
      <c r="AB63" s="70"/>
      <c r="AC63" s="68"/>
      <c r="AD63" s="71"/>
      <c r="AE63" s="71"/>
      <c r="AF63" s="71"/>
      <c r="AG63" s="71"/>
      <c r="AH63" s="71"/>
      <c r="AI63" s="68"/>
      <c r="AJ63" s="214"/>
      <c r="AK63" s="214"/>
      <c r="AL63" s="214"/>
      <c r="AM63" s="214"/>
      <c r="AN63" s="68"/>
      <c r="AO63" s="67"/>
      <c r="AP63" s="67"/>
      <c r="AQ63" s="67"/>
      <c r="AR63" s="67"/>
      <c r="AS63" s="67"/>
      <c r="AT63" s="68"/>
      <c r="AU63" s="49"/>
      <c r="AV63" s="50"/>
    </row>
    <row r="64" spans="1:48" ht="12.75" customHeight="1" x14ac:dyDescent="0.25">
      <c r="A64" s="72" t="s">
        <v>883</v>
      </c>
      <c r="B64" s="43" t="s">
        <v>4040</v>
      </c>
      <c r="C64" s="44" t="s">
        <v>3392</v>
      </c>
      <c r="D64" s="45">
        <f>MROUND(MID($C64,6,3)/Basis!$E$3,0.5)</f>
        <v>7</v>
      </c>
      <c r="E64" s="45">
        <f>MROUND(MID($C64,9,3)/Basis!$E$3,0.5)</f>
        <v>47</v>
      </c>
      <c r="F64" s="229" t="str">
        <f t="shared" si="0"/>
        <v>11</v>
      </c>
      <c r="G64" s="45">
        <f>ROUND(5/Basis!$E$3,1)</f>
        <v>2</v>
      </c>
      <c r="H64" s="120">
        <f>ROUND($P64*Basis!$E$2*((TaH-TrH)/LN(1/µ)/Basis!$E$7)^$N64*Glycol,0)</f>
        <v>1053</v>
      </c>
      <c r="I64" s="83">
        <f>ROUND(H64/(MID($C64,9,3)/Basis!$E$3/Basis!$E$9)*Basis!$E$11,0)</f>
        <v>267</v>
      </c>
      <c r="J64" s="123">
        <f>IF(Basis!$E$1=1,ROUND(H64/((TaH-TrH)*1.163)/3600,3),ROUND(H64/(500*(TaH-TrH)),2))</f>
        <v>0.11</v>
      </c>
      <c r="K64" s="84"/>
      <c r="L64" s="177">
        <f>CHOOSE(Basis!$E$1,((AJ64*(J64*3600/Basis!$E$5)^AK64*(((MID(C64,9,3)*10)-144)/1000)*AL64+AM64*(J64*3600/Basis!$E$5)^2)*0.0098)/Basis!$E$10,((AJ64*(J64/Basis!$E$5)^AK64*(((MID(C64,9,3)*10)-144)/1000)*AL64+AM64*(J64/Basis!$E$5)^2)*0.0098)/Basis!$E$10)</f>
        <v>0</v>
      </c>
      <c r="M64" s="85"/>
      <c r="N64" s="110">
        <v>1.248</v>
      </c>
      <c r="O64" s="74"/>
      <c r="P64" s="73">
        <v>466</v>
      </c>
      <c r="Q64" s="74"/>
      <c r="R64" s="75"/>
      <c r="S64" s="75"/>
      <c r="T64" s="75"/>
      <c r="U64" s="75"/>
      <c r="V64" s="75"/>
      <c r="W64" s="74"/>
      <c r="X64" s="76"/>
      <c r="Y64" s="76"/>
      <c r="Z64" s="76"/>
      <c r="AA64" s="76"/>
      <c r="AB64" s="76"/>
      <c r="AC64" s="74"/>
      <c r="AD64" s="77"/>
      <c r="AE64" s="77"/>
      <c r="AF64" s="77"/>
      <c r="AG64" s="77"/>
      <c r="AH64" s="77"/>
      <c r="AI64" s="68"/>
      <c r="AJ64" s="213"/>
      <c r="AK64" s="213"/>
      <c r="AL64" s="213"/>
      <c r="AM64" s="213"/>
      <c r="AN64" s="74"/>
      <c r="AO64" s="73"/>
      <c r="AP64" s="73"/>
      <c r="AQ64" s="73"/>
      <c r="AR64" s="73"/>
      <c r="AS64" s="73"/>
      <c r="AT64" s="74"/>
      <c r="AU64" s="47"/>
      <c r="AV64" s="48"/>
    </row>
    <row r="65" spans="1:48" ht="12.75" customHeight="1" x14ac:dyDescent="0.25">
      <c r="A65" s="72" t="s">
        <v>883</v>
      </c>
      <c r="B65" s="43" t="s">
        <v>4040</v>
      </c>
      <c r="C65" s="44" t="s">
        <v>3393</v>
      </c>
      <c r="D65" s="45">
        <f>MROUND(MID($C65,6,3)/Basis!$E$3,0.5)</f>
        <v>7</v>
      </c>
      <c r="E65" s="45">
        <f>MROUND(MID($C65,9,3)/Basis!$E$3,0.5)</f>
        <v>47</v>
      </c>
      <c r="F65" s="229" t="str">
        <f t="shared" si="0"/>
        <v>22</v>
      </c>
      <c r="G65" s="45">
        <f>ROUND(9/Basis!$E$3,1)</f>
        <v>3.5</v>
      </c>
      <c r="H65" s="120">
        <f>ROUND($P65*Basis!$E$2*((TaH-TrH)/LN(1/µ)/Basis!$E$7)^$N65*Glycol,0)</f>
        <v>1642</v>
      </c>
      <c r="I65" s="83">
        <f>ROUND(H65/(MID($C65,9,3)/Basis!$E$3/Basis!$E$9)*Basis!$E$11,0)</f>
        <v>417</v>
      </c>
      <c r="J65" s="123">
        <f>IF(Basis!$E$1=1,ROUND(H65/((TaH-TrH)*1.163)/3600,3),ROUND(H65/(500*(TaH-TrH)),2))</f>
        <v>0.16</v>
      </c>
      <c r="K65" s="84"/>
      <c r="L65" s="177">
        <f>CHOOSE(Basis!$E$1,((AJ65*(J65*3600/Basis!$E$5)^AK65*(((MID(C65,9,3)*10)-144)/1000)*AL65+AM65*(J65*3600/Basis!$E$5)^2)*0.0098)/Basis!$E$10,((AJ65*(J65/Basis!$E$5)^AK65*(((MID(C65,9,3)*10)-144)/1000)*AL65+AM65*(J65/Basis!$E$5)^2)*0.0098)/Basis!$E$10)</f>
        <v>0</v>
      </c>
      <c r="M65" s="85"/>
      <c r="N65" s="109">
        <v>1.349</v>
      </c>
      <c r="O65" s="68"/>
      <c r="P65" s="67">
        <v>751</v>
      </c>
      <c r="Q65" s="68"/>
      <c r="R65" s="69"/>
      <c r="S65" s="69"/>
      <c r="T65" s="69"/>
      <c r="U65" s="69"/>
      <c r="V65" s="69"/>
      <c r="W65" s="68"/>
      <c r="X65" s="70"/>
      <c r="Y65" s="70"/>
      <c r="Z65" s="70"/>
      <c r="AA65" s="70"/>
      <c r="AB65" s="70"/>
      <c r="AC65" s="68"/>
      <c r="AD65" s="71"/>
      <c r="AE65" s="71"/>
      <c r="AF65" s="71"/>
      <c r="AG65" s="71"/>
      <c r="AH65" s="71"/>
      <c r="AI65" s="68"/>
      <c r="AJ65" s="214"/>
      <c r="AK65" s="214"/>
      <c r="AL65" s="214"/>
      <c r="AM65" s="214"/>
      <c r="AN65" s="68"/>
      <c r="AO65" s="67"/>
      <c r="AP65" s="67"/>
      <c r="AQ65" s="67"/>
      <c r="AR65" s="67"/>
      <c r="AS65" s="67"/>
      <c r="AT65" s="68"/>
      <c r="AU65" s="49"/>
      <c r="AV65" s="50"/>
    </row>
    <row r="66" spans="1:48" ht="12.75" customHeight="1" x14ac:dyDescent="0.25">
      <c r="A66" s="72" t="s">
        <v>883</v>
      </c>
      <c r="B66" s="43" t="s">
        <v>4040</v>
      </c>
      <c r="C66" s="44" t="s">
        <v>3394</v>
      </c>
      <c r="D66" s="45">
        <f>MROUND(MID($C66,6,3)/Basis!$E$3,0.5)</f>
        <v>7</v>
      </c>
      <c r="E66" s="45">
        <f>MROUND(MID($C66,9,3)/Basis!$E$3,0.5)</f>
        <v>47</v>
      </c>
      <c r="F66" s="229" t="str">
        <f t="shared" si="0"/>
        <v>34</v>
      </c>
      <c r="G66" s="45">
        <f>ROUND(16.9/Basis!$E$3,1)</f>
        <v>6.7</v>
      </c>
      <c r="H66" s="120">
        <f>ROUND($P66*Basis!$E$2*((TaH-TrH)/LN(1/µ)/Basis!$E$7)^$N66*Glycol,0)</f>
        <v>2893</v>
      </c>
      <c r="I66" s="83">
        <f>ROUND(H66/(MID($C66,9,3)/Basis!$E$3/Basis!$E$9)*Basis!$E$11,0)</f>
        <v>735</v>
      </c>
      <c r="J66" s="123">
        <f>IF(Basis!$E$1=1,ROUND(H66/((TaH-TrH)*1.163)/3600,3),ROUND(H66/(500*(TaH-TrH)),2))</f>
        <v>0.28999999999999998</v>
      </c>
      <c r="K66" s="84"/>
      <c r="L66" s="177">
        <f>CHOOSE(Basis!$E$1,((AJ66*(J66*3600/Basis!$E$5)^AK66*(((MID(C66,9,3)*10)-144)/1000)*AL66+AM66*(J66*3600/Basis!$E$5)^2)*0.0098)/Basis!$E$10,((AJ66*(J66/Basis!$E$5)^AK66*(((MID(C66,9,3)*10)-144)/1000)*AL66+AM66*(J66/Basis!$E$5)^2)*0.0098)/Basis!$E$10)</f>
        <v>0</v>
      </c>
      <c r="M66" s="85"/>
      <c r="N66" s="110">
        <v>1.452</v>
      </c>
      <c r="O66" s="74"/>
      <c r="P66" s="73">
        <v>1369</v>
      </c>
      <c r="Q66" s="74"/>
      <c r="R66" s="75"/>
      <c r="S66" s="75"/>
      <c r="T66" s="75"/>
      <c r="U66" s="75"/>
      <c r="V66" s="75"/>
      <c r="W66" s="74"/>
      <c r="X66" s="76"/>
      <c r="Y66" s="76"/>
      <c r="Z66" s="76"/>
      <c r="AA66" s="76"/>
      <c r="AB66" s="76"/>
      <c r="AC66" s="74"/>
      <c r="AD66" s="77"/>
      <c r="AE66" s="77"/>
      <c r="AF66" s="77"/>
      <c r="AG66" s="77"/>
      <c r="AH66" s="77"/>
      <c r="AI66" s="68"/>
      <c r="AJ66" s="213"/>
      <c r="AK66" s="213"/>
      <c r="AL66" s="213"/>
      <c r="AM66" s="213"/>
      <c r="AN66" s="74"/>
      <c r="AO66" s="73"/>
      <c r="AP66" s="73"/>
      <c r="AQ66" s="73"/>
      <c r="AR66" s="73"/>
      <c r="AS66" s="73"/>
      <c r="AT66" s="74"/>
      <c r="AU66" s="47"/>
      <c r="AV66" s="48"/>
    </row>
    <row r="67" spans="1:48" ht="12.75" customHeight="1" x14ac:dyDescent="0.25">
      <c r="A67" s="72" t="s">
        <v>883</v>
      </c>
      <c r="B67" s="43" t="s">
        <v>4040</v>
      </c>
      <c r="C67" s="44" t="s">
        <v>3395</v>
      </c>
      <c r="D67" s="45">
        <f>MROUND(MID($C67,6,3)/Basis!$E$3,0.5)</f>
        <v>7</v>
      </c>
      <c r="E67" s="45">
        <f>MROUND(MID($C67,9,3)/Basis!$E$3,0.5)</f>
        <v>55</v>
      </c>
      <c r="F67" s="229" t="str">
        <f t="shared" si="0"/>
        <v>11</v>
      </c>
      <c r="G67" s="45">
        <f>ROUND(5/Basis!$E$3,1)</f>
        <v>2</v>
      </c>
      <c r="H67" s="120">
        <f>ROUND($P67*Basis!$E$2*((TaH-TrH)/LN(1/µ)/Basis!$E$7)^$N67*Glycol,0)</f>
        <v>1230</v>
      </c>
      <c r="I67" s="83">
        <f>ROUND(H67/(MID($C67,9,3)/Basis!$E$3/Basis!$E$9)*Basis!$E$11,0)</f>
        <v>268</v>
      </c>
      <c r="J67" s="123">
        <f>IF(Basis!$E$1=1,ROUND(H67/((TaH-TrH)*1.163)/3600,3),ROUND(H67/(500*(TaH-TrH)),2))</f>
        <v>0.12</v>
      </c>
      <c r="K67" s="84"/>
      <c r="L67" s="177">
        <f>CHOOSE(Basis!$E$1,((AJ67*(J67*3600/Basis!$E$5)^AK67*(((MID(C67,9,3)*10)-144)/1000)*AL67+AM67*(J67*3600/Basis!$E$5)^2)*0.0098)/Basis!$E$10,((AJ67*(J67/Basis!$E$5)^AK67*(((MID(C67,9,3)*10)-144)/1000)*AL67+AM67*(J67/Basis!$E$5)^2)*0.0098)/Basis!$E$10)</f>
        <v>0</v>
      </c>
      <c r="M67" s="85"/>
      <c r="N67" s="109">
        <v>1.248</v>
      </c>
      <c r="O67" s="68"/>
      <c r="P67" s="67">
        <v>544</v>
      </c>
      <c r="Q67" s="68"/>
      <c r="R67" s="69"/>
      <c r="S67" s="69"/>
      <c r="T67" s="69"/>
      <c r="U67" s="69"/>
      <c r="V67" s="69"/>
      <c r="W67" s="68"/>
      <c r="X67" s="70"/>
      <c r="Y67" s="70"/>
      <c r="Z67" s="70"/>
      <c r="AA67" s="70"/>
      <c r="AB67" s="70"/>
      <c r="AC67" s="68"/>
      <c r="AD67" s="71"/>
      <c r="AE67" s="71"/>
      <c r="AF67" s="71"/>
      <c r="AG67" s="71"/>
      <c r="AH67" s="71"/>
      <c r="AI67" s="68"/>
      <c r="AJ67" s="214"/>
      <c r="AK67" s="214"/>
      <c r="AL67" s="214"/>
      <c r="AM67" s="214"/>
      <c r="AN67" s="68"/>
      <c r="AO67" s="67"/>
      <c r="AP67" s="67"/>
      <c r="AQ67" s="67"/>
      <c r="AR67" s="67"/>
      <c r="AS67" s="67"/>
      <c r="AT67" s="68"/>
      <c r="AU67" s="49"/>
      <c r="AV67" s="50"/>
    </row>
    <row r="68" spans="1:48" ht="12.75" customHeight="1" x14ac:dyDescent="0.25">
      <c r="A68" s="72" t="s">
        <v>883</v>
      </c>
      <c r="B68" s="43" t="s">
        <v>4040</v>
      </c>
      <c r="C68" s="44" t="s">
        <v>3396</v>
      </c>
      <c r="D68" s="45">
        <f>MROUND(MID($C68,6,3)/Basis!$E$3,0.5)</f>
        <v>7</v>
      </c>
      <c r="E68" s="45">
        <f>MROUND(MID($C68,9,3)/Basis!$E$3,0.5)</f>
        <v>55</v>
      </c>
      <c r="F68" s="229" t="str">
        <f t="shared" si="0"/>
        <v>22</v>
      </c>
      <c r="G68" s="45">
        <f>ROUND(9/Basis!$E$3,1)</f>
        <v>3.5</v>
      </c>
      <c r="H68" s="120">
        <f>ROUND($P68*Basis!$E$2*((TaH-TrH)/LN(1/µ)/Basis!$E$7)^$N68*Glycol,0)</f>
        <v>1915</v>
      </c>
      <c r="I68" s="83">
        <f>ROUND(H68/(MID($C68,9,3)/Basis!$E$3/Basis!$E$9)*Basis!$E$11,0)</f>
        <v>417</v>
      </c>
      <c r="J68" s="123">
        <f>IF(Basis!$E$1=1,ROUND(H68/((TaH-TrH)*1.163)/3600,3),ROUND(H68/(500*(TaH-TrH)),2))</f>
        <v>0.19</v>
      </c>
      <c r="K68" s="84"/>
      <c r="L68" s="177">
        <f>CHOOSE(Basis!$E$1,((AJ68*(J68*3600/Basis!$E$5)^AK68*(((MID(C68,9,3)*10)-144)/1000)*AL68+AM68*(J68*3600/Basis!$E$5)^2)*0.0098)/Basis!$E$10,((AJ68*(J68/Basis!$E$5)^AK68*(((MID(C68,9,3)*10)-144)/1000)*AL68+AM68*(J68/Basis!$E$5)^2)*0.0098)/Basis!$E$10)</f>
        <v>0</v>
      </c>
      <c r="M68" s="85"/>
      <c r="N68" s="110">
        <v>1.349</v>
      </c>
      <c r="O68" s="74"/>
      <c r="P68" s="73">
        <v>876</v>
      </c>
      <c r="Q68" s="74"/>
      <c r="R68" s="75"/>
      <c r="S68" s="75"/>
      <c r="T68" s="75"/>
      <c r="U68" s="75"/>
      <c r="V68" s="75"/>
      <c r="W68" s="74"/>
      <c r="X68" s="76"/>
      <c r="Y68" s="76"/>
      <c r="Z68" s="76"/>
      <c r="AA68" s="76"/>
      <c r="AB68" s="76"/>
      <c r="AC68" s="74"/>
      <c r="AD68" s="77"/>
      <c r="AE68" s="77"/>
      <c r="AF68" s="77"/>
      <c r="AG68" s="77"/>
      <c r="AH68" s="77"/>
      <c r="AI68" s="68"/>
      <c r="AJ68" s="213"/>
      <c r="AK68" s="213"/>
      <c r="AL68" s="213"/>
      <c r="AM68" s="213"/>
      <c r="AN68" s="74"/>
      <c r="AO68" s="73"/>
      <c r="AP68" s="73"/>
      <c r="AQ68" s="73"/>
      <c r="AR68" s="73"/>
      <c r="AS68" s="73"/>
      <c r="AT68" s="74"/>
      <c r="AU68" s="47"/>
      <c r="AV68" s="48"/>
    </row>
    <row r="69" spans="1:48" ht="12.75" customHeight="1" x14ac:dyDescent="0.25">
      <c r="A69" s="72" t="s">
        <v>883</v>
      </c>
      <c r="B69" s="43" t="s">
        <v>4040</v>
      </c>
      <c r="C69" s="44" t="s">
        <v>3397</v>
      </c>
      <c r="D69" s="45">
        <f>MROUND(MID($C69,6,3)/Basis!$E$3,0.5)</f>
        <v>7</v>
      </c>
      <c r="E69" s="45">
        <f>MROUND(MID($C69,9,3)/Basis!$E$3,0.5)</f>
        <v>55</v>
      </c>
      <c r="F69" s="229" t="str">
        <f t="shared" si="0"/>
        <v>34</v>
      </c>
      <c r="G69" s="45">
        <f>ROUND(16.9/Basis!$E$3,1)</f>
        <v>6.7</v>
      </c>
      <c r="H69" s="120">
        <f>ROUND($P69*Basis!$E$2*((TaH-TrH)/LN(1/µ)/Basis!$E$7)^$N69*Glycol,0)</f>
        <v>3374</v>
      </c>
      <c r="I69" s="83">
        <f>ROUND(H69/(MID($C69,9,3)/Basis!$E$3/Basis!$E$9)*Basis!$E$11,0)</f>
        <v>735</v>
      </c>
      <c r="J69" s="123">
        <f>IF(Basis!$E$1=1,ROUND(H69/((TaH-TrH)*1.163)/3600,3),ROUND(H69/(500*(TaH-TrH)),2))</f>
        <v>0.34</v>
      </c>
      <c r="K69" s="84"/>
      <c r="L69" s="177">
        <f>CHOOSE(Basis!$E$1,((AJ69*(J69*3600/Basis!$E$5)^AK69*(((MID(C69,9,3)*10)-144)/1000)*AL69+AM69*(J69*3600/Basis!$E$5)^2)*0.0098)/Basis!$E$10,((AJ69*(J69/Basis!$E$5)^AK69*(((MID(C69,9,3)*10)-144)/1000)*AL69+AM69*(J69/Basis!$E$5)^2)*0.0098)/Basis!$E$10)</f>
        <v>0</v>
      </c>
      <c r="M69" s="85"/>
      <c r="N69" s="109">
        <v>1.452</v>
      </c>
      <c r="O69" s="68"/>
      <c r="P69" s="67">
        <v>1597</v>
      </c>
      <c r="Q69" s="68"/>
      <c r="R69" s="69"/>
      <c r="S69" s="69"/>
      <c r="T69" s="69"/>
      <c r="U69" s="69"/>
      <c r="V69" s="69"/>
      <c r="W69" s="68"/>
      <c r="X69" s="70"/>
      <c r="Y69" s="70"/>
      <c r="Z69" s="70"/>
      <c r="AA69" s="70"/>
      <c r="AB69" s="70"/>
      <c r="AC69" s="68"/>
      <c r="AD69" s="71"/>
      <c r="AE69" s="71"/>
      <c r="AF69" s="71"/>
      <c r="AG69" s="71"/>
      <c r="AH69" s="71"/>
      <c r="AI69" s="68"/>
      <c r="AJ69" s="214"/>
      <c r="AK69" s="214"/>
      <c r="AL69" s="214"/>
      <c r="AM69" s="214"/>
      <c r="AN69" s="68"/>
      <c r="AO69" s="67"/>
      <c r="AP69" s="67"/>
      <c r="AQ69" s="67"/>
      <c r="AR69" s="67"/>
      <c r="AS69" s="67"/>
      <c r="AT69" s="68"/>
      <c r="AU69" s="49"/>
      <c r="AV69" s="50"/>
    </row>
    <row r="70" spans="1:48" ht="12.75" customHeight="1" x14ac:dyDescent="0.25">
      <c r="A70" s="72" t="s">
        <v>883</v>
      </c>
      <c r="B70" s="43" t="s">
        <v>4040</v>
      </c>
      <c r="C70" s="44" t="s">
        <v>3398</v>
      </c>
      <c r="D70" s="45">
        <f>MROUND(MID($C70,6,3)/Basis!$E$3,0.5)</f>
        <v>7</v>
      </c>
      <c r="E70" s="45">
        <f>MROUND(MID($C70,9,3)/Basis!$E$3,0.5)</f>
        <v>63</v>
      </c>
      <c r="F70" s="229" t="str">
        <f t="shared" si="0"/>
        <v>11</v>
      </c>
      <c r="G70" s="45">
        <f>ROUND(5/Basis!$E$3,1)</f>
        <v>2</v>
      </c>
      <c r="H70" s="120">
        <f>ROUND($P70*Basis!$E$2*((TaH-TrH)/LN(1/µ)/Basis!$E$7)^$N70*Glycol,0)</f>
        <v>1406</v>
      </c>
      <c r="I70" s="83">
        <f>ROUND(H70/(MID($C70,9,3)/Basis!$E$3/Basis!$E$9)*Basis!$E$11,0)</f>
        <v>268</v>
      </c>
      <c r="J70" s="123">
        <f>IF(Basis!$E$1=1,ROUND(H70/((TaH-TrH)*1.163)/3600,3),ROUND(H70/(500*(TaH-TrH)),2))</f>
        <v>0.14000000000000001</v>
      </c>
      <c r="K70" s="84"/>
      <c r="L70" s="177">
        <f>CHOOSE(Basis!$E$1,((AJ70*(J70*3600/Basis!$E$5)^AK70*(((MID(C70,9,3)*10)-144)/1000)*AL70+AM70*(J70*3600/Basis!$E$5)^2)*0.0098)/Basis!$E$10,((AJ70*(J70/Basis!$E$5)^AK70*(((MID(C70,9,3)*10)-144)/1000)*AL70+AM70*(J70/Basis!$E$5)^2)*0.0098)/Basis!$E$10)</f>
        <v>0</v>
      </c>
      <c r="M70" s="85"/>
      <c r="N70" s="110">
        <v>1.248</v>
      </c>
      <c r="O70" s="74"/>
      <c r="P70" s="73">
        <v>622</v>
      </c>
      <c r="Q70" s="74"/>
      <c r="R70" s="75"/>
      <c r="S70" s="75"/>
      <c r="T70" s="75"/>
      <c r="U70" s="75"/>
      <c r="V70" s="75"/>
      <c r="W70" s="74"/>
      <c r="X70" s="76"/>
      <c r="Y70" s="76"/>
      <c r="Z70" s="76"/>
      <c r="AA70" s="76"/>
      <c r="AB70" s="76"/>
      <c r="AC70" s="74"/>
      <c r="AD70" s="77"/>
      <c r="AE70" s="77"/>
      <c r="AF70" s="77"/>
      <c r="AG70" s="77"/>
      <c r="AH70" s="77"/>
      <c r="AI70" s="68"/>
      <c r="AJ70" s="213"/>
      <c r="AK70" s="213"/>
      <c r="AL70" s="213"/>
      <c r="AM70" s="213"/>
      <c r="AN70" s="74"/>
      <c r="AO70" s="73"/>
      <c r="AP70" s="73"/>
      <c r="AQ70" s="73"/>
      <c r="AR70" s="73"/>
      <c r="AS70" s="73"/>
      <c r="AT70" s="74"/>
      <c r="AU70" s="47"/>
      <c r="AV70" s="48"/>
    </row>
    <row r="71" spans="1:48" ht="12.75" customHeight="1" x14ac:dyDescent="0.25">
      <c r="A71" s="72" t="s">
        <v>883</v>
      </c>
      <c r="B71" s="43" t="s">
        <v>4040</v>
      </c>
      <c r="C71" s="44" t="s">
        <v>3399</v>
      </c>
      <c r="D71" s="45">
        <f>MROUND(MID($C71,6,3)/Basis!$E$3,0.5)</f>
        <v>7</v>
      </c>
      <c r="E71" s="45">
        <f>MROUND(MID($C71,9,3)/Basis!$E$3,0.5)</f>
        <v>63</v>
      </c>
      <c r="F71" s="229" t="str">
        <f t="shared" si="0"/>
        <v>22</v>
      </c>
      <c r="G71" s="45">
        <f>ROUND(9/Basis!$E$3,1)</f>
        <v>3.5</v>
      </c>
      <c r="H71" s="120">
        <f>ROUND($P71*Basis!$E$2*((TaH-TrH)/LN(1/µ)/Basis!$E$7)^$N71*Glycol,0)</f>
        <v>2188</v>
      </c>
      <c r="I71" s="83">
        <f>ROUND(H71/(MID($C71,9,3)/Basis!$E$3/Basis!$E$9)*Basis!$E$11,0)</f>
        <v>417</v>
      </c>
      <c r="J71" s="123">
        <f>IF(Basis!$E$1=1,ROUND(H71/((TaH-TrH)*1.163)/3600,3),ROUND(H71/(500*(TaH-TrH)),2))</f>
        <v>0.22</v>
      </c>
      <c r="K71" s="84"/>
      <c r="L71" s="177">
        <f>CHOOSE(Basis!$E$1,((AJ71*(J71*3600/Basis!$E$5)^AK71*(((MID(C71,9,3)*10)-144)/1000)*AL71+AM71*(J71*3600/Basis!$E$5)^2)*0.0098)/Basis!$E$10,((AJ71*(J71/Basis!$E$5)^AK71*(((MID(C71,9,3)*10)-144)/1000)*AL71+AM71*(J71/Basis!$E$5)^2)*0.0098)/Basis!$E$10)</f>
        <v>0</v>
      </c>
      <c r="M71" s="85"/>
      <c r="N71" s="109">
        <v>1.349</v>
      </c>
      <c r="O71" s="68"/>
      <c r="P71" s="67">
        <v>1001</v>
      </c>
      <c r="Q71" s="68"/>
      <c r="R71" s="69"/>
      <c r="S71" s="69"/>
      <c r="T71" s="69"/>
      <c r="U71" s="69"/>
      <c r="V71" s="69"/>
      <c r="W71" s="68"/>
      <c r="X71" s="70"/>
      <c r="Y71" s="70"/>
      <c r="Z71" s="70"/>
      <c r="AA71" s="70"/>
      <c r="AB71" s="70"/>
      <c r="AC71" s="68"/>
      <c r="AD71" s="71"/>
      <c r="AE71" s="71"/>
      <c r="AF71" s="71"/>
      <c r="AG71" s="71"/>
      <c r="AH71" s="71"/>
      <c r="AI71" s="68"/>
      <c r="AJ71" s="214"/>
      <c r="AK71" s="214"/>
      <c r="AL71" s="214"/>
      <c r="AM71" s="214"/>
      <c r="AN71" s="68"/>
      <c r="AO71" s="67"/>
      <c r="AP71" s="67"/>
      <c r="AQ71" s="67"/>
      <c r="AR71" s="67"/>
      <c r="AS71" s="67"/>
      <c r="AT71" s="68"/>
      <c r="AU71" s="49"/>
      <c r="AV71" s="50"/>
    </row>
    <row r="72" spans="1:48" ht="12.75" customHeight="1" x14ac:dyDescent="0.25">
      <c r="A72" s="72" t="s">
        <v>883</v>
      </c>
      <c r="B72" s="43" t="s">
        <v>4040</v>
      </c>
      <c r="C72" s="44" t="s">
        <v>3400</v>
      </c>
      <c r="D72" s="45">
        <f>MROUND(MID($C72,6,3)/Basis!$E$3,0.5)</f>
        <v>7</v>
      </c>
      <c r="E72" s="45">
        <f>MROUND(MID($C72,9,3)/Basis!$E$3,0.5)</f>
        <v>63</v>
      </c>
      <c r="F72" s="229" t="str">
        <f t="shared" si="0"/>
        <v>34</v>
      </c>
      <c r="G72" s="45">
        <f>ROUND(16.9/Basis!$E$3,1)</f>
        <v>6.7</v>
      </c>
      <c r="H72" s="120">
        <f>ROUND($P72*Basis!$E$2*((TaH-TrH)/LN(1/µ)/Basis!$E$7)^$N72*Glycol,0)</f>
        <v>3856</v>
      </c>
      <c r="I72" s="83">
        <f>ROUND(H72/(MID($C72,9,3)/Basis!$E$3/Basis!$E$9)*Basis!$E$11,0)</f>
        <v>735</v>
      </c>
      <c r="J72" s="123">
        <f>IF(Basis!$E$1=1,ROUND(H72/((TaH-TrH)*1.163)/3600,3),ROUND(H72/(500*(TaH-TrH)),2))</f>
        <v>0.39</v>
      </c>
      <c r="K72" s="84"/>
      <c r="L72" s="177">
        <f>CHOOSE(Basis!$E$1,((AJ72*(J72*3600/Basis!$E$5)^AK72*(((MID(C72,9,3)*10)-144)/1000)*AL72+AM72*(J72*3600/Basis!$E$5)^2)*0.0098)/Basis!$E$10,((AJ72*(J72/Basis!$E$5)^AK72*(((MID(C72,9,3)*10)-144)/1000)*AL72+AM72*(J72/Basis!$E$5)^2)*0.0098)/Basis!$E$10)</f>
        <v>0</v>
      </c>
      <c r="M72" s="85"/>
      <c r="N72" s="110">
        <v>1.452</v>
      </c>
      <c r="O72" s="74"/>
      <c r="P72" s="73">
        <v>1825</v>
      </c>
      <c r="Q72" s="74"/>
      <c r="R72" s="75"/>
      <c r="S72" s="75"/>
      <c r="T72" s="75"/>
      <c r="U72" s="75"/>
      <c r="V72" s="75"/>
      <c r="W72" s="74"/>
      <c r="X72" s="76"/>
      <c r="Y72" s="76"/>
      <c r="Z72" s="76"/>
      <c r="AA72" s="76"/>
      <c r="AB72" s="76"/>
      <c r="AC72" s="74"/>
      <c r="AD72" s="77"/>
      <c r="AE72" s="77"/>
      <c r="AF72" s="77"/>
      <c r="AG72" s="77"/>
      <c r="AH72" s="77"/>
      <c r="AI72" s="68"/>
      <c r="AJ72" s="213"/>
      <c r="AK72" s="213"/>
      <c r="AL72" s="213"/>
      <c r="AM72" s="213"/>
      <c r="AN72" s="74"/>
      <c r="AO72" s="73"/>
      <c r="AP72" s="73"/>
      <c r="AQ72" s="73"/>
      <c r="AR72" s="73"/>
      <c r="AS72" s="73"/>
      <c r="AT72" s="74"/>
      <c r="AU72" s="47"/>
      <c r="AV72" s="48"/>
    </row>
    <row r="73" spans="1:48" ht="12.75" customHeight="1" x14ac:dyDescent="0.25">
      <c r="A73" s="72" t="s">
        <v>883</v>
      </c>
      <c r="B73" s="43" t="s">
        <v>4040</v>
      </c>
      <c r="C73" s="44" t="s">
        <v>3401</v>
      </c>
      <c r="D73" s="45">
        <f>MROUND(MID($C73,6,3)/Basis!$E$3,0.5)</f>
        <v>7</v>
      </c>
      <c r="E73" s="45">
        <f>MROUND(MID($C73,9,3)/Basis!$E$3,0.5)</f>
        <v>71</v>
      </c>
      <c r="F73" s="229" t="str">
        <f t="shared" si="0"/>
        <v>11</v>
      </c>
      <c r="G73" s="45">
        <f>ROUND(5/Basis!$E$3,1)</f>
        <v>2</v>
      </c>
      <c r="H73" s="120">
        <f>ROUND($P73*Basis!$E$2*((TaH-TrH)/LN(1/µ)/Basis!$E$7)^$N73*Glycol,0)</f>
        <v>1580</v>
      </c>
      <c r="I73" s="83">
        <f>ROUND(H73/(MID($C73,9,3)/Basis!$E$3/Basis!$E$9)*Basis!$E$11,0)</f>
        <v>268</v>
      </c>
      <c r="J73" s="123">
        <f>IF(Basis!$E$1=1,ROUND(H73/((TaH-TrH)*1.163)/3600,3),ROUND(H73/(500*(TaH-TrH)),2))</f>
        <v>0.16</v>
      </c>
      <c r="K73" s="84"/>
      <c r="L73" s="177">
        <f>CHOOSE(Basis!$E$1,((AJ73*(J73*3600/Basis!$E$5)^AK73*(((MID(C73,9,3)*10)-144)/1000)*AL73+AM73*(J73*3600/Basis!$E$5)^2)*0.0098)/Basis!$E$10,((AJ73*(J73/Basis!$E$5)^AK73*(((MID(C73,9,3)*10)-144)/1000)*AL73+AM73*(J73/Basis!$E$5)^2)*0.0098)/Basis!$E$10)</f>
        <v>0</v>
      </c>
      <c r="M73" s="85"/>
      <c r="N73" s="109">
        <v>1.248</v>
      </c>
      <c r="O73" s="68"/>
      <c r="P73" s="67">
        <v>699</v>
      </c>
      <c r="Q73" s="68"/>
      <c r="R73" s="69"/>
      <c r="S73" s="69"/>
      <c r="T73" s="69"/>
      <c r="U73" s="69"/>
      <c r="V73" s="69"/>
      <c r="W73" s="68"/>
      <c r="X73" s="70"/>
      <c r="Y73" s="70"/>
      <c r="Z73" s="70"/>
      <c r="AA73" s="70"/>
      <c r="AB73" s="70"/>
      <c r="AC73" s="68"/>
      <c r="AD73" s="71"/>
      <c r="AE73" s="71"/>
      <c r="AF73" s="71"/>
      <c r="AG73" s="71"/>
      <c r="AH73" s="71"/>
      <c r="AI73" s="68"/>
      <c r="AJ73" s="214"/>
      <c r="AK73" s="214"/>
      <c r="AL73" s="214"/>
      <c r="AM73" s="214"/>
      <c r="AN73" s="68"/>
      <c r="AO73" s="67"/>
      <c r="AP73" s="67"/>
      <c r="AQ73" s="67"/>
      <c r="AR73" s="67"/>
      <c r="AS73" s="67"/>
      <c r="AT73" s="68"/>
      <c r="AU73" s="49"/>
      <c r="AV73" s="50"/>
    </row>
    <row r="74" spans="1:48" ht="12.75" customHeight="1" x14ac:dyDescent="0.25">
      <c r="A74" s="72" t="s">
        <v>883</v>
      </c>
      <c r="B74" s="43" t="s">
        <v>4040</v>
      </c>
      <c r="C74" s="44" t="s">
        <v>3402</v>
      </c>
      <c r="D74" s="45">
        <f>MROUND(MID($C74,6,3)/Basis!$E$3,0.5)</f>
        <v>7</v>
      </c>
      <c r="E74" s="45">
        <f>MROUND(MID($C74,9,3)/Basis!$E$3,0.5)</f>
        <v>71</v>
      </c>
      <c r="F74" s="229" t="str">
        <f t="shared" si="0"/>
        <v>22</v>
      </c>
      <c r="G74" s="45">
        <f>ROUND(9/Basis!$E$3,1)</f>
        <v>3.5</v>
      </c>
      <c r="H74" s="120">
        <f>ROUND($P74*Basis!$E$2*((TaH-TrH)/LN(1/µ)/Basis!$E$7)^$N74*Glycol,0)</f>
        <v>2462</v>
      </c>
      <c r="I74" s="83">
        <f>ROUND(H74/(MID($C74,9,3)/Basis!$E$3/Basis!$E$9)*Basis!$E$11,0)</f>
        <v>417</v>
      </c>
      <c r="J74" s="123">
        <f>IF(Basis!$E$1=1,ROUND(H74/((TaH-TrH)*1.163)/3600,3),ROUND(H74/(500*(TaH-TrH)),2))</f>
        <v>0.25</v>
      </c>
      <c r="K74" s="84"/>
      <c r="L74" s="177">
        <f>CHOOSE(Basis!$E$1,((AJ74*(J74*3600/Basis!$E$5)^AK74*(((MID(C74,9,3)*10)-144)/1000)*AL74+AM74*(J74*3600/Basis!$E$5)^2)*0.0098)/Basis!$E$10,((AJ74*(J74/Basis!$E$5)^AK74*(((MID(C74,9,3)*10)-144)/1000)*AL74+AM74*(J74/Basis!$E$5)^2)*0.0098)/Basis!$E$10)</f>
        <v>0</v>
      </c>
      <c r="M74" s="85"/>
      <c r="N74" s="110">
        <v>1.349</v>
      </c>
      <c r="O74" s="74"/>
      <c r="P74" s="73">
        <v>1126</v>
      </c>
      <c r="Q74" s="74"/>
      <c r="R74" s="75"/>
      <c r="S74" s="75"/>
      <c r="T74" s="75"/>
      <c r="U74" s="75"/>
      <c r="V74" s="75"/>
      <c r="W74" s="74"/>
      <c r="X74" s="76"/>
      <c r="Y74" s="76"/>
      <c r="Z74" s="76"/>
      <c r="AA74" s="76"/>
      <c r="AB74" s="76"/>
      <c r="AC74" s="74"/>
      <c r="AD74" s="77"/>
      <c r="AE74" s="77"/>
      <c r="AF74" s="77"/>
      <c r="AG74" s="77"/>
      <c r="AH74" s="77"/>
      <c r="AI74" s="68"/>
      <c r="AJ74" s="213"/>
      <c r="AK74" s="213"/>
      <c r="AL74" s="213"/>
      <c r="AM74" s="213"/>
      <c r="AN74" s="74"/>
      <c r="AO74" s="73"/>
      <c r="AP74" s="73"/>
      <c r="AQ74" s="73"/>
      <c r="AR74" s="73"/>
      <c r="AS74" s="73"/>
      <c r="AT74" s="74"/>
      <c r="AU74" s="47"/>
      <c r="AV74" s="48"/>
    </row>
    <row r="75" spans="1:48" ht="12.75" customHeight="1" x14ac:dyDescent="0.25">
      <c r="A75" s="72" t="s">
        <v>883</v>
      </c>
      <c r="B75" s="43" t="s">
        <v>4040</v>
      </c>
      <c r="C75" s="44" t="s">
        <v>3403</v>
      </c>
      <c r="D75" s="45">
        <f>MROUND(MID($C75,6,3)/Basis!$E$3,0.5)</f>
        <v>7</v>
      </c>
      <c r="E75" s="45">
        <f>MROUND(MID($C75,9,3)/Basis!$E$3,0.5)</f>
        <v>71</v>
      </c>
      <c r="F75" s="229" t="str">
        <f t="shared" ref="F75:F138" si="1">MID(C75,12,2)</f>
        <v>34</v>
      </c>
      <c r="G75" s="45">
        <f>ROUND(16.9/Basis!$E$3,1)</f>
        <v>6.7</v>
      </c>
      <c r="H75" s="120">
        <f>ROUND($P75*Basis!$E$2*((TaH-TrH)/LN(1/µ)/Basis!$E$7)^$N75*Glycol,0)</f>
        <v>4338</v>
      </c>
      <c r="I75" s="83">
        <f>ROUND(H75/(MID($C75,9,3)/Basis!$E$3/Basis!$E$9)*Basis!$E$11,0)</f>
        <v>735</v>
      </c>
      <c r="J75" s="123">
        <f>IF(Basis!$E$1=1,ROUND(H75/((TaH-TrH)*1.163)/3600,3),ROUND(H75/(500*(TaH-TrH)),2))</f>
        <v>0.43</v>
      </c>
      <c r="K75" s="84"/>
      <c r="L75" s="177">
        <f>CHOOSE(Basis!$E$1,((AJ75*(J75*3600/Basis!$E$5)^AK75*(((MID(C75,9,3)*10)-144)/1000)*AL75+AM75*(J75*3600/Basis!$E$5)^2)*0.0098)/Basis!$E$10,((AJ75*(J75/Basis!$E$5)^AK75*(((MID(C75,9,3)*10)-144)/1000)*AL75+AM75*(J75/Basis!$E$5)^2)*0.0098)/Basis!$E$10)</f>
        <v>0</v>
      </c>
      <c r="M75" s="85"/>
      <c r="N75" s="109">
        <v>1.452</v>
      </c>
      <c r="O75" s="68"/>
      <c r="P75" s="67">
        <v>2053</v>
      </c>
      <c r="Q75" s="68"/>
      <c r="R75" s="69"/>
      <c r="S75" s="69"/>
      <c r="T75" s="69"/>
      <c r="U75" s="69"/>
      <c r="V75" s="69"/>
      <c r="W75" s="68"/>
      <c r="X75" s="70"/>
      <c r="Y75" s="70"/>
      <c r="Z75" s="70"/>
      <c r="AA75" s="70"/>
      <c r="AB75" s="70"/>
      <c r="AC75" s="68"/>
      <c r="AD75" s="71"/>
      <c r="AE75" s="71"/>
      <c r="AF75" s="71"/>
      <c r="AG75" s="71"/>
      <c r="AH75" s="71"/>
      <c r="AI75" s="68"/>
      <c r="AJ75" s="214"/>
      <c r="AK75" s="214"/>
      <c r="AL75" s="214"/>
      <c r="AM75" s="214"/>
      <c r="AN75" s="68"/>
      <c r="AO75" s="67"/>
      <c r="AP75" s="67"/>
      <c r="AQ75" s="67"/>
      <c r="AR75" s="67"/>
      <c r="AS75" s="67"/>
      <c r="AT75" s="68"/>
      <c r="AU75" s="49"/>
      <c r="AV75" s="50"/>
    </row>
    <row r="76" spans="1:48" ht="12.75" customHeight="1" x14ac:dyDescent="0.25">
      <c r="A76" s="72" t="s">
        <v>883</v>
      </c>
      <c r="B76" s="43" t="s">
        <v>4040</v>
      </c>
      <c r="C76" s="44" t="s">
        <v>3404</v>
      </c>
      <c r="D76" s="45">
        <f>MROUND(MID($C76,6,3)/Basis!$E$3,0.5)</f>
        <v>7</v>
      </c>
      <c r="E76" s="45">
        <f>MROUND(MID($C76,9,3)/Basis!$E$3,0.5)</f>
        <v>78.5</v>
      </c>
      <c r="F76" s="229" t="str">
        <f t="shared" si="1"/>
        <v>11</v>
      </c>
      <c r="G76" s="45">
        <f>ROUND(5/Basis!$E$3,1)</f>
        <v>2</v>
      </c>
      <c r="H76" s="120">
        <f>ROUND($P76*Basis!$E$2*((TaH-TrH)/LN(1/µ)/Basis!$E$7)^$N76*Glycol,0)</f>
        <v>1756</v>
      </c>
      <c r="I76" s="83">
        <f>ROUND(H76/(MID($C76,9,3)/Basis!$E$3/Basis!$E$9)*Basis!$E$11,0)</f>
        <v>268</v>
      </c>
      <c r="J76" s="123">
        <f>IF(Basis!$E$1=1,ROUND(H76/((TaH-TrH)*1.163)/3600,3),ROUND(H76/(500*(TaH-TrH)),2))</f>
        <v>0.18</v>
      </c>
      <c r="K76" s="84"/>
      <c r="L76" s="177">
        <f>CHOOSE(Basis!$E$1,((AJ76*(J76*3600/Basis!$E$5)^AK76*(((MID(C76,9,3)*10)-144)/1000)*AL76+AM76*(J76*3600/Basis!$E$5)^2)*0.0098)/Basis!$E$10,((AJ76*(J76/Basis!$E$5)^AK76*(((MID(C76,9,3)*10)-144)/1000)*AL76+AM76*(J76/Basis!$E$5)^2)*0.0098)/Basis!$E$10)</f>
        <v>0</v>
      </c>
      <c r="M76" s="85"/>
      <c r="N76" s="110">
        <v>1.248</v>
      </c>
      <c r="O76" s="74"/>
      <c r="P76" s="73">
        <v>777</v>
      </c>
      <c r="Q76" s="74"/>
      <c r="R76" s="75"/>
      <c r="S76" s="75"/>
      <c r="T76" s="75"/>
      <c r="U76" s="75"/>
      <c r="V76" s="75"/>
      <c r="W76" s="74"/>
      <c r="X76" s="76"/>
      <c r="Y76" s="76"/>
      <c r="Z76" s="76"/>
      <c r="AA76" s="76"/>
      <c r="AB76" s="76"/>
      <c r="AC76" s="74"/>
      <c r="AD76" s="77"/>
      <c r="AE76" s="77"/>
      <c r="AF76" s="77"/>
      <c r="AG76" s="77"/>
      <c r="AH76" s="77"/>
      <c r="AI76" s="68"/>
      <c r="AJ76" s="213"/>
      <c r="AK76" s="213"/>
      <c r="AL76" s="213"/>
      <c r="AM76" s="213"/>
      <c r="AN76" s="74"/>
      <c r="AO76" s="73"/>
      <c r="AP76" s="73"/>
      <c r="AQ76" s="73"/>
      <c r="AR76" s="73"/>
      <c r="AS76" s="73"/>
      <c r="AT76" s="74"/>
      <c r="AU76" s="47"/>
      <c r="AV76" s="48"/>
    </row>
    <row r="77" spans="1:48" ht="12.75" customHeight="1" x14ac:dyDescent="0.25">
      <c r="A77" s="72" t="s">
        <v>883</v>
      </c>
      <c r="B77" s="43" t="s">
        <v>4040</v>
      </c>
      <c r="C77" s="44" t="s">
        <v>3405</v>
      </c>
      <c r="D77" s="45">
        <f>MROUND(MID($C77,6,3)/Basis!$E$3,0.5)</f>
        <v>7</v>
      </c>
      <c r="E77" s="45">
        <f>MROUND(MID($C77,9,3)/Basis!$E$3,0.5)</f>
        <v>78.5</v>
      </c>
      <c r="F77" s="229" t="str">
        <f t="shared" si="1"/>
        <v>22</v>
      </c>
      <c r="G77" s="45">
        <f>ROUND(9/Basis!$E$3,1)</f>
        <v>3.5</v>
      </c>
      <c r="H77" s="120">
        <f>ROUND($P77*Basis!$E$2*((TaH-TrH)/LN(1/µ)/Basis!$E$7)^$N77*Glycol,0)</f>
        <v>2737</v>
      </c>
      <c r="I77" s="83">
        <f>ROUND(H77/(MID($C77,9,3)/Basis!$E$3/Basis!$E$9)*Basis!$E$11,0)</f>
        <v>417</v>
      </c>
      <c r="J77" s="123">
        <f>IF(Basis!$E$1=1,ROUND(H77/((TaH-TrH)*1.163)/3600,3),ROUND(H77/(500*(TaH-TrH)),2))</f>
        <v>0.27</v>
      </c>
      <c r="K77" s="84"/>
      <c r="L77" s="177">
        <f>CHOOSE(Basis!$E$1,((AJ77*(J77*3600/Basis!$E$5)^AK77*(((MID(C77,9,3)*10)-144)/1000)*AL77+AM77*(J77*3600/Basis!$E$5)^2)*0.0098)/Basis!$E$10,((AJ77*(J77/Basis!$E$5)^AK77*(((MID(C77,9,3)*10)-144)/1000)*AL77+AM77*(J77/Basis!$E$5)^2)*0.0098)/Basis!$E$10)</f>
        <v>0</v>
      </c>
      <c r="M77" s="85"/>
      <c r="N77" s="109">
        <v>1.349</v>
      </c>
      <c r="O77" s="68"/>
      <c r="P77" s="67">
        <v>1252</v>
      </c>
      <c r="Q77" s="68"/>
      <c r="R77" s="69"/>
      <c r="S77" s="69"/>
      <c r="T77" s="69"/>
      <c r="U77" s="69"/>
      <c r="V77" s="69"/>
      <c r="W77" s="68"/>
      <c r="X77" s="70"/>
      <c r="Y77" s="70"/>
      <c r="Z77" s="70"/>
      <c r="AA77" s="70"/>
      <c r="AB77" s="70"/>
      <c r="AC77" s="68"/>
      <c r="AD77" s="71"/>
      <c r="AE77" s="71"/>
      <c r="AF77" s="71"/>
      <c r="AG77" s="71"/>
      <c r="AH77" s="71"/>
      <c r="AI77" s="68"/>
      <c r="AJ77" s="214"/>
      <c r="AK77" s="214"/>
      <c r="AL77" s="214"/>
      <c r="AM77" s="214"/>
      <c r="AN77" s="68"/>
      <c r="AO77" s="67"/>
      <c r="AP77" s="67"/>
      <c r="AQ77" s="67"/>
      <c r="AR77" s="67"/>
      <c r="AS77" s="67"/>
      <c r="AT77" s="68"/>
      <c r="AU77" s="49"/>
      <c r="AV77" s="50"/>
    </row>
    <row r="78" spans="1:48" ht="12.75" customHeight="1" x14ac:dyDescent="0.25">
      <c r="A78" s="72" t="s">
        <v>883</v>
      </c>
      <c r="B78" s="43" t="s">
        <v>4040</v>
      </c>
      <c r="C78" s="44" t="s">
        <v>3406</v>
      </c>
      <c r="D78" s="45">
        <f>MROUND(MID($C78,6,3)/Basis!$E$3,0.5)</f>
        <v>7</v>
      </c>
      <c r="E78" s="45">
        <f>MROUND(MID($C78,9,3)/Basis!$E$3,0.5)</f>
        <v>78.5</v>
      </c>
      <c r="F78" s="229" t="str">
        <f t="shared" si="1"/>
        <v>34</v>
      </c>
      <c r="G78" s="45">
        <f>ROUND(16.9/Basis!$E$3,1)</f>
        <v>6.7</v>
      </c>
      <c r="H78" s="120">
        <f>ROUND($P78*Basis!$E$2*((TaH-TrH)/LN(1/µ)/Basis!$E$7)^$N78*Glycol,0)</f>
        <v>4820</v>
      </c>
      <c r="I78" s="83">
        <f>ROUND(H78/(MID($C78,9,3)/Basis!$E$3/Basis!$E$9)*Basis!$E$11,0)</f>
        <v>735</v>
      </c>
      <c r="J78" s="123">
        <f>IF(Basis!$E$1=1,ROUND(H78/((TaH-TrH)*1.163)/3600,3),ROUND(H78/(500*(TaH-TrH)),2))</f>
        <v>0.48</v>
      </c>
      <c r="K78" s="84"/>
      <c r="L78" s="177">
        <f>CHOOSE(Basis!$E$1,((AJ78*(J78*3600/Basis!$E$5)^AK78*(((MID(C78,9,3)*10)-144)/1000)*AL78+AM78*(J78*3600/Basis!$E$5)^2)*0.0098)/Basis!$E$10,((AJ78*(J78/Basis!$E$5)^AK78*(((MID(C78,9,3)*10)-144)/1000)*AL78+AM78*(J78/Basis!$E$5)^2)*0.0098)/Basis!$E$10)</f>
        <v>0</v>
      </c>
      <c r="M78" s="85"/>
      <c r="N78" s="109">
        <v>1.452</v>
      </c>
      <c r="O78" s="68"/>
      <c r="P78" s="67">
        <v>2281</v>
      </c>
      <c r="Q78" s="68"/>
      <c r="R78" s="69"/>
      <c r="S78" s="69"/>
      <c r="T78" s="69"/>
      <c r="U78" s="69"/>
      <c r="V78" s="69"/>
      <c r="W78" s="68"/>
      <c r="X78" s="70"/>
      <c r="Y78" s="70"/>
      <c r="Z78" s="70"/>
      <c r="AA78" s="70"/>
      <c r="AB78" s="70"/>
      <c r="AC78" s="68"/>
      <c r="AD78" s="71"/>
      <c r="AE78" s="71"/>
      <c r="AF78" s="71"/>
      <c r="AG78" s="71"/>
      <c r="AH78" s="71"/>
      <c r="AI78" s="68"/>
      <c r="AJ78" s="214"/>
      <c r="AK78" s="214"/>
      <c r="AL78" s="214"/>
      <c r="AM78" s="214"/>
      <c r="AN78" s="68"/>
      <c r="AO78" s="67"/>
      <c r="AP78" s="67"/>
      <c r="AQ78" s="67"/>
      <c r="AR78" s="67"/>
      <c r="AS78" s="67"/>
      <c r="AT78" s="68"/>
      <c r="AU78" s="49"/>
      <c r="AV78" s="50"/>
    </row>
    <row r="79" spans="1:48" ht="12.75" customHeight="1" x14ac:dyDescent="0.25">
      <c r="A79" s="72" t="s">
        <v>883</v>
      </c>
      <c r="B79" s="43" t="s">
        <v>4040</v>
      </c>
      <c r="C79" s="44" t="s">
        <v>3407</v>
      </c>
      <c r="D79" s="45">
        <f>MROUND(MID($C79,6,3)/Basis!$E$3,0.5)</f>
        <v>7</v>
      </c>
      <c r="E79" s="45">
        <f>MROUND(MID($C79,9,3)/Basis!$E$3,0.5)</f>
        <v>86.5</v>
      </c>
      <c r="F79" s="229" t="str">
        <f t="shared" si="1"/>
        <v>11</v>
      </c>
      <c r="G79" s="45">
        <f>ROUND(5/Basis!$E$3,1)</f>
        <v>2</v>
      </c>
      <c r="H79" s="120">
        <f>ROUND($P79*Basis!$E$2*((TaH-TrH)/LN(1/µ)/Basis!$E$7)^$N79*Glycol,0)</f>
        <v>1932</v>
      </c>
      <c r="I79" s="83">
        <f>ROUND(H79/(MID($C79,9,3)/Basis!$E$3/Basis!$E$9)*Basis!$E$11,0)</f>
        <v>268</v>
      </c>
      <c r="J79" s="123">
        <f>IF(Basis!$E$1=1,ROUND(H79/((TaH-TrH)*1.163)/3600,3),ROUND(H79/(500*(TaH-TrH)),2))</f>
        <v>0.19</v>
      </c>
      <c r="K79" s="84"/>
      <c r="L79" s="177">
        <f>CHOOSE(Basis!$E$1,((AJ79*(J79*3600/Basis!$E$5)^AK79*(((MID(C79,9,3)*10)-144)/1000)*AL79+AM79*(J79*3600/Basis!$E$5)^2)*0.0098)/Basis!$E$10,((AJ79*(J79/Basis!$E$5)^AK79*(((MID(C79,9,3)*10)-144)/1000)*AL79+AM79*(J79/Basis!$E$5)^2)*0.0098)/Basis!$E$10)</f>
        <v>0</v>
      </c>
      <c r="M79" s="85"/>
      <c r="N79" s="110">
        <v>1.248</v>
      </c>
      <c r="O79" s="74"/>
      <c r="P79" s="73">
        <v>855</v>
      </c>
      <c r="Q79" s="74"/>
      <c r="R79" s="75"/>
      <c r="S79" s="75"/>
      <c r="T79" s="75"/>
      <c r="U79" s="75"/>
      <c r="V79" s="75"/>
      <c r="W79" s="74"/>
      <c r="X79" s="76"/>
      <c r="Y79" s="76"/>
      <c r="Z79" s="76"/>
      <c r="AA79" s="76"/>
      <c r="AB79" s="76"/>
      <c r="AC79" s="74"/>
      <c r="AD79" s="77"/>
      <c r="AE79" s="77"/>
      <c r="AF79" s="77"/>
      <c r="AG79" s="77"/>
      <c r="AH79" s="77"/>
      <c r="AI79" s="68"/>
      <c r="AJ79" s="213"/>
      <c r="AK79" s="213"/>
      <c r="AL79" s="213"/>
      <c r="AM79" s="213"/>
      <c r="AN79" s="74"/>
      <c r="AO79" s="73"/>
      <c r="AP79" s="73"/>
      <c r="AQ79" s="73"/>
      <c r="AR79" s="73"/>
      <c r="AS79" s="73"/>
      <c r="AT79" s="74"/>
      <c r="AU79" s="47"/>
      <c r="AV79" s="48"/>
    </row>
    <row r="80" spans="1:48" ht="12.75" customHeight="1" x14ac:dyDescent="0.25">
      <c r="A80" s="72" t="s">
        <v>883</v>
      </c>
      <c r="B80" s="43" t="s">
        <v>4040</v>
      </c>
      <c r="C80" s="44" t="s">
        <v>3408</v>
      </c>
      <c r="D80" s="45">
        <f>MROUND(MID($C80,6,3)/Basis!$E$3,0.5)</f>
        <v>7</v>
      </c>
      <c r="E80" s="45">
        <f>MROUND(MID($C80,9,3)/Basis!$E$3,0.5)</f>
        <v>86.5</v>
      </c>
      <c r="F80" s="229" t="str">
        <f t="shared" si="1"/>
        <v>22</v>
      </c>
      <c r="G80" s="45">
        <f>ROUND(9/Basis!$E$3,1)</f>
        <v>3.5</v>
      </c>
      <c r="H80" s="120">
        <f>ROUND($P80*Basis!$E$2*((TaH-TrH)/LN(1/µ)/Basis!$E$7)^$N80*Glycol,0)</f>
        <v>3010</v>
      </c>
      <c r="I80" s="83">
        <f>ROUND(H80/(MID($C80,9,3)/Basis!$E$3/Basis!$E$9)*Basis!$E$11,0)</f>
        <v>417</v>
      </c>
      <c r="J80" s="123">
        <f>IF(Basis!$E$1=1,ROUND(H80/((TaH-TrH)*1.163)/3600,3),ROUND(H80/(500*(TaH-TrH)),2))</f>
        <v>0.3</v>
      </c>
      <c r="K80" s="84"/>
      <c r="L80" s="177">
        <f>CHOOSE(Basis!$E$1,((AJ80*(J80*3600/Basis!$E$5)^AK80*(((MID(C80,9,3)*10)-144)/1000)*AL80+AM80*(J80*3600/Basis!$E$5)^2)*0.0098)/Basis!$E$10,((AJ80*(J80/Basis!$E$5)^AK80*(((MID(C80,9,3)*10)-144)/1000)*AL80+AM80*(J80/Basis!$E$5)^2)*0.0098)/Basis!$E$10)</f>
        <v>0</v>
      </c>
      <c r="M80" s="85"/>
      <c r="N80" s="110">
        <v>1.349</v>
      </c>
      <c r="O80" s="74"/>
      <c r="P80" s="73">
        <v>1377</v>
      </c>
      <c r="Q80" s="74"/>
      <c r="R80" s="75"/>
      <c r="S80" s="75"/>
      <c r="T80" s="75"/>
      <c r="U80" s="75"/>
      <c r="V80" s="75"/>
      <c r="W80" s="74"/>
      <c r="X80" s="76"/>
      <c r="Y80" s="76"/>
      <c r="Z80" s="76"/>
      <c r="AA80" s="76"/>
      <c r="AB80" s="76"/>
      <c r="AC80" s="74"/>
      <c r="AD80" s="77"/>
      <c r="AE80" s="77"/>
      <c r="AF80" s="77"/>
      <c r="AG80" s="77"/>
      <c r="AH80" s="77"/>
      <c r="AI80" s="68"/>
      <c r="AJ80" s="213"/>
      <c r="AK80" s="213"/>
      <c r="AL80" s="213"/>
      <c r="AM80" s="213"/>
      <c r="AN80" s="74"/>
      <c r="AO80" s="73"/>
      <c r="AP80" s="73"/>
      <c r="AQ80" s="73"/>
      <c r="AR80" s="73"/>
      <c r="AS80" s="73"/>
      <c r="AT80" s="74"/>
      <c r="AU80" s="47"/>
      <c r="AV80" s="48"/>
    </row>
    <row r="81" spans="1:48" ht="12.75" customHeight="1" x14ac:dyDescent="0.25">
      <c r="A81" s="72" t="s">
        <v>883</v>
      </c>
      <c r="B81" s="43" t="s">
        <v>4040</v>
      </c>
      <c r="C81" s="44" t="s">
        <v>3409</v>
      </c>
      <c r="D81" s="45">
        <f>MROUND(MID($C81,6,3)/Basis!$E$3,0.5)</f>
        <v>7</v>
      </c>
      <c r="E81" s="45">
        <f>MROUND(MID($C81,9,3)/Basis!$E$3,0.5)</f>
        <v>86.5</v>
      </c>
      <c r="F81" s="229" t="str">
        <f t="shared" si="1"/>
        <v>34</v>
      </c>
      <c r="G81" s="45">
        <f>ROUND(16.9/Basis!$E$3,1)</f>
        <v>6.7</v>
      </c>
      <c r="H81" s="120">
        <f>ROUND($P81*Basis!$E$2*((TaH-TrH)/LN(1/µ)/Basis!$E$7)^$N81*Glycol,0)</f>
        <v>5302</v>
      </c>
      <c r="I81" s="83">
        <f>ROUND(H81/(MID($C81,9,3)/Basis!$E$3/Basis!$E$9)*Basis!$E$11,0)</f>
        <v>735</v>
      </c>
      <c r="J81" s="123">
        <f>IF(Basis!$E$1=1,ROUND(H81/((TaH-TrH)*1.163)/3600,3),ROUND(H81/(500*(TaH-TrH)),2))</f>
        <v>0.53</v>
      </c>
      <c r="K81" s="84"/>
      <c r="L81" s="177">
        <f>CHOOSE(Basis!$E$1,((AJ81*(J81*3600/Basis!$E$5)^AK81*(((MID(C81,9,3)*10)-144)/1000)*AL81+AM81*(J81*3600/Basis!$E$5)^2)*0.0098)/Basis!$E$10,((AJ81*(J81/Basis!$E$5)^AK81*(((MID(C81,9,3)*10)-144)/1000)*AL81+AM81*(J81/Basis!$E$5)^2)*0.0098)/Basis!$E$10)</f>
        <v>0</v>
      </c>
      <c r="M81" s="85"/>
      <c r="N81" s="109">
        <v>1.452</v>
      </c>
      <c r="O81" s="68"/>
      <c r="P81" s="67">
        <v>2509</v>
      </c>
      <c r="Q81" s="68"/>
      <c r="R81" s="69"/>
      <c r="S81" s="69"/>
      <c r="T81" s="69"/>
      <c r="U81" s="69"/>
      <c r="V81" s="69"/>
      <c r="W81" s="68"/>
      <c r="X81" s="70"/>
      <c r="Y81" s="70"/>
      <c r="Z81" s="70"/>
      <c r="AA81" s="70"/>
      <c r="AB81" s="70"/>
      <c r="AC81" s="68"/>
      <c r="AD81" s="71"/>
      <c r="AE81" s="71"/>
      <c r="AF81" s="71"/>
      <c r="AG81" s="71"/>
      <c r="AH81" s="71"/>
      <c r="AI81" s="68"/>
      <c r="AJ81" s="214"/>
      <c r="AK81" s="214"/>
      <c r="AL81" s="214"/>
      <c r="AM81" s="214"/>
      <c r="AN81" s="68"/>
      <c r="AO81" s="67"/>
      <c r="AP81" s="67"/>
      <c r="AQ81" s="67"/>
      <c r="AR81" s="67"/>
      <c r="AS81" s="67"/>
      <c r="AT81" s="68"/>
      <c r="AU81" s="49"/>
      <c r="AV81" s="50"/>
    </row>
    <row r="82" spans="1:48" ht="12.75" customHeight="1" x14ac:dyDescent="0.25">
      <c r="A82" s="72" t="s">
        <v>883</v>
      </c>
      <c r="B82" s="43" t="s">
        <v>4040</v>
      </c>
      <c r="C82" s="44" t="s">
        <v>3410</v>
      </c>
      <c r="D82" s="45">
        <f>MROUND(MID($C82,6,3)/Basis!$E$3,0.5)</f>
        <v>7</v>
      </c>
      <c r="E82" s="45">
        <f>MROUND(MID($C82,9,3)/Basis!$E$3,0.5)</f>
        <v>94.5</v>
      </c>
      <c r="F82" s="229" t="str">
        <f t="shared" si="1"/>
        <v>11</v>
      </c>
      <c r="G82" s="45">
        <f>ROUND(5/Basis!$E$3,1)</f>
        <v>2</v>
      </c>
      <c r="H82" s="120">
        <f>ROUND($P82*Basis!$E$2*((TaH-TrH)/LN(1/µ)/Basis!$E$7)^$N82*Glycol,0)</f>
        <v>2106</v>
      </c>
      <c r="I82" s="83">
        <f>ROUND(H82/(MID($C82,9,3)/Basis!$E$3/Basis!$E$9)*Basis!$E$11,0)</f>
        <v>267</v>
      </c>
      <c r="J82" s="123">
        <f>IF(Basis!$E$1=1,ROUND(H82/((TaH-TrH)*1.163)/3600,3),ROUND(H82/(500*(TaH-TrH)),2))</f>
        <v>0.21</v>
      </c>
      <c r="K82" s="84"/>
      <c r="L82" s="177">
        <f>CHOOSE(Basis!$E$1,((AJ82*(J82*3600/Basis!$E$5)^AK82*(((MID(C82,9,3)*10)-144)/1000)*AL82+AM82*(J82*3600/Basis!$E$5)^2)*0.0098)/Basis!$E$10,((AJ82*(J82/Basis!$E$5)^AK82*(((MID(C82,9,3)*10)-144)/1000)*AL82+AM82*(J82/Basis!$E$5)^2)*0.0098)/Basis!$E$10)</f>
        <v>0</v>
      </c>
      <c r="M82" s="85"/>
      <c r="N82" s="109">
        <v>1.248</v>
      </c>
      <c r="O82" s="68"/>
      <c r="P82" s="67">
        <v>932</v>
      </c>
      <c r="Q82" s="68"/>
      <c r="R82" s="69"/>
      <c r="S82" s="69"/>
      <c r="T82" s="69"/>
      <c r="U82" s="69"/>
      <c r="V82" s="69"/>
      <c r="W82" s="68"/>
      <c r="X82" s="70"/>
      <c r="Y82" s="70"/>
      <c r="Z82" s="70"/>
      <c r="AA82" s="70"/>
      <c r="AB82" s="70"/>
      <c r="AC82" s="68"/>
      <c r="AD82" s="71"/>
      <c r="AE82" s="71"/>
      <c r="AF82" s="71"/>
      <c r="AG82" s="71"/>
      <c r="AH82" s="71"/>
      <c r="AI82" s="68"/>
      <c r="AJ82" s="214"/>
      <c r="AK82" s="214"/>
      <c r="AL82" s="214"/>
      <c r="AM82" s="214"/>
      <c r="AN82" s="68"/>
      <c r="AO82" s="67"/>
      <c r="AP82" s="67"/>
      <c r="AQ82" s="67"/>
      <c r="AR82" s="67"/>
      <c r="AS82" s="67"/>
      <c r="AT82" s="68"/>
      <c r="AU82" s="49"/>
      <c r="AV82" s="50"/>
    </row>
    <row r="83" spans="1:48" ht="12.75" customHeight="1" x14ac:dyDescent="0.25">
      <c r="A83" s="72" t="s">
        <v>883</v>
      </c>
      <c r="B83" s="43" t="s">
        <v>4040</v>
      </c>
      <c r="C83" s="44" t="s">
        <v>3411</v>
      </c>
      <c r="D83" s="45">
        <f>MROUND(MID($C83,6,3)/Basis!$E$3,0.5)</f>
        <v>7</v>
      </c>
      <c r="E83" s="45">
        <f>MROUND(MID($C83,9,3)/Basis!$E$3,0.5)</f>
        <v>94.5</v>
      </c>
      <c r="F83" s="229" t="str">
        <f t="shared" si="1"/>
        <v>22</v>
      </c>
      <c r="G83" s="45">
        <f>ROUND(9/Basis!$E$3,1)</f>
        <v>3.5</v>
      </c>
      <c r="H83" s="120">
        <f>ROUND($P83*Basis!$E$2*((TaH-TrH)/LN(1/µ)/Basis!$E$7)^$N83*Glycol,0)</f>
        <v>3283</v>
      </c>
      <c r="I83" s="83">
        <f>ROUND(H83/(MID($C83,9,3)/Basis!$E$3/Basis!$E$9)*Basis!$E$11,0)</f>
        <v>417</v>
      </c>
      <c r="J83" s="123">
        <f>IF(Basis!$E$1=1,ROUND(H83/((TaH-TrH)*1.163)/3600,3),ROUND(H83/(500*(TaH-TrH)),2))</f>
        <v>0.33</v>
      </c>
      <c r="K83" s="84"/>
      <c r="L83" s="177">
        <f>CHOOSE(Basis!$E$1,((AJ83*(J83*3600/Basis!$E$5)^AK83*(((MID(C83,9,3)*10)-144)/1000)*AL83+AM83*(J83*3600/Basis!$E$5)^2)*0.0098)/Basis!$E$10,((AJ83*(J83/Basis!$E$5)^AK83*(((MID(C83,9,3)*10)-144)/1000)*AL83+AM83*(J83/Basis!$E$5)^2)*0.0098)/Basis!$E$10)</f>
        <v>0</v>
      </c>
      <c r="M83" s="85"/>
      <c r="N83" s="110">
        <v>1.349</v>
      </c>
      <c r="O83" s="74"/>
      <c r="P83" s="73">
        <v>1502</v>
      </c>
      <c r="Q83" s="74"/>
      <c r="R83" s="75"/>
      <c r="S83" s="75"/>
      <c r="T83" s="75"/>
      <c r="U83" s="75"/>
      <c r="V83" s="75"/>
      <c r="W83" s="74"/>
      <c r="X83" s="76"/>
      <c r="Y83" s="76"/>
      <c r="Z83" s="76"/>
      <c r="AA83" s="76"/>
      <c r="AB83" s="76"/>
      <c r="AC83" s="74"/>
      <c r="AD83" s="77"/>
      <c r="AE83" s="77"/>
      <c r="AF83" s="77"/>
      <c r="AG83" s="77"/>
      <c r="AH83" s="77"/>
      <c r="AI83" s="68"/>
      <c r="AJ83" s="213"/>
      <c r="AK83" s="213"/>
      <c r="AL83" s="213"/>
      <c r="AM83" s="213"/>
      <c r="AN83" s="74"/>
      <c r="AO83" s="73"/>
      <c r="AP83" s="73"/>
      <c r="AQ83" s="73"/>
      <c r="AR83" s="73"/>
      <c r="AS83" s="73"/>
      <c r="AT83" s="74"/>
      <c r="AU83" s="47"/>
      <c r="AV83" s="48"/>
    </row>
    <row r="84" spans="1:48" ht="12.75" customHeight="1" x14ac:dyDescent="0.25">
      <c r="A84" s="72" t="s">
        <v>883</v>
      </c>
      <c r="B84" s="43" t="s">
        <v>4040</v>
      </c>
      <c r="C84" s="44" t="s">
        <v>3412</v>
      </c>
      <c r="D84" s="45">
        <f>MROUND(MID($C84,6,3)/Basis!$E$3,0.5)</f>
        <v>7</v>
      </c>
      <c r="E84" s="45">
        <f>MROUND(MID($C84,9,3)/Basis!$E$3,0.5)</f>
        <v>94.5</v>
      </c>
      <c r="F84" s="229" t="str">
        <f t="shared" si="1"/>
        <v>34</v>
      </c>
      <c r="G84" s="45">
        <f>ROUND(16.9/Basis!$E$3,1)</f>
        <v>6.7</v>
      </c>
      <c r="H84" s="120">
        <f>ROUND($P84*Basis!$E$2*((TaH-TrH)/LN(1/µ)/Basis!$E$7)^$N84*Glycol,0)</f>
        <v>5783</v>
      </c>
      <c r="I84" s="83">
        <f>ROUND(H84/(MID($C84,9,3)/Basis!$E$3/Basis!$E$9)*Basis!$E$11,0)</f>
        <v>734</v>
      </c>
      <c r="J84" s="123">
        <f>IF(Basis!$E$1=1,ROUND(H84/((TaH-TrH)*1.163)/3600,3),ROUND(H84/(500*(TaH-TrH)),2))</f>
        <v>0.57999999999999996</v>
      </c>
      <c r="K84" s="84"/>
      <c r="L84" s="177">
        <f>CHOOSE(Basis!$E$1,((AJ84*(J84*3600/Basis!$E$5)^AK84*(((MID(C84,9,3)*10)-144)/1000)*AL84+AM84*(J84*3600/Basis!$E$5)^2)*0.0098)/Basis!$E$10,((AJ84*(J84/Basis!$E$5)^AK84*(((MID(C84,9,3)*10)-144)/1000)*AL84+AM84*(J84/Basis!$E$5)^2)*0.0098)/Basis!$E$10)</f>
        <v>0</v>
      </c>
      <c r="M84" s="85"/>
      <c r="N84" s="110">
        <v>1.452</v>
      </c>
      <c r="O84" s="74"/>
      <c r="P84" s="73">
        <v>2737</v>
      </c>
      <c r="Q84" s="74"/>
      <c r="R84" s="75"/>
      <c r="S84" s="75"/>
      <c r="T84" s="75"/>
      <c r="U84" s="75"/>
      <c r="V84" s="75"/>
      <c r="W84" s="74"/>
      <c r="X84" s="76"/>
      <c r="Y84" s="76"/>
      <c r="Z84" s="76"/>
      <c r="AA84" s="76"/>
      <c r="AB84" s="76"/>
      <c r="AC84" s="74"/>
      <c r="AD84" s="77"/>
      <c r="AE84" s="77"/>
      <c r="AF84" s="77"/>
      <c r="AG84" s="77"/>
      <c r="AH84" s="77"/>
      <c r="AI84" s="68"/>
      <c r="AJ84" s="213"/>
      <c r="AK84" s="213"/>
      <c r="AL84" s="213"/>
      <c r="AM84" s="213"/>
      <c r="AN84" s="74"/>
      <c r="AO84" s="73"/>
      <c r="AP84" s="73"/>
      <c r="AQ84" s="73"/>
      <c r="AR84" s="73"/>
      <c r="AS84" s="73"/>
      <c r="AT84" s="74"/>
      <c r="AU84" s="47"/>
      <c r="AV84" s="48"/>
    </row>
    <row r="85" spans="1:48" ht="12.75" customHeight="1" x14ac:dyDescent="0.25">
      <c r="A85" s="72" t="s">
        <v>883</v>
      </c>
      <c r="B85" s="43" t="s">
        <v>4040</v>
      </c>
      <c r="C85" s="44" t="s">
        <v>3413</v>
      </c>
      <c r="D85" s="45">
        <f>MROUND(MID($C85,6,3)/Basis!$E$3,0.5)</f>
        <v>7</v>
      </c>
      <c r="E85" s="45">
        <f>MROUND(MID($C85,9,3)/Basis!$E$3,0.5)</f>
        <v>102.5</v>
      </c>
      <c r="F85" s="229" t="str">
        <f t="shared" si="1"/>
        <v>11</v>
      </c>
      <c r="G85" s="45">
        <f>ROUND(5/Basis!$E$3,1)</f>
        <v>2</v>
      </c>
      <c r="H85" s="120">
        <f>ROUND($P85*Basis!$E$2*((TaH-TrH)/LN(1/µ)/Basis!$E$7)^$N85*Glycol,0)</f>
        <v>2283</v>
      </c>
      <c r="I85" s="83">
        <f>ROUND(H85/(MID($C85,9,3)/Basis!$E$3/Basis!$E$9)*Basis!$E$11,0)</f>
        <v>268</v>
      </c>
      <c r="J85" s="123">
        <f>IF(Basis!$E$1=1,ROUND(H85/((TaH-TrH)*1.163)/3600,3),ROUND(H85/(500*(TaH-TrH)),2))</f>
        <v>0.23</v>
      </c>
      <c r="K85" s="84"/>
      <c r="L85" s="177">
        <f>CHOOSE(Basis!$E$1,((AJ85*(J85*3600/Basis!$E$5)^AK85*(((MID(C85,9,3)*10)-144)/1000)*AL85+AM85*(J85*3600/Basis!$E$5)^2)*0.0098)/Basis!$E$10,((AJ85*(J85/Basis!$E$5)^AK85*(((MID(C85,9,3)*10)-144)/1000)*AL85+AM85*(J85/Basis!$E$5)^2)*0.0098)/Basis!$E$10)</f>
        <v>0</v>
      </c>
      <c r="M85" s="85"/>
      <c r="N85" s="109">
        <v>1.248</v>
      </c>
      <c r="O85" s="68"/>
      <c r="P85" s="67">
        <v>1010</v>
      </c>
      <c r="Q85" s="68"/>
      <c r="R85" s="69"/>
      <c r="S85" s="69"/>
      <c r="T85" s="69"/>
      <c r="U85" s="69"/>
      <c r="V85" s="69"/>
      <c r="W85" s="68"/>
      <c r="X85" s="70"/>
      <c r="Y85" s="70"/>
      <c r="Z85" s="70"/>
      <c r="AA85" s="70"/>
      <c r="AB85" s="70"/>
      <c r="AC85" s="68"/>
      <c r="AD85" s="71"/>
      <c r="AE85" s="71"/>
      <c r="AF85" s="71"/>
      <c r="AG85" s="71"/>
      <c r="AH85" s="71"/>
      <c r="AI85" s="68"/>
      <c r="AJ85" s="214"/>
      <c r="AK85" s="214"/>
      <c r="AL85" s="214"/>
      <c r="AM85" s="214"/>
      <c r="AN85" s="68"/>
      <c r="AO85" s="67"/>
      <c r="AP85" s="67"/>
      <c r="AQ85" s="67"/>
      <c r="AR85" s="67"/>
      <c r="AS85" s="67"/>
      <c r="AT85" s="68"/>
      <c r="AU85" s="49"/>
      <c r="AV85" s="50"/>
    </row>
    <row r="86" spans="1:48" ht="12.75" customHeight="1" x14ac:dyDescent="0.25">
      <c r="A86" s="72" t="s">
        <v>883</v>
      </c>
      <c r="B86" s="43" t="s">
        <v>4040</v>
      </c>
      <c r="C86" s="44" t="s">
        <v>3414</v>
      </c>
      <c r="D86" s="45">
        <f>MROUND(MID($C86,6,3)/Basis!$E$3,0.5)</f>
        <v>7</v>
      </c>
      <c r="E86" s="45">
        <f>MROUND(MID($C86,9,3)/Basis!$E$3,0.5)</f>
        <v>102.5</v>
      </c>
      <c r="F86" s="229" t="str">
        <f t="shared" si="1"/>
        <v>22</v>
      </c>
      <c r="G86" s="45">
        <f>ROUND(9/Basis!$E$3,1)</f>
        <v>3.5</v>
      </c>
      <c r="H86" s="120">
        <f>ROUND($P86*Basis!$E$2*((TaH-TrH)/LN(1/µ)/Basis!$E$7)^$N86*Glycol,0)</f>
        <v>3557</v>
      </c>
      <c r="I86" s="83">
        <f>ROUND(H86/(MID($C86,9,3)/Basis!$E$3/Basis!$E$9)*Basis!$E$11,0)</f>
        <v>417</v>
      </c>
      <c r="J86" s="123">
        <f>IF(Basis!$E$1=1,ROUND(H86/((TaH-TrH)*1.163)/3600,3),ROUND(H86/(500*(TaH-TrH)),2))</f>
        <v>0.36</v>
      </c>
      <c r="K86" s="84"/>
      <c r="L86" s="177">
        <f>CHOOSE(Basis!$E$1,((AJ86*(J86*3600/Basis!$E$5)^AK86*(((MID(C86,9,3)*10)-144)/1000)*AL86+AM86*(J86*3600/Basis!$E$5)^2)*0.0098)/Basis!$E$10,((AJ86*(J86/Basis!$E$5)^AK86*(((MID(C86,9,3)*10)-144)/1000)*AL86+AM86*(J86/Basis!$E$5)^2)*0.0098)/Basis!$E$10)</f>
        <v>0</v>
      </c>
      <c r="M86" s="85"/>
      <c r="N86" s="109">
        <v>1.349</v>
      </c>
      <c r="O86" s="68"/>
      <c r="P86" s="67">
        <v>1627</v>
      </c>
      <c r="Q86" s="68"/>
      <c r="R86" s="69"/>
      <c r="S86" s="69"/>
      <c r="T86" s="69"/>
      <c r="U86" s="69"/>
      <c r="V86" s="69"/>
      <c r="W86" s="68"/>
      <c r="X86" s="70"/>
      <c r="Y86" s="70"/>
      <c r="Z86" s="70"/>
      <c r="AA86" s="70"/>
      <c r="AB86" s="70"/>
      <c r="AC86" s="68"/>
      <c r="AD86" s="71"/>
      <c r="AE86" s="71"/>
      <c r="AF86" s="71"/>
      <c r="AG86" s="71"/>
      <c r="AH86" s="71"/>
      <c r="AI86" s="68"/>
      <c r="AJ86" s="214"/>
      <c r="AK86" s="214"/>
      <c r="AL86" s="214"/>
      <c r="AM86" s="214"/>
      <c r="AN86" s="68"/>
      <c r="AO86" s="67"/>
      <c r="AP86" s="67"/>
      <c r="AQ86" s="67"/>
      <c r="AR86" s="67"/>
      <c r="AS86" s="67"/>
      <c r="AT86" s="68"/>
      <c r="AU86" s="49"/>
      <c r="AV86" s="50"/>
    </row>
    <row r="87" spans="1:48" ht="12.75" customHeight="1" x14ac:dyDescent="0.25">
      <c r="A87" s="72" t="s">
        <v>883</v>
      </c>
      <c r="B87" s="43" t="s">
        <v>4040</v>
      </c>
      <c r="C87" s="44" t="s">
        <v>3415</v>
      </c>
      <c r="D87" s="45">
        <f>MROUND(MID($C87,6,3)/Basis!$E$3,0.5)</f>
        <v>7</v>
      </c>
      <c r="E87" s="45">
        <f>MROUND(MID($C87,9,3)/Basis!$E$3,0.5)</f>
        <v>102.5</v>
      </c>
      <c r="F87" s="229" t="str">
        <f t="shared" si="1"/>
        <v>34</v>
      </c>
      <c r="G87" s="45">
        <f>ROUND(16.9/Basis!$E$3,1)</f>
        <v>6.7</v>
      </c>
      <c r="H87" s="120">
        <f>ROUND($P87*Basis!$E$2*((TaH-TrH)/LN(1/µ)/Basis!$E$7)^$N87*Glycol,0)</f>
        <v>6265</v>
      </c>
      <c r="I87" s="83">
        <f>ROUND(H87/(MID($C87,9,3)/Basis!$E$3/Basis!$E$9)*Basis!$E$11,0)</f>
        <v>734</v>
      </c>
      <c r="J87" s="123">
        <f>IF(Basis!$E$1=1,ROUND(H87/((TaH-TrH)*1.163)/3600,3),ROUND(H87/(500*(TaH-TrH)),2))</f>
        <v>0.63</v>
      </c>
      <c r="K87" s="84"/>
      <c r="L87" s="177">
        <f>CHOOSE(Basis!$E$1,((AJ87*(J87*3600/Basis!$E$5)^AK87*(((MID(C87,9,3)*10)-144)/1000)*AL87+AM87*(J87*3600/Basis!$E$5)^2)*0.0098)/Basis!$E$10,((AJ87*(J87/Basis!$E$5)^AK87*(((MID(C87,9,3)*10)-144)/1000)*AL87+AM87*(J87/Basis!$E$5)^2)*0.0098)/Basis!$E$10)</f>
        <v>0</v>
      </c>
      <c r="M87" s="85"/>
      <c r="N87" s="110">
        <v>1.452</v>
      </c>
      <c r="O87" s="74"/>
      <c r="P87" s="73">
        <v>2965</v>
      </c>
      <c r="Q87" s="74"/>
      <c r="R87" s="75"/>
      <c r="S87" s="75"/>
      <c r="T87" s="75"/>
      <c r="U87" s="75"/>
      <c r="V87" s="75"/>
      <c r="W87" s="74"/>
      <c r="X87" s="76"/>
      <c r="Y87" s="76"/>
      <c r="Z87" s="76"/>
      <c r="AA87" s="76"/>
      <c r="AB87" s="76"/>
      <c r="AC87" s="74"/>
      <c r="AD87" s="77"/>
      <c r="AE87" s="77"/>
      <c r="AF87" s="77"/>
      <c r="AG87" s="77"/>
      <c r="AH87" s="77"/>
      <c r="AI87" s="68"/>
      <c r="AJ87" s="213"/>
      <c r="AK87" s="213"/>
      <c r="AL87" s="213"/>
      <c r="AM87" s="213"/>
      <c r="AN87" s="74"/>
      <c r="AO87" s="73"/>
      <c r="AP87" s="73"/>
      <c r="AQ87" s="73"/>
      <c r="AR87" s="73"/>
      <c r="AS87" s="73"/>
      <c r="AT87" s="74"/>
      <c r="AU87" s="47"/>
      <c r="AV87" s="48"/>
    </row>
    <row r="88" spans="1:48" ht="12.75" customHeight="1" x14ac:dyDescent="0.25">
      <c r="A88" s="72" t="s">
        <v>883</v>
      </c>
      <c r="B88" s="43" t="s">
        <v>4040</v>
      </c>
      <c r="C88" s="44" t="s">
        <v>3416</v>
      </c>
      <c r="D88" s="45">
        <f>MROUND(MID($C88,6,3)/Basis!$E$3,0.5)</f>
        <v>7</v>
      </c>
      <c r="E88" s="45">
        <f>MROUND(MID($C88,9,3)/Basis!$E$3,0.5)</f>
        <v>110</v>
      </c>
      <c r="F88" s="229" t="str">
        <f t="shared" si="1"/>
        <v>11</v>
      </c>
      <c r="G88" s="45">
        <f>ROUND(5/Basis!$E$3,1)</f>
        <v>2</v>
      </c>
      <c r="H88" s="120">
        <f>ROUND($P88*Basis!$E$2*((TaH-TrH)/LN(1/µ)/Basis!$E$7)^$N88*Glycol,0)</f>
        <v>2459</v>
      </c>
      <c r="I88" s="83">
        <f>ROUND(H88/(MID($C88,9,3)/Basis!$E$3/Basis!$E$9)*Basis!$E$11,0)</f>
        <v>268</v>
      </c>
      <c r="J88" s="123">
        <f>IF(Basis!$E$1=1,ROUND(H88/((TaH-TrH)*1.163)/3600,3),ROUND(H88/(500*(TaH-TrH)),2))</f>
        <v>0.25</v>
      </c>
      <c r="K88" s="84"/>
      <c r="L88" s="177">
        <f>CHOOSE(Basis!$E$1,((AJ88*(J88*3600/Basis!$E$5)^AK88*(((MID(C88,9,3)*10)-144)/1000)*AL88+AM88*(J88*3600/Basis!$E$5)^2)*0.0098)/Basis!$E$10,((AJ88*(J88/Basis!$E$5)^AK88*(((MID(C88,9,3)*10)-144)/1000)*AL88+AM88*(J88/Basis!$E$5)^2)*0.0098)/Basis!$E$10)</f>
        <v>0</v>
      </c>
      <c r="M88" s="85"/>
      <c r="N88" s="110">
        <v>1.248</v>
      </c>
      <c r="O88" s="74"/>
      <c r="P88" s="73">
        <v>1088</v>
      </c>
      <c r="Q88" s="74"/>
      <c r="R88" s="75"/>
      <c r="S88" s="75"/>
      <c r="T88" s="75"/>
      <c r="U88" s="75"/>
      <c r="V88" s="75"/>
      <c r="W88" s="74"/>
      <c r="X88" s="76"/>
      <c r="Y88" s="76"/>
      <c r="Z88" s="76"/>
      <c r="AA88" s="76"/>
      <c r="AB88" s="76"/>
      <c r="AC88" s="74"/>
      <c r="AD88" s="77"/>
      <c r="AE88" s="77"/>
      <c r="AF88" s="77"/>
      <c r="AG88" s="77"/>
      <c r="AH88" s="77"/>
      <c r="AI88" s="68"/>
      <c r="AJ88" s="213"/>
      <c r="AK88" s="213"/>
      <c r="AL88" s="213"/>
      <c r="AM88" s="213"/>
      <c r="AN88" s="74"/>
      <c r="AO88" s="73"/>
      <c r="AP88" s="73"/>
      <c r="AQ88" s="73"/>
      <c r="AR88" s="73"/>
      <c r="AS88" s="73"/>
      <c r="AT88" s="74"/>
      <c r="AU88" s="47"/>
      <c r="AV88" s="48"/>
    </row>
    <row r="89" spans="1:48" ht="12.75" customHeight="1" x14ac:dyDescent="0.25">
      <c r="A89" s="72" t="s">
        <v>883</v>
      </c>
      <c r="B89" s="43" t="s">
        <v>4040</v>
      </c>
      <c r="C89" s="44" t="s">
        <v>3417</v>
      </c>
      <c r="D89" s="45">
        <f>MROUND(MID($C89,6,3)/Basis!$E$3,0.5)</f>
        <v>7</v>
      </c>
      <c r="E89" s="45">
        <f>MROUND(MID($C89,9,3)/Basis!$E$3,0.5)</f>
        <v>110</v>
      </c>
      <c r="F89" s="229" t="str">
        <f t="shared" si="1"/>
        <v>22</v>
      </c>
      <c r="G89" s="45">
        <f>ROUND(9/Basis!$E$3,1)</f>
        <v>3.5</v>
      </c>
      <c r="H89" s="120">
        <f>ROUND($P89*Basis!$E$2*((TaH-TrH)/LN(1/µ)/Basis!$E$7)^$N89*Glycol,0)</f>
        <v>3830</v>
      </c>
      <c r="I89" s="83">
        <f>ROUND(H89/(MID($C89,9,3)/Basis!$E$3/Basis!$E$9)*Basis!$E$11,0)</f>
        <v>417</v>
      </c>
      <c r="J89" s="123">
        <f>IF(Basis!$E$1=1,ROUND(H89/((TaH-TrH)*1.163)/3600,3),ROUND(H89/(500*(TaH-TrH)),2))</f>
        <v>0.38</v>
      </c>
      <c r="K89" s="84"/>
      <c r="L89" s="177">
        <f>CHOOSE(Basis!$E$1,((AJ89*(J89*3600/Basis!$E$5)^AK89*(((MID(C89,9,3)*10)-144)/1000)*AL89+AM89*(J89*3600/Basis!$E$5)^2)*0.0098)/Basis!$E$10,((AJ89*(J89/Basis!$E$5)^AK89*(((MID(C89,9,3)*10)-144)/1000)*AL89+AM89*(J89/Basis!$E$5)^2)*0.0098)/Basis!$E$10)</f>
        <v>0</v>
      </c>
      <c r="M89" s="85"/>
      <c r="N89" s="109">
        <v>1.349</v>
      </c>
      <c r="O89" s="68"/>
      <c r="P89" s="67">
        <v>1752</v>
      </c>
      <c r="Q89" s="68"/>
      <c r="R89" s="69"/>
      <c r="S89" s="69"/>
      <c r="T89" s="69"/>
      <c r="U89" s="69"/>
      <c r="V89" s="69"/>
      <c r="W89" s="68"/>
      <c r="X89" s="70"/>
      <c r="Y89" s="70"/>
      <c r="Z89" s="70"/>
      <c r="AA89" s="70"/>
      <c r="AB89" s="70"/>
      <c r="AC89" s="68"/>
      <c r="AD89" s="71"/>
      <c r="AE89" s="71"/>
      <c r="AF89" s="71"/>
      <c r="AG89" s="71"/>
      <c r="AH89" s="71"/>
      <c r="AI89" s="68"/>
      <c r="AJ89" s="214"/>
      <c r="AK89" s="214"/>
      <c r="AL89" s="214"/>
      <c r="AM89" s="214"/>
      <c r="AN89" s="68"/>
      <c r="AO89" s="67"/>
      <c r="AP89" s="67"/>
      <c r="AQ89" s="67"/>
      <c r="AR89" s="67"/>
      <c r="AS89" s="67"/>
      <c r="AT89" s="68"/>
      <c r="AU89" s="49"/>
      <c r="AV89" s="50"/>
    </row>
    <row r="90" spans="1:48" ht="12.75" customHeight="1" x14ac:dyDescent="0.25">
      <c r="A90" s="72" t="s">
        <v>883</v>
      </c>
      <c r="B90" s="43" t="s">
        <v>4040</v>
      </c>
      <c r="C90" s="44" t="s">
        <v>3418</v>
      </c>
      <c r="D90" s="45">
        <f>MROUND(MID($C90,6,3)/Basis!$E$3,0.5)</f>
        <v>7</v>
      </c>
      <c r="E90" s="45">
        <f>MROUND(MID($C90,9,3)/Basis!$E$3,0.5)</f>
        <v>110</v>
      </c>
      <c r="F90" s="229" t="str">
        <f t="shared" si="1"/>
        <v>34</v>
      </c>
      <c r="G90" s="45">
        <f>ROUND(16.9/Basis!$E$3,1)</f>
        <v>6.7</v>
      </c>
      <c r="H90" s="120">
        <f>ROUND($P90*Basis!$E$2*((TaH-TrH)/LN(1/µ)/Basis!$E$7)^$N90*Glycol,0)</f>
        <v>6747</v>
      </c>
      <c r="I90" s="83">
        <f>ROUND(H90/(MID($C90,9,3)/Basis!$E$3/Basis!$E$9)*Basis!$E$11,0)</f>
        <v>734</v>
      </c>
      <c r="J90" s="123">
        <f>IF(Basis!$E$1=1,ROUND(H90/((TaH-TrH)*1.163)/3600,3),ROUND(H90/(500*(TaH-TrH)),2))</f>
        <v>0.67</v>
      </c>
      <c r="K90" s="84"/>
      <c r="L90" s="177">
        <f>CHOOSE(Basis!$E$1,((AJ90*(J90*3600/Basis!$E$5)^AK90*(((MID(C90,9,3)*10)-144)/1000)*AL90+AM90*(J90*3600/Basis!$E$5)^2)*0.0098)/Basis!$E$10,((AJ90*(J90/Basis!$E$5)^AK90*(((MID(C90,9,3)*10)-144)/1000)*AL90+AM90*(J90/Basis!$E$5)^2)*0.0098)/Basis!$E$10)</f>
        <v>0</v>
      </c>
      <c r="M90" s="85"/>
      <c r="N90" s="109">
        <v>1.452</v>
      </c>
      <c r="O90" s="68"/>
      <c r="P90" s="67">
        <v>3193</v>
      </c>
      <c r="Q90" s="68"/>
      <c r="R90" s="69"/>
      <c r="S90" s="69"/>
      <c r="T90" s="69"/>
      <c r="U90" s="69"/>
      <c r="V90" s="69"/>
      <c r="W90" s="68"/>
      <c r="X90" s="70"/>
      <c r="Y90" s="70"/>
      <c r="Z90" s="70"/>
      <c r="AA90" s="70"/>
      <c r="AB90" s="70"/>
      <c r="AC90" s="68"/>
      <c r="AD90" s="71"/>
      <c r="AE90" s="71"/>
      <c r="AF90" s="71"/>
      <c r="AG90" s="71"/>
      <c r="AH90" s="71"/>
      <c r="AI90" s="68"/>
      <c r="AJ90" s="214"/>
      <c r="AK90" s="214"/>
      <c r="AL90" s="214"/>
      <c r="AM90" s="214"/>
      <c r="AN90" s="68"/>
      <c r="AO90" s="67"/>
      <c r="AP90" s="67"/>
      <c r="AQ90" s="67"/>
      <c r="AR90" s="67"/>
      <c r="AS90" s="67"/>
      <c r="AT90" s="68"/>
      <c r="AU90" s="49"/>
      <c r="AV90" s="50"/>
    </row>
    <row r="91" spans="1:48" ht="12.75" customHeight="1" x14ac:dyDescent="0.25">
      <c r="A91" s="72" t="s">
        <v>883</v>
      </c>
      <c r="B91" s="43" t="s">
        <v>4040</v>
      </c>
      <c r="C91" s="44" t="s">
        <v>3419</v>
      </c>
      <c r="D91" s="45">
        <f>MROUND(MID($C91,6,3)/Basis!$E$3,0.5)</f>
        <v>7</v>
      </c>
      <c r="E91" s="45">
        <f>MROUND(MID($C91,9,3)/Basis!$E$3,0.5)</f>
        <v>118</v>
      </c>
      <c r="F91" s="229" t="str">
        <f t="shared" si="1"/>
        <v>11</v>
      </c>
      <c r="G91" s="45">
        <f>ROUND(5/Basis!$E$3,1)</f>
        <v>2</v>
      </c>
      <c r="H91" s="120">
        <f>ROUND($P91*Basis!$E$2*((TaH-TrH)/LN(1/µ)/Basis!$E$7)^$N91*Glycol,0)</f>
        <v>2635</v>
      </c>
      <c r="I91" s="83">
        <f>ROUND(H91/(MID($C91,9,3)/Basis!$E$3/Basis!$E$9)*Basis!$E$11,0)</f>
        <v>268</v>
      </c>
      <c r="J91" s="123">
        <f>IF(Basis!$E$1=1,ROUND(H91/((TaH-TrH)*1.163)/3600,3),ROUND(H91/(500*(TaH-TrH)),2))</f>
        <v>0.26</v>
      </c>
      <c r="K91" s="84"/>
      <c r="L91" s="177">
        <f>CHOOSE(Basis!$E$1,((AJ91*(J91*3600/Basis!$E$5)^AK91*(((MID(C91,9,3)*10)-144)/1000)*AL91+AM91*(J91*3600/Basis!$E$5)^2)*0.0098)/Basis!$E$10,((AJ91*(J91/Basis!$E$5)^AK91*(((MID(C91,9,3)*10)-144)/1000)*AL91+AM91*(J91/Basis!$E$5)^2)*0.0098)/Basis!$E$10)</f>
        <v>0</v>
      </c>
      <c r="M91" s="85"/>
      <c r="N91" s="110">
        <v>1.248</v>
      </c>
      <c r="O91" s="74"/>
      <c r="P91" s="73">
        <v>1166</v>
      </c>
      <c r="Q91" s="74"/>
      <c r="R91" s="75"/>
      <c r="S91" s="75"/>
      <c r="T91" s="75"/>
      <c r="U91" s="75"/>
      <c r="V91" s="75"/>
      <c r="W91" s="74"/>
      <c r="X91" s="76"/>
      <c r="Y91" s="76"/>
      <c r="Z91" s="76"/>
      <c r="AA91" s="76"/>
      <c r="AB91" s="76"/>
      <c r="AC91" s="74"/>
      <c r="AD91" s="77"/>
      <c r="AE91" s="77"/>
      <c r="AF91" s="77"/>
      <c r="AG91" s="77"/>
      <c r="AH91" s="77"/>
      <c r="AI91" s="68"/>
      <c r="AJ91" s="213"/>
      <c r="AK91" s="213"/>
      <c r="AL91" s="213"/>
      <c r="AM91" s="213"/>
      <c r="AN91" s="74"/>
      <c r="AO91" s="73"/>
      <c r="AP91" s="73"/>
      <c r="AQ91" s="73"/>
      <c r="AR91" s="73"/>
      <c r="AS91" s="73"/>
      <c r="AT91" s="74"/>
      <c r="AU91" s="47"/>
      <c r="AV91" s="48"/>
    </row>
    <row r="92" spans="1:48" ht="12.75" customHeight="1" x14ac:dyDescent="0.25">
      <c r="A92" s="72" t="s">
        <v>883</v>
      </c>
      <c r="B92" s="43" t="s">
        <v>4040</v>
      </c>
      <c r="C92" s="44" t="s">
        <v>3420</v>
      </c>
      <c r="D92" s="45">
        <f>MROUND(MID($C92,6,3)/Basis!$E$3,0.5)</f>
        <v>7</v>
      </c>
      <c r="E92" s="45">
        <f>MROUND(MID($C92,9,3)/Basis!$E$3,0.5)</f>
        <v>118</v>
      </c>
      <c r="F92" s="229" t="str">
        <f t="shared" si="1"/>
        <v>22</v>
      </c>
      <c r="G92" s="45">
        <f>ROUND(9/Basis!$E$3,1)</f>
        <v>3.5</v>
      </c>
      <c r="H92" s="120">
        <f>ROUND($P92*Basis!$E$2*((TaH-TrH)/LN(1/µ)/Basis!$E$7)^$N92*Glycol,0)</f>
        <v>4103</v>
      </c>
      <c r="I92" s="83">
        <f>ROUND(H92/(MID($C92,9,3)/Basis!$E$3/Basis!$E$9)*Basis!$E$11,0)</f>
        <v>417</v>
      </c>
      <c r="J92" s="123">
        <f>IF(Basis!$E$1=1,ROUND(H92/((TaH-TrH)*1.163)/3600,3),ROUND(H92/(500*(TaH-TrH)),2))</f>
        <v>0.41</v>
      </c>
      <c r="K92" s="84"/>
      <c r="L92" s="177">
        <f>CHOOSE(Basis!$E$1,((AJ92*(J92*3600/Basis!$E$5)^AK92*(((MID(C92,9,3)*10)-144)/1000)*AL92+AM92*(J92*3600/Basis!$E$5)^2)*0.0098)/Basis!$E$10,((AJ92*(J92/Basis!$E$5)^AK92*(((MID(C92,9,3)*10)-144)/1000)*AL92+AM92*(J92/Basis!$E$5)^2)*0.0098)/Basis!$E$10)</f>
        <v>0</v>
      </c>
      <c r="M92" s="85"/>
      <c r="N92" s="110">
        <v>1.349</v>
      </c>
      <c r="O92" s="74"/>
      <c r="P92" s="73">
        <v>1877</v>
      </c>
      <c r="Q92" s="74"/>
      <c r="R92" s="75"/>
      <c r="S92" s="75"/>
      <c r="T92" s="75"/>
      <c r="U92" s="75"/>
      <c r="V92" s="75"/>
      <c r="W92" s="74"/>
      <c r="X92" s="76"/>
      <c r="Y92" s="76"/>
      <c r="Z92" s="76"/>
      <c r="AA92" s="76"/>
      <c r="AB92" s="76"/>
      <c r="AC92" s="74"/>
      <c r="AD92" s="77"/>
      <c r="AE92" s="77"/>
      <c r="AF92" s="77"/>
      <c r="AG92" s="77"/>
      <c r="AH92" s="77"/>
      <c r="AI92" s="68"/>
      <c r="AJ92" s="213"/>
      <c r="AK92" s="213"/>
      <c r="AL92" s="213"/>
      <c r="AM92" s="213"/>
      <c r="AN92" s="74"/>
      <c r="AO92" s="73"/>
      <c r="AP92" s="73"/>
      <c r="AQ92" s="73"/>
      <c r="AR92" s="73"/>
      <c r="AS92" s="73"/>
      <c r="AT92" s="74"/>
      <c r="AU92" s="47"/>
      <c r="AV92" s="48"/>
    </row>
    <row r="93" spans="1:48" ht="12.75" customHeight="1" x14ac:dyDescent="0.25">
      <c r="A93" s="72" t="s">
        <v>883</v>
      </c>
      <c r="B93" s="43" t="s">
        <v>4040</v>
      </c>
      <c r="C93" s="44" t="s">
        <v>3421</v>
      </c>
      <c r="D93" s="45">
        <f>MROUND(MID($C93,6,3)/Basis!$E$3,0.5)</f>
        <v>7</v>
      </c>
      <c r="E93" s="45">
        <f>MROUND(MID($C93,9,3)/Basis!$E$3,0.5)</f>
        <v>118</v>
      </c>
      <c r="F93" s="229" t="str">
        <f t="shared" si="1"/>
        <v>34</v>
      </c>
      <c r="G93" s="45">
        <f>ROUND(16.9/Basis!$E$3,1)</f>
        <v>6.7</v>
      </c>
      <c r="H93" s="120">
        <f>ROUND($P93*Basis!$E$2*((TaH-TrH)/LN(1/µ)/Basis!$E$7)^$N93*Glycol,0)</f>
        <v>7229</v>
      </c>
      <c r="I93" s="83">
        <f>ROUND(H93/(MID($C93,9,3)/Basis!$E$3/Basis!$E$9)*Basis!$E$11,0)</f>
        <v>734</v>
      </c>
      <c r="J93" s="123">
        <f>IF(Basis!$E$1=1,ROUND(H93/((TaH-TrH)*1.163)/3600,3),ROUND(H93/(500*(TaH-TrH)),2))</f>
        <v>0.72</v>
      </c>
      <c r="K93" s="84"/>
      <c r="L93" s="177">
        <f>CHOOSE(Basis!$E$1,((AJ93*(J93*3600/Basis!$E$5)^AK93*(((MID(C93,9,3)*10)-144)/1000)*AL93+AM93*(J93*3600/Basis!$E$5)^2)*0.0098)/Basis!$E$10,((AJ93*(J93/Basis!$E$5)^AK93*(((MID(C93,9,3)*10)-144)/1000)*AL93+AM93*(J93/Basis!$E$5)^2)*0.0098)/Basis!$E$10)</f>
        <v>0</v>
      </c>
      <c r="M93" s="85"/>
      <c r="N93" s="109">
        <v>1.452</v>
      </c>
      <c r="O93" s="68"/>
      <c r="P93" s="67">
        <v>3421</v>
      </c>
      <c r="Q93" s="68"/>
      <c r="R93" s="69"/>
      <c r="S93" s="69"/>
      <c r="T93" s="69"/>
      <c r="U93" s="69"/>
      <c r="V93" s="69"/>
      <c r="W93" s="68"/>
      <c r="X93" s="70"/>
      <c r="Y93" s="70"/>
      <c r="Z93" s="70"/>
      <c r="AA93" s="70"/>
      <c r="AB93" s="70"/>
      <c r="AC93" s="68"/>
      <c r="AD93" s="71"/>
      <c r="AE93" s="71"/>
      <c r="AF93" s="71"/>
      <c r="AG93" s="71"/>
      <c r="AH93" s="71"/>
      <c r="AI93" s="68"/>
      <c r="AJ93" s="214"/>
      <c r="AK93" s="214"/>
      <c r="AL93" s="214"/>
      <c r="AM93" s="214"/>
      <c r="AN93" s="68"/>
      <c r="AO93" s="67"/>
      <c r="AP93" s="67"/>
      <c r="AQ93" s="67"/>
      <c r="AR93" s="67"/>
      <c r="AS93" s="67"/>
      <c r="AT93" s="68"/>
      <c r="AU93" s="49"/>
      <c r="AV93" s="50"/>
    </row>
    <row r="94" spans="1:48" ht="12.75" customHeight="1" x14ac:dyDescent="0.25">
      <c r="A94" s="72" t="s">
        <v>883</v>
      </c>
      <c r="B94" s="43" t="s">
        <v>4040</v>
      </c>
      <c r="C94" s="44" t="s">
        <v>3422</v>
      </c>
      <c r="D94" s="45">
        <f>MROUND(MID($C94,6,3)/Basis!$E$3,0.5)</f>
        <v>7</v>
      </c>
      <c r="E94" s="45">
        <f>MROUND(MID($C94,9,3)/Basis!$E$3,0.5)</f>
        <v>126</v>
      </c>
      <c r="F94" s="229" t="str">
        <f t="shared" si="1"/>
        <v>11</v>
      </c>
      <c r="G94" s="45">
        <f>ROUND(5/Basis!$E$3,1)</f>
        <v>2</v>
      </c>
      <c r="H94" s="120">
        <f>ROUND($P94*Basis!$E$2*((TaH-TrH)/LN(1/µ)/Basis!$E$7)^$N94*Glycol,0)</f>
        <v>2809</v>
      </c>
      <c r="I94" s="83">
        <f>ROUND(H94/(MID($C94,9,3)/Basis!$E$3/Basis!$E$9)*Basis!$E$11,0)</f>
        <v>268</v>
      </c>
      <c r="J94" s="123">
        <f>IF(Basis!$E$1=1,ROUND(H94/((TaH-TrH)*1.163)/3600,3),ROUND(H94/(500*(TaH-TrH)),2))</f>
        <v>0.28000000000000003</v>
      </c>
      <c r="K94" s="84"/>
      <c r="L94" s="177">
        <f>CHOOSE(Basis!$E$1,((AJ94*(J94*3600/Basis!$E$5)^AK94*(((MID(C94,9,3)*10)-144)/1000)*AL94+AM94*(J94*3600/Basis!$E$5)^2)*0.0098)/Basis!$E$10,((AJ94*(J94/Basis!$E$5)^AK94*(((MID(C94,9,3)*10)-144)/1000)*AL94+AM94*(J94/Basis!$E$5)^2)*0.0098)/Basis!$E$10)</f>
        <v>0</v>
      </c>
      <c r="M94" s="85"/>
      <c r="N94" s="109">
        <v>1.248</v>
      </c>
      <c r="O94" s="68"/>
      <c r="P94" s="67">
        <v>1243</v>
      </c>
      <c r="Q94" s="68"/>
      <c r="R94" s="69"/>
      <c r="S94" s="69"/>
      <c r="T94" s="69"/>
      <c r="U94" s="69"/>
      <c r="V94" s="69"/>
      <c r="W94" s="68"/>
      <c r="X94" s="70"/>
      <c r="Y94" s="70"/>
      <c r="Z94" s="70"/>
      <c r="AA94" s="70"/>
      <c r="AB94" s="70"/>
      <c r="AC94" s="68"/>
      <c r="AD94" s="71"/>
      <c r="AE94" s="71"/>
      <c r="AF94" s="71"/>
      <c r="AG94" s="71"/>
      <c r="AH94" s="71"/>
      <c r="AI94" s="68"/>
      <c r="AJ94" s="214"/>
      <c r="AK94" s="214"/>
      <c r="AL94" s="214"/>
      <c r="AM94" s="214"/>
      <c r="AN94" s="68"/>
      <c r="AO94" s="67"/>
      <c r="AP94" s="67"/>
      <c r="AQ94" s="67"/>
      <c r="AR94" s="67"/>
      <c r="AS94" s="67"/>
      <c r="AT94" s="68"/>
      <c r="AU94" s="49"/>
      <c r="AV94" s="50"/>
    </row>
    <row r="95" spans="1:48" ht="12.75" customHeight="1" x14ac:dyDescent="0.25">
      <c r="A95" s="72" t="s">
        <v>883</v>
      </c>
      <c r="B95" s="43" t="s">
        <v>4040</v>
      </c>
      <c r="C95" s="44" t="s">
        <v>3423</v>
      </c>
      <c r="D95" s="45">
        <f>MROUND(MID($C95,6,3)/Basis!$E$3,0.5)</f>
        <v>7</v>
      </c>
      <c r="E95" s="45">
        <f>MROUND(MID($C95,9,3)/Basis!$E$3,0.5)</f>
        <v>126</v>
      </c>
      <c r="F95" s="229" t="str">
        <f t="shared" si="1"/>
        <v>22</v>
      </c>
      <c r="G95" s="45">
        <f>ROUND(9/Basis!$E$3,1)</f>
        <v>3.5</v>
      </c>
      <c r="H95" s="120">
        <f>ROUND($P95*Basis!$E$2*((TaH-TrH)/LN(1/µ)/Basis!$E$7)^$N95*Glycol,0)</f>
        <v>4377</v>
      </c>
      <c r="I95" s="83">
        <f>ROUND(H95/(MID($C95,9,3)/Basis!$E$3/Basis!$E$9)*Basis!$E$11,0)</f>
        <v>417</v>
      </c>
      <c r="J95" s="123">
        <f>IF(Basis!$E$1=1,ROUND(H95/((TaH-TrH)*1.163)/3600,3),ROUND(H95/(500*(TaH-TrH)),2))</f>
        <v>0.44</v>
      </c>
      <c r="K95" s="84"/>
      <c r="L95" s="177">
        <f>CHOOSE(Basis!$E$1,((AJ95*(J95*3600/Basis!$E$5)^AK95*(((MID(C95,9,3)*10)-144)/1000)*AL95+AM95*(J95*3600/Basis!$E$5)^2)*0.0098)/Basis!$E$10,((AJ95*(J95/Basis!$E$5)^AK95*(((MID(C95,9,3)*10)-144)/1000)*AL95+AM95*(J95/Basis!$E$5)^2)*0.0098)/Basis!$E$10)</f>
        <v>0</v>
      </c>
      <c r="M95" s="85"/>
      <c r="N95" s="110">
        <v>1.349</v>
      </c>
      <c r="O95" s="74"/>
      <c r="P95" s="73">
        <v>2002</v>
      </c>
      <c r="Q95" s="74"/>
      <c r="R95" s="75"/>
      <c r="S95" s="75"/>
      <c r="T95" s="75"/>
      <c r="U95" s="75"/>
      <c r="V95" s="75"/>
      <c r="W95" s="74"/>
      <c r="X95" s="76"/>
      <c r="Y95" s="76"/>
      <c r="Z95" s="76"/>
      <c r="AA95" s="76"/>
      <c r="AB95" s="76"/>
      <c r="AC95" s="74"/>
      <c r="AD95" s="77"/>
      <c r="AE95" s="77"/>
      <c r="AF95" s="77"/>
      <c r="AG95" s="77"/>
      <c r="AH95" s="77"/>
      <c r="AI95" s="68"/>
      <c r="AJ95" s="213"/>
      <c r="AK95" s="213"/>
      <c r="AL95" s="213"/>
      <c r="AM95" s="213"/>
      <c r="AN95" s="74"/>
      <c r="AO95" s="73"/>
      <c r="AP95" s="73"/>
      <c r="AQ95" s="73"/>
      <c r="AR95" s="73"/>
      <c r="AS95" s="73"/>
      <c r="AT95" s="74"/>
      <c r="AU95" s="47"/>
      <c r="AV95" s="48"/>
    </row>
    <row r="96" spans="1:48" ht="12.75" customHeight="1" x14ac:dyDescent="0.25">
      <c r="A96" s="72" t="s">
        <v>883</v>
      </c>
      <c r="B96" s="43" t="s">
        <v>4040</v>
      </c>
      <c r="C96" s="44" t="s">
        <v>3424</v>
      </c>
      <c r="D96" s="45">
        <f>MROUND(MID($C96,6,3)/Basis!$E$3,0.5)</f>
        <v>7</v>
      </c>
      <c r="E96" s="45">
        <f>MROUND(MID($C96,9,3)/Basis!$E$3,0.5)</f>
        <v>126</v>
      </c>
      <c r="F96" s="229" t="str">
        <f t="shared" si="1"/>
        <v>34</v>
      </c>
      <c r="G96" s="45">
        <f>ROUND(16.9/Basis!$E$3,1)</f>
        <v>6.7</v>
      </c>
      <c r="H96" s="120">
        <f>ROUND($P96*Basis!$E$2*((TaH-TrH)/LN(1/µ)/Basis!$E$7)^$N96*Glycol,0)</f>
        <v>7710</v>
      </c>
      <c r="I96" s="83">
        <f>ROUND(H96/(MID($C96,9,3)/Basis!$E$3/Basis!$E$9)*Basis!$E$11,0)</f>
        <v>734</v>
      </c>
      <c r="J96" s="123">
        <f>IF(Basis!$E$1=1,ROUND(H96/((TaH-TrH)*1.163)/3600,3),ROUND(H96/(500*(TaH-TrH)),2))</f>
        <v>0.77</v>
      </c>
      <c r="K96" s="84"/>
      <c r="L96" s="177">
        <f>CHOOSE(Basis!$E$1,((AJ96*(J96*3600/Basis!$E$5)^AK96*(((MID(C96,9,3)*10)-144)/1000)*AL96+AM96*(J96*3600/Basis!$E$5)^2)*0.0098)/Basis!$E$10,((AJ96*(J96/Basis!$E$5)^AK96*(((MID(C96,9,3)*10)-144)/1000)*AL96+AM96*(J96/Basis!$E$5)^2)*0.0098)/Basis!$E$10)</f>
        <v>0</v>
      </c>
      <c r="M96" s="85"/>
      <c r="N96" s="110">
        <v>1.452</v>
      </c>
      <c r="O96" s="74"/>
      <c r="P96" s="73">
        <v>3649</v>
      </c>
      <c r="Q96" s="74"/>
      <c r="R96" s="75"/>
      <c r="S96" s="75"/>
      <c r="T96" s="75"/>
      <c r="U96" s="75"/>
      <c r="V96" s="75"/>
      <c r="W96" s="74"/>
      <c r="X96" s="76"/>
      <c r="Y96" s="76"/>
      <c r="Z96" s="76"/>
      <c r="AA96" s="76"/>
      <c r="AB96" s="76"/>
      <c r="AC96" s="74"/>
      <c r="AD96" s="77"/>
      <c r="AE96" s="77"/>
      <c r="AF96" s="77"/>
      <c r="AG96" s="77"/>
      <c r="AH96" s="77"/>
      <c r="AI96" s="68"/>
      <c r="AJ96" s="213"/>
      <c r="AK96" s="213"/>
      <c r="AL96" s="213"/>
      <c r="AM96" s="213"/>
      <c r="AN96" s="74"/>
      <c r="AO96" s="73"/>
      <c r="AP96" s="73"/>
      <c r="AQ96" s="73"/>
      <c r="AR96" s="73"/>
      <c r="AS96" s="73"/>
      <c r="AT96" s="74"/>
      <c r="AU96" s="47"/>
      <c r="AV96" s="48"/>
    </row>
    <row r="97" spans="1:48" ht="12.75" customHeight="1" x14ac:dyDescent="0.25">
      <c r="A97" s="72" t="s">
        <v>883</v>
      </c>
      <c r="B97" s="43" t="s">
        <v>4040</v>
      </c>
      <c r="C97" s="44" t="s">
        <v>3425</v>
      </c>
      <c r="D97" s="45">
        <f>MROUND(MID($C97,6,3)/Basis!$E$3,0.5)</f>
        <v>7</v>
      </c>
      <c r="E97" s="45">
        <f>MROUND(MID($C97,9,3)/Basis!$E$3,0.5)</f>
        <v>134</v>
      </c>
      <c r="F97" s="229" t="str">
        <f t="shared" si="1"/>
        <v>11</v>
      </c>
      <c r="G97" s="45">
        <f>ROUND(5/Basis!$E$3,1)</f>
        <v>2</v>
      </c>
      <c r="H97" s="120">
        <f>ROUND($P97*Basis!$E$2*((TaH-TrH)/LN(1/µ)/Basis!$E$7)^$N97*Glycol,0)</f>
        <v>2986</v>
      </c>
      <c r="I97" s="83">
        <f>ROUND(H97/(MID($C97,9,3)/Basis!$E$3/Basis!$E$9)*Basis!$E$11,0)</f>
        <v>268</v>
      </c>
      <c r="J97" s="123">
        <f>IF(Basis!$E$1=1,ROUND(H97/((TaH-TrH)*1.163)/3600,3),ROUND(H97/(500*(TaH-TrH)),2))</f>
        <v>0.3</v>
      </c>
      <c r="K97" s="84"/>
      <c r="L97" s="177">
        <f>CHOOSE(Basis!$E$1,((AJ97*(J97*3600/Basis!$E$5)^AK97*(((MID(C97,9,3)*10)-144)/1000)*AL97+AM97*(J97*3600/Basis!$E$5)^2)*0.0098)/Basis!$E$10,((AJ97*(J97/Basis!$E$5)^AK97*(((MID(C97,9,3)*10)-144)/1000)*AL97+AM97*(J97/Basis!$E$5)^2)*0.0098)/Basis!$E$10)</f>
        <v>0</v>
      </c>
      <c r="M97" s="85"/>
      <c r="N97" s="109">
        <v>1.248</v>
      </c>
      <c r="O97" s="68"/>
      <c r="P97" s="67">
        <v>1321</v>
      </c>
      <c r="Q97" s="68"/>
      <c r="R97" s="69"/>
      <c r="S97" s="69"/>
      <c r="T97" s="69"/>
      <c r="U97" s="69"/>
      <c r="V97" s="69"/>
      <c r="W97" s="68"/>
      <c r="X97" s="70"/>
      <c r="Y97" s="70"/>
      <c r="Z97" s="70"/>
      <c r="AA97" s="70"/>
      <c r="AB97" s="70"/>
      <c r="AC97" s="68"/>
      <c r="AD97" s="71"/>
      <c r="AE97" s="71"/>
      <c r="AF97" s="71"/>
      <c r="AG97" s="71"/>
      <c r="AH97" s="71"/>
      <c r="AI97" s="68"/>
      <c r="AJ97" s="214"/>
      <c r="AK97" s="214"/>
      <c r="AL97" s="214"/>
      <c r="AM97" s="214"/>
      <c r="AN97" s="68"/>
      <c r="AO97" s="67"/>
      <c r="AP97" s="67"/>
      <c r="AQ97" s="67"/>
      <c r="AR97" s="67"/>
      <c r="AS97" s="67"/>
      <c r="AT97" s="68"/>
      <c r="AU97" s="49"/>
      <c r="AV97" s="50"/>
    </row>
    <row r="98" spans="1:48" ht="12.75" customHeight="1" x14ac:dyDescent="0.25">
      <c r="A98" s="72" t="s">
        <v>883</v>
      </c>
      <c r="B98" s="43" t="s">
        <v>4040</v>
      </c>
      <c r="C98" s="44" t="s">
        <v>3426</v>
      </c>
      <c r="D98" s="45">
        <f>MROUND(MID($C98,6,3)/Basis!$E$3,0.5)</f>
        <v>7</v>
      </c>
      <c r="E98" s="45">
        <f>MROUND(MID($C98,9,3)/Basis!$E$3,0.5)</f>
        <v>134</v>
      </c>
      <c r="F98" s="229" t="str">
        <f t="shared" si="1"/>
        <v>22</v>
      </c>
      <c r="G98" s="45">
        <f>ROUND(9/Basis!$E$3,1)</f>
        <v>3.5</v>
      </c>
      <c r="H98" s="120">
        <f>ROUND($P98*Basis!$E$2*((TaH-TrH)/LN(1/µ)/Basis!$E$7)^$N98*Glycol,0)</f>
        <v>4652</v>
      </c>
      <c r="I98" s="83">
        <f>ROUND(H98/(MID($C98,9,3)/Basis!$E$3/Basis!$E$9)*Basis!$E$11,0)</f>
        <v>417</v>
      </c>
      <c r="J98" s="123">
        <f>IF(Basis!$E$1=1,ROUND(H98/((TaH-TrH)*1.163)/3600,3),ROUND(H98/(500*(TaH-TrH)),2))</f>
        <v>0.47</v>
      </c>
      <c r="K98" s="84"/>
      <c r="L98" s="177">
        <f>CHOOSE(Basis!$E$1,((AJ98*(J98*3600/Basis!$E$5)^AK98*(((MID(C98,9,3)*10)-144)/1000)*AL98+AM98*(J98*3600/Basis!$E$5)^2)*0.0098)/Basis!$E$10,((AJ98*(J98/Basis!$E$5)^AK98*(((MID(C98,9,3)*10)-144)/1000)*AL98+AM98*(J98/Basis!$E$5)^2)*0.0098)/Basis!$E$10)</f>
        <v>0</v>
      </c>
      <c r="M98" s="85"/>
      <c r="N98" s="109">
        <v>1.349</v>
      </c>
      <c r="O98" s="68"/>
      <c r="P98" s="67">
        <v>2128</v>
      </c>
      <c r="Q98" s="68"/>
      <c r="R98" s="69"/>
      <c r="S98" s="69"/>
      <c r="T98" s="69"/>
      <c r="U98" s="69"/>
      <c r="V98" s="69"/>
      <c r="W98" s="68"/>
      <c r="X98" s="70"/>
      <c r="Y98" s="70"/>
      <c r="Z98" s="70"/>
      <c r="AA98" s="70"/>
      <c r="AB98" s="70"/>
      <c r="AC98" s="68"/>
      <c r="AD98" s="71"/>
      <c r="AE98" s="71"/>
      <c r="AF98" s="71"/>
      <c r="AG98" s="71"/>
      <c r="AH98" s="71"/>
      <c r="AI98" s="68"/>
      <c r="AJ98" s="214"/>
      <c r="AK98" s="214"/>
      <c r="AL98" s="214"/>
      <c r="AM98" s="214"/>
      <c r="AN98" s="68"/>
      <c r="AO98" s="67"/>
      <c r="AP98" s="67"/>
      <c r="AQ98" s="67"/>
      <c r="AR98" s="67"/>
      <c r="AS98" s="67"/>
      <c r="AT98" s="68"/>
      <c r="AU98" s="49"/>
      <c r="AV98" s="50"/>
    </row>
    <row r="99" spans="1:48" ht="12.75" customHeight="1" x14ac:dyDescent="0.25">
      <c r="A99" s="72" t="s">
        <v>883</v>
      </c>
      <c r="B99" s="43" t="s">
        <v>4040</v>
      </c>
      <c r="C99" s="44" t="s">
        <v>3427</v>
      </c>
      <c r="D99" s="45">
        <f>MROUND(MID($C99,6,3)/Basis!$E$3,0.5)</f>
        <v>7</v>
      </c>
      <c r="E99" s="45">
        <f>MROUND(MID($C99,9,3)/Basis!$E$3,0.5)</f>
        <v>134</v>
      </c>
      <c r="F99" s="229" t="str">
        <f t="shared" si="1"/>
        <v>34</v>
      </c>
      <c r="G99" s="45">
        <f>ROUND(16.9/Basis!$E$3,1)</f>
        <v>6.7</v>
      </c>
      <c r="H99" s="120">
        <f>ROUND($P99*Basis!$E$2*((TaH-TrH)/LN(1/µ)/Basis!$E$7)^$N99*Glycol,0)</f>
        <v>8192</v>
      </c>
      <c r="I99" s="83">
        <f>ROUND(H99/(MID($C99,9,3)/Basis!$E$3/Basis!$E$9)*Basis!$E$11,0)</f>
        <v>734</v>
      </c>
      <c r="J99" s="123">
        <f>IF(Basis!$E$1=1,ROUND(H99/((TaH-TrH)*1.163)/3600,3),ROUND(H99/(500*(TaH-TrH)),2))</f>
        <v>0.82</v>
      </c>
      <c r="K99" s="84"/>
      <c r="L99" s="177">
        <f>CHOOSE(Basis!$E$1,((AJ99*(J99*3600/Basis!$E$5)^AK99*(((MID(C99,9,3)*10)-144)/1000)*AL99+AM99*(J99*3600/Basis!$E$5)^2)*0.0098)/Basis!$E$10,((AJ99*(J99/Basis!$E$5)^AK99*(((MID(C99,9,3)*10)-144)/1000)*AL99+AM99*(J99/Basis!$E$5)^2)*0.0098)/Basis!$E$10)</f>
        <v>0</v>
      </c>
      <c r="M99" s="85"/>
      <c r="N99" s="110">
        <v>1.452</v>
      </c>
      <c r="O99" s="74"/>
      <c r="P99" s="73">
        <v>3877</v>
      </c>
      <c r="Q99" s="74"/>
      <c r="R99" s="75"/>
      <c r="S99" s="75"/>
      <c r="T99" s="75"/>
      <c r="U99" s="75"/>
      <c r="V99" s="75"/>
      <c r="W99" s="74"/>
      <c r="X99" s="76"/>
      <c r="Y99" s="76"/>
      <c r="Z99" s="76"/>
      <c r="AA99" s="76"/>
      <c r="AB99" s="76"/>
      <c r="AC99" s="74"/>
      <c r="AD99" s="77"/>
      <c r="AE99" s="77"/>
      <c r="AF99" s="77"/>
      <c r="AG99" s="77"/>
      <c r="AH99" s="77"/>
      <c r="AI99" s="68"/>
      <c r="AJ99" s="213"/>
      <c r="AK99" s="213"/>
      <c r="AL99" s="213"/>
      <c r="AM99" s="213"/>
      <c r="AN99" s="74"/>
      <c r="AO99" s="73"/>
      <c r="AP99" s="73"/>
      <c r="AQ99" s="73"/>
      <c r="AR99" s="73"/>
      <c r="AS99" s="73"/>
      <c r="AT99" s="74"/>
      <c r="AU99" s="47"/>
      <c r="AV99" s="48"/>
    </row>
    <row r="100" spans="1:48" ht="12.75" customHeight="1" x14ac:dyDescent="0.25">
      <c r="A100" s="72" t="s">
        <v>883</v>
      </c>
      <c r="B100" s="43" t="s">
        <v>4040</v>
      </c>
      <c r="C100" s="44" t="s">
        <v>3428</v>
      </c>
      <c r="D100" s="45">
        <f>MROUND(MID($C100,6,3)/Basis!$E$3,0.5)</f>
        <v>7</v>
      </c>
      <c r="E100" s="45">
        <f>MROUND(MID($C100,9,3)/Basis!$E$3,0.5)</f>
        <v>141.5</v>
      </c>
      <c r="F100" s="229" t="str">
        <f t="shared" si="1"/>
        <v>11</v>
      </c>
      <c r="G100" s="45">
        <f>ROUND(5/Basis!$E$3,1)</f>
        <v>2</v>
      </c>
      <c r="H100" s="120">
        <f>ROUND($P100*Basis!$E$2*((TaH-TrH)/LN(1/µ)/Basis!$E$7)^$N100*Glycol,0)</f>
        <v>3162</v>
      </c>
      <c r="I100" s="83">
        <f>ROUND(H100/(MID($C100,9,3)/Basis!$E$3/Basis!$E$9)*Basis!$E$11,0)</f>
        <v>268</v>
      </c>
      <c r="J100" s="123">
        <f>IF(Basis!$E$1=1,ROUND(H100/((TaH-TrH)*1.163)/3600,3),ROUND(H100/(500*(TaH-TrH)),2))</f>
        <v>0.32</v>
      </c>
      <c r="K100" s="84"/>
      <c r="L100" s="177">
        <f>CHOOSE(Basis!$E$1,((AJ100*(J100*3600/Basis!$E$5)^AK100*(((MID(C100,9,3)*10)-144)/1000)*AL100+AM100*(J100*3600/Basis!$E$5)^2)*0.0098)/Basis!$E$10,((AJ100*(J100/Basis!$E$5)^AK100*(((MID(C100,9,3)*10)-144)/1000)*AL100+AM100*(J100/Basis!$E$5)^2)*0.0098)/Basis!$E$10)</f>
        <v>0</v>
      </c>
      <c r="M100" s="85"/>
      <c r="N100" s="110">
        <v>1.248</v>
      </c>
      <c r="O100" s="74"/>
      <c r="P100" s="73">
        <v>1399</v>
      </c>
      <c r="Q100" s="74"/>
      <c r="R100" s="75"/>
      <c r="S100" s="75"/>
      <c r="T100" s="75"/>
      <c r="U100" s="75"/>
      <c r="V100" s="75"/>
      <c r="W100" s="74"/>
      <c r="X100" s="76"/>
      <c r="Y100" s="76"/>
      <c r="Z100" s="76"/>
      <c r="AA100" s="76"/>
      <c r="AB100" s="76"/>
      <c r="AC100" s="74"/>
      <c r="AD100" s="77"/>
      <c r="AE100" s="77"/>
      <c r="AF100" s="77"/>
      <c r="AG100" s="77"/>
      <c r="AH100" s="77"/>
      <c r="AI100" s="68"/>
      <c r="AJ100" s="213"/>
      <c r="AK100" s="213"/>
      <c r="AL100" s="213"/>
      <c r="AM100" s="213"/>
      <c r="AN100" s="74"/>
      <c r="AO100" s="73"/>
      <c r="AP100" s="73"/>
      <c r="AQ100" s="73"/>
      <c r="AR100" s="73"/>
      <c r="AS100" s="73"/>
      <c r="AT100" s="74"/>
      <c r="AU100" s="47"/>
      <c r="AV100" s="48"/>
    </row>
    <row r="101" spans="1:48" ht="12.75" customHeight="1" x14ac:dyDescent="0.25">
      <c r="A101" s="72" t="s">
        <v>883</v>
      </c>
      <c r="B101" s="43" t="s">
        <v>4040</v>
      </c>
      <c r="C101" s="44" t="s">
        <v>3429</v>
      </c>
      <c r="D101" s="45">
        <f>MROUND(MID($C101,6,3)/Basis!$E$3,0.5)</f>
        <v>7</v>
      </c>
      <c r="E101" s="45">
        <f>MROUND(MID($C101,9,3)/Basis!$E$3,0.5)</f>
        <v>141.5</v>
      </c>
      <c r="F101" s="229" t="str">
        <f t="shared" si="1"/>
        <v>22</v>
      </c>
      <c r="G101" s="45">
        <f>ROUND(9/Basis!$E$3,1)</f>
        <v>3.5</v>
      </c>
      <c r="H101" s="120">
        <f>ROUND($P101*Basis!$E$2*((TaH-TrH)/LN(1/µ)/Basis!$E$7)^$N101*Glycol,0)</f>
        <v>4925</v>
      </c>
      <c r="I101" s="83">
        <f>ROUND(H101/(MID($C101,9,3)/Basis!$E$3/Basis!$E$9)*Basis!$E$11,0)</f>
        <v>417</v>
      </c>
      <c r="J101" s="123">
        <f>IF(Basis!$E$1=1,ROUND(H101/((TaH-TrH)*1.163)/3600,3),ROUND(H101/(500*(TaH-TrH)),2))</f>
        <v>0.49</v>
      </c>
      <c r="K101" s="84"/>
      <c r="L101" s="177">
        <f>CHOOSE(Basis!$E$1,((AJ101*(J101*3600/Basis!$E$5)^AK101*(((MID(C101,9,3)*10)-144)/1000)*AL101+AM101*(J101*3600/Basis!$E$5)^2)*0.0098)/Basis!$E$10,((AJ101*(J101/Basis!$E$5)^AK101*(((MID(C101,9,3)*10)-144)/1000)*AL101+AM101*(J101/Basis!$E$5)^2)*0.0098)/Basis!$E$10)</f>
        <v>0</v>
      </c>
      <c r="M101" s="85"/>
      <c r="N101" s="109">
        <v>1.349</v>
      </c>
      <c r="O101" s="68"/>
      <c r="P101" s="67">
        <v>2253</v>
      </c>
      <c r="Q101" s="68"/>
      <c r="R101" s="69"/>
      <c r="S101" s="69"/>
      <c r="T101" s="69"/>
      <c r="U101" s="69"/>
      <c r="V101" s="69"/>
      <c r="W101" s="68"/>
      <c r="X101" s="70"/>
      <c r="Y101" s="70"/>
      <c r="Z101" s="70"/>
      <c r="AA101" s="70"/>
      <c r="AB101" s="70"/>
      <c r="AC101" s="68"/>
      <c r="AD101" s="71"/>
      <c r="AE101" s="71"/>
      <c r="AF101" s="71"/>
      <c r="AG101" s="71"/>
      <c r="AH101" s="71"/>
      <c r="AI101" s="68"/>
      <c r="AJ101" s="214"/>
      <c r="AK101" s="214"/>
      <c r="AL101" s="214"/>
      <c r="AM101" s="214"/>
      <c r="AN101" s="68"/>
      <c r="AO101" s="67"/>
      <c r="AP101" s="67"/>
      <c r="AQ101" s="67"/>
      <c r="AR101" s="67"/>
      <c r="AS101" s="67"/>
      <c r="AT101" s="68"/>
      <c r="AU101" s="49"/>
      <c r="AV101" s="50"/>
    </row>
    <row r="102" spans="1:48" ht="12.75" customHeight="1" x14ac:dyDescent="0.25">
      <c r="A102" s="72" t="s">
        <v>883</v>
      </c>
      <c r="B102" s="43" t="s">
        <v>4040</v>
      </c>
      <c r="C102" s="44" t="s">
        <v>3430</v>
      </c>
      <c r="D102" s="45">
        <f>MROUND(MID($C102,6,3)/Basis!$E$3,0.5)</f>
        <v>7</v>
      </c>
      <c r="E102" s="45">
        <f>MROUND(MID($C102,9,3)/Basis!$E$3,0.5)</f>
        <v>141.5</v>
      </c>
      <c r="F102" s="229" t="str">
        <f t="shared" si="1"/>
        <v>34</v>
      </c>
      <c r="G102" s="45">
        <f>ROUND(16.9/Basis!$E$3,1)</f>
        <v>6.7</v>
      </c>
      <c r="H102" s="120">
        <f>ROUND($P102*Basis!$E$2*((TaH-TrH)/LN(1/µ)/Basis!$E$7)^$N102*Glycol,0)</f>
        <v>8676</v>
      </c>
      <c r="I102" s="83">
        <f>ROUND(H102/(MID($C102,9,3)/Basis!$E$3/Basis!$E$9)*Basis!$E$11,0)</f>
        <v>735</v>
      </c>
      <c r="J102" s="123">
        <f>IF(Basis!$E$1=1,ROUND(H102/((TaH-TrH)*1.163)/3600,3),ROUND(H102/(500*(TaH-TrH)),2))</f>
        <v>0.87</v>
      </c>
      <c r="K102" s="84"/>
      <c r="L102" s="177">
        <f>CHOOSE(Basis!$E$1,((AJ102*(J102*3600/Basis!$E$5)^AK102*(((MID(C102,9,3)*10)-144)/1000)*AL102+AM102*(J102*3600/Basis!$E$5)^2)*0.0098)/Basis!$E$10,((AJ102*(J102/Basis!$E$5)^AK102*(((MID(C102,9,3)*10)-144)/1000)*AL102+AM102*(J102/Basis!$E$5)^2)*0.0098)/Basis!$E$10)</f>
        <v>0</v>
      </c>
      <c r="M102" s="85"/>
      <c r="N102" s="109">
        <v>1.452</v>
      </c>
      <c r="O102" s="68"/>
      <c r="P102" s="67">
        <v>4106</v>
      </c>
      <c r="Q102" s="68"/>
      <c r="R102" s="69"/>
      <c r="S102" s="69"/>
      <c r="T102" s="69"/>
      <c r="U102" s="69"/>
      <c r="V102" s="69"/>
      <c r="W102" s="68"/>
      <c r="X102" s="70"/>
      <c r="Y102" s="70"/>
      <c r="Z102" s="70"/>
      <c r="AA102" s="70"/>
      <c r="AB102" s="70"/>
      <c r="AC102" s="68"/>
      <c r="AD102" s="71"/>
      <c r="AE102" s="71"/>
      <c r="AF102" s="71"/>
      <c r="AG102" s="71"/>
      <c r="AH102" s="71"/>
      <c r="AI102" s="68"/>
      <c r="AJ102" s="214"/>
      <c r="AK102" s="214"/>
      <c r="AL102" s="214"/>
      <c r="AM102" s="214"/>
      <c r="AN102" s="68"/>
      <c r="AO102" s="67"/>
      <c r="AP102" s="67"/>
      <c r="AQ102" s="67"/>
      <c r="AR102" s="67"/>
      <c r="AS102" s="67"/>
      <c r="AT102" s="68"/>
      <c r="AU102" s="49"/>
      <c r="AV102" s="50"/>
    </row>
    <row r="103" spans="1:48" ht="12.75" customHeight="1" x14ac:dyDescent="0.25">
      <c r="A103" s="72" t="s">
        <v>883</v>
      </c>
      <c r="B103" s="43" t="s">
        <v>4040</v>
      </c>
      <c r="C103" s="44" t="s">
        <v>3431</v>
      </c>
      <c r="D103" s="45">
        <f>MROUND(MID($C103,6,3)/Basis!$E$3,0.5)</f>
        <v>7</v>
      </c>
      <c r="E103" s="45">
        <f>MROUND(MID($C103,9,3)/Basis!$E$3,0.5)</f>
        <v>149.5</v>
      </c>
      <c r="F103" s="229" t="str">
        <f t="shared" si="1"/>
        <v>11</v>
      </c>
      <c r="G103" s="45">
        <f>ROUND(5/Basis!$E$3,1)</f>
        <v>2</v>
      </c>
      <c r="H103" s="120">
        <f>ROUND($P103*Basis!$E$2*((TaH-TrH)/LN(1/µ)/Basis!$E$7)^$N103*Glycol,0)</f>
        <v>3336</v>
      </c>
      <c r="I103" s="83">
        <f>ROUND(H103/(MID($C103,9,3)/Basis!$E$3/Basis!$E$9)*Basis!$E$11,0)</f>
        <v>268</v>
      </c>
      <c r="J103" s="123">
        <f>IF(Basis!$E$1=1,ROUND(H103/((TaH-TrH)*1.163)/3600,3),ROUND(H103/(500*(TaH-TrH)),2))</f>
        <v>0.33</v>
      </c>
      <c r="K103" s="84"/>
      <c r="L103" s="177">
        <f>CHOOSE(Basis!$E$1,((AJ103*(J103*3600/Basis!$E$5)^AK103*(((MID(C103,9,3)*10)-144)/1000)*AL103+AM103*(J103*3600/Basis!$E$5)^2)*0.0098)/Basis!$E$10,((AJ103*(J103/Basis!$E$5)^AK103*(((MID(C103,9,3)*10)-144)/1000)*AL103+AM103*(J103/Basis!$E$5)^2)*0.0098)/Basis!$E$10)</f>
        <v>0</v>
      </c>
      <c r="M103" s="85"/>
      <c r="N103" s="110">
        <v>1.248</v>
      </c>
      <c r="O103" s="74"/>
      <c r="P103" s="73">
        <v>1476</v>
      </c>
      <c r="Q103" s="74"/>
      <c r="R103" s="75"/>
      <c r="S103" s="75"/>
      <c r="T103" s="75"/>
      <c r="U103" s="75"/>
      <c r="V103" s="75"/>
      <c r="W103" s="74"/>
      <c r="X103" s="76"/>
      <c r="Y103" s="76"/>
      <c r="Z103" s="76"/>
      <c r="AA103" s="76"/>
      <c r="AB103" s="76"/>
      <c r="AC103" s="74"/>
      <c r="AD103" s="77"/>
      <c r="AE103" s="77"/>
      <c r="AF103" s="77"/>
      <c r="AG103" s="77"/>
      <c r="AH103" s="77"/>
      <c r="AI103" s="68"/>
      <c r="AJ103" s="213"/>
      <c r="AK103" s="213"/>
      <c r="AL103" s="213"/>
      <c r="AM103" s="213"/>
      <c r="AN103" s="74"/>
      <c r="AO103" s="73"/>
      <c r="AP103" s="73"/>
      <c r="AQ103" s="73"/>
      <c r="AR103" s="73"/>
      <c r="AS103" s="73"/>
      <c r="AT103" s="74"/>
      <c r="AU103" s="47"/>
      <c r="AV103" s="48"/>
    </row>
    <row r="104" spans="1:48" ht="12.75" customHeight="1" x14ac:dyDescent="0.25">
      <c r="A104" s="72" t="s">
        <v>883</v>
      </c>
      <c r="B104" s="43" t="s">
        <v>4040</v>
      </c>
      <c r="C104" s="44" t="s">
        <v>3432</v>
      </c>
      <c r="D104" s="45">
        <f>MROUND(MID($C104,6,3)/Basis!$E$3,0.5)</f>
        <v>7</v>
      </c>
      <c r="E104" s="45">
        <f>MROUND(MID($C104,9,3)/Basis!$E$3,0.5)</f>
        <v>149.5</v>
      </c>
      <c r="F104" s="229" t="str">
        <f t="shared" si="1"/>
        <v>22</v>
      </c>
      <c r="G104" s="45">
        <f>ROUND(9/Basis!$E$3,1)</f>
        <v>3.5</v>
      </c>
      <c r="H104" s="120">
        <f>ROUND($P104*Basis!$E$2*((TaH-TrH)/LN(1/µ)/Basis!$E$7)^$N104*Glycol,0)</f>
        <v>5198</v>
      </c>
      <c r="I104" s="83">
        <f>ROUND(H104/(MID($C104,9,3)/Basis!$E$3/Basis!$E$9)*Basis!$E$11,0)</f>
        <v>417</v>
      </c>
      <c r="J104" s="123">
        <f>IF(Basis!$E$1=1,ROUND(H104/((TaH-TrH)*1.163)/3600,3),ROUND(H104/(500*(TaH-TrH)),2))</f>
        <v>0.52</v>
      </c>
      <c r="K104" s="84"/>
      <c r="L104" s="177">
        <f>CHOOSE(Basis!$E$1,((AJ104*(J104*3600/Basis!$E$5)^AK104*(((MID(C104,9,3)*10)-144)/1000)*AL104+AM104*(J104*3600/Basis!$E$5)^2)*0.0098)/Basis!$E$10,((AJ104*(J104/Basis!$E$5)^AK104*(((MID(C104,9,3)*10)-144)/1000)*AL104+AM104*(J104/Basis!$E$5)^2)*0.0098)/Basis!$E$10)</f>
        <v>0</v>
      </c>
      <c r="M104" s="85"/>
      <c r="N104" s="110">
        <v>1.349</v>
      </c>
      <c r="O104" s="74"/>
      <c r="P104" s="73">
        <v>2378</v>
      </c>
      <c r="Q104" s="74"/>
      <c r="R104" s="75"/>
      <c r="S104" s="75"/>
      <c r="T104" s="75"/>
      <c r="U104" s="75"/>
      <c r="V104" s="75"/>
      <c r="W104" s="74"/>
      <c r="X104" s="76"/>
      <c r="Y104" s="76"/>
      <c r="Z104" s="76"/>
      <c r="AA104" s="76"/>
      <c r="AB104" s="76"/>
      <c r="AC104" s="74"/>
      <c r="AD104" s="77"/>
      <c r="AE104" s="77"/>
      <c r="AF104" s="77"/>
      <c r="AG104" s="77"/>
      <c r="AH104" s="77"/>
      <c r="AI104" s="68"/>
      <c r="AJ104" s="213"/>
      <c r="AK104" s="213"/>
      <c r="AL104" s="213"/>
      <c r="AM104" s="213"/>
      <c r="AN104" s="74"/>
      <c r="AO104" s="73"/>
      <c r="AP104" s="73"/>
      <c r="AQ104" s="73"/>
      <c r="AR104" s="73"/>
      <c r="AS104" s="73"/>
      <c r="AT104" s="74"/>
      <c r="AU104" s="47"/>
      <c r="AV104" s="48"/>
    </row>
    <row r="105" spans="1:48" ht="12.75" customHeight="1" x14ac:dyDescent="0.25">
      <c r="A105" s="72" t="s">
        <v>883</v>
      </c>
      <c r="B105" s="43" t="s">
        <v>4040</v>
      </c>
      <c r="C105" s="44" t="s">
        <v>3433</v>
      </c>
      <c r="D105" s="45">
        <f>MROUND(MID($C105,6,3)/Basis!$E$3,0.5)</f>
        <v>7</v>
      </c>
      <c r="E105" s="45">
        <f>MROUND(MID($C105,9,3)/Basis!$E$3,0.5)</f>
        <v>149.5</v>
      </c>
      <c r="F105" s="229" t="str">
        <f t="shared" si="1"/>
        <v>34</v>
      </c>
      <c r="G105" s="45">
        <f>ROUND(16.9/Basis!$E$3,1)</f>
        <v>6.7</v>
      </c>
      <c r="H105" s="120">
        <f>ROUND($P105*Basis!$E$2*((TaH-TrH)/LN(1/µ)/Basis!$E$7)^$N105*Glycol,0)</f>
        <v>9158</v>
      </c>
      <c r="I105" s="83">
        <f>ROUND(H105/(MID($C105,9,3)/Basis!$E$3/Basis!$E$9)*Basis!$E$11,0)</f>
        <v>735</v>
      </c>
      <c r="J105" s="123">
        <f>IF(Basis!$E$1=1,ROUND(H105/((TaH-TrH)*1.163)/3600,3),ROUND(H105/(500*(TaH-TrH)),2))</f>
        <v>0.92</v>
      </c>
      <c r="K105" s="84"/>
      <c r="L105" s="177">
        <f>CHOOSE(Basis!$E$1,((AJ105*(J105*3600/Basis!$E$5)^AK105*(((MID(C105,9,3)*10)-144)/1000)*AL105+AM105*(J105*3600/Basis!$E$5)^2)*0.0098)/Basis!$E$10,((AJ105*(J105/Basis!$E$5)^AK105*(((MID(C105,9,3)*10)-144)/1000)*AL105+AM105*(J105/Basis!$E$5)^2)*0.0098)/Basis!$E$10)</f>
        <v>0</v>
      </c>
      <c r="M105" s="85"/>
      <c r="N105" s="109">
        <v>1.452</v>
      </c>
      <c r="O105" s="68"/>
      <c r="P105" s="67">
        <v>4334</v>
      </c>
      <c r="Q105" s="68"/>
      <c r="R105" s="69"/>
      <c r="S105" s="69"/>
      <c r="T105" s="69"/>
      <c r="U105" s="69"/>
      <c r="V105" s="69"/>
      <c r="W105" s="68"/>
      <c r="X105" s="70"/>
      <c r="Y105" s="70"/>
      <c r="Z105" s="70"/>
      <c r="AA105" s="70"/>
      <c r="AB105" s="70"/>
      <c r="AC105" s="68"/>
      <c r="AD105" s="71"/>
      <c r="AE105" s="71"/>
      <c r="AF105" s="71"/>
      <c r="AG105" s="71"/>
      <c r="AH105" s="71"/>
      <c r="AI105" s="68"/>
      <c r="AJ105" s="214"/>
      <c r="AK105" s="214"/>
      <c r="AL105" s="214"/>
      <c r="AM105" s="214"/>
      <c r="AN105" s="68"/>
      <c r="AO105" s="67"/>
      <c r="AP105" s="67"/>
      <c r="AQ105" s="67"/>
      <c r="AR105" s="67"/>
      <c r="AS105" s="67"/>
      <c r="AT105" s="68"/>
      <c r="AU105" s="49"/>
      <c r="AV105" s="50"/>
    </row>
    <row r="106" spans="1:48" ht="12.75" customHeight="1" x14ac:dyDescent="0.25">
      <c r="A106" s="72" t="s">
        <v>883</v>
      </c>
      <c r="B106" s="43" t="s">
        <v>4040</v>
      </c>
      <c r="C106" s="44" t="s">
        <v>3434</v>
      </c>
      <c r="D106" s="45">
        <f>MROUND(MID($C106,6,3)/Basis!$E$3,0.5)</f>
        <v>7</v>
      </c>
      <c r="E106" s="45">
        <f>MROUND(MID($C106,9,3)/Basis!$E$3,0.5)</f>
        <v>165.5</v>
      </c>
      <c r="F106" s="229" t="str">
        <f t="shared" si="1"/>
        <v>11</v>
      </c>
      <c r="G106" s="45">
        <f>ROUND(5/Basis!$E$3,1)</f>
        <v>2</v>
      </c>
      <c r="H106" s="120">
        <f>ROUND($P106*Basis!$E$2*((TaH-TrH)/LN(1/µ)/Basis!$E$7)^$N106*Glycol,0)</f>
        <v>3689</v>
      </c>
      <c r="I106" s="83">
        <f>ROUND(H106/(MID($C106,9,3)/Basis!$E$3/Basis!$E$9)*Basis!$E$11,0)</f>
        <v>268</v>
      </c>
      <c r="J106" s="123">
        <f>IF(Basis!$E$1=1,ROUND(H106/((TaH-TrH)*1.163)/3600,3),ROUND(H106/(500*(TaH-TrH)),2))</f>
        <v>0.37</v>
      </c>
      <c r="K106" s="84"/>
      <c r="L106" s="177">
        <f>CHOOSE(Basis!$E$1,((AJ106*(J106*3600/Basis!$E$5)^AK106*(((MID(C106,9,3)*10)-144)/1000)*AL106+AM106*(J106*3600/Basis!$E$5)^2)*0.0098)/Basis!$E$10,((AJ106*(J106/Basis!$E$5)^AK106*(((MID(C106,9,3)*10)-144)/1000)*AL106+AM106*(J106/Basis!$E$5)^2)*0.0098)/Basis!$E$10)</f>
        <v>0</v>
      </c>
      <c r="M106" s="85"/>
      <c r="N106" s="109">
        <v>1.248</v>
      </c>
      <c r="O106" s="68"/>
      <c r="P106" s="67">
        <v>1632</v>
      </c>
      <c r="Q106" s="68"/>
      <c r="R106" s="69"/>
      <c r="S106" s="69"/>
      <c r="T106" s="69"/>
      <c r="U106" s="69"/>
      <c r="V106" s="69"/>
      <c r="W106" s="68"/>
      <c r="X106" s="70"/>
      <c r="Y106" s="70"/>
      <c r="Z106" s="70"/>
      <c r="AA106" s="70"/>
      <c r="AB106" s="70"/>
      <c r="AC106" s="68"/>
      <c r="AD106" s="71"/>
      <c r="AE106" s="71"/>
      <c r="AF106" s="71"/>
      <c r="AG106" s="71"/>
      <c r="AH106" s="71"/>
      <c r="AI106" s="68"/>
      <c r="AJ106" s="214"/>
      <c r="AK106" s="214"/>
      <c r="AL106" s="214"/>
      <c r="AM106" s="214"/>
      <c r="AN106" s="68"/>
      <c r="AO106" s="67"/>
      <c r="AP106" s="67"/>
      <c r="AQ106" s="67"/>
      <c r="AR106" s="67"/>
      <c r="AS106" s="67"/>
      <c r="AT106" s="68"/>
      <c r="AU106" s="49"/>
      <c r="AV106" s="50"/>
    </row>
    <row r="107" spans="1:48" ht="12.75" customHeight="1" x14ac:dyDescent="0.25">
      <c r="A107" s="72" t="s">
        <v>883</v>
      </c>
      <c r="B107" s="43" t="s">
        <v>4040</v>
      </c>
      <c r="C107" s="44" t="s">
        <v>3435</v>
      </c>
      <c r="D107" s="45">
        <f>MROUND(MID($C107,6,3)/Basis!$E$3,0.5)</f>
        <v>7</v>
      </c>
      <c r="E107" s="45">
        <f>MROUND(MID($C107,9,3)/Basis!$E$3,0.5)</f>
        <v>165.5</v>
      </c>
      <c r="F107" s="229" t="str">
        <f t="shared" si="1"/>
        <v>22</v>
      </c>
      <c r="G107" s="45">
        <f>ROUND(9/Basis!$E$3,1)</f>
        <v>3.5</v>
      </c>
      <c r="H107" s="120">
        <f>ROUND($P107*Basis!$E$2*((TaH-TrH)/LN(1/µ)/Basis!$E$7)^$N107*Glycol,0)</f>
        <v>5745</v>
      </c>
      <c r="I107" s="83">
        <f>ROUND(H107/(MID($C107,9,3)/Basis!$E$3/Basis!$E$9)*Basis!$E$11,0)</f>
        <v>417</v>
      </c>
      <c r="J107" s="123">
        <f>IF(Basis!$E$1=1,ROUND(H107/((TaH-TrH)*1.163)/3600,3),ROUND(H107/(500*(TaH-TrH)),2))</f>
        <v>0.56999999999999995</v>
      </c>
      <c r="K107" s="84"/>
      <c r="L107" s="177">
        <f>CHOOSE(Basis!$E$1,((AJ107*(J107*3600/Basis!$E$5)^AK107*(((MID(C107,9,3)*10)-144)/1000)*AL107+AM107*(J107*3600/Basis!$E$5)^2)*0.0098)/Basis!$E$10,((AJ107*(J107/Basis!$E$5)^AK107*(((MID(C107,9,3)*10)-144)/1000)*AL107+AM107*(J107/Basis!$E$5)^2)*0.0098)/Basis!$E$10)</f>
        <v>0</v>
      </c>
      <c r="M107" s="85"/>
      <c r="N107" s="110">
        <v>1.349</v>
      </c>
      <c r="O107" s="74"/>
      <c r="P107" s="73">
        <v>2628</v>
      </c>
      <c r="Q107" s="74"/>
      <c r="R107" s="75"/>
      <c r="S107" s="75"/>
      <c r="T107" s="75"/>
      <c r="U107" s="75"/>
      <c r="V107" s="75"/>
      <c r="W107" s="74"/>
      <c r="X107" s="76"/>
      <c r="Y107" s="76"/>
      <c r="Z107" s="76"/>
      <c r="AA107" s="76"/>
      <c r="AB107" s="76"/>
      <c r="AC107" s="74"/>
      <c r="AD107" s="77"/>
      <c r="AE107" s="77"/>
      <c r="AF107" s="77"/>
      <c r="AG107" s="77"/>
      <c r="AH107" s="77"/>
      <c r="AI107" s="68"/>
      <c r="AJ107" s="213"/>
      <c r="AK107" s="213"/>
      <c r="AL107" s="213"/>
      <c r="AM107" s="213"/>
      <c r="AN107" s="74"/>
      <c r="AO107" s="73"/>
      <c r="AP107" s="73"/>
      <c r="AQ107" s="73"/>
      <c r="AR107" s="73"/>
      <c r="AS107" s="73"/>
      <c r="AT107" s="74"/>
      <c r="AU107" s="47"/>
      <c r="AV107" s="48"/>
    </row>
    <row r="108" spans="1:48" ht="12.75" customHeight="1" x14ac:dyDescent="0.25">
      <c r="A108" s="72" t="s">
        <v>883</v>
      </c>
      <c r="B108" s="43" t="s">
        <v>4040</v>
      </c>
      <c r="C108" s="44" t="s">
        <v>3436</v>
      </c>
      <c r="D108" s="45">
        <f>MROUND(MID($C108,6,3)/Basis!$E$3,0.5)</f>
        <v>7</v>
      </c>
      <c r="E108" s="45">
        <f>MROUND(MID($C108,9,3)/Basis!$E$3,0.5)</f>
        <v>165.5</v>
      </c>
      <c r="F108" s="229" t="str">
        <f t="shared" si="1"/>
        <v>34</v>
      </c>
      <c r="G108" s="45">
        <f>ROUND(16.9/Basis!$E$3,1)</f>
        <v>6.7</v>
      </c>
      <c r="H108" s="120">
        <f>ROUND($P108*Basis!$E$2*((TaH-TrH)/LN(1/µ)/Basis!$E$7)^$N108*Glycol,0)</f>
        <v>10121</v>
      </c>
      <c r="I108" s="83">
        <f>ROUND(H108/(MID($C108,9,3)/Basis!$E$3/Basis!$E$9)*Basis!$E$11,0)</f>
        <v>734</v>
      </c>
      <c r="J108" s="123">
        <f>IF(Basis!$E$1=1,ROUND(H108/((TaH-TrH)*1.163)/3600,3),ROUND(H108/(500*(TaH-TrH)),2))</f>
        <v>1.01</v>
      </c>
      <c r="K108" s="84"/>
      <c r="L108" s="177">
        <f>CHOOSE(Basis!$E$1,((AJ108*(J108*3600/Basis!$E$5)^AK108*(((MID(C108,9,3)*10)-144)/1000)*AL108+AM108*(J108*3600/Basis!$E$5)^2)*0.0098)/Basis!$E$10,((AJ108*(J108/Basis!$E$5)^AK108*(((MID(C108,9,3)*10)-144)/1000)*AL108+AM108*(J108/Basis!$E$5)^2)*0.0098)/Basis!$E$10)</f>
        <v>0</v>
      </c>
      <c r="M108" s="85"/>
      <c r="N108" s="110">
        <v>1.452</v>
      </c>
      <c r="O108" s="74"/>
      <c r="P108" s="73">
        <v>4790</v>
      </c>
      <c r="Q108" s="74"/>
      <c r="R108" s="75"/>
      <c r="S108" s="75"/>
      <c r="T108" s="75"/>
      <c r="U108" s="75"/>
      <c r="V108" s="75"/>
      <c r="W108" s="74"/>
      <c r="X108" s="76"/>
      <c r="Y108" s="76"/>
      <c r="Z108" s="76"/>
      <c r="AA108" s="76"/>
      <c r="AB108" s="76"/>
      <c r="AC108" s="74"/>
      <c r="AD108" s="77"/>
      <c r="AE108" s="77"/>
      <c r="AF108" s="77"/>
      <c r="AG108" s="77"/>
      <c r="AH108" s="77"/>
      <c r="AI108" s="68"/>
      <c r="AJ108" s="213"/>
      <c r="AK108" s="213"/>
      <c r="AL108" s="213"/>
      <c r="AM108" s="213"/>
      <c r="AN108" s="74"/>
      <c r="AO108" s="73"/>
      <c r="AP108" s="73"/>
      <c r="AQ108" s="73"/>
      <c r="AR108" s="73"/>
      <c r="AS108" s="73"/>
      <c r="AT108" s="74"/>
      <c r="AU108" s="47"/>
      <c r="AV108" s="48"/>
    </row>
    <row r="109" spans="1:48" ht="12.75" customHeight="1" x14ac:dyDescent="0.25">
      <c r="A109" s="72" t="s">
        <v>883</v>
      </c>
      <c r="B109" s="43" t="s">
        <v>4040</v>
      </c>
      <c r="C109" s="44" t="s">
        <v>3437</v>
      </c>
      <c r="D109" s="45">
        <f>MROUND(MID($C109,6,3)/Basis!$E$3,0.5)</f>
        <v>7</v>
      </c>
      <c r="E109" s="45">
        <f>MROUND(MID($C109,9,3)/Basis!$E$3,0.5)</f>
        <v>181</v>
      </c>
      <c r="F109" s="229" t="str">
        <f t="shared" si="1"/>
        <v>11</v>
      </c>
      <c r="G109" s="45">
        <f>ROUND(5/Basis!$E$3,1)</f>
        <v>2</v>
      </c>
      <c r="H109" s="120">
        <f>ROUND($P109*Basis!$E$2*((TaH-TrH)/LN(1/µ)/Basis!$E$7)^$N109*Glycol,0)</f>
        <v>4039</v>
      </c>
      <c r="I109" s="83">
        <f>ROUND(H109/(MID($C109,9,3)/Basis!$E$3/Basis!$E$9)*Basis!$E$11,0)</f>
        <v>268</v>
      </c>
      <c r="J109" s="123">
        <f>IF(Basis!$E$1=1,ROUND(H109/((TaH-TrH)*1.163)/3600,3),ROUND(H109/(500*(TaH-TrH)),2))</f>
        <v>0.4</v>
      </c>
      <c r="K109" s="84"/>
      <c r="L109" s="177">
        <f>CHOOSE(Basis!$E$1,((AJ109*(J109*3600/Basis!$E$5)^AK109*(((MID(C109,9,3)*10)-144)/1000)*AL109+AM109*(J109*3600/Basis!$E$5)^2)*0.0098)/Basis!$E$10,((AJ109*(J109/Basis!$E$5)^AK109*(((MID(C109,9,3)*10)-144)/1000)*AL109+AM109*(J109/Basis!$E$5)^2)*0.0098)/Basis!$E$10)</f>
        <v>0</v>
      </c>
      <c r="M109" s="85"/>
      <c r="N109" s="109">
        <v>1.248</v>
      </c>
      <c r="O109" s="68"/>
      <c r="P109" s="67">
        <v>1787</v>
      </c>
      <c r="Q109" s="68"/>
      <c r="R109" s="69"/>
      <c r="S109" s="69"/>
      <c r="T109" s="69"/>
      <c r="U109" s="69"/>
      <c r="V109" s="69"/>
      <c r="W109" s="68"/>
      <c r="X109" s="70"/>
      <c r="Y109" s="70"/>
      <c r="Z109" s="70"/>
      <c r="AA109" s="70"/>
      <c r="AB109" s="70"/>
      <c r="AC109" s="68"/>
      <c r="AD109" s="71"/>
      <c r="AE109" s="71"/>
      <c r="AF109" s="71"/>
      <c r="AG109" s="71"/>
      <c r="AH109" s="71"/>
      <c r="AI109" s="68"/>
      <c r="AJ109" s="214"/>
      <c r="AK109" s="214"/>
      <c r="AL109" s="214"/>
      <c r="AM109" s="214"/>
      <c r="AN109" s="68"/>
      <c r="AO109" s="67"/>
      <c r="AP109" s="67"/>
      <c r="AQ109" s="67"/>
      <c r="AR109" s="67"/>
      <c r="AS109" s="67"/>
      <c r="AT109" s="68"/>
      <c r="AU109" s="49"/>
      <c r="AV109" s="50"/>
    </row>
    <row r="110" spans="1:48" ht="12.75" customHeight="1" x14ac:dyDescent="0.25">
      <c r="A110" s="72" t="s">
        <v>883</v>
      </c>
      <c r="B110" s="43" t="s">
        <v>4040</v>
      </c>
      <c r="C110" s="44" t="s">
        <v>3438</v>
      </c>
      <c r="D110" s="45">
        <f>MROUND(MID($C110,6,3)/Basis!$E$3,0.5)</f>
        <v>9.5</v>
      </c>
      <c r="E110" s="45">
        <f>MROUND(MID($C110,9,3)/Basis!$E$3,0.5)</f>
        <v>23.5</v>
      </c>
      <c r="F110" s="229" t="str">
        <f t="shared" si="1"/>
        <v>11</v>
      </c>
      <c r="G110" s="45">
        <f>ROUND(5/Basis!$E$3,1)</f>
        <v>2</v>
      </c>
      <c r="H110" s="120">
        <f>ROUND($P110*Basis!$E$2*((TaH-TrH)/LN(1/µ)/Basis!$E$7)^$N110*Glycol,0)</f>
        <v>644</v>
      </c>
      <c r="I110" s="83">
        <f>ROUND(H110/(MID($C110,9,3)/Basis!$E$3/Basis!$E$9)*Basis!$E$11,0)</f>
        <v>327</v>
      </c>
      <c r="J110" s="123">
        <f>IF(Basis!$E$1=1,ROUND(H110/((TaH-TrH)*1.163)/3600,3),ROUND(H110/(500*(TaH-TrH)),2))</f>
        <v>0.06</v>
      </c>
      <c r="K110" s="84"/>
      <c r="L110" s="177">
        <f>CHOOSE(Basis!$E$1,((AJ110*(J110*3600/Basis!$E$5)^AK110*(((MID(C110,9,3)*10)-144)/1000)*AL110+AM110*(J110*3600/Basis!$E$5)^2)*0.0098)/Basis!$E$10,((AJ110*(J110/Basis!$E$5)^AK110*(((MID(C110,9,3)*10)-144)/1000)*AL110+AM110*(J110/Basis!$E$5)^2)*0.0098)/Basis!$E$10)</f>
        <v>0</v>
      </c>
      <c r="M110" s="85"/>
      <c r="N110" s="109">
        <v>1.248</v>
      </c>
      <c r="O110" s="68"/>
      <c r="P110" s="67">
        <v>285</v>
      </c>
      <c r="Q110" s="68"/>
      <c r="R110" s="69"/>
      <c r="S110" s="69"/>
      <c r="T110" s="69"/>
      <c r="U110" s="69"/>
      <c r="V110" s="69"/>
      <c r="W110" s="68"/>
      <c r="X110" s="70"/>
      <c r="Y110" s="70"/>
      <c r="Z110" s="70"/>
      <c r="AA110" s="70"/>
      <c r="AB110" s="70"/>
      <c r="AC110" s="68"/>
      <c r="AD110" s="71"/>
      <c r="AE110" s="71"/>
      <c r="AF110" s="71"/>
      <c r="AG110" s="71"/>
      <c r="AH110" s="71"/>
      <c r="AI110" s="68"/>
      <c r="AJ110" s="214"/>
      <c r="AK110" s="214"/>
      <c r="AL110" s="214"/>
      <c r="AM110" s="214"/>
      <c r="AN110" s="68"/>
      <c r="AO110" s="67"/>
      <c r="AP110" s="67"/>
      <c r="AQ110" s="67"/>
      <c r="AR110" s="67"/>
      <c r="AS110" s="67"/>
      <c r="AT110" s="68"/>
      <c r="AU110" s="49"/>
      <c r="AV110" s="50"/>
    </row>
    <row r="111" spans="1:48" ht="12.75" customHeight="1" x14ac:dyDescent="0.25">
      <c r="A111" s="72" t="s">
        <v>883</v>
      </c>
      <c r="B111" s="43" t="s">
        <v>4040</v>
      </c>
      <c r="C111" s="44" t="s">
        <v>3439</v>
      </c>
      <c r="D111" s="45">
        <f>MROUND(MID($C111,6,3)/Basis!$E$3,0.5)</f>
        <v>9.5</v>
      </c>
      <c r="E111" s="45">
        <f>MROUND(MID($C111,9,3)/Basis!$E$3,0.5)</f>
        <v>23.5</v>
      </c>
      <c r="F111" s="229" t="str">
        <f t="shared" si="1"/>
        <v>22</v>
      </c>
      <c r="G111" s="45">
        <f>ROUND(9/Basis!$E$3,1)</f>
        <v>3.5</v>
      </c>
      <c r="H111" s="120">
        <f>ROUND($P111*Basis!$E$2*((TaH-TrH)/LN(1/µ)/Basis!$E$7)^$N111*Glycol,0)</f>
        <v>1043</v>
      </c>
      <c r="I111" s="83">
        <f>ROUND(H111/(MID($C111,9,3)/Basis!$E$3/Basis!$E$9)*Basis!$E$11,0)</f>
        <v>530</v>
      </c>
      <c r="J111" s="123">
        <f>IF(Basis!$E$1=1,ROUND(H111/((TaH-TrH)*1.163)/3600,3),ROUND(H111/(500*(TaH-TrH)),2))</f>
        <v>0.1</v>
      </c>
      <c r="K111" s="84"/>
      <c r="L111" s="177">
        <f>CHOOSE(Basis!$E$1,((AJ111*(J111*3600/Basis!$E$5)^AK111*(((MID(C111,9,3)*10)-144)/1000)*AL111+AM111*(J111*3600/Basis!$E$5)^2)*0.0098)/Basis!$E$10,((AJ111*(J111/Basis!$E$5)^AK111*(((MID(C111,9,3)*10)-144)/1000)*AL111+AM111*(J111/Basis!$E$5)^2)*0.0098)/Basis!$E$10)</f>
        <v>0</v>
      </c>
      <c r="M111" s="85"/>
      <c r="N111" s="110">
        <v>1.349</v>
      </c>
      <c r="O111" s="74"/>
      <c r="P111" s="73">
        <v>477</v>
      </c>
      <c r="Q111" s="74"/>
      <c r="R111" s="75"/>
      <c r="S111" s="75"/>
      <c r="T111" s="75"/>
      <c r="U111" s="75"/>
      <c r="V111" s="75"/>
      <c r="W111" s="74"/>
      <c r="X111" s="76"/>
      <c r="Y111" s="76"/>
      <c r="Z111" s="76"/>
      <c r="AA111" s="76"/>
      <c r="AB111" s="76"/>
      <c r="AC111" s="74"/>
      <c r="AD111" s="77"/>
      <c r="AE111" s="77"/>
      <c r="AF111" s="77"/>
      <c r="AG111" s="77"/>
      <c r="AH111" s="77"/>
      <c r="AI111" s="68"/>
      <c r="AJ111" s="213"/>
      <c r="AK111" s="213"/>
      <c r="AL111" s="213"/>
      <c r="AM111" s="213"/>
      <c r="AN111" s="74"/>
      <c r="AO111" s="73"/>
      <c r="AP111" s="73"/>
      <c r="AQ111" s="73"/>
      <c r="AR111" s="73"/>
      <c r="AS111" s="73"/>
      <c r="AT111" s="74"/>
      <c r="AU111" s="47"/>
      <c r="AV111" s="48"/>
    </row>
    <row r="112" spans="1:48" ht="12.75" customHeight="1" x14ac:dyDescent="0.25">
      <c r="A112" s="72" t="s">
        <v>883</v>
      </c>
      <c r="B112" s="43" t="s">
        <v>4040</v>
      </c>
      <c r="C112" s="44" t="s">
        <v>3440</v>
      </c>
      <c r="D112" s="45">
        <f>MROUND(MID($C112,6,3)/Basis!$E$3,0.5)</f>
        <v>9.5</v>
      </c>
      <c r="E112" s="45">
        <f>MROUND(MID($C112,9,3)/Basis!$E$3,0.5)</f>
        <v>23.5</v>
      </c>
      <c r="F112" s="229" t="str">
        <f t="shared" si="1"/>
        <v>34</v>
      </c>
      <c r="G112" s="45">
        <f>ROUND(16.9/Basis!$E$3,1)</f>
        <v>6.7</v>
      </c>
      <c r="H112" s="120">
        <f>ROUND($P112*Basis!$E$2*((TaH-TrH)/LN(1/µ)/Basis!$E$7)^$N112*Glycol,0)</f>
        <v>1849</v>
      </c>
      <c r="I112" s="83">
        <f>ROUND(H112/(MID($C112,9,3)/Basis!$E$3/Basis!$E$9)*Basis!$E$11,0)</f>
        <v>939</v>
      </c>
      <c r="J112" s="123">
        <f>IF(Basis!$E$1=1,ROUND(H112/((TaH-TrH)*1.163)/3600,3),ROUND(H112/(500*(TaH-TrH)),2))</f>
        <v>0.18</v>
      </c>
      <c r="K112" s="84"/>
      <c r="L112" s="177">
        <f>CHOOSE(Basis!$E$1,((AJ112*(J112*3600/Basis!$E$5)^AK112*(((MID(C112,9,3)*10)-144)/1000)*AL112+AM112*(J112*3600/Basis!$E$5)^2)*0.0098)/Basis!$E$10,((AJ112*(J112/Basis!$E$5)^AK112*(((MID(C112,9,3)*10)-144)/1000)*AL112+AM112*(J112/Basis!$E$5)^2)*0.0098)/Basis!$E$10)</f>
        <v>0</v>
      </c>
      <c r="M112" s="85"/>
      <c r="N112" s="110">
        <v>1.452</v>
      </c>
      <c r="O112" s="74"/>
      <c r="P112" s="73">
        <v>875</v>
      </c>
      <c r="Q112" s="74"/>
      <c r="R112" s="75"/>
      <c r="S112" s="75"/>
      <c r="T112" s="75"/>
      <c r="U112" s="75"/>
      <c r="V112" s="75"/>
      <c r="W112" s="74"/>
      <c r="X112" s="76"/>
      <c r="Y112" s="76"/>
      <c r="Z112" s="76"/>
      <c r="AA112" s="76"/>
      <c r="AB112" s="76"/>
      <c r="AC112" s="74"/>
      <c r="AD112" s="77"/>
      <c r="AE112" s="77"/>
      <c r="AF112" s="77"/>
      <c r="AG112" s="77"/>
      <c r="AH112" s="77"/>
      <c r="AI112" s="68"/>
      <c r="AJ112" s="213"/>
      <c r="AK112" s="213"/>
      <c r="AL112" s="213"/>
      <c r="AM112" s="213"/>
      <c r="AN112" s="74"/>
      <c r="AO112" s="73"/>
      <c r="AP112" s="73"/>
      <c r="AQ112" s="73"/>
      <c r="AR112" s="73"/>
      <c r="AS112" s="73"/>
      <c r="AT112" s="74"/>
      <c r="AU112" s="47"/>
      <c r="AV112" s="48"/>
    </row>
    <row r="113" spans="1:48" ht="12.75" customHeight="1" x14ac:dyDescent="0.25">
      <c r="A113" s="72" t="s">
        <v>883</v>
      </c>
      <c r="B113" s="43" t="s">
        <v>4040</v>
      </c>
      <c r="C113" s="44" t="s">
        <v>3441</v>
      </c>
      <c r="D113" s="45">
        <f>MROUND(MID($C113,6,3)/Basis!$E$3,0.5)</f>
        <v>9.5</v>
      </c>
      <c r="E113" s="45">
        <f>MROUND(MID($C113,9,3)/Basis!$E$3,0.5)</f>
        <v>31.5</v>
      </c>
      <c r="F113" s="229" t="str">
        <f t="shared" si="1"/>
        <v>11</v>
      </c>
      <c r="G113" s="45">
        <f>ROUND(5/Basis!$E$3,1)</f>
        <v>2</v>
      </c>
      <c r="H113" s="120">
        <f>ROUND($P113*Basis!$E$2*((TaH-TrH)/LN(1/µ)/Basis!$E$7)^$N113*Glycol,0)</f>
        <v>859</v>
      </c>
      <c r="I113" s="83">
        <f>ROUND(H113/(MID($C113,9,3)/Basis!$E$3/Basis!$E$9)*Basis!$E$11,0)</f>
        <v>327</v>
      </c>
      <c r="J113" s="123">
        <f>IF(Basis!$E$1=1,ROUND(H113/((TaH-TrH)*1.163)/3600,3),ROUND(H113/(500*(TaH-TrH)),2))</f>
        <v>0.09</v>
      </c>
      <c r="K113" s="84"/>
      <c r="L113" s="177">
        <f>CHOOSE(Basis!$E$1,((AJ113*(J113*3600/Basis!$E$5)^AK113*(((MID(C113,9,3)*10)-144)/1000)*AL113+AM113*(J113*3600/Basis!$E$5)^2)*0.0098)/Basis!$E$10,((AJ113*(J113/Basis!$E$5)^AK113*(((MID(C113,9,3)*10)-144)/1000)*AL113+AM113*(J113/Basis!$E$5)^2)*0.0098)/Basis!$E$10)</f>
        <v>0</v>
      </c>
      <c r="M113" s="85"/>
      <c r="N113" s="109">
        <v>1.248</v>
      </c>
      <c r="O113" s="68"/>
      <c r="P113" s="67">
        <v>380</v>
      </c>
      <c r="Q113" s="68"/>
      <c r="R113" s="69"/>
      <c r="S113" s="69"/>
      <c r="T113" s="69"/>
      <c r="U113" s="69"/>
      <c r="V113" s="69"/>
      <c r="W113" s="68"/>
      <c r="X113" s="70"/>
      <c r="Y113" s="70"/>
      <c r="Z113" s="70"/>
      <c r="AA113" s="70"/>
      <c r="AB113" s="70"/>
      <c r="AC113" s="68"/>
      <c r="AD113" s="71"/>
      <c r="AE113" s="71"/>
      <c r="AF113" s="71"/>
      <c r="AG113" s="71"/>
      <c r="AH113" s="71"/>
      <c r="AI113" s="68"/>
      <c r="AJ113" s="214"/>
      <c r="AK113" s="214"/>
      <c r="AL113" s="214"/>
      <c r="AM113" s="214"/>
      <c r="AN113" s="68"/>
      <c r="AO113" s="67"/>
      <c r="AP113" s="67"/>
      <c r="AQ113" s="67"/>
      <c r="AR113" s="67"/>
      <c r="AS113" s="67"/>
      <c r="AT113" s="68"/>
      <c r="AU113" s="49"/>
      <c r="AV113" s="50"/>
    </row>
    <row r="114" spans="1:48" ht="12.75" customHeight="1" x14ac:dyDescent="0.25">
      <c r="A114" s="72" t="s">
        <v>883</v>
      </c>
      <c r="B114" s="43" t="s">
        <v>4040</v>
      </c>
      <c r="C114" s="44" t="s">
        <v>3442</v>
      </c>
      <c r="D114" s="45">
        <f>MROUND(MID($C114,6,3)/Basis!$E$3,0.5)</f>
        <v>9.5</v>
      </c>
      <c r="E114" s="45">
        <f>MROUND(MID($C114,9,3)/Basis!$E$3,0.5)</f>
        <v>31.5</v>
      </c>
      <c r="F114" s="229" t="str">
        <f t="shared" si="1"/>
        <v>22</v>
      </c>
      <c r="G114" s="45">
        <f>ROUND(9/Basis!$E$3,1)</f>
        <v>3.5</v>
      </c>
      <c r="H114" s="120">
        <f>ROUND($P114*Basis!$E$2*((TaH-TrH)/LN(1/µ)/Basis!$E$7)^$N114*Glycol,0)</f>
        <v>1390</v>
      </c>
      <c r="I114" s="83">
        <f>ROUND(H114/(MID($C114,9,3)/Basis!$E$3/Basis!$E$9)*Basis!$E$11,0)</f>
        <v>530</v>
      </c>
      <c r="J114" s="123">
        <f>IF(Basis!$E$1=1,ROUND(H114/((TaH-TrH)*1.163)/3600,3),ROUND(H114/(500*(TaH-TrH)),2))</f>
        <v>0.14000000000000001</v>
      </c>
      <c r="K114" s="84"/>
      <c r="L114" s="177">
        <f>CHOOSE(Basis!$E$1,((AJ114*(J114*3600/Basis!$E$5)^AK114*(((MID(C114,9,3)*10)-144)/1000)*AL114+AM114*(J114*3600/Basis!$E$5)^2)*0.0098)/Basis!$E$10,((AJ114*(J114/Basis!$E$5)^AK114*(((MID(C114,9,3)*10)-144)/1000)*AL114+AM114*(J114/Basis!$E$5)^2)*0.0098)/Basis!$E$10)</f>
        <v>0</v>
      </c>
      <c r="M114" s="85"/>
      <c r="N114" s="109">
        <v>1.349</v>
      </c>
      <c r="O114" s="68"/>
      <c r="P114" s="67">
        <v>636</v>
      </c>
      <c r="Q114" s="68"/>
      <c r="R114" s="69"/>
      <c r="S114" s="69"/>
      <c r="T114" s="69"/>
      <c r="U114" s="69"/>
      <c r="V114" s="69"/>
      <c r="W114" s="68"/>
      <c r="X114" s="70"/>
      <c r="Y114" s="70"/>
      <c r="Z114" s="70"/>
      <c r="AA114" s="70"/>
      <c r="AB114" s="70"/>
      <c r="AC114" s="68"/>
      <c r="AD114" s="71"/>
      <c r="AE114" s="71"/>
      <c r="AF114" s="71"/>
      <c r="AG114" s="71"/>
      <c r="AH114" s="71"/>
      <c r="AI114" s="68"/>
      <c r="AJ114" s="214"/>
      <c r="AK114" s="214"/>
      <c r="AL114" s="214"/>
      <c r="AM114" s="214"/>
      <c r="AN114" s="68"/>
      <c r="AO114" s="67"/>
      <c r="AP114" s="67"/>
      <c r="AQ114" s="67"/>
      <c r="AR114" s="67"/>
      <c r="AS114" s="67"/>
      <c r="AT114" s="68"/>
      <c r="AU114" s="49"/>
      <c r="AV114" s="50"/>
    </row>
    <row r="115" spans="1:48" ht="12.75" customHeight="1" x14ac:dyDescent="0.25">
      <c r="A115" s="72" t="s">
        <v>883</v>
      </c>
      <c r="B115" s="43" t="s">
        <v>4040</v>
      </c>
      <c r="C115" s="44" t="s">
        <v>3443</v>
      </c>
      <c r="D115" s="45">
        <f>MROUND(MID($C115,6,3)/Basis!$E$3,0.5)</f>
        <v>9.5</v>
      </c>
      <c r="E115" s="45">
        <f>MROUND(MID($C115,9,3)/Basis!$E$3,0.5)</f>
        <v>31.5</v>
      </c>
      <c r="F115" s="229" t="str">
        <f t="shared" si="1"/>
        <v>34</v>
      </c>
      <c r="G115" s="45">
        <f>ROUND(16.9/Basis!$E$3,1)</f>
        <v>6.7</v>
      </c>
      <c r="H115" s="120">
        <f>ROUND($P115*Basis!$E$2*((TaH-TrH)/LN(1/µ)/Basis!$E$7)^$N115*Glycol,0)</f>
        <v>2464</v>
      </c>
      <c r="I115" s="83">
        <f>ROUND(H115/(MID($C115,9,3)/Basis!$E$3/Basis!$E$9)*Basis!$E$11,0)</f>
        <v>939</v>
      </c>
      <c r="J115" s="123">
        <f>IF(Basis!$E$1=1,ROUND(H115/((TaH-TrH)*1.163)/3600,3),ROUND(H115/(500*(TaH-TrH)),2))</f>
        <v>0.25</v>
      </c>
      <c r="K115" s="84"/>
      <c r="L115" s="177">
        <f>CHOOSE(Basis!$E$1,((AJ115*(J115*3600/Basis!$E$5)^AK115*(((MID(C115,9,3)*10)-144)/1000)*AL115+AM115*(J115*3600/Basis!$E$5)^2)*0.0098)/Basis!$E$10,((AJ115*(J115/Basis!$E$5)^AK115*(((MID(C115,9,3)*10)-144)/1000)*AL115+AM115*(J115/Basis!$E$5)^2)*0.0098)/Basis!$E$10)</f>
        <v>0</v>
      </c>
      <c r="M115" s="85"/>
      <c r="N115" s="110">
        <v>1.452</v>
      </c>
      <c r="O115" s="74"/>
      <c r="P115" s="73">
        <v>1166</v>
      </c>
      <c r="Q115" s="74"/>
      <c r="R115" s="75"/>
      <c r="S115" s="75"/>
      <c r="T115" s="75"/>
      <c r="U115" s="75"/>
      <c r="V115" s="75"/>
      <c r="W115" s="74"/>
      <c r="X115" s="76"/>
      <c r="Y115" s="76"/>
      <c r="Z115" s="76"/>
      <c r="AA115" s="76"/>
      <c r="AB115" s="76"/>
      <c r="AC115" s="74"/>
      <c r="AD115" s="77"/>
      <c r="AE115" s="77"/>
      <c r="AF115" s="77"/>
      <c r="AG115" s="77"/>
      <c r="AH115" s="77"/>
      <c r="AI115" s="68"/>
      <c r="AJ115" s="213"/>
      <c r="AK115" s="213"/>
      <c r="AL115" s="213"/>
      <c r="AM115" s="213"/>
      <c r="AN115" s="74"/>
      <c r="AO115" s="73"/>
      <c r="AP115" s="73"/>
      <c r="AQ115" s="73"/>
      <c r="AR115" s="73"/>
      <c r="AS115" s="73"/>
      <c r="AT115" s="74"/>
      <c r="AU115" s="47"/>
      <c r="AV115" s="48"/>
    </row>
    <row r="116" spans="1:48" ht="12.75" customHeight="1" x14ac:dyDescent="0.25">
      <c r="A116" s="72" t="s">
        <v>883</v>
      </c>
      <c r="B116" s="43" t="s">
        <v>4040</v>
      </c>
      <c r="C116" s="44" t="s">
        <v>3444</v>
      </c>
      <c r="D116" s="45">
        <f>MROUND(MID($C116,6,3)/Basis!$E$3,0.5)</f>
        <v>9.5</v>
      </c>
      <c r="E116" s="45">
        <f>MROUND(MID($C116,9,3)/Basis!$E$3,0.5)</f>
        <v>39.5</v>
      </c>
      <c r="F116" s="229" t="str">
        <f t="shared" si="1"/>
        <v>11</v>
      </c>
      <c r="G116" s="45">
        <f>ROUND(5/Basis!$E$3,1)</f>
        <v>2</v>
      </c>
      <c r="H116" s="120">
        <f>ROUND($P116*Basis!$E$2*((TaH-TrH)/LN(1/µ)/Basis!$E$7)^$N116*Glycol,0)</f>
        <v>1074</v>
      </c>
      <c r="I116" s="83">
        <f>ROUND(H116/(MID($C116,9,3)/Basis!$E$3/Basis!$E$9)*Basis!$E$11,0)</f>
        <v>327</v>
      </c>
      <c r="J116" s="123">
        <f>IF(Basis!$E$1=1,ROUND(H116/((TaH-TrH)*1.163)/3600,3),ROUND(H116/(500*(TaH-TrH)),2))</f>
        <v>0.11</v>
      </c>
      <c r="K116" s="84"/>
      <c r="L116" s="177">
        <f>CHOOSE(Basis!$E$1,((AJ116*(J116*3600/Basis!$E$5)^AK116*(((MID(C116,9,3)*10)-144)/1000)*AL116+AM116*(J116*3600/Basis!$E$5)^2)*0.0098)/Basis!$E$10,((AJ116*(J116/Basis!$E$5)^AK116*(((MID(C116,9,3)*10)-144)/1000)*AL116+AM116*(J116/Basis!$E$5)^2)*0.0098)/Basis!$E$10)</f>
        <v>0</v>
      </c>
      <c r="M116" s="85"/>
      <c r="N116" s="110">
        <v>1.248</v>
      </c>
      <c r="O116" s="74"/>
      <c r="P116" s="73">
        <v>475</v>
      </c>
      <c r="Q116" s="74"/>
      <c r="R116" s="75"/>
      <c r="S116" s="75"/>
      <c r="T116" s="75"/>
      <c r="U116" s="75"/>
      <c r="V116" s="75"/>
      <c r="W116" s="74"/>
      <c r="X116" s="76"/>
      <c r="Y116" s="76"/>
      <c r="Z116" s="76"/>
      <c r="AA116" s="76"/>
      <c r="AB116" s="76"/>
      <c r="AC116" s="74"/>
      <c r="AD116" s="77"/>
      <c r="AE116" s="77"/>
      <c r="AF116" s="77"/>
      <c r="AG116" s="77"/>
      <c r="AH116" s="77"/>
      <c r="AI116" s="68"/>
      <c r="AJ116" s="213"/>
      <c r="AK116" s="213"/>
      <c r="AL116" s="213"/>
      <c r="AM116" s="213"/>
      <c r="AN116" s="74"/>
      <c r="AO116" s="73"/>
      <c r="AP116" s="73"/>
      <c r="AQ116" s="73"/>
      <c r="AR116" s="73"/>
      <c r="AS116" s="73"/>
      <c r="AT116" s="74"/>
      <c r="AU116" s="47"/>
      <c r="AV116" s="48"/>
    </row>
    <row r="117" spans="1:48" ht="12.75" customHeight="1" x14ac:dyDescent="0.25">
      <c r="A117" s="72" t="s">
        <v>883</v>
      </c>
      <c r="B117" s="43" t="s">
        <v>4040</v>
      </c>
      <c r="C117" s="44" t="s">
        <v>3445</v>
      </c>
      <c r="D117" s="45">
        <f>MROUND(MID($C117,6,3)/Basis!$E$3,0.5)</f>
        <v>9.5</v>
      </c>
      <c r="E117" s="45">
        <f>MROUND(MID($C117,9,3)/Basis!$E$3,0.5)</f>
        <v>39.5</v>
      </c>
      <c r="F117" s="229" t="str">
        <f t="shared" si="1"/>
        <v>22</v>
      </c>
      <c r="G117" s="45">
        <f>ROUND(9/Basis!$E$3,1)</f>
        <v>3.5</v>
      </c>
      <c r="H117" s="120">
        <f>ROUND($P117*Basis!$E$2*((TaH-TrH)/LN(1/µ)/Basis!$E$7)^$N117*Glycol,0)</f>
        <v>1736</v>
      </c>
      <c r="I117" s="83">
        <f>ROUND(H117/(MID($C117,9,3)/Basis!$E$3/Basis!$E$9)*Basis!$E$11,0)</f>
        <v>529</v>
      </c>
      <c r="J117" s="123">
        <f>IF(Basis!$E$1=1,ROUND(H117/((TaH-TrH)*1.163)/3600,3),ROUND(H117/(500*(TaH-TrH)),2))</f>
        <v>0.17</v>
      </c>
      <c r="K117" s="84"/>
      <c r="L117" s="177">
        <f>CHOOSE(Basis!$E$1,((AJ117*(J117*3600/Basis!$E$5)^AK117*(((MID(C117,9,3)*10)-144)/1000)*AL117+AM117*(J117*3600/Basis!$E$5)^2)*0.0098)/Basis!$E$10,((AJ117*(J117/Basis!$E$5)^AK117*(((MID(C117,9,3)*10)-144)/1000)*AL117+AM117*(J117/Basis!$E$5)^2)*0.0098)/Basis!$E$10)</f>
        <v>0</v>
      </c>
      <c r="M117" s="85"/>
      <c r="N117" s="109">
        <v>1.349</v>
      </c>
      <c r="O117" s="68"/>
      <c r="P117" s="67">
        <v>794</v>
      </c>
      <c r="Q117" s="68"/>
      <c r="R117" s="69"/>
      <c r="S117" s="69"/>
      <c r="T117" s="69"/>
      <c r="U117" s="69"/>
      <c r="V117" s="69"/>
      <c r="W117" s="68"/>
      <c r="X117" s="70"/>
      <c r="Y117" s="70"/>
      <c r="Z117" s="70"/>
      <c r="AA117" s="70"/>
      <c r="AB117" s="70"/>
      <c r="AC117" s="68"/>
      <c r="AD117" s="71"/>
      <c r="AE117" s="71"/>
      <c r="AF117" s="71"/>
      <c r="AG117" s="71"/>
      <c r="AH117" s="71"/>
      <c r="AI117" s="68"/>
      <c r="AJ117" s="214"/>
      <c r="AK117" s="214"/>
      <c r="AL117" s="214"/>
      <c r="AM117" s="214"/>
      <c r="AN117" s="68"/>
      <c r="AO117" s="67"/>
      <c r="AP117" s="67"/>
      <c r="AQ117" s="67"/>
      <c r="AR117" s="67"/>
      <c r="AS117" s="67"/>
      <c r="AT117" s="68"/>
      <c r="AU117" s="49"/>
      <c r="AV117" s="50"/>
    </row>
    <row r="118" spans="1:48" ht="12.75" customHeight="1" x14ac:dyDescent="0.25">
      <c r="A118" s="72" t="s">
        <v>883</v>
      </c>
      <c r="B118" s="43" t="s">
        <v>4040</v>
      </c>
      <c r="C118" s="44" t="s">
        <v>3446</v>
      </c>
      <c r="D118" s="45">
        <f>MROUND(MID($C118,6,3)/Basis!$E$3,0.5)</f>
        <v>9.5</v>
      </c>
      <c r="E118" s="45">
        <f>MROUND(MID($C118,9,3)/Basis!$E$3,0.5)</f>
        <v>39.5</v>
      </c>
      <c r="F118" s="229" t="str">
        <f t="shared" si="1"/>
        <v>34</v>
      </c>
      <c r="G118" s="45">
        <f>ROUND(16.9/Basis!$E$3,1)</f>
        <v>6.7</v>
      </c>
      <c r="H118" s="120">
        <f>ROUND($P118*Basis!$E$2*((TaH-TrH)/LN(1/µ)/Basis!$E$7)^$N118*Glycol,0)</f>
        <v>3081</v>
      </c>
      <c r="I118" s="83">
        <f>ROUND(H118/(MID($C118,9,3)/Basis!$E$3/Basis!$E$9)*Basis!$E$11,0)</f>
        <v>939</v>
      </c>
      <c r="J118" s="123">
        <f>IF(Basis!$E$1=1,ROUND(H118/((TaH-TrH)*1.163)/3600,3),ROUND(H118/(500*(TaH-TrH)),2))</f>
        <v>0.31</v>
      </c>
      <c r="K118" s="84"/>
      <c r="L118" s="177">
        <f>CHOOSE(Basis!$E$1,((AJ118*(J118*3600/Basis!$E$5)^AK118*(((MID(C118,9,3)*10)-144)/1000)*AL118+AM118*(J118*3600/Basis!$E$5)^2)*0.0098)/Basis!$E$10,((AJ118*(J118/Basis!$E$5)^AK118*(((MID(C118,9,3)*10)-144)/1000)*AL118+AM118*(J118/Basis!$E$5)^2)*0.0098)/Basis!$E$10)</f>
        <v>0</v>
      </c>
      <c r="M118" s="85"/>
      <c r="N118" s="109">
        <v>1.452</v>
      </c>
      <c r="O118" s="68"/>
      <c r="P118" s="67">
        <v>1458</v>
      </c>
      <c r="Q118" s="68"/>
      <c r="R118" s="69"/>
      <c r="S118" s="69"/>
      <c r="T118" s="69"/>
      <c r="U118" s="69"/>
      <c r="V118" s="69"/>
      <c r="W118" s="68"/>
      <c r="X118" s="70"/>
      <c r="Y118" s="70"/>
      <c r="Z118" s="70"/>
      <c r="AA118" s="70"/>
      <c r="AB118" s="70"/>
      <c r="AC118" s="68"/>
      <c r="AD118" s="71"/>
      <c r="AE118" s="71"/>
      <c r="AF118" s="71"/>
      <c r="AG118" s="71"/>
      <c r="AH118" s="71"/>
      <c r="AI118" s="68"/>
      <c r="AJ118" s="214"/>
      <c r="AK118" s="214"/>
      <c r="AL118" s="214"/>
      <c r="AM118" s="214"/>
      <c r="AN118" s="68"/>
      <c r="AO118" s="67"/>
      <c r="AP118" s="67"/>
      <c r="AQ118" s="67"/>
      <c r="AR118" s="67"/>
      <c r="AS118" s="67"/>
      <c r="AT118" s="68"/>
      <c r="AU118" s="49"/>
      <c r="AV118" s="50"/>
    </row>
    <row r="119" spans="1:48" ht="12.75" customHeight="1" x14ac:dyDescent="0.25">
      <c r="A119" s="72" t="s">
        <v>883</v>
      </c>
      <c r="B119" s="43" t="s">
        <v>4040</v>
      </c>
      <c r="C119" s="44" t="s">
        <v>3447</v>
      </c>
      <c r="D119" s="45">
        <f>MROUND(MID($C119,6,3)/Basis!$E$3,0.5)</f>
        <v>9.5</v>
      </c>
      <c r="E119" s="45">
        <f>MROUND(MID($C119,9,3)/Basis!$E$3,0.5)</f>
        <v>47</v>
      </c>
      <c r="F119" s="229" t="str">
        <f t="shared" si="1"/>
        <v>11</v>
      </c>
      <c r="G119" s="45">
        <f>ROUND(5/Basis!$E$3,1)</f>
        <v>2</v>
      </c>
      <c r="H119" s="120">
        <f>ROUND($P119*Basis!$E$2*((TaH-TrH)/LN(1/µ)/Basis!$E$7)^$N119*Glycol,0)</f>
        <v>1288</v>
      </c>
      <c r="I119" s="83">
        <f>ROUND(H119/(MID($C119,9,3)/Basis!$E$3/Basis!$E$9)*Basis!$E$11,0)</f>
        <v>327</v>
      </c>
      <c r="J119" s="123">
        <f>IF(Basis!$E$1=1,ROUND(H119/((TaH-TrH)*1.163)/3600,3),ROUND(H119/(500*(TaH-TrH)),2))</f>
        <v>0.13</v>
      </c>
      <c r="K119" s="84"/>
      <c r="L119" s="177">
        <f>CHOOSE(Basis!$E$1,((AJ119*(J119*3600/Basis!$E$5)^AK119*(((MID(C119,9,3)*10)-144)/1000)*AL119+AM119*(J119*3600/Basis!$E$5)^2)*0.0098)/Basis!$E$10,((AJ119*(J119/Basis!$E$5)^AK119*(((MID(C119,9,3)*10)-144)/1000)*AL119+AM119*(J119/Basis!$E$5)^2)*0.0098)/Basis!$E$10)</f>
        <v>0</v>
      </c>
      <c r="M119" s="85"/>
      <c r="N119" s="110">
        <v>1.248</v>
      </c>
      <c r="O119" s="74"/>
      <c r="P119" s="73">
        <v>570</v>
      </c>
      <c r="Q119" s="74"/>
      <c r="R119" s="75"/>
      <c r="S119" s="75"/>
      <c r="T119" s="75"/>
      <c r="U119" s="75"/>
      <c r="V119" s="75"/>
      <c r="W119" s="74"/>
      <c r="X119" s="76"/>
      <c r="Y119" s="76"/>
      <c r="Z119" s="76"/>
      <c r="AA119" s="76"/>
      <c r="AB119" s="76"/>
      <c r="AC119" s="74"/>
      <c r="AD119" s="77"/>
      <c r="AE119" s="77"/>
      <c r="AF119" s="77"/>
      <c r="AG119" s="77"/>
      <c r="AH119" s="77"/>
      <c r="AI119" s="68"/>
      <c r="AJ119" s="213"/>
      <c r="AK119" s="213"/>
      <c r="AL119" s="213"/>
      <c r="AM119" s="213"/>
      <c r="AN119" s="74"/>
      <c r="AO119" s="73"/>
      <c r="AP119" s="73"/>
      <c r="AQ119" s="73"/>
      <c r="AR119" s="73"/>
      <c r="AS119" s="73"/>
      <c r="AT119" s="74"/>
      <c r="AU119" s="47"/>
      <c r="AV119" s="48"/>
    </row>
    <row r="120" spans="1:48" ht="12.75" customHeight="1" x14ac:dyDescent="0.25">
      <c r="A120" s="72" t="s">
        <v>883</v>
      </c>
      <c r="B120" s="43" t="s">
        <v>4040</v>
      </c>
      <c r="C120" s="44" t="s">
        <v>3448</v>
      </c>
      <c r="D120" s="45">
        <f>MROUND(MID($C120,6,3)/Basis!$E$3,0.5)</f>
        <v>9.5</v>
      </c>
      <c r="E120" s="45">
        <f>MROUND(MID($C120,9,3)/Basis!$E$3,0.5)</f>
        <v>47</v>
      </c>
      <c r="F120" s="229" t="str">
        <f t="shared" si="1"/>
        <v>22</v>
      </c>
      <c r="G120" s="45">
        <f>ROUND(9/Basis!$E$3,1)</f>
        <v>3.5</v>
      </c>
      <c r="H120" s="120">
        <f>ROUND($P120*Basis!$E$2*((TaH-TrH)/LN(1/µ)/Basis!$E$7)^$N120*Glycol,0)</f>
        <v>2083</v>
      </c>
      <c r="I120" s="83">
        <f>ROUND(H120/(MID($C120,9,3)/Basis!$E$3/Basis!$E$9)*Basis!$E$11,0)</f>
        <v>529</v>
      </c>
      <c r="J120" s="123">
        <f>IF(Basis!$E$1=1,ROUND(H120/((TaH-TrH)*1.163)/3600,3),ROUND(H120/(500*(TaH-TrH)),2))</f>
        <v>0.21</v>
      </c>
      <c r="K120" s="84"/>
      <c r="L120" s="177">
        <f>CHOOSE(Basis!$E$1,((AJ120*(J120*3600/Basis!$E$5)^AK120*(((MID(C120,9,3)*10)-144)/1000)*AL120+AM120*(J120*3600/Basis!$E$5)^2)*0.0098)/Basis!$E$10,((AJ120*(J120/Basis!$E$5)^AK120*(((MID(C120,9,3)*10)-144)/1000)*AL120+AM120*(J120/Basis!$E$5)^2)*0.0098)/Basis!$E$10)</f>
        <v>0</v>
      </c>
      <c r="M120" s="85"/>
      <c r="N120" s="110">
        <v>1.349</v>
      </c>
      <c r="O120" s="74"/>
      <c r="P120" s="73">
        <v>953</v>
      </c>
      <c r="Q120" s="74"/>
      <c r="R120" s="75"/>
      <c r="S120" s="75"/>
      <c r="T120" s="75"/>
      <c r="U120" s="75"/>
      <c r="V120" s="75"/>
      <c r="W120" s="74"/>
      <c r="X120" s="76"/>
      <c r="Y120" s="76"/>
      <c r="Z120" s="76"/>
      <c r="AA120" s="76"/>
      <c r="AB120" s="76"/>
      <c r="AC120" s="74"/>
      <c r="AD120" s="77"/>
      <c r="AE120" s="77"/>
      <c r="AF120" s="77"/>
      <c r="AG120" s="77"/>
      <c r="AH120" s="77"/>
      <c r="AI120" s="68"/>
      <c r="AJ120" s="213"/>
      <c r="AK120" s="213"/>
      <c r="AL120" s="213"/>
      <c r="AM120" s="213"/>
      <c r="AN120" s="74"/>
      <c r="AO120" s="73"/>
      <c r="AP120" s="73"/>
      <c r="AQ120" s="73"/>
      <c r="AR120" s="73"/>
      <c r="AS120" s="73"/>
      <c r="AT120" s="74"/>
      <c r="AU120" s="47"/>
      <c r="AV120" s="48"/>
    </row>
    <row r="121" spans="1:48" ht="12.75" customHeight="1" x14ac:dyDescent="0.25">
      <c r="A121" s="72" t="s">
        <v>883</v>
      </c>
      <c r="B121" s="43" t="s">
        <v>4040</v>
      </c>
      <c r="C121" s="44" t="s">
        <v>3449</v>
      </c>
      <c r="D121" s="45">
        <f>MROUND(MID($C121,6,3)/Basis!$E$3,0.5)</f>
        <v>9.5</v>
      </c>
      <c r="E121" s="45">
        <f>MROUND(MID($C121,9,3)/Basis!$E$3,0.5)</f>
        <v>47</v>
      </c>
      <c r="F121" s="229" t="str">
        <f t="shared" si="1"/>
        <v>34</v>
      </c>
      <c r="G121" s="45">
        <f>ROUND(16.9/Basis!$E$3,1)</f>
        <v>6.7</v>
      </c>
      <c r="H121" s="120">
        <f>ROUND($P121*Basis!$E$2*((TaH-TrH)/LN(1/µ)/Basis!$E$7)^$N121*Glycol,0)</f>
        <v>3696</v>
      </c>
      <c r="I121" s="83">
        <f>ROUND(H121/(MID($C121,9,3)/Basis!$E$3/Basis!$E$9)*Basis!$E$11,0)</f>
        <v>939</v>
      </c>
      <c r="J121" s="123">
        <f>IF(Basis!$E$1=1,ROUND(H121/((TaH-TrH)*1.163)/3600,3),ROUND(H121/(500*(TaH-TrH)),2))</f>
        <v>0.37</v>
      </c>
      <c r="K121" s="84"/>
      <c r="L121" s="177">
        <f>CHOOSE(Basis!$E$1,((AJ121*(J121*3600/Basis!$E$5)^AK121*(((MID(C121,9,3)*10)-144)/1000)*AL121+AM121*(J121*3600/Basis!$E$5)^2)*0.0098)/Basis!$E$10,((AJ121*(J121/Basis!$E$5)^AK121*(((MID(C121,9,3)*10)-144)/1000)*AL121+AM121*(J121/Basis!$E$5)^2)*0.0098)/Basis!$E$10)</f>
        <v>0</v>
      </c>
      <c r="M121" s="85"/>
      <c r="N121" s="109">
        <v>1.452</v>
      </c>
      <c r="O121" s="68"/>
      <c r="P121" s="67">
        <v>1749</v>
      </c>
      <c r="Q121" s="68"/>
      <c r="R121" s="69"/>
      <c r="S121" s="69"/>
      <c r="T121" s="69"/>
      <c r="U121" s="69"/>
      <c r="V121" s="69"/>
      <c r="W121" s="68"/>
      <c r="X121" s="70"/>
      <c r="Y121" s="70"/>
      <c r="Z121" s="70"/>
      <c r="AA121" s="70"/>
      <c r="AB121" s="70"/>
      <c r="AC121" s="68"/>
      <c r="AD121" s="71"/>
      <c r="AE121" s="71"/>
      <c r="AF121" s="71"/>
      <c r="AG121" s="71"/>
      <c r="AH121" s="71"/>
      <c r="AI121" s="68"/>
      <c r="AJ121" s="214"/>
      <c r="AK121" s="214"/>
      <c r="AL121" s="214"/>
      <c r="AM121" s="214"/>
      <c r="AN121" s="68"/>
      <c r="AO121" s="67"/>
      <c r="AP121" s="67"/>
      <c r="AQ121" s="67"/>
      <c r="AR121" s="67"/>
      <c r="AS121" s="67"/>
      <c r="AT121" s="68"/>
      <c r="AU121" s="49"/>
      <c r="AV121" s="50"/>
    </row>
    <row r="122" spans="1:48" ht="12.75" customHeight="1" x14ac:dyDescent="0.25">
      <c r="A122" s="72" t="s">
        <v>883</v>
      </c>
      <c r="B122" s="43" t="s">
        <v>4040</v>
      </c>
      <c r="C122" s="44" t="s">
        <v>3450</v>
      </c>
      <c r="D122" s="45">
        <f>MROUND(MID($C122,6,3)/Basis!$E$3,0.5)</f>
        <v>9.5</v>
      </c>
      <c r="E122" s="45">
        <f>MROUND(MID($C122,9,3)/Basis!$E$3,0.5)</f>
        <v>55</v>
      </c>
      <c r="F122" s="229" t="str">
        <f t="shared" si="1"/>
        <v>11</v>
      </c>
      <c r="G122" s="45">
        <f>ROUND(5/Basis!$E$3,1)</f>
        <v>2</v>
      </c>
      <c r="H122" s="120">
        <f>ROUND($P122*Basis!$E$2*((TaH-TrH)/LN(1/µ)/Basis!$E$7)^$N122*Glycol,0)</f>
        <v>1503</v>
      </c>
      <c r="I122" s="83">
        <f>ROUND(H122/(MID($C122,9,3)/Basis!$E$3/Basis!$E$9)*Basis!$E$11,0)</f>
        <v>327</v>
      </c>
      <c r="J122" s="123">
        <f>IF(Basis!$E$1=1,ROUND(H122/((TaH-TrH)*1.163)/3600,3),ROUND(H122/(500*(TaH-TrH)),2))</f>
        <v>0.15</v>
      </c>
      <c r="K122" s="84"/>
      <c r="L122" s="177">
        <f>CHOOSE(Basis!$E$1,((AJ122*(J122*3600/Basis!$E$5)^AK122*(((MID(C122,9,3)*10)-144)/1000)*AL122+AM122*(J122*3600/Basis!$E$5)^2)*0.0098)/Basis!$E$10,((AJ122*(J122/Basis!$E$5)^AK122*(((MID(C122,9,3)*10)-144)/1000)*AL122+AM122*(J122/Basis!$E$5)^2)*0.0098)/Basis!$E$10)</f>
        <v>0</v>
      </c>
      <c r="M122" s="85"/>
      <c r="N122" s="109">
        <v>1.248</v>
      </c>
      <c r="O122" s="68"/>
      <c r="P122" s="67">
        <v>665</v>
      </c>
      <c r="Q122" s="68"/>
      <c r="R122" s="69"/>
      <c r="S122" s="69"/>
      <c r="T122" s="69"/>
      <c r="U122" s="69"/>
      <c r="V122" s="69"/>
      <c r="W122" s="68"/>
      <c r="X122" s="70"/>
      <c r="Y122" s="70"/>
      <c r="Z122" s="70"/>
      <c r="AA122" s="70"/>
      <c r="AB122" s="70"/>
      <c r="AC122" s="68"/>
      <c r="AD122" s="71"/>
      <c r="AE122" s="71"/>
      <c r="AF122" s="71"/>
      <c r="AG122" s="71"/>
      <c r="AH122" s="71"/>
      <c r="AI122" s="68"/>
      <c r="AJ122" s="214"/>
      <c r="AK122" s="214"/>
      <c r="AL122" s="214"/>
      <c r="AM122" s="214"/>
      <c r="AN122" s="68"/>
      <c r="AO122" s="67"/>
      <c r="AP122" s="67"/>
      <c r="AQ122" s="67"/>
      <c r="AR122" s="67"/>
      <c r="AS122" s="67"/>
      <c r="AT122" s="68"/>
      <c r="AU122" s="49"/>
      <c r="AV122" s="50"/>
    </row>
    <row r="123" spans="1:48" ht="12.75" customHeight="1" x14ac:dyDescent="0.25">
      <c r="A123" s="72" t="s">
        <v>883</v>
      </c>
      <c r="B123" s="43" t="s">
        <v>4040</v>
      </c>
      <c r="C123" s="44" t="s">
        <v>3451</v>
      </c>
      <c r="D123" s="45">
        <f>MROUND(MID($C123,6,3)/Basis!$E$3,0.5)</f>
        <v>9.5</v>
      </c>
      <c r="E123" s="45">
        <f>MROUND(MID($C123,9,3)/Basis!$E$3,0.5)</f>
        <v>55</v>
      </c>
      <c r="F123" s="229" t="str">
        <f t="shared" si="1"/>
        <v>22</v>
      </c>
      <c r="G123" s="45">
        <f>ROUND(9/Basis!$E$3,1)</f>
        <v>3.5</v>
      </c>
      <c r="H123" s="120">
        <f>ROUND($P123*Basis!$E$2*((TaH-TrH)/LN(1/µ)/Basis!$E$7)^$N123*Glycol,0)</f>
        <v>2431</v>
      </c>
      <c r="I123" s="83">
        <f>ROUND(H123/(MID($C123,9,3)/Basis!$E$3/Basis!$E$9)*Basis!$E$11,0)</f>
        <v>529</v>
      </c>
      <c r="J123" s="123">
        <f>IF(Basis!$E$1=1,ROUND(H123/((TaH-TrH)*1.163)/3600,3),ROUND(H123/(500*(TaH-TrH)),2))</f>
        <v>0.24</v>
      </c>
      <c r="K123" s="84"/>
      <c r="L123" s="177">
        <f>CHOOSE(Basis!$E$1,((AJ123*(J123*3600/Basis!$E$5)^AK123*(((MID(C123,9,3)*10)-144)/1000)*AL123+AM123*(J123*3600/Basis!$E$5)^2)*0.0098)/Basis!$E$10,((AJ123*(J123/Basis!$E$5)^AK123*(((MID(C123,9,3)*10)-144)/1000)*AL123+AM123*(J123/Basis!$E$5)^2)*0.0098)/Basis!$E$10)</f>
        <v>0</v>
      </c>
      <c r="M123" s="85"/>
      <c r="N123" s="110">
        <v>1.349</v>
      </c>
      <c r="O123" s="74"/>
      <c r="P123" s="73">
        <v>1112</v>
      </c>
      <c r="Q123" s="74"/>
      <c r="R123" s="75"/>
      <c r="S123" s="75"/>
      <c r="T123" s="75"/>
      <c r="U123" s="75"/>
      <c r="V123" s="75"/>
      <c r="W123" s="74"/>
      <c r="X123" s="76"/>
      <c r="Y123" s="76"/>
      <c r="Z123" s="76"/>
      <c r="AA123" s="76"/>
      <c r="AB123" s="76"/>
      <c r="AC123" s="74"/>
      <c r="AD123" s="77"/>
      <c r="AE123" s="77"/>
      <c r="AF123" s="77"/>
      <c r="AG123" s="77"/>
      <c r="AH123" s="77"/>
      <c r="AI123" s="68"/>
      <c r="AJ123" s="213"/>
      <c r="AK123" s="213"/>
      <c r="AL123" s="213"/>
      <c r="AM123" s="213"/>
      <c r="AN123" s="74"/>
      <c r="AO123" s="73"/>
      <c r="AP123" s="73"/>
      <c r="AQ123" s="73"/>
      <c r="AR123" s="73"/>
      <c r="AS123" s="73"/>
      <c r="AT123" s="74"/>
      <c r="AU123" s="47"/>
      <c r="AV123" s="48"/>
    </row>
    <row r="124" spans="1:48" ht="12.75" customHeight="1" x14ac:dyDescent="0.25">
      <c r="A124" s="72" t="s">
        <v>883</v>
      </c>
      <c r="B124" s="43" t="s">
        <v>4040</v>
      </c>
      <c r="C124" s="44" t="s">
        <v>3452</v>
      </c>
      <c r="D124" s="45">
        <f>MROUND(MID($C124,6,3)/Basis!$E$3,0.5)</f>
        <v>9.5</v>
      </c>
      <c r="E124" s="45">
        <f>MROUND(MID($C124,9,3)/Basis!$E$3,0.5)</f>
        <v>55</v>
      </c>
      <c r="F124" s="229" t="str">
        <f t="shared" si="1"/>
        <v>34</v>
      </c>
      <c r="G124" s="45">
        <f>ROUND(16.9/Basis!$E$3,1)</f>
        <v>6.7</v>
      </c>
      <c r="H124" s="120">
        <f>ROUND($P124*Basis!$E$2*((TaH-TrH)/LN(1/µ)/Basis!$E$7)^$N124*Glycol,0)</f>
        <v>4313</v>
      </c>
      <c r="I124" s="83">
        <f>ROUND(H124/(MID($C124,9,3)/Basis!$E$3/Basis!$E$9)*Basis!$E$11,0)</f>
        <v>939</v>
      </c>
      <c r="J124" s="123">
        <f>IF(Basis!$E$1=1,ROUND(H124/((TaH-TrH)*1.163)/3600,3),ROUND(H124/(500*(TaH-TrH)),2))</f>
        <v>0.43</v>
      </c>
      <c r="K124" s="84"/>
      <c r="L124" s="177">
        <f>CHOOSE(Basis!$E$1,((AJ124*(J124*3600/Basis!$E$5)^AK124*(((MID(C124,9,3)*10)-144)/1000)*AL124+AM124*(J124*3600/Basis!$E$5)^2)*0.0098)/Basis!$E$10,((AJ124*(J124/Basis!$E$5)^AK124*(((MID(C124,9,3)*10)-144)/1000)*AL124+AM124*(J124/Basis!$E$5)^2)*0.0098)/Basis!$E$10)</f>
        <v>0</v>
      </c>
      <c r="M124" s="85"/>
      <c r="N124" s="110">
        <v>1.452</v>
      </c>
      <c r="O124" s="74"/>
      <c r="P124" s="73">
        <v>2041</v>
      </c>
      <c r="Q124" s="74"/>
      <c r="R124" s="75"/>
      <c r="S124" s="75"/>
      <c r="T124" s="75"/>
      <c r="U124" s="75"/>
      <c r="V124" s="75"/>
      <c r="W124" s="74"/>
      <c r="X124" s="76"/>
      <c r="Y124" s="76"/>
      <c r="Z124" s="76"/>
      <c r="AA124" s="76"/>
      <c r="AB124" s="76"/>
      <c r="AC124" s="74"/>
      <c r="AD124" s="77"/>
      <c r="AE124" s="77"/>
      <c r="AF124" s="77"/>
      <c r="AG124" s="77"/>
      <c r="AH124" s="77"/>
      <c r="AI124" s="68"/>
      <c r="AJ124" s="213"/>
      <c r="AK124" s="213"/>
      <c r="AL124" s="213"/>
      <c r="AM124" s="213"/>
      <c r="AN124" s="74"/>
      <c r="AO124" s="73"/>
      <c r="AP124" s="73"/>
      <c r="AQ124" s="73"/>
      <c r="AR124" s="73"/>
      <c r="AS124" s="73"/>
      <c r="AT124" s="74"/>
      <c r="AU124" s="47"/>
      <c r="AV124" s="48"/>
    </row>
    <row r="125" spans="1:48" ht="12.75" customHeight="1" x14ac:dyDescent="0.25">
      <c r="A125" s="72" t="s">
        <v>883</v>
      </c>
      <c r="B125" s="43" t="s">
        <v>4040</v>
      </c>
      <c r="C125" s="44" t="s">
        <v>3453</v>
      </c>
      <c r="D125" s="45">
        <f>MROUND(MID($C125,6,3)/Basis!$E$3,0.5)</f>
        <v>9.5</v>
      </c>
      <c r="E125" s="45">
        <f>MROUND(MID($C125,9,3)/Basis!$E$3,0.5)</f>
        <v>63</v>
      </c>
      <c r="F125" s="229" t="str">
        <f t="shared" si="1"/>
        <v>11</v>
      </c>
      <c r="G125" s="45">
        <f>ROUND(5/Basis!$E$3,1)</f>
        <v>2</v>
      </c>
      <c r="H125" s="120">
        <f>ROUND($P125*Basis!$E$2*((TaH-TrH)/LN(1/µ)/Basis!$E$7)^$N125*Glycol,0)</f>
        <v>1718</v>
      </c>
      <c r="I125" s="83">
        <f>ROUND(H125/(MID($C125,9,3)/Basis!$E$3/Basis!$E$9)*Basis!$E$11,0)</f>
        <v>327</v>
      </c>
      <c r="J125" s="123">
        <f>IF(Basis!$E$1=1,ROUND(H125/((TaH-TrH)*1.163)/3600,3),ROUND(H125/(500*(TaH-TrH)),2))</f>
        <v>0.17</v>
      </c>
      <c r="K125" s="84"/>
      <c r="L125" s="177">
        <f>CHOOSE(Basis!$E$1,((AJ125*(J125*3600/Basis!$E$5)^AK125*(((MID(C125,9,3)*10)-144)/1000)*AL125+AM125*(J125*3600/Basis!$E$5)^2)*0.0098)/Basis!$E$10,((AJ125*(J125/Basis!$E$5)^AK125*(((MID(C125,9,3)*10)-144)/1000)*AL125+AM125*(J125/Basis!$E$5)^2)*0.0098)/Basis!$E$10)</f>
        <v>0</v>
      </c>
      <c r="M125" s="85"/>
      <c r="N125" s="109">
        <v>1.248</v>
      </c>
      <c r="O125" s="68"/>
      <c r="P125" s="67">
        <v>760</v>
      </c>
      <c r="Q125" s="68"/>
      <c r="R125" s="69"/>
      <c r="S125" s="69"/>
      <c r="T125" s="69"/>
      <c r="U125" s="69"/>
      <c r="V125" s="69"/>
      <c r="W125" s="68"/>
      <c r="X125" s="70"/>
      <c r="Y125" s="70"/>
      <c r="Z125" s="70"/>
      <c r="AA125" s="70"/>
      <c r="AB125" s="70"/>
      <c r="AC125" s="68"/>
      <c r="AD125" s="71"/>
      <c r="AE125" s="71"/>
      <c r="AF125" s="71"/>
      <c r="AG125" s="71"/>
      <c r="AH125" s="71"/>
      <c r="AI125" s="68"/>
      <c r="AJ125" s="214"/>
      <c r="AK125" s="214"/>
      <c r="AL125" s="214"/>
      <c r="AM125" s="214"/>
      <c r="AN125" s="68"/>
      <c r="AO125" s="67"/>
      <c r="AP125" s="67"/>
      <c r="AQ125" s="67"/>
      <c r="AR125" s="67"/>
      <c r="AS125" s="67"/>
      <c r="AT125" s="68"/>
      <c r="AU125" s="49"/>
      <c r="AV125" s="50"/>
    </row>
    <row r="126" spans="1:48" ht="12.75" customHeight="1" x14ac:dyDescent="0.25">
      <c r="A126" s="72" t="s">
        <v>883</v>
      </c>
      <c r="B126" s="43" t="s">
        <v>4040</v>
      </c>
      <c r="C126" s="44" t="s">
        <v>3454</v>
      </c>
      <c r="D126" s="45">
        <f>MROUND(MID($C126,6,3)/Basis!$E$3,0.5)</f>
        <v>9.5</v>
      </c>
      <c r="E126" s="45">
        <f>MROUND(MID($C126,9,3)/Basis!$E$3,0.5)</f>
        <v>63</v>
      </c>
      <c r="F126" s="229" t="str">
        <f t="shared" si="1"/>
        <v>22</v>
      </c>
      <c r="G126" s="45">
        <f>ROUND(9/Basis!$E$3,1)</f>
        <v>3.5</v>
      </c>
      <c r="H126" s="120">
        <f>ROUND($P126*Basis!$E$2*((TaH-TrH)/LN(1/µ)/Basis!$E$7)^$N126*Glycol,0)</f>
        <v>2779</v>
      </c>
      <c r="I126" s="83">
        <f>ROUND(H126/(MID($C126,9,3)/Basis!$E$3/Basis!$E$9)*Basis!$E$11,0)</f>
        <v>529</v>
      </c>
      <c r="J126" s="123">
        <f>IF(Basis!$E$1=1,ROUND(H126/((TaH-TrH)*1.163)/3600,3),ROUND(H126/(500*(TaH-TrH)),2))</f>
        <v>0.28000000000000003</v>
      </c>
      <c r="K126" s="84"/>
      <c r="L126" s="177">
        <f>CHOOSE(Basis!$E$1,((AJ126*(J126*3600/Basis!$E$5)^AK126*(((MID(C126,9,3)*10)-144)/1000)*AL126+AM126*(J126*3600/Basis!$E$5)^2)*0.0098)/Basis!$E$10,((AJ126*(J126/Basis!$E$5)^AK126*(((MID(C126,9,3)*10)-144)/1000)*AL126+AM126*(J126/Basis!$E$5)^2)*0.0098)/Basis!$E$10)</f>
        <v>0</v>
      </c>
      <c r="M126" s="85"/>
      <c r="N126" s="109">
        <v>1.349</v>
      </c>
      <c r="O126" s="68"/>
      <c r="P126" s="67">
        <v>1271</v>
      </c>
      <c r="Q126" s="68"/>
      <c r="R126" s="69"/>
      <c r="S126" s="69"/>
      <c r="T126" s="69"/>
      <c r="U126" s="69"/>
      <c r="V126" s="69"/>
      <c r="W126" s="68"/>
      <c r="X126" s="70"/>
      <c r="Y126" s="70"/>
      <c r="Z126" s="70"/>
      <c r="AA126" s="70"/>
      <c r="AB126" s="70"/>
      <c r="AC126" s="68"/>
      <c r="AD126" s="71"/>
      <c r="AE126" s="71"/>
      <c r="AF126" s="71"/>
      <c r="AG126" s="71"/>
      <c r="AH126" s="71"/>
      <c r="AI126" s="68"/>
      <c r="AJ126" s="214"/>
      <c r="AK126" s="214"/>
      <c r="AL126" s="214"/>
      <c r="AM126" s="214"/>
      <c r="AN126" s="68"/>
      <c r="AO126" s="67"/>
      <c r="AP126" s="67"/>
      <c r="AQ126" s="67"/>
      <c r="AR126" s="67"/>
      <c r="AS126" s="67"/>
      <c r="AT126" s="68"/>
      <c r="AU126" s="49"/>
      <c r="AV126" s="50"/>
    </row>
    <row r="127" spans="1:48" ht="12.75" customHeight="1" x14ac:dyDescent="0.25">
      <c r="A127" s="72" t="s">
        <v>883</v>
      </c>
      <c r="B127" s="43" t="s">
        <v>4040</v>
      </c>
      <c r="C127" s="44" t="s">
        <v>3455</v>
      </c>
      <c r="D127" s="45">
        <f>MROUND(MID($C127,6,3)/Basis!$E$3,0.5)</f>
        <v>9.5</v>
      </c>
      <c r="E127" s="45">
        <f>MROUND(MID($C127,9,3)/Basis!$E$3,0.5)</f>
        <v>63</v>
      </c>
      <c r="F127" s="229" t="str">
        <f t="shared" si="1"/>
        <v>34</v>
      </c>
      <c r="G127" s="45">
        <f>ROUND(16.9/Basis!$E$3,1)</f>
        <v>6.7</v>
      </c>
      <c r="H127" s="120">
        <f>ROUND($P127*Basis!$E$2*((TaH-TrH)/LN(1/µ)/Basis!$E$7)^$N127*Glycol,0)</f>
        <v>4928</v>
      </c>
      <c r="I127" s="83">
        <f>ROUND(H127/(MID($C127,9,3)/Basis!$E$3/Basis!$E$9)*Basis!$E$11,0)</f>
        <v>939</v>
      </c>
      <c r="J127" s="123">
        <f>IF(Basis!$E$1=1,ROUND(H127/((TaH-TrH)*1.163)/3600,3),ROUND(H127/(500*(TaH-TrH)),2))</f>
        <v>0.49</v>
      </c>
      <c r="K127" s="84"/>
      <c r="L127" s="177">
        <f>CHOOSE(Basis!$E$1,((AJ127*(J127*3600/Basis!$E$5)^AK127*(((MID(C127,9,3)*10)-144)/1000)*AL127+AM127*(J127*3600/Basis!$E$5)^2)*0.0098)/Basis!$E$10,((AJ127*(J127/Basis!$E$5)^AK127*(((MID(C127,9,3)*10)-144)/1000)*AL127+AM127*(J127/Basis!$E$5)^2)*0.0098)/Basis!$E$10)</f>
        <v>0</v>
      </c>
      <c r="M127" s="85"/>
      <c r="N127" s="110">
        <v>1.452</v>
      </c>
      <c r="O127" s="74"/>
      <c r="P127" s="73">
        <v>2332</v>
      </c>
      <c r="Q127" s="74"/>
      <c r="R127" s="75"/>
      <c r="S127" s="75"/>
      <c r="T127" s="75"/>
      <c r="U127" s="75"/>
      <c r="V127" s="75"/>
      <c r="W127" s="74"/>
      <c r="X127" s="76"/>
      <c r="Y127" s="76"/>
      <c r="Z127" s="76"/>
      <c r="AA127" s="76"/>
      <c r="AB127" s="76"/>
      <c r="AC127" s="74"/>
      <c r="AD127" s="77"/>
      <c r="AE127" s="77"/>
      <c r="AF127" s="77"/>
      <c r="AG127" s="77"/>
      <c r="AH127" s="77"/>
      <c r="AI127" s="68"/>
      <c r="AJ127" s="213"/>
      <c r="AK127" s="213"/>
      <c r="AL127" s="213"/>
      <c r="AM127" s="213"/>
      <c r="AN127" s="74"/>
      <c r="AO127" s="73"/>
      <c r="AP127" s="73"/>
      <c r="AQ127" s="73"/>
      <c r="AR127" s="73"/>
      <c r="AS127" s="73"/>
      <c r="AT127" s="74"/>
      <c r="AU127" s="47"/>
      <c r="AV127" s="48"/>
    </row>
    <row r="128" spans="1:48" ht="12.75" customHeight="1" x14ac:dyDescent="0.25">
      <c r="A128" s="72" t="s">
        <v>883</v>
      </c>
      <c r="B128" s="43" t="s">
        <v>4040</v>
      </c>
      <c r="C128" s="44" t="s">
        <v>3456</v>
      </c>
      <c r="D128" s="45">
        <f>MROUND(MID($C128,6,3)/Basis!$E$3,0.5)</f>
        <v>9.5</v>
      </c>
      <c r="E128" s="45">
        <f>MROUND(MID($C128,9,3)/Basis!$E$3,0.5)</f>
        <v>71</v>
      </c>
      <c r="F128" s="229" t="str">
        <f t="shared" si="1"/>
        <v>11</v>
      </c>
      <c r="G128" s="45">
        <f>ROUND(5/Basis!$E$3,1)</f>
        <v>2</v>
      </c>
      <c r="H128" s="120">
        <f>ROUND($P128*Basis!$E$2*((TaH-TrH)/LN(1/µ)/Basis!$E$7)^$N128*Glycol,0)</f>
        <v>1932</v>
      </c>
      <c r="I128" s="83">
        <f>ROUND(H128/(MID($C128,9,3)/Basis!$E$3/Basis!$E$9)*Basis!$E$11,0)</f>
        <v>327</v>
      </c>
      <c r="J128" s="123">
        <f>IF(Basis!$E$1=1,ROUND(H128/((TaH-TrH)*1.163)/3600,3),ROUND(H128/(500*(TaH-TrH)),2))</f>
        <v>0.19</v>
      </c>
      <c r="K128" s="84"/>
      <c r="L128" s="177">
        <f>CHOOSE(Basis!$E$1,((AJ128*(J128*3600/Basis!$E$5)^AK128*(((MID(C128,9,3)*10)-144)/1000)*AL128+AM128*(J128*3600/Basis!$E$5)^2)*0.0098)/Basis!$E$10,((AJ128*(J128/Basis!$E$5)^AK128*(((MID(C128,9,3)*10)-144)/1000)*AL128+AM128*(J128/Basis!$E$5)^2)*0.0098)/Basis!$E$10)</f>
        <v>0</v>
      </c>
      <c r="M128" s="85"/>
      <c r="N128" s="110">
        <v>1.248</v>
      </c>
      <c r="O128" s="74"/>
      <c r="P128" s="73">
        <v>855</v>
      </c>
      <c r="Q128" s="74"/>
      <c r="R128" s="75"/>
      <c r="S128" s="75"/>
      <c r="T128" s="75"/>
      <c r="U128" s="75"/>
      <c r="V128" s="75"/>
      <c r="W128" s="74"/>
      <c r="X128" s="76"/>
      <c r="Y128" s="76"/>
      <c r="Z128" s="76"/>
      <c r="AA128" s="76"/>
      <c r="AB128" s="76"/>
      <c r="AC128" s="74"/>
      <c r="AD128" s="77"/>
      <c r="AE128" s="77"/>
      <c r="AF128" s="77"/>
      <c r="AG128" s="77"/>
      <c r="AH128" s="77"/>
      <c r="AI128" s="68"/>
      <c r="AJ128" s="213"/>
      <c r="AK128" s="213"/>
      <c r="AL128" s="213"/>
      <c r="AM128" s="213"/>
      <c r="AN128" s="74"/>
      <c r="AO128" s="73"/>
      <c r="AP128" s="73"/>
      <c r="AQ128" s="73"/>
      <c r="AR128" s="73"/>
      <c r="AS128" s="73"/>
      <c r="AT128" s="74"/>
      <c r="AU128" s="47"/>
      <c r="AV128" s="48"/>
    </row>
    <row r="129" spans="1:48" ht="12.75" customHeight="1" x14ac:dyDescent="0.25">
      <c r="A129" s="72" t="s">
        <v>883</v>
      </c>
      <c r="B129" s="43" t="s">
        <v>4040</v>
      </c>
      <c r="C129" s="44" t="s">
        <v>3457</v>
      </c>
      <c r="D129" s="45">
        <f>MROUND(MID($C129,6,3)/Basis!$E$3,0.5)</f>
        <v>9.5</v>
      </c>
      <c r="E129" s="45">
        <f>MROUND(MID($C129,9,3)/Basis!$E$3,0.5)</f>
        <v>71</v>
      </c>
      <c r="F129" s="229" t="str">
        <f t="shared" si="1"/>
        <v>22</v>
      </c>
      <c r="G129" s="45">
        <f>ROUND(9/Basis!$E$3,1)</f>
        <v>3.5</v>
      </c>
      <c r="H129" s="120">
        <f>ROUND($P129*Basis!$E$2*((TaH-TrH)/LN(1/µ)/Basis!$E$7)^$N129*Glycol,0)</f>
        <v>3126</v>
      </c>
      <c r="I129" s="83">
        <f>ROUND(H129/(MID($C129,9,3)/Basis!$E$3/Basis!$E$9)*Basis!$E$11,0)</f>
        <v>529</v>
      </c>
      <c r="J129" s="123">
        <f>IF(Basis!$E$1=1,ROUND(H129/((TaH-TrH)*1.163)/3600,3),ROUND(H129/(500*(TaH-TrH)),2))</f>
        <v>0.31</v>
      </c>
      <c r="K129" s="84"/>
      <c r="L129" s="177">
        <f>CHOOSE(Basis!$E$1,((AJ129*(J129*3600/Basis!$E$5)^AK129*(((MID(C129,9,3)*10)-144)/1000)*AL129+AM129*(J129*3600/Basis!$E$5)^2)*0.0098)/Basis!$E$10,((AJ129*(J129/Basis!$E$5)^AK129*(((MID(C129,9,3)*10)-144)/1000)*AL129+AM129*(J129/Basis!$E$5)^2)*0.0098)/Basis!$E$10)</f>
        <v>0</v>
      </c>
      <c r="M129" s="85"/>
      <c r="N129" s="109">
        <v>1.349</v>
      </c>
      <c r="O129" s="68"/>
      <c r="P129" s="67">
        <v>1430</v>
      </c>
      <c r="Q129" s="68"/>
      <c r="R129" s="69"/>
      <c r="S129" s="69"/>
      <c r="T129" s="69"/>
      <c r="U129" s="69"/>
      <c r="V129" s="69"/>
      <c r="W129" s="68"/>
      <c r="X129" s="70"/>
      <c r="Y129" s="70"/>
      <c r="Z129" s="70"/>
      <c r="AA129" s="70"/>
      <c r="AB129" s="70"/>
      <c r="AC129" s="68"/>
      <c r="AD129" s="71"/>
      <c r="AE129" s="71"/>
      <c r="AF129" s="71"/>
      <c r="AG129" s="71"/>
      <c r="AH129" s="71"/>
      <c r="AI129" s="68"/>
      <c r="AJ129" s="214"/>
      <c r="AK129" s="214"/>
      <c r="AL129" s="214"/>
      <c r="AM129" s="214"/>
      <c r="AN129" s="68"/>
      <c r="AO129" s="67"/>
      <c r="AP129" s="67"/>
      <c r="AQ129" s="67"/>
      <c r="AR129" s="67"/>
      <c r="AS129" s="67"/>
      <c r="AT129" s="68"/>
      <c r="AU129" s="49"/>
      <c r="AV129" s="50"/>
    </row>
    <row r="130" spans="1:48" ht="12.75" customHeight="1" x14ac:dyDescent="0.25">
      <c r="A130" s="72" t="s">
        <v>883</v>
      </c>
      <c r="B130" s="43" t="s">
        <v>4040</v>
      </c>
      <c r="C130" s="44" t="s">
        <v>3458</v>
      </c>
      <c r="D130" s="45">
        <f>MROUND(MID($C130,6,3)/Basis!$E$3,0.5)</f>
        <v>9.5</v>
      </c>
      <c r="E130" s="45">
        <f>MROUND(MID($C130,9,3)/Basis!$E$3,0.5)</f>
        <v>71</v>
      </c>
      <c r="F130" s="229" t="str">
        <f t="shared" si="1"/>
        <v>34</v>
      </c>
      <c r="G130" s="45">
        <f>ROUND(16.9/Basis!$E$3,1)</f>
        <v>6.7</v>
      </c>
      <c r="H130" s="120">
        <f>ROUND($P130*Basis!$E$2*((TaH-TrH)/LN(1/µ)/Basis!$E$7)^$N130*Glycol,0)</f>
        <v>5545</v>
      </c>
      <c r="I130" s="83">
        <f>ROUND(H130/(MID($C130,9,3)/Basis!$E$3/Basis!$E$9)*Basis!$E$11,0)</f>
        <v>939</v>
      </c>
      <c r="J130" s="123">
        <f>IF(Basis!$E$1=1,ROUND(H130/((TaH-TrH)*1.163)/3600,3),ROUND(H130/(500*(TaH-TrH)),2))</f>
        <v>0.55000000000000004</v>
      </c>
      <c r="K130" s="84"/>
      <c r="L130" s="177">
        <f>CHOOSE(Basis!$E$1,((AJ130*(J130*3600/Basis!$E$5)^AK130*(((MID(C130,9,3)*10)-144)/1000)*AL130+AM130*(J130*3600/Basis!$E$5)^2)*0.0098)/Basis!$E$10,((AJ130*(J130/Basis!$E$5)^AK130*(((MID(C130,9,3)*10)-144)/1000)*AL130+AM130*(J130/Basis!$E$5)^2)*0.0098)/Basis!$E$10)</f>
        <v>0</v>
      </c>
      <c r="M130" s="85"/>
      <c r="N130" s="109">
        <v>1.452</v>
      </c>
      <c r="O130" s="68"/>
      <c r="P130" s="67">
        <v>2624</v>
      </c>
      <c r="Q130" s="68"/>
      <c r="R130" s="69"/>
      <c r="S130" s="69"/>
      <c r="T130" s="69"/>
      <c r="U130" s="69"/>
      <c r="V130" s="69"/>
      <c r="W130" s="68"/>
      <c r="X130" s="70"/>
      <c r="Y130" s="70"/>
      <c r="Z130" s="70"/>
      <c r="AA130" s="70"/>
      <c r="AB130" s="70"/>
      <c r="AC130" s="68"/>
      <c r="AD130" s="71"/>
      <c r="AE130" s="71"/>
      <c r="AF130" s="71"/>
      <c r="AG130" s="71"/>
      <c r="AH130" s="71"/>
      <c r="AI130" s="68"/>
      <c r="AJ130" s="214"/>
      <c r="AK130" s="214"/>
      <c r="AL130" s="214"/>
      <c r="AM130" s="214"/>
      <c r="AN130" s="68"/>
      <c r="AO130" s="67"/>
      <c r="AP130" s="67"/>
      <c r="AQ130" s="67"/>
      <c r="AR130" s="67"/>
      <c r="AS130" s="67"/>
      <c r="AT130" s="68"/>
      <c r="AU130" s="49"/>
      <c r="AV130" s="50"/>
    </row>
    <row r="131" spans="1:48" ht="12.75" customHeight="1" x14ac:dyDescent="0.25">
      <c r="A131" s="72" t="s">
        <v>883</v>
      </c>
      <c r="B131" s="43" t="s">
        <v>4040</v>
      </c>
      <c r="C131" s="44" t="s">
        <v>3459</v>
      </c>
      <c r="D131" s="45">
        <f>MROUND(MID($C131,6,3)/Basis!$E$3,0.5)</f>
        <v>9.5</v>
      </c>
      <c r="E131" s="45">
        <f>MROUND(MID($C131,9,3)/Basis!$E$3,0.5)</f>
        <v>78.5</v>
      </c>
      <c r="F131" s="229" t="str">
        <f t="shared" si="1"/>
        <v>11</v>
      </c>
      <c r="G131" s="45">
        <f>ROUND(5/Basis!$E$3,1)</f>
        <v>2</v>
      </c>
      <c r="H131" s="120">
        <f>ROUND($P131*Basis!$E$2*((TaH-TrH)/LN(1/µ)/Basis!$E$7)^$N131*Glycol,0)</f>
        <v>2147</v>
      </c>
      <c r="I131" s="83">
        <f>ROUND(H131/(MID($C131,9,3)/Basis!$E$3/Basis!$E$9)*Basis!$E$11,0)</f>
        <v>327</v>
      </c>
      <c r="J131" s="123">
        <f>IF(Basis!$E$1=1,ROUND(H131/((TaH-TrH)*1.163)/3600,3),ROUND(H131/(500*(TaH-TrH)),2))</f>
        <v>0.21</v>
      </c>
      <c r="K131" s="84"/>
      <c r="L131" s="177">
        <f>CHOOSE(Basis!$E$1,((AJ131*(J131*3600/Basis!$E$5)^AK131*(((MID(C131,9,3)*10)-144)/1000)*AL131+AM131*(J131*3600/Basis!$E$5)^2)*0.0098)/Basis!$E$10,((AJ131*(J131/Basis!$E$5)^AK131*(((MID(C131,9,3)*10)-144)/1000)*AL131+AM131*(J131/Basis!$E$5)^2)*0.0098)/Basis!$E$10)</f>
        <v>0</v>
      </c>
      <c r="M131" s="85"/>
      <c r="N131" s="110">
        <v>1.248</v>
      </c>
      <c r="O131" s="74"/>
      <c r="P131" s="73">
        <v>950</v>
      </c>
      <c r="Q131" s="74"/>
      <c r="R131" s="75"/>
      <c r="S131" s="75"/>
      <c r="T131" s="75"/>
      <c r="U131" s="75"/>
      <c r="V131" s="75"/>
      <c r="W131" s="74"/>
      <c r="X131" s="76"/>
      <c r="Y131" s="76"/>
      <c r="Z131" s="76"/>
      <c r="AA131" s="76"/>
      <c r="AB131" s="76"/>
      <c r="AC131" s="74"/>
      <c r="AD131" s="77"/>
      <c r="AE131" s="77"/>
      <c r="AF131" s="77"/>
      <c r="AG131" s="77"/>
      <c r="AH131" s="77"/>
      <c r="AI131" s="68"/>
      <c r="AJ131" s="213"/>
      <c r="AK131" s="213"/>
      <c r="AL131" s="213"/>
      <c r="AM131" s="213"/>
      <c r="AN131" s="74"/>
      <c r="AO131" s="73"/>
      <c r="AP131" s="73"/>
      <c r="AQ131" s="73"/>
      <c r="AR131" s="73"/>
      <c r="AS131" s="73"/>
      <c r="AT131" s="74"/>
      <c r="AU131" s="47"/>
      <c r="AV131" s="48"/>
    </row>
    <row r="132" spans="1:48" ht="12.75" customHeight="1" x14ac:dyDescent="0.25">
      <c r="A132" s="72" t="s">
        <v>883</v>
      </c>
      <c r="B132" s="43" t="s">
        <v>4040</v>
      </c>
      <c r="C132" s="44" t="s">
        <v>3460</v>
      </c>
      <c r="D132" s="45">
        <f>MROUND(MID($C132,6,3)/Basis!$E$3,0.5)</f>
        <v>9.5</v>
      </c>
      <c r="E132" s="45">
        <f>MROUND(MID($C132,9,3)/Basis!$E$3,0.5)</f>
        <v>78.5</v>
      </c>
      <c r="F132" s="229" t="str">
        <f t="shared" si="1"/>
        <v>22</v>
      </c>
      <c r="G132" s="45">
        <f>ROUND(9/Basis!$E$3,1)</f>
        <v>3.5</v>
      </c>
      <c r="H132" s="120">
        <f>ROUND($P132*Basis!$E$2*((TaH-TrH)/LN(1/µ)/Basis!$E$7)^$N132*Glycol,0)</f>
        <v>3474</v>
      </c>
      <c r="I132" s="83">
        <f>ROUND(H132/(MID($C132,9,3)/Basis!$E$3/Basis!$E$9)*Basis!$E$11,0)</f>
        <v>529</v>
      </c>
      <c r="J132" s="123">
        <f>IF(Basis!$E$1=1,ROUND(H132/((TaH-TrH)*1.163)/3600,3),ROUND(H132/(500*(TaH-TrH)),2))</f>
        <v>0.35</v>
      </c>
      <c r="K132" s="84"/>
      <c r="L132" s="177">
        <f>CHOOSE(Basis!$E$1,((AJ132*(J132*3600/Basis!$E$5)^AK132*(((MID(C132,9,3)*10)-144)/1000)*AL132+AM132*(J132*3600/Basis!$E$5)^2)*0.0098)/Basis!$E$10,((AJ132*(J132/Basis!$E$5)^AK132*(((MID(C132,9,3)*10)-144)/1000)*AL132+AM132*(J132/Basis!$E$5)^2)*0.0098)/Basis!$E$10)</f>
        <v>0</v>
      </c>
      <c r="M132" s="85"/>
      <c r="N132" s="110">
        <v>1.349</v>
      </c>
      <c r="O132" s="74"/>
      <c r="P132" s="73">
        <v>1589</v>
      </c>
      <c r="Q132" s="74"/>
      <c r="R132" s="75"/>
      <c r="S132" s="75"/>
      <c r="T132" s="75"/>
      <c r="U132" s="75"/>
      <c r="V132" s="75"/>
      <c r="W132" s="74"/>
      <c r="X132" s="76"/>
      <c r="Y132" s="76"/>
      <c r="Z132" s="76"/>
      <c r="AA132" s="76"/>
      <c r="AB132" s="76"/>
      <c r="AC132" s="74"/>
      <c r="AD132" s="77"/>
      <c r="AE132" s="77"/>
      <c r="AF132" s="77"/>
      <c r="AG132" s="77"/>
      <c r="AH132" s="77"/>
      <c r="AI132" s="68"/>
      <c r="AJ132" s="213"/>
      <c r="AK132" s="213"/>
      <c r="AL132" s="213"/>
      <c r="AM132" s="213"/>
      <c r="AN132" s="74"/>
      <c r="AO132" s="73"/>
      <c r="AP132" s="73"/>
      <c r="AQ132" s="73"/>
      <c r="AR132" s="73"/>
      <c r="AS132" s="73"/>
      <c r="AT132" s="74"/>
      <c r="AU132" s="47"/>
      <c r="AV132" s="48"/>
    </row>
    <row r="133" spans="1:48" ht="12.75" customHeight="1" x14ac:dyDescent="0.25">
      <c r="A133" s="72" t="s">
        <v>883</v>
      </c>
      <c r="B133" s="43" t="s">
        <v>4040</v>
      </c>
      <c r="C133" s="44" t="s">
        <v>3461</v>
      </c>
      <c r="D133" s="45">
        <f>MROUND(MID($C133,6,3)/Basis!$E$3,0.5)</f>
        <v>9.5</v>
      </c>
      <c r="E133" s="45">
        <f>MROUND(MID($C133,9,3)/Basis!$E$3,0.5)</f>
        <v>78.5</v>
      </c>
      <c r="F133" s="229" t="str">
        <f t="shared" si="1"/>
        <v>34</v>
      </c>
      <c r="G133" s="45">
        <f>ROUND(16.9/Basis!$E$3,1)</f>
        <v>6.7</v>
      </c>
      <c r="H133" s="120">
        <f>ROUND($P133*Basis!$E$2*((TaH-TrH)/LN(1/µ)/Basis!$E$7)^$N133*Glycol,0)</f>
        <v>6159</v>
      </c>
      <c r="I133" s="83">
        <f>ROUND(H133/(MID($C133,9,3)/Basis!$E$3/Basis!$E$9)*Basis!$E$11,0)</f>
        <v>939</v>
      </c>
      <c r="J133" s="123">
        <f>IF(Basis!$E$1=1,ROUND(H133/((TaH-TrH)*1.163)/3600,3),ROUND(H133/(500*(TaH-TrH)),2))</f>
        <v>0.62</v>
      </c>
      <c r="K133" s="84"/>
      <c r="L133" s="177">
        <f>CHOOSE(Basis!$E$1,((AJ133*(J133*3600/Basis!$E$5)^AK133*(((MID(C133,9,3)*10)-144)/1000)*AL133+AM133*(J133*3600/Basis!$E$5)^2)*0.0098)/Basis!$E$10,((AJ133*(J133/Basis!$E$5)^AK133*(((MID(C133,9,3)*10)-144)/1000)*AL133+AM133*(J133/Basis!$E$5)^2)*0.0098)/Basis!$E$10)</f>
        <v>0</v>
      </c>
      <c r="M133" s="85"/>
      <c r="N133" s="109">
        <v>1.452</v>
      </c>
      <c r="O133" s="68"/>
      <c r="P133" s="67">
        <v>2915</v>
      </c>
      <c r="Q133" s="68"/>
      <c r="R133" s="69"/>
      <c r="S133" s="69"/>
      <c r="T133" s="69"/>
      <c r="U133" s="69"/>
      <c r="V133" s="69"/>
      <c r="W133" s="68"/>
      <c r="X133" s="70"/>
      <c r="Y133" s="70"/>
      <c r="Z133" s="70"/>
      <c r="AA133" s="70"/>
      <c r="AB133" s="70"/>
      <c r="AC133" s="68"/>
      <c r="AD133" s="71"/>
      <c r="AE133" s="71"/>
      <c r="AF133" s="71"/>
      <c r="AG133" s="71"/>
      <c r="AH133" s="71"/>
      <c r="AI133" s="68"/>
      <c r="AJ133" s="214"/>
      <c r="AK133" s="214"/>
      <c r="AL133" s="214"/>
      <c r="AM133" s="214"/>
      <c r="AN133" s="68"/>
      <c r="AO133" s="67"/>
      <c r="AP133" s="67"/>
      <c r="AQ133" s="67"/>
      <c r="AR133" s="67"/>
      <c r="AS133" s="67"/>
      <c r="AT133" s="68"/>
      <c r="AU133" s="49"/>
      <c r="AV133" s="50"/>
    </row>
    <row r="134" spans="1:48" ht="12.75" customHeight="1" x14ac:dyDescent="0.25">
      <c r="A134" s="72" t="s">
        <v>883</v>
      </c>
      <c r="B134" s="43" t="s">
        <v>4040</v>
      </c>
      <c r="C134" s="44" t="s">
        <v>3462</v>
      </c>
      <c r="D134" s="45">
        <f>MROUND(MID($C134,6,3)/Basis!$E$3,0.5)</f>
        <v>9.5</v>
      </c>
      <c r="E134" s="45">
        <f>MROUND(MID($C134,9,3)/Basis!$E$3,0.5)</f>
        <v>86.5</v>
      </c>
      <c r="F134" s="229" t="str">
        <f t="shared" si="1"/>
        <v>11</v>
      </c>
      <c r="G134" s="45">
        <f>ROUND(5/Basis!$E$3,1)</f>
        <v>2</v>
      </c>
      <c r="H134" s="120">
        <f>ROUND($P134*Basis!$E$2*((TaH-TrH)/LN(1/µ)/Basis!$E$7)^$N134*Glycol,0)</f>
        <v>2362</v>
      </c>
      <c r="I134" s="83">
        <f>ROUND(H134/(MID($C134,9,3)/Basis!$E$3/Basis!$E$9)*Basis!$E$11,0)</f>
        <v>327</v>
      </c>
      <c r="J134" s="123">
        <f>IF(Basis!$E$1=1,ROUND(H134/((TaH-TrH)*1.163)/3600,3),ROUND(H134/(500*(TaH-TrH)),2))</f>
        <v>0.24</v>
      </c>
      <c r="K134" s="84"/>
      <c r="L134" s="177">
        <f>CHOOSE(Basis!$E$1,((AJ134*(J134*3600/Basis!$E$5)^AK134*(((MID(C134,9,3)*10)-144)/1000)*AL134+AM134*(J134*3600/Basis!$E$5)^2)*0.0098)/Basis!$E$10,((AJ134*(J134/Basis!$E$5)^AK134*(((MID(C134,9,3)*10)-144)/1000)*AL134+AM134*(J134/Basis!$E$5)^2)*0.0098)/Basis!$E$10)</f>
        <v>0</v>
      </c>
      <c r="M134" s="85"/>
      <c r="N134" s="109">
        <v>1.248</v>
      </c>
      <c r="O134" s="68"/>
      <c r="P134" s="67">
        <v>1045</v>
      </c>
      <c r="Q134" s="68"/>
      <c r="R134" s="69"/>
      <c r="S134" s="69"/>
      <c r="T134" s="69"/>
      <c r="U134" s="69"/>
      <c r="V134" s="69"/>
      <c r="W134" s="68"/>
      <c r="X134" s="70"/>
      <c r="Y134" s="70"/>
      <c r="Z134" s="70"/>
      <c r="AA134" s="70"/>
      <c r="AB134" s="70"/>
      <c r="AC134" s="68"/>
      <c r="AD134" s="71"/>
      <c r="AE134" s="71"/>
      <c r="AF134" s="71"/>
      <c r="AG134" s="71"/>
      <c r="AH134" s="71"/>
      <c r="AI134" s="68"/>
      <c r="AJ134" s="214"/>
      <c r="AK134" s="214"/>
      <c r="AL134" s="214"/>
      <c r="AM134" s="214"/>
      <c r="AN134" s="68"/>
      <c r="AO134" s="67"/>
      <c r="AP134" s="67"/>
      <c r="AQ134" s="67"/>
      <c r="AR134" s="67"/>
      <c r="AS134" s="67"/>
      <c r="AT134" s="68"/>
      <c r="AU134" s="49"/>
      <c r="AV134" s="50"/>
    </row>
    <row r="135" spans="1:48" ht="12.75" customHeight="1" x14ac:dyDescent="0.25">
      <c r="A135" s="72" t="s">
        <v>883</v>
      </c>
      <c r="B135" s="43" t="s">
        <v>4040</v>
      </c>
      <c r="C135" s="44" t="s">
        <v>3463</v>
      </c>
      <c r="D135" s="45">
        <f>MROUND(MID($C135,6,3)/Basis!$E$3,0.5)</f>
        <v>9.5</v>
      </c>
      <c r="E135" s="45">
        <f>MROUND(MID($C135,9,3)/Basis!$E$3,0.5)</f>
        <v>86.5</v>
      </c>
      <c r="F135" s="229" t="str">
        <f t="shared" si="1"/>
        <v>22</v>
      </c>
      <c r="G135" s="45">
        <f>ROUND(9/Basis!$E$3,1)</f>
        <v>3.5</v>
      </c>
      <c r="H135" s="120">
        <f>ROUND($P135*Basis!$E$2*((TaH-TrH)/LN(1/µ)/Basis!$E$7)^$N135*Glycol,0)</f>
        <v>3821</v>
      </c>
      <c r="I135" s="83">
        <f>ROUND(H135/(MID($C135,9,3)/Basis!$E$3/Basis!$E$9)*Basis!$E$11,0)</f>
        <v>529</v>
      </c>
      <c r="J135" s="123">
        <f>IF(Basis!$E$1=1,ROUND(H135/((TaH-TrH)*1.163)/3600,3),ROUND(H135/(500*(TaH-TrH)),2))</f>
        <v>0.38</v>
      </c>
      <c r="K135" s="84"/>
      <c r="L135" s="177">
        <f>CHOOSE(Basis!$E$1,((AJ135*(J135*3600/Basis!$E$5)^AK135*(((MID(C135,9,3)*10)-144)/1000)*AL135+AM135*(J135*3600/Basis!$E$5)^2)*0.0098)/Basis!$E$10,((AJ135*(J135/Basis!$E$5)^AK135*(((MID(C135,9,3)*10)-144)/1000)*AL135+AM135*(J135/Basis!$E$5)^2)*0.0098)/Basis!$E$10)</f>
        <v>0</v>
      </c>
      <c r="M135" s="85"/>
      <c r="N135" s="110">
        <v>1.349</v>
      </c>
      <c r="O135" s="74"/>
      <c r="P135" s="73">
        <v>1748</v>
      </c>
      <c r="Q135" s="74"/>
      <c r="R135" s="75"/>
      <c r="S135" s="75"/>
      <c r="T135" s="75"/>
      <c r="U135" s="75"/>
      <c r="V135" s="75"/>
      <c r="W135" s="74"/>
      <c r="X135" s="76"/>
      <c r="Y135" s="76"/>
      <c r="Z135" s="76"/>
      <c r="AA135" s="76"/>
      <c r="AB135" s="76"/>
      <c r="AC135" s="74"/>
      <c r="AD135" s="77"/>
      <c r="AE135" s="77"/>
      <c r="AF135" s="77"/>
      <c r="AG135" s="77"/>
      <c r="AH135" s="77"/>
      <c r="AI135" s="68"/>
      <c r="AJ135" s="213"/>
      <c r="AK135" s="213"/>
      <c r="AL135" s="213"/>
      <c r="AM135" s="213"/>
      <c r="AN135" s="74"/>
      <c r="AO135" s="73"/>
      <c r="AP135" s="73"/>
      <c r="AQ135" s="73"/>
      <c r="AR135" s="73"/>
      <c r="AS135" s="73"/>
      <c r="AT135" s="74"/>
      <c r="AU135" s="47"/>
      <c r="AV135" s="48"/>
    </row>
    <row r="136" spans="1:48" ht="12.75" customHeight="1" x14ac:dyDescent="0.25">
      <c r="A136" s="72" t="s">
        <v>883</v>
      </c>
      <c r="B136" s="43" t="s">
        <v>4040</v>
      </c>
      <c r="C136" s="44" t="s">
        <v>3464</v>
      </c>
      <c r="D136" s="45">
        <f>MROUND(MID($C136,6,3)/Basis!$E$3,0.5)</f>
        <v>9.5</v>
      </c>
      <c r="E136" s="45">
        <f>MROUND(MID($C136,9,3)/Basis!$E$3,0.5)</f>
        <v>86.5</v>
      </c>
      <c r="F136" s="229" t="str">
        <f t="shared" si="1"/>
        <v>34</v>
      </c>
      <c r="G136" s="45">
        <f>ROUND(16.9/Basis!$E$3,1)</f>
        <v>6.7</v>
      </c>
      <c r="H136" s="120">
        <f>ROUND($P136*Basis!$E$2*((TaH-TrH)/LN(1/µ)/Basis!$E$7)^$N136*Glycol,0)</f>
        <v>6776</v>
      </c>
      <c r="I136" s="83">
        <f>ROUND(H136/(MID($C136,9,3)/Basis!$E$3/Basis!$E$9)*Basis!$E$11,0)</f>
        <v>939</v>
      </c>
      <c r="J136" s="123">
        <f>IF(Basis!$E$1=1,ROUND(H136/((TaH-TrH)*1.163)/3600,3),ROUND(H136/(500*(TaH-TrH)),2))</f>
        <v>0.68</v>
      </c>
      <c r="K136" s="84"/>
      <c r="L136" s="177">
        <f>CHOOSE(Basis!$E$1,((AJ136*(J136*3600/Basis!$E$5)^AK136*(((MID(C136,9,3)*10)-144)/1000)*AL136+AM136*(J136*3600/Basis!$E$5)^2)*0.0098)/Basis!$E$10,((AJ136*(J136/Basis!$E$5)^AK136*(((MID(C136,9,3)*10)-144)/1000)*AL136+AM136*(J136/Basis!$E$5)^2)*0.0098)/Basis!$E$10)</f>
        <v>0</v>
      </c>
      <c r="M136" s="85"/>
      <c r="N136" s="110">
        <v>1.452</v>
      </c>
      <c r="O136" s="74"/>
      <c r="P136" s="73">
        <v>3207</v>
      </c>
      <c r="Q136" s="74"/>
      <c r="R136" s="75"/>
      <c r="S136" s="75"/>
      <c r="T136" s="75"/>
      <c r="U136" s="75"/>
      <c r="V136" s="75"/>
      <c r="W136" s="74"/>
      <c r="X136" s="76"/>
      <c r="Y136" s="76"/>
      <c r="Z136" s="76"/>
      <c r="AA136" s="76"/>
      <c r="AB136" s="76"/>
      <c r="AC136" s="74"/>
      <c r="AD136" s="77"/>
      <c r="AE136" s="77"/>
      <c r="AF136" s="77"/>
      <c r="AG136" s="77"/>
      <c r="AH136" s="77"/>
      <c r="AI136" s="68"/>
      <c r="AJ136" s="213"/>
      <c r="AK136" s="213"/>
      <c r="AL136" s="213"/>
      <c r="AM136" s="213"/>
      <c r="AN136" s="74"/>
      <c r="AO136" s="73"/>
      <c r="AP136" s="73"/>
      <c r="AQ136" s="73"/>
      <c r="AR136" s="73"/>
      <c r="AS136" s="73"/>
      <c r="AT136" s="74"/>
      <c r="AU136" s="47"/>
      <c r="AV136" s="48"/>
    </row>
    <row r="137" spans="1:48" ht="12.75" customHeight="1" x14ac:dyDescent="0.25">
      <c r="A137" s="72" t="s">
        <v>883</v>
      </c>
      <c r="B137" s="43" t="s">
        <v>4040</v>
      </c>
      <c r="C137" s="44" t="s">
        <v>3465</v>
      </c>
      <c r="D137" s="45">
        <f>MROUND(MID($C137,6,3)/Basis!$E$3,0.5)</f>
        <v>9.5</v>
      </c>
      <c r="E137" s="45">
        <f>MROUND(MID($C137,9,3)/Basis!$E$3,0.5)</f>
        <v>94.5</v>
      </c>
      <c r="F137" s="229" t="str">
        <f t="shared" si="1"/>
        <v>11</v>
      </c>
      <c r="G137" s="45">
        <f>ROUND(5/Basis!$E$3,1)</f>
        <v>2</v>
      </c>
      <c r="H137" s="120">
        <f>ROUND($P137*Basis!$E$2*((TaH-TrH)/LN(1/µ)/Basis!$E$7)^$N137*Glycol,0)</f>
        <v>2577</v>
      </c>
      <c r="I137" s="83">
        <f>ROUND(H137/(MID($C137,9,3)/Basis!$E$3/Basis!$E$9)*Basis!$E$11,0)</f>
        <v>327</v>
      </c>
      <c r="J137" s="123">
        <f>IF(Basis!$E$1=1,ROUND(H137/((TaH-TrH)*1.163)/3600,3),ROUND(H137/(500*(TaH-TrH)),2))</f>
        <v>0.26</v>
      </c>
      <c r="K137" s="84"/>
      <c r="L137" s="177">
        <f>CHOOSE(Basis!$E$1,((AJ137*(J137*3600/Basis!$E$5)^AK137*(((MID(C137,9,3)*10)-144)/1000)*AL137+AM137*(J137*3600/Basis!$E$5)^2)*0.0098)/Basis!$E$10,((AJ137*(J137/Basis!$E$5)^AK137*(((MID(C137,9,3)*10)-144)/1000)*AL137+AM137*(J137/Basis!$E$5)^2)*0.0098)/Basis!$E$10)</f>
        <v>0</v>
      </c>
      <c r="M137" s="85"/>
      <c r="N137" s="109">
        <v>1.248</v>
      </c>
      <c r="O137" s="68"/>
      <c r="P137" s="67">
        <v>1140</v>
      </c>
      <c r="Q137" s="68"/>
      <c r="R137" s="69"/>
      <c r="S137" s="69"/>
      <c r="T137" s="69"/>
      <c r="U137" s="69"/>
      <c r="V137" s="69"/>
      <c r="W137" s="68"/>
      <c r="X137" s="70"/>
      <c r="Y137" s="70"/>
      <c r="Z137" s="70"/>
      <c r="AA137" s="70"/>
      <c r="AB137" s="70"/>
      <c r="AC137" s="68"/>
      <c r="AD137" s="71"/>
      <c r="AE137" s="71"/>
      <c r="AF137" s="71"/>
      <c r="AG137" s="71"/>
      <c r="AH137" s="71"/>
      <c r="AI137" s="68"/>
      <c r="AJ137" s="214"/>
      <c r="AK137" s="214"/>
      <c r="AL137" s="214"/>
      <c r="AM137" s="214"/>
      <c r="AN137" s="68"/>
      <c r="AO137" s="67"/>
      <c r="AP137" s="67"/>
      <c r="AQ137" s="67"/>
      <c r="AR137" s="67"/>
      <c r="AS137" s="67"/>
      <c r="AT137" s="68"/>
      <c r="AU137" s="49"/>
      <c r="AV137" s="50"/>
    </row>
    <row r="138" spans="1:48" ht="12.75" customHeight="1" x14ac:dyDescent="0.25">
      <c r="A138" s="72" t="s">
        <v>883</v>
      </c>
      <c r="B138" s="43" t="s">
        <v>4040</v>
      </c>
      <c r="C138" s="44" t="s">
        <v>3466</v>
      </c>
      <c r="D138" s="45">
        <f>MROUND(MID($C138,6,3)/Basis!$E$3,0.5)</f>
        <v>9.5</v>
      </c>
      <c r="E138" s="45">
        <f>MROUND(MID($C138,9,3)/Basis!$E$3,0.5)</f>
        <v>94.5</v>
      </c>
      <c r="F138" s="229" t="str">
        <f t="shared" si="1"/>
        <v>22</v>
      </c>
      <c r="G138" s="45">
        <f>ROUND(9/Basis!$E$3,1)</f>
        <v>3.5</v>
      </c>
      <c r="H138" s="120">
        <f>ROUND($P138*Basis!$E$2*((TaH-TrH)/LN(1/µ)/Basis!$E$7)^$N138*Glycol,0)</f>
        <v>4169</v>
      </c>
      <c r="I138" s="83">
        <f>ROUND(H138/(MID($C138,9,3)/Basis!$E$3/Basis!$E$9)*Basis!$E$11,0)</f>
        <v>529</v>
      </c>
      <c r="J138" s="123">
        <f>IF(Basis!$E$1=1,ROUND(H138/((TaH-TrH)*1.163)/3600,3),ROUND(H138/(500*(TaH-TrH)),2))</f>
        <v>0.42</v>
      </c>
      <c r="K138" s="84"/>
      <c r="L138" s="177">
        <f>CHOOSE(Basis!$E$1,((AJ138*(J138*3600/Basis!$E$5)^AK138*(((MID(C138,9,3)*10)-144)/1000)*AL138+AM138*(J138*3600/Basis!$E$5)^2)*0.0098)/Basis!$E$10,((AJ138*(J138/Basis!$E$5)^AK138*(((MID(C138,9,3)*10)-144)/1000)*AL138+AM138*(J138/Basis!$E$5)^2)*0.0098)/Basis!$E$10)</f>
        <v>0</v>
      </c>
      <c r="M138" s="85"/>
      <c r="N138" s="109">
        <v>1.349</v>
      </c>
      <c r="O138" s="68"/>
      <c r="P138" s="67">
        <v>1907</v>
      </c>
      <c r="Q138" s="68"/>
      <c r="R138" s="69"/>
      <c r="S138" s="69"/>
      <c r="T138" s="69"/>
      <c r="U138" s="69"/>
      <c r="V138" s="69"/>
      <c r="W138" s="68"/>
      <c r="X138" s="70"/>
      <c r="Y138" s="70"/>
      <c r="Z138" s="70"/>
      <c r="AA138" s="70"/>
      <c r="AB138" s="70"/>
      <c r="AC138" s="68"/>
      <c r="AD138" s="71"/>
      <c r="AE138" s="71"/>
      <c r="AF138" s="71"/>
      <c r="AG138" s="71"/>
      <c r="AH138" s="71"/>
      <c r="AI138" s="68"/>
      <c r="AJ138" s="214"/>
      <c r="AK138" s="214"/>
      <c r="AL138" s="214"/>
      <c r="AM138" s="214"/>
      <c r="AN138" s="68"/>
      <c r="AO138" s="67"/>
      <c r="AP138" s="67"/>
      <c r="AQ138" s="67"/>
      <c r="AR138" s="67"/>
      <c r="AS138" s="67"/>
      <c r="AT138" s="68"/>
      <c r="AU138" s="49"/>
      <c r="AV138" s="50"/>
    </row>
    <row r="139" spans="1:48" ht="12.75" customHeight="1" x14ac:dyDescent="0.25">
      <c r="A139" s="72" t="s">
        <v>883</v>
      </c>
      <c r="B139" s="43" t="s">
        <v>4040</v>
      </c>
      <c r="C139" s="44" t="s">
        <v>3467</v>
      </c>
      <c r="D139" s="45">
        <f>MROUND(MID($C139,6,3)/Basis!$E$3,0.5)</f>
        <v>9.5</v>
      </c>
      <c r="E139" s="45">
        <f>MROUND(MID($C139,9,3)/Basis!$E$3,0.5)</f>
        <v>94.5</v>
      </c>
      <c r="F139" s="229" t="str">
        <f t="shared" ref="F139:F202" si="2">MID(C139,12,2)</f>
        <v>34</v>
      </c>
      <c r="G139" s="45">
        <f>ROUND(16.9/Basis!$E$3,1)</f>
        <v>6.7</v>
      </c>
      <c r="H139" s="120">
        <f>ROUND($P139*Basis!$E$2*((TaH-TrH)/LN(1/µ)/Basis!$E$7)^$N139*Glycol,0)</f>
        <v>7391</v>
      </c>
      <c r="I139" s="83">
        <f>ROUND(H139/(MID($C139,9,3)/Basis!$E$3/Basis!$E$9)*Basis!$E$11,0)</f>
        <v>939</v>
      </c>
      <c r="J139" s="123">
        <f>IF(Basis!$E$1=1,ROUND(H139/((TaH-TrH)*1.163)/3600,3),ROUND(H139/(500*(TaH-TrH)),2))</f>
        <v>0.74</v>
      </c>
      <c r="K139" s="84"/>
      <c r="L139" s="177">
        <f>CHOOSE(Basis!$E$1,((AJ139*(J139*3600/Basis!$E$5)^AK139*(((MID(C139,9,3)*10)-144)/1000)*AL139+AM139*(J139*3600/Basis!$E$5)^2)*0.0098)/Basis!$E$10,((AJ139*(J139/Basis!$E$5)^AK139*(((MID(C139,9,3)*10)-144)/1000)*AL139+AM139*(J139/Basis!$E$5)^2)*0.0098)/Basis!$E$10)</f>
        <v>0</v>
      </c>
      <c r="M139" s="85"/>
      <c r="N139" s="110">
        <v>1.452</v>
      </c>
      <c r="O139" s="74"/>
      <c r="P139" s="73">
        <v>3498</v>
      </c>
      <c r="Q139" s="74"/>
      <c r="R139" s="75"/>
      <c r="S139" s="75"/>
      <c r="T139" s="75"/>
      <c r="U139" s="75"/>
      <c r="V139" s="75"/>
      <c r="W139" s="74"/>
      <c r="X139" s="76"/>
      <c r="Y139" s="76"/>
      <c r="Z139" s="76"/>
      <c r="AA139" s="76"/>
      <c r="AB139" s="76"/>
      <c r="AC139" s="74"/>
      <c r="AD139" s="77"/>
      <c r="AE139" s="77"/>
      <c r="AF139" s="77"/>
      <c r="AG139" s="77"/>
      <c r="AH139" s="77"/>
      <c r="AI139" s="68"/>
      <c r="AJ139" s="213"/>
      <c r="AK139" s="213"/>
      <c r="AL139" s="213"/>
      <c r="AM139" s="213"/>
      <c r="AN139" s="74"/>
      <c r="AO139" s="73"/>
      <c r="AP139" s="73"/>
      <c r="AQ139" s="73"/>
      <c r="AR139" s="73"/>
      <c r="AS139" s="73"/>
      <c r="AT139" s="74"/>
      <c r="AU139" s="47"/>
      <c r="AV139" s="48"/>
    </row>
    <row r="140" spans="1:48" ht="12.75" customHeight="1" x14ac:dyDescent="0.25">
      <c r="A140" s="72" t="s">
        <v>883</v>
      </c>
      <c r="B140" s="43" t="s">
        <v>4040</v>
      </c>
      <c r="C140" s="44" t="s">
        <v>3468</v>
      </c>
      <c r="D140" s="45">
        <f>MROUND(MID($C140,6,3)/Basis!$E$3,0.5)</f>
        <v>9.5</v>
      </c>
      <c r="E140" s="45">
        <f>MROUND(MID($C140,9,3)/Basis!$E$3,0.5)</f>
        <v>102.5</v>
      </c>
      <c r="F140" s="229" t="str">
        <f t="shared" si="2"/>
        <v>11</v>
      </c>
      <c r="G140" s="45">
        <f>ROUND(5/Basis!$E$3,1)</f>
        <v>2</v>
      </c>
      <c r="H140" s="120">
        <f>ROUND($P140*Basis!$E$2*((TaH-TrH)/LN(1/µ)/Basis!$E$7)^$N140*Glycol,0)</f>
        <v>2791</v>
      </c>
      <c r="I140" s="83">
        <f>ROUND(H140/(MID($C140,9,3)/Basis!$E$3/Basis!$E$9)*Basis!$E$11,0)</f>
        <v>327</v>
      </c>
      <c r="J140" s="123">
        <f>IF(Basis!$E$1=1,ROUND(H140/((TaH-TrH)*1.163)/3600,3),ROUND(H140/(500*(TaH-TrH)),2))</f>
        <v>0.28000000000000003</v>
      </c>
      <c r="K140" s="84"/>
      <c r="L140" s="177">
        <f>CHOOSE(Basis!$E$1,((AJ140*(J140*3600/Basis!$E$5)^AK140*(((MID(C140,9,3)*10)-144)/1000)*AL140+AM140*(J140*3600/Basis!$E$5)^2)*0.0098)/Basis!$E$10,((AJ140*(J140/Basis!$E$5)^AK140*(((MID(C140,9,3)*10)-144)/1000)*AL140+AM140*(J140/Basis!$E$5)^2)*0.0098)/Basis!$E$10)</f>
        <v>0</v>
      </c>
      <c r="M140" s="85"/>
      <c r="N140" s="110">
        <v>1.248</v>
      </c>
      <c r="O140" s="74"/>
      <c r="P140" s="73">
        <v>1235</v>
      </c>
      <c r="Q140" s="74"/>
      <c r="R140" s="75"/>
      <c r="S140" s="75"/>
      <c r="T140" s="75"/>
      <c r="U140" s="75"/>
      <c r="V140" s="75"/>
      <c r="W140" s="74"/>
      <c r="X140" s="76"/>
      <c r="Y140" s="76"/>
      <c r="Z140" s="76"/>
      <c r="AA140" s="76"/>
      <c r="AB140" s="76"/>
      <c r="AC140" s="74"/>
      <c r="AD140" s="77"/>
      <c r="AE140" s="77"/>
      <c r="AF140" s="77"/>
      <c r="AG140" s="77"/>
      <c r="AH140" s="77"/>
      <c r="AI140" s="68"/>
      <c r="AJ140" s="213"/>
      <c r="AK140" s="213"/>
      <c r="AL140" s="213"/>
      <c r="AM140" s="213"/>
      <c r="AN140" s="74"/>
      <c r="AO140" s="73"/>
      <c r="AP140" s="73"/>
      <c r="AQ140" s="73"/>
      <c r="AR140" s="73"/>
      <c r="AS140" s="73"/>
      <c r="AT140" s="74"/>
      <c r="AU140" s="47"/>
      <c r="AV140" s="48"/>
    </row>
    <row r="141" spans="1:48" ht="12.75" customHeight="1" x14ac:dyDescent="0.25">
      <c r="A141" s="72" t="s">
        <v>883</v>
      </c>
      <c r="B141" s="43" t="s">
        <v>4040</v>
      </c>
      <c r="C141" s="44" t="s">
        <v>3469</v>
      </c>
      <c r="D141" s="45">
        <f>MROUND(MID($C141,6,3)/Basis!$E$3,0.5)</f>
        <v>9.5</v>
      </c>
      <c r="E141" s="45">
        <f>MROUND(MID($C141,9,3)/Basis!$E$3,0.5)</f>
        <v>102.5</v>
      </c>
      <c r="F141" s="229" t="str">
        <f t="shared" si="2"/>
        <v>22</v>
      </c>
      <c r="G141" s="45">
        <f>ROUND(9/Basis!$E$3,1)</f>
        <v>3.5</v>
      </c>
      <c r="H141" s="120">
        <f>ROUND($P141*Basis!$E$2*((TaH-TrH)/LN(1/µ)/Basis!$E$7)^$N141*Glycol,0)</f>
        <v>4514</v>
      </c>
      <c r="I141" s="83">
        <f>ROUND(H141/(MID($C141,9,3)/Basis!$E$3/Basis!$E$9)*Basis!$E$11,0)</f>
        <v>529</v>
      </c>
      <c r="J141" s="123">
        <f>IF(Basis!$E$1=1,ROUND(H141/((TaH-TrH)*1.163)/3600,3),ROUND(H141/(500*(TaH-TrH)),2))</f>
        <v>0.45</v>
      </c>
      <c r="K141" s="84"/>
      <c r="L141" s="177">
        <f>CHOOSE(Basis!$E$1,((AJ141*(J141*3600/Basis!$E$5)^AK141*(((MID(C141,9,3)*10)-144)/1000)*AL141+AM141*(J141*3600/Basis!$E$5)^2)*0.0098)/Basis!$E$10,((AJ141*(J141/Basis!$E$5)^AK141*(((MID(C141,9,3)*10)-144)/1000)*AL141+AM141*(J141/Basis!$E$5)^2)*0.0098)/Basis!$E$10)</f>
        <v>0</v>
      </c>
      <c r="M141" s="85"/>
      <c r="N141" s="109">
        <v>1.349</v>
      </c>
      <c r="O141" s="68"/>
      <c r="P141" s="67">
        <v>2065</v>
      </c>
      <c r="Q141" s="68"/>
      <c r="R141" s="69"/>
      <c r="S141" s="69"/>
      <c r="T141" s="69"/>
      <c r="U141" s="69"/>
      <c r="V141" s="69"/>
      <c r="W141" s="68"/>
      <c r="X141" s="70"/>
      <c r="Y141" s="70"/>
      <c r="Z141" s="70"/>
      <c r="AA141" s="70"/>
      <c r="AB141" s="70"/>
      <c r="AC141" s="68"/>
      <c r="AD141" s="71"/>
      <c r="AE141" s="71"/>
      <c r="AF141" s="71"/>
      <c r="AG141" s="71"/>
      <c r="AH141" s="71"/>
      <c r="AI141" s="68"/>
      <c r="AJ141" s="214"/>
      <c r="AK141" s="214"/>
      <c r="AL141" s="214"/>
      <c r="AM141" s="214"/>
      <c r="AN141" s="68"/>
      <c r="AO141" s="67"/>
      <c r="AP141" s="67"/>
      <c r="AQ141" s="67"/>
      <c r="AR141" s="67"/>
      <c r="AS141" s="67"/>
      <c r="AT141" s="68"/>
      <c r="AU141" s="49"/>
      <c r="AV141" s="50"/>
    </row>
    <row r="142" spans="1:48" ht="12.75" customHeight="1" x14ac:dyDescent="0.25">
      <c r="A142" s="72" t="s">
        <v>883</v>
      </c>
      <c r="B142" s="43" t="s">
        <v>4040</v>
      </c>
      <c r="C142" s="44" t="s">
        <v>3470</v>
      </c>
      <c r="D142" s="45">
        <f>MROUND(MID($C142,6,3)/Basis!$E$3,0.5)</f>
        <v>9.5</v>
      </c>
      <c r="E142" s="45">
        <f>MROUND(MID($C142,9,3)/Basis!$E$3,0.5)</f>
        <v>102.5</v>
      </c>
      <c r="F142" s="229" t="str">
        <f t="shared" si="2"/>
        <v>34</v>
      </c>
      <c r="G142" s="45">
        <f>ROUND(16.9/Basis!$E$3,1)</f>
        <v>6.7</v>
      </c>
      <c r="H142" s="120">
        <f>ROUND($P142*Basis!$E$2*((TaH-TrH)/LN(1/µ)/Basis!$E$7)^$N142*Glycol,0)</f>
        <v>8008</v>
      </c>
      <c r="I142" s="83">
        <f>ROUND(H142/(MID($C142,9,3)/Basis!$E$3/Basis!$E$9)*Basis!$E$11,0)</f>
        <v>939</v>
      </c>
      <c r="J142" s="123">
        <f>IF(Basis!$E$1=1,ROUND(H142/((TaH-TrH)*1.163)/3600,3),ROUND(H142/(500*(TaH-TrH)),2))</f>
        <v>0.8</v>
      </c>
      <c r="K142" s="84"/>
      <c r="L142" s="177">
        <f>CHOOSE(Basis!$E$1,((AJ142*(J142*3600/Basis!$E$5)^AK142*(((MID(C142,9,3)*10)-144)/1000)*AL142+AM142*(J142*3600/Basis!$E$5)^2)*0.0098)/Basis!$E$10,((AJ142*(J142/Basis!$E$5)^AK142*(((MID(C142,9,3)*10)-144)/1000)*AL142+AM142*(J142/Basis!$E$5)^2)*0.0098)/Basis!$E$10)</f>
        <v>0</v>
      </c>
      <c r="M142" s="85"/>
      <c r="N142" s="109">
        <v>1.452</v>
      </c>
      <c r="O142" s="68"/>
      <c r="P142" s="67">
        <v>3790</v>
      </c>
      <c r="Q142" s="68"/>
      <c r="R142" s="69"/>
      <c r="S142" s="69"/>
      <c r="T142" s="69"/>
      <c r="U142" s="69"/>
      <c r="V142" s="69"/>
      <c r="W142" s="68"/>
      <c r="X142" s="70"/>
      <c r="Y142" s="70"/>
      <c r="Z142" s="70"/>
      <c r="AA142" s="70"/>
      <c r="AB142" s="70"/>
      <c r="AC142" s="68"/>
      <c r="AD142" s="71"/>
      <c r="AE142" s="71"/>
      <c r="AF142" s="71"/>
      <c r="AG142" s="71"/>
      <c r="AH142" s="71"/>
      <c r="AI142" s="68"/>
      <c r="AJ142" s="214"/>
      <c r="AK142" s="214"/>
      <c r="AL142" s="214"/>
      <c r="AM142" s="214"/>
      <c r="AN142" s="68"/>
      <c r="AO142" s="67"/>
      <c r="AP142" s="67"/>
      <c r="AQ142" s="67"/>
      <c r="AR142" s="67"/>
      <c r="AS142" s="67"/>
      <c r="AT142" s="68"/>
      <c r="AU142" s="49"/>
      <c r="AV142" s="50"/>
    </row>
    <row r="143" spans="1:48" ht="12.75" customHeight="1" x14ac:dyDescent="0.25">
      <c r="A143" s="72" t="s">
        <v>883</v>
      </c>
      <c r="B143" s="43" t="s">
        <v>4040</v>
      </c>
      <c r="C143" s="44" t="s">
        <v>3471</v>
      </c>
      <c r="D143" s="45">
        <f>MROUND(MID($C143,6,3)/Basis!$E$3,0.5)</f>
        <v>9.5</v>
      </c>
      <c r="E143" s="45">
        <f>MROUND(MID($C143,9,3)/Basis!$E$3,0.5)</f>
        <v>110</v>
      </c>
      <c r="F143" s="229" t="str">
        <f t="shared" si="2"/>
        <v>11</v>
      </c>
      <c r="G143" s="45">
        <f>ROUND(5/Basis!$E$3,1)</f>
        <v>2</v>
      </c>
      <c r="H143" s="120">
        <f>ROUND($P143*Basis!$E$2*((TaH-TrH)/LN(1/µ)/Basis!$E$7)^$N143*Glycol,0)</f>
        <v>3006</v>
      </c>
      <c r="I143" s="83">
        <f>ROUND(H143/(MID($C143,9,3)/Basis!$E$3/Basis!$E$9)*Basis!$E$11,0)</f>
        <v>327</v>
      </c>
      <c r="J143" s="123">
        <f>IF(Basis!$E$1=1,ROUND(H143/((TaH-TrH)*1.163)/3600,3),ROUND(H143/(500*(TaH-TrH)),2))</f>
        <v>0.3</v>
      </c>
      <c r="K143" s="84"/>
      <c r="L143" s="177">
        <f>CHOOSE(Basis!$E$1,((AJ143*(J143*3600/Basis!$E$5)^AK143*(((MID(C143,9,3)*10)-144)/1000)*AL143+AM143*(J143*3600/Basis!$E$5)^2)*0.0098)/Basis!$E$10,((AJ143*(J143/Basis!$E$5)^AK143*(((MID(C143,9,3)*10)-144)/1000)*AL143+AM143*(J143/Basis!$E$5)^2)*0.0098)/Basis!$E$10)</f>
        <v>0</v>
      </c>
      <c r="M143" s="85"/>
      <c r="N143" s="110">
        <v>1.248</v>
      </c>
      <c r="O143" s="74"/>
      <c r="P143" s="73">
        <v>1330</v>
      </c>
      <c r="Q143" s="74"/>
      <c r="R143" s="75"/>
      <c r="S143" s="75"/>
      <c r="T143" s="75"/>
      <c r="U143" s="75"/>
      <c r="V143" s="75"/>
      <c r="W143" s="74"/>
      <c r="X143" s="76"/>
      <c r="Y143" s="76"/>
      <c r="Z143" s="76"/>
      <c r="AA143" s="76"/>
      <c r="AB143" s="76"/>
      <c r="AC143" s="74"/>
      <c r="AD143" s="77"/>
      <c r="AE143" s="77"/>
      <c r="AF143" s="77"/>
      <c r="AG143" s="77"/>
      <c r="AH143" s="77"/>
      <c r="AI143" s="68"/>
      <c r="AJ143" s="213"/>
      <c r="AK143" s="213"/>
      <c r="AL143" s="213"/>
      <c r="AM143" s="213"/>
      <c r="AN143" s="74"/>
      <c r="AO143" s="73"/>
      <c r="AP143" s="73"/>
      <c r="AQ143" s="73"/>
      <c r="AR143" s="73"/>
      <c r="AS143" s="73"/>
      <c r="AT143" s="74"/>
      <c r="AU143" s="47"/>
      <c r="AV143" s="48"/>
    </row>
    <row r="144" spans="1:48" ht="12.75" customHeight="1" x14ac:dyDescent="0.25">
      <c r="A144" s="72" t="s">
        <v>883</v>
      </c>
      <c r="B144" s="43" t="s">
        <v>4040</v>
      </c>
      <c r="C144" s="44" t="s">
        <v>3472</v>
      </c>
      <c r="D144" s="45">
        <f>MROUND(MID($C144,6,3)/Basis!$E$3,0.5)</f>
        <v>9.5</v>
      </c>
      <c r="E144" s="45">
        <f>MROUND(MID($C144,9,3)/Basis!$E$3,0.5)</f>
        <v>110</v>
      </c>
      <c r="F144" s="229" t="str">
        <f t="shared" si="2"/>
        <v>22</v>
      </c>
      <c r="G144" s="45">
        <f>ROUND(9/Basis!$E$3,1)</f>
        <v>3.5</v>
      </c>
      <c r="H144" s="120">
        <f>ROUND($P144*Basis!$E$2*((TaH-TrH)/LN(1/µ)/Basis!$E$7)^$N144*Glycol,0)</f>
        <v>4862</v>
      </c>
      <c r="I144" s="83">
        <f>ROUND(H144/(MID($C144,9,3)/Basis!$E$3/Basis!$E$9)*Basis!$E$11,0)</f>
        <v>529</v>
      </c>
      <c r="J144" s="123">
        <f>IF(Basis!$E$1=1,ROUND(H144/((TaH-TrH)*1.163)/3600,3),ROUND(H144/(500*(TaH-TrH)),2))</f>
        <v>0.49</v>
      </c>
      <c r="K144" s="84"/>
      <c r="L144" s="177">
        <f>CHOOSE(Basis!$E$1,((AJ144*(J144*3600/Basis!$E$5)^AK144*(((MID(C144,9,3)*10)-144)/1000)*AL144+AM144*(J144*3600/Basis!$E$5)^2)*0.0098)/Basis!$E$10,((AJ144*(J144/Basis!$E$5)^AK144*(((MID(C144,9,3)*10)-144)/1000)*AL144+AM144*(J144/Basis!$E$5)^2)*0.0098)/Basis!$E$10)</f>
        <v>0</v>
      </c>
      <c r="M144" s="85"/>
      <c r="N144" s="110">
        <v>1.349</v>
      </c>
      <c r="O144" s="74"/>
      <c r="P144" s="73">
        <v>2224</v>
      </c>
      <c r="Q144" s="74"/>
      <c r="R144" s="75"/>
      <c r="S144" s="75"/>
      <c r="T144" s="75"/>
      <c r="U144" s="75"/>
      <c r="V144" s="75"/>
      <c r="W144" s="74"/>
      <c r="X144" s="76"/>
      <c r="Y144" s="76"/>
      <c r="Z144" s="76"/>
      <c r="AA144" s="76"/>
      <c r="AB144" s="76"/>
      <c r="AC144" s="74"/>
      <c r="AD144" s="77"/>
      <c r="AE144" s="77"/>
      <c r="AF144" s="77"/>
      <c r="AG144" s="77"/>
      <c r="AH144" s="77"/>
      <c r="AI144" s="68"/>
      <c r="AJ144" s="213"/>
      <c r="AK144" s="213"/>
      <c r="AL144" s="213"/>
      <c r="AM144" s="213"/>
      <c r="AN144" s="74"/>
      <c r="AO144" s="73"/>
      <c r="AP144" s="73"/>
      <c r="AQ144" s="73"/>
      <c r="AR144" s="73"/>
      <c r="AS144" s="73"/>
      <c r="AT144" s="74"/>
      <c r="AU144" s="47"/>
      <c r="AV144" s="48"/>
    </row>
    <row r="145" spans="1:48" ht="12.75" customHeight="1" x14ac:dyDescent="0.25">
      <c r="A145" s="72" t="s">
        <v>883</v>
      </c>
      <c r="B145" s="43" t="s">
        <v>4040</v>
      </c>
      <c r="C145" s="44" t="s">
        <v>3473</v>
      </c>
      <c r="D145" s="45">
        <f>MROUND(MID($C145,6,3)/Basis!$E$3,0.5)</f>
        <v>9.5</v>
      </c>
      <c r="E145" s="45">
        <f>MROUND(MID($C145,9,3)/Basis!$E$3,0.5)</f>
        <v>110</v>
      </c>
      <c r="F145" s="229" t="str">
        <f t="shared" si="2"/>
        <v>34</v>
      </c>
      <c r="G145" s="45">
        <f>ROUND(16.9/Basis!$E$3,1)</f>
        <v>6.7</v>
      </c>
      <c r="H145" s="120">
        <f>ROUND($P145*Basis!$E$2*((TaH-TrH)/LN(1/µ)/Basis!$E$7)^$N145*Glycol,0)</f>
        <v>8623</v>
      </c>
      <c r="I145" s="83">
        <f>ROUND(H145/(MID($C145,9,3)/Basis!$E$3/Basis!$E$9)*Basis!$E$11,0)</f>
        <v>939</v>
      </c>
      <c r="J145" s="123">
        <f>IF(Basis!$E$1=1,ROUND(H145/((TaH-TrH)*1.163)/3600,3),ROUND(H145/(500*(TaH-TrH)),2))</f>
        <v>0.86</v>
      </c>
      <c r="K145" s="84"/>
      <c r="L145" s="177">
        <f>CHOOSE(Basis!$E$1,((AJ145*(J145*3600/Basis!$E$5)^AK145*(((MID(C145,9,3)*10)-144)/1000)*AL145+AM145*(J145*3600/Basis!$E$5)^2)*0.0098)/Basis!$E$10,((AJ145*(J145/Basis!$E$5)^AK145*(((MID(C145,9,3)*10)-144)/1000)*AL145+AM145*(J145/Basis!$E$5)^2)*0.0098)/Basis!$E$10)</f>
        <v>0</v>
      </c>
      <c r="M145" s="85"/>
      <c r="N145" s="109">
        <v>1.452</v>
      </c>
      <c r="O145" s="68"/>
      <c r="P145" s="67">
        <v>4081</v>
      </c>
      <c r="Q145" s="68"/>
      <c r="R145" s="69"/>
      <c r="S145" s="69"/>
      <c r="T145" s="69"/>
      <c r="U145" s="69"/>
      <c r="V145" s="69"/>
      <c r="W145" s="68"/>
      <c r="X145" s="70"/>
      <c r="Y145" s="70"/>
      <c r="Z145" s="70"/>
      <c r="AA145" s="70"/>
      <c r="AB145" s="70"/>
      <c r="AC145" s="68"/>
      <c r="AD145" s="71"/>
      <c r="AE145" s="71"/>
      <c r="AF145" s="71"/>
      <c r="AG145" s="71"/>
      <c r="AH145" s="71"/>
      <c r="AI145" s="68"/>
      <c r="AJ145" s="214"/>
      <c r="AK145" s="214"/>
      <c r="AL145" s="214"/>
      <c r="AM145" s="214"/>
      <c r="AN145" s="68"/>
      <c r="AO145" s="67"/>
      <c r="AP145" s="67"/>
      <c r="AQ145" s="67"/>
      <c r="AR145" s="67"/>
      <c r="AS145" s="67"/>
      <c r="AT145" s="68"/>
      <c r="AU145" s="49"/>
      <c r="AV145" s="50"/>
    </row>
    <row r="146" spans="1:48" ht="12.75" customHeight="1" x14ac:dyDescent="0.25">
      <c r="A146" s="72" t="s">
        <v>883</v>
      </c>
      <c r="B146" s="43" t="s">
        <v>4040</v>
      </c>
      <c r="C146" s="44" t="s">
        <v>3474</v>
      </c>
      <c r="D146" s="45">
        <f>MROUND(MID($C146,6,3)/Basis!$E$3,0.5)</f>
        <v>9.5</v>
      </c>
      <c r="E146" s="45">
        <f>MROUND(MID($C146,9,3)/Basis!$E$3,0.5)</f>
        <v>118</v>
      </c>
      <c r="F146" s="229" t="str">
        <f t="shared" si="2"/>
        <v>11</v>
      </c>
      <c r="G146" s="45">
        <f>ROUND(5/Basis!$E$3,1)</f>
        <v>2</v>
      </c>
      <c r="H146" s="120">
        <f>ROUND($P146*Basis!$E$2*((TaH-TrH)/LN(1/µ)/Basis!$E$7)^$N146*Glycol,0)</f>
        <v>3221</v>
      </c>
      <c r="I146" s="83">
        <f>ROUND(H146/(MID($C146,9,3)/Basis!$E$3/Basis!$E$9)*Basis!$E$11,0)</f>
        <v>327</v>
      </c>
      <c r="J146" s="123">
        <f>IF(Basis!$E$1=1,ROUND(H146/((TaH-TrH)*1.163)/3600,3),ROUND(H146/(500*(TaH-TrH)),2))</f>
        <v>0.32</v>
      </c>
      <c r="K146" s="84"/>
      <c r="L146" s="177">
        <f>CHOOSE(Basis!$E$1,((AJ146*(J146*3600/Basis!$E$5)^AK146*(((MID(C146,9,3)*10)-144)/1000)*AL146+AM146*(J146*3600/Basis!$E$5)^2)*0.0098)/Basis!$E$10,((AJ146*(J146/Basis!$E$5)^AK146*(((MID(C146,9,3)*10)-144)/1000)*AL146+AM146*(J146/Basis!$E$5)^2)*0.0098)/Basis!$E$10)</f>
        <v>0</v>
      </c>
      <c r="M146" s="85"/>
      <c r="N146" s="109">
        <v>1.248</v>
      </c>
      <c r="O146" s="68"/>
      <c r="P146" s="67">
        <v>1425</v>
      </c>
      <c r="Q146" s="68"/>
      <c r="R146" s="69"/>
      <c r="S146" s="69"/>
      <c r="T146" s="69"/>
      <c r="U146" s="69"/>
      <c r="V146" s="69"/>
      <c r="W146" s="68"/>
      <c r="X146" s="70"/>
      <c r="Y146" s="70"/>
      <c r="Z146" s="70"/>
      <c r="AA146" s="70"/>
      <c r="AB146" s="70"/>
      <c r="AC146" s="68"/>
      <c r="AD146" s="71"/>
      <c r="AE146" s="71"/>
      <c r="AF146" s="71"/>
      <c r="AG146" s="71"/>
      <c r="AH146" s="71"/>
      <c r="AI146" s="68"/>
      <c r="AJ146" s="214"/>
      <c r="AK146" s="214"/>
      <c r="AL146" s="214"/>
      <c r="AM146" s="214"/>
      <c r="AN146" s="68"/>
      <c r="AO146" s="67"/>
      <c r="AP146" s="67"/>
      <c r="AQ146" s="67"/>
      <c r="AR146" s="67"/>
      <c r="AS146" s="67"/>
      <c r="AT146" s="68"/>
      <c r="AU146" s="49"/>
      <c r="AV146" s="50"/>
    </row>
    <row r="147" spans="1:48" ht="12.75" customHeight="1" x14ac:dyDescent="0.25">
      <c r="A147" s="72" t="s">
        <v>883</v>
      </c>
      <c r="B147" s="43" t="s">
        <v>4040</v>
      </c>
      <c r="C147" s="44" t="s">
        <v>3475</v>
      </c>
      <c r="D147" s="45">
        <f>MROUND(MID($C147,6,3)/Basis!$E$3,0.5)</f>
        <v>9.5</v>
      </c>
      <c r="E147" s="45">
        <f>MROUND(MID($C147,9,3)/Basis!$E$3,0.5)</f>
        <v>118</v>
      </c>
      <c r="F147" s="229" t="str">
        <f t="shared" si="2"/>
        <v>22</v>
      </c>
      <c r="G147" s="45">
        <f>ROUND(9/Basis!$E$3,1)</f>
        <v>3.5</v>
      </c>
      <c r="H147" s="120">
        <f>ROUND($P147*Basis!$E$2*((TaH-TrH)/LN(1/µ)/Basis!$E$7)^$N147*Glycol,0)</f>
        <v>5209</v>
      </c>
      <c r="I147" s="83">
        <f>ROUND(H147/(MID($C147,9,3)/Basis!$E$3/Basis!$E$9)*Basis!$E$11,0)</f>
        <v>529</v>
      </c>
      <c r="J147" s="123">
        <f>IF(Basis!$E$1=1,ROUND(H147/((TaH-TrH)*1.163)/3600,3),ROUND(H147/(500*(TaH-TrH)),2))</f>
        <v>0.52</v>
      </c>
      <c r="K147" s="84"/>
      <c r="L147" s="177">
        <f>CHOOSE(Basis!$E$1,((AJ147*(J147*3600/Basis!$E$5)^AK147*(((MID(C147,9,3)*10)-144)/1000)*AL147+AM147*(J147*3600/Basis!$E$5)^2)*0.0098)/Basis!$E$10,((AJ147*(J147/Basis!$E$5)^AK147*(((MID(C147,9,3)*10)-144)/1000)*AL147+AM147*(J147/Basis!$E$5)^2)*0.0098)/Basis!$E$10)</f>
        <v>0</v>
      </c>
      <c r="M147" s="85"/>
      <c r="N147" s="110">
        <v>1.349</v>
      </c>
      <c r="O147" s="74"/>
      <c r="P147" s="73">
        <v>2383</v>
      </c>
      <c r="Q147" s="74"/>
      <c r="R147" s="75"/>
      <c r="S147" s="75"/>
      <c r="T147" s="75"/>
      <c r="U147" s="75"/>
      <c r="V147" s="75"/>
      <c r="W147" s="74"/>
      <c r="X147" s="76"/>
      <c r="Y147" s="76"/>
      <c r="Z147" s="76"/>
      <c r="AA147" s="76"/>
      <c r="AB147" s="76"/>
      <c r="AC147" s="74"/>
      <c r="AD147" s="77"/>
      <c r="AE147" s="77"/>
      <c r="AF147" s="77"/>
      <c r="AG147" s="77"/>
      <c r="AH147" s="77"/>
      <c r="AI147" s="68"/>
      <c r="AJ147" s="213"/>
      <c r="AK147" s="213"/>
      <c r="AL147" s="213"/>
      <c r="AM147" s="213"/>
      <c r="AN147" s="74"/>
      <c r="AO147" s="73"/>
      <c r="AP147" s="73"/>
      <c r="AQ147" s="73"/>
      <c r="AR147" s="73"/>
      <c r="AS147" s="73"/>
      <c r="AT147" s="74"/>
      <c r="AU147" s="47"/>
      <c r="AV147" s="48"/>
    </row>
    <row r="148" spans="1:48" ht="12.75" customHeight="1" x14ac:dyDescent="0.25">
      <c r="A148" s="72" t="s">
        <v>883</v>
      </c>
      <c r="B148" s="43" t="s">
        <v>4040</v>
      </c>
      <c r="C148" s="44" t="s">
        <v>3476</v>
      </c>
      <c r="D148" s="45">
        <f>MROUND(MID($C148,6,3)/Basis!$E$3,0.5)</f>
        <v>9.5</v>
      </c>
      <c r="E148" s="45">
        <f>MROUND(MID($C148,9,3)/Basis!$E$3,0.5)</f>
        <v>118</v>
      </c>
      <c r="F148" s="229" t="str">
        <f t="shared" si="2"/>
        <v>34</v>
      </c>
      <c r="G148" s="45">
        <f>ROUND(16.9/Basis!$E$3,1)</f>
        <v>6.7</v>
      </c>
      <c r="H148" s="120">
        <f>ROUND($P148*Basis!$E$2*((TaH-TrH)/LN(1/µ)/Basis!$E$7)^$N148*Glycol,0)</f>
        <v>9240</v>
      </c>
      <c r="I148" s="83">
        <f>ROUND(H148/(MID($C148,9,3)/Basis!$E$3/Basis!$E$9)*Basis!$E$11,0)</f>
        <v>939</v>
      </c>
      <c r="J148" s="123">
        <f>IF(Basis!$E$1=1,ROUND(H148/((TaH-TrH)*1.163)/3600,3),ROUND(H148/(500*(TaH-TrH)),2))</f>
        <v>0.92</v>
      </c>
      <c r="K148" s="84"/>
      <c r="L148" s="177">
        <f>CHOOSE(Basis!$E$1,((AJ148*(J148*3600/Basis!$E$5)^AK148*(((MID(C148,9,3)*10)-144)/1000)*AL148+AM148*(J148*3600/Basis!$E$5)^2)*0.0098)/Basis!$E$10,((AJ148*(J148/Basis!$E$5)^AK148*(((MID(C148,9,3)*10)-144)/1000)*AL148+AM148*(J148/Basis!$E$5)^2)*0.0098)/Basis!$E$10)</f>
        <v>0</v>
      </c>
      <c r="M148" s="85"/>
      <c r="N148" s="110">
        <v>1.452</v>
      </c>
      <c r="O148" s="74"/>
      <c r="P148" s="73">
        <v>4373</v>
      </c>
      <c r="Q148" s="74"/>
      <c r="R148" s="75"/>
      <c r="S148" s="75"/>
      <c r="T148" s="75"/>
      <c r="U148" s="75"/>
      <c r="V148" s="75"/>
      <c r="W148" s="74"/>
      <c r="X148" s="76"/>
      <c r="Y148" s="76"/>
      <c r="Z148" s="76"/>
      <c r="AA148" s="76"/>
      <c r="AB148" s="76"/>
      <c r="AC148" s="74"/>
      <c r="AD148" s="77"/>
      <c r="AE148" s="77"/>
      <c r="AF148" s="77"/>
      <c r="AG148" s="77"/>
      <c r="AH148" s="77"/>
      <c r="AI148" s="68"/>
      <c r="AJ148" s="213"/>
      <c r="AK148" s="213"/>
      <c r="AL148" s="213"/>
      <c r="AM148" s="213"/>
      <c r="AN148" s="74"/>
      <c r="AO148" s="73"/>
      <c r="AP148" s="73"/>
      <c r="AQ148" s="73"/>
      <c r="AR148" s="73"/>
      <c r="AS148" s="73"/>
      <c r="AT148" s="74"/>
      <c r="AU148" s="47"/>
      <c r="AV148" s="48"/>
    </row>
    <row r="149" spans="1:48" ht="12.75" customHeight="1" x14ac:dyDescent="0.25">
      <c r="A149" s="72" t="s">
        <v>883</v>
      </c>
      <c r="B149" s="43" t="s">
        <v>4040</v>
      </c>
      <c r="C149" s="44" t="s">
        <v>3477</v>
      </c>
      <c r="D149" s="45">
        <f>MROUND(MID($C149,6,3)/Basis!$E$3,0.5)</f>
        <v>12</v>
      </c>
      <c r="E149" s="45">
        <f>MROUND(MID($C149,9,3)/Basis!$E$3,0.5)</f>
        <v>23.5</v>
      </c>
      <c r="F149" s="229" t="str">
        <f t="shared" si="2"/>
        <v>11</v>
      </c>
      <c r="G149" s="45">
        <f>ROUND(5/Basis!$E$3,1)</f>
        <v>2</v>
      </c>
      <c r="H149" s="120">
        <f>ROUND($P149*Basis!$E$2*((TaH-TrH)/LN(1/µ)/Basis!$E$7)^$N149*Glycol,0)</f>
        <v>755</v>
      </c>
      <c r="I149" s="83">
        <f>ROUND(H149/(MID($C149,9,3)/Basis!$E$3/Basis!$E$9)*Basis!$E$11,0)</f>
        <v>384</v>
      </c>
      <c r="J149" s="123">
        <f>IF(Basis!$E$1=1,ROUND(H149/((TaH-TrH)*1.163)/3600,3),ROUND(H149/(500*(TaH-TrH)),2))</f>
        <v>0.08</v>
      </c>
      <c r="K149" s="84"/>
      <c r="L149" s="177">
        <f>CHOOSE(Basis!$E$1,((AJ149*(J149*3600/Basis!$E$5)^AK149*(((MID(C149,9,3)*10)-144)/1000)*AL149+AM149*(J149*3600/Basis!$E$5)^2)*0.0098)/Basis!$E$10,((AJ149*(J149/Basis!$E$5)^AK149*(((MID(C149,9,3)*10)-144)/1000)*AL149+AM149*(J149/Basis!$E$5)^2)*0.0098)/Basis!$E$10)</f>
        <v>0</v>
      </c>
      <c r="M149" s="85"/>
      <c r="N149" s="109">
        <v>1.248</v>
      </c>
      <c r="O149" s="68"/>
      <c r="P149" s="67">
        <v>334</v>
      </c>
      <c r="Q149" s="68"/>
      <c r="R149" s="69"/>
      <c r="S149" s="69"/>
      <c r="T149" s="69"/>
      <c r="U149" s="69"/>
      <c r="V149" s="69"/>
      <c r="W149" s="68"/>
      <c r="X149" s="70"/>
      <c r="Y149" s="70"/>
      <c r="Z149" s="70"/>
      <c r="AA149" s="70"/>
      <c r="AB149" s="70"/>
      <c r="AC149" s="68"/>
      <c r="AD149" s="71"/>
      <c r="AE149" s="71"/>
      <c r="AF149" s="71"/>
      <c r="AG149" s="71"/>
      <c r="AH149" s="71"/>
      <c r="AI149" s="68"/>
      <c r="AJ149" s="214"/>
      <c r="AK149" s="214"/>
      <c r="AL149" s="214"/>
      <c r="AM149" s="214"/>
      <c r="AN149" s="68"/>
      <c r="AO149" s="67"/>
      <c r="AP149" s="67"/>
      <c r="AQ149" s="67"/>
      <c r="AR149" s="67"/>
      <c r="AS149" s="67"/>
      <c r="AT149" s="68"/>
      <c r="AU149" s="49"/>
      <c r="AV149" s="50"/>
    </row>
    <row r="150" spans="1:48" ht="12.75" customHeight="1" x14ac:dyDescent="0.25">
      <c r="A150" s="72" t="s">
        <v>883</v>
      </c>
      <c r="B150" s="43" t="s">
        <v>4040</v>
      </c>
      <c r="C150" s="44" t="s">
        <v>3478</v>
      </c>
      <c r="D150" s="45">
        <f>MROUND(MID($C150,6,3)/Basis!$E$3,0.5)</f>
        <v>12</v>
      </c>
      <c r="E150" s="45">
        <f>MROUND(MID($C150,9,3)/Basis!$E$3,0.5)</f>
        <v>23.5</v>
      </c>
      <c r="F150" s="229" t="str">
        <f t="shared" si="2"/>
        <v>22</v>
      </c>
      <c r="G150" s="45">
        <f>ROUND(9/Basis!$E$3,1)</f>
        <v>3.5</v>
      </c>
      <c r="H150" s="120">
        <f>ROUND($P150*Basis!$E$2*((TaH-TrH)/LN(1/µ)/Basis!$E$7)^$N150*Glycol,0)</f>
        <v>1248</v>
      </c>
      <c r="I150" s="83">
        <f>ROUND(H150/(MID($C150,9,3)/Basis!$E$3/Basis!$E$9)*Basis!$E$11,0)</f>
        <v>634</v>
      </c>
      <c r="J150" s="123">
        <f>IF(Basis!$E$1=1,ROUND(H150/((TaH-TrH)*1.163)/3600,3),ROUND(H150/(500*(TaH-TrH)),2))</f>
        <v>0.12</v>
      </c>
      <c r="K150" s="84"/>
      <c r="L150" s="177">
        <f>CHOOSE(Basis!$E$1,((AJ150*(J150*3600/Basis!$E$5)^AK150*(((MID(C150,9,3)*10)-144)/1000)*AL150+AM150*(J150*3600/Basis!$E$5)^2)*0.0098)/Basis!$E$10,((AJ150*(J150/Basis!$E$5)^AK150*(((MID(C150,9,3)*10)-144)/1000)*AL150+AM150*(J150/Basis!$E$5)^2)*0.0098)/Basis!$E$10)</f>
        <v>0</v>
      </c>
      <c r="M150" s="85"/>
      <c r="N150" s="109">
        <v>1.349</v>
      </c>
      <c r="O150" s="68"/>
      <c r="P150" s="67">
        <v>571</v>
      </c>
      <c r="Q150" s="68"/>
      <c r="R150" s="69"/>
      <c r="S150" s="69"/>
      <c r="T150" s="69"/>
      <c r="U150" s="69"/>
      <c r="V150" s="69"/>
      <c r="W150" s="68"/>
      <c r="X150" s="70"/>
      <c r="Y150" s="70"/>
      <c r="Z150" s="70"/>
      <c r="AA150" s="70"/>
      <c r="AB150" s="70"/>
      <c r="AC150" s="68"/>
      <c r="AD150" s="71"/>
      <c r="AE150" s="71"/>
      <c r="AF150" s="71"/>
      <c r="AG150" s="71"/>
      <c r="AH150" s="71"/>
      <c r="AI150" s="68"/>
      <c r="AJ150" s="214"/>
      <c r="AK150" s="214"/>
      <c r="AL150" s="214"/>
      <c r="AM150" s="214"/>
      <c r="AN150" s="68"/>
      <c r="AO150" s="67"/>
      <c r="AP150" s="67"/>
      <c r="AQ150" s="67"/>
      <c r="AR150" s="67"/>
      <c r="AS150" s="67"/>
      <c r="AT150" s="68"/>
      <c r="AU150" s="49"/>
      <c r="AV150" s="50"/>
    </row>
    <row r="151" spans="1:48" ht="12.75" customHeight="1" x14ac:dyDescent="0.25">
      <c r="A151" s="72" t="s">
        <v>883</v>
      </c>
      <c r="B151" s="43" t="s">
        <v>4040</v>
      </c>
      <c r="C151" s="44" t="s">
        <v>3479</v>
      </c>
      <c r="D151" s="45">
        <f>MROUND(MID($C151,6,3)/Basis!$E$3,0.5)</f>
        <v>12</v>
      </c>
      <c r="E151" s="45">
        <f>MROUND(MID($C151,9,3)/Basis!$E$3,0.5)</f>
        <v>23.5</v>
      </c>
      <c r="F151" s="229" t="str">
        <f t="shared" si="2"/>
        <v>34</v>
      </c>
      <c r="G151" s="45">
        <f>ROUND(16.9/Basis!$E$3,1)</f>
        <v>6.7</v>
      </c>
      <c r="H151" s="120">
        <f>ROUND($P151*Basis!$E$2*((TaH-TrH)/LN(1/µ)/Basis!$E$7)^$N151*Glycol,0)</f>
        <v>2152</v>
      </c>
      <c r="I151" s="83">
        <f>ROUND(H151/(MID($C151,9,3)/Basis!$E$3/Basis!$E$9)*Basis!$E$11,0)</f>
        <v>1093</v>
      </c>
      <c r="J151" s="123">
        <f>IF(Basis!$E$1=1,ROUND(H151/((TaH-TrH)*1.163)/3600,3),ROUND(H151/(500*(TaH-TrH)),2))</f>
        <v>0.22</v>
      </c>
      <c r="K151" s="84"/>
      <c r="L151" s="177">
        <f>CHOOSE(Basis!$E$1,((AJ151*(J151*3600/Basis!$E$5)^AK151*(((MID(C151,9,3)*10)-144)/1000)*AL151+AM151*(J151*3600/Basis!$E$5)^2)*0.0098)/Basis!$E$10,((AJ151*(J151/Basis!$E$5)^AK151*(((MID(C151,9,3)*10)-144)/1000)*AL151+AM151*(J151/Basis!$E$5)^2)*0.0098)/Basis!$E$10)</f>
        <v>0</v>
      </c>
      <c r="M151" s="85"/>
      <c r="N151" s="110">
        <v>1.4510000000000001</v>
      </c>
      <c r="O151" s="74"/>
      <c r="P151" s="73">
        <v>1018</v>
      </c>
      <c r="Q151" s="74"/>
      <c r="R151" s="75"/>
      <c r="S151" s="75"/>
      <c r="T151" s="75"/>
      <c r="U151" s="75"/>
      <c r="V151" s="75"/>
      <c r="W151" s="74"/>
      <c r="X151" s="76"/>
      <c r="Y151" s="76"/>
      <c r="Z151" s="76"/>
      <c r="AA151" s="76"/>
      <c r="AB151" s="76"/>
      <c r="AC151" s="74"/>
      <c r="AD151" s="77"/>
      <c r="AE151" s="77"/>
      <c r="AF151" s="77"/>
      <c r="AG151" s="77"/>
      <c r="AH151" s="77"/>
      <c r="AI151" s="68"/>
      <c r="AJ151" s="213"/>
      <c r="AK151" s="213"/>
      <c r="AL151" s="213"/>
      <c r="AM151" s="213"/>
      <c r="AN151" s="74"/>
      <c r="AO151" s="73"/>
      <c r="AP151" s="73"/>
      <c r="AQ151" s="73"/>
      <c r="AR151" s="73"/>
      <c r="AS151" s="73"/>
      <c r="AT151" s="74"/>
      <c r="AU151" s="47"/>
      <c r="AV151" s="48"/>
    </row>
    <row r="152" spans="1:48" ht="12.75" customHeight="1" x14ac:dyDescent="0.25">
      <c r="A152" s="72" t="s">
        <v>883</v>
      </c>
      <c r="B152" s="43" t="s">
        <v>4040</v>
      </c>
      <c r="C152" s="44" t="s">
        <v>3480</v>
      </c>
      <c r="D152" s="45">
        <f>MROUND(MID($C152,6,3)/Basis!$E$3,0.5)</f>
        <v>12</v>
      </c>
      <c r="E152" s="45">
        <f>MROUND(MID($C152,9,3)/Basis!$E$3,0.5)</f>
        <v>31.5</v>
      </c>
      <c r="F152" s="229" t="str">
        <f t="shared" si="2"/>
        <v>11</v>
      </c>
      <c r="G152" s="45">
        <f>ROUND(5/Basis!$E$3,1)</f>
        <v>2</v>
      </c>
      <c r="H152" s="120">
        <f>ROUND($P152*Basis!$E$2*((TaH-TrH)/LN(1/µ)/Basis!$E$7)^$N152*Glycol,0)</f>
        <v>1006</v>
      </c>
      <c r="I152" s="83">
        <f>ROUND(H152/(MID($C152,9,3)/Basis!$E$3/Basis!$E$9)*Basis!$E$11,0)</f>
        <v>383</v>
      </c>
      <c r="J152" s="123">
        <f>IF(Basis!$E$1=1,ROUND(H152/((TaH-TrH)*1.163)/3600,3),ROUND(H152/(500*(TaH-TrH)),2))</f>
        <v>0.1</v>
      </c>
      <c r="K152" s="84"/>
      <c r="L152" s="177">
        <f>CHOOSE(Basis!$E$1,((AJ152*(J152*3600/Basis!$E$5)^AK152*(((MID(C152,9,3)*10)-144)/1000)*AL152+AM152*(J152*3600/Basis!$E$5)^2)*0.0098)/Basis!$E$10,((AJ152*(J152/Basis!$E$5)^AK152*(((MID(C152,9,3)*10)-144)/1000)*AL152+AM152*(J152/Basis!$E$5)^2)*0.0098)/Basis!$E$10)</f>
        <v>0</v>
      </c>
      <c r="M152" s="85"/>
      <c r="N152" s="110">
        <v>1.248</v>
      </c>
      <c r="O152" s="74"/>
      <c r="P152" s="73">
        <v>445</v>
      </c>
      <c r="Q152" s="74"/>
      <c r="R152" s="75"/>
      <c r="S152" s="75"/>
      <c r="T152" s="75"/>
      <c r="U152" s="75"/>
      <c r="V152" s="75"/>
      <c r="W152" s="74"/>
      <c r="X152" s="76"/>
      <c r="Y152" s="76"/>
      <c r="Z152" s="76"/>
      <c r="AA152" s="76"/>
      <c r="AB152" s="76"/>
      <c r="AC152" s="74"/>
      <c r="AD152" s="77"/>
      <c r="AE152" s="77"/>
      <c r="AF152" s="77"/>
      <c r="AG152" s="77"/>
      <c r="AH152" s="77"/>
      <c r="AI152" s="68"/>
      <c r="AJ152" s="213"/>
      <c r="AK152" s="213"/>
      <c r="AL152" s="213"/>
      <c r="AM152" s="213"/>
      <c r="AN152" s="74"/>
      <c r="AO152" s="73"/>
      <c r="AP152" s="73"/>
      <c r="AQ152" s="73"/>
      <c r="AR152" s="73"/>
      <c r="AS152" s="73"/>
      <c r="AT152" s="74"/>
      <c r="AU152" s="47"/>
      <c r="AV152" s="48"/>
    </row>
    <row r="153" spans="1:48" ht="12.75" customHeight="1" x14ac:dyDescent="0.25">
      <c r="A153" s="72" t="s">
        <v>883</v>
      </c>
      <c r="B153" s="43" t="s">
        <v>4040</v>
      </c>
      <c r="C153" s="44" t="s">
        <v>3481</v>
      </c>
      <c r="D153" s="45">
        <f>MROUND(MID($C153,6,3)/Basis!$E$3,0.5)</f>
        <v>12</v>
      </c>
      <c r="E153" s="45">
        <f>MROUND(MID($C153,9,3)/Basis!$E$3,0.5)</f>
        <v>31.5</v>
      </c>
      <c r="F153" s="229" t="str">
        <f t="shared" si="2"/>
        <v>22</v>
      </c>
      <c r="G153" s="45">
        <f>ROUND(9/Basis!$E$3,1)</f>
        <v>3.5</v>
      </c>
      <c r="H153" s="120">
        <f>ROUND($P153*Basis!$E$2*((TaH-TrH)/LN(1/µ)/Basis!$E$7)^$N153*Glycol,0)</f>
        <v>1664</v>
      </c>
      <c r="I153" s="83">
        <f>ROUND(H153/(MID($C153,9,3)/Basis!$E$3/Basis!$E$9)*Basis!$E$11,0)</f>
        <v>634</v>
      </c>
      <c r="J153" s="123">
        <f>IF(Basis!$E$1=1,ROUND(H153/((TaH-TrH)*1.163)/3600,3),ROUND(H153/(500*(TaH-TrH)),2))</f>
        <v>0.17</v>
      </c>
      <c r="K153" s="84"/>
      <c r="L153" s="177">
        <f>CHOOSE(Basis!$E$1,((AJ153*(J153*3600/Basis!$E$5)^AK153*(((MID(C153,9,3)*10)-144)/1000)*AL153+AM153*(J153*3600/Basis!$E$5)^2)*0.0098)/Basis!$E$10,((AJ153*(J153/Basis!$E$5)^AK153*(((MID(C153,9,3)*10)-144)/1000)*AL153+AM153*(J153/Basis!$E$5)^2)*0.0098)/Basis!$E$10)</f>
        <v>0</v>
      </c>
      <c r="M153" s="85"/>
      <c r="N153" s="109">
        <v>1.349</v>
      </c>
      <c r="O153" s="68"/>
      <c r="P153" s="67">
        <v>761</v>
      </c>
      <c r="Q153" s="68"/>
      <c r="R153" s="69"/>
      <c r="S153" s="69"/>
      <c r="T153" s="69"/>
      <c r="U153" s="69"/>
      <c r="V153" s="69"/>
      <c r="W153" s="68"/>
      <c r="X153" s="70"/>
      <c r="Y153" s="70"/>
      <c r="Z153" s="70"/>
      <c r="AA153" s="70"/>
      <c r="AB153" s="70"/>
      <c r="AC153" s="68"/>
      <c r="AD153" s="71"/>
      <c r="AE153" s="71"/>
      <c r="AF153" s="71"/>
      <c r="AG153" s="71"/>
      <c r="AH153" s="71"/>
      <c r="AI153" s="68"/>
      <c r="AJ153" s="214"/>
      <c r="AK153" s="214"/>
      <c r="AL153" s="214"/>
      <c r="AM153" s="214"/>
      <c r="AN153" s="68"/>
      <c r="AO153" s="67"/>
      <c r="AP153" s="67"/>
      <c r="AQ153" s="67"/>
      <c r="AR153" s="67"/>
      <c r="AS153" s="67"/>
      <c r="AT153" s="68"/>
      <c r="AU153" s="49"/>
      <c r="AV153" s="50"/>
    </row>
    <row r="154" spans="1:48" ht="12.75" customHeight="1" x14ac:dyDescent="0.25">
      <c r="A154" s="72" t="s">
        <v>883</v>
      </c>
      <c r="B154" s="43" t="s">
        <v>4040</v>
      </c>
      <c r="C154" s="44" t="s">
        <v>3482</v>
      </c>
      <c r="D154" s="45">
        <f>MROUND(MID($C154,6,3)/Basis!$E$3,0.5)</f>
        <v>12</v>
      </c>
      <c r="E154" s="45">
        <f>MROUND(MID($C154,9,3)/Basis!$E$3,0.5)</f>
        <v>31.5</v>
      </c>
      <c r="F154" s="229" t="str">
        <f t="shared" si="2"/>
        <v>34</v>
      </c>
      <c r="G154" s="45">
        <f>ROUND(16.9/Basis!$E$3,1)</f>
        <v>6.7</v>
      </c>
      <c r="H154" s="120">
        <f>ROUND($P154*Basis!$E$2*((TaH-TrH)/LN(1/µ)/Basis!$E$7)^$N154*Glycol,0)</f>
        <v>2868</v>
      </c>
      <c r="I154" s="83">
        <f>ROUND(H154/(MID($C154,9,3)/Basis!$E$3/Basis!$E$9)*Basis!$E$11,0)</f>
        <v>1093</v>
      </c>
      <c r="J154" s="123">
        <f>IF(Basis!$E$1=1,ROUND(H154/((TaH-TrH)*1.163)/3600,3),ROUND(H154/(500*(TaH-TrH)),2))</f>
        <v>0.28999999999999998</v>
      </c>
      <c r="K154" s="84"/>
      <c r="L154" s="177">
        <f>CHOOSE(Basis!$E$1,((AJ154*(J154*3600/Basis!$E$5)^AK154*(((MID(C154,9,3)*10)-144)/1000)*AL154+AM154*(J154*3600/Basis!$E$5)^2)*0.0098)/Basis!$E$10,((AJ154*(J154/Basis!$E$5)^AK154*(((MID(C154,9,3)*10)-144)/1000)*AL154+AM154*(J154/Basis!$E$5)^2)*0.0098)/Basis!$E$10)</f>
        <v>0</v>
      </c>
      <c r="M154" s="85"/>
      <c r="N154" s="109">
        <v>1.4510000000000001</v>
      </c>
      <c r="O154" s="68"/>
      <c r="P154" s="67">
        <v>1357</v>
      </c>
      <c r="Q154" s="68"/>
      <c r="R154" s="69"/>
      <c r="S154" s="69"/>
      <c r="T154" s="69"/>
      <c r="U154" s="69"/>
      <c r="V154" s="69"/>
      <c r="W154" s="68"/>
      <c r="X154" s="70"/>
      <c r="Y154" s="70"/>
      <c r="Z154" s="70"/>
      <c r="AA154" s="70"/>
      <c r="AB154" s="70"/>
      <c r="AC154" s="68"/>
      <c r="AD154" s="71"/>
      <c r="AE154" s="71"/>
      <c r="AF154" s="71"/>
      <c r="AG154" s="71"/>
      <c r="AH154" s="71"/>
      <c r="AI154" s="68"/>
      <c r="AJ154" s="214"/>
      <c r="AK154" s="214"/>
      <c r="AL154" s="214"/>
      <c r="AM154" s="214"/>
      <c r="AN154" s="68"/>
      <c r="AO154" s="67"/>
      <c r="AP154" s="67"/>
      <c r="AQ154" s="67"/>
      <c r="AR154" s="67"/>
      <c r="AS154" s="67"/>
      <c r="AT154" s="68"/>
      <c r="AU154" s="49"/>
      <c r="AV154" s="50"/>
    </row>
    <row r="155" spans="1:48" ht="12.75" customHeight="1" x14ac:dyDescent="0.25">
      <c r="A155" s="72" t="s">
        <v>883</v>
      </c>
      <c r="B155" s="43" t="s">
        <v>4040</v>
      </c>
      <c r="C155" s="44" t="s">
        <v>3483</v>
      </c>
      <c r="D155" s="45">
        <f>MROUND(MID($C155,6,3)/Basis!$E$3,0.5)</f>
        <v>12</v>
      </c>
      <c r="E155" s="45">
        <f>MROUND(MID($C155,9,3)/Basis!$E$3,0.5)</f>
        <v>39.5</v>
      </c>
      <c r="F155" s="229" t="str">
        <f t="shared" si="2"/>
        <v>11</v>
      </c>
      <c r="G155" s="45">
        <f>ROUND(5/Basis!$E$3,1)</f>
        <v>2</v>
      </c>
      <c r="H155" s="120">
        <f>ROUND($P155*Basis!$E$2*((TaH-TrH)/LN(1/µ)/Basis!$E$7)^$N155*Glycol,0)</f>
        <v>1257</v>
      </c>
      <c r="I155" s="83">
        <f>ROUND(H155/(MID($C155,9,3)/Basis!$E$3/Basis!$E$9)*Basis!$E$11,0)</f>
        <v>383</v>
      </c>
      <c r="J155" s="123">
        <f>IF(Basis!$E$1=1,ROUND(H155/((TaH-TrH)*1.163)/3600,3),ROUND(H155/(500*(TaH-TrH)),2))</f>
        <v>0.13</v>
      </c>
      <c r="K155" s="84"/>
      <c r="L155" s="177">
        <f>CHOOSE(Basis!$E$1,((AJ155*(J155*3600/Basis!$E$5)^AK155*(((MID(C155,9,3)*10)-144)/1000)*AL155+AM155*(J155*3600/Basis!$E$5)^2)*0.0098)/Basis!$E$10,((AJ155*(J155/Basis!$E$5)^AK155*(((MID(C155,9,3)*10)-144)/1000)*AL155+AM155*(J155/Basis!$E$5)^2)*0.0098)/Basis!$E$10)</f>
        <v>0</v>
      </c>
      <c r="M155" s="85"/>
      <c r="N155" s="110">
        <v>1.248</v>
      </c>
      <c r="O155" s="74"/>
      <c r="P155" s="73">
        <v>556</v>
      </c>
      <c r="Q155" s="74"/>
      <c r="R155" s="75"/>
      <c r="S155" s="75"/>
      <c r="T155" s="75"/>
      <c r="U155" s="75"/>
      <c r="V155" s="75"/>
      <c r="W155" s="74"/>
      <c r="X155" s="76"/>
      <c r="Y155" s="76"/>
      <c r="Z155" s="76"/>
      <c r="AA155" s="76"/>
      <c r="AB155" s="76"/>
      <c r="AC155" s="74"/>
      <c r="AD155" s="77"/>
      <c r="AE155" s="77"/>
      <c r="AF155" s="77"/>
      <c r="AG155" s="77"/>
      <c r="AH155" s="77"/>
      <c r="AI155" s="68"/>
      <c r="AJ155" s="213"/>
      <c r="AK155" s="213"/>
      <c r="AL155" s="213"/>
      <c r="AM155" s="213"/>
      <c r="AN155" s="74"/>
      <c r="AO155" s="73"/>
      <c r="AP155" s="73"/>
      <c r="AQ155" s="73"/>
      <c r="AR155" s="73"/>
      <c r="AS155" s="73"/>
      <c r="AT155" s="74"/>
      <c r="AU155" s="47"/>
      <c r="AV155" s="48"/>
    </row>
    <row r="156" spans="1:48" ht="12.75" customHeight="1" x14ac:dyDescent="0.25">
      <c r="A156" s="72" t="s">
        <v>883</v>
      </c>
      <c r="B156" s="43" t="s">
        <v>4040</v>
      </c>
      <c r="C156" s="44" t="s">
        <v>3484</v>
      </c>
      <c r="D156" s="45">
        <f>MROUND(MID($C156,6,3)/Basis!$E$3,0.5)</f>
        <v>12</v>
      </c>
      <c r="E156" s="45">
        <f>MROUND(MID($C156,9,3)/Basis!$E$3,0.5)</f>
        <v>39.5</v>
      </c>
      <c r="F156" s="229" t="str">
        <f t="shared" si="2"/>
        <v>22</v>
      </c>
      <c r="G156" s="45">
        <f>ROUND(9/Basis!$E$3,1)</f>
        <v>3.5</v>
      </c>
      <c r="H156" s="120">
        <f>ROUND($P156*Basis!$E$2*((TaH-TrH)/LN(1/µ)/Basis!$E$7)^$N156*Glycol,0)</f>
        <v>2079</v>
      </c>
      <c r="I156" s="83">
        <f>ROUND(H156/(MID($C156,9,3)/Basis!$E$3/Basis!$E$9)*Basis!$E$11,0)</f>
        <v>634</v>
      </c>
      <c r="J156" s="123">
        <f>IF(Basis!$E$1=1,ROUND(H156/((TaH-TrH)*1.163)/3600,3),ROUND(H156/(500*(TaH-TrH)),2))</f>
        <v>0.21</v>
      </c>
      <c r="K156" s="84"/>
      <c r="L156" s="177">
        <f>CHOOSE(Basis!$E$1,((AJ156*(J156*3600/Basis!$E$5)^AK156*(((MID(C156,9,3)*10)-144)/1000)*AL156+AM156*(J156*3600/Basis!$E$5)^2)*0.0098)/Basis!$E$10,((AJ156*(J156/Basis!$E$5)^AK156*(((MID(C156,9,3)*10)-144)/1000)*AL156+AM156*(J156/Basis!$E$5)^2)*0.0098)/Basis!$E$10)</f>
        <v>0</v>
      </c>
      <c r="M156" s="85"/>
      <c r="N156" s="110">
        <v>1.349</v>
      </c>
      <c r="O156" s="74"/>
      <c r="P156" s="73">
        <v>951</v>
      </c>
      <c r="Q156" s="74"/>
      <c r="R156" s="75"/>
      <c r="S156" s="75"/>
      <c r="T156" s="75"/>
      <c r="U156" s="75"/>
      <c r="V156" s="75"/>
      <c r="W156" s="74"/>
      <c r="X156" s="76"/>
      <c r="Y156" s="76"/>
      <c r="Z156" s="76"/>
      <c r="AA156" s="76"/>
      <c r="AB156" s="76"/>
      <c r="AC156" s="74"/>
      <c r="AD156" s="77"/>
      <c r="AE156" s="77"/>
      <c r="AF156" s="77"/>
      <c r="AG156" s="77"/>
      <c r="AH156" s="77"/>
      <c r="AI156" s="68"/>
      <c r="AJ156" s="213"/>
      <c r="AK156" s="213"/>
      <c r="AL156" s="213"/>
      <c r="AM156" s="213"/>
      <c r="AN156" s="74"/>
      <c r="AO156" s="73"/>
      <c r="AP156" s="73"/>
      <c r="AQ156" s="73"/>
      <c r="AR156" s="73"/>
      <c r="AS156" s="73"/>
      <c r="AT156" s="74"/>
      <c r="AU156" s="47"/>
      <c r="AV156" s="48"/>
    </row>
    <row r="157" spans="1:48" ht="12.75" customHeight="1" x14ac:dyDescent="0.25">
      <c r="A157" s="72" t="s">
        <v>883</v>
      </c>
      <c r="B157" s="43" t="s">
        <v>4040</v>
      </c>
      <c r="C157" s="44" t="s">
        <v>3485</v>
      </c>
      <c r="D157" s="45">
        <f>MROUND(MID($C157,6,3)/Basis!$E$3,0.5)</f>
        <v>12</v>
      </c>
      <c r="E157" s="45">
        <f>MROUND(MID($C157,9,3)/Basis!$E$3,0.5)</f>
        <v>39.5</v>
      </c>
      <c r="F157" s="229" t="str">
        <f t="shared" si="2"/>
        <v>34</v>
      </c>
      <c r="G157" s="45">
        <f>ROUND(16.9/Basis!$E$3,1)</f>
        <v>6.7</v>
      </c>
      <c r="H157" s="120">
        <f>ROUND($P157*Basis!$E$2*((TaH-TrH)/LN(1/µ)/Basis!$E$7)^$N157*Glycol,0)</f>
        <v>3587</v>
      </c>
      <c r="I157" s="83">
        <f>ROUND(H157/(MID($C157,9,3)/Basis!$E$3/Basis!$E$9)*Basis!$E$11,0)</f>
        <v>1093</v>
      </c>
      <c r="J157" s="123">
        <f>IF(Basis!$E$1=1,ROUND(H157/((TaH-TrH)*1.163)/3600,3),ROUND(H157/(500*(TaH-TrH)),2))</f>
        <v>0.36</v>
      </c>
      <c r="K157" s="84"/>
      <c r="L157" s="177">
        <f>CHOOSE(Basis!$E$1,((AJ157*(J157*3600/Basis!$E$5)^AK157*(((MID(C157,9,3)*10)-144)/1000)*AL157+AM157*(J157*3600/Basis!$E$5)^2)*0.0098)/Basis!$E$10,((AJ157*(J157/Basis!$E$5)^AK157*(((MID(C157,9,3)*10)-144)/1000)*AL157+AM157*(J157/Basis!$E$5)^2)*0.0098)/Basis!$E$10)</f>
        <v>0</v>
      </c>
      <c r="M157" s="85"/>
      <c r="N157" s="109">
        <v>1.4510000000000001</v>
      </c>
      <c r="O157" s="68"/>
      <c r="P157" s="67">
        <v>1697</v>
      </c>
      <c r="Q157" s="68"/>
      <c r="R157" s="69"/>
      <c r="S157" s="69"/>
      <c r="T157" s="69"/>
      <c r="U157" s="69"/>
      <c r="V157" s="69"/>
      <c r="W157" s="68"/>
      <c r="X157" s="70"/>
      <c r="Y157" s="70"/>
      <c r="Z157" s="70"/>
      <c r="AA157" s="70"/>
      <c r="AB157" s="70"/>
      <c r="AC157" s="68"/>
      <c r="AD157" s="71"/>
      <c r="AE157" s="71"/>
      <c r="AF157" s="71"/>
      <c r="AG157" s="71"/>
      <c r="AH157" s="71"/>
      <c r="AI157" s="68"/>
      <c r="AJ157" s="214"/>
      <c r="AK157" s="214"/>
      <c r="AL157" s="214"/>
      <c r="AM157" s="214"/>
      <c r="AN157" s="68"/>
      <c r="AO157" s="67"/>
      <c r="AP157" s="67"/>
      <c r="AQ157" s="67"/>
      <c r="AR157" s="67"/>
      <c r="AS157" s="67"/>
      <c r="AT157" s="68"/>
      <c r="AU157" s="49"/>
      <c r="AV157" s="50"/>
    </row>
    <row r="158" spans="1:48" ht="12.75" customHeight="1" x14ac:dyDescent="0.25">
      <c r="A158" s="72" t="s">
        <v>883</v>
      </c>
      <c r="B158" s="43" t="s">
        <v>4040</v>
      </c>
      <c r="C158" s="44" t="s">
        <v>3486</v>
      </c>
      <c r="D158" s="45">
        <f>MROUND(MID($C158,6,3)/Basis!$E$3,0.5)</f>
        <v>12</v>
      </c>
      <c r="E158" s="45">
        <f>MROUND(MID($C158,9,3)/Basis!$E$3,0.5)</f>
        <v>47</v>
      </c>
      <c r="F158" s="229" t="str">
        <f t="shared" si="2"/>
        <v>11</v>
      </c>
      <c r="G158" s="45">
        <f>ROUND(5/Basis!$E$3,1)</f>
        <v>2</v>
      </c>
      <c r="H158" s="120">
        <f>ROUND($P158*Basis!$E$2*((TaH-TrH)/LN(1/µ)/Basis!$E$7)^$N158*Glycol,0)</f>
        <v>1510</v>
      </c>
      <c r="I158" s="83">
        <f>ROUND(H158/(MID($C158,9,3)/Basis!$E$3/Basis!$E$9)*Basis!$E$11,0)</f>
        <v>384</v>
      </c>
      <c r="J158" s="123">
        <f>IF(Basis!$E$1=1,ROUND(H158/((TaH-TrH)*1.163)/3600,3),ROUND(H158/(500*(TaH-TrH)),2))</f>
        <v>0.15</v>
      </c>
      <c r="K158" s="84"/>
      <c r="L158" s="177">
        <f>CHOOSE(Basis!$E$1,((AJ158*(J158*3600/Basis!$E$5)^AK158*(((MID(C158,9,3)*10)-144)/1000)*AL158+AM158*(J158*3600/Basis!$E$5)^2)*0.0098)/Basis!$E$10,((AJ158*(J158/Basis!$E$5)^AK158*(((MID(C158,9,3)*10)-144)/1000)*AL158+AM158*(J158/Basis!$E$5)^2)*0.0098)/Basis!$E$10)</f>
        <v>0</v>
      </c>
      <c r="M158" s="85"/>
      <c r="N158" s="109">
        <v>1.248</v>
      </c>
      <c r="O158" s="68"/>
      <c r="P158" s="67">
        <v>668</v>
      </c>
      <c r="Q158" s="68"/>
      <c r="R158" s="69"/>
      <c r="S158" s="69"/>
      <c r="T158" s="69"/>
      <c r="U158" s="69"/>
      <c r="V158" s="69"/>
      <c r="W158" s="68"/>
      <c r="X158" s="70"/>
      <c r="Y158" s="70"/>
      <c r="Z158" s="70"/>
      <c r="AA158" s="70"/>
      <c r="AB158" s="70"/>
      <c r="AC158" s="68"/>
      <c r="AD158" s="71"/>
      <c r="AE158" s="71"/>
      <c r="AF158" s="71"/>
      <c r="AG158" s="71"/>
      <c r="AH158" s="71"/>
      <c r="AI158" s="68"/>
      <c r="AJ158" s="214"/>
      <c r="AK158" s="214"/>
      <c r="AL158" s="214"/>
      <c r="AM158" s="214"/>
      <c r="AN158" s="68"/>
      <c r="AO158" s="67"/>
      <c r="AP158" s="67"/>
      <c r="AQ158" s="67"/>
      <c r="AR158" s="67"/>
      <c r="AS158" s="67"/>
      <c r="AT158" s="68"/>
      <c r="AU158" s="49"/>
      <c r="AV158" s="50"/>
    </row>
    <row r="159" spans="1:48" ht="12.75" customHeight="1" x14ac:dyDescent="0.25">
      <c r="A159" s="72" t="s">
        <v>883</v>
      </c>
      <c r="B159" s="43" t="s">
        <v>4040</v>
      </c>
      <c r="C159" s="44" t="s">
        <v>3487</v>
      </c>
      <c r="D159" s="45">
        <f>MROUND(MID($C159,6,3)/Basis!$E$3,0.5)</f>
        <v>12</v>
      </c>
      <c r="E159" s="45">
        <f>MROUND(MID($C159,9,3)/Basis!$E$3,0.5)</f>
        <v>47</v>
      </c>
      <c r="F159" s="229" t="str">
        <f t="shared" si="2"/>
        <v>22</v>
      </c>
      <c r="G159" s="45">
        <f>ROUND(9/Basis!$E$3,1)</f>
        <v>3.5</v>
      </c>
      <c r="H159" s="120">
        <f>ROUND($P159*Basis!$E$2*((TaH-TrH)/LN(1/µ)/Basis!$E$7)^$N159*Glycol,0)</f>
        <v>2496</v>
      </c>
      <c r="I159" s="83">
        <f>ROUND(H159/(MID($C159,9,3)/Basis!$E$3/Basis!$E$9)*Basis!$E$11,0)</f>
        <v>634</v>
      </c>
      <c r="J159" s="123">
        <f>IF(Basis!$E$1=1,ROUND(H159/((TaH-TrH)*1.163)/3600,3),ROUND(H159/(500*(TaH-TrH)),2))</f>
        <v>0.25</v>
      </c>
      <c r="K159" s="84"/>
      <c r="L159" s="177">
        <f>CHOOSE(Basis!$E$1,((AJ159*(J159*3600/Basis!$E$5)^AK159*(((MID(C159,9,3)*10)-144)/1000)*AL159+AM159*(J159*3600/Basis!$E$5)^2)*0.0098)/Basis!$E$10,((AJ159*(J159/Basis!$E$5)^AK159*(((MID(C159,9,3)*10)-144)/1000)*AL159+AM159*(J159/Basis!$E$5)^2)*0.0098)/Basis!$E$10)</f>
        <v>0</v>
      </c>
      <c r="M159" s="85"/>
      <c r="N159" s="110">
        <v>1.349</v>
      </c>
      <c r="O159" s="74"/>
      <c r="P159" s="73">
        <v>1142</v>
      </c>
      <c r="Q159" s="74"/>
      <c r="R159" s="75"/>
      <c r="S159" s="75"/>
      <c r="T159" s="75"/>
      <c r="U159" s="75"/>
      <c r="V159" s="75"/>
      <c r="W159" s="74"/>
      <c r="X159" s="76"/>
      <c r="Y159" s="76"/>
      <c r="Z159" s="76"/>
      <c r="AA159" s="76"/>
      <c r="AB159" s="76"/>
      <c r="AC159" s="74"/>
      <c r="AD159" s="77"/>
      <c r="AE159" s="77"/>
      <c r="AF159" s="77"/>
      <c r="AG159" s="77"/>
      <c r="AH159" s="77"/>
      <c r="AI159" s="68"/>
      <c r="AJ159" s="213"/>
      <c r="AK159" s="213"/>
      <c r="AL159" s="213"/>
      <c r="AM159" s="213"/>
      <c r="AN159" s="74"/>
      <c r="AO159" s="73"/>
      <c r="AP159" s="73"/>
      <c r="AQ159" s="73"/>
      <c r="AR159" s="73"/>
      <c r="AS159" s="73"/>
      <c r="AT159" s="74"/>
      <c r="AU159" s="47"/>
      <c r="AV159" s="48"/>
    </row>
    <row r="160" spans="1:48" ht="12.75" customHeight="1" x14ac:dyDescent="0.25">
      <c r="A160" s="72" t="s">
        <v>883</v>
      </c>
      <c r="B160" s="43" t="s">
        <v>4040</v>
      </c>
      <c r="C160" s="44" t="s">
        <v>3488</v>
      </c>
      <c r="D160" s="45">
        <f>MROUND(MID($C160,6,3)/Basis!$E$3,0.5)</f>
        <v>12</v>
      </c>
      <c r="E160" s="45">
        <f>MROUND(MID($C160,9,3)/Basis!$E$3,0.5)</f>
        <v>47</v>
      </c>
      <c r="F160" s="229" t="str">
        <f t="shared" si="2"/>
        <v>34</v>
      </c>
      <c r="G160" s="45">
        <f>ROUND(16.9/Basis!$E$3,1)</f>
        <v>6.7</v>
      </c>
      <c r="H160" s="120">
        <f>ROUND($P160*Basis!$E$2*((TaH-TrH)/LN(1/µ)/Basis!$E$7)^$N160*Glycol,0)</f>
        <v>4304</v>
      </c>
      <c r="I160" s="83">
        <f>ROUND(H160/(MID($C160,9,3)/Basis!$E$3/Basis!$E$9)*Basis!$E$11,0)</f>
        <v>1093</v>
      </c>
      <c r="J160" s="123">
        <f>IF(Basis!$E$1=1,ROUND(H160/((TaH-TrH)*1.163)/3600,3),ROUND(H160/(500*(TaH-TrH)),2))</f>
        <v>0.43</v>
      </c>
      <c r="K160" s="84"/>
      <c r="L160" s="177">
        <f>CHOOSE(Basis!$E$1,((AJ160*(J160*3600/Basis!$E$5)^AK160*(((MID(C160,9,3)*10)-144)/1000)*AL160+AM160*(J160*3600/Basis!$E$5)^2)*0.0098)/Basis!$E$10,((AJ160*(J160/Basis!$E$5)^AK160*(((MID(C160,9,3)*10)-144)/1000)*AL160+AM160*(J160/Basis!$E$5)^2)*0.0098)/Basis!$E$10)</f>
        <v>0</v>
      </c>
      <c r="M160" s="85"/>
      <c r="N160" s="109">
        <v>1.4510000000000001</v>
      </c>
      <c r="O160" s="68"/>
      <c r="P160" s="67">
        <v>2036</v>
      </c>
      <c r="Q160" s="68"/>
      <c r="R160" s="69"/>
      <c r="S160" s="69"/>
      <c r="T160" s="69"/>
      <c r="U160" s="69"/>
      <c r="V160" s="69"/>
      <c r="W160" s="68"/>
      <c r="X160" s="70"/>
      <c r="Y160" s="70"/>
      <c r="Z160" s="70"/>
      <c r="AA160" s="70"/>
      <c r="AB160" s="70"/>
      <c r="AC160" s="68"/>
      <c r="AD160" s="71"/>
      <c r="AE160" s="71"/>
      <c r="AF160" s="71"/>
      <c r="AG160" s="71"/>
      <c r="AH160" s="71"/>
      <c r="AI160" s="68"/>
      <c r="AJ160" s="214"/>
      <c r="AK160" s="214"/>
      <c r="AL160" s="214"/>
      <c r="AM160" s="214"/>
      <c r="AN160" s="68"/>
      <c r="AO160" s="67"/>
      <c r="AP160" s="67"/>
      <c r="AQ160" s="67"/>
      <c r="AR160" s="67"/>
      <c r="AS160" s="67"/>
      <c r="AT160" s="68"/>
      <c r="AU160" s="49"/>
      <c r="AV160" s="50"/>
    </row>
    <row r="161" spans="1:48" ht="12.75" customHeight="1" x14ac:dyDescent="0.25">
      <c r="A161" s="72" t="s">
        <v>883</v>
      </c>
      <c r="B161" s="43" t="s">
        <v>4040</v>
      </c>
      <c r="C161" s="44" t="s">
        <v>3489</v>
      </c>
      <c r="D161" s="45">
        <f>MROUND(MID($C161,6,3)/Basis!$E$3,0.5)</f>
        <v>12</v>
      </c>
      <c r="E161" s="45">
        <f>MROUND(MID($C161,9,3)/Basis!$E$3,0.5)</f>
        <v>55</v>
      </c>
      <c r="F161" s="229" t="str">
        <f t="shared" si="2"/>
        <v>11</v>
      </c>
      <c r="G161" s="45">
        <f>ROUND(5/Basis!$E$3,1)</f>
        <v>2</v>
      </c>
      <c r="H161" s="120">
        <f>ROUND($P161*Basis!$E$2*((TaH-TrH)/LN(1/µ)/Basis!$E$7)^$N161*Glycol,0)</f>
        <v>1761</v>
      </c>
      <c r="I161" s="83">
        <f>ROUND(H161/(MID($C161,9,3)/Basis!$E$3/Basis!$E$9)*Basis!$E$11,0)</f>
        <v>383</v>
      </c>
      <c r="J161" s="123">
        <f>IF(Basis!$E$1=1,ROUND(H161/((TaH-TrH)*1.163)/3600,3),ROUND(H161/(500*(TaH-TrH)),2))</f>
        <v>0.18</v>
      </c>
      <c r="K161" s="84"/>
      <c r="L161" s="177">
        <f>CHOOSE(Basis!$E$1,((AJ161*(J161*3600/Basis!$E$5)^AK161*(((MID(C161,9,3)*10)-144)/1000)*AL161+AM161*(J161*3600/Basis!$E$5)^2)*0.0098)/Basis!$E$10,((AJ161*(J161/Basis!$E$5)^AK161*(((MID(C161,9,3)*10)-144)/1000)*AL161+AM161*(J161/Basis!$E$5)^2)*0.0098)/Basis!$E$10)</f>
        <v>0</v>
      </c>
      <c r="M161" s="85"/>
      <c r="N161" s="109">
        <v>1.248</v>
      </c>
      <c r="O161" s="68"/>
      <c r="P161" s="67">
        <v>779</v>
      </c>
      <c r="Q161" s="68"/>
      <c r="R161" s="69"/>
      <c r="S161" s="69"/>
      <c r="T161" s="69"/>
      <c r="U161" s="69"/>
      <c r="V161" s="69"/>
      <c r="W161" s="68"/>
      <c r="X161" s="70"/>
      <c r="Y161" s="70"/>
      <c r="Z161" s="70"/>
      <c r="AA161" s="70"/>
      <c r="AB161" s="70"/>
      <c r="AC161" s="68"/>
      <c r="AD161" s="71"/>
      <c r="AE161" s="71"/>
      <c r="AF161" s="71"/>
      <c r="AG161" s="71"/>
      <c r="AH161" s="71"/>
      <c r="AI161" s="68"/>
      <c r="AJ161" s="214"/>
      <c r="AK161" s="214"/>
      <c r="AL161" s="214"/>
      <c r="AM161" s="214"/>
      <c r="AN161" s="68"/>
      <c r="AO161" s="67"/>
      <c r="AP161" s="67"/>
      <c r="AQ161" s="67"/>
      <c r="AR161" s="67"/>
      <c r="AS161" s="67"/>
      <c r="AT161" s="68"/>
      <c r="AU161" s="49"/>
      <c r="AV161" s="50"/>
    </row>
    <row r="162" spans="1:48" ht="12.75" customHeight="1" x14ac:dyDescent="0.25">
      <c r="A162" s="72" t="s">
        <v>883</v>
      </c>
      <c r="B162" s="43" t="s">
        <v>4040</v>
      </c>
      <c r="C162" s="44" t="s">
        <v>3490</v>
      </c>
      <c r="D162" s="45">
        <f>MROUND(MID($C162,6,3)/Basis!$E$3,0.5)</f>
        <v>12</v>
      </c>
      <c r="E162" s="45">
        <f>MROUND(MID($C162,9,3)/Basis!$E$3,0.5)</f>
        <v>55</v>
      </c>
      <c r="F162" s="229" t="str">
        <f t="shared" si="2"/>
        <v>22</v>
      </c>
      <c r="G162" s="45">
        <f>ROUND(9/Basis!$E$3,1)</f>
        <v>3.5</v>
      </c>
      <c r="H162" s="120">
        <f>ROUND($P162*Basis!$E$2*((TaH-TrH)/LN(1/µ)/Basis!$E$7)^$N162*Glycol,0)</f>
        <v>2912</v>
      </c>
      <c r="I162" s="83">
        <f>ROUND(H162/(MID($C162,9,3)/Basis!$E$3/Basis!$E$9)*Basis!$E$11,0)</f>
        <v>634</v>
      </c>
      <c r="J162" s="123">
        <f>IF(Basis!$E$1=1,ROUND(H162/((TaH-TrH)*1.163)/3600,3),ROUND(H162/(500*(TaH-TrH)),2))</f>
        <v>0.28999999999999998</v>
      </c>
      <c r="K162" s="84"/>
      <c r="L162" s="177">
        <f>CHOOSE(Basis!$E$1,((AJ162*(J162*3600/Basis!$E$5)^AK162*(((MID(C162,9,3)*10)-144)/1000)*AL162+AM162*(J162*3600/Basis!$E$5)^2)*0.0098)/Basis!$E$10,((AJ162*(J162/Basis!$E$5)^AK162*(((MID(C162,9,3)*10)-144)/1000)*AL162+AM162*(J162/Basis!$E$5)^2)*0.0098)/Basis!$E$10)</f>
        <v>0</v>
      </c>
      <c r="M162" s="85"/>
      <c r="N162" s="110">
        <v>1.349</v>
      </c>
      <c r="O162" s="74"/>
      <c r="P162" s="73">
        <v>1332</v>
      </c>
      <c r="Q162" s="74"/>
      <c r="R162" s="75"/>
      <c r="S162" s="75"/>
      <c r="T162" s="75"/>
      <c r="U162" s="75"/>
      <c r="V162" s="75"/>
      <c r="W162" s="74"/>
      <c r="X162" s="76"/>
      <c r="Y162" s="76"/>
      <c r="Z162" s="76"/>
      <c r="AA162" s="76"/>
      <c r="AB162" s="76"/>
      <c r="AC162" s="74"/>
      <c r="AD162" s="77"/>
      <c r="AE162" s="77"/>
      <c r="AF162" s="77"/>
      <c r="AG162" s="77"/>
      <c r="AH162" s="77"/>
      <c r="AI162" s="68"/>
      <c r="AJ162" s="213"/>
      <c r="AK162" s="213"/>
      <c r="AL162" s="213"/>
      <c r="AM162" s="213"/>
      <c r="AN162" s="74"/>
      <c r="AO162" s="73"/>
      <c r="AP162" s="73"/>
      <c r="AQ162" s="73"/>
      <c r="AR162" s="73"/>
      <c r="AS162" s="73"/>
      <c r="AT162" s="74"/>
      <c r="AU162" s="47"/>
      <c r="AV162" s="48"/>
    </row>
    <row r="163" spans="1:48" ht="12.75" customHeight="1" x14ac:dyDescent="0.25">
      <c r="A163" s="72" t="s">
        <v>883</v>
      </c>
      <c r="B163" s="43" t="s">
        <v>4040</v>
      </c>
      <c r="C163" s="44" t="s">
        <v>3491</v>
      </c>
      <c r="D163" s="45">
        <f>MROUND(MID($C163,6,3)/Basis!$E$3,0.5)</f>
        <v>12</v>
      </c>
      <c r="E163" s="45">
        <f>MROUND(MID($C163,9,3)/Basis!$E$3,0.5)</f>
        <v>55</v>
      </c>
      <c r="F163" s="229" t="str">
        <f t="shared" si="2"/>
        <v>34</v>
      </c>
      <c r="G163" s="45">
        <f>ROUND(16.9/Basis!$E$3,1)</f>
        <v>6.7</v>
      </c>
      <c r="H163" s="120">
        <f>ROUND($P163*Basis!$E$2*((TaH-TrH)/LN(1/µ)/Basis!$E$7)^$N163*Glycol,0)</f>
        <v>5020</v>
      </c>
      <c r="I163" s="83">
        <f>ROUND(H163/(MID($C163,9,3)/Basis!$E$3/Basis!$E$9)*Basis!$E$11,0)</f>
        <v>1093</v>
      </c>
      <c r="J163" s="123">
        <f>IF(Basis!$E$1=1,ROUND(H163/((TaH-TrH)*1.163)/3600,3),ROUND(H163/(500*(TaH-TrH)),2))</f>
        <v>0.5</v>
      </c>
      <c r="K163" s="84"/>
      <c r="L163" s="177">
        <f>CHOOSE(Basis!$E$1,((AJ163*(J163*3600/Basis!$E$5)^AK163*(((MID(C163,9,3)*10)-144)/1000)*AL163+AM163*(J163*3600/Basis!$E$5)^2)*0.0098)/Basis!$E$10,((AJ163*(J163/Basis!$E$5)^AK163*(((MID(C163,9,3)*10)-144)/1000)*AL163+AM163*(J163/Basis!$E$5)^2)*0.0098)/Basis!$E$10)</f>
        <v>0</v>
      </c>
      <c r="M163" s="85"/>
      <c r="N163" s="110">
        <v>1.4510000000000001</v>
      </c>
      <c r="O163" s="74"/>
      <c r="P163" s="73">
        <v>2375</v>
      </c>
      <c r="Q163" s="74"/>
      <c r="R163" s="75"/>
      <c r="S163" s="75"/>
      <c r="T163" s="75"/>
      <c r="U163" s="75"/>
      <c r="V163" s="75"/>
      <c r="W163" s="74"/>
      <c r="X163" s="76"/>
      <c r="Y163" s="76"/>
      <c r="Z163" s="76"/>
      <c r="AA163" s="76"/>
      <c r="AB163" s="76"/>
      <c r="AC163" s="74"/>
      <c r="AD163" s="77"/>
      <c r="AE163" s="77"/>
      <c r="AF163" s="77"/>
      <c r="AG163" s="77"/>
      <c r="AH163" s="77"/>
      <c r="AI163" s="68"/>
      <c r="AJ163" s="213"/>
      <c r="AK163" s="213"/>
      <c r="AL163" s="213"/>
      <c r="AM163" s="213"/>
      <c r="AN163" s="74"/>
      <c r="AO163" s="73"/>
      <c r="AP163" s="73"/>
      <c r="AQ163" s="73"/>
      <c r="AR163" s="73"/>
      <c r="AS163" s="73"/>
      <c r="AT163" s="74"/>
      <c r="AU163" s="47"/>
      <c r="AV163" s="48"/>
    </row>
    <row r="164" spans="1:48" ht="12.75" customHeight="1" x14ac:dyDescent="0.25">
      <c r="A164" s="72" t="s">
        <v>883</v>
      </c>
      <c r="B164" s="43" t="s">
        <v>4040</v>
      </c>
      <c r="C164" s="44" t="s">
        <v>3492</v>
      </c>
      <c r="D164" s="45">
        <f>MROUND(MID($C164,6,3)/Basis!$E$3,0.5)</f>
        <v>12</v>
      </c>
      <c r="E164" s="45">
        <f>MROUND(MID($C164,9,3)/Basis!$E$3,0.5)</f>
        <v>63</v>
      </c>
      <c r="F164" s="229" t="str">
        <f t="shared" si="2"/>
        <v>11</v>
      </c>
      <c r="G164" s="45">
        <f>ROUND(5/Basis!$E$3,1)</f>
        <v>2</v>
      </c>
      <c r="H164" s="120">
        <f>ROUND($P164*Basis!$E$2*((TaH-TrH)/LN(1/µ)/Basis!$E$7)^$N164*Glycol,0)</f>
        <v>2012</v>
      </c>
      <c r="I164" s="83">
        <f>ROUND(H164/(MID($C164,9,3)/Basis!$E$3/Basis!$E$9)*Basis!$E$11,0)</f>
        <v>383</v>
      </c>
      <c r="J164" s="123">
        <f>IF(Basis!$E$1=1,ROUND(H164/((TaH-TrH)*1.163)/3600,3),ROUND(H164/(500*(TaH-TrH)),2))</f>
        <v>0.2</v>
      </c>
      <c r="K164" s="84"/>
      <c r="L164" s="177">
        <f>CHOOSE(Basis!$E$1,((AJ164*(J164*3600/Basis!$E$5)^AK164*(((MID(C164,9,3)*10)-144)/1000)*AL164+AM164*(J164*3600/Basis!$E$5)^2)*0.0098)/Basis!$E$10,((AJ164*(J164/Basis!$E$5)^AK164*(((MID(C164,9,3)*10)-144)/1000)*AL164+AM164*(J164/Basis!$E$5)^2)*0.0098)/Basis!$E$10)</f>
        <v>0</v>
      </c>
      <c r="M164" s="85"/>
      <c r="N164" s="109">
        <v>1.248</v>
      </c>
      <c r="O164" s="68"/>
      <c r="P164" s="67">
        <v>890</v>
      </c>
      <c r="Q164" s="68"/>
      <c r="R164" s="69"/>
      <c r="S164" s="69"/>
      <c r="T164" s="69"/>
      <c r="U164" s="69"/>
      <c r="V164" s="69"/>
      <c r="W164" s="68"/>
      <c r="X164" s="70"/>
      <c r="Y164" s="70"/>
      <c r="Z164" s="70"/>
      <c r="AA164" s="70"/>
      <c r="AB164" s="70"/>
      <c r="AC164" s="68"/>
      <c r="AD164" s="71"/>
      <c r="AE164" s="71"/>
      <c r="AF164" s="71"/>
      <c r="AG164" s="71"/>
      <c r="AH164" s="71"/>
      <c r="AI164" s="68"/>
      <c r="AJ164" s="214"/>
      <c r="AK164" s="214"/>
      <c r="AL164" s="214"/>
      <c r="AM164" s="214"/>
      <c r="AN164" s="68"/>
      <c r="AO164" s="67"/>
      <c r="AP164" s="67"/>
      <c r="AQ164" s="67"/>
      <c r="AR164" s="67"/>
      <c r="AS164" s="67"/>
      <c r="AT164" s="68"/>
      <c r="AU164" s="49"/>
      <c r="AV164" s="50"/>
    </row>
    <row r="165" spans="1:48" ht="12.75" customHeight="1" x14ac:dyDescent="0.25">
      <c r="A165" s="72" t="s">
        <v>883</v>
      </c>
      <c r="B165" s="43" t="s">
        <v>4040</v>
      </c>
      <c r="C165" s="44" t="s">
        <v>3493</v>
      </c>
      <c r="D165" s="45">
        <f>MROUND(MID($C165,6,3)/Basis!$E$3,0.5)</f>
        <v>12</v>
      </c>
      <c r="E165" s="45">
        <f>MROUND(MID($C165,9,3)/Basis!$E$3,0.5)</f>
        <v>63</v>
      </c>
      <c r="F165" s="229" t="str">
        <f t="shared" si="2"/>
        <v>22</v>
      </c>
      <c r="G165" s="45">
        <f>ROUND(9/Basis!$E$3,1)</f>
        <v>3.5</v>
      </c>
      <c r="H165" s="120">
        <f>ROUND($P165*Basis!$E$2*((TaH-TrH)/LN(1/µ)/Basis!$E$7)^$N165*Glycol,0)</f>
        <v>3327</v>
      </c>
      <c r="I165" s="83">
        <f>ROUND(H165/(MID($C165,9,3)/Basis!$E$3/Basis!$E$9)*Basis!$E$11,0)</f>
        <v>634</v>
      </c>
      <c r="J165" s="123">
        <f>IF(Basis!$E$1=1,ROUND(H165/((TaH-TrH)*1.163)/3600,3),ROUND(H165/(500*(TaH-TrH)),2))</f>
        <v>0.33</v>
      </c>
      <c r="K165" s="84"/>
      <c r="L165" s="177">
        <f>CHOOSE(Basis!$E$1,((AJ165*(J165*3600/Basis!$E$5)^AK165*(((MID(C165,9,3)*10)-144)/1000)*AL165+AM165*(J165*3600/Basis!$E$5)^2)*0.0098)/Basis!$E$10,((AJ165*(J165/Basis!$E$5)^AK165*(((MID(C165,9,3)*10)-144)/1000)*AL165+AM165*(J165/Basis!$E$5)^2)*0.0098)/Basis!$E$10)</f>
        <v>0</v>
      </c>
      <c r="M165" s="85"/>
      <c r="N165" s="109">
        <v>1.349</v>
      </c>
      <c r="O165" s="68"/>
      <c r="P165" s="67">
        <v>1522</v>
      </c>
      <c r="Q165" s="68"/>
      <c r="R165" s="69"/>
      <c r="S165" s="69"/>
      <c r="T165" s="69"/>
      <c r="U165" s="69"/>
      <c r="V165" s="69"/>
      <c r="W165" s="68"/>
      <c r="X165" s="70"/>
      <c r="Y165" s="70"/>
      <c r="Z165" s="70"/>
      <c r="AA165" s="70"/>
      <c r="AB165" s="70"/>
      <c r="AC165" s="68"/>
      <c r="AD165" s="71"/>
      <c r="AE165" s="71"/>
      <c r="AF165" s="71"/>
      <c r="AG165" s="71"/>
      <c r="AH165" s="71"/>
      <c r="AI165" s="68"/>
      <c r="AJ165" s="214"/>
      <c r="AK165" s="214"/>
      <c r="AL165" s="214"/>
      <c r="AM165" s="214"/>
      <c r="AN165" s="68"/>
      <c r="AO165" s="67"/>
      <c r="AP165" s="67"/>
      <c r="AQ165" s="67"/>
      <c r="AR165" s="67"/>
      <c r="AS165" s="67"/>
      <c r="AT165" s="68"/>
      <c r="AU165" s="49"/>
      <c r="AV165" s="50"/>
    </row>
    <row r="166" spans="1:48" ht="12.75" customHeight="1" x14ac:dyDescent="0.25">
      <c r="A166" s="72" t="s">
        <v>883</v>
      </c>
      <c r="B166" s="43" t="s">
        <v>4040</v>
      </c>
      <c r="C166" s="44" t="s">
        <v>3494</v>
      </c>
      <c r="D166" s="45">
        <f>MROUND(MID($C166,6,3)/Basis!$E$3,0.5)</f>
        <v>12</v>
      </c>
      <c r="E166" s="45">
        <f>MROUND(MID($C166,9,3)/Basis!$E$3,0.5)</f>
        <v>63</v>
      </c>
      <c r="F166" s="229" t="str">
        <f t="shared" si="2"/>
        <v>34</v>
      </c>
      <c r="G166" s="45">
        <f>ROUND(16.9/Basis!$E$3,1)</f>
        <v>6.7</v>
      </c>
      <c r="H166" s="120">
        <f>ROUND($P166*Basis!$E$2*((TaH-TrH)/LN(1/µ)/Basis!$E$7)^$N166*Glycol,0)</f>
        <v>5739</v>
      </c>
      <c r="I166" s="83">
        <f>ROUND(H166/(MID($C166,9,3)/Basis!$E$3/Basis!$E$9)*Basis!$E$11,0)</f>
        <v>1093</v>
      </c>
      <c r="J166" s="123">
        <f>IF(Basis!$E$1=1,ROUND(H166/((TaH-TrH)*1.163)/3600,3),ROUND(H166/(500*(TaH-TrH)),2))</f>
        <v>0.56999999999999995</v>
      </c>
      <c r="K166" s="84"/>
      <c r="L166" s="177">
        <f>CHOOSE(Basis!$E$1,((AJ166*(J166*3600/Basis!$E$5)^AK166*(((MID(C166,9,3)*10)-144)/1000)*AL166+AM166*(J166*3600/Basis!$E$5)^2)*0.0098)/Basis!$E$10,((AJ166*(J166/Basis!$E$5)^AK166*(((MID(C166,9,3)*10)-144)/1000)*AL166+AM166*(J166/Basis!$E$5)^2)*0.0098)/Basis!$E$10)</f>
        <v>0</v>
      </c>
      <c r="M166" s="85"/>
      <c r="N166" s="110">
        <v>1.4510000000000001</v>
      </c>
      <c r="O166" s="74"/>
      <c r="P166" s="73">
        <v>2715</v>
      </c>
      <c r="Q166" s="74"/>
      <c r="R166" s="75"/>
      <c r="S166" s="75"/>
      <c r="T166" s="75"/>
      <c r="U166" s="75"/>
      <c r="V166" s="75"/>
      <c r="W166" s="74"/>
      <c r="X166" s="76"/>
      <c r="Y166" s="76"/>
      <c r="Z166" s="76"/>
      <c r="AA166" s="76"/>
      <c r="AB166" s="76"/>
      <c r="AC166" s="74"/>
      <c r="AD166" s="77"/>
      <c r="AE166" s="77"/>
      <c r="AF166" s="77"/>
      <c r="AG166" s="77"/>
      <c r="AH166" s="77"/>
      <c r="AI166" s="68"/>
      <c r="AJ166" s="213"/>
      <c r="AK166" s="213"/>
      <c r="AL166" s="213"/>
      <c r="AM166" s="213"/>
      <c r="AN166" s="74"/>
      <c r="AO166" s="73"/>
      <c r="AP166" s="73"/>
      <c r="AQ166" s="73"/>
      <c r="AR166" s="73"/>
      <c r="AS166" s="73"/>
      <c r="AT166" s="74"/>
      <c r="AU166" s="47"/>
      <c r="AV166" s="48"/>
    </row>
    <row r="167" spans="1:48" ht="12.75" customHeight="1" x14ac:dyDescent="0.25">
      <c r="A167" s="72" t="s">
        <v>883</v>
      </c>
      <c r="B167" s="43" t="s">
        <v>4040</v>
      </c>
      <c r="C167" s="44" t="s">
        <v>3495</v>
      </c>
      <c r="D167" s="45">
        <f>MROUND(MID($C167,6,3)/Basis!$E$3,0.5)</f>
        <v>12</v>
      </c>
      <c r="E167" s="45">
        <f>MROUND(MID($C167,9,3)/Basis!$E$3,0.5)</f>
        <v>71</v>
      </c>
      <c r="F167" s="229" t="str">
        <f t="shared" si="2"/>
        <v>11</v>
      </c>
      <c r="G167" s="45">
        <f>ROUND(5/Basis!$E$3,1)</f>
        <v>2</v>
      </c>
      <c r="H167" s="120">
        <f>ROUND($P167*Basis!$E$2*((TaH-TrH)/LN(1/µ)/Basis!$E$7)^$N167*Glycol,0)</f>
        <v>2262</v>
      </c>
      <c r="I167" s="83">
        <f>ROUND(H167/(MID($C167,9,3)/Basis!$E$3/Basis!$E$9)*Basis!$E$11,0)</f>
        <v>383</v>
      </c>
      <c r="J167" s="123">
        <f>IF(Basis!$E$1=1,ROUND(H167/((TaH-TrH)*1.163)/3600,3),ROUND(H167/(500*(TaH-TrH)),2))</f>
        <v>0.23</v>
      </c>
      <c r="K167" s="84"/>
      <c r="L167" s="177">
        <f>CHOOSE(Basis!$E$1,((AJ167*(J167*3600/Basis!$E$5)^AK167*(((MID(C167,9,3)*10)-144)/1000)*AL167+AM167*(J167*3600/Basis!$E$5)^2)*0.0098)/Basis!$E$10,((AJ167*(J167/Basis!$E$5)^AK167*(((MID(C167,9,3)*10)-144)/1000)*AL167+AM167*(J167/Basis!$E$5)^2)*0.0098)/Basis!$E$10)</f>
        <v>0</v>
      </c>
      <c r="M167" s="85"/>
      <c r="N167" s="109">
        <v>1.248</v>
      </c>
      <c r="O167" s="68"/>
      <c r="P167" s="67">
        <v>1001</v>
      </c>
      <c r="Q167" s="68"/>
      <c r="R167" s="69"/>
      <c r="S167" s="69"/>
      <c r="T167" s="69"/>
      <c r="U167" s="69"/>
      <c r="V167" s="69"/>
      <c r="W167" s="68"/>
      <c r="X167" s="70"/>
      <c r="Y167" s="70"/>
      <c r="Z167" s="70"/>
      <c r="AA167" s="70"/>
      <c r="AB167" s="70"/>
      <c r="AC167" s="68"/>
      <c r="AD167" s="71"/>
      <c r="AE167" s="71"/>
      <c r="AF167" s="71"/>
      <c r="AG167" s="71"/>
      <c r="AH167" s="71"/>
      <c r="AI167" s="68"/>
      <c r="AJ167" s="214"/>
      <c r="AK167" s="214"/>
      <c r="AL167" s="214"/>
      <c r="AM167" s="214"/>
      <c r="AN167" s="68"/>
      <c r="AO167" s="67"/>
      <c r="AP167" s="67"/>
      <c r="AQ167" s="67"/>
      <c r="AR167" s="67"/>
      <c r="AS167" s="67"/>
      <c r="AT167" s="68"/>
      <c r="AU167" s="49"/>
      <c r="AV167" s="50"/>
    </row>
    <row r="168" spans="1:48" ht="12.75" customHeight="1" x14ac:dyDescent="0.25">
      <c r="A168" s="72" t="s">
        <v>883</v>
      </c>
      <c r="B168" s="43" t="s">
        <v>4040</v>
      </c>
      <c r="C168" s="44" t="s">
        <v>3496</v>
      </c>
      <c r="D168" s="45">
        <f>MROUND(MID($C168,6,3)/Basis!$E$3,0.5)</f>
        <v>12</v>
      </c>
      <c r="E168" s="45">
        <f>MROUND(MID($C168,9,3)/Basis!$E$3,0.5)</f>
        <v>71</v>
      </c>
      <c r="F168" s="229" t="str">
        <f t="shared" si="2"/>
        <v>22</v>
      </c>
      <c r="G168" s="45">
        <f>ROUND(9/Basis!$E$3,1)</f>
        <v>3.5</v>
      </c>
      <c r="H168" s="120">
        <f>ROUND($P168*Basis!$E$2*((TaH-TrH)/LN(1/µ)/Basis!$E$7)^$N168*Glycol,0)</f>
        <v>3745</v>
      </c>
      <c r="I168" s="83">
        <f>ROUND(H168/(MID($C168,9,3)/Basis!$E$3/Basis!$E$9)*Basis!$E$11,0)</f>
        <v>634</v>
      </c>
      <c r="J168" s="123">
        <f>IF(Basis!$E$1=1,ROUND(H168/((TaH-TrH)*1.163)/3600,3),ROUND(H168/(500*(TaH-TrH)),2))</f>
        <v>0.37</v>
      </c>
      <c r="K168" s="84"/>
      <c r="L168" s="177">
        <f>CHOOSE(Basis!$E$1,((AJ168*(J168*3600/Basis!$E$5)^AK168*(((MID(C168,9,3)*10)-144)/1000)*AL168+AM168*(J168*3600/Basis!$E$5)^2)*0.0098)/Basis!$E$10,((AJ168*(J168/Basis!$E$5)^AK168*(((MID(C168,9,3)*10)-144)/1000)*AL168+AM168*(J168/Basis!$E$5)^2)*0.0098)/Basis!$E$10)</f>
        <v>0</v>
      </c>
      <c r="M168" s="85"/>
      <c r="N168" s="109">
        <v>1.349</v>
      </c>
      <c r="O168" s="68"/>
      <c r="P168" s="67">
        <v>1713</v>
      </c>
      <c r="Q168" s="68"/>
      <c r="R168" s="69"/>
      <c r="S168" s="69"/>
      <c r="T168" s="69"/>
      <c r="U168" s="69"/>
      <c r="V168" s="69"/>
      <c r="W168" s="68"/>
      <c r="X168" s="70"/>
      <c r="Y168" s="70"/>
      <c r="Z168" s="70"/>
      <c r="AA168" s="70"/>
      <c r="AB168" s="70"/>
      <c r="AC168" s="68"/>
      <c r="AD168" s="71"/>
      <c r="AE168" s="71"/>
      <c r="AF168" s="71"/>
      <c r="AG168" s="71"/>
      <c r="AH168" s="71"/>
      <c r="AI168" s="68"/>
      <c r="AJ168" s="214"/>
      <c r="AK168" s="214"/>
      <c r="AL168" s="214"/>
      <c r="AM168" s="214"/>
      <c r="AN168" s="68"/>
      <c r="AO168" s="67"/>
      <c r="AP168" s="67"/>
      <c r="AQ168" s="67"/>
      <c r="AR168" s="67"/>
      <c r="AS168" s="67"/>
      <c r="AT168" s="68"/>
      <c r="AU168" s="49"/>
      <c r="AV168" s="50"/>
    </row>
    <row r="169" spans="1:48" ht="12.75" customHeight="1" x14ac:dyDescent="0.25">
      <c r="A169" s="72" t="s">
        <v>883</v>
      </c>
      <c r="B169" s="43" t="s">
        <v>4040</v>
      </c>
      <c r="C169" s="44" t="s">
        <v>3497</v>
      </c>
      <c r="D169" s="45">
        <f>MROUND(MID($C169,6,3)/Basis!$E$3,0.5)</f>
        <v>12</v>
      </c>
      <c r="E169" s="45">
        <f>MROUND(MID($C169,9,3)/Basis!$E$3,0.5)</f>
        <v>71</v>
      </c>
      <c r="F169" s="229" t="str">
        <f t="shared" si="2"/>
        <v>34</v>
      </c>
      <c r="G169" s="45">
        <f>ROUND(16.9/Basis!$E$3,1)</f>
        <v>6.7</v>
      </c>
      <c r="H169" s="120">
        <f>ROUND($P169*Basis!$E$2*((TaH-TrH)/LN(1/µ)/Basis!$E$7)^$N169*Glycol,0)</f>
        <v>6455</v>
      </c>
      <c r="I169" s="83">
        <f>ROUND(H169/(MID($C169,9,3)/Basis!$E$3/Basis!$E$9)*Basis!$E$11,0)</f>
        <v>1093</v>
      </c>
      <c r="J169" s="123">
        <f>IF(Basis!$E$1=1,ROUND(H169/((TaH-TrH)*1.163)/3600,3),ROUND(H169/(500*(TaH-TrH)),2))</f>
        <v>0.65</v>
      </c>
      <c r="K169" s="84"/>
      <c r="L169" s="177">
        <f>CHOOSE(Basis!$E$1,((AJ169*(J169*3600/Basis!$E$5)^AK169*(((MID(C169,9,3)*10)-144)/1000)*AL169+AM169*(J169*3600/Basis!$E$5)^2)*0.0098)/Basis!$E$10,((AJ169*(J169/Basis!$E$5)^AK169*(((MID(C169,9,3)*10)-144)/1000)*AL169+AM169*(J169/Basis!$E$5)^2)*0.0098)/Basis!$E$10)</f>
        <v>0</v>
      </c>
      <c r="M169" s="85"/>
      <c r="N169" s="110">
        <v>1.4510000000000001</v>
      </c>
      <c r="O169" s="74"/>
      <c r="P169" s="73">
        <v>3054</v>
      </c>
      <c r="Q169" s="74"/>
      <c r="R169" s="75"/>
      <c r="S169" s="75"/>
      <c r="T169" s="75"/>
      <c r="U169" s="75"/>
      <c r="V169" s="75"/>
      <c r="W169" s="74"/>
      <c r="X169" s="76"/>
      <c r="Y169" s="76"/>
      <c r="Z169" s="76"/>
      <c r="AA169" s="76"/>
      <c r="AB169" s="76"/>
      <c r="AC169" s="74"/>
      <c r="AD169" s="77"/>
      <c r="AE169" s="77"/>
      <c r="AF169" s="77"/>
      <c r="AG169" s="77"/>
      <c r="AH169" s="77"/>
      <c r="AI169" s="68"/>
      <c r="AJ169" s="213"/>
      <c r="AK169" s="213"/>
      <c r="AL169" s="213"/>
      <c r="AM169" s="213"/>
      <c r="AN169" s="74"/>
      <c r="AO169" s="73"/>
      <c r="AP169" s="73"/>
      <c r="AQ169" s="73"/>
      <c r="AR169" s="73"/>
      <c r="AS169" s="73"/>
      <c r="AT169" s="74"/>
      <c r="AU169" s="47"/>
      <c r="AV169" s="48"/>
    </row>
    <row r="170" spans="1:48" ht="12.75" customHeight="1" x14ac:dyDescent="0.25">
      <c r="A170" s="72" t="s">
        <v>883</v>
      </c>
      <c r="B170" s="43" t="s">
        <v>4040</v>
      </c>
      <c r="C170" s="44" t="s">
        <v>3498</v>
      </c>
      <c r="D170" s="45">
        <f>MROUND(MID($C170,6,3)/Basis!$E$3,0.5)</f>
        <v>12</v>
      </c>
      <c r="E170" s="45">
        <f>MROUND(MID($C170,9,3)/Basis!$E$3,0.5)</f>
        <v>78.5</v>
      </c>
      <c r="F170" s="229" t="str">
        <f t="shared" si="2"/>
        <v>11</v>
      </c>
      <c r="G170" s="45">
        <f>ROUND(5/Basis!$E$3,1)</f>
        <v>2</v>
      </c>
      <c r="H170" s="120">
        <f>ROUND($P170*Basis!$E$2*((TaH-TrH)/LN(1/µ)/Basis!$E$7)^$N170*Glycol,0)</f>
        <v>2516</v>
      </c>
      <c r="I170" s="83">
        <f>ROUND(H170/(MID($C170,9,3)/Basis!$E$3/Basis!$E$9)*Basis!$E$11,0)</f>
        <v>383</v>
      </c>
      <c r="J170" s="123">
        <f>IF(Basis!$E$1=1,ROUND(H170/((TaH-TrH)*1.163)/3600,3),ROUND(H170/(500*(TaH-TrH)),2))</f>
        <v>0.25</v>
      </c>
      <c r="K170" s="84"/>
      <c r="L170" s="177">
        <f>CHOOSE(Basis!$E$1,((AJ170*(J170*3600/Basis!$E$5)^AK170*(((MID(C170,9,3)*10)-144)/1000)*AL170+AM170*(J170*3600/Basis!$E$5)^2)*0.0098)/Basis!$E$10,((AJ170*(J170/Basis!$E$5)^AK170*(((MID(C170,9,3)*10)-144)/1000)*AL170+AM170*(J170/Basis!$E$5)^2)*0.0098)/Basis!$E$10)</f>
        <v>0</v>
      </c>
      <c r="M170" s="85"/>
      <c r="N170" s="110">
        <v>1.248</v>
      </c>
      <c r="O170" s="74"/>
      <c r="P170" s="73">
        <v>1113</v>
      </c>
      <c r="Q170" s="74"/>
      <c r="R170" s="75"/>
      <c r="S170" s="75"/>
      <c r="T170" s="75"/>
      <c r="U170" s="75"/>
      <c r="V170" s="75"/>
      <c r="W170" s="74"/>
      <c r="X170" s="76"/>
      <c r="Y170" s="76"/>
      <c r="Z170" s="76"/>
      <c r="AA170" s="76"/>
      <c r="AB170" s="76"/>
      <c r="AC170" s="74"/>
      <c r="AD170" s="77"/>
      <c r="AE170" s="77"/>
      <c r="AF170" s="77"/>
      <c r="AG170" s="77"/>
      <c r="AH170" s="77"/>
      <c r="AI170" s="68"/>
      <c r="AJ170" s="213"/>
      <c r="AK170" s="213"/>
      <c r="AL170" s="213"/>
      <c r="AM170" s="213"/>
      <c r="AN170" s="74"/>
      <c r="AO170" s="73"/>
      <c r="AP170" s="73"/>
      <c r="AQ170" s="73"/>
      <c r="AR170" s="73"/>
      <c r="AS170" s="73"/>
      <c r="AT170" s="74"/>
      <c r="AU170" s="47"/>
      <c r="AV170" s="48"/>
    </row>
    <row r="171" spans="1:48" ht="12.75" customHeight="1" x14ac:dyDescent="0.25">
      <c r="A171" s="72" t="s">
        <v>883</v>
      </c>
      <c r="B171" s="43" t="s">
        <v>4040</v>
      </c>
      <c r="C171" s="44" t="s">
        <v>3499</v>
      </c>
      <c r="D171" s="45">
        <f>MROUND(MID($C171,6,3)/Basis!$E$3,0.5)</f>
        <v>12</v>
      </c>
      <c r="E171" s="45">
        <f>MROUND(MID($C171,9,3)/Basis!$E$3,0.5)</f>
        <v>78.5</v>
      </c>
      <c r="F171" s="229" t="str">
        <f t="shared" si="2"/>
        <v>22</v>
      </c>
      <c r="G171" s="45">
        <f>ROUND(9/Basis!$E$3,1)</f>
        <v>3.5</v>
      </c>
      <c r="H171" s="120">
        <f>ROUND($P171*Basis!$E$2*((TaH-TrH)/LN(1/µ)/Basis!$E$7)^$N171*Glycol,0)</f>
        <v>4160</v>
      </c>
      <c r="I171" s="83">
        <f>ROUND(H171/(MID($C171,9,3)/Basis!$E$3/Basis!$E$9)*Basis!$E$11,0)</f>
        <v>634</v>
      </c>
      <c r="J171" s="123">
        <f>IF(Basis!$E$1=1,ROUND(H171/((TaH-TrH)*1.163)/3600,3),ROUND(H171/(500*(TaH-TrH)),2))</f>
        <v>0.42</v>
      </c>
      <c r="K171" s="84"/>
      <c r="L171" s="177">
        <f>CHOOSE(Basis!$E$1,((AJ171*(J171*3600/Basis!$E$5)^AK171*(((MID(C171,9,3)*10)-144)/1000)*AL171+AM171*(J171*3600/Basis!$E$5)^2)*0.0098)/Basis!$E$10,((AJ171*(J171/Basis!$E$5)^AK171*(((MID(C171,9,3)*10)-144)/1000)*AL171+AM171*(J171/Basis!$E$5)^2)*0.0098)/Basis!$E$10)</f>
        <v>0</v>
      </c>
      <c r="M171" s="85"/>
      <c r="N171" s="109">
        <v>1.349</v>
      </c>
      <c r="O171" s="68"/>
      <c r="P171" s="67">
        <v>1903</v>
      </c>
      <c r="Q171" s="68"/>
      <c r="R171" s="69"/>
      <c r="S171" s="69"/>
      <c r="T171" s="69"/>
      <c r="U171" s="69"/>
      <c r="V171" s="69"/>
      <c r="W171" s="68"/>
      <c r="X171" s="70"/>
      <c r="Y171" s="70"/>
      <c r="Z171" s="70"/>
      <c r="AA171" s="70"/>
      <c r="AB171" s="70"/>
      <c r="AC171" s="68"/>
      <c r="AD171" s="71"/>
      <c r="AE171" s="71"/>
      <c r="AF171" s="71"/>
      <c r="AG171" s="71"/>
      <c r="AH171" s="71"/>
      <c r="AI171" s="68"/>
      <c r="AJ171" s="214"/>
      <c r="AK171" s="214"/>
      <c r="AL171" s="214"/>
      <c r="AM171" s="214"/>
      <c r="AN171" s="68"/>
      <c r="AO171" s="67"/>
      <c r="AP171" s="67"/>
      <c r="AQ171" s="67"/>
      <c r="AR171" s="67"/>
      <c r="AS171" s="67"/>
      <c r="AT171" s="68"/>
      <c r="AU171" s="49"/>
      <c r="AV171" s="50"/>
    </row>
    <row r="172" spans="1:48" ht="12.75" customHeight="1" x14ac:dyDescent="0.25">
      <c r="A172" s="72" t="s">
        <v>883</v>
      </c>
      <c r="B172" s="43" t="s">
        <v>4040</v>
      </c>
      <c r="C172" s="44" t="s">
        <v>3500</v>
      </c>
      <c r="D172" s="45">
        <f>MROUND(MID($C172,6,3)/Basis!$E$3,0.5)</f>
        <v>12</v>
      </c>
      <c r="E172" s="45">
        <f>MROUND(MID($C172,9,3)/Basis!$E$3,0.5)</f>
        <v>78.5</v>
      </c>
      <c r="F172" s="229" t="str">
        <f t="shared" si="2"/>
        <v>34</v>
      </c>
      <c r="G172" s="45">
        <f>ROUND(16.9/Basis!$E$3,1)</f>
        <v>6.7</v>
      </c>
      <c r="H172" s="120">
        <f>ROUND($P172*Basis!$E$2*((TaH-TrH)/LN(1/µ)/Basis!$E$7)^$N172*Glycol,0)</f>
        <v>7172</v>
      </c>
      <c r="I172" s="83">
        <f>ROUND(H172/(MID($C172,9,3)/Basis!$E$3/Basis!$E$9)*Basis!$E$11,0)</f>
        <v>1093</v>
      </c>
      <c r="J172" s="123">
        <f>IF(Basis!$E$1=1,ROUND(H172/((TaH-TrH)*1.163)/3600,3),ROUND(H172/(500*(TaH-TrH)),2))</f>
        <v>0.72</v>
      </c>
      <c r="K172" s="84"/>
      <c r="L172" s="177">
        <f>CHOOSE(Basis!$E$1,((AJ172*(J172*3600/Basis!$E$5)^AK172*(((MID(C172,9,3)*10)-144)/1000)*AL172+AM172*(J172*3600/Basis!$E$5)^2)*0.0098)/Basis!$E$10,((AJ172*(J172/Basis!$E$5)^AK172*(((MID(C172,9,3)*10)-144)/1000)*AL172+AM172*(J172/Basis!$E$5)^2)*0.0098)/Basis!$E$10)</f>
        <v>0</v>
      </c>
      <c r="M172" s="85"/>
      <c r="N172" s="109">
        <v>1.4510000000000001</v>
      </c>
      <c r="O172" s="68"/>
      <c r="P172" s="67">
        <v>3393</v>
      </c>
      <c r="Q172" s="68"/>
      <c r="R172" s="69"/>
      <c r="S172" s="69"/>
      <c r="T172" s="69"/>
      <c r="U172" s="69"/>
      <c r="V172" s="69"/>
      <c r="W172" s="68"/>
      <c r="X172" s="70"/>
      <c r="Y172" s="70"/>
      <c r="Z172" s="70"/>
      <c r="AA172" s="70"/>
      <c r="AB172" s="70"/>
      <c r="AC172" s="68"/>
      <c r="AD172" s="71"/>
      <c r="AE172" s="71"/>
      <c r="AF172" s="71"/>
      <c r="AG172" s="71"/>
      <c r="AH172" s="71"/>
      <c r="AI172" s="68"/>
      <c r="AJ172" s="214"/>
      <c r="AK172" s="214"/>
      <c r="AL172" s="214"/>
      <c r="AM172" s="214"/>
      <c r="AN172" s="68"/>
      <c r="AO172" s="67"/>
      <c r="AP172" s="67"/>
      <c r="AQ172" s="67"/>
      <c r="AR172" s="67"/>
      <c r="AS172" s="67"/>
      <c r="AT172" s="68"/>
      <c r="AU172" s="49"/>
      <c r="AV172" s="50"/>
    </row>
    <row r="173" spans="1:48" ht="12.75" customHeight="1" x14ac:dyDescent="0.25">
      <c r="A173" s="72" t="s">
        <v>883</v>
      </c>
      <c r="B173" s="43" t="s">
        <v>4040</v>
      </c>
      <c r="C173" s="44" t="s">
        <v>3501</v>
      </c>
      <c r="D173" s="45">
        <f>MROUND(MID($C173,6,3)/Basis!$E$3,0.5)</f>
        <v>12</v>
      </c>
      <c r="E173" s="45">
        <f>MROUND(MID($C173,9,3)/Basis!$E$3,0.5)</f>
        <v>86.5</v>
      </c>
      <c r="F173" s="229" t="str">
        <f t="shared" si="2"/>
        <v>11</v>
      </c>
      <c r="G173" s="45">
        <f>ROUND(5/Basis!$E$3,1)</f>
        <v>2</v>
      </c>
      <c r="H173" s="120">
        <f>ROUND($P173*Basis!$E$2*((TaH-TrH)/LN(1/µ)/Basis!$E$7)^$N173*Glycol,0)</f>
        <v>2766</v>
      </c>
      <c r="I173" s="83">
        <f>ROUND(H173/(MID($C173,9,3)/Basis!$E$3/Basis!$E$9)*Basis!$E$11,0)</f>
        <v>383</v>
      </c>
      <c r="J173" s="123">
        <f>IF(Basis!$E$1=1,ROUND(H173/((TaH-TrH)*1.163)/3600,3),ROUND(H173/(500*(TaH-TrH)),2))</f>
        <v>0.28000000000000003</v>
      </c>
      <c r="K173" s="84"/>
      <c r="L173" s="177">
        <f>CHOOSE(Basis!$E$1,((AJ173*(J173*3600/Basis!$E$5)^AK173*(((MID(C173,9,3)*10)-144)/1000)*AL173+AM173*(J173*3600/Basis!$E$5)^2)*0.0098)/Basis!$E$10,((AJ173*(J173/Basis!$E$5)^AK173*(((MID(C173,9,3)*10)-144)/1000)*AL173+AM173*(J173/Basis!$E$5)^2)*0.0098)/Basis!$E$10)</f>
        <v>0</v>
      </c>
      <c r="M173" s="85"/>
      <c r="N173" s="110">
        <v>1.248</v>
      </c>
      <c r="O173" s="74"/>
      <c r="P173" s="73">
        <v>1224</v>
      </c>
      <c r="Q173" s="74"/>
      <c r="R173" s="75"/>
      <c r="S173" s="75"/>
      <c r="T173" s="75"/>
      <c r="U173" s="75"/>
      <c r="V173" s="75"/>
      <c r="W173" s="74"/>
      <c r="X173" s="76"/>
      <c r="Y173" s="76"/>
      <c r="Z173" s="76"/>
      <c r="AA173" s="76"/>
      <c r="AB173" s="76"/>
      <c r="AC173" s="74"/>
      <c r="AD173" s="77"/>
      <c r="AE173" s="77"/>
      <c r="AF173" s="77"/>
      <c r="AG173" s="77"/>
      <c r="AH173" s="77"/>
      <c r="AI173" s="68"/>
      <c r="AJ173" s="213"/>
      <c r="AK173" s="213"/>
      <c r="AL173" s="213"/>
      <c r="AM173" s="213"/>
      <c r="AN173" s="74"/>
      <c r="AO173" s="73"/>
      <c r="AP173" s="73"/>
      <c r="AQ173" s="73"/>
      <c r="AR173" s="73"/>
      <c r="AS173" s="73"/>
      <c r="AT173" s="74"/>
      <c r="AU173" s="47"/>
      <c r="AV173" s="48"/>
    </row>
    <row r="174" spans="1:48" ht="12.75" customHeight="1" x14ac:dyDescent="0.25">
      <c r="A174" s="72" t="s">
        <v>883</v>
      </c>
      <c r="B174" s="43" t="s">
        <v>4040</v>
      </c>
      <c r="C174" s="44" t="s">
        <v>3502</v>
      </c>
      <c r="D174" s="45">
        <f>MROUND(MID($C174,6,3)/Basis!$E$3,0.5)</f>
        <v>12</v>
      </c>
      <c r="E174" s="45">
        <f>MROUND(MID($C174,9,3)/Basis!$E$3,0.5)</f>
        <v>86.5</v>
      </c>
      <c r="F174" s="229" t="str">
        <f t="shared" si="2"/>
        <v>22</v>
      </c>
      <c r="G174" s="45">
        <f>ROUND(9/Basis!$E$3,1)</f>
        <v>3.5</v>
      </c>
      <c r="H174" s="120">
        <f>ROUND($P174*Basis!$E$2*((TaH-TrH)/LN(1/µ)/Basis!$E$7)^$N174*Glycol,0)</f>
        <v>4575</v>
      </c>
      <c r="I174" s="83">
        <f>ROUND(H174/(MID($C174,9,3)/Basis!$E$3/Basis!$E$9)*Basis!$E$11,0)</f>
        <v>634</v>
      </c>
      <c r="J174" s="123">
        <f>IF(Basis!$E$1=1,ROUND(H174/((TaH-TrH)*1.163)/3600,3),ROUND(H174/(500*(TaH-TrH)),2))</f>
        <v>0.46</v>
      </c>
      <c r="K174" s="84"/>
      <c r="L174" s="177">
        <f>CHOOSE(Basis!$E$1,((AJ174*(J174*3600/Basis!$E$5)^AK174*(((MID(C174,9,3)*10)-144)/1000)*AL174+AM174*(J174*3600/Basis!$E$5)^2)*0.0098)/Basis!$E$10,((AJ174*(J174/Basis!$E$5)^AK174*(((MID(C174,9,3)*10)-144)/1000)*AL174+AM174*(J174/Basis!$E$5)^2)*0.0098)/Basis!$E$10)</f>
        <v>0</v>
      </c>
      <c r="M174" s="85"/>
      <c r="N174" s="109">
        <v>1.349</v>
      </c>
      <c r="O174" s="68"/>
      <c r="P174" s="67">
        <v>2093</v>
      </c>
      <c r="Q174" s="68"/>
      <c r="R174" s="69"/>
      <c r="S174" s="69"/>
      <c r="T174" s="69"/>
      <c r="U174" s="69"/>
      <c r="V174" s="69"/>
      <c r="W174" s="68"/>
      <c r="X174" s="70"/>
      <c r="Y174" s="70"/>
      <c r="Z174" s="70"/>
      <c r="AA174" s="70"/>
      <c r="AB174" s="70"/>
      <c r="AC174" s="68"/>
      <c r="AD174" s="71"/>
      <c r="AE174" s="71"/>
      <c r="AF174" s="71"/>
      <c r="AG174" s="71"/>
      <c r="AH174" s="71"/>
      <c r="AI174" s="68"/>
      <c r="AJ174" s="214"/>
      <c r="AK174" s="214"/>
      <c r="AL174" s="214"/>
      <c r="AM174" s="214"/>
      <c r="AN174" s="68"/>
      <c r="AO174" s="67"/>
      <c r="AP174" s="67"/>
      <c r="AQ174" s="67"/>
      <c r="AR174" s="67"/>
      <c r="AS174" s="67"/>
      <c r="AT174" s="68"/>
      <c r="AU174" s="49"/>
      <c r="AV174" s="50"/>
    </row>
    <row r="175" spans="1:48" ht="12.75" customHeight="1" x14ac:dyDescent="0.25">
      <c r="A175" s="72" t="s">
        <v>883</v>
      </c>
      <c r="B175" s="43" t="s">
        <v>4040</v>
      </c>
      <c r="C175" s="44" t="s">
        <v>3503</v>
      </c>
      <c r="D175" s="45">
        <f>MROUND(MID($C175,6,3)/Basis!$E$3,0.5)</f>
        <v>12</v>
      </c>
      <c r="E175" s="45">
        <f>MROUND(MID($C175,9,3)/Basis!$E$3,0.5)</f>
        <v>86.5</v>
      </c>
      <c r="F175" s="229" t="str">
        <f t="shared" si="2"/>
        <v>34</v>
      </c>
      <c r="G175" s="45">
        <f>ROUND(16.9/Basis!$E$3,1)</f>
        <v>6.7</v>
      </c>
      <c r="H175" s="120">
        <f>ROUND($P175*Basis!$E$2*((TaH-TrH)/LN(1/µ)/Basis!$E$7)^$N175*Glycol,0)</f>
        <v>7890</v>
      </c>
      <c r="I175" s="83">
        <f>ROUND(H175/(MID($C175,9,3)/Basis!$E$3/Basis!$E$9)*Basis!$E$11,0)</f>
        <v>1093</v>
      </c>
      <c r="J175" s="123">
        <f>IF(Basis!$E$1=1,ROUND(H175/((TaH-TrH)*1.163)/3600,3),ROUND(H175/(500*(TaH-TrH)),2))</f>
        <v>0.79</v>
      </c>
      <c r="K175" s="84"/>
      <c r="L175" s="177">
        <f>CHOOSE(Basis!$E$1,((AJ175*(J175*3600/Basis!$E$5)^AK175*(((MID(C175,9,3)*10)-144)/1000)*AL175+AM175*(J175*3600/Basis!$E$5)^2)*0.0098)/Basis!$E$10,((AJ175*(J175/Basis!$E$5)^AK175*(((MID(C175,9,3)*10)-144)/1000)*AL175+AM175*(J175/Basis!$E$5)^2)*0.0098)/Basis!$E$10)</f>
        <v>0</v>
      </c>
      <c r="M175" s="85"/>
      <c r="N175" s="110">
        <v>1.4510000000000001</v>
      </c>
      <c r="O175" s="74"/>
      <c r="P175" s="73">
        <v>3733</v>
      </c>
      <c r="Q175" s="74"/>
      <c r="R175" s="75"/>
      <c r="S175" s="75"/>
      <c r="T175" s="75"/>
      <c r="U175" s="75"/>
      <c r="V175" s="75"/>
      <c r="W175" s="74"/>
      <c r="X175" s="76"/>
      <c r="Y175" s="76"/>
      <c r="Z175" s="76"/>
      <c r="AA175" s="76"/>
      <c r="AB175" s="76"/>
      <c r="AC175" s="74"/>
      <c r="AD175" s="77"/>
      <c r="AE175" s="77"/>
      <c r="AF175" s="77"/>
      <c r="AG175" s="77"/>
      <c r="AH175" s="77"/>
      <c r="AI175" s="68"/>
      <c r="AJ175" s="213"/>
      <c r="AK175" s="213"/>
      <c r="AL175" s="213"/>
      <c r="AM175" s="213"/>
      <c r="AN175" s="74"/>
      <c r="AO175" s="73"/>
      <c r="AP175" s="73"/>
      <c r="AQ175" s="73"/>
      <c r="AR175" s="73"/>
      <c r="AS175" s="73"/>
      <c r="AT175" s="74"/>
      <c r="AU175" s="47"/>
      <c r="AV175" s="48"/>
    </row>
    <row r="176" spans="1:48" ht="12.75" customHeight="1" x14ac:dyDescent="0.25">
      <c r="A176" s="72" t="s">
        <v>883</v>
      </c>
      <c r="B176" s="43" t="s">
        <v>4040</v>
      </c>
      <c r="C176" s="44" t="s">
        <v>3504</v>
      </c>
      <c r="D176" s="45">
        <f>MROUND(MID($C176,6,3)/Basis!$E$3,0.5)</f>
        <v>12</v>
      </c>
      <c r="E176" s="45">
        <f>MROUND(MID($C176,9,3)/Basis!$E$3,0.5)</f>
        <v>94.5</v>
      </c>
      <c r="F176" s="229" t="str">
        <f t="shared" si="2"/>
        <v>11</v>
      </c>
      <c r="G176" s="45">
        <f>ROUND(5/Basis!$E$3,1)</f>
        <v>2</v>
      </c>
      <c r="H176" s="120">
        <f>ROUND($P176*Basis!$E$2*((TaH-TrH)/LN(1/µ)/Basis!$E$7)^$N176*Glycol,0)</f>
        <v>3017</v>
      </c>
      <c r="I176" s="83">
        <f>ROUND(H176/(MID($C176,9,3)/Basis!$E$3/Basis!$E$9)*Basis!$E$11,0)</f>
        <v>383</v>
      </c>
      <c r="J176" s="123">
        <f>IF(Basis!$E$1=1,ROUND(H176/((TaH-TrH)*1.163)/3600,3),ROUND(H176/(500*(TaH-TrH)),2))</f>
        <v>0.3</v>
      </c>
      <c r="K176" s="84"/>
      <c r="L176" s="177">
        <f>CHOOSE(Basis!$E$1,((AJ176*(J176*3600/Basis!$E$5)^AK176*(((MID(C176,9,3)*10)-144)/1000)*AL176+AM176*(J176*3600/Basis!$E$5)^2)*0.0098)/Basis!$E$10,((AJ176*(J176/Basis!$E$5)^AK176*(((MID(C176,9,3)*10)-144)/1000)*AL176+AM176*(J176/Basis!$E$5)^2)*0.0098)/Basis!$E$10)</f>
        <v>0</v>
      </c>
      <c r="M176" s="85"/>
      <c r="N176" s="109">
        <v>1.248</v>
      </c>
      <c r="O176" s="68"/>
      <c r="P176" s="67">
        <v>1335</v>
      </c>
      <c r="Q176" s="68"/>
      <c r="R176" s="69"/>
      <c r="S176" s="69"/>
      <c r="T176" s="69"/>
      <c r="U176" s="69"/>
      <c r="V176" s="69"/>
      <c r="W176" s="68"/>
      <c r="X176" s="70"/>
      <c r="Y176" s="70"/>
      <c r="Z176" s="70"/>
      <c r="AA176" s="70"/>
      <c r="AB176" s="70"/>
      <c r="AC176" s="68"/>
      <c r="AD176" s="71"/>
      <c r="AE176" s="71"/>
      <c r="AF176" s="71"/>
      <c r="AG176" s="71"/>
      <c r="AH176" s="71"/>
      <c r="AI176" s="68"/>
      <c r="AJ176" s="214"/>
      <c r="AK176" s="214"/>
      <c r="AL176" s="214"/>
      <c r="AM176" s="214"/>
      <c r="AN176" s="68"/>
      <c r="AO176" s="67"/>
      <c r="AP176" s="67"/>
      <c r="AQ176" s="67"/>
      <c r="AR176" s="67"/>
      <c r="AS176" s="67"/>
      <c r="AT176" s="68"/>
      <c r="AU176" s="49"/>
      <c r="AV176" s="50"/>
    </row>
    <row r="177" spans="1:48" ht="12.75" customHeight="1" x14ac:dyDescent="0.25">
      <c r="A177" s="72" t="s">
        <v>883</v>
      </c>
      <c r="B177" s="43" t="s">
        <v>4040</v>
      </c>
      <c r="C177" s="44" t="s">
        <v>3505</v>
      </c>
      <c r="D177" s="45">
        <f>MROUND(MID($C177,6,3)/Basis!$E$3,0.5)</f>
        <v>12</v>
      </c>
      <c r="E177" s="45">
        <f>MROUND(MID($C177,9,3)/Basis!$E$3,0.5)</f>
        <v>94.5</v>
      </c>
      <c r="F177" s="229" t="str">
        <f t="shared" si="2"/>
        <v>22</v>
      </c>
      <c r="G177" s="45">
        <f>ROUND(9/Basis!$E$3,1)</f>
        <v>3.5</v>
      </c>
      <c r="H177" s="120">
        <f>ROUND($P177*Basis!$E$2*((TaH-TrH)/LN(1/µ)/Basis!$E$7)^$N177*Glycol,0)</f>
        <v>4991</v>
      </c>
      <c r="I177" s="83">
        <f>ROUND(H177/(MID($C177,9,3)/Basis!$E$3/Basis!$E$9)*Basis!$E$11,0)</f>
        <v>634</v>
      </c>
      <c r="J177" s="123">
        <f>IF(Basis!$E$1=1,ROUND(H177/((TaH-TrH)*1.163)/3600,3),ROUND(H177/(500*(TaH-TrH)),2))</f>
        <v>0.5</v>
      </c>
      <c r="K177" s="84"/>
      <c r="L177" s="177">
        <f>CHOOSE(Basis!$E$1,((AJ177*(J177*3600/Basis!$E$5)^AK177*(((MID(C177,9,3)*10)-144)/1000)*AL177+AM177*(J177*3600/Basis!$E$5)^2)*0.0098)/Basis!$E$10,((AJ177*(J177/Basis!$E$5)^AK177*(((MID(C177,9,3)*10)-144)/1000)*AL177+AM177*(J177/Basis!$E$5)^2)*0.0098)/Basis!$E$10)</f>
        <v>0</v>
      </c>
      <c r="M177" s="85"/>
      <c r="N177" s="110">
        <v>1.349</v>
      </c>
      <c r="O177" s="74"/>
      <c r="P177" s="73">
        <v>2283</v>
      </c>
      <c r="Q177" s="74"/>
      <c r="R177" s="75"/>
      <c r="S177" s="75"/>
      <c r="T177" s="75"/>
      <c r="U177" s="75"/>
      <c r="V177" s="75"/>
      <c r="W177" s="74"/>
      <c r="X177" s="76"/>
      <c r="Y177" s="76"/>
      <c r="Z177" s="76"/>
      <c r="AA177" s="76"/>
      <c r="AB177" s="76"/>
      <c r="AC177" s="74"/>
      <c r="AD177" s="77"/>
      <c r="AE177" s="77"/>
      <c r="AF177" s="77"/>
      <c r="AG177" s="77"/>
      <c r="AH177" s="77"/>
      <c r="AI177" s="68"/>
      <c r="AJ177" s="213"/>
      <c r="AK177" s="213"/>
      <c r="AL177" s="213"/>
      <c r="AM177" s="213"/>
      <c r="AN177" s="74"/>
      <c r="AO177" s="73"/>
      <c r="AP177" s="73"/>
      <c r="AQ177" s="73"/>
      <c r="AR177" s="73"/>
      <c r="AS177" s="73"/>
      <c r="AT177" s="74"/>
      <c r="AU177" s="47"/>
      <c r="AV177" s="48"/>
    </row>
    <row r="178" spans="1:48" ht="12.75" customHeight="1" x14ac:dyDescent="0.25">
      <c r="A178" s="72" t="s">
        <v>883</v>
      </c>
      <c r="B178" s="43" t="s">
        <v>4040</v>
      </c>
      <c r="C178" s="44" t="s">
        <v>3506</v>
      </c>
      <c r="D178" s="45">
        <f>MROUND(MID($C178,6,3)/Basis!$E$3,0.5)</f>
        <v>12</v>
      </c>
      <c r="E178" s="45">
        <f>MROUND(MID($C178,9,3)/Basis!$E$3,0.5)</f>
        <v>94.5</v>
      </c>
      <c r="F178" s="229" t="str">
        <f t="shared" si="2"/>
        <v>34</v>
      </c>
      <c r="G178" s="45">
        <f>ROUND(16.9/Basis!$E$3,1)</f>
        <v>6.7</v>
      </c>
      <c r="H178" s="120">
        <f>ROUND($P178*Basis!$E$2*((TaH-TrH)/LN(1/µ)/Basis!$E$7)^$N178*Glycol,0)</f>
        <v>8607</v>
      </c>
      <c r="I178" s="83">
        <f>ROUND(H178/(MID($C178,9,3)/Basis!$E$3/Basis!$E$9)*Basis!$E$11,0)</f>
        <v>1093</v>
      </c>
      <c r="J178" s="123">
        <f>IF(Basis!$E$1=1,ROUND(H178/((TaH-TrH)*1.163)/3600,3),ROUND(H178/(500*(TaH-TrH)),2))</f>
        <v>0.86</v>
      </c>
      <c r="K178" s="84"/>
      <c r="L178" s="177">
        <f>CHOOSE(Basis!$E$1,((AJ178*(J178*3600/Basis!$E$5)^AK178*(((MID(C178,9,3)*10)-144)/1000)*AL178+AM178*(J178*3600/Basis!$E$5)^2)*0.0098)/Basis!$E$10,((AJ178*(J178/Basis!$E$5)^AK178*(((MID(C178,9,3)*10)-144)/1000)*AL178+AM178*(J178/Basis!$E$5)^2)*0.0098)/Basis!$E$10)</f>
        <v>0</v>
      </c>
      <c r="M178" s="85"/>
      <c r="N178" s="110">
        <v>1.4510000000000001</v>
      </c>
      <c r="O178" s="74"/>
      <c r="P178" s="73">
        <v>4072</v>
      </c>
      <c r="Q178" s="74"/>
      <c r="R178" s="75"/>
      <c r="S178" s="75"/>
      <c r="T178" s="75"/>
      <c r="U178" s="75"/>
      <c r="V178" s="75"/>
      <c r="W178" s="74"/>
      <c r="X178" s="76"/>
      <c r="Y178" s="76"/>
      <c r="Z178" s="76"/>
      <c r="AA178" s="76"/>
      <c r="AB178" s="76"/>
      <c r="AC178" s="74"/>
      <c r="AD178" s="77"/>
      <c r="AE178" s="77"/>
      <c r="AF178" s="77"/>
      <c r="AG178" s="77"/>
      <c r="AH178" s="77"/>
      <c r="AI178" s="68"/>
      <c r="AJ178" s="213"/>
      <c r="AK178" s="213"/>
      <c r="AL178" s="213"/>
      <c r="AM178" s="213"/>
      <c r="AN178" s="74"/>
      <c r="AO178" s="73"/>
      <c r="AP178" s="73"/>
      <c r="AQ178" s="73"/>
      <c r="AR178" s="73"/>
      <c r="AS178" s="73"/>
      <c r="AT178" s="74"/>
      <c r="AU178" s="47"/>
      <c r="AV178" s="48"/>
    </row>
    <row r="179" spans="1:48" ht="12.75" customHeight="1" x14ac:dyDescent="0.25">
      <c r="A179" s="72" t="s">
        <v>883</v>
      </c>
      <c r="B179" s="43" t="s">
        <v>4040</v>
      </c>
      <c r="C179" s="44" t="s">
        <v>3507</v>
      </c>
      <c r="D179" s="45">
        <f>MROUND(MID($C179,6,3)/Basis!$E$3,0.5)</f>
        <v>12</v>
      </c>
      <c r="E179" s="45">
        <f>MROUND(MID($C179,9,3)/Basis!$E$3,0.5)</f>
        <v>102.5</v>
      </c>
      <c r="F179" s="229" t="str">
        <f t="shared" si="2"/>
        <v>11</v>
      </c>
      <c r="G179" s="45">
        <f>ROUND(5/Basis!$E$3,1)</f>
        <v>2</v>
      </c>
      <c r="H179" s="120">
        <f>ROUND($P179*Basis!$E$2*((TaH-TrH)/LN(1/µ)/Basis!$E$7)^$N179*Glycol,0)</f>
        <v>3268</v>
      </c>
      <c r="I179" s="83">
        <f>ROUND(H179/(MID($C179,9,3)/Basis!$E$3/Basis!$E$9)*Basis!$E$11,0)</f>
        <v>383</v>
      </c>
      <c r="J179" s="123">
        <f>IF(Basis!$E$1=1,ROUND(H179/((TaH-TrH)*1.163)/3600,3),ROUND(H179/(500*(TaH-TrH)),2))</f>
        <v>0.33</v>
      </c>
      <c r="K179" s="84"/>
      <c r="L179" s="177">
        <f>CHOOSE(Basis!$E$1,((AJ179*(J179*3600/Basis!$E$5)^AK179*(((MID(C179,9,3)*10)-144)/1000)*AL179+AM179*(J179*3600/Basis!$E$5)^2)*0.0098)/Basis!$E$10,((AJ179*(J179/Basis!$E$5)^AK179*(((MID(C179,9,3)*10)-144)/1000)*AL179+AM179*(J179/Basis!$E$5)^2)*0.0098)/Basis!$E$10)</f>
        <v>0</v>
      </c>
      <c r="M179" s="85"/>
      <c r="N179" s="109">
        <v>1.248</v>
      </c>
      <c r="O179" s="68"/>
      <c r="P179" s="67">
        <v>1446</v>
      </c>
      <c r="Q179" s="68"/>
      <c r="R179" s="69"/>
      <c r="S179" s="69"/>
      <c r="T179" s="69"/>
      <c r="U179" s="69"/>
      <c r="V179" s="69"/>
      <c r="W179" s="68"/>
      <c r="X179" s="70"/>
      <c r="Y179" s="70"/>
      <c r="Z179" s="70"/>
      <c r="AA179" s="70"/>
      <c r="AB179" s="70"/>
      <c r="AC179" s="68"/>
      <c r="AD179" s="71"/>
      <c r="AE179" s="71"/>
      <c r="AF179" s="71"/>
      <c r="AG179" s="71"/>
      <c r="AH179" s="71"/>
      <c r="AI179" s="68"/>
      <c r="AJ179" s="214"/>
      <c r="AK179" s="214"/>
      <c r="AL179" s="214"/>
      <c r="AM179" s="214"/>
      <c r="AN179" s="68"/>
      <c r="AO179" s="67"/>
      <c r="AP179" s="67"/>
      <c r="AQ179" s="67"/>
      <c r="AR179" s="67"/>
      <c r="AS179" s="67"/>
      <c r="AT179" s="68"/>
      <c r="AU179" s="49"/>
      <c r="AV179" s="50"/>
    </row>
    <row r="180" spans="1:48" ht="12.75" customHeight="1" x14ac:dyDescent="0.25">
      <c r="A180" s="72" t="s">
        <v>883</v>
      </c>
      <c r="B180" s="43" t="s">
        <v>4040</v>
      </c>
      <c r="C180" s="44" t="s">
        <v>3508</v>
      </c>
      <c r="D180" s="45">
        <f>MROUND(MID($C180,6,3)/Basis!$E$3,0.5)</f>
        <v>12</v>
      </c>
      <c r="E180" s="45">
        <f>MROUND(MID($C180,9,3)/Basis!$E$3,0.5)</f>
        <v>102.5</v>
      </c>
      <c r="F180" s="229" t="str">
        <f t="shared" si="2"/>
        <v>22</v>
      </c>
      <c r="G180" s="45">
        <f>ROUND(9/Basis!$E$3,1)</f>
        <v>3.5</v>
      </c>
      <c r="H180" s="120">
        <f>ROUND($P180*Basis!$E$2*((TaH-TrH)/LN(1/µ)/Basis!$E$7)^$N180*Glycol,0)</f>
        <v>5408</v>
      </c>
      <c r="I180" s="83">
        <f>ROUND(H180/(MID($C180,9,3)/Basis!$E$3/Basis!$E$9)*Basis!$E$11,0)</f>
        <v>634</v>
      </c>
      <c r="J180" s="123">
        <f>IF(Basis!$E$1=1,ROUND(H180/((TaH-TrH)*1.163)/3600,3),ROUND(H180/(500*(TaH-TrH)),2))</f>
        <v>0.54</v>
      </c>
      <c r="K180" s="84"/>
      <c r="L180" s="177">
        <f>CHOOSE(Basis!$E$1,((AJ180*(J180*3600/Basis!$E$5)^AK180*(((MID(C180,9,3)*10)-144)/1000)*AL180+AM180*(J180*3600/Basis!$E$5)^2)*0.0098)/Basis!$E$10,((AJ180*(J180/Basis!$E$5)^AK180*(((MID(C180,9,3)*10)-144)/1000)*AL180+AM180*(J180/Basis!$E$5)^2)*0.0098)/Basis!$E$10)</f>
        <v>0</v>
      </c>
      <c r="M180" s="85"/>
      <c r="N180" s="110">
        <v>1.349</v>
      </c>
      <c r="O180" s="74"/>
      <c r="P180" s="73">
        <v>2474</v>
      </c>
      <c r="Q180" s="74"/>
      <c r="R180" s="75"/>
      <c r="S180" s="75"/>
      <c r="T180" s="75"/>
      <c r="U180" s="75"/>
      <c r="V180" s="75"/>
      <c r="W180" s="74"/>
      <c r="X180" s="76"/>
      <c r="Y180" s="76"/>
      <c r="Z180" s="76"/>
      <c r="AA180" s="76"/>
      <c r="AB180" s="76"/>
      <c r="AC180" s="74"/>
      <c r="AD180" s="77"/>
      <c r="AE180" s="77"/>
      <c r="AF180" s="77"/>
      <c r="AG180" s="77"/>
      <c r="AH180" s="77"/>
      <c r="AI180" s="68"/>
      <c r="AJ180" s="213"/>
      <c r="AK180" s="213"/>
      <c r="AL180" s="213"/>
      <c r="AM180" s="213"/>
      <c r="AN180" s="74"/>
      <c r="AO180" s="73"/>
      <c r="AP180" s="73"/>
      <c r="AQ180" s="73"/>
      <c r="AR180" s="73"/>
      <c r="AS180" s="73"/>
      <c r="AT180" s="74"/>
      <c r="AU180" s="47"/>
      <c r="AV180" s="48"/>
    </row>
    <row r="181" spans="1:48" ht="12.75" customHeight="1" x14ac:dyDescent="0.25">
      <c r="A181" s="72" t="s">
        <v>883</v>
      </c>
      <c r="B181" s="43" t="s">
        <v>4040</v>
      </c>
      <c r="C181" s="44" t="s">
        <v>3509</v>
      </c>
      <c r="D181" s="45">
        <f>MROUND(MID($C181,6,3)/Basis!$E$3,0.5)</f>
        <v>12</v>
      </c>
      <c r="E181" s="45">
        <f>MROUND(MID($C181,9,3)/Basis!$E$3,0.5)</f>
        <v>102.5</v>
      </c>
      <c r="F181" s="229" t="str">
        <f t="shared" si="2"/>
        <v>34</v>
      </c>
      <c r="G181" s="45">
        <f>ROUND(16.9/Basis!$E$3,1)</f>
        <v>6.7</v>
      </c>
      <c r="H181" s="120">
        <f>ROUND($P181*Basis!$E$2*((TaH-TrH)/LN(1/µ)/Basis!$E$7)^$N181*Glycol,0)</f>
        <v>9324</v>
      </c>
      <c r="I181" s="83">
        <f>ROUND(H181/(MID($C181,9,3)/Basis!$E$3/Basis!$E$9)*Basis!$E$11,0)</f>
        <v>1093</v>
      </c>
      <c r="J181" s="123">
        <f>IF(Basis!$E$1=1,ROUND(H181/((TaH-TrH)*1.163)/3600,3),ROUND(H181/(500*(TaH-TrH)),2))</f>
        <v>0.93</v>
      </c>
      <c r="K181" s="84"/>
      <c r="L181" s="177">
        <f>CHOOSE(Basis!$E$1,((AJ181*(J181*3600/Basis!$E$5)^AK181*(((MID(C181,9,3)*10)-144)/1000)*AL181+AM181*(J181*3600/Basis!$E$5)^2)*0.0098)/Basis!$E$10,((AJ181*(J181/Basis!$E$5)^AK181*(((MID(C181,9,3)*10)-144)/1000)*AL181+AM181*(J181/Basis!$E$5)^2)*0.0098)/Basis!$E$10)</f>
        <v>0</v>
      </c>
      <c r="M181" s="85"/>
      <c r="N181" s="109">
        <v>1.4510000000000001</v>
      </c>
      <c r="O181" s="68"/>
      <c r="P181" s="67">
        <v>4411</v>
      </c>
      <c r="Q181" s="68"/>
      <c r="R181" s="69"/>
      <c r="S181" s="69"/>
      <c r="T181" s="69"/>
      <c r="U181" s="69"/>
      <c r="V181" s="69"/>
      <c r="W181" s="68"/>
      <c r="X181" s="70"/>
      <c r="Y181" s="70"/>
      <c r="Z181" s="70"/>
      <c r="AA181" s="70"/>
      <c r="AB181" s="70"/>
      <c r="AC181" s="68"/>
      <c r="AD181" s="71"/>
      <c r="AE181" s="71"/>
      <c r="AF181" s="71"/>
      <c r="AG181" s="71"/>
      <c r="AH181" s="71"/>
      <c r="AI181" s="68"/>
      <c r="AJ181" s="214"/>
      <c r="AK181" s="214"/>
      <c r="AL181" s="214"/>
      <c r="AM181" s="214"/>
      <c r="AN181" s="68"/>
      <c r="AO181" s="67"/>
      <c r="AP181" s="67"/>
      <c r="AQ181" s="67"/>
      <c r="AR181" s="67"/>
      <c r="AS181" s="67"/>
      <c r="AT181" s="68"/>
      <c r="AU181" s="49"/>
      <c r="AV181" s="50"/>
    </row>
    <row r="182" spans="1:48" ht="12.75" customHeight="1" x14ac:dyDescent="0.25">
      <c r="A182" s="72" t="s">
        <v>883</v>
      </c>
      <c r="B182" s="43" t="s">
        <v>4040</v>
      </c>
      <c r="C182" s="44" t="s">
        <v>3510</v>
      </c>
      <c r="D182" s="45">
        <f>MROUND(MID($C182,6,3)/Basis!$E$3,0.5)</f>
        <v>12</v>
      </c>
      <c r="E182" s="45">
        <f>MROUND(MID($C182,9,3)/Basis!$E$3,0.5)</f>
        <v>110</v>
      </c>
      <c r="F182" s="229" t="str">
        <f t="shared" si="2"/>
        <v>11</v>
      </c>
      <c r="G182" s="45">
        <f>ROUND(5/Basis!$E$3,1)</f>
        <v>2</v>
      </c>
      <c r="H182" s="120">
        <f>ROUND($P182*Basis!$E$2*((TaH-TrH)/LN(1/µ)/Basis!$E$7)^$N182*Glycol,0)</f>
        <v>3521</v>
      </c>
      <c r="I182" s="83">
        <f>ROUND(H182/(MID($C182,9,3)/Basis!$E$3/Basis!$E$9)*Basis!$E$11,0)</f>
        <v>383</v>
      </c>
      <c r="J182" s="123">
        <f>IF(Basis!$E$1=1,ROUND(H182/((TaH-TrH)*1.163)/3600,3),ROUND(H182/(500*(TaH-TrH)),2))</f>
        <v>0.35</v>
      </c>
      <c r="K182" s="84"/>
      <c r="L182" s="177">
        <f>CHOOSE(Basis!$E$1,((AJ182*(J182*3600/Basis!$E$5)^AK182*(((MID(C182,9,3)*10)-144)/1000)*AL182+AM182*(J182*3600/Basis!$E$5)^2)*0.0098)/Basis!$E$10,((AJ182*(J182/Basis!$E$5)^AK182*(((MID(C182,9,3)*10)-144)/1000)*AL182+AM182*(J182/Basis!$E$5)^2)*0.0098)/Basis!$E$10)</f>
        <v>0</v>
      </c>
      <c r="M182" s="85"/>
      <c r="N182" s="109">
        <v>1.248</v>
      </c>
      <c r="O182" s="68"/>
      <c r="P182" s="67">
        <v>1558</v>
      </c>
      <c r="Q182" s="68"/>
      <c r="R182" s="69"/>
      <c r="S182" s="69"/>
      <c r="T182" s="69"/>
      <c r="U182" s="69"/>
      <c r="V182" s="69"/>
      <c r="W182" s="68"/>
      <c r="X182" s="70"/>
      <c r="Y182" s="70"/>
      <c r="Z182" s="70"/>
      <c r="AA182" s="70"/>
      <c r="AB182" s="70"/>
      <c r="AC182" s="68"/>
      <c r="AD182" s="71"/>
      <c r="AE182" s="71"/>
      <c r="AF182" s="71"/>
      <c r="AG182" s="71"/>
      <c r="AH182" s="71"/>
      <c r="AI182" s="68"/>
      <c r="AJ182" s="214"/>
      <c r="AK182" s="214"/>
      <c r="AL182" s="214"/>
      <c r="AM182" s="214"/>
      <c r="AN182" s="68"/>
      <c r="AO182" s="67"/>
      <c r="AP182" s="67"/>
      <c r="AQ182" s="67"/>
      <c r="AR182" s="67"/>
      <c r="AS182" s="67"/>
      <c r="AT182" s="68"/>
      <c r="AU182" s="49"/>
      <c r="AV182" s="50"/>
    </row>
    <row r="183" spans="1:48" ht="12.75" customHeight="1" x14ac:dyDescent="0.25">
      <c r="A183" s="72" t="s">
        <v>883</v>
      </c>
      <c r="B183" s="43" t="s">
        <v>4040</v>
      </c>
      <c r="C183" s="44" t="s">
        <v>3511</v>
      </c>
      <c r="D183" s="45">
        <f>MROUND(MID($C183,6,3)/Basis!$E$3,0.5)</f>
        <v>12</v>
      </c>
      <c r="E183" s="45">
        <f>MROUND(MID($C183,9,3)/Basis!$E$3,0.5)</f>
        <v>110</v>
      </c>
      <c r="F183" s="229" t="str">
        <f t="shared" si="2"/>
        <v>22</v>
      </c>
      <c r="G183" s="45">
        <f>ROUND(9/Basis!$E$3,1)</f>
        <v>3.5</v>
      </c>
      <c r="H183" s="120">
        <f>ROUND($P183*Basis!$E$2*((TaH-TrH)/LN(1/µ)/Basis!$E$7)^$N183*Glycol,0)</f>
        <v>5824</v>
      </c>
      <c r="I183" s="83">
        <f>ROUND(H183/(MID($C183,9,3)/Basis!$E$3/Basis!$E$9)*Basis!$E$11,0)</f>
        <v>634</v>
      </c>
      <c r="J183" s="123">
        <f>IF(Basis!$E$1=1,ROUND(H183/((TaH-TrH)*1.163)/3600,3),ROUND(H183/(500*(TaH-TrH)),2))</f>
        <v>0.57999999999999996</v>
      </c>
      <c r="K183" s="84"/>
      <c r="L183" s="177">
        <f>CHOOSE(Basis!$E$1,((AJ183*(J183*3600/Basis!$E$5)^AK183*(((MID(C183,9,3)*10)-144)/1000)*AL183+AM183*(J183*3600/Basis!$E$5)^2)*0.0098)/Basis!$E$10,((AJ183*(J183/Basis!$E$5)^AK183*(((MID(C183,9,3)*10)-144)/1000)*AL183+AM183*(J183/Basis!$E$5)^2)*0.0098)/Basis!$E$10)</f>
        <v>0</v>
      </c>
      <c r="M183" s="85"/>
      <c r="N183" s="110">
        <v>1.349</v>
      </c>
      <c r="O183" s="74"/>
      <c r="P183" s="73">
        <v>2664</v>
      </c>
      <c r="Q183" s="74"/>
      <c r="R183" s="75"/>
      <c r="S183" s="75"/>
      <c r="T183" s="75"/>
      <c r="U183" s="75"/>
      <c r="V183" s="75"/>
      <c r="W183" s="74"/>
      <c r="X183" s="76"/>
      <c r="Y183" s="76"/>
      <c r="Z183" s="76"/>
      <c r="AA183" s="76"/>
      <c r="AB183" s="76"/>
      <c r="AC183" s="74"/>
      <c r="AD183" s="77"/>
      <c r="AE183" s="77"/>
      <c r="AF183" s="77"/>
      <c r="AG183" s="77"/>
      <c r="AH183" s="77"/>
      <c r="AI183" s="68"/>
      <c r="AJ183" s="213"/>
      <c r="AK183" s="213"/>
      <c r="AL183" s="213"/>
      <c r="AM183" s="213"/>
      <c r="AN183" s="74"/>
      <c r="AO183" s="73"/>
      <c r="AP183" s="73"/>
      <c r="AQ183" s="73"/>
      <c r="AR183" s="73"/>
      <c r="AS183" s="73"/>
      <c r="AT183" s="74"/>
      <c r="AU183" s="47"/>
      <c r="AV183" s="48"/>
    </row>
    <row r="184" spans="1:48" ht="12.75" customHeight="1" x14ac:dyDescent="0.25">
      <c r="A184" s="72" t="s">
        <v>883</v>
      </c>
      <c r="B184" s="43" t="s">
        <v>4040</v>
      </c>
      <c r="C184" s="44" t="s">
        <v>3512</v>
      </c>
      <c r="D184" s="45">
        <f>MROUND(MID($C184,6,3)/Basis!$E$3,0.5)</f>
        <v>12</v>
      </c>
      <c r="E184" s="45">
        <f>MROUND(MID($C184,9,3)/Basis!$E$3,0.5)</f>
        <v>110</v>
      </c>
      <c r="F184" s="229" t="str">
        <f t="shared" si="2"/>
        <v>34</v>
      </c>
      <c r="G184" s="45">
        <f>ROUND(16.9/Basis!$E$3,1)</f>
        <v>6.7</v>
      </c>
      <c r="H184" s="120">
        <f>ROUND($P184*Basis!$E$2*((TaH-TrH)/LN(1/µ)/Basis!$E$7)^$N184*Glycol,0)</f>
        <v>10042</v>
      </c>
      <c r="I184" s="83">
        <f>ROUND(H184/(MID($C184,9,3)/Basis!$E$3/Basis!$E$9)*Basis!$E$11,0)</f>
        <v>1093</v>
      </c>
      <c r="J184" s="123">
        <f>IF(Basis!$E$1=1,ROUND(H184/((TaH-TrH)*1.163)/3600,3),ROUND(H184/(500*(TaH-TrH)),2))</f>
        <v>1</v>
      </c>
      <c r="K184" s="84"/>
      <c r="L184" s="177">
        <f>CHOOSE(Basis!$E$1,((AJ184*(J184*3600/Basis!$E$5)^AK184*(((MID(C184,9,3)*10)-144)/1000)*AL184+AM184*(J184*3600/Basis!$E$5)^2)*0.0098)/Basis!$E$10,((AJ184*(J184/Basis!$E$5)^AK184*(((MID(C184,9,3)*10)-144)/1000)*AL184+AM184*(J184/Basis!$E$5)^2)*0.0098)/Basis!$E$10)</f>
        <v>0</v>
      </c>
      <c r="M184" s="85"/>
      <c r="N184" s="109">
        <v>1.4510000000000001</v>
      </c>
      <c r="O184" s="68"/>
      <c r="P184" s="67">
        <v>4751</v>
      </c>
      <c r="Q184" s="68"/>
      <c r="R184" s="69"/>
      <c r="S184" s="69"/>
      <c r="T184" s="69"/>
      <c r="U184" s="69"/>
      <c r="V184" s="69"/>
      <c r="W184" s="68"/>
      <c r="X184" s="70"/>
      <c r="Y184" s="70"/>
      <c r="Z184" s="70"/>
      <c r="AA184" s="70"/>
      <c r="AB184" s="70"/>
      <c r="AC184" s="68"/>
      <c r="AD184" s="71"/>
      <c r="AE184" s="71"/>
      <c r="AF184" s="71"/>
      <c r="AG184" s="71"/>
      <c r="AH184" s="71"/>
      <c r="AI184" s="68"/>
      <c r="AJ184" s="214"/>
      <c r="AK184" s="214"/>
      <c r="AL184" s="214"/>
      <c r="AM184" s="214"/>
      <c r="AN184" s="68"/>
      <c r="AO184" s="67"/>
      <c r="AP184" s="67"/>
      <c r="AQ184" s="67"/>
      <c r="AR184" s="67"/>
      <c r="AS184" s="67"/>
      <c r="AT184" s="68"/>
      <c r="AU184" s="49"/>
      <c r="AV184" s="50"/>
    </row>
    <row r="185" spans="1:48" ht="12.75" customHeight="1" x14ac:dyDescent="0.25">
      <c r="A185" s="72" t="s">
        <v>883</v>
      </c>
      <c r="B185" s="43" t="s">
        <v>4040</v>
      </c>
      <c r="C185" s="44" t="s">
        <v>3513</v>
      </c>
      <c r="D185" s="45">
        <f>MROUND(MID($C185,6,3)/Basis!$E$3,0.5)</f>
        <v>12</v>
      </c>
      <c r="E185" s="45">
        <f>MROUND(MID($C185,9,3)/Basis!$E$3,0.5)</f>
        <v>118</v>
      </c>
      <c r="F185" s="229" t="str">
        <f t="shared" si="2"/>
        <v>11</v>
      </c>
      <c r="G185" s="45">
        <f>ROUND(5/Basis!$E$3,1)</f>
        <v>2</v>
      </c>
      <c r="H185" s="120">
        <f>ROUND($P185*Basis!$E$2*((TaH-TrH)/LN(1/µ)/Basis!$E$7)^$N185*Glycol,0)</f>
        <v>3772</v>
      </c>
      <c r="I185" s="83">
        <f>ROUND(H185/(MID($C185,9,3)/Basis!$E$3/Basis!$E$9)*Basis!$E$11,0)</f>
        <v>383</v>
      </c>
      <c r="J185" s="123">
        <f>IF(Basis!$E$1=1,ROUND(H185/((TaH-TrH)*1.163)/3600,3),ROUND(H185/(500*(TaH-TrH)),2))</f>
        <v>0.38</v>
      </c>
      <c r="K185" s="84"/>
      <c r="L185" s="177">
        <f>CHOOSE(Basis!$E$1,((AJ185*(J185*3600/Basis!$E$5)^AK185*(((MID(C185,9,3)*10)-144)/1000)*AL185+AM185*(J185*3600/Basis!$E$5)^2)*0.0098)/Basis!$E$10,((AJ185*(J185/Basis!$E$5)^AK185*(((MID(C185,9,3)*10)-144)/1000)*AL185+AM185*(J185/Basis!$E$5)^2)*0.0098)/Basis!$E$10)</f>
        <v>0</v>
      </c>
      <c r="M185" s="85"/>
      <c r="N185" s="109">
        <v>1.248</v>
      </c>
      <c r="O185" s="68"/>
      <c r="P185" s="67">
        <v>1669</v>
      </c>
      <c r="Q185" s="68"/>
      <c r="R185" s="69"/>
      <c r="S185" s="69"/>
      <c r="T185" s="69"/>
      <c r="U185" s="69"/>
      <c r="V185" s="69"/>
      <c r="W185" s="68"/>
      <c r="X185" s="70"/>
      <c r="Y185" s="70"/>
      <c r="Z185" s="70"/>
      <c r="AA185" s="70"/>
      <c r="AB185" s="70"/>
      <c r="AC185" s="68"/>
      <c r="AD185" s="71"/>
      <c r="AE185" s="71"/>
      <c r="AF185" s="71"/>
      <c r="AG185" s="71"/>
      <c r="AH185" s="71"/>
      <c r="AI185" s="68"/>
      <c r="AJ185" s="214"/>
      <c r="AK185" s="214"/>
      <c r="AL185" s="214"/>
      <c r="AM185" s="214"/>
      <c r="AN185" s="68"/>
      <c r="AO185" s="67"/>
      <c r="AP185" s="67"/>
      <c r="AQ185" s="67"/>
      <c r="AR185" s="67"/>
      <c r="AS185" s="67"/>
      <c r="AT185" s="68"/>
      <c r="AU185" s="49"/>
      <c r="AV185" s="50"/>
    </row>
    <row r="186" spans="1:48" ht="12.75" customHeight="1" x14ac:dyDescent="0.25">
      <c r="A186" s="72" t="s">
        <v>883</v>
      </c>
      <c r="B186" s="43" t="s">
        <v>4040</v>
      </c>
      <c r="C186" s="44" t="s">
        <v>3514</v>
      </c>
      <c r="D186" s="45">
        <f>MROUND(MID($C186,6,3)/Basis!$E$3,0.5)</f>
        <v>12</v>
      </c>
      <c r="E186" s="45">
        <f>MROUND(MID($C186,9,3)/Basis!$E$3,0.5)</f>
        <v>118</v>
      </c>
      <c r="F186" s="229" t="str">
        <f t="shared" si="2"/>
        <v>22</v>
      </c>
      <c r="G186" s="45">
        <f>ROUND(9/Basis!$E$3,1)</f>
        <v>3.5</v>
      </c>
      <c r="H186" s="120">
        <f>ROUND($P186*Basis!$E$2*((TaH-TrH)/LN(1/µ)/Basis!$E$7)^$N186*Glycol,0)</f>
        <v>6239</v>
      </c>
      <c r="I186" s="83">
        <f>ROUND(H186/(MID($C186,9,3)/Basis!$E$3/Basis!$E$9)*Basis!$E$11,0)</f>
        <v>634</v>
      </c>
      <c r="J186" s="123">
        <f>IF(Basis!$E$1=1,ROUND(H186/((TaH-TrH)*1.163)/3600,3),ROUND(H186/(500*(TaH-TrH)),2))</f>
        <v>0.62</v>
      </c>
      <c r="K186" s="84"/>
      <c r="L186" s="177">
        <f>CHOOSE(Basis!$E$1,((AJ186*(J186*3600/Basis!$E$5)^AK186*(((MID(C186,9,3)*10)-144)/1000)*AL186+AM186*(J186*3600/Basis!$E$5)^2)*0.0098)/Basis!$E$10,((AJ186*(J186/Basis!$E$5)^AK186*(((MID(C186,9,3)*10)-144)/1000)*AL186+AM186*(J186/Basis!$E$5)^2)*0.0098)/Basis!$E$10)</f>
        <v>0</v>
      </c>
      <c r="M186" s="85"/>
      <c r="N186" s="110">
        <v>1.349</v>
      </c>
      <c r="O186" s="74"/>
      <c r="P186" s="73">
        <v>2854</v>
      </c>
      <c r="Q186" s="74"/>
      <c r="R186" s="75"/>
      <c r="S186" s="75"/>
      <c r="T186" s="75"/>
      <c r="U186" s="75"/>
      <c r="V186" s="75"/>
      <c r="W186" s="74"/>
      <c r="X186" s="76"/>
      <c r="Y186" s="76"/>
      <c r="Z186" s="76"/>
      <c r="AA186" s="76"/>
      <c r="AB186" s="76"/>
      <c r="AC186" s="74"/>
      <c r="AD186" s="77"/>
      <c r="AE186" s="77"/>
      <c r="AF186" s="77"/>
      <c r="AG186" s="77"/>
      <c r="AH186" s="77"/>
      <c r="AI186" s="68"/>
      <c r="AJ186" s="213"/>
      <c r="AK186" s="213"/>
      <c r="AL186" s="213"/>
      <c r="AM186" s="213"/>
      <c r="AN186" s="74"/>
      <c r="AO186" s="73"/>
      <c r="AP186" s="73"/>
      <c r="AQ186" s="73"/>
      <c r="AR186" s="73"/>
      <c r="AS186" s="73"/>
      <c r="AT186" s="74"/>
      <c r="AU186" s="47"/>
      <c r="AV186" s="48"/>
    </row>
    <row r="187" spans="1:48" ht="12.75" customHeight="1" x14ac:dyDescent="0.25">
      <c r="A187" s="72" t="s">
        <v>883</v>
      </c>
      <c r="B187" s="43" t="s">
        <v>4040</v>
      </c>
      <c r="C187" s="44" t="s">
        <v>3515</v>
      </c>
      <c r="D187" s="45">
        <f>MROUND(MID($C187,6,3)/Basis!$E$3,0.5)</f>
        <v>12</v>
      </c>
      <c r="E187" s="45">
        <f>MROUND(MID($C187,9,3)/Basis!$E$3,0.5)</f>
        <v>118</v>
      </c>
      <c r="F187" s="229" t="str">
        <f t="shared" si="2"/>
        <v>34</v>
      </c>
      <c r="G187" s="45">
        <f>ROUND(16.9/Basis!$E$3,1)</f>
        <v>6.7</v>
      </c>
      <c r="H187" s="120">
        <f>ROUND($P187*Basis!$E$2*((TaH-TrH)/LN(1/µ)/Basis!$E$7)^$N187*Glycol,0)</f>
        <v>10759</v>
      </c>
      <c r="I187" s="83">
        <f>ROUND(H187/(MID($C187,9,3)/Basis!$E$3/Basis!$E$9)*Basis!$E$11,0)</f>
        <v>1093</v>
      </c>
      <c r="J187" s="123">
        <f>IF(Basis!$E$1=1,ROUND(H187/((TaH-TrH)*1.163)/3600,3),ROUND(H187/(500*(TaH-TrH)),2))</f>
        <v>1.08</v>
      </c>
      <c r="K187" s="84"/>
      <c r="L187" s="177">
        <f>CHOOSE(Basis!$E$1,((AJ187*(J187*3600/Basis!$E$5)^AK187*(((MID(C187,9,3)*10)-144)/1000)*AL187+AM187*(J187*3600/Basis!$E$5)^2)*0.0098)/Basis!$E$10,((AJ187*(J187/Basis!$E$5)^AK187*(((MID(C187,9,3)*10)-144)/1000)*AL187+AM187*(J187/Basis!$E$5)^2)*0.0098)/Basis!$E$10)</f>
        <v>0</v>
      </c>
      <c r="M187" s="85"/>
      <c r="N187" s="110">
        <v>1.4510000000000001</v>
      </c>
      <c r="O187" s="74"/>
      <c r="P187" s="73">
        <v>5090</v>
      </c>
      <c r="Q187" s="74"/>
      <c r="R187" s="75"/>
      <c r="S187" s="75"/>
      <c r="T187" s="75"/>
      <c r="U187" s="75"/>
      <c r="V187" s="75"/>
      <c r="W187" s="74"/>
      <c r="X187" s="76"/>
      <c r="Y187" s="76"/>
      <c r="Z187" s="76"/>
      <c r="AA187" s="76"/>
      <c r="AB187" s="76"/>
      <c r="AC187" s="74"/>
      <c r="AD187" s="77"/>
      <c r="AE187" s="77"/>
      <c r="AF187" s="77"/>
      <c r="AG187" s="77"/>
      <c r="AH187" s="77"/>
      <c r="AI187" s="68"/>
      <c r="AJ187" s="213"/>
      <c r="AK187" s="213"/>
      <c r="AL187" s="213"/>
      <c r="AM187" s="213"/>
      <c r="AN187" s="74"/>
      <c r="AO187" s="73"/>
      <c r="AP187" s="73"/>
      <c r="AQ187" s="73"/>
      <c r="AR187" s="73"/>
      <c r="AS187" s="73"/>
      <c r="AT187" s="74"/>
      <c r="AU187" s="47"/>
      <c r="AV187" s="48"/>
    </row>
    <row r="188" spans="1:48" ht="12.75" customHeight="1" x14ac:dyDescent="0.25">
      <c r="A188" s="72" t="s">
        <v>20</v>
      </c>
      <c r="B188" s="43" t="s">
        <v>4043</v>
      </c>
      <c r="C188" s="44" t="s">
        <v>3516</v>
      </c>
      <c r="D188" s="45">
        <f>MROUND(MID($C188,6,3)/Basis!$E$3,0.5)</f>
        <v>4.5</v>
      </c>
      <c r="E188" s="45">
        <f>MROUND(MID($C188,9,3)/Basis!$E$3,0.5)</f>
        <v>39.5</v>
      </c>
      <c r="F188" s="229" t="str">
        <f t="shared" si="2"/>
        <v>11</v>
      </c>
      <c r="G188" s="45">
        <f>ROUND(5/Basis!$E$3,1)</f>
        <v>2</v>
      </c>
      <c r="H188" s="120">
        <f>ROUND($P188*Basis!$E$2*((TaH-TrH)/LN(1/µ)/Basis!$E$7)^$N188*Glycol,0)</f>
        <v>595</v>
      </c>
      <c r="I188" s="83">
        <f>ROUND(H188/(MID($C188,9,3)/Basis!$E$3/Basis!$E$9)*Basis!$E$11,0)</f>
        <v>181</v>
      </c>
      <c r="J188" s="123">
        <f>IF(Basis!$E$1=1,ROUND(H188/((TaH-TrH)*1.163)/3600,3),ROUND(H188/(500*(TaH-TrH)),2))</f>
        <v>0.06</v>
      </c>
      <c r="K188" s="84"/>
      <c r="L188" s="177">
        <f>CHOOSE(Basis!$E$1,((AJ188*(J188*3600/Basis!$E$5)^AK188*(((MID(C188,9,3)*10)-144)/1000)*AL188+AM188*(J188*3600/Basis!$E$5)^2)*0.0098)/Basis!$E$10,((AJ188*(J188/Basis!$E$5)^AK188*(((MID(C188,9,3)*10)-144)/1000)*AL188+AM188*(J188/Basis!$E$5)^2)*0.0098)/Basis!$E$10)</f>
        <v>0</v>
      </c>
      <c r="M188" s="85"/>
      <c r="N188" s="109">
        <v>1.224</v>
      </c>
      <c r="O188" s="68"/>
      <c r="P188" s="67">
        <v>261</v>
      </c>
      <c r="Q188" s="68"/>
      <c r="R188" s="69"/>
      <c r="S188" s="69"/>
      <c r="T188" s="69"/>
      <c r="U188" s="69"/>
      <c r="V188" s="69"/>
      <c r="W188" s="68"/>
      <c r="X188" s="70"/>
      <c r="Y188" s="70"/>
      <c r="Z188" s="70"/>
      <c r="AA188" s="70"/>
      <c r="AB188" s="70"/>
      <c r="AC188" s="68"/>
      <c r="AD188" s="71"/>
      <c r="AE188" s="71"/>
      <c r="AF188" s="71"/>
      <c r="AG188" s="71"/>
      <c r="AH188" s="71"/>
      <c r="AI188" s="68"/>
      <c r="AJ188" s="214"/>
      <c r="AK188" s="214"/>
      <c r="AL188" s="214"/>
      <c r="AM188" s="214"/>
      <c r="AN188" s="68"/>
      <c r="AO188" s="67"/>
      <c r="AP188" s="67"/>
      <c r="AQ188" s="67"/>
      <c r="AR188" s="67"/>
      <c r="AS188" s="67"/>
      <c r="AT188" s="68"/>
      <c r="AU188" s="49"/>
      <c r="AV188" s="50"/>
    </row>
    <row r="189" spans="1:48" ht="12.75" customHeight="1" x14ac:dyDescent="0.25">
      <c r="A189" s="72" t="s">
        <v>20</v>
      </c>
      <c r="B189" s="43" t="s">
        <v>4043</v>
      </c>
      <c r="C189" s="44" t="s">
        <v>3517</v>
      </c>
      <c r="D189" s="45">
        <f>MROUND(MID($C189,6,3)/Basis!$E$3,0.5)</f>
        <v>4.5</v>
      </c>
      <c r="E189" s="45">
        <f>MROUND(MID($C189,9,3)/Basis!$E$3,0.5)</f>
        <v>39.5</v>
      </c>
      <c r="F189" s="229" t="str">
        <f t="shared" si="2"/>
        <v>22</v>
      </c>
      <c r="G189" s="45">
        <f>ROUND(9/Basis!$E$3,1)</f>
        <v>3.5</v>
      </c>
      <c r="H189" s="120">
        <f>ROUND($P189*Basis!$E$2*((TaH-TrH)/LN(1/µ)/Basis!$E$7)^$N189*Glycol,0)</f>
        <v>1040</v>
      </c>
      <c r="I189" s="83">
        <f>ROUND(H189/(MID($C189,9,3)/Basis!$E$3/Basis!$E$9)*Basis!$E$11,0)</f>
        <v>317</v>
      </c>
      <c r="J189" s="123">
        <f>IF(Basis!$E$1=1,ROUND(H189/((TaH-TrH)*1.163)/3600,3),ROUND(H189/(500*(TaH-TrH)),2))</f>
        <v>0.1</v>
      </c>
      <c r="K189" s="84"/>
      <c r="L189" s="177">
        <f>CHOOSE(Basis!$E$1,((AJ189*(J189*3600/Basis!$E$5)^AK189*(((MID(C189,9,3)*10)-144)/1000)*AL189+AM189*(J189*3600/Basis!$E$5)^2)*0.0098)/Basis!$E$10,((AJ189*(J189/Basis!$E$5)^AK189*(((MID(C189,9,3)*10)-144)/1000)*AL189+AM189*(J189/Basis!$E$5)^2)*0.0098)/Basis!$E$10)</f>
        <v>0</v>
      </c>
      <c r="M189" s="85"/>
      <c r="N189" s="109">
        <v>1.206</v>
      </c>
      <c r="O189" s="68"/>
      <c r="P189" s="67">
        <v>454</v>
      </c>
      <c r="Q189" s="68"/>
      <c r="R189" s="69"/>
      <c r="S189" s="69"/>
      <c r="T189" s="69"/>
      <c r="U189" s="69"/>
      <c r="V189" s="69"/>
      <c r="W189" s="68"/>
      <c r="X189" s="70"/>
      <c r="Y189" s="70"/>
      <c r="Z189" s="70"/>
      <c r="AA189" s="70"/>
      <c r="AB189" s="70"/>
      <c r="AC189" s="68"/>
      <c r="AD189" s="71"/>
      <c r="AE189" s="71"/>
      <c r="AF189" s="71"/>
      <c r="AG189" s="71"/>
      <c r="AH189" s="71"/>
      <c r="AI189" s="68"/>
      <c r="AJ189" s="214"/>
      <c r="AK189" s="214"/>
      <c r="AL189" s="214"/>
      <c r="AM189" s="214"/>
      <c r="AN189" s="68"/>
      <c r="AO189" s="67"/>
      <c r="AP189" s="67"/>
      <c r="AQ189" s="67"/>
      <c r="AR189" s="67"/>
      <c r="AS189" s="67"/>
      <c r="AT189" s="68"/>
      <c r="AU189" s="49"/>
      <c r="AV189" s="50"/>
    </row>
    <row r="190" spans="1:48" ht="12.75" customHeight="1" x14ac:dyDescent="0.25">
      <c r="A190" s="72" t="s">
        <v>20</v>
      </c>
      <c r="B190" s="43" t="s">
        <v>4043</v>
      </c>
      <c r="C190" s="44" t="s">
        <v>3518</v>
      </c>
      <c r="D190" s="45">
        <f>MROUND(MID($C190,6,3)/Basis!$E$3,0.5)</f>
        <v>4.5</v>
      </c>
      <c r="E190" s="45">
        <f>MROUND(MID($C190,9,3)/Basis!$E$3,0.5)</f>
        <v>39.5</v>
      </c>
      <c r="F190" s="229" t="str">
        <f t="shared" si="2"/>
        <v>34</v>
      </c>
      <c r="G190" s="45">
        <f>ROUND(16.9/Basis!$E$3,1)</f>
        <v>6.7</v>
      </c>
      <c r="H190" s="120">
        <f>ROUND($P190*Basis!$E$2*((TaH-TrH)/LN(1/µ)/Basis!$E$7)^$N190*Glycol,0)</f>
        <v>1589</v>
      </c>
      <c r="I190" s="83">
        <f>ROUND(H190/(MID($C190,9,3)/Basis!$E$3/Basis!$E$9)*Basis!$E$11,0)</f>
        <v>484</v>
      </c>
      <c r="J190" s="123">
        <f>IF(Basis!$E$1=1,ROUND(H190/((TaH-TrH)*1.163)/3600,3),ROUND(H190/(500*(TaH-TrH)),2))</f>
        <v>0.16</v>
      </c>
      <c r="K190" s="84"/>
      <c r="L190" s="177">
        <f>CHOOSE(Basis!$E$1,((AJ190*(J190*3600/Basis!$E$5)^AK190*(((MID(C190,9,3)*10)-144)/1000)*AL190+AM190*(J190*3600/Basis!$E$5)^2)*0.0098)/Basis!$E$10,((AJ190*(J190/Basis!$E$5)^AK190*(((MID(C190,9,3)*10)-144)/1000)*AL190+AM190*(J190/Basis!$E$5)^2)*0.0098)/Basis!$E$10)</f>
        <v>0</v>
      </c>
      <c r="M190" s="85"/>
      <c r="N190" s="110">
        <v>1.452</v>
      </c>
      <c r="O190" s="74"/>
      <c r="P190" s="73">
        <v>752</v>
      </c>
      <c r="Q190" s="74"/>
      <c r="R190" s="75"/>
      <c r="S190" s="75"/>
      <c r="T190" s="75"/>
      <c r="U190" s="75"/>
      <c r="V190" s="75"/>
      <c r="W190" s="74"/>
      <c r="X190" s="76"/>
      <c r="Y190" s="76"/>
      <c r="Z190" s="76"/>
      <c r="AA190" s="76"/>
      <c r="AB190" s="76"/>
      <c r="AC190" s="74"/>
      <c r="AD190" s="77"/>
      <c r="AE190" s="77"/>
      <c r="AF190" s="77"/>
      <c r="AG190" s="77"/>
      <c r="AH190" s="77"/>
      <c r="AI190" s="68"/>
      <c r="AJ190" s="213"/>
      <c r="AK190" s="213"/>
      <c r="AL190" s="213"/>
      <c r="AM190" s="213"/>
      <c r="AN190" s="74"/>
      <c r="AO190" s="73"/>
      <c r="AP190" s="73"/>
      <c r="AQ190" s="73"/>
      <c r="AR190" s="73"/>
      <c r="AS190" s="73"/>
      <c r="AT190" s="74"/>
      <c r="AU190" s="47"/>
      <c r="AV190" s="48"/>
    </row>
    <row r="191" spans="1:48" ht="12.75" customHeight="1" x14ac:dyDescent="0.25">
      <c r="A191" s="72" t="s">
        <v>20</v>
      </c>
      <c r="B191" s="43" t="s">
        <v>4043</v>
      </c>
      <c r="C191" s="44" t="s">
        <v>3519</v>
      </c>
      <c r="D191" s="45">
        <f>MROUND(MID($C191,6,3)/Basis!$E$3,0.5)</f>
        <v>4.5</v>
      </c>
      <c r="E191" s="45">
        <f>MROUND(MID($C191,9,3)/Basis!$E$3,0.5)</f>
        <v>47</v>
      </c>
      <c r="F191" s="229" t="str">
        <f t="shared" si="2"/>
        <v>11</v>
      </c>
      <c r="G191" s="45">
        <f>ROUND(5/Basis!$E$3,1)</f>
        <v>2</v>
      </c>
      <c r="H191" s="120">
        <f>ROUND($P191*Basis!$E$2*((TaH-TrH)/LN(1/µ)/Basis!$E$7)^$N191*Glycol,0)</f>
        <v>713</v>
      </c>
      <c r="I191" s="83">
        <f>ROUND(H191/(MID($C191,9,3)/Basis!$E$3/Basis!$E$9)*Basis!$E$11,0)</f>
        <v>181</v>
      </c>
      <c r="J191" s="123">
        <f>IF(Basis!$E$1=1,ROUND(H191/((TaH-TrH)*1.163)/3600,3),ROUND(H191/(500*(TaH-TrH)),2))</f>
        <v>7.0000000000000007E-2</v>
      </c>
      <c r="K191" s="84"/>
      <c r="L191" s="177">
        <f>CHOOSE(Basis!$E$1,((AJ191*(J191*3600/Basis!$E$5)^AK191*(((MID(C191,9,3)*10)-144)/1000)*AL191+AM191*(J191*3600/Basis!$E$5)^2)*0.0098)/Basis!$E$10,((AJ191*(J191/Basis!$E$5)^AK191*(((MID(C191,9,3)*10)-144)/1000)*AL191+AM191*(J191/Basis!$E$5)^2)*0.0098)/Basis!$E$10)</f>
        <v>0</v>
      </c>
      <c r="M191" s="85"/>
      <c r="N191" s="110">
        <v>1.224</v>
      </c>
      <c r="O191" s="74"/>
      <c r="P191" s="73">
        <v>313</v>
      </c>
      <c r="Q191" s="74"/>
      <c r="R191" s="75"/>
      <c r="S191" s="75"/>
      <c r="T191" s="75"/>
      <c r="U191" s="75"/>
      <c r="V191" s="75"/>
      <c r="W191" s="74"/>
      <c r="X191" s="76"/>
      <c r="Y191" s="76"/>
      <c r="Z191" s="76"/>
      <c r="AA191" s="76"/>
      <c r="AB191" s="76"/>
      <c r="AC191" s="74"/>
      <c r="AD191" s="77"/>
      <c r="AE191" s="77"/>
      <c r="AF191" s="77"/>
      <c r="AG191" s="77"/>
      <c r="AH191" s="77"/>
      <c r="AI191" s="68"/>
      <c r="AJ191" s="213"/>
      <c r="AK191" s="213"/>
      <c r="AL191" s="213"/>
      <c r="AM191" s="213"/>
      <c r="AN191" s="74"/>
      <c r="AO191" s="73"/>
      <c r="AP191" s="73"/>
      <c r="AQ191" s="73"/>
      <c r="AR191" s="73"/>
      <c r="AS191" s="73"/>
      <c r="AT191" s="74"/>
      <c r="AU191" s="47"/>
      <c r="AV191" s="48"/>
    </row>
    <row r="192" spans="1:48" ht="12.75" customHeight="1" x14ac:dyDescent="0.25">
      <c r="A192" s="72" t="s">
        <v>20</v>
      </c>
      <c r="B192" s="43" t="s">
        <v>4043</v>
      </c>
      <c r="C192" s="44" t="s">
        <v>3520</v>
      </c>
      <c r="D192" s="45">
        <f>MROUND(MID($C192,6,3)/Basis!$E$3,0.5)</f>
        <v>4.5</v>
      </c>
      <c r="E192" s="45">
        <f>MROUND(MID($C192,9,3)/Basis!$E$3,0.5)</f>
        <v>47</v>
      </c>
      <c r="F192" s="229" t="str">
        <f t="shared" si="2"/>
        <v>22</v>
      </c>
      <c r="G192" s="45">
        <f>ROUND(9/Basis!$E$3,1)</f>
        <v>3.5</v>
      </c>
      <c r="H192" s="120">
        <f>ROUND($P192*Basis!$E$2*((TaH-TrH)/LN(1/µ)/Basis!$E$7)^$N192*Glycol,0)</f>
        <v>1249</v>
      </c>
      <c r="I192" s="83">
        <f>ROUND(H192/(MID($C192,9,3)/Basis!$E$3/Basis!$E$9)*Basis!$E$11,0)</f>
        <v>317</v>
      </c>
      <c r="J192" s="123">
        <f>IF(Basis!$E$1=1,ROUND(H192/((TaH-TrH)*1.163)/3600,3),ROUND(H192/(500*(TaH-TrH)),2))</f>
        <v>0.12</v>
      </c>
      <c r="K192" s="84"/>
      <c r="L192" s="177">
        <f>CHOOSE(Basis!$E$1,((AJ192*(J192*3600/Basis!$E$5)^AK192*(((MID(C192,9,3)*10)-144)/1000)*AL192+AM192*(J192*3600/Basis!$E$5)^2)*0.0098)/Basis!$E$10,((AJ192*(J192/Basis!$E$5)^AK192*(((MID(C192,9,3)*10)-144)/1000)*AL192+AM192*(J192/Basis!$E$5)^2)*0.0098)/Basis!$E$10)</f>
        <v>0</v>
      </c>
      <c r="M192" s="85"/>
      <c r="N192" s="109">
        <v>1.206</v>
      </c>
      <c r="O192" s="68"/>
      <c r="P192" s="67">
        <v>545</v>
      </c>
      <c r="Q192" s="68"/>
      <c r="R192" s="69"/>
      <c r="S192" s="69"/>
      <c r="T192" s="69"/>
      <c r="U192" s="69"/>
      <c r="V192" s="69"/>
      <c r="W192" s="68"/>
      <c r="X192" s="70"/>
      <c r="Y192" s="70"/>
      <c r="Z192" s="70"/>
      <c r="AA192" s="70"/>
      <c r="AB192" s="70"/>
      <c r="AC192" s="68"/>
      <c r="AD192" s="71"/>
      <c r="AE192" s="71"/>
      <c r="AF192" s="71"/>
      <c r="AG192" s="71"/>
      <c r="AH192" s="71"/>
      <c r="AI192" s="68"/>
      <c r="AJ192" s="214"/>
      <c r="AK192" s="214"/>
      <c r="AL192" s="214"/>
      <c r="AM192" s="214"/>
      <c r="AN192" s="68"/>
      <c r="AO192" s="67"/>
      <c r="AP192" s="67"/>
      <c r="AQ192" s="67"/>
      <c r="AR192" s="67"/>
      <c r="AS192" s="67"/>
      <c r="AT192" s="68"/>
      <c r="AU192" s="49"/>
      <c r="AV192" s="50"/>
    </row>
    <row r="193" spans="1:48" ht="12.75" customHeight="1" x14ac:dyDescent="0.25">
      <c r="A193" s="72" t="s">
        <v>20</v>
      </c>
      <c r="B193" s="43" t="s">
        <v>4043</v>
      </c>
      <c r="C193" s="44" t="s">
        <v>3521</v>
      </c>
      <c r="D193" s="45">
        <f>MROUND(MID($C193,6,3)/Basis!$E$3,0.5)</f>
        <v>4.5</v>
      </c>
      <c r="E193" s="45">
        <f>MROUND(MID($C193,9,3)/Basis!$E$3,0.5)</f>
        <v>47</v>
      </c>
      <c r="F193" s="229" t="str">
        <f t="shared" si="2"/>
        <v>34</v>
      </c>
      <c r="G193" s="45">
        <f>ROUND(16.9/Basis!$E$3,1)</f>
        <v>6.7</v>
      </c>
      <c r="H193" s="120">
        <f>ROUND($P193*Basis!$E$2*((TaH-TrH)/LN(1/µ)/Basis!$E$7)^$N193*Glycol,0)</f>
        <v>1908</v>
      </c>
      <c r="I193" s="83">
        <f>ROUND(H193/(MID($C193,9,3)/Basis!$E$3/Basis!$E$9)*Basis!$E$11,0)</f>
        <v>485</v>
      </c>
      <c r="J193" s="123">
        <f>IF(Basis!$E$1=1,ROUND(H193/((TaH-TrH)*1.163)/3600,3),ROUND(H193/(500*(TaH-TrH)),2))</f>
        <v>0.19</v>
      </c>
      <c r="K193" s="84"/>
      <c r="L193" s="177">
        <f>CHOOSE(Basis!$E$1,((AJ193*(J193*3600/Basis!$E$5)^AK193*(((MID(C193,9,3)*10)-144)/1000)*AL193+AM193*(J193*3600/Basis!$E$5)^2)*0.0098)/Basis!$E$10,((AJ193*(J193/Basis!$E$5)^AK193*(((MID(C193,9,3)*10)-144)/1000)*AL193+AM193*(J193/Basis!$E$5)^2)*0.0098)/Basis!$E$10)</f>
        <v>0</v>
      </c>
      <c r="M193" s="85"/>
      <c r="N193" s="109">
        <v>1.452</v>
      </c>
      <c r="O193" s="68"/>
      <c r="P193" s="67">
        <v>903</v>
      </c>
      <c r="Q193" s="68"/>
      <c r="R193" s="69"/>
      <c r="S193" s="69"/>
      <c r="T193" s="69"/>
      <c r="U193" s="69"/>
      <c r="V193" s="69"/>
      <c r="W193" s="68"/>
      <c r="X193" s="70"/>
      <c r="Y193" s="70"/>
      <c r="Z193" s="70"/>
      <c r="AA193" s="70"/>
      <c r="AB193" s="70"/>
      <c r="AC193" s="68"/>
      <c r="AD193" s="71"/>
      <c r="AE193" s="71"/>
      <c r="AF193" s="71"/>
      <c r="AG193" s="71"/>
      <c r="AH193" s="71"/>
      <c r="AI193" s="68"/>
      <c r="AJ193" s="214"/>
      <c r="AK193" s="214"/>
      <c r="AL193" s="214"/>
      <c r="AM193" s="214"/>
      <c r="AN193" s="68"/>
      <c r="AO193" s="67"/>
      <c r="AP193" s="67"/>
      <c r="AQ193" s="67"/>
      <c r="AR193" s="67"/>
      <c r="AS193" s="67"/>
      <c r="AT193" s="68"/>
      <c r="AU193" s="49"/>
      <c r="AV193" s="50"/>
    </row>
    <row r="194" spans="1:48" ht="12.75" customHeight="1" x14ac:dyDescent="0.25">
      <c r="A194" s="72" t="s">
        <v>20</v>
      </c>
      <c r="B194" s="43" t="s">
        <v>4043</v>
      </c>
      <c r="C194" s="44" t="s">
        <v>3522</v>
      </c>
      <c r="D194" s="45">
        <f>MROUND(MID($C194,6,3)/Basis!$E$3,0.5)</f>
        <v>4.5</v>
      </c>
      <c r="E194" s="45">
        <f>MROUND(MID($C194,9,3)/Basis!$E$3,0.5)</f>
        <v>55</v>
      </c>
      <c r="F194" s="229" t="str">
        <f t="shared" si="2"/>
        <v>11</v>
      </c>
      <c r="G194" s="45">
        <f>ROUND(5/Basis!$E$3,1)</f>
        <v>2</v>
      </c>
      <c r="H194" s="120">
        <f>ROUND($P194*Basis!$E$2*((TaH-TrH)/LN(1/µ)/Basis!$E$7)^$N194*Glycol,0)</f>
        <v>832</v>
      </c>
      <c r="I194" s="83">
        <f>ROUND(H194/(MID($C194,9,3)/Basis!$E$3/Basis!$E$9)*Basis!$E$11,0)</f>
        <v>181</v>
      </c>
      <c r="J194" s="123">
        <f>IF(Basis!$E$1=1,ROUND(H194/((TaH-TrH)*1.163)/3600,3),ROUND(H194/(500*(TaH-TrH)),2))</f>
        <v>0.08</v>
      </c>
      <c r="K194" s="84"/>
      <c r="L194" s="177">
        <f>CHOOSE(Basis!$E$1,((AJ194*(J194*3600/Basis!$E$5)^AK194*(((MID(C194,9,3)*10)-144)/1000)*AL194+AM194*(J194*3600/Basis!$E$5)^2)*0.0098)/Basis!$E$10,((AJ194*(J194/Basis!$E$5)^AK194*(((MID(C194,9,3)*10)-144)/1000)*AL194+AM194*(J194/Basis!$E$5)^2)*0.0098)/Basis!$E$10)</f>
        <v>0</v>
      </c>
      <c r="M194" s="85"/>
      <c r="N194" s="110">
        <v>1.224</v>
      </c>
      <c r="O194" s="74"/>
      <c r="P194" s="73">
        <v>365</v>
      </c>
      <c r="Q194" s="74"/>
      <c r="R194" s="75"/>
      <c r="S194" s="75"/>
      <c r="T194" s="75"/>
      <c r="U194" s="75"/>
      <c r="V194" s="75"/>
      <c r="W194" s="74"/>
      <c r="X194" s="76"/>
      <c r="Y194" s="76"/>
      <c r="Z194" s="76"/>
      <c r="AA194" s="76"/>
      <c r="AB194" s="76"/>
      <c r="AC194" s="74"/>
      <c r="AD194" s="77"/>
      <c r="AE194" s="77"/>
      <c r="AF194" s="77"/>
      <c r="AG194" s="77"/>
      <c r="AH194" s="77"/>
      <c r="AI194" s="68"/>
      <c r="AJ194" s="213"/>
      <c r="AK194" s="213"/>
      <c r="AL194" s="213"/>
      <c r="AM194" s="213"/>
      <c r="AN194" s="74"/>
      <c r="AO194" s="73"/>
      <c r="AP194" s="73"/>
      <c r="AQ194" s="73"/>
      <c r="AR194" s="73"/>
      <c r="AS194" s="73"/>
      <c r="AT194" s="74"/>
      <c r="AU194" s="47"/>
      <c r="AV194" s="48"/>
    </row>
    <row r="195" spans="1:48" ht="12.75" customHeight="1" x14ac:dyDescent="0.25">
      <c r="A195" s="72" t="s">
        <v>20</v>
      </c>
      <c r="B195" s="43" t="s">
        <v>4043</v>
      </c>
      <c r="C195" s="44" t="s">
        <v>3523</v>
      </c>
      <c r="D195" s="45">
        <f>MROUND(MID($C195,6,3)/Basis!$E$3,0.5)</f>
        <v>4.5</v>
      </c>
      <c r="E195" s="45">
        <f>MROUND(MID($C195,9,3)/Basis!$E$3,0.5)</f>
        <v>55</v>
      </c>
      <c r="F195" s="229" t="str">
        <f t="shared" si="2"/>
        <v>22</v>
      </c>
      <c r="G195" s="45">
        <f>ROUND(9/Basis!$E$3,1)</f>
        <v>3.5</v>
      </c>
      <c r="H195" s="120">
        <f>ROUND($P195*Basis!$E$2*((TaH-TrH)/LN(1/µ)/Basis!$E$7)^$N195*Glycol,0)</f>
        <v>1455</v>
      </c>
      <c r="I195" s="83">
        <f>ROUND(H195/(MID($C195,9,3)/Basis!$E$3/Basis!$E$9)*Basis!$E$11,0)</f>
        <v>317</v>
      </c>
      <c r="J195" s="123">
        <f>IF(Basis!$E$1=1,ROUND(H195/((TaH-TrH)*1.163)/3600,3),ROUND(H195/(500*(TaH-TrH)),2))</f>
        <v>0.15</v>
      </c>
      <c r="K195" s="84"/>
      <c r="L195" s="177">
        <f>CHOOSE(Basis!$E$1,((AJ195*(J195*3600/Basis!$E$5)^AK195*(((MID(C195,9,3)*10)-144)/1000)*AL195+AM195*(J195*3600/Basis!$E$5)^2)*0.0098)/Basis!$E$10,((AJ195*(J195/Basis!$E$5)^AK195*(((MID(C195,9,3)*10)-144)/1000)*AL195+AM195*(J195/Basis!$E$5)^2)*0.0098)/Basis!$E$10)</f>
        <v>0</v>
      </c>
      <c r="M195" s="85"/>
      <c r="N195" s="110">
        <v>1.206</v>
      </c>
      <c r="O195" s="74"/>
      <c r="P195" s="73">
        <v>635</v>
      </c>
      <c r="Q195" s="74"/>
      <c r="R195" s="75"/>
      <c r="S195" s="75"/>
      <c r="T195" s="75"/>
      <c r="U195" s="75"/>
      <c r="V195" s="75"/>
      <c r="W195" s="74"/>
      <c r="X195" s="76"/>
      <c r="Y195" s="76"/>
      <c r="Z195" s="76"/>
      <c r="AA195" s="76"/>
      <c r="AB195" s="76"/>
      <c r="AC195" s="74"/>
      <c r="AD195" s="77"/>
      <c r="AE195" s="77"/>
      <c r="AF195" s="77"/>
      <c r="AG195" s="77"/>
      <c r="AH195" s="77"/>
      <c r="AI195" s="68"/>
      <c r="AJ195" s="213"/>
      <c r="AK195" s="213"/>
      <c r="AL195" s="213"/>
      <c r="AM195" s="213"/>
      <c r="AN195" s="74"/>
      <c r="AO195" s="73"/>
      <c r="AP195" s="73"/>
      <c r="AQ195" s="73"/>
      <c r="AR195" s="73"/>
      <c r="AS195" s="73"/>
      <c r="AT195" s="74"/>
      <c r="AU195" s="47"/>
      <c r="AV195" s="48"/>
    </row>
    <row r="196" spans="1:48" ht="12.75" customHeight="1" x14ac:dyDescent="0.25">
      <c r="A196" s="72" t="s">
        <v>20</v>
      </c>
      <c r="B196" s="43" t="s">
        <v>4043</v>
      </c>
      <c r="C196" s="44" t="s">
        <v>3524</v>
      </c>
      <c r="D196" s="45">
        <f>MROUND(MID($C196,6,3)/Basis!$E$3,0.5)</f>
        <v>4.5</v>
      </c>
      <c r="E196" s="45">
        <f>MROUND(MID($C196,9,3)/Basis!$E$3,0.5)</f>
        <v>55</v>
      </c>
      <c r="F196" s="229" t="str">
        <f t="shared" si="2"/>
        <v>34</v>
      </c>
      <c r="G196" s="45">
        <f>ROUND(16.9/Basis!$E$3,1)</f>
        <v>6.7</v>
      </c>
      <c r="H196" s="120">
        <f>ROUND($P196*Basis!$E$2*((TaH-TrH)/LN(1/µ)/Basis!$E$7)^$N196*Glycol,0)</f>
        <v>2225</v>
      </c>
      <c r="I196" s="83">
        <f>ROUND(H196/(MID($C196,9,3)/Basis!$E$3/Basis!$E$9)*Basis!$E$11,0)</f>
        <v>484</v>
      </c>
      <c r="J196" s="123">
        <f>IF(Basis!$E$1=1,ROUND(H196/((TaH-TrH)*1.163)/3600,3),ROUND(H196/(500*(TaH-TrH)),2))</f>
        <v>0.22</v>
      </c>
      <c r="K196" s="84"/>
      <c r="L196" s="177">
        <f>CHOOSE(Basis!$E$1,((AJ196*(J196*3600/Basis!$E$5)^AK196*(((MID(C196,9,3)*10)-144)/1000)*AL196+AM196*(J196*3600/Basis!$E$5)^2)*0.0098)/Basis!$E$10,((AJ196*(J196/Basis!$E$5)^AK196*(((MID(C196,9,3)*10)-144)/1000)*AL196+AM196*(J196/Basis!$E$5)^2)*0.0098)/Basis!$E$10)</f>
        <v>0</v>
      </c>
      <c r="M196" s="85"/>
      <c r="N196" s="109">
        <v>1.452</v>
      </c>
      <c r="O196" s="68"/>
      <c r="P196" s="67">
        <v>1053</v>
      </c>
      <c r="Q196" s="68"/>
      <c r="R196" s="69"/>
      <c r="S196" s="69"/>
      <c r="T196" s="69"/>
      <c r="U196" s="69"/>
      <c r="V196" s="69"/>
      <c r="W196" s="68"/>
      <c r="X196" s="70"/>
      <c r="Y196" s="70"/>
      <c r="Z196" s="70"/>
      <c r="AA196" s="70"/>
      <c r="AB196" s="70"/>
      <c r="AC196" s="68"/>
      <c r="AD196" s="71"/>
      <c r="AE196" s="71"/>
      <c r="AF196" s="71"/>
      <c r="AG196" s="71"/>
      <c r="AH196" s="71"/>
      <c r="AI196" s="68"/>
      <c r="AJ196" s="214"/>
      <c r="AK196" s="214"/>
      <c r="AL196" s="214"/>
      <c r="AM196" s="214"/>
      <c r="AN196" s="68"/>
      <c r="AO196" s="67"/>
      <c r="AP196" s="67"/>
      <c r="AQ196" s="67"/>
      <c r="AR196" s="67"/>
      <c r="AS196" s="67"/>
      <c r="AT196" s="68"/>
      <c r="AU196" s="49"/>
      <c r="AV196" s="50"/>
    </row>
    <row r="197" spans="1:48" ht="12.75" customHeight="1" x14ac:dyDescent="0.25">
      <c r="A197" s="72" t="s">
        <v>20</v>
      </c>
      <c r="B197" s="43" t="s">
        <v>4043</v>
      </c>
      <c r="C197" s="44" t="s">
        <v>3525</v>
      </c>
      <c r="D197" s="45">
        <f>MROUND(MID($C197,6,3)/Basis!$E$3,0.5)</f>
        <v>4.5</v>
      </c>
      <c r="E197" s="45">
        <f>MROUND(MID($C197,9,3)/Basis!$E$3,0.5)</f>
        <v>63</v>
      </c>
      <c r="F197" s="229" t="str">
        <f t="shared" si="2"/>
        <v>11</v>
      </c>
      <c r="G197" s="45">
        <f>ROUND(5/Basis!$E$3,1)</f>
        <v>2</v>
      </c>
      <c r="H197" s="120">
        <f>ROUND($P197*Basis!$E$2*((TaH-TrH)/LN(1/µ)/Basis!$E$7)^$N197*Glycol,0)</f>
        <v>950</v>
      </c>
      <c r="I197" s="83">
        <f>ROUND(H197/(MID($C197,9,3)/Basis!$E$3/Basis!$E$9)*Basis!$E$11,0)</f>
        <v>181</v>
      </c>
      <c r="J197" s="123">
        <f>IF(Basis!$E$1=1,ROUND(H197/((TaH-TrH)*1.163)/3600,3),ROUND(H197/(500*(TaH-TrH)),2))</f>
        <v>0.1</v>
      </c>
      <c r="K197" s="84"/>
      <c r="L197" s="177">
        <f>CHOOSE(Basis!$E$1,((AJ197*(J197*3600/Basis!$E$5)^AK197*(((MID(C197,9,3)*10)-144)/1000)*AL197+AM197*(J197*3600/Basis!$E$5)^2)*0.0098)/Basis!$E$10,((AJ197*(J197/Basis!$E$5)^AK197*(((MID(C197,9,3)*10)-144)/1000)*AL197+AM197*(J197/Basis!$E$5)^2)*0.0098)/Basis!$E$10)</f>
        <v>0</v>
      </c>
      <c r="M197" s="85"/>
      <c r="N197" s="109">
        <v>1.224</v>
      </c>
      <c r="O197" s="68"/>
      <c r="P197" s="67">
        <v>417</v>
      </c>
      <c r="Q197" s="68"/>
      <c r="R197" s="69"/>
      <c r="S197" s="69"/>
      <c r="T197" s="69"/>
      <c r="U197" s="69"/>
      <c r="V197" s="69"/>
      <c r="W197" s="68"/>
      <c r="X197" s="70"/>
      <c r="Y197" s="70"/>
      <c r="Z197" s="70"/>
      <c r="AA197" s="70"/>
      <c r="AB197" s="70"/>
      <c r="AC197" s="68"/>
      <c r="AD197" s="71"/>
      <c r="AE197" s="71"/>
      <c r="AF197" s="71"/>
      <c r="AG197" s="71"/>
      <c r="AH197" s="71"/>
      <c r="AI197" s="68"/>
      <c r="AJ197" s="214"/>
      <c r="AK197" s="214"/>
      <c r="AL197" s="214"/>
      <c r="AM197" s="214"/>
      <c r="AN197" s="68"/>
      <c r="AO197" s="67"/>
      <c r="AP197" s="67"/>
      <c r="AQ197" s="67"/>
      <c r="AR197" s="67"/>
      <c r="AS197" s="67"/>
      <c r="AT197" s="68"/>
      <c r="AU197" s="49"/>
      <c r="AV197" s="50"/>
    </row>
    <row r="198" spans="1:48" ht="12.75" customHeight="1" x14ac:dyDescent="0.25">
      <c r="A198" s="72" t="s">
        <v>20</v>
      </c>
      <c r="B198" s="43" t="s">
        <v>4043</v>
      </c>
      <c r="C198" s="44" t="s">
        <v>3526</v>
      </c>
      <c r="D198" s="45">
        <f>MROUND(MID($C198,6,3)/Basis!$E$3,0.5)</f>
        <v>4.5</v>
      </c>
      <c r="E198" s="45">
        <f>MROUND(MID($C198,9,3)/Basis!$E$3,0.5)</f>
        <v>63</v>
      </c>
      <c r="F198" s="229" t="str">
        <f t="shared" si="2"/>
        <v>22</v>
      </c>
      <c r="G198" s="45">
        <f>ROUND(9/Basis!$E$3,1)</f>
        <v>3.5</v>
      </c>
      <c r="H198" s="120">
        <f>ROUND($P198*Basis!$E$2*((TaH-TrH)/LN(1/µ)/Basis!$E$7)^$N198*Glycol,0)</f>
        <v>1664</v>
      </c>
      <c r="I198" s="83">
        <f>ROUND(H198/(MID($C198,9,3)/Basis!$E$3/Basis!$E$9)*Basis!$E$11,0)</f>
        <v>317</v>
      </c>
      <c r="J198" s="123">
        <f>IF(Basis!$E$1=1,ROUND(H198/((TaH-TrH)*1.163)/3600,3),ROUND(H198/(500*(TaH-TrH)),2))</f>
        <v>0.17</v>
      </c>
      <c r="K198" s="84"/>
      <c r="L198" s="177">
        <f>CHOOSE(Basis!$E$1,((AJ198*(J198*3600/Basis!$E$5)^AK198*(((MID(C198,9,3)*10)-144)/1000)*AL198+AM198*(J198*3600/Basis!$E$5)^2)*0.0098)/Basis!$E$10,((AJ198*(J198/Basis!$E$5)^AK198*(((MID(C198,9,3)*10)-144)/1000)*AL198+AM198*(J198/Basis!$E$5)^2)*0.0098)/Basis!$E$10)</f>
        <v>0</v>
      </c>
      <c r="M198" s="85"/>
      <c r="N198" s="110">
        <v>1.206</v>
      </c>
      <c r="O198" s="74"/>
      <c r="P198" s="73">
        <v>726</v>
      </c>
      <c r="Q198" s="74"/>
      <c r="R198" s="75"/>
      <c r="S198" s="75"/>
      <c r="T198" s="75"/>
      <c r="U198" s="75"/>
      <c r="V198" s="75"/>
      <c r="W198" s="74"/>
      <c r="X198" s="76"/>
      <c r="Y198" s="76"/>
      <c r="Z198" s="76"/>
      <c r="AA198" s="76"/>
      <c r="AB198" s="76"/>
      <c r="AC198" s="74"/>
      <c r="AD198" s="77"/>
      <c r="AE198" s="77"/>
      <c r="AF198" s="77"/>
      <c r="AG198" s="77"/>
      <c r="AH198" s="77"/>
      <c r="AI198" s="68"/>
      <c r="AJ198" s="213"/>
      <c r="AK198" s="213"/>
      <c r="AL198" s="213"/>
      <c r="AM198" s="213"/>
      <c r="AN198" s="74"/>
      <c r="AO198" s="73"/>
      <c r="AP198" s="73"/>
      <c r="AQ198" s="73"/>
      <c r="AR198" s="73"/>
      <c r="AS198" s="73"/>
      <c r="AT198" s="74"/>
      <c r="AU198" s="47"/>
      <c r="AV198" s="48"/>
    </row>
    <row r="199" spans="1:48" ht="12.75" customHeight="1" x14ac:dyDescent="0.25">
      <c r="A199" s="72" t="s">
        <v>20</v>
      </c>
      <c r="B199" s="43" t="s">
        <v>4043</v>
      </c>
      <c r="C199" s="44" t="s">
        <v>3527</v>
      </c>
      <c r="D199" s="45">
        <f>MROUND(MID($C199,6,3)/Basis!$E$3,0.5)</f>
        <v>4.5</v>
      </c>
      <c r="E199" s="45">
        <f>MROUND(MID($C199,9,3)/Basis!$E$3,0.5)</f>
        <v>63</v>
      </c>
      <c r="F199" s="229" t="str">
        <f t="shared" si="2"/>
        <v>34</v>
      </c>
      <c r="G199" s="45">
        <f>ROUND(16.9/Basis!$E$3,1)</f>
        <v>6.7</v>
      </c>
      <c r="H199" s="120">
        <f>ROUND($P199*Basis!$E$2*((TaH-TrH)/LN(1/µ)/Basis!$E$7)^$N199*Glycol,0)</f>
        <v>2544</v>
      </c>
      <c r="I199" s="83">
        <f>ROUND(H199/(MID($C199,9,3)/Basis!$E$3/Basis!$E$9)*Basis!$E$11,0)</f>
        <v>485</v>
      </c>
      <c r="J199" s="123">
        <f>IF(Basis!$E$1=1,ROUND(H199/((TaH-TrH)*1.163)/3600,3),ROUND(H199/(500*(TaH-TrH)),2))</f>
        <v>0.25</v>
      </c>
      <c r="K199" s="84"/>
      <c r="L199" s="177">
        <f>CHOOSE(Basis!$E$1,((AJ199*(J199*3600/Basis!$E$5)^AK199*(((MID(C199,9,3)*10)-144)/1000)*AL199+AM199*(J199*3600/Basis!$E$5)^2)*0.0098)/Basis!$E$10,((AJ199*(J199/Basis!$E$5)^AK199*(((MID(C199,9,3)*10)-144)/1000)*AL199+AM199*(J199/Basis!$E$5)^2)*0.0098)/Basis!$E$10)</f>
        <v>0</v>
      </c>
      <c r="M199" s="85"/>
      <c r="N199" s="110">
        <v>1.452</v>
      </c>
      <c r="O199" s="74"/>
      <c r="P199" s="73">
        <v>1204</v>
      </c>
      <c r="Q199" s="74"/>
      <c r="R199" s="75"/>
      <c r="S199" s="75"/>
      <c r="T199" s="75"/>
      <c r="U199" s="75"/>
      <c r="V199" s="75"/>
      <c r="W199" s="74"/>
      <c r="X199" s="76"/>
      <c r="Y199" s="76"/>
      <c r="Z199" s="76"/>
      <c r="AA199" s="76"/>
      <c r="AB199" s="76"/>
      <c r="AC199" s="74"/>
      <c r="AD199" s="77"/>
      <c r="AE199" s="77"/>
      <c r="AF199" s="77"/>
      <c r="AG199" s="77"/>
      <c r="AH199" s="77"/>
      <c r="AI199" s="68"/>
      <c r="AJ199" s="213"/>
      <c r="AK199" s="213"/>
      <c r="AL199" s="213"/>
      <c r="AM199" s="213"/>
      <c r="AN199" s="74"/>
      <c r="AO199" s="73"/>
      <c r="AP199" s="73"/>
      <c r="AQ199" s="73"/>
      <c r="AR199" s="73"/>
      <c r="AS199" s="73"/>
      <c r="AT199" s="74"/>
      <c r="AU199" s="47"/>
      <c r="AV199" s="48"/>
    </row>
    <row r="200" spans="1:48" ht="12.75" customHeight="1" x14ac:dyDescent="0.25">
      <c r="A200" s="72" t="s">
        <v>20</v>
      </c>
      <c r="B200" s="43" t="s">
        <v>4043</v>
      </c>
      <c r="C200" s="44" t="s">
        <v>3528</v>
      </c>
      <c r="D200" s="45">
        <f>MROUND(MID($C200,6,3)/Basis!$E$3,0.5)</f>
        <v>4.5</v>
      </c>
      <c r="E200" s="45">
        <f>MROUND(MID($C200,9,3)/Basis!$E$3,0.5)</f>
        <v>71</v>
      </c>
      <c r="F200" s="229" t="str">
        <f t="shared" si="2"/>
        <v>11</v>
      </c>
      <c r="G200" s="45">
        <f>ROUND(5/Basis!$E$3,1)</f>
        <v>2</v>
      </c>
      <c r="H200" s="120">
        <f>ROUND($P200*Basis!$E$2*((TaH-TrH)/LN(1/µ)/Basis!$E$7)^$N200*Glycol,0)</f>
        <v>1068</v>
      </c>
      <c r="I200" s="83">
        <f>ROUND(H200/(MID($C200,9,3)/Basis!$E$3/Basis!$E$9)*Basis!$E$11,0)</f>
        <v>181</v>
      </c>
      <c r="J200" s="123">
        <f>IF(Basis!$E$1=1,ROUND(H200/((TaH-TrH)*1.163)/3600,3),ROUND(H200/(500*(TaH-TrH)),2))</f>
        <v>0.11</v>
      </c>
      <c r="K200" s="84"/>
      <c r="L200" s="177">
        <f>CHOOSE(Basis!$E$1,((AJ200*(J200*3600/Basis!$E$5)^AK200*(((MID(C200,9,3)*10)-144)/1000)*AL200+AM200*(J200*3600/Basis!$E$5)^2)*0.0098)/Basis!$E$10,((AJ200*(J200/Basis!$E$5)^AK200*(((MID(C200,9,3)*10)-144)/1000)*AL200+AM200*(J200/Basis!$E$5)^2)*0.0098)/Basis!$E$10)</f>
        <v>0</v>
      </c>
      <c r="M200" s="85"/>
      <c r="N200" s="109">
        <v>1.224</v>
      </c>
      <c r="O200" s="68"/>
      <c r="P200" s="67">
        <v>469</v>
      </c>
      <c r="Q200" s="68"/>
      <c r="R200" s="69"/>
      <c r="S200" s="69"/>
      <c r="T200" s="69"/>
      <c r="U200" s="69"/>
      <c r="V200" s="69"/>
      <c r="W200" s="68"/>
      <c r="X200" s="70"/>
      <c r="Y200" s="70"/>
      <c r="Z200" s="70"/>
      <c r="AA200" s="70"/>
      <c r="AB200" s="70"/>
      <c r="AC200" s="68"/>
      <c r="AD200" s="71"/>
      <c r="AE200" s="71"/>
      <c r="AF200" s="71"/>
      <c r="AG200" s="71"/>
      <c r="AH200" s="71"/>
      <c r="AI200" s="68"/>
      <c r="AJ200" s="214"/>
      <c r="AK200" s="214"/>
      <c r="AL200" s="214"/>
      <c r="AM200" s="214"/>
      <c r="AN200" s="68"/>
      <c r="AO200" s="67"/>
      <c r="AP200" s="67"/>
      <c r="AQ200" s="67"/>
      <c r="AR200" s="67"/>
      <c r="AS200" s="67"/>
      <c r="AT200" s="68"/>
      <c r="AU200" s="49"/>
      <c r="AV200" s="50"/>
    </row>
    <row r="201" spans="1:48" ht="12.75" customHeight="1" x14ac:dyDescent="0.25">
      <c r="A201" s="72" t="s">
        <v>20</v>
      </c>
      <c r="B201" s="43" t="s">
        <v>4043</v>
      </c>
      <c r="C201" s="44" t="s">
        <v>3529</v>
      </c>
      <c r="D201" s="45">
        <f>MROUND(MID($C201,6,3)/Basis!$E$3,0.5)</f>
        <v>4.5</v>
      </c>
      <c r="E201" s="45">
        <f>MROUND(MID($C201,9,3)/Basis!$E$3,0.5)</f>
        <v>71</v>
      </c>
      <c r="F201" s="229" t="str">
        <f t="shared" si="2"/>
        <v>22</v>
      </c>
      <c r="G201" s="45">
        <f>ROUND(9/Basis!$E$3,1)</f>
        <v>3.5</v>
      </c>
      <c r="H201" s="120">
        <f>ROUND($P201*Basis!$E$2*((TaH-TrH)/LN(1/µ)/Basis!$E$7)^$N201*Glycol,0)</f>
        <v>1872</v>
      </c>
      <c r="I201" s="83">
        <f>ROUND(H201/(MID($C201,9,3)/Basis!$E$3/Basis!$E$9)*Basis!$E$11,0)</f>
        <v>317</v>
      </c>
      <c r="J201" s="123">
        <f>IF(Basis!$E$1=1,ROUND(H201/((TaH-TrH)*1.163)/3600,3),ROUND(H201/(500*(TaH-TrH)),2))</f>
        <v>0.19</v>
      </c>
      <c r="K201" s="84"/>
      <c r="L201" s="177">
        <f>CHOOSE(Basis!$E$1,((AJ201*(J201*3600/Basis!$E$5)^AK201*(((MID(C201,9,3)*10)-144)/1000)*AL201+AM201*(J201*3600/Basis!$E$5)^2)*0.0098)/Basis!$E$10,((AJ201*(J201/Basis!$E$5)^AK201*(((MID(C201,9,3)*10)-144)/1000)*AL201+AM201*(J201/Basis!$E$5)^2)*0.0098)/Basis!$E$10)</f>
        <v>0</v>
      </c>
      <c r="M201" s="85"/>
      <c r="N201" s="109">
        <v>1.206</v>
      </c>
      <c r="O201" s="68"/>
      <c r="P201" s="67">
        <v>817</v>
      </c>
      <c r="Q201" s="68"/>
      <c r="R201" s="69"/>
      <c r="S201" s="69"/>
      <c r="T201" s="69"/>
      <c r="U201" s="69"/>
      <c r="V201" s="69"/>
      <c r="W201" s="68"/>
      <c r="X201" s="70"/>
      <c r="Y201" s="70"/>
      <c r="Z201" s="70"/>
      <c r="AA201" s="70"/>
      <c r="AB201" s="70"/>
      <c r="AC201" s="68"/>
      <c r="AD201" s="71"/>
      <c r="AE201" s="71"/>
      <c r="AF201" s="71"/>
      <c r="AG201" s="71"/>
      <c r="AH201" s="71"/>
      <c r="AI201" s="68"/>
      <c r="AJ201" s="214"/>
      <c r="AK201" s="214"/>
      <c r="AL201" s="214"/>
      <c r="AM201" s="214"/>
      <c r="AN201" s="68"/>
      <c r="AO201" s="67"/>
      <c r="AP201" s="67"/>
      <c r="AQ201" s="67"/>
      <c r="AR201" s="67"/>
      <c r="AS201" s="67"/>
      <c r="AT201" s="68"/>
      <c r="AU201" s="49"/>
      <c r="AV201" s="50"/>
    </row>
    <row r="202" spans="1:48" ht="12.75" customHeight="1" x14ac:dyDescent="0.25">
      <c r="A202" s="72" t="s">
        <v>20</v>
      </c>
      <c r="B202" s="43" t="s">
        <v>4043</v>
      </c>
      <c r="C202" s="44" t="s">
        <v>3530</v>
      </c>
      <c r="D202" s="45">
        <f>MROUND(MID($C202,6,3)/Basis!$E$3,0.5)</f>
        <v>4.5</v>
      </c>
      <c r="E202" s="45">
        <f>MROUND(MID($C202,9,3)/Basis!$E$3,0.5)</f>
        <v>71</v>
      </c>
      <c r="F202" s="229" t="str">
        <f t="shared" si="2"/>
        <v>34</v>
      </c>
      <c r="G202" s="45">
        <f>ROUND(16.9/Basis!$E$3,1)</f>
        <v>6.7</v>
      </c>
      <c r="H202" s="120">
        <f>ROUND($P202*Basis!$E$2*((TaH-TrH)/LN(1/µ)/Basis!$E$7)^$N202*Glycol,0)</f>
        <v>2861</v>
      </c>
      <c r="I202" s="83">
        <f>ROUND(H202/(MID($C202,9,3)/Basis!$E$3/Basis!$E$9)*Basis!$E$11,0)</f>
        <v>484</v>
      </c>
      <c r="J202" s="123">
        <f>IF(Basis!$E$1=1,ROUND(H202/((TaH-TrH)*1.163)/3600,3),ROUND(H202/(500*(TaH-TrH)),2))</f>
        <v>0.28999999999999998</v>
      </c>
      <c r="K202" s="84"/>
      <c r="L202" s="177">
        <f>CHOOSE(Basis!$E$1,((AJ202*(J202*3600/Basis!$E$5)^AK202*(((MID(C202,9,3)*10)-144)/1000)*AL202+AM202*(J202*3600/Basis!$E$5)^2)*0.0098)/Basis!$E$10,((AJ202*(J202/Basis!$E$5)^AK202*(((MID(C202,9,3)*10)-144)/1000)*AL202+AM202*(J202/Basis!$E$5)^2)*0.0098)/Basis!$E$10)</f>
        <v>0</v>
      </c>
      <c r="M202" s="85"/>
      <c r="N202" s="110">
        <v>1.452</v>
      </c>
      <c r="O202" s="74"/>
      <c r="P202" s="73">
        <v>1354</v>
      </c>
      <c r="Q202" s="74"/>
      <c r="R202" s="75"/>
      <c r="S202" s="75"/>
      <c r="T202" s="75"/>
      <c r="U202" s="75"/>
      <c r="V202" s="75"/>
      <c r="W202" s="74"/>
      <c r="X202" s="76"/>
      <c r="Y202" s="76"/>
      <c r="Z202" s="76"/>
      <c r="AA202" s="76"/>
      <c r="AB202" s="76"/>
      <c r="AC202" s="74"/>
      <c r="AD202" s="77"/>
      <c r="AE202" s="77"/>
      <c r="AF202" s="77"/>
      <c r="AG202" s="77"/>
      <c r="AH202" s="77"/>
      <c r="AI202" s="68"/>
      <c r="AJ202" s="213"/>
      <c r="AK202" s="213"/>
      <c r="AL202" s="213"/>
      <c r="AM202" s="213"/>
      <c r="AN202" s="74"/>
      <c r="AO202" s="73"/>
      <c r="AP202" s="73"/>
      <c r="AQ202" s="73"/>
      <c r="AR202" s="73"/>
      <c r="AS202" s="73"/>
      <c r="AT202" s="74"/>
      <c r="AU202" s="47"/>
      <c r="AV202" s="48"/>
    </row>
    <row r="203" spans="1:48" ht="12.75" customHeight="1" x14ac:dyDescent="0.25">
      <c r="A203" s="72" t="s">
        <v>20</v>
      </c>
      <c r="B203" s="43" t="s">
        <v>4043</v>
      </c>
      <c r="C203" s="44" t="s">
        <v>3531</v>
      </c>
      <c r="D203" s="45">
        <f>MROUND(MID($C203,6,3)/Basis!$E$3,0.5)</f>
        <v>4.5</v>
      </c>
      <c r="E203" s="45">
        <f>MROUND(MID($C203,9,3)/Basis!$E$3,0.5)</f>
        <v>78.5</v>
      </c>
      <c r="F203" s="229" t="str">
        <f t="shared" ref="F203:F266" si="3">MID(C203,12,2)</f>
        <v>11</v>
      </c>
      <c r="G203" s="45">
        <f>ROUND(5/Basis!$E$3,1)</f>
        <v>2</v>
      </c>
      <c r="H203" s="120">
        <f>ROUND($P203*Basis!$E$2*((TaH-TrH)/LN(1/µ)/Basis!$E$7)^$N203*Glycol,0)</f>
        <v>1187</v>
      </c>
      <c r="I203" s="83">
        <f>ROUND(H203/(MID($C203,9,3)/Basis!$E$3/Basis!$E$9)*Basis!$E$11,0)</f>
        <v>181</v>
      </c>
      <c r="J203" s="123">
        <f>IF(Basis!$E$1=1,ROUND(H203/((TaH-TrH)*1.163)/3600,3),ROUND(H203/(500*(TaH-TrH)),2))</f>
        <v>0.12</v>
      </c>
      <c r="K203" s="84"/>
      <c r="L203" s="177">
        <f>CHOOSE(Basis!$E$1,((AJ203*(J203*3600/Basis!$E$5)^AK203*(((MID(C203,9,3)*10)-144)/1000)*AL203+AM203*(J203*3600/Basis!$E$5)^2)*0.0098)/Basis!$E$10,((AJ203*(J203/Basis!$E$5)^AK203*(((MID(C203,9,3)*10)-144)/1000)*AL203+AM203*(J203/Basis!$E$5)^2)*0.0098)/Basis!$E$10)</f>
        <v>0</v>
      </c>
      <c r="M203" s="85"/>
      <c r="N203" s="110">
        <v>1.224</v>
      </c>
      <c r="O203" s="74"/>
      <c r="P203" s="73">
        <v>521</v>
      </c>
      <c r="Q203" s="74"/>
      <c r="R203" s="75"/>
      <c r="S203" s="75"/>
      <c r="T203" s="75"/>
      <c r="U203" s="75"/>
      <c r="V203" s="75"/>
      <c r="W203" s="74"/>
      <c r="X203" s="76"/>
      <c r="Y203" s="76"/>
      <c r="Z203" s="76"/>
      <c r="AA203" s="76"/>
      <c r="AB203" s="76"/>
      <c r="AC203" s="74"/>
      <c r="AD203" s="77"/>
      <c r="AE203" s="77"/>
      <c r="AF203" s="77"/>
      <c r="AG203" s="77"/>
      <c r="AH203" s="77"/>
      <c r="AI203" s="68"/>
      <c r="AJ203" s="213"/>
      <c r="AK203" s="213"/>
      <c r="AL203" s="213"/>
      <c r="AM203" s="213"/>
      <c r="AN203" s="74"/>
      <c r="AO203" s="73"/>
      <c r="AP203" s="73"/>
      <c r="AQ203" s="73"/>
      <c r="AR203" s="73"/>
      <c r="AS203" s="73"/>
      <c r="AT203" s="74"/>
      <c r="AU203" s="47"/>
      <c r="AV203" s="48"/>
    </row>
    <row r="204" spans="1:48" ht="12.75" customHeight="1" x14ac:dyDescent="0.25">
      <c r="A204" s="72" t="s">
        <v>20</v>
      </c>
      <c r="B204" s="43" t="s">
        <v>4043</v>
      </c>
      <c r="C204" s="44" t="s">
        <v>3532</v>
      </c>
      <c r="D204" s="45">
        <f>MROUND(MID($C204,6,3)/Basis!$E$3,0.5)</f>
        <v>4.5</v>
      </c>
      <c r="E204" s="45">
        <f>MROUND(MID($C204,9,3)/Basis!$E$3,0.5)</f>
        <v>78.5</v>
      </c>
      <c r="F204" s="229" t="str">
        <f t="shared" si="3"/>
        <v>22</v>
      </c>
      <c r="G204" s="45">
        <f>ROUND(9/Basis!$E$3,1)</f>
        <v>3.5</v>
      </c>
      <c r="H204" s="120">
        <f>ROUND($P204*Basis!$E$2*((TaH-TrH)/LN(1/µ)/Basis!$E$7)^$N204*Glycol,0)</f>
        <v>2081</v>
      </c>
      <c r="I204" s="83">
        <f>ROUND(H204/(MID($C204,9,3)/Basis!$E$3/Basis!$E$9)*Basis!$E$11,0)</f>
        <v>317</v>
      </c>
      <c r="J204" s="123">
        <f>IF(Basis!$E$1=1,ROUND(H204/((TaH-TrH)*1.163)/3600,3),ROUND(H204/(500*(TaH-TrH)),2))</f>
        <v>0.21</v>
      </c>
      <c r="K204" s="84"/>
      <c r="L204" s="177">
        <f>CHOOSE(Basis!$E$1,((AJ204*(J204*3600/Basis!$E$5)^AK204*(((MID(C204,9,3)*10)-144)/1000)*AL204+AM204*(J204*3600/Basis!$E$5)^2)*0.0098)/Basis!$E$10,((AJ204*(J204/Basis!$E$5)^AK204*(((MID(C204,9,3)*10)-144)/1000)*AL204+AM204*(J204/Basis!$E$5)^2)*0.0098)/Basis!$E$10)</f>
        <v>0</v>
      </c>
      <c r="M204" s="85"/>
      <c r="N204" s="109">
        <v>1.206</v>
      </c>
      <c r="O204" s="68"/>
      <c r="P204" s="67">
        <v>908</v>
      </c>
      <c r="Q204" s="68"/>
      <c r="R204" s="69"/>
      <c r="S204" s="69"/>
      <c r="T204" s="69"/>
      <c r="U204" s="69"/>
      <c r="V204" s="69"/>
      <c r="W204" s="68"/>
      <c r="X204" s="70"/>
      <c r="Y204" s="70"/>
      <c r="Z204" s="70"/>
      <c r="AA204" s="70"/>
      <c r="AB204" s="70"/>
      <c r="AC204" s="68"/>
      <c r="AD204" s="71"/>
      <c r="AE204" s="71"/>
      <c r="AF204" s="71"/>
      <c r="AG204" s="71"/>
      <c r="AH204" s="71"/>
      <c r="AI204" s="68"/>
      <c r="AJ204" s="214"/>
      <c r="AK204" s="214"/>
      <c r="AL204" s="214"/>
      <c r="AM204" s="214"/>
      <c r="AN204" s="68"/>
      <c r="AO204" s="67"/>
      <c r="AP204" s="67"/>
      <c r="AQ204" s="67"/>
      <c r="AR204" s="67"/>
      <c r="AS204" s="67"/>
      <c r="AT204" s="68"/>
      <c r="AU204" s="49"/>
      <c r="AV204" s="50"/>
    </row>
    <row r="205" spans="1:48" ht="12.75" customHeight="1" x14ac:dyDescent="0.25">
      <c r="A205" s="72" t="s">
        <v>20</v>
      </c>
      <c r="B205" s="43" t="s">
        <v>4043</v>
      </c>
      <c r="C205" s="44" t="s">
        <v>3533</v>
      </c>
      <c r="D205" s="45">
        <f>MROUND(MID($C205,6,3)/Basis!$E$3,0.5)</f>
        <v>4.5</v>
      </c>
      <c r="E205" s="45">
        <f>MROUND(MID($C205,9,3)/Basis!$E$3,0.5)</f>
        <v>78.5</v>
      </c>
      <c r="F205" s="229" t="str">
        <f t="shared" si="3"/>
        <v>34</v>
      </c>
      <c r="G205" s="45">
        <f>ROUND(16.9/Basis!$E$3,1)</f>
        <v>6.7</v>
      </c>
      <c r="H205" s="120">
        <f>ROUND($P205*Basis!$E$2*((TaH-TrH)/LN(1/µ)/Basis!$E$7)^$N205*Glycol,0)</f>
        <v>3180</v>
      </c>
      <c r="I205" s="83">
        <f>ROUND(H205/(MID($C205,9,3)/Basis!$E$3/Basis!$E$9)*Basis!$E$11,0)</f>
        <v>485</v>
      </c>
      <c r="J205" s="123">
        <f>IF(Basis!$E$1=1,ROUND(H205/((TaH-TrH)*1.163)/3600,3),ROUND(H205/(500*(TaH-TrH)),2))</f>
        <v>0.32</v>
      </c>
      <c r="K205" s="84"/>
      <c r="L205" s="177">
        <f>CHOOSE(Basis!$E$1,((AJ205*(J205*3600/Basis!$E$5)^AK205*(((MID(C205,9,3)*10)-144)/1000)*AL205+AM205*(J205*3600/Basis!$E$5)^2)*0.0098)/Basis!$E$10,((AJ205*(J205/Basis!$E$5)^AK205*(((MID(C205,9,3)*10)-144)/1000)*AL205+AM205*(J205/Basis!$E$5)^2)*0.0098)/Basis!$E$10)</f>
        <v>0</v>
      </c>
      <c r="M205" s="85"/>
      <c r="N205" s="109">
        <v>1.452</v>
      </c>
      <c r="O205" s="68"/>
      <c r="P205" s="67">
        <v>1505</v>
      </c>
      <c r="Q205" s="68"/>
      <c r="R205" s="69"/>
      <c r="S205" s="69"/>
      <c r="T205" s="69"/>
      <c r="U205" s="69"/>
      <c r="V205" s="69"/>
      <c r="W205" s="68"/>
      <c r="X205" s="70"/>
      <c r="Y205" s="70"/>
      <c r="Z205" s="70"/>
      <c r="AA205" s="70"/>
      <c r="AB205" s="70"/>
      <c r="AC205" s="68"/>
      <c r="AD205" s="71"/>
      <c r="AE205" s="71"/>
      <c r="AF205" s="71"/>
      <c r="AG205" s="71"/>
      <c r="AH205" s="71"/>
      <c r="AI205" s="68"/>
      <c r="AJ205" s="214"/>
      <c r="AK205" s="214"/>
      <c r="AL205" s="214"/>
      <c r="AM205" s="214"/>
      <c r="AN205" s="68"/>
      <c r="AO205" s="67"/>
      <c r="AP205" s="67"/>
      <c r="AQ205" s="67"/>
      <c r="AR205" s="67"/>
      <c r="AS205" s="67"/>
      <c r="AT205" s="68"/>
      <c r="AU205" s="49"/>
      <c r="AV205" s="50"/>
    </row>
    <row r="206" spans="1:48" ht="12.75" customHeight="1" x14ac:dyDescent="0.25">
      <c r="A206" s="72" t="s">
        <v>20</v>
      </c>
      <c r="B206" s="43" t="s">
        <v>4043</v>
      </c>
      <c r="C206" s="44" t="s">
        <v>3534</v>
      </c>
      <c r="D206" s="45">
        <f>MROUND(MID($C206,6,3)/Basis!$E$3,0.5)</f>
        <v>4.5</v>
      </c>
      <c r="E206" s="45">
        <f>MROUND(MID($C206,9,3)/Basis!$E$3,0.5)</f>
        <v>86.5</v>
      </c>
      <c r="F206" s="229" t="str">
        <f t="shared" si="3"/>
        <v>11</v>
      </c>
      <c r="G206" s="45">
        <f>ROUND(5/Basis!$E$3,1)</f>
        <v>2</v>
      </c>
      <c r="H206" s="120">
        <f>ROUND($P206*Basis!$E$2*((TaH-TrH)/LN(1/µ)/Basis!$E$7)^$N206*Glycol,0)</f>
        <v>1305</v>
      </c>
      <c r="I206" s="83">
        <f>ROUND(H206/(MID($C206,9,3)/Basis!$E$3/Basis!$E$9)*Basis!$E$11,0)</f>
        <v>181</v>
      </c>
      <c r="J206" s="123">
        <f>IF(Basis!$E$1=1,ROUND(H206/((TaH-TrH)*1.163)/3600,3),ROUND(H206/(500*(TaH-TrH)),2))</f>
        <v>0.13</v>
      </c>
      <c r="K206" s="84"/>
      <c r="L206" s="177">
        <f>CHOOSE(Basis!$E$1,((AJ206*(J206*3600/Basis!$E$5)^AK206*(((MID(C206,9,3)*10)-144)/1000)*AL206+AM206*(J206*3600/Basis!$E$5)^2)*0.0098)/Basis!$E$10,((AJ206*(J206/Basis!$E$5)^AK206*(((MID(C206,9,3)*10)-144)/1000)*AL206+AM206*(J206/Basis!$E$5)^2)*0.0098)/Basis!$E$10)</f>
        <v>0</v>
      </c>
      <c r="M206" s="85"/>
      <c r="N206" s="110">
        <v>1.224</v>
      </c>
      <c r="O206" s="74"/>
      <c r="P206" s="73">
        <v>573</v>
      </c>
      <c r="Q206" s="74"/>
      <c r="R206" s="75"/>
      <c r="S206" s="75"/>
      <c r="T206" s="75"/>
      <c r="U206" s="75"/>
      <c r="V206" s="75"/>
      <c r="W206" s="74"/>
      <c r="X206" s="76"/>
      <c r="Y206" s="76"/>
      <c r="Z206" s="76"/>
      <c r="AA206" s="76"/>
      <c r="AB206" s="76"/>
      <c r="AC206" s="74"/>
      <c r="AD206" s="77"/>
      <c r="AE206" s="77"/>
      <c r="AF206" s="77"/>
      <c r="AG206" s="77"/>
      <c r="AH206" s="77"/>
      <c r="AI206" s="68"/>
      <c r="AJ206" s="213"/>
      <c r="AK206" s="213"/>
      <c r="AL206" s="213"/>
      <c r="AM206" s="213"/>
      <c r="AN206" s="74"/>
      <c r="AO206" s="73"/>
      <c r="AP206" s="73"/>
      <c r="AQ206" s="73"/>
      <c r="AR206" s="73"/>
      <c r="AS206" s="73"/>
      <c r="AT206" s="74"/>
      <c r="AU206" s="47"/>
      <c r="AV206" s="48"/>
    </row>
    <row r="207" spans="1:48" ht="12.75" customHeight="1" x14ac:dyDescent="0.25">
      <c r="A207" s="72" t="s">
        <v>20</v>
      </c>
      <c r="B207" s="43" t="s">
        <v>4043</v>
      </c>
      <c r="C207" s="44" t="s">
        <v>3535</v>
      </c>
      <c r="D207" s="45">
        <f>MROUND(MID($C207,6,3)/Basis!$E$3,0.5)</f>
        <v>4.5</v>
      </c>
      <c r="E207" s="45">
        <f>MROUND(MID($C207,9,3)/Basis!$E$3,0.5)</f>
        <v>86.5</v>
      </c>
      <c r="F207" s="229" t="str">
        <f t="shared" si="3"/>
        <v>22</v>
      </c>
      <c r="G207" s="45">
        <f>ROUND(9/Basis!$E$3,1)</f>
        <v>3.5</v>
      </c>
      <c r="H207" s="120">
        <f>ROUND($P207*Basis!$E$2*((TaH-TrH)/LN(1/µ)/Basis!$E$7)^$N207*Glycol,0)</f>
        <v>2287</v>
      </c>
      <c r="I207" s="83">
        <f>ROUND(H207/(MID($C207,9,3)/Basis!$E$3/Basis!$E$9)*Basis!$E$11,0)</f>
        <v>317</v>
      </c>
      <c r="J207" s="123">
        <f>IF(Basis!$E$1=1,ROUND(H207/((TaH-TrH)*1.163)/3600,3),ROUND(H207/(500*(TaH-TrH)),2))</f>
        <v>0.23</v>
      </c>
      <c r="K207" s="84"/>
      <c r="L207" s="177">
        <f>CHOOSE(Basis!$E$1,((AJ207*(J207*3600/Basis!$E$5)^AK207*(((MID(C207,9,3)*10)-144)/1000)*AL207+AM207*(J207*3600/Basis!$E$5)^2)*0.0098)/Basis!$E$10,((AJ207*(J207/Basis!$E$5)^AK207*(((MID(C207,9,3)*10)-144)/1000)*AL207+AM207*(J207/Basis!$E$5)^2)*0.0098)/Basis!$E$10)</f>
        <v>0</v>
      </c>
      <c r="M207" s="85"/>
      <c r="N207" s="110">
        <v>1.206</v>
      </c>
      <c r="O207" s="74"/>
      <c r="P207" s="73">
        <v>998</v>
      </c>
      <c r="Q207" s="74"/>
      <c r="R207" s="75"/>
      <c r="S207" s="75"/>
      <c r="T207" s="75"/>
      <c r="U207" s="75"/>
      <c r="V207" s="75"/>
      <c r="W207" s="74"/>
      <c r="X207" s="76"/>
      <c r="Y207" s="76"/>
      <c r="Z207" s="76"/>
      <c r="AA207" s="76"/>
      <c r="AB207" s="76"/>
      <c r="AC207" s="74"/>
      <c r="AD207" s="77"/>
      <c r="AE207" s="77"/>
      <c r="AF207" s="77"/>
      <c r="AG207" s="77"/>
      <c r="AH207" s="77"/>
      <c r="AI207" s="68"/>
      <c r="AJ207" s="213"/>
      <c r="AK207" s="213"/>
      <c r="AL207" s="213"/>
      <c r="AM207" s="213"/>
      <c r="AN207" s="74"/>
      <c r="AO207" s="73"/>
      <c r="AP207" s="73"/>
      <c r="AQ207" s="73"/>
      <c r="AR207" s="73"/>
      <c r="AS207" s="73"/>
      <c r="AT207" s="74"/>
      <c r="AU207" s="47"/>
      <c r="AV207" s="48"/>
    </row>
    <row r="208" spans="1:48" ht="12.75" customHeight="1" x14ac:dyDescent="0.25">
      <c r="A208" s="72" t="s">
        <v>20</v>
      </c>
      <c r="B208" s="43" t="s">
        <v>4043</v>
      </c>
      <c r="C208" s="44" t="s">
        <v>3536</v>
      </c>
      <c r="D208" s="45">
        <f>MROUND(MID($C208,6,3)/Basis!$E$3,0.5)</f>
        <v>4.5</v>
      </c>
      <c r="E208" s="45">
        <f>MROUND(MID($C208,9,3)/Basis!$E$3,0.5)</f>
        <v>86.5</v>
      </c>
      <c r="F208" s="229" t="str">
        <f t="shared" si="3"/>
        <v>34</v>
      </c>
      <c r="G208" s="45">
        <f>ROUND(16.9/Basis!$E$3,1)</f>
        <v>6.7</v>
      </c>
      <c r="H208" s="120">
        <f>ROUND($P208*Basis!$E$2*((TaH-TrH)/LN(1/µ)/Basis!$E$7)^$N208*Glycol,0)</f>
        <v>3497</v>
      </c>
      <c r="I208" s="83">
        <f>ROUND(H208/(MID($C208,9,3)/Basis!$E$3/Basis!$E$9)*Basis!$E$11,0)</f>
        <v>484</v>
      </c>
      <c r="J208" s="123">
        <f>IF(Basis!$E$1=1,ROUND(H208/((TaH-TrH)*1.163)/3600,3),ROUND(H208/(500*(TaH-TrH)),2))</f>
        <v>0.35</v>
      </c>
      <c r="K208" s="84"/>
      <c r="L208" s="177">
        <f>CHOOSE(Basis!$E$1,((AJ208*(J208*3600/Basis!$E$5)^AK208*(((MID(C208,9,3)*10)-144)/1000)*AL208+AM208*(J208*3600/Basis!$E$5)^2)*0.0098)/Basis!$E$10,((AJ208*(J208/Basis!$E$5)^AK208*(((MID(C208,9,3)*10)-144)/1000)*AL208+AM208*(J208/Basis!$E$5)^2)*0.0098)/Basis!$E$10)</f>
        <v>0</v>
      </c>
      <c r="M208" s="85"/>
      <c r="N208" s="109">
        <v>1.452</v>
      </c>
      <c r="O208" s="68"/>
      <c r="P208" s="67">
        <v>1655</v>
      </c>
      <c r="Q208" s="68"/>
      <c r="R208" s="69"/>
      <c r="S208" s="69"/>
      <c r="T208" s="69"/>
      <c r="U208" s="69"/>
      <c r="V208" s="69"/>
      <c r="W208" s="68"/>
      <c r="X208" s="70"/>
      <c r="Y208" s="70"/>
      <c r="Z208" s="70"/>
      <c r="AA208" s="70"/>
      <c r="AB208" s="70"/>
      <c r="AC208" s="68"/>
      <c r="AD208" s="71"/>
      <c r="AE208" s="71"/>
      <c r="AF208" s="71"/>
      <c r="AG208" s="71"/>
      <c r="AH208" s="71"/>
      <c r="AI208" s="68"/>
      <c r="AJ208" s="214"/>
      <c r="AK208" s="214"/>
      <c r="AL208" s="214"/>
      <c r="AM208" s="214"/>
      <c r="AN208" s="68"/>
      <c r="AO208" s="67"/>
      <c r="AP208" s="67"/>
      <c r="AQ208" s="67"/>
      <c r="AR208" s="67"/>
      <c r="AS208" s="67"/>
      <c r="AT208" s="68"/>
      <c r="AU208" s="49"/>
      <c r="AV208" s="50"/>
    </row>
    <row r="209" spans="1:48" ht="12.75" customHeight="1" x14ac:dyDescent="0.25">
      <c r="A209" s="72" t="s">
        <v>20</v>
      </c>
      <c r="B209" s="43" t="s">
        <v>4043</v>
      </c>
      <c r="C209" s="44" t="s">
        <v>3537</v>
      </c>
      <c r="D209" s="45">
        <f>MROUND(MID($C209,6,3)/Basis!$E$3,0.5)</f>
        <v>4.5</v>
      </c>
      <c r="E209" s="45">
        <f>MROUND(MID($C209,9,3)/Basis!$E$3,0.5)</f>
        <v>94.5</v>
      </c>
      <c r="F209" s="229" t="str">
        <f t="shared" si="3"/>
        <v>11</v>
      </c>
      <c r="G209" s="45">
        <f>ROUND(5/Basis!$E$3,1)</f>
        <v>2</v>
      </c>
      <c r="H209" s="120">
        <f>ROUND($P209*Basis!$E$2*((TaH-TrH)/LN(1/µ)/Basis!$E$7)^$N209*Glycol,0)</f>
        <v>1424</v>
      </c>
      <c r="I209" s="83">
        <f>ROUND(H209/(MID($C209,9,3)/Basis!$E$3/Basis!$E$9)*Basis!$E$11,0)</f>
        <v>181</v>
      </c>
      <c r="J209" s="123">
        <f>IF(Basis!$E$1=1,ROUND(H209/((TaH-TrH)*1.163)/3600,3),ROUND(H209/(500*(TaH-TrH)),2))</f>
        <v>0.14000000000000001</v>
      </c>
      <c r="K209" s="84"/>
      <c r="L209" s="177">
        <f>CHOOSE(Basis!$E$1,((AJ209*(J209*3600/Basis!$E$5)^AK209*(((MID(C209,9,3)*10)-144)/1000)*AL209+AM209*(J209*3600/Basis!$E$5)^2)*0.0098)/Basis!$E$10,((AJ209*(J209/Basis!$E$5)^AK209*(((MID(C209,9,3)*10)-144)/1000)*AL209+AM209*(J209/Basis!$E$5)^2)*0.0098)/Basis!$E$10)</f>
        <v>0</v>
      </c>
      <c r="M209" s="85"/>
      <c r="N209" s="109">
        <v>1.224</v>
      </c>
      <c r="O209" s="68"/>
      <c r="P209" s="67">
        <v>625</v>
      </c>
      <c r="Q209" s="68"/>
      <c r="R209" s="69"/>
      <c r="S209" s="69"/>
      <c r="T209" s="69"/>
      <c r="U209" s="69"/>
      <c r="V209" s="69"/>
      <c r="W209" s="68"/>
      <c r="X209" s="70"/>
      <c r="Y209" s="70"/>
      <c r="Z209" s="70"/>
      <c r="AA209" s="70"/>
      <c r="AB209" s="70"/>
      <c r="AC209" s="68"/>
      <c r="AD209" s="71"/>
      <c r="AE209" s="71"/>
      <c r="AF209" s="71"/>
      <c r="AG209" s="71"/>
      <c r="AH209" s="71"/>
      <c r="AI209" s="68"/>
      <c r="AJ209" s="214"/>
      <c r="AK209" s="214"/>
      <c r="AL209" s="214"/>
      <c r="AM209" s="214"/>
      <c r="AN209" s="68"/>
      <c r="AO209" s="67"/>
      <c r="AP209" s="67"/>
      <c r="AQ209" s="67"/>
      <c r="AR209" s="67"/>
      <c r="AS209" s="67"/>
      <c r="AT209" s="68"/>
      <c r="AU209" s="49"/>
      <c r="AV209" s="50"/>
    </row>
    <row r="210" spans="1:48" ht="12.75" customHeight="1" x14ac:dyDescent="0.25">
      <c r="A210" s="72" t="s">
        <v>20</v>
      </c>
      <c r="B210" s="43" t="s">
        <v>4043</v>
      </c>
      <c r="C210" s="44" t="s">
        <v>3538</v>
      </c>
      <c r="D210" s="45">
        <f>MROUND(MID($C210,6,3)/Basis!$E$3,0.5)</f>
        <v>4.5</v>
      </c>
      <c r="E210" s="45">
        <f>MROUND(MID($C210,9,3)/Basis!$E$3,0.5)</f>
        <v>94.5</v>
      </c>
      <c r="F210" s="229" t="str">
        <f t="shared" si="3"/>
        <v>22</v>
      </c>
      <c r="G210" s="45">
        <f>ROUND(9/Basis!$E$3,1)</f>
        <v>3.5</v>
      </c>
      <c r="H210" s="120">
        <f>ROUND($P210*Basis!$E$2*((TaH-TrH)/LN(1/µ)/Basis!$E$7)^$N210*Glycol,0)</f>
        <v>2496</v>
      </c>
      <c r="I210" s="83">
        <f>ROUND(H210/(MID($C210,9,3)/Basis!$E$3/Basis!$E$9)*Basis!$E$11,0)</f>
        <v>317</v>
      </c>
      <c r="J210" s="123">
        <f>IF(Basis!$E$1=1,ROUND(H210/((TaH-TrH)*1.163)/3600,3),ROUND(H210/(500*(TaH-TrH)),2))</f>
        <v>0.25</v>
      </c>
      <c r="K210" s="84"/>
      <c r="L210" s="177">
        <f>CHOOSE(Basis!$E$1,((AJ210*(J210*3600/Basis!$E$5)^AK210*(((MID(C210,9,3)*10)-144)/1000)*AL210+AM210*(J210*3600/Basis!$E$5)^2)*0.0098)/Basis!$E$10,((AJ210*(J210/Basis!$E$5)^AK210*(((MID(C210,9,3)*10)-144)/1000)*AL210+AM210*(J210/Basis!$E$5)^2)*0.0098)/Basis!$E$10)</f>
        <v>0</v>
      </c>
      <c r="M210" s="85"/>
      <c r="N210" s="110">
        <v>1.206</v>
      </c>
      <c r="O210" s="74"/>
      <c r="P210" s="73">
        <v>1089</v>
      </c>
      <c r="Q210" s="74"/>
      <c r="R210" s="75"/>
      <c r="S210" s="75"/>
      <c r="T210" s="75"/>
      <c r="U210" s="75"/>
      <c r="V210" s="75"/>
      <c r="W210" s="74"/>
      <c r="X210" s="76"/>
      <c r="Y210" s="76"/>
      <c r="Z210" s="76"/>
      <c r="AA210" s="76"/>
      <c r="AB210" s="76"/>
      <c r="AC210" s="74"/>
      <c r="AD210" s="77"/>
      <c r="AE210" s="77"/>
      <c r="AF210" s="77"/>
      <c r="AG210" s="77"/>
      <c r="AH210" s="77"/>
      <c r="AI210" s="68"/>
      <c r="AJ210" s="213"/>
      <c r="AK210" s="213"/>
      <c r="AL210" s="213"/>
      <c r="AM210" s="213"/>
      <c r="AN210" s="74"/>
      <c r="AO210" s="73"/>
      <c r="AP210" s="73"/>
      <c r="AQ210" s="73"/>
      <c r="AR210" s="73"/>
      <c r="AS210" s="73"/>
      <c r="AT210" s="74"/>
      <c r="AU210" s="47"/>
      <c r="AV210" s="48"/>
    </row>
    <row r="211" spans="1:48" ht="12.75" customHeight="1" x14ac:dyDescent="0.25">
      <c r="A211" s="72" t="s">
        <v>20</v>
      </c>
      <c r="B211" s="43" t="s">
        <v>4043</v>
      </c>
      <c r="C211" s="44" t="s">
        <v>3539</v>
      </c>
      <c r="D211" s="45">
        <f>MROUND(MID($C211,6,3)/Basis!$E$3,0.5)</f>
        <v>4.5</v>
      </c>
      <c r="E211" s="45">
        <f>MROUND(MID($C211,9,3)/Basis!$E$3,0.5)</f>
        <v>94.5</v>
      </c>
      <c r="F211" s="229" t="str">
        <f t="shared" si="3"/>
        <v>34</v>
      </c>
      <c r="G211" s="45">
        <f>ROUND(16.9/Basis!$E$3,1)</f>
        <v>6.7</v>
      </c>
      <c r="H211" s="120">
        <f>ROUND($P211*Basis!$E$2*((TaH-TrH)/LN(1/µ)/Basis!$E$7)^$N211*Glycol,0)</f>
        <v>3816</v>
      </c>
      <c r="I211" s="83">
        <f>ROUND(H211/(MID($C211,9,3)/Basis!$E$3/Basis!$E$9)*Basis!$E$11,0)</f>
        <v>485</v>
      </c>
      <c r="J211" s="123">
        <f>IF(Basis!$E$1=1,ROUND(H211/((TaH-TrH)*1.163)/3600,3),ROUND(H211/(500*(TaH-TrH)),2))</f>
        <v>0.38</v>
      </c>
      <c r="K211" s="84"/>
      <c r="L211" s="177">
        <f>CHOOSE(Basis!$E$1,((AJ211*(J211*3600/Basis!$E$5)^AK211*(((MID(C211,9,3)*10)-144)/1000)*AL211+AM211*(J211*3600/Basis!$E$5)^2)*0.0098)/Basis!$E$10,((AJ211*(J211/Basis!$E$5)^AK211*(((MID(C211,9,3)*10)-144)/1000)*AL211+AM211*(J211/Basis!$E$5)^2)*0.0098)/Basis!$E$10)</f>
        <v>0</v>
      </c>
      <c r="M211" s="85"/>
      <c r="N211" s="110">
        <v>1.452</v>
      </c>
      <c r="O211" s="74"/>
      <c r="P211" s="73">
        <v>1806</v>
      </c>
      <c r="Q211" s="74"/>
      <c r="R211" s="75"/>
      <c r="S211" s="75"/>
      <c r="T211" s="75"/>
      <c r="U211" s="75"/>
      <c r="V211" s="75"/>
      <c r="W211" s="74"/>
      <c r="X211" s="76"/>
      <c r="Y211" s="76"/>
      <c r="Z211" s="76"/>
      <c r="AA211" s="76"/>
      <c r="AB211" s="76"/>
      <c r="AC211" s="74"/>
      <c r="AD211" s="77"/>
      <c r="AE211" s="77"/>
      <c r="AF211" s="77"/>
      <c r="AG211" s="77"/>
      <c r="AH211" s="77"/>
      <c r="AI211" s="68"/>
      <c r="AJ211" s="213"/>
      <c r="AK211" s="213"/>
      <c r="AL211" s="213"/>
      <c r="AM211" s="213"/>
      <c r="AN211" s="74"/>
      <c r="AO211" s="73"/>
      <c r="AP211" s="73"/>
      <c r="AQ211" s="73"/>
      <c r="AR211" s="73"/>
      <c r="AS211" s="73"/>
      <c r="AT211" s="74"/>
      <c r="AU211" s="47"/>
      <c r="AV211" s="48"/>
    </row>
    <row r="212" spans="1:48" ht="12.75" customHeight="1" x14ac:dyDescent="0.25">
      <c r="A212" s="72" t="s">
        <v>20</v>
      </c>
      <c r="B212" s="43" t="s">
        <v>4043</v>
      </c>
      <c r="C212" s="44" t="s">
        <v>3540</v>
      </c>
      <c r="D212" s="45">
        <f>MROUND(MID($C212,6,3)/Basis!$E$3,0.5)</f>
        <v>4.5</v>
      </c>
      <c r="E212" s="45">
        <f>MROUND(MID($C212,9,3)/Basis!$E$3,0.5)</f>
        <v>102.5</v>
      </c>
      <c r="F212" s="229" t="str">
        <f t="shared" si="3"/>
        <v>11</v>
      </c>
      <c r="G212" s="45">
        <f>ROUND(5/Basis!$E$3,1)</f>
        <v>2</v>
      </c>
      <c r="H212" s="120">
        <f>ROUND($P212*Basis!$E$2*((TaH-TrH)/LN(1/µ)/Basis!$E$7)^$N212*Glycol,0)</f>
        <v>1542</v>
      </c>
      <c r="I212" s="83">
        <f>ROUND(H212/(MID($C212,9,3)/Basis!$E$3/Basis!$E$9)*Basis!$E$11,0)</f>
        <v>181</v>
      </c>
      <c r="J212" s="123">
        <f>IF(Basis!$E$1=1,ROUND(H212/((TaH-TrH)*1.163)/3600,3),ROUND(H212/(500*(TaH-TrH)),2))</f>
        <v>0.15</v>
      </c>
      <c r="K212" s="84"/>
      <c r="L212" s="177">
        <f>CHOOSE(Basis!$E$1,((AJ212*(J212*3600/Basis!$E$5)^AK212*(((MID(C212,9,3)*10)-144)/1000)*AL212+AM212*(J212*3600/Basis!$E$5)^2)*0.0098)/Basis!$E$10,((AJ212*(J212/Basis!$E$5)^AK212*(((MID(C212,9,3)*10)-144)/1000)*AL212+AM212*(J212/Basis!$E$5)^2)*0.0098)/Basis!$E$10)</f>
        <v>0</v>
      </c>
      <c r="M212" s="85"/>
      <c r="N212" s="109">
        <v>1.224</v>
      </c>
      <c r="O212" s="68"/>
      <c r="P212" s="67">
        <v>677</v>
      </c>
      <c r="Q212" s="68"/>
      <c r="R212" s="69"/>
      <c r="S212" s="69"/>
      <c r="T212" s="69"/>
      <c r="U212" s="69"/>
      <c r="V212" s="69"/>
      <c r="W212" s="68"/>
      <c r="X212" s="70"/>
      <c r="Y212" s="70"/>
      <c r="Z212" s="70"/>
      <c r="AA212" s="70"/>
      <c r="AB212" s="70"/>
      <c r="AC212" s="68"/>
      <c r="AD212" s="71"/>
      <c r="AE212" s="71"/>
      <c r="AF212" s="71"/>
      <c r="AG212" s="71"/>
      <c r="AH212" s="71"/>
      <c r="AI212" s="68"/>
      <c r="AJ212" s="214"/>
      <c r="AK212" s="214"/>
      <c r="AL212" s="214"/>
      <c r="AM212" s="214"/>
      <c r="AN212" s="68"/>
      <c r="AO212" s="67"/>
      <c r="AP212" s="67"/>
      <c r="AQ212" s="67"/>
      <c r="AR212" s="67"/>
      <c r="AS212" s="67"/>
      <c r="AT212" s="68"/>
      <c r="AU212" s="49"/>
      <c r="AV212" s="50"/>
    </row>
    <row r="213" spans="1:48" ht="12.75" customHeight="1" x14ac:dyDescent="0.25">
      <c r="A213" s="72" t="s">
        <v>20</v>
      </c>
      <c r="B213" s="43" t="s">
        <v>4043</v>
      </c>
      <c r="C213" s="44" t="s">
        <v>3541</v>
      </c>
      <c r="D213" s="45">
        <f>MROUND(MID($C213,6,3)/Basis!$E$3,0.5)</f>
        <v>4.5</v>
      </c>
      <c r="E213" s="45">
        <f>MROUND(MID($C213,9,3)/Basis!$E$3,0.5)</f>
        <v>102.5</v>
      </c>
      <c r="F213" s="229" t="str">
        <f t="shared" si="3"/>
        <v>22</v>
      </c>
      <c r="G213" s="45">
        <f>ROUND(9/Basis!$E$3,1)</f>
        <v>3.5</v>
      </c>
      <c r="H213" s="120">
        <f>ROUND($P213*Basis!$E$2*((TaH-TrH)/LN(1/µ)/Basis!$E$7)^$N213*Glycol,0)</f>
        <v>2704</v>
      </c>
      <c r="I213" s="83">
        <f>ROUND(H213/(MID($C213,9,3)/Basis!$E$3/Basis!$E$9)*Basis!$E$11,0)</f>
        <v>317</v>
      </c>
      <c r="J213" s="123">
        <f>IF(Basis!$E$1=1,ROUND(H213/((TaH-TrH)*1.163)/3600,3),ROUND(H213/(500*(TaH-TrH)),2))</f>
        <v>0.27</v>
      </c>
      <c r="K213" s="84"/>
      <c r="L213" s="177">
        <f>CHOOSE(Basis!$E$1,((AJ213*(J213*3600/Basis!$E$5)^AK213*(((MID(C213,9,3)*10)-144)/1000)*AL213+AM213*(J213*3600/Basis!$E$5)^2)*0.0098)/Basis!$E$10,((AJ213*(J213/Basis!$E$5)^AK213*(((MID(C213,9,3)*10)-144)/1000)*AL213+AM213*(J213/Basis!$E$5)^2)*0.0098)/Basis!$E$10)</f>
        <v>0</v>
      </c>
      <c r="M213" s="85"/>
      <c r="N213" s="109">
        <v>1.206</v>
      </c>
      <c r="O213" s="68"/>
      <c r="P213" s="67">
        <v>1180</v>
      </c>
      <c r="Q213" s="68"/>
      <c r="R213" s="69"/>
      <c r="S213" s="69"/>
      <c r="T213" s="69"/>
      <c r="U213" s="69"/>
      <c r="V213" s="69"/>
      <c r="W213" s="68"/>
      <c r="X213" s="70"/>
      <c r="Y213" s="70"/>
      <c r="Z213" s="70"/>
      <c r="AA213" s="70"/>
      <c r="AB213" s="70"/>
      <c r="AC213" s="68"/>
      <c r="AD213" s="71"/>
      <c r="AE213" s="71"/>
      <c r="AF213" s="71"/>
      <c r="AG213" s="71"/>
      <c r="AH213" s="71"/>
      <c r="AI213" s="68"/>
      <c r="AJ213" s="214"/>
      <c r="AK213" s="214"/>
      <c r="AL213" s="214"/>
      <c r="AM213" s="214"/>
      <c r="AN213" s="68"/>
      <c r="AO213" s="67"/>
      <c r="AP213" s="67"/>
      <c r="AQ213" s="67"/>
      <c r="AR213" s="67"/>
      <c r="AS213" s="67"/>
      <c r="AT213" s="68"/>
      <c r="AU213" s="49"/>
      <c r="AV213" s="50"/>
    </row>
    <row r="214" spans="1:48" ht="12.75" customHeight="1" x14ac:dyDescent="0.25">
      <c r="A214" s="72" t="s">
        <v>20</v>
      </c>
      <c r="B214" s="43" t="s">
        <v>4043</v>
      </c>
      <c r="C214" s="44" t="s">
        <v>3542</v>
      </c>
      <c r="D214" s="45">
        <f>MROUND(MID($C214,6,3)/Basis!$E$3,0.5)</f>
        <v>4.5</v>
      </c>
      <c r="E214" s="45">
        <f>MROUND(MID($C214,9,3)/Basis!$E$3,0.5)</f>
        <v>102.5</v>
      </c>
      <c r="F214" s="229" t="str">
        <f t="shared" si="3"/>
        <v>34</v>
      </c>
      <c r="G214" s="45">
        <f>ROUND(16.9/Basis!$E$3,1)</f>
        <v>6.7</v>
      </c>
      <c r="H214" s="120">
        <f>ROUND($P214*Basis!$E$2*((TaH-TrH)/LN(1/µ)/Basis!$E$7)^$N214*Glycol,0)</f>
        <v>4133</v>
      </c>
      <c r="I214" s="83">
        <f>ROUND(H214/(MID($C214,9,3)/Basis!$E$3/Basis!$E$9)*Basis!$E$11,0)</f>
        <v>485</v>
      </c>
      <c r="J214" s="123">
        <f>IF(Basis!$E$1=1,ROUND(H214/((TaH-TrH)*1.163)/3600,3),ROUND(H214/(500*(TaH-TrH)),2))</f>
        <v>0.41</v>
      </c>
      <c r="K214" s="84"/>
      <c r="L214" s="177">
        <f>CHOOSE(Basis!$E$1,((AJ214*(J214*3600/Basis!$E$5)^AK214*(((MID(C214,9,3)*10)-144)/1000)*AL214+AM214*(J214*3600/Basis!$E$5)^2)*0.0098)/Basis!$E$10,((AJ214*(J214/Basis!$E$5)^AK214*(((MID(C214,9,3)*10)-144)/1000)*AL214+AM214*(J214/Basis!$E$5)^2)*0.0098)/Basis!$E$10)</f>
        <v>0</v>
      </c>
      <c r="M214" s="85"/>
      <c r="N214" s="110">
        <v>1.452</v>
      </c>
      <c r="O214" s="74"/>
      <c r="P214" s="73">
        <v>1956</v>
      </c>
      <c r="Q214" s="74"/>
      <c r="R214" s="75"/>
      <c r="S214" s="75"/>
      <c r="T214" s="75"/>
      <c r="U214" s="75"/>
      <c r="V214" s="75"/>
      <c r="W214" s="74"/>
      <c r="X214" s="76"/>
      <c r="Y214" s="76"/>
      <c r="Z214" s="76"/>
      <c r="AA214" s="76"/>
      <c r="AB214" s="76"/>
      <c r="AC214" s="74"/>
      <c r="AD214" s="77"/>
      <c r="AE214" s="77"/>
      <c r="AF214" s="77"/>
      <c r="AG214" s="77"/>
      <c r="AH214" s="77"/>
      <c r="AI214" s="68"/>
      <c r="AJ214" s="213"/>
      <c r="AK214" s="213"/>
      <c r="AL214" s="213"/>
      <c r="AM214" s="213"/>
      <c r="AN214" s="74"/>
      <c r="AO214" s="73"/>
      <c r="AP214" s="73"/>
      <c r="AQ214" s="73"/>
      <c r="AR214" s="73"/>
      <c r="AS214" s="73"/>
      <c r="AT214" s="74"/>
      <c r="AU214" s="47"/>
      <c r="AV214" s="48"/>
    </row>
    <row r="215" spans="1:48" ht="12.75" customHeight="1" x14ac:dyDescent="0.25">
      <c r="A215" s="72" t="s">
        <v>20</v>
      </c>
      <c r="B215" s="43" t="s">
        <v>4043</v>
      </c>
      <c r="C215" s="44" t="s">
        <v>3543</v>
      </c>
      <c r="D215" s="45">
        <f>MROUND(MID($C215,6,3)/Basis!$E$3,0.5)</f>
        <v>4.5</v>
      </c>
      <c r="E215" s="45">
        <f>MROUND(MID($C215,9,3)/Basis!$E$3,0.5)</f>
        <v>110</v>
      </c>
      <c r="F215" s="229" t="str">
        <f t="shared" si="3"/>
        <v>11</v>
      </c>
      <c r="G215" s="45">
        <f>ROUND(5/Basis!$E$3,1)</f>
        <v>2</v>
      </c>
      <c r="H215" s="120">
        <f>ROUND($P215*Basis!$E$2*((TaH-TrH)/LN(1/µ)/Basis!$E$7)^$N215*Glycol,0)</f>
        <v>1661</v>
      </c>
      <c r="I215" s="83">
        <f>ROUND(H215/(MID($C215,9,3)/Basis!$E$3/Basis!$E$9)*Basis!$E$11,0)</f>
        <v>181</v>
      </c>
      <c r="J215" s="123">
        <f>IF(Basis!$E$1=1,ROUND(H215/((TaH-TrH)*1.163)/3600,3),ROUND(H215/(500*(TaH-TrH)),2))</f>
        <v>0.17</v>
      </c>
      <c r="K215" s="84"/>
      <c r="L215" s="177">
        <f>CHOOSE(Basis!$E$1,((AJ215*(J215*3600/Basis!$E$5)^AK215*(((MID(C215,9,3)*10)-144)/1000)*AL215+AM215*(J215*3600/Basis!$E$5)^2)*0.0098)/Basis!$E$10,((AJ215*(J215/Basis!$E$5)^AK215*(((MID(C215,9,3)*10)-144)/1000)*AL215+AM215*(J215/Basis!$E$5)^2)*0.0098)/Basis!$E$10)</f>
        <v>0</v>
      </c>
      <c r="M215" s="85"/>
      <c r="N215" s="110">
        <v>1.224</v>
      </c>
      <c r="O215" s="74"/>
      <c r="P215" s="73">
        <v>729</v>
      </c>
      <c r="Q215" s="74"/>
      <c r="R215" s="75"/>
      <c r="S215" s="75"/>
      <c r="T215" s="75"/>
      <c r="U215" s="75"/>
      <c r="V215" s="75"/>
      <c r="W215" s="74"/>
      <c r="X215" s="76"/>
      <c r="Y215" s="76"/>
      <c r="Z215" s="76"/>
      <c r="AA215" s="76"/>
      <c r="AB215" s="76"/>
      <c r="AC215" s="74"/>
      <c r="AD215" s="77"/>
      <c r="AE215" s="77"/>
      <c r="AF215" s="77"/>
      <c r="AG215" s="77"/>
      <c r="AH215" s="77"/>
      <c r="AI215" s="68"/>
      <c r="AJ215" s="213"/>
      <c r="AK215" s="213"/>
      <c r="AL215" s="213"/>
      <c r="AM215" s="213"/>
      <c r="AN215" s="74"/>
      <c r="AO215" s="73"/>
      <c r="AP215" s="73"/>
      <c r="AQ215" s="73"/>
      <c r="AR215" s="73"/>
      <c r="AS215" s="73"/>
      <c r="AT215" s="74"/>
      <c r="AU215" s="47"/>
      <c r="AV215" s="48"/>
    </row>
    <row r="216" spans="1:48" ht="12.75" customHeight="1" x14ac:dyDescent="0.25">
      <c r="A216" s="72" t="s">
        <v>20</v>
      </c>
      <c r="B216" s="43" t="s">
        <v>4043</v>
      </c>
      <c r="C216" s="44" t="s">
        <v>3544</v>
      </c>
      <c r="D216" s="45">
        <f>MROUND(MID($C216,6,3)/Basis!$E$3,0.5)</f>
        <v>4.5</v>
      </c>
      <c r="E216" s="45">
        <f>MROUND(MID($C216,9,3)/Basis!$E$3,0.5)</f>
        <v>110</v>
      </c>
      <c r="F216" s="229" t="str">
        <f t="shared" si="3"/>
        <v>22</v>
      </c>
      <c r="G216" s="45">
        <f>ROUND(9/Basis!$E$3,1)</f>
        <v>3.5</v>
      </c>
      <c r="H216" s="120">
        <f>ROUND($P216*Basis!$E$2*((TaH-TrH)/LN(1/µ)/Basis!$E$7)^$N216*Glycol,0)</f>
        <v>2913</v>
      </c>
      <c r="I216" s="83">
        <f>ROUND(H216/(MID($C216,9,3)/Basis!$E$3/Basis!$E$9)*Basis!$E$11,0)</f>
        <v>317</v>
      </c>
      <c r="J216" s="123">
        <f>IF(Basis!$E$1=1,ROUND(H216/((TaH-TrH)*1.163)/3600,3),ROUND(H216/(500*(TaH-TrH)),2))</f>
        <v>0.28999999999999998</v>
      </c>
      <c r="K216" s="84"/>
      <c r="L216" s="177">
        <f>CHOOSE(Basis!$E$1,((AJ216*(J216*3600/Basis!$E$5)^AK216*(((MID(C216,9,3)*10)-144)/1000)*AL216+AM216*(J216*3600/Basis!$E$5)^2)*0.0098)/Basis!$E$10,((AJ216*(J216/Basis!$E$5)^AK216*(((MID(C216,9,3)*10)-144)/1000)*AL216+AM216*(J216/Basis!$E$5)^2)*0.0098)/Basis!$E$10)</f>
        <v>0</v>
      </c>
      <c r="M216" s="85"/>
      <c r="N216" s="109">
        <v>1.206</v>
      </c>
      <c r="O216" s="68"/>
      <c r="P216" s="67">
        <v>1271</v>
      </c>
      <c r="Q216" s="68"/>
      <c r="R216" s="69"/>
      <c r="S216" s="69"/>
      <c r="T216" s="69"/>
      <c r="U216" s="69"/>
      <c r="V216" s="69"/>
      <c r="W216" s="68"/>
      <c r="X216" s="70"/>
      <c r="Y216" s="70"/>
      <c r="Z216" s="70"/>
      <c r="AA216" s="70"/>
      <c r="AB216" s="70"/>
      <c r="AC216" s="68"/>
      <c r="AD216" s="71"/>
      <c r="AE216" s="71"/>
      <c r="AF216" s="71"/>
      <c r="AG216" s="71"/>
      <c r="AH216" s="71"/>
      <c r="AI216" s="68"/>
      <c r="AJ216" s="214"/>
      <c r="AK216" s="214"/>
      <c r="AL216" s="214"/>
      <c r="AM216" s="214"/>
      <c r="AN216" s="68"/>
      <c r="AO216" s="67"/>
      <c r="AP216" s="67"/>
      <c r="AQ216" s="67"/>
      <c r="AR216" s="67"/>
      <c r="AS216" s="67"/>
      <c r="AT216" s="68"/>
      <c r="AU216" s="49"/>
      <c r="AV216" s="50"/>
    </row>
    <row r="217" spans="1:48" ht="12.75" customHeight="1" x14ac:dyDescent="0.25">
      <c r="A217" s="72" t="s">
        <v>20</v>
      </c>
      <c r="B217" s="43" t="s">
        <v>4043</v>
      </c>
      <c r="C217" s="44" t="s">
        <v>3545</v>
      </c>
      <c r="D217" s="45">
        <f>MROUND(MID($C217,6,3)/Basis!$E$3,0.5)</f>
        <v>4.5</v>
      </c>
      <c r="E217" s="45">
        <f>MROUND(MID($C217,9,3)/Basis!$E$3,0.5)</f>
        <v>110</v>
      </c>
      <c r="F217" s="229" t="str">
        <f t="shared" si="3"/>
        <v>34</v>
      </c>
      <c r="G217" s="45">
        <f>ROUND(16.9/Basis!$E$3,1)</f>
        <v>6.7</v>
      </c>
      <c r="H217" s="120">
        <f>ROUND($P217*Basis!$E$2*((TaH-TrH)/LN(1/µ)/Basis!$E$7)^$N217*Glycol,0)</f>
        <v>4450</v>
      </c>
      <c r="I217" s="83">
        <f>ROUND(H217/(MID($C217,9,3)/Basis!$E$3/Basis!$E$9)*Basis!$E$11,0)</f>
        <v>484</v>
      </c>
      <c r="J217" s="123">
        <f>IF(Basis!$E$1=1,ROUND(H217/((TaH-TrH)*1.163)/3600,3),ROUND(H217/(500*(TaH-TrH)),2))</f>
        <v>0.45</v>
      </c>
      <c r="K217" s="84"/>
      <c r="L217" s="177">
        <f>CHOOSE(Basis!$E$1,((AJ217*(J217*3600/Basis!$E$5)^AK217*(((MID(C217,9,3)*10)-144)/1000)*AL217+AM217*(J217*3600/Basis!$E$5)^2)*0.0098)/Basis!$E$10,((AJ217*(J217/Basis!$E$5)^AK217*(((MID(C217,9,3)*10)-144)/1000)*AL217+AM217*(J217/Basis!$E$5)^2)*0.0098)/Basis!$E$10)</f>
        <v>0</v>
      </c>
      <c r="M217" s="85"/>
      <c r="N217" s="109">
        <v>1.452</v>
      </c>
      <c r="O217" s="68"/>
      <c r="P217" s="67">
        <v>2106</v>
      </c>
      <c r="Q217" s="68"/>
      <c r="R217" s="69"/>
      <c r="S217" s="69"/>
      <c r="T217" s="69"/>
      <c r="U217" s="69"/>
      <c r="V217" s="69"/>
      <c r="W217" s="68"/>
      <c r="X217" s="70"/>
      <c r="Y217" s="70"/>
      <c r="Z217" s="70"/>
      <c r="AA217" s="70"/>
      <c r="AB217" s="70"/>
      <c r="AC217" s="68"/>
      <c r="AD217" s="71"/>
      <c r="AE217" s="71"/>
      <c r="AF217" s="71"/>
      <c r="AG217" s="71"/>
      <c r="AH217" s="71"/>
      <c r="AI217" s="68"/>
      <c r="AJ217" s="214"/>
      <c r="AK217" s="214"/>
      <c r="AL217" s="214"/>
      <c r="AM217" s="214"/>
      <c r="AN217" s="68"/>
      <c r="AO217" s="67"/>
      <c r="AP217" s="67"/>
      <c r="AQ217" s="67"/>
      <c r="AR217" s="67"/>
      <c r="AS217" s="67"/>
      <c r="AT217" s="68"/>
      <c r="AU217" s="49"/>
      <c r="AV217" s="50"/>
    </row>
    <row r="218" spans="1:48" ht="12.75" customHeight="1" x14ac:dyDescent="0.25">
      <c r="A218" s="72" t="s">
        <v>20</v>
      </c>
      <c r="B218" s="43" t="s">
        <v>4043</v>
      </c>
      <c r="C218" s="44" t="s">
        <v>3546</v>
      </c>
      <c r="D218" s="45">
        <f>MROUND(MID($C218,6,3)/Basis!$E$3,0.5)</f>
        <v>4.5</v>
      </c>
      <c r="E218" s="45">
        <f>MROUND(MID($C218,9,3)/Basis!$E$3,0.5)</f>
        <v>118</v>
      </c>
      <c r="F218" s="229" t="str">
        <f t="shared" si="3"/>
        <v>11</v>
      </c>
      <c r="G218" s="45">
        <f>ROUND(5/Basis!$E$3,1)</f>
        <v>2</v>
      </c>
      <c r="H218" s="120">
        <f>ROUND($P218*Basis!$E$2*((TaH-TrH)/LN(1/µ)/Basis!$E$7)^$N218*Glycol,0)</f>
        <v>1782</v>
      </c>
      <c r="I218" s="83">
        <f>ROUND(H218/(MID($C218,9,3)/Basis!$E$3/Basis!$E$9)*Basis!$E$11,0)</f>
        <v>181</v>
      </c>
      <c r="J218" s="123">
        <f>IF(Basis!$E$1=1,ROUND(H218/((TaH-TrH)*1.163)/3600,3),ROUND(H218/(500*(TaH-TrH)),2))</f>
        <v>0.18</v>
      </c>
      <c r="K218" s="84"/>
      <c r="L218" s="177">
        <f>CHOOSE(Basis!$E$1,((AJ218*(J218*3600/Basis!$E$5)^AK218*(((MID(C218,9,3)*10)-144)/1000)*AL218+AM218*(J218*3600/Basis!$E$5)^2)*0.0098)/Basis!$E$10,((AJ218*(J218/Basis!$E$5)^AK218*(((MID(C218,9,3)*10)-144)/1000)*AL218+AM218*(J218/Basis!$E$5)^2)*0.0098)/Basis!$E$10)</f>
        <v>0</v>
      </c>
      <c r="M218" s="85"/>
      <c r="N218" s="110">
        <v>1.224</v>
      </c>
      <c r="O218" s="74"/>
      <c r="P218" s="73">
        <v>782</v>
      </c>
      <c r="Q218" s="74"/>
      <c r="R218" s="75"/>
      <c r="S218" s="75"/>
      <c r="T218" s="75"/>
      <c r="U218" s="75"/>
      <c r="V218" s="75"/>
      <c r="W218" s="74"/>
      <c r="X218" s="76"/>
      <c r="Y218" s="76"/>
      <c r="Z218" s="76"/>
      <c r="AA218" s="76"/>
      <c r="AB218" s="76"/>
      <c r="AC218" s="74"/>
      <c r="AD218" s="77"/>
      <c r="AE218" s="77"/>
      <c r="AF218" s="77"/>
      <c r="AG218" s="77"/>
      <c r="AH218" s="77"/>
      <c r="AI218" s="68"/>
      <c r="AJ218" s="213"/>
      <c r="AK218" s="213"/>
      <c r="AL218" s="213"/>
      <c r="AM218" s="213"/>
      <c r="AN218" s="74"/>
      <c r="AO218" s="73"/>
      <c r="AP218" s="73"/>
      <c r="AQ218" s="73"/>
      <c r="AR218" s="73"/>
      <c r="AS218" s="73"/>
      <c r="AT218" s="74"/>
      <c r="AU218" s="47"/>
      <c r="AV218" s="48"/>
    </row>
    <row r="219" spans="1:48" ht="12.75" customHeight="1" x14ac:dyDescent="0.25">
      <c r="A219" s="72" t="s">
        <v>20</v>
      </c>
      <c r="B219" s="43" t="s">
        <v>4043</v>
      </c>
      <c r="C219" s="44" t="s">
        <v>3547</v>
      </c>
      <c r="D219" s="45">
        <f>MROUND(MID($C219,6,3)/Basis!$E$3,0.5)</f>
        <v>4.5</v>
      </c>
      <c r="E219" s="45">
        <f>MROUND(MID($C219,9,3)/Basis!$E$3,0.5)</f>
        <v>118</v>
      </c>
      <c r="F219" s="229" t="str">
        <f t="shared" si="3"/>
        <v>22</v>
      </c>
      <c r="G219" s="45">
        <f>ROUND(9/Basis!$E$3,1)</f>
        <v>3.5</v>
      </c>
      <c r="H219" s="120">
        <f>ROUND($P219*Basis!$E$2*((TaH-TrH)/LN(1/µ)/Basis!$E$7)^$N219*Glycol,0)</f>
        <v>3119</v>
      </c>
      <c r="I219" s="83">
        <f>ROUND(H219/(MID($C219,9,3)/Basis!$E$3/Basis!$E$9)*Basis!$E$11,0)</f>
        <v>317</v>
      </c>
      <c r="J219" s="123">
        <f>IF(Basis!$E$1=1,ROUND(H219/((TaH-TrH)*1.163)/3600,3),ROUND(H219/(500*(TaH-TrH)),2))</f>
        <v>0.31</v>
      </c>
      <c r="K219" s="84"/>
      <c r="L219" s="177">
        <f>CHOOSE(Basis!$E$1,((AJ219*(J219*3600/Basis!$E$5)^AK219*(((MID(C219,9,3)*10)-144)/1000)*AL219+AM219*(J219*3600/Basis!$E$5)^2)*0.0098)/Basis!$E$10,((AJ219*(J219/Basis!$E$5)^AK219*(((MID(C219,9,3)*10)-144)/1000)*AL219+AM219*(J219/Basis!$E$5)^2)*0.0098)/Basis!$E$10)</f>
        <v>0</v>
      </c>
      <c r="M219" s="85"/>
      <c r="N219" s="110">
        <v>1.206</v>
      </c>
      <c r="O219" s="74"/>
      <c r="P219" s="73">
        <v>1361</v>
      </c>
      <c r="Q219" s="74"/>
      <c r="R219" s="75"/>
      <c r="S219" s="75"/>
      <c r="T219" s="75"/>
      <c r="U219" s="75"/>
      <c r="V219" s="75"/>
      <c r="W219" s="74"/>
      <c r="X219" s="76"/>
      <c r="Y219" s="76"/>
      <c r="Z219" s="76"/>
      <c r="AA219" s="76"/>
      <c r="AB219" s="76"/>
      <c r="AC219" s="74"/>
      <c r="AD219" s="77"/>
      <c r="AE219" s="77"/>
      <c r="AF219" s="77"/>
      <c r="AG219" s="77"/>
      <c r="AH219" s="77"/>
      <c r="AI219" s="68"/>
      <c r="AJ219" s="213"/>
      <c r="AK219" s="213"/>
      <c r="AL219" s="213"/>
      <c r="AM219" s="213"/>
      <c r="AN219" s="74"/>
      <c r="AO219" s="73"/>
      <c r="AP219" s="73"/>
      <c r="AQ219" s="73"/>
      <c r="AR219" s="73"/>
      <c r="AS219" s="73"/>
      <c r="AT219" s="74"/>
      <c r="AU219" s="47"/>
      <c r="AV219" s="48"/>
    </row>
    <row r="220" spans="1:48" ht="12.75" customHeight="1" x14ac:dyDescent="0.25">
      <c r="A220" s="72" t="s">
        <v>20</v>
      </c>
      <c r="B220" s="43" t="s">
        <v>4043</v>
      </c>
      <c r="C220" s="44" t="s">
        <v>3548</v>
      </c>
      <c r="D220" s="45">
        <f>MROUND(MID($C220,6,3)/Basis!$E$3,0.5)</f>
        <v>4.5</v>
      </c>
      <c r="E220" s="45">
        <f>MROUND(MID($C220,9,3)/Basis!$E$3,0.5)</f>
        <v>118</v>
      </c>
      <c r="F220" s="229" t="str">
        <f t="shared" si="3"/>
        <v>34</v>
      </c>
      <c r="G220" s="45">
        <f>ROUND(16.9/Basis!$E$3,1)</f>
        <v>6.7</v>
      </c>
      <c r="H220" s="120">
        <f>ROUND($P220*Basis!$E$2*((TaH-TrH)/LN(1/µ)/Basis!$E$7)^$N220*Glycol,0)</f>
        <v>4769</v>
      </c>
      <c r="I220" s="83">
        <f>ROUND(H220/(MID($C220,9,3)/Basis!$E$3/Basis!$E$9)*Basis!$E$11,0)</f>
        <v>485</v>
      </c>
      <c r="J220" s="123">
        <f>IF(Basis!$E$1=1,ROUND(H220/((TaH-TrH)*1.163)/3600,3),ROUND(H220/(500*(TaH-TrH)),2))</f>
        <v>0.48</v>
      </c>
      <c r="K220" s="84"/>
      <c r="L220" s="177">
        <f>CHOOSE(Basis!$E$1,((AJ220*(J220*3600/Basis!$E$5)^AK220*(((MID(C220,9,3)*10)-144)/1000)*AL220+AM220*(J220*3600/Basis!$E$5)^2)*0.0098)/Basis!$E$10,((AJ220*(J220/Basis!$E$5)^AK220*(((MID(C220,9,3)*10)-144)/1000)*AL220+AM220*(J220/Basis!$E$5)^2)*0.0098)/Basis!$E$10)</f>
        <v>0</v>
      </c>
      <c r="M220" s="85"/>
      <c r="N220" s="109">
        <v>1.452</v>
      </c>
      <c r="O220" s="68"/>
      <c r="P220" s="67">
        <v>2257</v>
      </c>
      <c r="Q220" s="68"/>
      <c r="R220" s="69"/>
      <c r="S220" s="69"/>
      <c r="T220" s="69"/>
      <c r="U220" s="69"/>
      <c r="V220" s="69"/>
      <c r="W220" s="68"/>
      <c r="X220" s="70"/>
      <c r="Y220" s="70"/>
      <c r="Z220" s="70"/>
      <c r="AA220" s="70"/>
      <c r="AB220" s="70"/>
      <c r="AC220" s="68"/>
      <c r="AD220" s="71"/>
      <c r="AE220" s="71"/>
      <c r="AF220" s="71"/>
      <c r="AG220" s="71"/>
      <c r="AH220" s="71"/>
      <c r="AI220" s="68"/>
      <c r="AJ220" s="214"/>
      <c r="AK220" s="214"/>
      <c r="AL220" s="214"/>
      <c r="AM220" s="214"/>
      <c r="AN220" s="68"/>
      <c r="AO220" s="67"/>
      <c r="AP220" s="67"/>
      <c r="AQ220" s="67"/>
      <c r="AR220" s="67"/>
      <c r="AS220" s="67"/>
      <c r="AT220" s="68"/>
      <c r="AU220" s="49"/>
      <c r="AV220" s="50"/>
    </row>
    <row r="221" spans="1:48" ht="12.75" customHeight="1" x14ac:dyDescent="0.25">
      <c r="A221" s="72" t="s">
        <v>20</v>
      </c>
      <c r="B221" s="43" t="s">
        <v>4043</v>
      </c>
      <c r="C221" s="44" t="s">
        <v>3549</v>
      </c>
      <c r="D221" s="45">
        <f>MROUND(MID($C221,6,3)/Basis!$E$3,0.5)</f>
        <v>4.5</v>
      </c>
      <c r="E221" s="45">
        <f>MROUND(MID($C221,9,3)/Basis!$E$3,0.5)</f>
        <v>126</v>
      </c>
      <c r="F221" s="229" t="str">
        <f t="shared" si="3"/>
        <v>11</v>
      </c>
      <c r="G221" s="45">
        <f>ROUND(5/Basis!$E$3,1)</f>
        <v>2</v>
      </c>
      <c r="H221" s="120">
        <f>ROUND($P221*Basis!$E$2*((TaH-TrH)/LN(1/µ)/Basis!$E$7)^$N221*Glycol,0)</f>
        <v>1900</v>
      </c>
      <c r="I221" s="83">
        <f>ROUND(H221/(MID($C221,9,3)/Basis!$E$3/Basis!$E$9)*Basis!$E$11,0)</f>
        <v>181</v>
      </c>
      <c r="J221" s="123">
        <f>IF(Basis!$E$1=1,ROUND(H221/((TaH-TrH)*1.163)/3600,3),ROUND(H221/(500*(TaH-TrH)),2))</f>
        <v>0.19</v>
      </c>
      <c r="K221" s="84"/>
      <c r="L221" s="177">
        <f>CHOOSE(Basis!$E$1,((AJ221*(J221*3600/Basis!$E$5)^AK221*(((MID(C221,9,3)*10)-144)/1000)*AL221+AM221*(J221*3600/Basis!$E$5)^2)*0.0098)/Basis!$E$10,((AJ221*(J221/Basis!$E$5)^AK221*(((MID(C221,9,3)*10)-144)/1000)*AL221+AM221*(J221/Basis!$E$5)^2)*0.0098)/Basis!$E$10)</f>
        <v>0</v>
      </c>
      <c r="M221" s="85"/>
      <c r="N221" s="109">
        <v>1.224</v>
      </c>
      <c r="O221" s="68"/>
      <c r="P221" s="67">
        <v>834</v>
      </c>
      <c r="Q221" s="68"/>
      <c r="R221" s="69"/>
      <c r="S221" s="69"/>
      <c r="T221" s="69"/>
      <c r="U221" s="69"/>
      <c r="V221" s="69"/>
      <c r="W221" s="68"/>
      <c r="X221" s="70"/>
      <c r="Y221" s="70"/>
      <c r="Z221" s="70"/>
      <c r="AA221" s="70"/>
      <c r="AB221" s="70"/>
      <c r="AC221" s="68"/>
      <c r="AD221" s="71"/>
      <c r="AE221" s="71"/>
      <c r="AF221" s="71"/>
      <c r="AG221" s="71"/>
      <c r="AH221" s="71"/>
      <c r="AI221" s="68"/>
      <c r="AJ221" s="214"/>
      <c r="AK221" s="214"/>
      <c r="AL221" s="214"/>
      <c r="AM221" s="214"/>
      <c r="AN221" s="68"/>
      <c r="AO221" s="67"/>
      <c r="AP221" s="67"/>
      <c r="AQ221" s="67"/>
      <c r="AR221" s="67"/>
      <c r="AS221" s="67"/>
      <c r="AT221" s="68"/>
      <c r="AU221" s="49"/>
      <c r="AV221" s="50"/>
    </row>
    <row r="222" spans="1:48" ht="12.75" customHeight="1" x14ac:dyDescent="0.25">
      <c r="A222" s="72" t="s">
        <v>20</v>
      </c>
      <c r="B222" s="43" t="s">
        <v>4043</v>
      </c>
      <c r="C222" s="44" t="s">
        <v>3550</v>
      </c>
      <c r="D222" s="45">
        <f>MROUND(MID($C222,6,3)/Basis!$E$3,0.5)</f>
        <v>4.5</v>
      </c>
      <c r="E222" s="45">
        <f>MROUND(MID($C222,9,3)/Basis!$E$3,0.5)</f>
        <v>126</v>
      </c>
      <c r="F222" s="229" t="str">
        <f t="shared" si="3"/>
        <v>22</v>
      </c>
      <c r="G222" s="45">
        <f>ROUND(9/Basis!$E$3,1)</f>
        <v>3.5</v>
      </c>
      <c r="H222" s="120">
        <f>ROUND($P222*Basis!$E$2*((TaH-TrH)/LN(1/µ)/Basis!$E$7)^$N222*Glycol,0)</f>
        <v>3328</v>
      </c>
      <c r="I222" s="83">
        <f>ROUND(H222/(MID($C222,9,3)/Basis!$E$3/Basis!$E$9)*Basis!$E$11,0)</f>
        <v>317</v>
      </c>
      <c r="J222" s="123">
        <f>IF(Basis!$E$1=1,ROUND(H222/((TaH-TrH)*1.163)/3600,3),ROUND(H222/(500*(TaH-TrH)),2))</f>
        <v>0.33</v>
      </c>
      <c r="K222" s="84"/>
      <c r="L222" s="177">
        <f>CHOOSE(Basis!$E$1,((AJ222*(J222*3600/Basis!$E$5)^AK222*(((MID(C222,9,3)*10)-144)/1000)*AL222+AM222*(J222*3600/Basis!$E$5)^2)*0.0098)/Basis!$E$10,((AJ222*(J222/Basis!$E$5)^AK222*(((MID(C222,9,3)*10)-144)/1000)*AL222+AM222*(J222/Basis!$E$5)^2)*0.0098)/Basis!$E$10)</f>
        <v>0</v>
      </c>
      <c r="M222" s="85"/>
      <c r="N222" s="110">
        <v>1.206</v>
      </c>
      <c r="O222" s="74"/>
      <c r="P222" s="73">
        <v>1452</v>
      </c>
      <c r="Q222" s="74"/>
      <c r="R222" s="75"/>
      <c r="S222" s="75"/>
      <c r="T222" s="75"/>
      <c r="U222" s="75"/>
      <c r="V222" s="75"/>
      <c r="W222" s="74"/>
      <c r="X222" s="76"/>
      <c r="Y222" s="76"/>
      <c r="Z222" s="76"/>
      <c r="AA222" s="76"/>
      <c r="AB222" s="76"/>
      <c r="AC222" s="74"/>
      <c r="AD222" s="77"/>
      <c r="AE222" s="77"/>
      <c r="AF222" s="77"/>
      <c r="AG222" s="77"/>
      <c r="AH222" s="77"/>
      <c r="AI222" s="68"/>
      <c r="AJ222" s="213"/>
      <c r="AK222" s="213"/>
      <c r="AL222" s="213"/>
      <c r="AM222" s="213"/>
      <c r="AN222" s="74"/>
      <c r="AO222" s="73"/>
      <c r="AP222" s="73"/>
      <c r="AQ222" s="73"/>
      <c r="AR222" s="73"/>
      <c r="AS222" s="73"/>
      <c r="AT222" s="74"/>
      <c r="AU222" s="47"/>
      <c r="AV222" s="48"/>
    </row>
    <row r="223" spans="1:48" ht="12.75" customHeight="1" x14ac:dyDescent="0.25">
      <c r="A223" s="72" t="s">
        <v>20</v>
      </c>
      <c r="B223" s="43" t="s">
        <v>4043</v>
      </c>
      <c r="C223" s="44" t="s">
        <v>3551</v>
      </c>
      <c r="D223" s="45">
        <f>MROUND(MID($C223,6,3)/Basis!$E$3,0.5)</f>
        <v>4.5</v>
      </c>
      <c r="E223" s="45">
        <f>MROUND(MID($C223,9,3)/Basis!$E$3,0.5)</f>
        <v>126</v>
      </c>
      <c r="F223" s="229" t="str">
        <f t="shared" si="3"/>
        <v>34</v>
      </c>
      <c r="G223" s="45">
        <f>ROUND(16.9/Basis!$E$3,1)</f>
        <v>6.7</v>
      </c>
      <c r="H223" s="120">
        <f>ROUND($P223*Basis!$E$2*((TaH-TrH)/LN(1/µ)/Basis!$E$7)^$N223*Glycol,0)</f>
        <v>5086</v>
      </c>
      <c r="I223" s="83">
        <f>ROUND(H223/(MID($C223,9,3)/Basis!$E$3/Basis!$E$9)*Basis!$E$11,0)</f>
        <v>484</v>
      </c>
      <c r="J223" s="123">
        <f>IF(Basis!$E$1=1,ROUND(H223/((TaH-TrH)*1.163)/3600,3),ROUND(H223/(500*(TaH-TrH)),2))</f>
        <v>0.51</v>
      </c>
      <c r="K223" s="84"/>
      <c r="L223" s="177">
        <f>CHOOSE(Basis!$E$1,((AJ223*(J223*3600/Basis!$E$5)^AK223*(((MID(C223,9,3)*10)-144)/1000)*AL223+AM223*(J223*3600/Basis!$E$5)^2)*0.0098)/Basis!$E$10,((AJ223*(J223/Basis!$E$5)^AK223*(((MID(C223,9,3)*10)-144)/1000)*AL223+AM223*(J223/Basis!$E$5)^2)*0.0098)/Basis!$E$10)</f>
        <v>0</v>
      </c>
      <c r="M223" s="85"/>
      <c r="N223" s="110">
        <v>1.452</v>
      </c>
      <c r="O223" s="74"/>
      <c r="P223" s="73">
        <v>2407</v>
      </c>
      <c r="Q223" s="74"/>
      <c r="R223" s="75"/>
      <c r="S223" s="75"/>
      <c r="T223" s="75"/>
      <c r="U223" s="75"/>
      <c r="V223" s="75"/>
      <c r="W223" s="74"/>
      <c r="X223" s="76"/>
      <c r="Y223" s="76"/>
      <c r="Z223" s="76"/>
      <c r="AA223" s="76"/>
      <c r="AB223" s="76"/>
      <c r="AC223" s="74"/>
      <c r="AD223" s="77"/>
      <c r="AE223" s="77"/>
      <c r="AF223" s="77"/>
      <c r="AG223" s="77"/>
      <c r="AH223" s="77"/>
      <c r="AI223" s="68"/>
      <c r="AJ223" s="213"/>
      <c r="AK223" s="213"/>
      <c r="AL223" s="213"/>
      <c r="AM223" s="213"/>
      <c r="AN223" s="74"/>
      <c r="AO223" s="73"/>
      <c r="AP223" s="73"/>
      <c r="AQ223" s="73"/>
      <c r="AR223" s="73"/>
      <c r="AS223" s="73"/>
      <c r="AT223" s="74"/>
      <c r="AU223" s="47"/>
      <c r="AV223" s="48"/>
    </row>
    <row r="224" spans="1:48" ht="12.75" customHeight="1" x14ac:dyDescent="0.25">
      <c r="A224" s="72" t="s">
        <v>20</v>
      </c>
      <c r="B224" s="43" t="s">
        <v>4043</v>
      </c>
      <c r="C224" s="44" t="s">
        <v>3552</v>
      </c>
      <c r="D224" s="45">
        <f>MROUND(MID($C224,6,3)/Basis!$E$3,0.5)</f>
        <v>4.5</v>
      </c>
      <c r="E224" s="45">
        <f>MROUND(MID($C224,9,3)/Basis!$E$3,0.5)</f>
        <v>134</v>
      </c>
      <c r="F224" s="229" t="str">
        <f t="shared" si="3"/>
        <v>11</v>
      </c>
      <c r="G224" s="45">
        <f>ROUND(5/Basis!$E$3,1)</f>
        <v>2</v>
      </c>
      <c r="H224" s="120">
        <f>ROUND($P224*Basis!$E$2*((TaH-TrH)/LN(1/µ)/Basis!$E$7)^$N224*Glycol,0)</f>
        <v>2018</v>
      </c>
      <c r="I224" s="83">
        <f>ROUND(H224/(MID($C224,9,3)/Basis!$E$3/Basis!$E$9)*Basis!$E$11,0)</f>
        <v>181</v>
      </c>
      <c r="J224" s="123">
        <f>IF(Basis!$E$1=1,ROUND(H224/((TaH-TrH)*1.163)/3600,3),ROUND(H224/(500*(TaH-TrH)),2))</f>
        <v>0.2</v>
      </c>
      <c r="K224" s="84"/>
      <c r="L224" s="177">
        <f>CHOOSE(Basis!$E$1,((AJ224*(J224*3600/Basis!$E$5)^AK224*(((MID(C224,9,3)*10)-144)/1000)*AL224+AM224*(J224*3600/Basis!$E$5)^2)*0.0098)/Basis!$E$10,((AJ224*(J224/Basis!$E$5)^AK224*(((MID(C224,9,3)*10)-144)/1000)*AL224+AM224*(J224/Basis!$E$5)^2)*0.0098)/Basis!$E$10)</f>
        <v>0</v>
      </c>
      <c r="M224" s="85"/>
      <c r="N224" s="109">
        <v>1.224</v>
      </c>
      <c r="O224" s="68"/>
      <c r="P224" s="67">
        <v>886</v>
      </c>
      <c r="Q224" s="68"/>
      <c r="R224" s="69"/>
      <c r="S224" s="69"/>
      <c r="T224" s="69"/>
      <c r="U224" s="69"/>
      <c r="V224" s="69"/>
      <c r="W224" s="68"/>
      <c r="X224" s="70"/>
      <c r="Y224" s="70"/>
      <c r="Z224" s="70"/>
      <c r="AA224" s="70"/>
      <c r="AB224" s="70"/>
      <c r="AC224" s="68"/>
      <c r="AD224" s="71"/>
      <c r="AE224" s="71"/>
      <c r="AF224" s="71"/>
      <c r="AG224" s="71"/>
      <c r="AH224" s="71"/>
      <c r="AI224" s="68"/>
      <c r="AJ224" s="214"/>
      <c r="AK224" s="214"/>
      <c r="AL224" s="214"/>
      <c r="AM224" s="214"/>
      <c r="AN224" s="68"/>
      <c r="AO224" s="67"/>
      <c r="AP224" s="67"/>
      <c r="AQ224" s="67"/>
      <c r="AR224" s="67"/>
      <c r="AS224" s="67"/>
      <c r="AT224" s="68"/>
      <c r="AU224" s="49"/>
      <c r="AV224" s="50"/>
    </row>
    <row r="225" spans="1:48" ht="12.75" customHeight="1" x14ac:dyDescent="0.25">
      <c r="A225" s="72" t="s">
        <v>20</v>
      </c>
      <c r="B225" s="43" t="s">
        <v>4043</v>
      </c>
      <c r="C225" s="44" t="s">
        <v>3553</v>
      </c>
      <c r="D225" s="45">
        <f>MROUND(MID($C225,6,3)/Basis!$E$3,0.5)</f>
        <v>4.5</v>
      </c>
      <c r="E225" s="45">
        <f>MROUND(MID($C225,9,3)/Basis!$E$3,0.5)</f>
        <v>134</v>
      </c>
      <c r="F225" s="229" t="str">
        <f t="shared" si="3"/>
        <v>22</v>
      </c>
      <c r="G225" s="45">
        <f>ROUND(9/Basis!$E$3,1)</f>
        <v>3.5</v>
      </c>
      <c r="H225" s="120">
        <f>ROUND($P225*Basis!$E$2*((TaH-TrH)/LN(1/µ)/Basis!$E$7)^$N225*Glycol,0)</f>
        <v>3536</v>
      </c>
      <c r="I225" s="83">
        <f>ROUND(H225/(MID($C225,9,3)/Basis!$E$3/Basis!$E$9)*Basis!$E$11,0)</f>
        <v>317</v>
      </c>
      <c r="J225" s="123">
        <f>IF(Basis!$E$1=1,ROUND(H225/((TaH-TrH)*1.163)/3600,3),ROUND(H225/(500*(TaH-TrH)),2))</f>
        <v>0.35</v>
      </c>
      <c r="K225" s="84"/>
      <c r="L225" s="177">
        <f>CHOOSE(Basis!$E$1,((AJ225*(J225*3600/Basis!$E$5)^AK225*(((MID(C225,9,3)*10)-144)/1000)*AL225+AM225*(J225*3600/Basis!$E$5)^2)*0.0098)/Basis!$E$10,((AJ225*(J225/Basis!$E$5)^AK225*(((MID(C225,9,3)*10)-144)/1000)*AL225+AM225*(J225/Basis!$E$5)^2)*0.0098)/Basis!$E$10)</f>
        <v>0</v>
      </c>
      <c r="M225" s="85"/>
      <c r="N225" s="109">
        <v>1.206</v>
      </c>
      <c r="O225" s="68"/>
      <c r="P225" s="67">
        <v>1543</v>
      </c>
      <c r="Q225" s="68"/>
      <c r="R225" s="69"/>
      <c r="S225" s="69"/>
      <c r="T225" s="69"/>
      <c r="U225" s="69"/>
      <c r="V225" s="69"/>
      <c r="W225" s="68"/>
      <c r="X225" s="70"/>
      <c r="Y225" s="70"/>
      <c r="Z225" s="70"/>
      <c r="AA225" s="70"/>
      <c r="AB225" s="70"/>
      <c r="AC225" s="68"/>
      <c r="AD225" s="71"/>
      <c r="AE225" s="71"/>
      <c r="AF225" s="71"/>
      <c r="AG225" s="71"/>
      <c r="AH225" s="71"/>
      <c r="AI225" s="68"/>
      <c r="AJ225" s="214"/>
      <c r="AK225" s="214"/>
      <c r="AL225" s="214"/>
      <c r="AM225" s="214"/>
      <c r="AN225" s="68"/>
      <c r="AO225" s="67"/>
      <c r="AP225" s="67"/>
      <c r="AQ225" s="67"/>
      <c r="AR225" s="67"/>
      <c r="AS225" s="67"/>
      <c r="AT225" s="68"/>
      <c r="AU225" s="49"/>
      <c r="AV225" s="50"/>
    </row>
    <row r="226" spans="1:48" ht="12.75" customHeight="1" x14ac:dyDescent="0.25">
      <c r="A226" s="72" t="s">
        <v>20</v>
      </c>
      <c r="B226" s="43" t="s">
        <v>4043</v>
      </c>
      <c r="C226" s="44" t="s">
        <v>3554</v>
      </c>
      <c r="D226" s="45">
        <f>MROUND(MID($C226,6,3)/Basis!$E$3,0.5)</f>
        <v>4.5</v>
      </c>
      <c r="E226" s="45">
        <f>MROUND(MID($C226,9,3)/Basis!$E$3,0.5)</f>
        <v>134</v>
      </c>
      <c r="F226" s="229" t="str">
        <f t="shared" si="3"/>
        <v>34</v>
      </c>
      <c r="G226" s="45">
        <f>ROUND(16.9/Basis!$E$3,1)</f>
        <v>6.7</v>
      </c>
      <c r="H226" s="120">
        <f>ROUND($P226*Basis!$E$2*((TaH-TrH)/LN(1/µ)/Basis!$E$7)^$N226*Glycol,0)</f>
        <v>5405</v>
      </c>
      <c r="I226" s="83">
        <f>ROUND(H226/(MID($C226,9,3)/Basis!$E$3/Basis!$E$9)*Basis!$E$11,0)</f>
        <v>485</v>
      </c>
      <c r="J226" s="123">
        <f>IF(Basis!$E$1=1,ROUND(H226/((TaH-TrH)*1.163)/3600,3),ROUND(H226/(500*(TaH-TrH)),2))</f>
        <v>0.54</v>
      </c>
      <c r="K226" s="84"/>
      <c r="L226" s="177">
        <f>CHOOSE(Basis!$E$1,((AJ226*(J226*3600/Basis!$E$5)^AK226*(((MID(C226,9,3)*10)-144)/1000)*AL226+AM226*(J226*3600/Basis!$E$5)^2)*0.0098)/Basis!$E$10,((AJ226*(J226/Basis!$E$5)^AK226*(((MID(C226,9,3)*10)-144)/1000)*AL226+AM226*(J226/Basis!$E$5)^2)*0.0098)/Basis!$E$10)</f>
        <v>0</v>
      </c>
      <c r="M226" s="85"/>
      <c r="N226" s="110">
        <v>1.452</v>
      </c>
      <c r="O226" s="74"/>
      <c r="P226" s="73">
        <v>2558</v>
      </c>
      <c r="Q226" s="74"/>
      <c r="R226" s="75"/>
      <c r="S226" s="75"/>
      <c r="T226" s="75"/>
      <c r="U226" s="75"/>
      <c r="V226" s="75"/>
      <c r="W226" s="74"/>
      <c r="X226" s="76"/>
      <c r="Y226" s="76"/>
      <c r="Z226" s="76"/>
      <c r="AA226" s="76"/>
      <c r="AB226" s="76"/>
      <c r="AC226" s="74"/>
      <c r="AD226" s="77"/>
      <c r="AE226" s="77"/>
      <c r="AF226" s="77"/>
      <c r="AG226" s="77"/>
      <c r="AH226" s="77"/>
      <c r="AI226" s="68"/>
      <c r="AJ226" s="213"/>
      <c r="AK226" s="213"/>
      <c r="AL226" s="213"/>
      <c r="AM226" s="213"/>
      <c r="AN226" s="74"/>
      <c r="AO226" s="73"/>
      <c r="AP226" s="73"/>
      <c r="AQ226" s="73"/>
      <c r="AR226" s="73"/>
      <c r="AS226" s="73"/>
      <c r="AT226" s="74"/>
      <c r="AU226" s="47"/>
      <c r="AV226" s="48"/>
    </row>
    <row r="227" spans="1:48" ht="12.75" customHeight="1" x14ac:dyDescent="0.25">
      <c r="A227" s="72" t="s">
        <v>20</v>
      </c>
      <c r="B227" s="43" t="s">
        <v>4043</v>
      </c>
      <c r="C227" s="44" t="s">
        <v>3555</v>
      </c>
      <c r="D227" s="45">
        <f>MROUND(MID($C227,6,3)/Basis!$E$3,0.5)</f>
        <v>4.5</v>
      </c>
      <c r="E227" s="45">
        <f>MROUND(MID($C227,9,3)/Basis!$E$3,0.5)</f>
        <v>141.5</v>
      </c>
      <c r="F227" s="229" t="str">
        <f t="shared" si="3"/>
        <v>11</v>
      </c>
      <c r="G227" s="45">
        <f>ROUND(5/Basis!$E$3,1)</f>
        <v>2</v>
      </c>
      <c r="H227" s="120">
        <f>ROUND($P227*Basis!$E$2*((TaH-TrH)/LN(1/µ)/Basis!$E$7)^$N227*Glycol,0)</f>
        <v>2137</v>
      </c>
      <c r="I227" s="83">
        <f>ROUND(H227/(MID($C227,9,3)/Basis!$E$3/Basis!$E$9)*Basis!$E$11,0)</f>
        <v>181</v>
      </c>
      <c r="J227" s="123">
        <f>IF(Basis!$E$1=1,ROUND(H227/((TaH-TrH)*1.163)/3600,3),ROUND(H227/(500*(TaH-TrH)),2))</f>
        <v>0.21</v>
      </c>
      <c r="K227" s="84"/>
      <c r="L227" s="177">
        <f>CHOOSE(Basis!$E$1,((AJ227*(J227*3600/Basis!$E$5)^AK227*(((MID(C227,9,3)*10)-144)/1000)*AL227+AM227*(J227*3600/Basis!$E$5)^2)*0.0098)/Basis!$E$10,((AJ227*(J227/Basis!$E$5)^AK227*(((MID(C227,9,3)*10)-144)/1000)*AL227+AM227*(J227/Basis!$E$5)^2)*0.0098)/Basis!$E$10)</f>
        <v>0</v>
      </c>
      <c r="M227" s="85"/>
      <c r="N227" s="110">
        <v>1.224</v>
      </c>
      <c r="O227" s="74"/>
      <c r="P227" s="73">
        <v>938</v>
      </c>
      <c r="Q227" s="74"/>
      <c r="R227" s="75"/>
      <c r="S227" s="75"/>
      <c r="T227" s="75"/>
      <c r="U227" s="75"/>
      <c r="V227" s="75"/>
      <c r="W227" s="74"/>
      <c r="X227" s="76"/>
      <c r="Y227" s="76"/>
      <c r="Z227" s="76"/>
      <c r="AA227" s="76"/>
      <c r="AB227" s="76"/>
      <c r="AC227" s="74"/>
      <c r="AD227" s="77"/>
      <c r="AE227" s="77"/>
      <c r="AF227" s="77"/>
      <c r="AG227" s="77"/>
      <c r="AH227" s="77"/>
      <c r="AI227" s="68"/>
      <c r="AJ227" s="213"/>
      <c r="AK227" s="213"/>
      <c r="AL227" s="213"/>
      <c r="AM227" s="213"/>
      <c r="AN227" s="74"/>
      <c r="AO227" s="73"/>
      <c r="AP227" s="73"/>
      <c r="AQ227" s="73"/>
      <c r="AR227" s="73"/>
      <c r="AS227" s="73"/>
      <c r="AT227" s="74"/>
      <c r="AU227" s="47"/>
      <c r="AV227" s="48"/>
    </row>
    <row r="228" spans="1:48" ht="12.75" customHeight="1" x14ac:dyDescent="0.25">
      <c r="A228" s="72" t="s">
        <v>20</v>
      </c>
      <c r="B228" s="43" t="s">
        <v>4043</v>
      </c>
      <c r="C228" s="44" t="s">
        <v>3556</v>
      </c>
      <c r="D228" s="45">
        <f>MROUND(MID($C228,6,3)/Basis!$E$3,0.5)</f>
        <v>4.5</v>
      </c>
      <c r="E228" s="45">
        <f>MROUND(MID($C228,9,3)/Basis!$E$3,0.5)</f>
        <v>141.5</v>
      </c>
      <c r="F228" s="229" t="str">
        <f t="shared" si="3"/>
        <v>22</v>
      </c>
      <c r="G228" s="45">
        <f>ROUND(9/Basis!$E$3,1)</f>
        <v>3.5</v>
      </c>
      <c r="H228" s="120">
        <f>ROUND($P228*Basis!$E$2*((TaH-TrH)/LN(1/µ)/Basis!$E$7)^$N228*Glycol,0)</f>
        <v>3745</v>
      </c>
      <c r="I228" s="83">
        <f>ROUND(H228/(MID($C228,9,3)/Basis!$E$3/Basis!$E$9)*Basis!$E$11,0)</f>
        <v>317</v>
      </c>
      <c r="J228" s="123">
        <f>IF(Basis!$E$1=1,ROUND(H228/((TaH-TrH)*1.163)/3600,3),ROUND(H228/(500*(TaH-TrH)),2))</f>
        <v>0.37</v>
      </c>
      <c r="K228" s="84"/>
      <c r="L228" s="177">
        <f>CHOOSE(Basis!$E$1,((AJ228*(J228*3600/Basis!$E$5)^AK228*(((MID(C228,9,3)*10)-144)/1000)*AL228+AM228*(J228*3600/Basis!$E$5)^2)*0.0098)/Basis!$E$10,((AJ228*(J228/Basis!$E$5)^AK228*(((MID(C228,9,3)*10)-144)/1000)*AL228+AM228*(J228/Basis!$E$5)^2)*0.0098)/Basis!$E$10)</f>
        <v>0</v>
      </c>
      <c r="M228" s="85"/>
      <c r="N228" s="109">
        <v>1.206</v>
      </c>
      <c r="O228" s="68"/>
      <c r="P228" s="67">
        <v>1634</v>
      </c>
      <c r="Q228" s="68"/>
      <c r="R228" s="69"/>
      <c r="S228" s="69"/>
      <c r="T228" s="69"/>
      <c r="U228" s="69"/>
      <c r="V228" s="69"/>
      <c r="W228" s="68"/>
      <c r="X228" s="70"/>
      <c r="Y228" s="70"/>
      <c r="Z228" s="70"/>
      <c r="AA228" s="70"/>
      <c r="AB228" s="70"/>
      <c r="AC228" s="68"/>
      <c r="AD228" s="71"/>
      <c r="AE228" s="71"/>
      <c r="AF228" s="71"/>
      <c r="AG228" s="71"/>
      <c r="AH228" s="71"/>
      <c r="AI228" s="68"/>
      <c r="AJ228" s="214"/>
      <c r="AK228" s="214"/>
      <c r="AL228" s="214"/>
      <c r="AM228" s="214"/>
      <c r="AN228" s="68"/>
      <c r="AO228" s="67"/>
      <c r="AP228" s="67"/>
      <c r="AQ228" s="67"/>
      <c r="AR228" s="67"/>
      <c r="AS228" s="67"/>
      <c r="AT228" s="68"/>
      <c r="AU228" s="49"/>
      <c r="AV228" s="50"/>
    </row>
    <row r="229" spans="1:48" ht="12.75" customHeight="1" x14ac:dyDescent="0.25">
      <c r="A229" s="72" t="s">
        <v>20</v>
      </c>
      <c r="B229" s="43" t="s">
        <v>4043</v>
      </c>
      <c r="C229" s="44" t="s">
        <v>3557</v>
      </c>
      <c r="D229" s="45">
        <f>MROUND(MID($C229,6,3)/Basis!$E$3,0.5)</f>
        <v>4.5</v>
      </c>
      <c r="E229" s="45">
        <f>MROUND(MID($C229,9,3)/Basis!$E$3,0.5)</f>
        <v>141.5</v>
      </c>
      <c r="F229" s="229" t="str">
        <f t="shared" si="3"/>
        <v>34</v>
      </c>
      <c r="G229" s="45">
        <f>ROUND(16.9/Basis!$E$3,1)</f>
        <v>6.7</v>
      </c>
      <c r="H229" s="120">
        <f>ROUND($P229*Basis!$E$2*((TaH-TrH)/LN(1/µ)/Basis!$E$7)^$N229*Glycol,0)</f>
        <v>5722</v>
      </c>
      <c r="I229" s="83">
        <f>ROUND(H229/(MID($C229,9,3)/Basis!$E$3/Basis!$E$9)*Basis!$E$11,0)</f>
        <v>484</v>
      </c>
      <c r="J229" s="123">
        <f>IF(Basis!$E$1=1,ROUND(H229/((TaH-TrH)*1.163)/3600,3),ROUND(H229/(500*(TaH-TrH)),2))</f>
        <v>0.56999999999999995</v>
      </c>
      <c r="K229" s="84"/>
      <c r="L229" s="177">
        <f>CHOOSE(Basis!$E$1,((AJ229*(J229*3600/Basis!$E$5)^AK229*(((MID(C229,9,3)*10)-144)/1000)*AL229+AM229*(J229*3600/Basis!$E$5)^2)*0.0098)/Basis!$E$10,((AJ229*(J229/Basis!$E$5)^AK229*(((MID(C229,9,3)*10)-144)/1000)*AL229+AM229*(J229/Basis!$E$5)^2)*0.0098)/Basis!$E$10)</f>
        <v>0</v>
      </c>
      <c r="M229" s="85"/>
      <c r="N229" s="109">
        <v>1.452</v>
      </c>
      <c r="O229" s="68"/>
      <c r="P229" s="67">
        <v>2708</v>
      </c>
      <c r="Q229" s="68"/>
      <c r="R229" s="69"/>
      <c r="S229" s="69"/>
      <c r="T229" s="69"/>
      <c r="U229" s="69"/>
      <c r="V229" s="69"/>
      <c r="W229" s="68"/>
      <c r="X229" s="70"/>
      <c r="Y229" s="70"/>
      <c r="Z229" s="70"/>
      <c r="AA229" s="70"/>
      <c r="AB229" s="70"/>
      <c r="AC229" s="68"/>
      <c r="AD229" s="71"/>
      <c r="AE229" s="71"/>
      <c r="AF229" s="71"/>
      <c r="AG229" s="71"/>
      <c r="AH229" s="71"/>
      <c r="AI229" s="68"/>
      <c r="AJ229" s="214"/>
      <c r="AK229" s="214"/>
      <c r="AL229" s="214"/>
      <c r="AM229" s="214"/>
      <c r="AN229" s="68"/>
      <c r="AO229" s="67"/>
      <c r="AP229" s="67"/>
      <c r="AQ229" s="67"/>
      <c r="AR229" s="67"/>
      <c r="AS229" s="67"/>
      <c r="AT229" s="68"/>
      <c r="AU229" s="49"/>
      <c r="AV229" s="50"/>
    </row>
    <row r="230" spans="1:48" ht="12.75" customHeight="1" x14ac:dyDescent="0.25">
      <c r="A230" s="72" t="s">
        <v>20</v>
      </c>
      <c r="B230" s="43" t="s">
        <v>4043</v>
      </c>
      <c r="C230" s="44" t="s">
        <v>3558</v>
      </c>
      <c r="D230" s="45">
        <f>MROUND(MID($C230,6,3)/Basis!$E$3,0.5)</f>
        <v>4.5</v>
      </c>
      <c r="E230" s="45">
        <f>MROUND(MID($C230,9,3)/Basis!$E$3,0.5)</f>
        <v>149.5</v>
      </c>
      <c r="F230" s="229" t="str">
        <f t="shared" si="3"/>
        <v>11</v>
      </c>
      <c r="G230" s="45">
        <f>ROUND(5/Basis!$E$3,1)</f>
        <v>2</v>
      </c>
      <c r="H230" s="120">
        <f>ROUND($P230*Basis!$E$2*((TaH-TrH)/LN(1/µ)/Basis!$E$7)^$N230*Glycol,0)</f>
        <v>2255</v>
      </c>
      <c r="I230" s="83">
        <f>ROUND(H230/(MID($C230,9,3)/Basis!$E$3/Basis!$E$9)*Basis!$E$11,0)</f>
        <v>181</v>
      </c>
      <c r="J230" s="123">
        <f>IF(Basis!$E$1=1,ROUND(H230/((TaH-TrH)*1.163)/3600,3),ROUND(H230/(500*(TaH-TrH)),2))</f>
        <v>0.23</v>
      </c>
      <c r="K230" s="84"/>
      <c r="L230" s="177">
        <f>CHOOSE(Basis!$E$1,((AJ230*(J230*3600/Basis!$E$5)^AK230*(((MID(C230,9,3)*10)-144)/1000)*AL230+AM230*(J230*3600/Basis!$E$5)^2)*0.0098)/Basis!$E$10,((AJ230*(J230/Basis!$E$5)^AK230*(((MID(C230,9,3)*10)-144)/1000)*AL230+AM230*(J230/Basis!$E$5)^2)*0.0098)/Basis!$E$10)</f>
        <v>0</v>
      </c>
      <c r="M230" s="85"/>
      <c r="N230" s="110">
        <v>1.224</v>
      </c>
      <c r="O230" s="74"/>
      <c r="P230" s="73">
        <v>990</v>
      </c>
      <c r="Q230" s="74"/>
      <c r="R230" s="75"/>
      <c r="S230" s="75"/>
      <c r="T230" s="75"/>
      <c r="U230" s="75"/>
      <c r="V230" s="75"/>
      <c r="W230" s="74"/>
      <c r="X230" s="76"/>
      <c r="Y230" s="76"/>
      <c r="Z230" s="76"/>
      <c r="AA230" s="76"/>
      <c r="AB230" s="76"/>
      <c r="AC230" s="74"/>
      <c r="AD230" s="77"/>
      <c r="AE230" s="77"/>
      <c r="AF230" s="77"/>
      <c r="AG230" s="77"/>
      <c r="AH230" s="77"/>
      <c r="AI230" s="68"/>
      <c r="AJ230" s="213"/>
      <c r="AK230" s="213"/>
      <c r="AL230" s="213"/>
      <c r="AM230" s="213"/>
      <c r="AN230" s="74"/>
      <c r="AO230" s="73"/>
      <c r="AP230" s="73"/>
      <c r="AQ230" s="73"/>
      <c r="AR230" s="73"/>
      <c r="AS230" s="73"/>
      <c r="AT230" s="74"/>
      <c r="AU230" s="47"/>
      <c r="AV230" s="48"/>
    </row>
    <row r="231" spans="1:48" ht="12.75" customHeight="1" x14ac:dyDescent="0.25">
      <c r="A231" s="72" t="s">
        <v>20</v>
      </c>
      <c r="B231" s="43" t="s">
        <v>4043</v>
      </c>
      <c r="C231" s="44" t="s">
        <v>3559</v>
      </c>
      <c r="D231" s="45">
        <f>MROUND(MID($C231,6,3)/Basis!$E$3,0.5)</f>
        <v>4.5</v>
      </c>
      <c r="E231" s="45">
        <f>MROUND(MID($C231,9,3)/Basis!$E$3,0.5)</f>
        <v>149.5</v>
      </c>
      <c r="F231" s="229" t="str">
        <f t="shared" si="3"/>
        <v>22</v>
      </c>
      <c r="G231" s="45">
        <f>ROUND(9/Basis!$E$3,1)</f>
        <v>3.5</v>
      </c>
      <c r="H231" s="120">
        <f>ROUND($P231*Basis!$E$2*((TaH-TrH)/LN(1/µ)/Basis!$E$7)^$N231*Glycol,0)</f>
        <v>3951</v>
      </c>
      <c r="I231" s="83">
        <f>ROUND(H231/(MID($C231,9,3)/Basis!$E$3/Basis!$E$9)*Basis!$E$11,0)</f>
        <v>317</v>
      </c>
      <c r="J231" s="123">
        <f>IF(Basis!$E$1=1,ROUND(H231/((TaH-TrH)*1.163)/3600,3),ROUND(H231/(500*(TaH-TrH)),2))</f>
        <v>0.4</v>
      </c>
      <c r="K231" s="84"/>
      <c r="L231" s="177">
        <f>CHOOSE(Basis!$E$1,((AJ231*(J231*3600/Basis!$E$5)^AK231*(((MID(C231,9,3)*10)-144)/1000)*AL231+AM231*(J231*3600/Basis!$E$5)^2)*0.0098)/Basis!$E$10,((AJ231*(J231/Basis!$E$5)^AK231*(((MID(C231,9,3)*10)-144)/1000)*AL231+AM231*(J231/Basis!$E$5)^2)*0.0098)/Basis!$E$10)</f>
        <v>0</v>
      </c>
      <c r="M231" s="85"/>
      <c r="N231" s="110">
        <v>1.206</v>
      </c>
      <c r="O231" s="74"/>
      <c r="P231" s="73">
        <v>1724</v>
      </c>
      <c r="Q231" s="74"/>
      <c r="R231" s="75"/>
      <c r="S231" s="75"/>
      <c r="T231" s="75"/>
      <c r="U231" s="75"/>
      <c r="V231" s="75"/>
      <c r="W231" s="74"/>
      <c r="X231" s="76"/>
      <c r="Y231" s="76"/>
      <c r="Z231" s="76"/>
      <c r="AA231" s="76"/>
      <c r="AB231" s="76"/>
      <c r="AC231" s="74"/>
      <c r="AD231" s="77"/>
      <c r="AE231" s="77"/>
      <c r="AF231" s="77"/>
      <c r="AG231" s="77"/>
      <c r="AH231" s="77"/>
      <c r="AI231" s="68"/>
      <c r="AJ231" s="213"/>
      <c r="AK231" s="213"/>
      <c r="AL231" s="213"/>
      <c r="AM231" s="213"/>
      <c r="AN231" s="74"/>
      <c r="AO231" s="73"/>
      <c r="AP231" s="73"/>
      <c r="AQ231" s="73"/>
      <c r="AR231" s="73"/>
      <c r="AS231" s="73"/>
      <c r="AT231" s="74"/>
      <c r="AU231" s="47"/>
      <c r="AV231" s="48"/>
    </row>
    <row r="232" spans="1:48" ht="12.75" customHeight="1" x14ac:dyDescent="0.25">
      <c r="A232" s="72" t="s">
        <v>20</v>
      </c>
      <c r="B232" s="43" t="s">
        <v>4043</v>
      </c>
      <c r="C232" s="44" t="s">
        <v>3560</v>
      </c>
      <c r="D232" s="45">
        <f>MROUND(MID($C232,6,3)/Basis!$E$3,0.5)</f>
        <v>4.5</v>
      </c>
      <c r="E232" s="45">
        <f>MROUND(MID($C232,9,3)/Basis!$E$3,0.5)</f>
        <v>149.5</v>
      </c>
      <c r="F232" s="229" t="str">
        <f t="shared" si="3"/>
        <v>34</v>
      </c>
      <c r="G232" s="45">
        <f>ROUND(16.9/Basis!$E$3,1)</f>
        <v>6.7</v>
      </c>
      <c r="H232" s="120">
        <f>ROUND($P232*Basis!$E$2*((TaH-TrH)/LN(1/µ)/Basis!$E$7)^$N232*Glycol,0)</f>
        <v>6041</v>
      </c>
      <c r="I232" s="83">
        <f>ROUND(H232/(MID($C232,9,3)/Basis!$E$3/Basis!$E$9)*Basis!$E$11,0)</f>
        <v>485</v>
      </c>
      <c r="J232" s="123">
        <f>IF(Basis!$E$1=1,ROUND(H232/((TaH-TrH)*1.163)/3600,3),ROUND(H232/(500*(TaH-TrH)),2))</f>
        <v>0.6</v>
      </c>
      <c r="K232" s="84"/>
      <c r="L232" s="177">
        <f>CHOOSE(Basis!$E$1,((AJ232*(J232*3600/Basis!$E$5)^AK232*(((MID(C232,9,3)*10)-144)/1000)*AL232+AM232*(J232*3600/Basis!$E$5)^2)*0.0098)/Basis!$E$10,((AJ232*(J232/Basis!$E$5)^AK232*(((MID(C232,9,3)*10)-144)/1000)*AL232+AM232*(J232/Basis!$E$5)^2)*0.0098)/Basis!$E$10)</f>
        <v>0</v>
      </c>
      <c r="M232" s="85"/>
      <c r="N232" s="109">
        <v>1.452</v>
      </c>
      <c r="O232" s="68"/>
      <c r="P232" s="67">
        <v>2859</v>
      </c>
      <c r="Q232" s="68"/>
      <c r="R232" s="69"/>
      <c r="S232" s="69"/>
      <c r="T232" s="69"/>
      <c r="U232" s="69"/>
      <c r="V232" s="69"/>
      <c r="W232" s="68"/>
      <c r="X232" s="70"/>
      <c r="Y232" s="70"/>
      <c r="Z232" s="70"/>
      <c r="AA232" s="70"/>
      <c r="AB232" s="70"/>
      <c r="AC232" s="68"/>
      <c r="AD232" s="71"/>
      <c r="AE232" s="71"/>
      <c r="AF232" s="71"/>
      <c r="AG232" s="71"/>
      <c r="AH232" s="71"/>
      <c r="AI232" s="68"/>
      <c r="AJ232" s="214"/>
      <c r="AK232" s="214"/>
      <c r="AL232" s="214"/>
      <c r="AM232" s="214"/>
      <c r="AN232" s="68"/>
      <c r="AO232" s="67"/>
      <c r="AP232" s="67"/>
      <c r="AQ232" s="67"/>
      <c r="AR232" s="67"/>
      <c r="AS232" s="67"/>
      <c r="AT232" s="68"/>
      <c r="AU232" s="49"/>
      <c r="AV232" s="50"/>
    </row>
    <row r="233" spans="1:48" ht="12.75" customHeight="1" x14ac:dyDescent="0.25">
      <c r="A233" s="72" t="s">
        <v>20</v>
      </c>
      <c r="B233" s="43" t="s">
        <v>4043</v>
      </c>
      <c r="C233" s="44" t="s">
        <v>3561</v>
      </c>
      <c r="D233" s="45">
        <f>MROUND(MID($C233,6,3)/Basis!$E$3,0.5)</f>
        <v>4.5</v>
      </c>
      <c r="E233" s="45">
        <f>MROUND(MID($C233,9,3)/Basis!$E$3,0.5)</f>
        <v>165.5</v>
      </c>
      <c r="F233" s="229" t="str">
        <f t="shared" si="3"/>
        <v>11</v>
      </c>
      <c r="G233" s="45">
        <f>ROUND(5/Basis!$E$3,1)</f>
        <v>2</v>
      </c>
      <c r="H233" s="120">
        <f>ROUND($P233*Basis!$E$2*((TaH-TrH)/LN(1/µ)/Basis!$E$7)^$N233*Glycol,0)</f>
        <v>2492</v>
      </c>
      <c r="I233" s="83">
        <f>ROUND(H233/(MID($C233,9,3)/Basis!$E$3/Basis!$E$9)*Basis!$E$11,0)</f>
        <v>181</v>
      </c>
      <c r="J233" s="123">
        <f>IF(Basis!$E$1=1,ROUND(H233/((TaH-TrH)*1.163)/3600,3),ROUND(H233/(500*(TaH-TrH)),2))</f>
        <v>0.25</v>
      </c>
      <c r="K233" s="84"/>
      <c r="L233" s="177">
        <f>CHOOSE(Basis!$E$1,((AJ233*(J233*3600/Basis!$E$5)^AK233*(((MID(C233,9,3)*10)-144)/1000)*AL233+AM233*(J233*3600/Basis!$E$5)^2)*0.0098)/Basis!$E$10,((AJ233*(J233/Basis!$E$5)^AK233*(((MID(C233,9,3)*10)-144)/1000)*AL233+AM233*(J233/Basis!$E$5)^2)*0.0098)/Basis!$E$10)</f>
        <v>0</v>
      </c>
      <c r="M233" s="85"/>
      <c r="N233" s="109">
        <v>1.224</v>
      </c>
      <c r="O233" s="68"/>
      <c r="P233" s="67">
        <v>1094</v>
      </c>
      <c r="Q233" s="68"/>
      <c r="R233" s="69"/>
      <c r="S233" s="69"/>
      <c r="T233" s="69"/>
      <c r="U233" s="69"/>
      <c r="V233" s="69"/>
      <c r="W233" s="68"/>
      <c r="X233" s="70"/>
      <c r="Y233" s="70"/>
      <c r="Z233" s="70"/>
      <c r="AA233" s="70"/>
      <c r="AB233" s="70"/>
      <c r="AC233" s="68"/>
      <c r="AD233" s="71"/>
      <c r="AE233" s="71"/>
      <c r="AF233" s="71"/>
      <c r="AG233" s="71"/>
      <c r="AH233" s="71"/>
      <c r="AI233" s="68"/>
      <c r="AJ233" s="214"/>
      <c r="AK233" s="214"/>
      <c r="AL233" s="214"/>
      <c r="AM233" s="214"/>
      <c r="AN233" s="68"/>
      <c r="AO233" s="67"/>
      <c r="AP233" s="67"/>
      <c r="AQ233" s="67"/>
      <c r="AR233" s="67"/>
      <c r="AS233" s="67"/>
      <c r="AT233" s="68"/>
      <c r="AU233" s="49"/>
      <c r="AV233" s="50"/>
    </row>
    <row r="234" spans="1:48" ht="12.75" customHeight="1" x14ac:dyDescent="0.25">
      <c r="A234" s="72" t="s">
        <v>20</v>
      </c>
      <c r="B234" s="43" t="s">
        <v>4043</v>
      </c>
      <c r="C234" s="44" t="s">
        <v>3562</v>
      </c>
      <c r="D234" s="45">
        <f>MROUND(MID($C234,6,3)/Basis!$E$3,0.5)</f>
        <v>4.5</v>
      </c>
      <c r="E234" s="45">
        <f>MROUND(MID($C234,9,3)/Basis!$E$3,0.5)</f>
        <v>165.5</v>
      </c>
      <c r="F234" s="229" t="str">
        <f t="shared" si="3"/>
        <v>22</v>
      </c>
      <c r="G234" s="45">
        <f>ROUND(9/Basis!$E$3,1)</f>
        <v>3.5</v>
      </c>
      <c r="H234" s="120">
        <f>ROUND($P234*Basis!$E$2*((TaH-TrH)/LN(1/µ)/Basis!$E$7)^$N234*Glycol,0)</f>
        <v>4368</v>
      </c>
      <c r="I234" s="83">
        <f>ROUND(H234/(MID($C234,9,3)/Basis!$E$3/Basis!$E$9)*Basis!$E$11,0)</f>
        <v>317</v>
      </c>
      <c r="J234" s="123">
        <f>IF(Basis!$E$1=1,ROUND(H234/((TaH-TrH)*1.163)/3600,3),ROUND(H234/(500*(TaH-TrH)),2))</f>
        <v>0.44</v>
      </c>
      <c r="K234" s="84"/>
      <c r="L234" s="177">
        <f>CHOOSE(Basis!$E$1,((AJ234*(J234*3600/Basis!$E$5)^AK234*(((MID(C234,9,3)*10)-144)/1000)*AL234+AM234*(J234*3600/Basis!$E$5)^2)*0.0098)/Basis!$E$10,((AJ234*(J234/Basis!$E$5)^AK234*(((MID(C234,9,3)*10)-144)/1000)*AL234+AM234*(J234/Basis!$E$5)^2)*0.0098)/Basis!$E$10)</f>
        <v>0</v>
      </c>
      <c r="M234" s="85"/>
      <c r="N234" s="110">
        <v>1.206</v>
      </c>
      <c r="O234" s="74"/>
      <c r="P234" s="73">
        <v>1906</v>
      </c>
      <c r="Q234" s="74"/>
      <c r="R234" s="75"/>
      <c r="S234" s="75"/>
      <c r="T234" s="75"/>
      <c r="U234" s="75"/>
      <c r="V234" s="75"/>
      <c r="W234" s="74"/>
      <c r="X234" s="76"/>
      <c r="Y234" s="76"/>
      <c r="Z234" s="76"/>
      <c r="AA234" s="76"/>
      <c r="AB234" s="76"/>
      <c r="AC234" s="74"/>
      <c r="AD234" s="77"/>
      <c r="AE234" s="77"/>
      <c r="AF234" s="77"/>
      <c r="AG234" s="77"/>
      <c r="AH234" s="77"/>
      <c r="AI234" s="68"/>
      <c r="AJ234" s="213"/>
      <c r="AK234" s="213"/>
      <c r="AL234" s="213"/>
      <c r="AM234" s="213"/>
      <c r="AN234" s="74"/>
      <c r="AO234" s="73"/>
      <c r="AP234" s="73"/>
      <c r="AQ234" s="73"/>
      <c r="AR234" s="73"/>
      <c r="AS234" s="73"/>
      <c r="AT234" s="74"/>
      <c r="AU234" s="47"/>
      <c r="AV234" s="48"/>
    </row>
    <row r="235" spans="1:48" ht="12.75" customHeight="1" x14ac:dyDescent="0.25">
      <c r="A235" s="72" t="s">
        <v>20</v>
      </c>
      <c r="B235" s="43" t="s">
        <v>4043</v>
      </c>
      <c r="C235" s="44" t="s">
        <v>3563</v>
      </c>
      <c r="D235" s="45">
        <f>MROUND(MID($C235,6,3)/Basis!$E$3,0.5)</f>
        <v>4.5</v>
      </c>
      <c r="E235" s="45">
        <f>MROUND(MID($C235,9,3)/Basis!$E$3,0.5)</f>
        <v>165.5</v>
      </c>
      <c r="F235" s="229" t="str">
        <f t="shared" si="3"/>
        <v>34</v>
      </c>
      <c r="G235" s="45">
        <f>ROUND(16.9/Basis!$E$3,1)</f>
        <v>6.7</v>
      </c>
      <c r="H235" s="120">
        <f>ROUND($P235*Basis!$E$2*((TaH-TrH)/LN(1/µ)/Basis!$E$7)^$N235*Glycol,0)</f>
        <v>6677</v>
      </c>
      <c r="I235" s="83">
        <f>ROUND(H235/(MID($C235,9,3)/Basis!$E$3/Basis!$E$9)*Basis!$E$11,0)</f>
        <v>485</v>
      </c>
      <c r="J235" s="123">
        <f>IF(Basis!$E$1=1,ROUND(H235/((TaH-TrH)*1.163)/3600,3),ROUND(H235/(500*(TaH-TrH)),2))</f>
        <v>0.67</v>
      </c>
      <c r="K235" s="84"/>
      <c r="L235" s="177">
        <f>CHOOSE(Basis!$E$1,((AJ235*(J235*3600/Basis!$E$5)^AK235*(((MID(C235,9,3)*10)-144)/1000)*AL235+AM235*(J235*3600/Basis!$E$5)^2)*0.0098)/Basis!$E$10,((AJ235*(J235/Basis!$E$5)^AK235*(((MID(C235,9,3)*10)-144)/1000)*AL235+AM235*(J235/Basis!$E$5)^2)*0.0098)/Basis!$E$10)</f>
        <v>0</v>
      </c>
      <c r="M235" s="85"/>
      <c r="N235" s="110">
        <v>1.452</v>
      </c>
      <c r="O235" s="74"/>
      <c r="P235" s="73">
        <v>3160</v>
      </c>
      <c r="Q235" s="74"/>
      <c r="R235" s="75"/>
      <c r="S235" s="75"/>
      <c r="T235" s="75"/>
      <c r="U235" s="75"/>
      <c r="V235" s="75"/>
      <c r="W235" s="74"/>
      <c r="X235" s="76"/>
      <c r="Y235" s="76"/>
      <c r="Z235" s="76"/>
      <c r="AA235" s="76"/>
      <c r="AB235" s="76"/>
      <c r="AC235" s="74"/>
      <c r="AD235" s="77"/>
      <c r="AE235" s="77"/>
      <c r="AF235" s="77"/>
      <c r="AG235" s="77"/>
      <c r="AH235" s="77"/>
      <c r="AI235" s="68"/>
      <c r="AJ235" s="213"/>
      <c r="AK235" s="213"/>
      <c r="AL235" s="213"/>
      <c r="AM235" s="213"/>
      <c r="AN235" s="74"/>
      <c r="AO235" s="73"/>
      <c r="AP235" s="73"/>
      <c r="AQ235" s="73"/>
      <c r="AR235" s="73"/>
      <c r="AS235" s="73"/>
      <c r="AT235" s="74"/>
      <c r="AU235" s="47"/>
      <c r="AV235" s="48"/>
    </row>
    <row r="236" spans="1:48" ht="12.75" customHeight="1" x14ac:dyDescent="0.25">
      <c r="A236" s="72" t="s">
        <v>20</v>
      </c>
      <c r="B236" s="43" t="s">
        <v>4043</v>
      </c>
      <c r="C236" s="44" t="s">
        <v>3564</v>
      </c>
      <c r="D236" s="45">
        <f>MROUND(MID($C236,6,3)/Basis!$E$3,0.5)</f>
        <v>4.5</v>
      </c>
      <c r="E236" s="45">
        <f>MROUND(MID($C236,9,3)/Basis!$E$3,0.5)</f>
        <v>181</v>
      </c>
      <c r="F236" s="229" t="str">
        <f t="shared" si="3"/>
        <v>11</v>
      </c>
      <c r="G236" s="45">
        <f>ROUND(5/Basis!$E$3,1)</f>
        <v>2</v>
      </c>
      <c r="H236" s="120">
        <f>ROUND($P236*Basis!$E$2*((TaH-TrH)/LN(1/µ)/Basis!$E$7)^$N236*Glycol,0)</f>
        <v>2729</v>
      </c>
      <c r="I236" s="83">
        <f>ROUND(H236/(MID($C236,9,3)/Basis!$E$3/Basis!$E$9)*Basis!$E$11,0)</f>
        <v>181</v>
      </c>
      <c r="J236" s="123">
        <f>IF(Basis!$E$1=1,ROUND(H236/((TaH-TrH)*1.163)/3600,3),ROUND(H236/(500*(TaH-TrH)),2))</f>
        <v>0.27</v>
      </c>
      <c r="K236" s="84"/>
      <c r="L236" s="177">
        <f>CHOOSE(Basis!$E$1,((AJ236*(J236*3600/Basis!$E$5)^AK236*(((MID(C236,9,3)*10)-144)/1000)*AL236+AM236*(J236*3600/Basis!$E$5)^2)*0.0098)/Basis!$E$10,((AJ236*(J236/Basis!$E$5)^AK236*(((MID(C236,9,3)*10)-144)/1000)*AL236+AM236*(J236/Basis!$E$5)^2)*0.0098)/Basis!$E$10)</f>
        <v>0</v>
      </c>
      <c r="M236" s="85"/>
      <c r="N236" s="109">
        <v>1.224</v>
      </c>
      <c r="O236" s="68"/>
      <c r="P236" s="67">
        <v>1198</v>
      </c>
      <c r="Q236" s="68"/>
      <c r="R236" s="69"/>
      <c r="S236" s="69"/>
      <c r="T236" s="69"/>
      <c r="U236" s="69"/>
      <c r="V236" s="69"/>
      <c r="W236" s="68"/>
      <c r="X236" s="70"/>
      <c r="Y236" s="70"/>
      <c r="Z236" s="70"/>
      <c r="AA236" s="70"/>
      <c r="AB236" s="70"/>
      <c r="AC236" s="68"/>
      <c r="AD236" s="71"/>
      <c r="AE236" s="71"/>
      <c r="AF236" s="71"/>
      <c r="AG236" s="71"/>
      <c r="AH236" s="71"/>
      <c r="AI236" s="68"/>
      <c r="AJ236" s="214"/>
      <c r="AK236" s="214"/>
      <c r="AL236" s="214"/>
      <c r="AM236" s="214"/>
      <c r="AN236" s="68"/>
      <c r="AO236" s="67"/>
      <c r="AP236" s="67"/>
      <c r="AQ236" s="67"/>
      <c r="AR236" s="67"/>
      <c r="AS236" s="67"/>
      <c r="AT236" s="68"/>
      <c r="AU236" s="49"/>
      <c r="AV236" s="50"/>
    </row>
    <row r="237" spans="1:48" ht="12.75" customHeight="1" x14ac:dyDescent="0.25">
      <c r="A237" s="72" t="s">
        <v>20</v>
      </c>
      <c r="B237" s="43" t="s">
        <v>4043</v>
      </c>
      <c r="C237" s="44" t="s">
        <v>3565</v>
      </c>
      <c r="D237" s="45">
        <f>MROUND(MID($C237,6,3)/Basis!$E$3,0.5)</f>
        <v>4.5</v>
      </c>
      <c r="E237" s="45">
        <f>MROUND(MID($C237,9,3)/Basis!$E$3,0.5)</f>
        <v>181</v>
      </c>
      <c r="F237" s="229" t="str">
        <f t="shared" si="3"/>
        <v>22</v>
      </c>
      <c r="G237" s="45">
        <f>ROUND(9/Basis!$E$3,1)</f>
        <v>3.5</v>
      </c>
      <c r="H237" s="120">
        <f>ROUND($P237*Basis!$E$2*((TaH-TrH)/LN(1/µ)/Basis!$E$7)^$N237*Glycol,0)</f>
        <v>4783</v>
      </c>
      <c r="I237" s="83">
        <f>ROUND(H237/(MID($C237,9,3)/Basis!$E$3/Basis!$E$9)*Basis!$E$11,0)</f>
        <v>317</v>
      </c>
      <c r="J237" s="123">
        <f>IF(Basis!$E$1=1,ROUND(H237/((TaH-TrH)*1.163)/3600,3),ROUND(H237/(500*(TaH-TrH)),2))</f>
        <v>0.48</v>
      </c>
      <c r="K237" s="84"/>
      <c r="L237" s="177">
        <f>CHOOSE(Basis!$E$1,((AJ237*(J237*3600/Basis!$E$5)^AK237*(((MID(C237,9,3)*10)-144)/1000)*AL237+AM237*(J237*3600/Basis!$E$5)^2)*0.0098)/Basis!$E$10,((AJ237*(J237/Basis!$E$5)^AK237*(((MID(C237,9,3)*10)-144)/1000)*AL237+AM237*(J237/Basis!$E$5)^2)*0.0098)/Basis!$E$10)</f>
        <v>0</v>
      </c>
      <c r="M237" s="85"/>
      <c r="N237" s="109">
        <v>1.206</v>
      </c>
      <c r="O237" s="68"/>
      <c r="P237" s="67">
        <v>2087</v>
      </c>
      <c r="Q237" s="68"/>
      <c r="R237" s="69"/>
      <c r="S237" s="69"/>
      <c r="T237" s="69"/>
      <c r="U237" s="69"/>
      <c r="V237" s="69"/>
      <c r="W237" s="68"/>
      <c r="X237" s="70"/>
      <c r="Y237" s="70"/>
      <c r="Z237" s="70"/>
      <c r="AA237" s="70"/>
      <c r="AB237" s="70"/>
      <c r="AC237" s="68"/>
      <c r="AD237" s="71"/>
      <c r="AE237" s="71"/>
      <c r="AF237" s="71"/>
      <c r="AG237" s="71"/>
      <c r="AH237" s="71"/>
      <c r="AI237" s="68"/>
      <c r="AJ237" s="214"/>
      <c r="AK237" s="214"/>
      <c r="AL237" s="214"/>
      <c r="AM237" s="214"/>
      <c r="AN237" s="68"/>
      <c r="AO237" s="67"/>
      <c r="AP237" s="67"/>
      <c r="AQ237" s="67"/>
      <c r="AR237" s="67"/>
      <c r="AS237" s="67"/>
      <c r="AT237" s="68"/>
      <c r="AU237" s="49"/>
      <c r="AV237" s="50"/>
    </row>
    <row r="238" spans="1:48" ht="12.75" customHeight="1" x14ac:dyDescent="0.25">
      <c r="A238" s="72" t="s">
        <v>20</v>
      </c>
      <c r="B238" s="43" t="s">
        <v>4043</v>
      </c>
      <c r="C238" s="44" t="s">
        <v>3566</v>
      </c>
      <c r="D238" s="45">
        <f>MROUND(MID($C238,6,3)/Basis!$E$3,0.5)</f>
        <v>4.5</v>
      </c>
      <c r="E238" s="45">
        <f>MROUND(MID($C238,9,3)/Basis!$E$3,0.5)</f>
        <v>181</v>
      </c>
      <c r="F238" s="229" t="str">
        <f t="shared" si="3"/>
        <v>34</v>
      </c>
      <c r="G238" s="45">
        <f>ROUND(16.9/Basis!$E$3,1)</f>
        <v>6.7</v>
      </c>
      <c r="H238" s="120">
        <f>ROUND($P238*Basis!$E$2*((TaH-TrH)/LN(1/µ)/Basis!$E$7)^$N238*Glycol,0)</f>
        <v>7313</v>
      </c>
      <c r="I238" s="83">
        <f>ROUND(H238/(MID($C238,9,3)/Basis!$E$3/Basis!$E$9)*Basis!$E$11,0)</f>
        <v>485</v>
      </c>
      <c r="J238" s="123">
        <f>IF(Basis!$E$1=1,ROUND(H238/((TaH-TrH)*1.163)/3600,3),ROUND(H238/(500*(TaH-TrH)),2))</f>
        <v>0.73</v>
      </c>
      <c r="K238" s="84"/>
      <c r="L238" s="177">
        <f>CHOOSE(Basis!$E$1,((AJ238*(J238*3600/Basis!$E$5)^AK238*(((MID(C238,9,3)*10)-144)/1000)*AL238+AM238*(J238*3600/Basis!$E$5)^2)*0.0098)/Basis!$E$10,((AJ238*(J238/Basis!$E$5)^AK238*(((MID(C238,9,3)*10)-144)/1000)*AL238+AM238*(J238/Basis!$E$5)^2)*0.0098)/Basis!$E$10)</f>
        <v>0</v>
      </c>
      <c r="M238" s="85"/>
      <c r="N238" s="110">
        <v>1.452</v>
      </c>
      <c r="O238" s="74"/>
      <c r="P238" s="73">
        <v>3461</v>
      </c>
      <c r="Q238" s="74"/>
      <c r="R238" s="75"/>
      <c r="S238" s="75"/>
      <c r="T238" s="75"/>
      <c r="U238" s="75"/>
      <c r="V238" s="75"/>
      <c r="W238" s="74"/>
      <c r="X238" s="76"/>
      <c r="Y238" s="76"/>
      <c r="Z238" s="76"/>
      <c r="AA238" s="76"/>
      <c r="AB238" s="76"/>
      <c r="AC238" s="74"/>
      <c r="AD238" s="77"/>
      <c r="AE238" s="77"/>
      <c r="AF238" s="77"/>
      <c r="AG238" s="77"/>
      <c r="AH238" s="77"/>
      <c r="AI238" s="68"/>
      <c r="AJ238" s="213"/>
      <c r="AK238" s="213"/>
      <c r="AL238" s="213"/>
      <c r="AM238" s="213"/>
      <c r="AN238" s="74"/>
      <c r="AO238" s="73"/>
      <c r="AP238" s="73"/>
      <c r="AQ238" s="73"/>
      <c r="AR238" s="73"/>
      <c r="AS238" s="73"/>
      <c r="AT238" s="74"/>
      <c r="AU238" s="47"/>
      <c r="AV238" s="48"/>
    </row>
    <row r="239" spans="1:48" ht="12.75" customHeight="1" x14ac:dyDescent="0.25">
      <c r="A239" s="72" t="s">
        <v>20</v>
      </c>
      <c r="B239" s="43" t="s">
        <v>4043</v>
      </c>
      <c r="C239" s="44" t="s">
        <v>3567</v>
      </c>
      <c r="D239" s="45">
        <f>MROUND(MID($C239,6,3)/Basis!$E$3,0.5)</f>
        <v>7</v>
      </c>
      <c r="E239" s="45">
        <f>MROUND(MID($C239,9,3)/Basis!$E$3,0.5)</f>
        <v>39.5</v>
      </c>
      <c r="F239" s="229" t="str">
        <f t="shared" si="3"/>
        <v>11</v>
      </c>
      <c r="G239" s="45">
        <f>ROUND(5/Basis!$E$3,1)</f>
        <v>2</v>
      </c>
      <c r="H239" s="120">
        <f>ROUND($P239*Basis!$E$2*((TaH-TrH)/LN(1/µ)/Basis!$E$7)^$N239*Glycol,0)</f>
        <v>879</v>
      </c>
      <c r="I239" s="83">
        <f>ROUND(H239/(MID($C239,9,3)/Basis!$E$3/Basis!$E$9)*Basis!$E$11,0)</f>
        <v>268</v>
      </c>
      <c r="J239" s="123">
        <f>IF(Basis!$E$1=1,ROUND(H239/((TaH-TrH)*1.163)/3600,3),ROUND(H239/(500*(TaH-TrH)),2))</f>
        <v>0.09</v>
      </c>
      <c r="K239" s="84"/>
      <c r="L239" s="177">
        <f>CHOOSE(Basis!$E$1,((AJ239*(J239*3600/Basis!$E$5)^AK239*(((MID(C239,9,3)*10)-144)/1000)*AL239+AM239*(J239*3600/Basis!$E$5)^2)*0.0098)/Basis!$E$10,((AJ239*(J239/Basis!$E$5)^AK239*(((MID(C239,9,3)*10)-144)/1000)*AL239+AM239*(J239/Basis!$E$5)^2)*0.0098)/Basis!$E$10)</f>
        <v>0</v>
      </c>
      <c r="M239" s="85"/>
      <c r="N239" s="110">
        <v>1.248</v>
      </c>
      <c r="O239" s="74"/>
      <c r="P239" s="73">
        <v>389</v>
      </c>
      <c r="Q239" s="74"/>
      <c r="R239" s="75"/>
      <c r="S239" s="75"/>
      <c r="T239" s="75"/>
      <c r="U239" s="75"/>
      <c r="V239" s="75"/>
      <c r="W239" s="74"/>
      <c r="X239" s="76"/>
      <c r="Y239" s="76"/>
      <c r="Z239" s="76"/>
      <c r="AA239" s="76"/>
      <c r="AB239" s="76"/>
      <c r="AC239" s="74"/>
      <c r="AD239" s="77"/>
      <c r="AE239" s="77"/>
      <c r="AF239" s="77"/>
      <c r="AG239" s="77"/>
      <c r="AH239" s="77"/>
      <c r="AI239" s="68"/>
      <c r="AJ239" s="213"/>
      <c r="AK239" s="213"/>
      <c r="AL239" s="213"/>
      <c r="AM239" s="213"/>
      <c r="AN239" s="74"/>
      <c r="AO239" s="73"/>
      <c r="AP239" s="73"/>
      <c r="AQ239" s="73"/>
      <c r="AR239" s="73"/>
      <c r="AS239" s="73"/>
      <c r="AT239" s="74"/>
      <c r="AU239" s="47"/>
      <c r="AV239" s="48"/>
    </row>
    <row r="240" spans="1:48" ht="12.75" customHeight="1" x14ac:dyDescent="0.25">
      <c r="A240" s="72" t="s">
        <v>20</v>
      </c>
      <c r="B240" s="43" t="s">
        <v>4043</v>
      </c>
      <c r="C240" s="44" t="s">
        <v>3568</v>
      </c>
      <c r="D240" s="45">
        <f>MROUND(MID($C240,6,3)/Basis!$E$3,0.5)</f>
        <v>7</v>
      </c>
      <c r="E240" s="45">
        <f>MROUND(MID($C240,9,3)/Basis!$E$3,0.5)</f>
        <v>39.5</v>
      </c>
      <c r="F240" s="229" t="str">
        <f t="shared" si="3"/>
        <v>22</v>
      </c>
      <c r="G240" s="45">
        <f>ROUND(9/Basis!$E$3,1)</f>
        <v>3.5</v>
      </c>
      <c r="H240" s="120">
        <f>ROUND($P240*Basis!$E$2*((TaH-TrH)/LN(1/µ)/Basis!$E$7)^$N240*Glycol,0)</f>
        <v>1368</v>
      </c>
      <c r="I240" s="83">
        <f>ROUND(H240/(MID($C240,9,3)/Basis!$E$3/Basis!$E$9)*Basis!$E$11,0)</f>
        <v>417</v>
      </c>
      <c r="J240" s="123">
        <f>IF(Basis!$E$1=1,ROUND(H240/((TaH-TrH)*1.163)/3600,3),ROUND(H240/(500*(TaH-TrH)),2))</f>
        <v>0.14000000000000001</v>
      </c>
      <c r="K240" s="84"/>
      <c r="L240" s="177">
        <f>CHOOSE(Basis!$E$1,((AJ240*(J240*3600/Basis!$E$5)^AK240*(((MID(C240,9,3)*10)-144)/1000)*AL240+AM240*(J240*3600/Basis!$E$5)^2)*0.0098)/Basis!$E$10,((AJ240*(J240/Basis!$E$5)^AK240*(((MID(C240,9,3)*10)-144)/1000)*AL240+AM240*(J240/Basis!$E$5)^2)*0.0098)/Basis!$E$10)</f>
        <v>0</v>
      </c>
      <c r="M240" s="85"/>
      <c r="N240" s="109">
        <v>1.349</v>
      </c>
      <c r="O240" s="68"/>
      <c r="P240" s="67">
        <v>626</v>
      </c>
      <c r="Q240" s="68"/>
      <c r="R240" s="69"/>
      <c r="S240" s="69"/>
      <c r="T240" s="69"/>
      <c r="U240" s="69"/>
      <c r="V240" s="69"/>
      <c r="W240" s="68"/>
      <c r="X240" s="70"/>
      <c r="Y240" s="70"/>
      <c r="Z240" s="70"/>
      <c r="AA240" s="70"/>
      <c r="AB240" s="70"/>
      <c r="AC240" s="68"/>
      <c r="AD240" s="71"/>
      <c r="AE240" s="71"/>
      <c r="AF240" s="71"/>
      <c r="AG240" s="71"/>
      <c r="AH240" s="71"/>
      <c r="AI240" s="68"/>
      <c r="AJ240" s="214"/>
      <c r="AK240" s="214"/>
      <c r="AL240" s="214"/>
      <c r="AM240" s="214"/>
      <c r="AN240" s="68"/>
      <c r="AO240" s="67"/>
      <c r="AP240" s="67"/>
      <c r="AQ240" s="67"/>
      <c r="AR240" s="67"/>
      <c r="AS240" s="67"/>
      <c r="AT240" s="68"/>
      <c r="AU240" s="49"/>
      <c r="AV240" s="50"/>
    </row>
    <row r="241" spans="1:48" ht="12.75" customHeight="1" x14ac:dyDescent="0.25">
      <c r="A241" s="72" t="s">
        <v>20</v>
      </c>
      <c r="B241" s="43" t="s">
        <v>4043</v>
      </c>
      <c r="C241" s="44" t="s">
        <v>3569</v>
      </c>
      <c r="D241" s="45">
        <f>MROUND(MID($C241,6,3)/Basis!$E$3,0.5)</f>
        <v>7</v>
      </c>
      <c r="E241" s="45">
        <f>MROUND(MID($C241,9,3)/Basis!$E$3,0.5)</f>
        <v>39.5</v>
      </c>
      <c r="F241" s="229" t="str">
        <f t="shared" si="3"/>
        <v>34</v>
      </c>
      <c r="G241" s="45">
        <f>ROUND(16.9/Basis!$E$3,1)</f>
        <v>6.7</v>
      </c>
      <c r="H241" s="120">
        <f>ROUND($P241*Basis!$E$2*((TaH-TrH)/LN(1/µ)/Basis!$E$7)^$N241*Glycol,0)</f>
        <v>2409</v>
      </c>
      <c r="I241" s="83">
        <f>ROUND(H241/(MID($C241,9,3)/Basis!$E$3/Basis!$E$9)*Basis!$E$11,0)</f>
        <v>734</v>
      </c>
      <c r="J241" s="123">
        <f>IF(Basis!$E$1=1,ROUND(H241/((TaH-TrH)*1.163)/3600,3),ROUND(H241/(500*(TaH-TrH)),2))</f>
        <v>0.24</v>
      </c>
      <c r="K241" s="84"/>
      <c r="L241" s="177">
        <f>CHOOSE(Basis!$E$1,((AJ241*(J241*3600/Basis!$E$5)^AK241*(((MID(C241,9,3)*10)-144)/1000)*AL241+AM241*(J241*3600/Basis!$E$5)^2)*0.0098)/Basis!$E$10,((AJ241*(J241/Basis!$E$5)^AK241*(((MID(C241,9,3)*10)-144)/1000)*AL241+AM241*(J241/Basis!$E$5)^2)*0.0098)/Basis!$E$10)</f>
        <v>0</v>
      </c>
      <c r="M241" s="85"/>
      <c r="N241" s="109">
        <v>1.452</v>
      </c>
      <c r="O241" s="68"/>
      <c r="P241" s="67">
        <v>1140</v>
      </c>
      <c r="Q241" s="68"/>
      <c r="R241" s="69"/>
      <c r="S241" s="69"/>
      <c r="T241" s="69"/>
      <c r="U241" s="69"/>
      <c r="V241" s="69"/>
      <c r="W241" s="68"/>
      <c r="X241" s="70"/>
      <c r="Y241" s="70"/>
      <c r="Z241" s="70"/>
      <c r="AA241" s="70"/>
      <c r="AB241" s="70"/>
      <c r="AC241" s="68"/>
      <c r="AD241" s="71"/>
      <c r="AE241" s="71"/>
      <c r="AF241" s="71"/>
      <c r="AG241" s="71"/>
      <c r="AH241" s="71"/>
      <c r="AI241" s="68"/>
      <c r="AJ241" s="214"/>
      <c r="AK241" s="214"/>
      <c r="AL241" s="214"/>
      <c r="AM241" s="214"/>
      <c r="AN241" s="68"/>
      <c r="AO241" s="67"/>
      <c r="AP241" s="67"/>
      <c r="AQ241" s="67"/>
      <c r="AR241" s="67"/>
      <c r="AS241" s="67"/>
      <c r="AT241" s="68"/>
      <c r="AU241" s="49"/>
      <c r="AV241" s="50"/>
    </row>
    <row r="242" spans="1:48" ht="12.75" customHeight="1" x14ac:dyDescent="0.25">
      <c r="A242" s="72" t="s">
        <v>20</v>
      </c>
      <c r="B242" s="43" t="s">
        <v>4043</v>
      </c>
      <c r="C242" s="44" t="s">
        <v>3570</v>
      </c>
      <c r="D242" s="45">
        <f>MROUND(MID($C242,6,3)/Basis!$E$3,0.5)</f>
        <v>7</v>
      </c>
      <c r="E242" s="45">
        <f>MROUND(MID($C242,9,3)/Basis!$E$3,0.5)</f>
        <v>47</v>
      </c>
      <c r="F242" s="229" t="str">
        <f t="shared" si="3"/>
        <v>11</v>
      </c>
      <c r="G242" s="45">
        <f>ROUND(5/Basis!$E$3,1)</f>
        <v>2</v>
      </c>
      <c r="H242" s="120">
        <f>ROUND($P242*Basis!$E$2*((TaH-TrH)/LN(1/µ)/Basis!$E$7)^$N242*Glycol,0)</f>
        <v>1053</v>
      </c>
      <c r="I242" s="83">
        <f>ROUND(H242/(MID($C242,9,3)/Basis!$E$3/Basis!$E$9)*Basis!$E$11,0)</f>
        <v>267</v>
      </c>
      <c r="J242" s="123">
        <f>IF(Basis!$E$1=1,ROUND(H242/((TaH-TrH)*1.163)/3600,3),ROUND(H242/(500*(TaH-TrH)),2))</f>
        <v>0.11</v>
      </c>
      <c r="K242" s="84"/>
      <c r="L242" s="177">
        <f>CHOOSE(Basis!$E$1,((AJ242*(J242*3600/Basis!$E$5)^AK242*(((MID(C242,9,3)*10)-144)/1000)*AL242+AM242*(J242*3600/Basis!$E$5)^2)*0.0098)/Basis!$E$10,((AJ242*(J242/Basis!$E$5)^AK242*(((MID(C242,9,3)*10)-144)/1000)*AL242+AM242*(J242/Basis!$E$5)^2)*0.0098)/Basis!$E$10)</f>
        <v>0</v>
      </c>
      <c r="M242" s="85"/>
      <c r="N242" s="110">
        <v>1.248</v>
      </c>
      <c r="O242" s="74"/>
      <c r="P242" s="73">
        <v>466</v>
      </c>
      <c r="Q242" s="74"/>
      <c r="R242" s="75"/>
      <c r="S242" s="75"/>
      <c r="T242" s="75"/>
      <c r="U242" s="75"/>
      <c r="V242" s="75"/>
      <c r="W242" s="74"/>
      <c r="X242" s="76"/>
      <c r="Y242" s="76"/>
      <c r="Z242" s="76"/>
      <c r="AA242" s="76"/>
      <c r="AB242" s="76"/>
      <c r="AC242" s="74"/>
      <c r="AD242" s="77"/>
      <c r="AE242" s="77"/>
      <c r="AF242" s="77"/>
      <c r="AG242" s="77"/>
      <c r="AH242" s="77"/>
      <c r="AI242" s="68"/>
      <c r="AJ242" s="213"/>
      <c r="AK242" s="213"/>
      <c r="AL242" s="213"/>
      <c r="AM242" s="213"/>
      <c r="AN242" s="74"/>
      <c r="AO242" s="73"/>
      <c r="AP242" s="73"/>
      <c r="AQ242" s="73"/>
      <c r="AR242" s="73"/>
      <c r="AS242" s="73"/>
      <c r="AT242" s="74"/>
      <c r="AU242" s="47"/>
      <c r="AV242" s="48"/>
    </row>
    <row r="243" spans="1:48" ht="12.75" customHeight="1" x14ac:dyDescent="0.25">
      <c r="A243" s="72" t="s">
        <v>20</v>
      </c>
      <c r="B243" s="43" t="s">
        <v>4043</v>
      </c>
      <c r="C243" s="44" t="s">
        <v>3571</v>
      </c>
      <c r="D243" s="45">
        <f>MROUND(MID($C243,6,3)/Basis!$E$3,0.5)</f>
        <v>7</v>
      </c>
      <c r="E243" s="45">
        <f>MROUND(MID($C243,9,3)/Basis!$E$3,0.5)</f>
        <v>47</v>
      </c>
      <c r="F243" s="229" t="str">
        <f t="shared" si="3"/>
        <v>22</v>
      </c>
      <c r="G243" s="45">
        <f>ROUND(9/Basis!$E$3,1)</f>
        <v>3.5</v>
      </c>
      <c r="H243" s="120">
        <f>ROUND($P243*Basis!$E$2*((TaH-TrH)/LN(1/µ)/Basis!$E$7)^$N243*Glycol,0)</f>
        <v>1642</v>
      </c>
      <c r="I243" s="83">
        <f>ROUND(H243/(MID($C243,9,3)/Basis!$E$3/Basis!$E$9)*Basis!$E$11,0)</f>
        <v>417</v>
      </c>
      <c r="J243" s="123">
        <f>IF(Basis!$E$1=1,ROUND(H243/((TaH-TrH)*1.163)/3600,3),ROUND(H243/(500*(TaH-TrH)),2))</f>
        <v>0.16</v>
      </c>
      <c r="K243" s="84"/>
      <c r="L243" s="177">
        <f>CHOOSE(Basis!$E$1,((AJ243*(J243*3600/Basis!$E$5)^AK243*(((MID(C243,9,3)*10)-144)/1000)*AL243+AM243*(J243*3600/Basis!$E$5)^2)*0.0098)/Basis!$E$10,((AJ243*(J243/Basis!$E$5)^AK243*(((MID(C243,9,3)*10)-144)/1000)*AL243+AM243*(J243/Basis!$E$5)^2)*0.0098)/Basis!$E$10)</f>
        <v>0</v>
      </c>
      <c r="M243" s="85"/>
      <c r="N243" s="110">
        <v>1.349</v>
      </c>
      <c r="O243" s="74"/>
      <c r="P243" s="73">
        <v>751</v>
      </c>
      <c r="Q243" s="74"/>
      <c r="R243" s="75"/>
      <c r="S243" s="75"/>
      <c r="T243" s="75"/>
      <c r="U243" s="75"/>
      <c r="V243" s="75"/>
      <c r="W243" s="74"/>
      <c r="X243" s="76"/>
      <c r="Y243" s="76"/>
      <c r="Z243" s="76"/>
      <c r="AA243" s="76"/>
      <c r="AB243" s="76"/>
      <c r="AC243" s="74"/>
      <c r="AD243" s="77"/>
      <c r="AE243" s="77"/>
      <c r="AF243" s="77"/>
      <c r="AG243" s="77"/>
      <c r="AH243" s="77"/>
      <c r="AI243" s="68"/>
      <c r="AJ243" s="213"/>
      <c r="AK243" s="213"/>
      <c r="AL243" s="213"/>
      <c r="AM243" s="213"/>
      <c r="AN243" s="74"/>
      <c r="AO243" s="73"/>
      <c r="AP243" s="73"/>
      <c r="AQ243" s="73"/>
      <c r="AR243" s="73"/>
      <c r="AS243" s="73"/>
      <c r="AT243" s="74"/>
      <c r="AU243" s="47"/>
      <c r="AV243" s="48"/>
    </row>
    <row r="244" spans="1:48" ht="12.75" customHeight="1" x14ac:dyDescent="0.25">
      <c r="A244" s="72" t="s">
        <v>20</v>
      </c>
      <c r="B244" s="43" t="s">
        <v>4043</v>
      </c>
      <c r="C244" s="44" t="s">
        <v>3572</v>
      </c>
      <c r="D244" s="45">
        <f>MROUND(MID($C244,6,3)/Basis!$E$3,0.5)</f>
        <v>7</v>
      </c>
      <c r="E244" s="45">
        <f>MROUND(MID($C244,9,3)/Basis!$E$3,0.5)</f>
        <v>47</v>
      </c>
      <c r="F244" s="229" t="str">
        <f t="shared" si="3"/>
        <v>34</v>
      </c>
      <c r="G244" s="45">
        <f>ROUND(16.9/Basis!$E$3,1)</f>
        <v>6.7</v>
      </c>
      <c r="H244" s="120">
        <f>ROUND($P244*Basis!$E$2*((TaH-TrH)/LN(1/µ)/Basis!$E$7)^$N244*Glycol,0)</f>
        <v>2893</v>
      </c>
      <c r="I244" s="83">
        <f>ROUND(H244/(MID($C244,9,3)/Basis!$E$3/Basis!$E$9)*Basis!$E$11,0)</f>
        <v>735</v>
      </c>
      <c r="J244" s="123">
        <f>IF(Basis!$E$1=1,ROUND(H244/((TaH-TrH)*1.163)/3600,3),ROUND(H244/(500*(TaH-TrH)),2))</f>
        <v>0.28999999999999998</v>
      </c>
      <c r="K244" s="84"/>
      <c r="L244" s="177">
        <f>CHOOSE(Basis!$E$1,((AJ244*(J244*3600/Basis!$E$5)^AK244*(((MID(C244,9,3)*10)-144)/1000)*AL244+AM244*(J244*3600/Basis!$E$5)^2)*0.0098)/Basis!$E$10,((AJ244*(J244/Basis!$E$5)^AK244*(((MID(C244,9,3)*10)-144)/1000)*AL244+AM244*(J244/Basis!$E$5)^2)*0.0098)/Basis!$E$10)</f>
        <v>0</v>
      </c>
      <c r="M244" s="85"/>
      <c r="N244" s="109">
        <v>1.452</v>
      </c>
      <c r="O244" s="68"/>
      <c r="P244" s="67">
        <v>1369</v>
      </c>
      <c r="Q244" s="68"/>
      <c r="R244" s="69"/>
      <c r="S244" s="69"/>
      <c r="T244" s="69"/>
      <c r="U244" s="69"/>
      <c r="V244" s="69"/>
      <c r="W244" s="68"/>
      <c r="X244" s="70"/>
      <c r="Y244" s="70"/>
      <c r="Z244" s="70"/>
      <c r="AA244" s="70"/>
      <c r="AB244" s="70"/>
      <c r="AC244" s="68"/>
      <c r="AD244" s="71"/>
      <c r="AE244" s="71"/>
      <c r="AF244" s="71"/>
      <c r="AG244" s="71"/>
      <c r="AH244" s="71"/>
      <c r="AI244" s="68"/>
      <c r="AJ244" s="214"/>
      <c r="AK244" s="214"/>
      <c r="AL244" s="214"/>
      <c r="AM244" s="214"/>
      <c r="AN244" s="68"/>
      <c r="AO244" s="67"/>
      <c r="AP244" s="67"/>
      <c r="AQ244" s="67"/>
      <c r="AR244" s="67"/>
      <c r="AS244" s="67"/>
      <c r="AT244" s="68"/>
      <c r="AU244" s="49"/>
      <c r="AV244" s="50"/>
    </row>
    <row r="245" spans="1:48" ht="12.75" customHeight="1" x14ac:dyDescent="0.25">
      <c r="A245" s="72" t="s">
        <v>20</v>
      </c>
      <c r="B245" s="43" t="s">
        <v>4043</v>
      </c>
      <c r="C245" s="44" t="s">
        <v>3573</v>
      </c>
      <c r="D245" s="45">
        <f>MROUND(MID($C245,6,3)/Basis!$E$3,0.5)</f>
        <v>7</v>
      </c>
      <c r="E245" s="45">
        <f>MROUND(MID($C245,9,3)/Basis!$E$3,0.5)</f>
        <v>55</v>
      </c>
      <c r="F245" s="229" t="str">
        <f t="shared" si="3"/>
        <v>11</v>
      </c>
      <c r="G245" s="45">
        <f>ROUND(5/Basis!$E$3,1)</f>
        <v>2</v>
      </c>
      <c r="H245" s="120">
        <f>ROUND($P245*Basis!$E$2*((TaH-TrH)/LN(1/µ)/Basis!$E$7)^$N245*Glycol,0)</f>
        <v>1230</v>
      </c>
      <c r="I245" s="83">
        <f>ROUND(H245/(MID($C245,9,3)/Basis!$E$3/Basis!$E$9)*Basis!$E$11,0)</f>
        <v>268</v>
      </c>
      <c r="J245" s="123">
        <f>IF(Basis!$E$1=1,ROUND(H245/((TaH-TrH)*1.163)/3600,3),ROUND(H245/(500*(TaH-TrH)),2))</f>
        <v>0.12</v>
      </c>
      <c r="K245" s="84"/>
      <c r="L245" s="177">
        <f>CHOOSE(Basis!$E$1,((AJ245*(J245*3600/Basis!$E$5)^AK245*(((MID(C245,9,3)*10)-144)/1000)*AL245+AM245*(J245*3600/Basis!$E$5)^2)*0.0098)/Basis!$E$10,((AJ245*(J245/Basis!$E$5)^AK245*(((MID(C245,9,3)*10)-144)/1000)*AL245+AM245*(J245/Basis!$E$5)^2)*0.0098)/Basis!$E$10)</f>
        <v>0</v>
      </c>
      <c r="M245" s="85"/>
      <c r="N245" s="109">
        <v>1.248</v>
      </c>
      <c r="O245" s="68"/>
      <c r="P245" s="67">
        <v>544</v>
      </c>
      <c r="Q245" s="68"/>
      <c r="R245" s="69"/>
      <c r="S245" s="69"/>
      <c r="T245" s="69"/>
      <c r="U245" s="69"/>
      <c r="V245" s="69"/>
      <c r="W245" s="68"/>
      <c r="X245" s="70"/>
      <c r="Y245" s="70"/>
      <c r="Z245" s="70"/>
      <c r="AA245" s="70"/>
      <c r="AB245" s="70"/>
      <c r="AC245" s="68"/>
      <c r="AD245" s="71"/>
      <c r="AE245" s="71"/>
      <c r="AF245" s="71"/>
      <c r="AG245" s="71"/>
      <c r="AH245" s="71"/>
      <c r="AI245" s="68"/>
      <c r="AJ245" s="214"/>
      <c r="AK245" s="214"/>
      <c r="AL245" s="214"/>
      <c r="AM245" s="214"/>
      <c r="AN245" s="68"/>
      <c r="AO245" s="67"/>
      <c r="AP245" s="67"/>
      <c r="AQ245" s="67"/>
      <c r="AR245" s="67"/>
      <c r="AS245" s="67"/>
      <c r="AT245" s="68"/>
      <c r="AU245" s="49"/>
      <c r="AV245" s="50"/>
    </row>
    <row r="246" spans="1:48" ht="12.75" customHeight="1" x14ac:dyDescent="0.25">
      <c r="A246" s="72" t="s">
        <v>20</v>
      </c>
      <c r="B246" s="43" t="s">
        <v>4043</v>
      </c>
      <c r="C246" s="44" t="s">
        <v>3574</v>
      </c>
      <c r="D246" s="45">
        <f>MROUND(MID($C246,6,3)/Basis!$E$3,0.5)</f>
        <v>7</v>
      </c>
      <c r="E246" s="45">
        <f>MROUND(MID($C246,9,3)/Basis!$E$3,0.5)</f>
        <v>55</v>
      </c>
      <c r="F246" s="229" t="str">
        <f t="shared" si="3"/>
        <v>22</v>
      </c>
      <c r="G246" s="45">
        <f>ROUND(9/Basis!$E$3,1)</f>
        <v>3.5</v>
      </c>
      <c r="H246" s="120">
        <f>ROUND($P246*Basis!$E$2*((TaH-TrH)/LN(1/µ)/Basis!$E$7)^$N246*Glycol,0)</f>
        <v>1915</v>
      </c>
      <c r="I246" s="83">
        <f>ROUND(H246/(MID($C246,9,3)/Basis!$E$3/Basis!$E$9)*Basis!$E$11,0)</f>
        <v>417</v>
      </c>
      <c r="J246" s="123">
        <f>IF(Basis!$E$1=1,ROUND(H246/((TaH-TrH)*1.163)/3600,3),ROUND(H246/(500*(TaH-TrH)),2))</f>
        <v>0.19</v>
      </c>
      <c r="K246" s="84"/>
      <c r="L246" s="177">
        <f>CHOOSE(Basis!$E$1,((AJ246*(J246*3600/Basis!$E$5)^AK246*(((MID(C246,9,3)*10)-144)/1000)*AL246+AM246*(J246*3600/Basis!$E$5)^2)*0.0098)/Basis!$E$10,((AJ246*(J246/Basis!$E$5)^AK246*(((MID(C246,9,3)*10)-144)/1000)*AL246+AM246*(J246/Basis!$E$5)^2)*0.0098)/Basis!$E$10)</f>
        <v>0</v>
      </c>
      <c r="M246" s="85"/>
      <c r="N246" s="110">
        <v>1.349</v>
      </c>
      <c r="O246" s="74"/>
      <c r="P246" s="73">
        <v>876</v>
      </c>
      <c r="Q246" s="74"/>
      <c r="R246" s="75"/>
      <c r="S246" s="75"/>
      <c r="T246" s="75"/>
      <c r="U246" s="75"/>
      <c r="V246" s="75"/>
      <c r="W246" s="74"/>
      <c r="X246" s="76"/>
      <c r="Y246" s="76"/>
      <c r="Z246" s="76"/>
      <c r="AA246" s="76"/>
      <c r="AB246" s="76"/>
      <c r="AC246" s="74"/>
      <c r="AD246" s="77"/>
      <c r="AE246" s="77"/>
      <c r="AF246" s="77"/>
      <c r="AG246" s="77"/>
      <c r="AH246" s="77"/>
      <c r="AI246" s="68"/>
      <c r="AJ246" s="213"/>
      <c r="AK246" s="213"/>
      <c r="AL246" s="213"/>
      <c r="AM246" s="213"/>
      <c r="AN246" s="74"/>
      <c r="AO246" s="73"/>
      <c r="AP246" s="73"/>
      <c r="AQ246" s="73"/>
      <c r="AR246" s="73"/>
      <c r="AS246" s="73"/>
      <c r="AT246" s="74"/>
      <c r="AU246" s="47"/>
      <c r="AV246" s="48"/>
    </row>
    <row r="247" spans="1:48" ht="12.75" customHeight="1" x14ac:dyDescent="0.25">
      <c r="A247" s="72" t="s">
        <v>20</v>
      </c>
      <c r="B247" s="43" t="s">
        <v>4043</v>
      </c>
      <c r="C247" s="44" t="s">
        <v>3575</v>
      </c>
      <c r="D247" s="45">
        <f>MROUND(MID($C247,6,3)/Basis!$E$3,0.5)</f>
        <v>7</v>
      </c>
      <c r="E247" s="45">
        <f>MROUND(MID($C247,9,3)/Basis!$E$3,0.5)</f>
        <v>55</v>
      </c>
      <c r="F247" s="229" t="str">
        <f t="shared" si="3"/>
        <v>34</v>
      </c>
      <c r="G247" s="45">
        <f>ROUND(16.9/Basis!$E$3,1)</f>
        <v>6.7</v>
      </c>
      <c r="H247" s="120">
        <f>ROUND($P247*Basis!$E$2*((TaH-TrH)/LN(1/µ)/Basis!$E$7)^$N247*Glycol,0)</f>
        <v>3374</v>
      </c>
      <c r="I247" s="83">
        <f>ROUND(H247/(MID($C247,9,3)/Basis!$E$3/Basis!$E$9)*Basis!$E$11,0)</f>
        <v>735</v>
      </c>
      <c r="J247" s="123">
        <f>IF(Basis!$E$1=1,ROUND(H247/((TaH-TrH)*1.163)/3600,3),ROUND(H247/(500*(TaH-TrH)),2))</f>
        <v>0.34</v>
      </c>
      <c r="K247" s="84"/>
      <c r="L247" s="177">
        <f>CHOOSE(Basis!$E$1,((AJ247*(J247*3600/Basis!$E$5)^AK247*(((MID(C247,9,3)*10)-144)/1000)*AL247+AM247*(J247*3600/Basis!$E$5)^2)*0.0098)/Basis!$E$10,((AJ247*(J247/Basis!$E$5)^AK247*(((MID(C247,9,3)*10)-144)/1000)*AL247+AM247*(J247/Basis!$E$5)^2)*0.0098)/Basis!$E$10)</f>
        <v>0</v>
      </c>
      <c r="M247" s="85"/>
      <c r="N247" s="110">
        <v>1.452</v>
      </c>
      <c r="O247" s="74"/>
      <c r="P247" s="73">
        <v>1597</v>
      </c>
      <c r="Q247" s="74"/>
      <c r="R247" s="75"/>
      <c r="S247" s="75"/>
      <c r="T247" s="75"/>
      <c r="U247" s="75"/>
      <c r="V247" s="75"/>
      <c r="W247" s="74"/>
      <c r="X247" s="76"/>
      <c r="Y247" s="76"/>
      <c r="Z247" s="76"/>
      <c r="AA247" s="76"/>
      <c r="AB247" s="76"/>
      <c r="AC247" s="74"/>
      <c r="AD247" s="77"/>
      <c r="AE247" s="77"/>
      <c r="AF247" s="77"/>
      <c r="AG247" s="77"/>
      <c r="AH247" s="77"/>
      <c r="AI247" s="68"/>
      <c r="AJ247" s="213"/>
      <c r="AK247" s="213"/>
      <c r="AL247" s="213"/>
      <c r="AM247" s="213"/>
      <c r="AN247" s="74"/>
      <c r="AO247" s="73"/>
      <c r="AP247" s="73"/>
      <c r="AQ247" s="73"/>
      <c r="AR247" s="73"/>
      <c r="AS247" s="73"/>
      <c r="AT247" s="74"/>
      <c r="AU247" s="47"/>
      <c r="AV247" s="48"/>
    </row>
    <row r="248" spans="1:48" ht="12.75" customHeight="1" x14ac:dyDescent="0.25">
      <c r="A248" s="72" t="s">
        <v>20</v>
      </c>
      <c r="B248" s="43" t="s">
        <v>4043</v>
      </c>
      <c r="C248" s="44" t="s">
        <v>3576</v>
      </c>
      <c r="D248" s="45">
        <f>MROUND(MID($C248,6,3)/Basis!$E$3,0.5)</f>
        <v>7</v>
      </c>
      <c r="E248" s="45">
        <f>MROUND(MID($C248,9,3)/Basis!$E$3,0.5)</f>
        <v>63</v>
      </c>
      <c r="F248" s="229" t="str">
        <f t="shared" si="3"/>
        <v>11</v>
      </c>
      <c r="G248" s="45">
        <f>ROUND(5/Basis!$E$3,1)</f>
        <v>2</v>
      </c>
      <c r="H248" s="120">
        <f>ROUND($P248*Basis!$E$2*((TaH-TrH)/LN(1/µ)/Basis!$E$7)^$N248*Glycol,0)</f>
        <v>1406</v>
      </c>
      <c r="I248" s="83">
        <f>ROUND(H248/(MID($C248,9,3)/Basis!$E$3/Basis!$E$9)*Basis!$E$11,0)</f>
        <v>268</v>
      </c>
      <c r="J248" s="123">
        <f>IF(Basis!$E$1=1,ROUND(H248/((TaH-TrH)*1.163)/3600,3),ROUND(H248/(500*(TaH-TrH)),2))</f>
        <v>0.14000000000000001</v>
      </c>
      <c r="K248" s="84"/>
      <c r="L248" s="177">
        <f>CHOOSE(Basis!$E$1,((AJ248*(J248*3600/Basis!$E$5)^AK248*(((MID(C248,9,3)*10)-144)/1000)*AL248+AM248*(J248*3600/Basis!$E$5)^2)*0.0098)/Basis!$E$10,((AJ248*(J248/Basis!$E$5)^AK248*(((MID(C248,9,3)*10)-144)/1000)*AL248+AM248*(J248/Basis!$E$5)^2)*0.0098)/Basis!$E$10)</f>
        <v>0</v>
      </c>
      <c r="M248" s="85"/>
      <c r="N248" s="109">
        <v>1.248</v>
      </c>
      <c r="O248" s="68"/>
      <c r="P248" s="67">
        <v>622</v>
      </c>
      <c r="Q248" s="68"/>
      <c r="R248" s="69"/>
      <c r="S248" s="69"/>
      <c r="T248" s="69"/>
      <c r="U248" s="69"/>
      <c r="V248" s="69"/>
      <c r="W248" s="68"/>
      <c r="X248" s="70"/>
      <c r="Y248" s="70"/>
      <c r="Z248" s="70"/>
      <c r="AA248" s="70"/>
      <c r="AB248" s="70"/>
      <c r="AC248" s="68"/>
      <c r="AD248" s="71"/>
      <c r="AE248" s="71"/>
      <c r="AF248" s="71"/>
      <c r="AG248" s="71"/>
      <c r="AH248" s="71"/>
      <c r="AI248" s="68"/>
      <c r="AJ248" s="214"/>
      <c r="AK248" s="214"/>
      <c r="AL248" s="214"/>
      <c r="AM248" s="214"/>
      <c r="AN248" s="68"/>
      <c r="AO248" s="67"/>
      <c r="AP248" s="67"/>
      <c r="AQ248" s="67"/>
      <c r="AR248" s="67"/>
      <c r="AS248" s="67"/>
      <c r="AT248" s="68"/>
      <c r="AU248" s="49"/>
      <c r="AV248" s="50"/>
    </row>
    <row r="249" spans="1:48" ht="12.75" customHeight="1" x14ac:dyDescent="0.25">
      <c r="A249" s="72" t="s">
        <v>20</v>
      </c>
      <c r="B249" s="43" t="s">
        <v>4043</v>
      </c>
      <c r="C249" s="44" t="s">
        <v>3577</v>
      </c>
      <c r="D249" s="45">
        <f>MROUND(MID($C249,6,3)/Basis!$E$3,0.5)</f>
        <v>7</v>
      </c>
      <c r="E249" s="45">
        <f>MROUND(MID($C249,9,3)/Basis!$E$3,0.5)</f>
        <v>63</v>
      </c>
      <c r="F249" s="229" t="str">
        <f t="shared" si="3"/>
        <v>22</v>
      </c>
      <c r="G249" s="45">
        <f>ROUND(9/Basis!$E$3,1)</f>
        <v>3.5</v>
      </c>
      <c r="H249" s="120">
        <f>ROUND($P249*Basis!$E$2*((TaH-TrH)/LN(1/µ)/Basis!$E$7)^$N249*Glycol,0)</f>
        <v>2188</v>
      </c>
      <c r="I249" s="83">
        <f>ROUND(H249/(MID($C249,9,3)/Basis!$E$3/Basis!$E$9)*Basis!$E$11,0)</f>
        <v>417</v>
      </c>
      <c r="J249" s="123">
        <f>IF(Basis!$E$1=1,ROUND(H249/((TaH-TrH)*1.163)/3600,3),ROUND(H249/(500*(TaH-TrH)),2))</f>
        <v>0.22</v>
      </c>
      <c r="K249" s="84"/>
      <c r="L249" s="177">
        <f>CHOOSE(Basis!$E$1,((AJ249*(J249*3600/Basis!$E$5)^AK249*(((MID(C249,9,3)*10)-144)/1000)*AL249+AM249*(J249*3600/Basis!$E$5)^2)*0.0098)/Basis!$E$10,((AJ249*(J249/Basis!$E$5)^AK249*(((MID(C249,9,3)*10)-144)/1000)*AL249+AM249*(J249/Basis!$E$5)^2)*0.0098)/Basis!$E$10)</f>
        <v>0</v>
      </c>
      <c r="M249" s="85"/>
      <c r="N249" s="109">
        <v>1.349</v>
      </c>
      <c r="O249" s="68"/>
      <c r="P249" s="67">
        <v>1001</v>
      </c>
      <c r="Q249" s="68"/>
      <c r="R249" s="69"/>
      <c r="S249" s="69"/>
      <c r="T249" s="69"/>
      <c r="U249" s="69"/>
      <c r="V249" s="69"/>
      <c r="W249" s="68"/>
      <c r="X249" s="70"/>
      <c r="Y249" s="70"/>
      <c r="Z249" s="70"/>
      <c r="AA249" s="70"/>
      <c r="AB249" s="70"/>
      <c r="AC249" s="68"/>
      <c r="AD249" s="71"/>
      <c r="AE249" s="71"/>
      <c r="AF249" s="71"/>
      <c r="AG249" s="71"/>
      <c r="AH249" s="71"/>
      <c r="AI249" s="68"/>
      <c r="AJ249" s="214"/>
      <c r="AK249" s="214"/>
      <c r="AL249" s="214"/>
      <c r="AM249" s="214"/>
      <c r="AN249" s="68"/>
      <c r="AO249" s="67"/>
      <c r="AP249" s="67"/>
      <c r="AQ249" s="67"/>
      <c r="AR249" s="67"/>
      <c r="AS249" s="67"/>
      <c r="AT249" s="68"/>
      <c r="AU249" s="49"/>
      <c r="AV249" s="50"/>
    </row>
    <row r="250" spans="1:48" ht="12.75" customHeight="1" x14ac:dyDescent="0.25">
      <c r="A250" s="72" t="s">
        <v>20</v>
      </c>
      <c r="B250" s="43" t="s">
        <v>4043</v>
      </c>
      <c r="C250" s="44" t="s">
        <v>3578</v>
      </c>
      <c r="D250" s="45">
        <f>MROUND(MID($C250,6,3)/Basis!$E$3,0.5)</f>
        <v>7</v>
      </c>
      <c r="E250" s="45">
        <f>MROUND(MID($C250,9,3)/Basis!$E$3,0.5)</f>
        <v>63</v>
      </c>
      <c r="F250" s="229" t="str">
        <f t="shared" si="3"/>
        <v>34</v>
      </c>
      <c r="G250" s="45">
        <f>ROUND(16.9/Basis!$E$3,1)</f>
        <v>6.7</v>
      </c>
      <c r="H250" s="120">
        <f>ROUND($P250*Basis!$E$2*((TaH-TrH)/LN(1/µ)/Basis!$E$7)^$N250*Glycol,0)</f>
        <v>3856</v>
      </c>
      <c r="I250" s="83">
        <f>ROUND(H250/(MID($C250,9,3)/Basis!$E$3/Basis!$E$9)*Basis!$E$11,0)</f>
        <v>735</v>
      </c>
      <c r="J250" s="123">
        <f>IF(Basis!$E$1=1,ROUND(H250/((TaH-TrH)*1.163)/3600,3),ROUND(H250/(500*(TaH-TrH)),2))</f>
        <v>0.39</v>
      </c>
      <c r="K250" s="84"/>
      <c r="L250" s="177">
        <f>CHOOSE(Basis!$E$1,((AJ250*(J250*3600/Basis!$E$5)^AK250*(((MID(C250,9,3)*10)-144)/1000)*AL250+AM250*(J250*3600/Basis!$E$5)^2)*0.0098)/Basis!$E$10,((AJ250*(J250/Basis!$E$5)^AK250*(((MID(C250,9,3)*10)-144)/1000)*AL250+AM250*(J250/Basis!$E$5)^2)*0.0098)/Basis!$E$10)</f>
        <v>0</v>
      </c>
      <c r="M250" s="85"/>
      <c r="N250" s="110">
        <v>1.452</v>
      </c>
      <c r="O250" s="74"/>
      <c r="P250" s="73">
        <v>1825</v>
      </c>
      <c r="Q250" s="74"/>
      <c r="R250" s="75"/>
      <c r="S250" s="75"/>
      <c r="T250" s="75"/>
      <c r="U250" s="75"/>
      <c r="V250" s="75"/>
      <c r="W250" s="74"/>
      <c r="X250" s="76"/>
      <c r="Y250" s="76"/>
      <c r="Z250" s="76"/>
      <c r="AA250" s="76"/>
      <c r="AB250" s="76"/>
      <c r="AC250" s="74"/>
      <c r="AD250" s="77"/>
      <c r="AE250" s="77"/>
      <c r="AF250" s="77"/>
      <c r="AG250" s="77"/>
      <c r="AH250" s="77"/>
      <c r="AI250" s="68"/>
      <c r="AJ250" s="213"/>
      <c r="AK250" s="213"/>
      <c r="AL250" s="213"/>
      <c r="AM250" s="213"/>
      <c r="AN250" s="74"/>
      <c r="AO250" s="73"/>
      <c r="AP250" s="73"/>
      <c r="AQ250" s="73"/>
      <c r="AR250" s="73"/>
      <c r="AS250" s="73"/>
      <c r="AT250" s="74"/>
      <c r="AU250" s="47"/>
      <c r="AV250" s="48"/>
    </row>
    <row r="251" spans="1:48" ht="12.75" customHeight="1" x14ac:dyDescent="0.25">
      <c r="A251" s="72" t="s">
        <v>20</v>
      </c>
      <c r="B251" s="43" t="s">
        <v>4043</v>
      </c>
      <c r="C251" s="44" t="s">
        <v>3579</v>
      </c>
      <c r="D251" s="45">
        <f>MROUND(MID($C251,6,3)/Basis!$E$3,0.5)</f>
        <v>7</v>
      </c>
      <c r="E251" s="45">
        <f>MROUND(MID($C251,9,3)/Basis!$E$3,0.5)</f>
        <v>71</v>
      </c>
      <c r="F251" s="229" t="str">
        <f t="shared" si="3"/>
        <v>11</v>
      </c>
      <c r="G251" s="45">
        <f>ROUND(5/Basis!$E$3,1)</f>
        <v>2</v>
      </c>
      <c r="H251" s="120">
        <f>ROUND($P251*Basis!$E$2*((TaH-TrH)/LN(1/µ)/Basis!$E$7)^$N251*Glycol,0)</f>
        <v>1580</v>
      </c>
      <c r="I251" s="83">
        <f>ROUND(H251/(MID($C251,9,3)/Basis!$E$3/Basis!$E$9)*Basis!$E$11,0)</f>
        <v>268</v>
      </c>
      <c r="J251" s="123">
        <f>IF(Basis!$E$1=1,ROUND(H251/((TaH-TrH)*1.163)/3600,3),ROUND(H251/(500*(TaH-TrH)),2))</f>
        <v>0.16</v>
      </c>
      <c r="K251" s="84"/>
      <c r="L251" s="177">
        <f>CHOOSE(Basis!$E$1,((AJ251*(J251*3600/Basis!$E$5)^AK251*(((MID(C251,9,3)*10)-144)/1000)*AL251+AM251*(J251*3600/Basis!$E$5)^2)*0.0098)/Basis!$E$10,((AJ251*(J251/Basis!$E$5)^AK251*(((MID(C251,9,3)*10)-144)/1000)*AL251+AM251*(J251/Basis!$E$5)^2)*0.0098)/Basis!$E$10)</f>
        <v>0</v>
      </c>
      <c r="M251" s="85"/>
      <c r="N251" s="110">
        <v>1.248</v>
      </c>
      <c r="O251" s="74"/>
      <c r="P251" s="73">
        <v>699</v>
      </c>
      <c r="Q251" s="74"/>
      <c r="R251" s="75"/>
      <c r="S251" s="75"/>
      <c r="T251" s="75"/>
      <c r="U251" s="75"/>
      <c r="V251" s="75"/>
      <c r="W251" s="74"/>
      <c r="X251" s="76"/>
      <c r="Y251" s="76"/>
      <c r="Z251" s="76"/>
      <c r="AA251" s="76"/>
      <c r="AB251" s="76"/>
      <c r="AC251" s="74"/>
      <c r="AD251" s="77"/>
      <c r="AE251" s="77"/>
      <c r="AF251" s="77"/>
      <c r="AG251" s="77"/>
      <c r="AH251" s="77"/>
      <c r="AI251" s="68"/>
      <c r="AJ251" s="213"/>
      <c r="AK251" s="213"/>
      <c r="AL251" s="213"/>
      <c r="AM251" s="213"/>
      <c r="AN251" s="74"/>
      <c r="AO251" s="73"/>
      <c r="AP251" s="73"/>
      <c r="AQ251" s="73"/>
      <c r="AR251" s="73"/>
      <c r="AS251" s="73"/>
      <c r="AT251" s="74"/>
      <c r="AU251" s="47"/>
      <c r="AV251" s="48"/>
    </row>
    <row r="252" spans="1:48" ht="12.75" customHeight="1" x14ac:dyDescent="0.25">
      <c r="A252" s="72" t="s">
        <v>20</v>
      </c>
      <c r="B252" s="43" t="s">
        <v>4043</v>
      </c>
      <c r="C252" s="44" t="s">
        <v>3580</v>
      </c>
      <c r="D252" s="45">
        <f>MROUND(MID($C252,6,3)/Basis!$E$3,0.5)</f>
        <v>7</v>
      </c>
      <c r="E252" s="45">
        <f>MROUND(MID($C252,9,3)/Basis!$E$3,0.5)</f>
        <v>71</v>
      </c>
      <c r="F252" s="229" t="str">
        <f t="shared" si="3"/>
        <v>22</v>
      </c>
      <c r="G252" s="45">
        <f>ROUND(9/Basis!$E$3,1)</f>
        <v>3.5</v>
      </c>
      <c r="H252" s="120">
        <f>ROUND($P252*Basis!$E$2*((TaH-TrH)/LN(1/µ)/Basis!$E$7)^$N252*Glycol,0)</f>
        <v>2462</v>
      </c>
      <c r="I252" s="83">
        <f>ROUND(H252/(MID($C252,9,3)/Basis!$E$3/Basis!$E$9)*Basis!$E$11,0)</f>
        <v>417</v>
      </c>
      <c r="J252" s="123">
        <f>IF(Basis!$E$1=1,ROUND(H252/((TaH-TrH)*1.163)/3600,3),ROUND(H252/(500*(TaH-TrH)),2))</f>
        <v>0.25</v>
      </c>
      <c r="K252" s="84"/>
      <c r="L252" s="177">
        <f>CHOOSE(Basis!$E$1,((AJ252*(J252*3600/Basis!$E$5)^AK252*(((MID(C252,9,3)*10)-144)/1000)*AL252+AM252*(J252*3600/Basis!$E$5)^2)*0.0098)/Basis!$E$10,((AJ252*(J252/Basis!$E$5)^AK252*(((MID(C252,9,3)*10)-144)/1000)*AL252+AM252*(J252/Basis!$E$5)^2)*0.0098)/Basis!$E$10)</f>
        <v>0</v>
      </c>
      <c r="M252" s="85"/>
      <c r="N252" s="109">
        <v>1.349</v>
      </c>
      <c r="O252" s="68"/>
      <c r="P252" s="67">
        <v>1126</v>
      </c>
      <c r="Q252" s="68"/>
      <c r="R252" s="69"/>
      <c r="S252" s="69"/>
      <c r="T252" s="69"/>
      <c r="U252" s="69"/>
      <c r="V252" s="69"/>
      <c r="W252" s="68"/>
      <c r="X252" s="70"/>
      <c r="Y252" s="70"/>
      <c r="Z252" s="70"/>
      <c r="AA252" s="70"/>
      <c r="AB252" s="70"/>
      <c r="AC252" s="68"/>
      <c r="AD252" s="71"/>
      <c r="AE252" s="71"/>
      <c r="AF252" s="71"/>
      <c r="AG252" s="71"/>
      <c r="AH252" s="71"/>
      <c r="AI252" s="68"/>
      <c r="AJ252" s="214"/>
      <c r="AK252" s="214"/>
      <c r="AL252" s="214"/>
      <c r="AM252" s="214"/>
      <c r="AN252" s="68"/>
      <c r="AO252" s="67"/>
      <c r="AP252" s="67"/>
      <c r="AQ252" s="67"/>
      <c r="AR252" s="67"/>
      <c r="AS252" s="67"/>
      <c r="AT252" s="68"/>
      <c r="AU252" s="49"/>
      <c r="AV252" s="50"/>
    </row>
    <row r="253" spans="1:48" ht="12.75" customHeight="1" x14ac:dyDescent="0.25">
      <c r="A253" s="72" t="s">
        <v>20</v>
      </c>
      <c r="B253" s="43" t="s">
        <v>4043</v>
      </c>
      <c r="C253" s="44" t="s">
        <v>3581</v>
      </c>
      <c r="D253" s="45">
        <f>MROUND(MID($C253,6,3)/Basis!$E$3,0.5)</f>
        <v>7</v>
      </c>
      <c r="E253" s="45">
        <f>MROUND(MID($C253,9,3)/Basis!$E$3,0.5)</f>
        <v>71</v>
      </c>
      <c r="F253" s="229" t="str">
        <f t="shared" si="3"/>
        <v>34</v>
      </c>
      <c r="G253" s="45">
        <f>ROUND(16.9/Basis!$E$3,1)</f>
        <v>6.7</v>
      </c>
      <c r="H253" s="120">
        <f>ROUND($P253*Basis!$E$2*((TaH-TrH)/LN(1/µ)/Basis!$E$7)^$N253*Glycol,0)</f>
        <v>4338</v>
      </c>
      <c r="I253" s="83">
        <f>ROUND(H253/(MID($C253,9,3)/Basis!$E$3/Basis!$E$9)*Basis!$E$11,0)</f>
        <v>735</v>
      </c>
      <c r="J253" s="123">
        <f>IF(Basis!$E$1=1,ROUND(H253/((TaH-TrH)*1.163)/3600,3),ROUND(H253/(500*(TaH-TrH)),2))</f>
        <v>0.43</v>
      </c>
      <c r="K253" s="84"/>
      <c r="L253" s="177">
        <f>CHOOSE(Basis!$E$1,((AJ253*(J253*3600/Basis!$E$5)^AK253*(((MID(C253,9,3)*10)-144)/1000)*AL253+AM253*(J253*3600/Basis!$E$5)^2)*0.0098)/Basis!$E$10,((AJ253*(J253/Basis!$E$5)^AK253*(((MID(C253,9,3)*10)-144)/1000)*AL253+AM253*(J253/Basis!$E$5)^2)*0.0098)/Basis!$E$10)</f>
        <v>0</v>
      </c>
      <c r="M253" s="85"/>
      <c r="N253" s="109">
        <v>1.452</v>
      </c>
      <c r="O253" s="68"/>
      <c r="P253" s="67">
        <v>2053</v>
      </c>
      <c r="Q253" s="68"/>
      <c r="R253" s="69"/>
      <c r="S253" s="69"/>
      <c r="T253" s="69"/>
      <c r="U253" s="69"/>
      <c r="V253" s="69"/>
      <c r="W253" s="68"/>
      <c r="X253" s="70"/>
      <c r="Y253" s="70"/>
      <c r="Z253" s="70"/>
      <c r="AA253" s="70"/>
      <c r="AB253" s="70"/>
      <c r="AC253" s="68"/>
      <c r="AD253" s="71"/>
      <c r="AE253" s="71"/>
      <c r="AF253" s="71"/>
      <c r="AG253" s="71"/>
      <c r="AH253" s="71"/>
      <c r="AI253" s="68"/>
      <c r="AJ253" s="214"/>
      <c r="AK253" s="214"/>
      <c r="AL253" s="214"/>
      <c r="AM253" s="214"/>
      <c r="AN253" s="68"/>
      <c r="AO253" s="67"/>
      <c r="AP253" s="67"/>
      <c r="AQ253" s="67"/>
      <c r="AR253" s="67"/>
      <c r="AS253" s="67"/>
      <c r="AT253" s="68"/>
      <c r="AU253" s="49"/>
      <c r="AV253" s="50"/>
    </row>
    <row r="254" spans="1:48" ht="12.75" customHeight="1" x14ac:dyDescent="0.25">
      <c r="A254" s="72" t="s">
        <v>20</v>
      </c>
      <c r="B254" s="43" t="s">
        <v>4043</v>
      </c>
      <c r="C254" s="44" t="s">
        <v>3582</v>
      </c>
      <c r="D254" s="45">
        <f>MROUND(MID($C254,6,3)/Basis!$E$3,0.5)</f>
        <v>7</v>
      </c>
      <c r="E254" s="45">
        <f>MROUND(MID($C254,9,3)/Basis!$E$3,0.5)</f>
        <v>78.5</v>
      </c>
      <c r="F254" s="229" t="str">
        <f t="shared" si="3"/>
        <v>11</v>
      </c>
      <c r="G254" s="45">
        <f>ROUND(5/Basis!$E$3,1)</f>
        <v>2</v>
      </c>
      <c r="H254" s="120">
        <f>ROUND($P254*Basis!$E$2*((TaH-TrH)/LN(1/µ)/Basis!$E$7)^$N254*Glycol,0)</f>
        <v>1756</v>
      </c>
      <c r="I254" s="83">
        <f>ROUND(H254/(MID($C254,9,3)/Basis!$E$3/Basis!$E$9)*Basis!$E$11,0)</f>
        <v>268</v>
      </c>
      <c r="J254" s="123">
        <f>IF(Basis!$E$1=1,ROUND(H254/((TaH-TrH)*1.163)/3600,3),ROUND(H254/(500*(TaH-TrH)),2))</f>
        <v>0.18</v>
      </c>
      <c r="K254" s="84"/>
      <c r="L254" s="177">
        <f>CHOOSE(Basis!$E$1,((AJ254*(J254*3600/Basis!$E$5)^AK254*(((MID(C254,9,3)*10)-144)/1000)*AL254+AM254*(J254*3600/Basis!$E$5)^2)*0.0098)/Basis!$E$10,((AJ254*(J254/Basis!$E$5)^AK254*(((MID(C254,9,3)*10)-144)/1000)*AL254+AM254*(J254/Basis!$E$5)^2)*0.0098)/Basis!$E$10)</f>
        <v>0</v>
      </c>
      <c r="M254" s="85"/>
      <c r="N254" s="110">
        <v>1.248</v>
      </c>
      <c r="O254" s="74"/>
      <c r="P254" s="73">
        <v>777</v>
      </c>
      <c r="Q254" s="74"/>
      <c r="R254" s="75"/>
      <c r="S254" s="75"/>
      <c r="T254" s="75"/>
      <c r="U254" s="75"/>
      <c r="V254" s="75"/>
      <c r="W254" s="74"/>
      <c r="X254" s="76"/>
      <c r="Y254" s="76"/>
      <c r="Z254" s="76"/>
      <c r="AA254" s="76"/>
      <c r="AB254" s="76"/>
      <c r="AC254" s="74"/>
      <c r="AD254" s="77"/>
      <c r="AE254" s="77"/>
      <c r="AF254" s="77"/>
      <c r="AG254" s="77"/>
      <c r="AH254" s="77"/>
      <c r="AI254" s="68"/>
      <c r="AJ254" s="213"/>
      <c r="AK254" s="213"/>
      <c r="AL254" s="213"/>
      <c r="AM254" s="213"/>
      <c r="AN254" s="74"/>
      <c r="AO254" s="73"/>
      <c r="AP254" s="73"/>
      <c r="AQ254" s="73"/>
      <c r="AR254" s="73"/>
      <c r="AS254" s="73"/>
      <c r="AT254" s="74"/>
      <c r="AU254" s="47"/>
      <c r="AV254" s="48"/>
    </row>
    <row r="255" spans="1:48" ht="12.75" customHeight="1" x14ac:dyDescent="0.25">
      <c r="A255" s="72" t="s">
        <v>20</v>
      </c>
      <c r="B255" s="43" t="s">
        <v>4043</v>
      </c>
      <c r="C255" s="44" t="s">
        <v>3583</v>
      </c>
      <c r="D255" s="45">
        <f>MROUND(MID($C255,6,3)/Basis!$E$3,0.5)</f>
        <v>7</v>
      </c>
      <c r="E255" s="45">
        <f>MROUND(MID($C255,9,3)/Basis!$E$3,0.5)</f>
        <v>78.5</v>
      </c>
      <c r="F255" s="229" t="str">
        <f t="shared" si="3"/>
        <v>22</v>
      </c>
      <c r="G255" s="45">
        <f>ROUND(9/Basis!$E$3,1)</f>
        <v>3.5</v>
      </c>
      <c r="H255" s="120">
        <f>ROUND($P255*Basis!$E$2*((TaH-TrH)/LN(1/µ)/Basis!$E$7)^$N255*Glycol,0)</f>
        <v>2737</v>
      </c>
      <c r="I255" s="83">
        <f>ROUND(H255/(MID($C255,9,3)/Basis!$E$3/Basis!$E$9)*Basis!$E$11,0)</f>
        <v>417</v>
      </c>
      <c r="J255" s="123">
        <f>IF(Basis!$E$1=1,ROUND(H255/((TaH-TrH)*1.163)/3600,3),ROUND(H255/(500*(TaH-TrH)),2))</f>
        <v>0.27</v>
      </c>
      <c r="K255" s="84"/>
      <c r="L255" s="177">
        <f>CHOOSE(Basis!$E$1,((AJ255*(J255*3600/Basis!$E$5)^AK255*(((MID(C255,9,3)*10)-144)/1000)*AL255+AM255*(J255*3600/Basis!$E$5)^2)*0.0098)/Basis!$E$10,((AJ255*(J255/Basis!$E$5)^AK255*(((MID(C255,9,3)*10)-144)/1000)*AL255+AM255*(J255/Basis!$E$5)^2)*0.0098)/Basis!$E$10)</f>
        <v>0</v>
      </c>
      <c r="M255" s="85"/>
      <c r="N255" s="110">
        <v>1.349</v>
      </c>
      <c r="O255" s="74"/>
      <c r="P255" s="73">
        <v>1252</v>
      </c>
      <c r="Q255" s="74"/>
      <c r="R255" s="75"/>
      <c r="S255" s="75"/>
      <c r="T255" s="75"/>
      <c r="U255" s="75"/>
      <c r="V255" s="75"/>
      <c r="W255" s="74"/>
      <c r="X255" s="76"/>
      <c r="Y255" s="76"/>
      <c r="Z255" s="76"/>
      <c r="AA255" s="76"/>
      <c r="AB255" s="76"/>
      <c r="AC255" s="74"/>
      <c r="AD255" s="77"/>
      <c r="AE255" s="77"/>
      <c r="AF255" s="77"/>
      <c r="AG255" s="77"/>
      <c r="AH255" s="77"/>
      <c r="AI255" s="68"/>
      <c r="AJ255" s="213"/>
      <c r="AK255" s="213"/>
      <c r="AL255" s="213"/>
      <c r="AM255" s="213"/>
      <c r="AN255" s="74"/>
      <c r="AO255" s="73"/>
      <c r="AP255" s="73"/>
      <c r="AQ255" s="73"/>
      <c r="AR255" s="73"/>
      <c r="AS255" s="73"/>
      <c r="AT255" s="74"/>
      <c r="AU255" s="47"/>
      <c r="AV255" s="48"/>
    </row>
    <row r="256" spans="1:48" ht="12.75" customHeight="1" x14ac:dyDescent="0.25">
      <c r="A256" s="72" t="s">
        <v>20</v>
      </c>
      <c r="B256" s="43" t="s">
        <v>4043</v>
      </c>
      <c r="C256" s="44" t="s">
        <v>3584</v>
      </c>
      <c r="D256" s="45">
        <f>MROUND(MID($C256,6,3)/Basis!$E$3,0.5)</f>
        <v>7</v>
      </c>
      <c r="E256" s="45">
        <f>MROUND(MID($C256,9,3)/Basis!$E$3,0.5)</f>
        <v>78.5</v>
      </c>
      <c r="F256" s="229" t="str">
        <f t="shared" si="3"/>
        <v>34</v>
      </c>
      <c r="G256" s="45">
        <f>ROUND(16.9/Basis!$E$3,1)</f>
        <v>6.7</v>
      </c>
      <c r="H256" s="120">
        <f>ROUND($P256*Basis!$E$2*((TaH-TrH)/LN(1/µ)/Basis!$E$7)^$N256*Glycol,0)</f>
        <v>4820</v>
      </c>
      <c r="I256" s="83">
        <f>ROUND(H256/(MID($C256,9,3)/Basis!$E$3/Basis!$E$9)*Basis!$E$11,0)</f>
        <v>735</v>
      </c>
      <c r="J256" s="123">
        <f>IF(Basis!$E$1=1,ROUND(H256/((TaH-TrH)*1.163)/3600,3),ROUND(H256/(500*(TaH-TrH)),2))</f>
        <v>0.48</v>
      </c>
      <c r="K256" s="84"/>
      <c r="L256" s="177">
        <f>CHOOSE(Basis!$E$1,((AJ256*(J256*3600/Basis!$E$5)^AK256*(((MID(C256,9,3)*10)-144)/1000)*AL256+AM256*(J256*3600/Basis!$E$5)^2)*0.0098)/Basis!$E$10,((AJ256*(J256/Basis!$E$5)^AK256*(((MID(C256,9,3)*10)-144)/1000)*AL256+AM256*(J256/Basis!$E$5)^2)*0.0098)/Basis!$E$10)</f>
        <v>0</v>
      </c>
      <c r="M256" s="85"/>
      <c r="N256" s="109">
        <v>1.452</v>
      </c>
      <c r="O256" s="68"/>
      <c r="P256" s="67">
        <v>2281</v>
      </c>
      <c r="Q256" s="68"/>
      <c r="R256" s="69"/>
      <c r="S256" s="69"/>
      <c r="T256" s="69"/>
      <c r="U256" s="69"/>
      <c r="V256" s="69"/>
      <c r="W256" s="68"/>
      <c r="X256" s="70"/>
      <c r="Y256" s="70"/>
      <c r="Z256" s="70"/>
      <c r="AA256" s="70"/>
      <c r="AB256" s="70"/>
      <c r="AC256" s="68"/>
      <c r="AD256" s="71"/>
      <c r="AE256" s="71"/>
      <c r="AF256" s="71"/>
      <c r="AG256" s="71"/>
      <c r="AH256" s="71"/>
      <c r="AI256" s="68"/>
      <c r="AJ256" s="214"/>
      <c r="AK256" s="214"/>
      <c r="AL256" s="214"/>
      <c r="AM256" s="214"/>
      <c r="AN256" s="68"/>
      <c r="AO256" s="67"/>
      <c r="AP256" s="67"/>
      <c r="AQ256" s="67"/>
      <c r="AR256" s="67"/>
      <c r="AS256" s="67"/>
      <c r="AT256" s="68"/>
      <c r="AU256" s="49"/>
      <c r="AV256" s="50"/>
    </row>
    <row r="257" spans="1:48" ht="12.75" customHeight="1" x14ac:dyDescent="0.25">
      <c r="A257" s="72" t="s">
        <v>20</v>
      </c>
      <c r="B257" s="43" t="s">
        <v>4043</v>
      </c>
      <c r="C257" s="44" t="s">
        <v>3585</v>
      </c>
      <c r="D257" s="45">
        <f>MROUND(MID($C257,6,3)/Basis!$E$3,0.5)</f>
        <v>7</v>
      </c>
      <c r="E257" s="45">
        <f>MROUND(MID($C257,9,3)/Basis!$E$3,0.5)</f>
        <v>86.5</v>
      </c>
      <c r="F257" s="229" t="str">
        <f t="shared" si="3"/>
        <v>11</v>
      </c>
      <c r="G257" s="45">
        <f>ROUND(5/Basis!$E$3,1)</f>
        <v>2</v>
      </c>
      <c r="H257" s="120">
        <f>ROUND($P257*Basis!$E$2*((TaH-TrH)/LN(1/µ)/Basis!$E$7)^$N257*Glycol,0)</f>
        <v>1932</v>
      </c>
      <c r="I257" s="83">
        <f>ROUND(H257/(MID($C257,9,3)/Basis!$E$3/Basis!$E$9)*Basis!$E$11,0)</f>
        <v>268</v>
      </c>
      <c r="J257" s="123">
        <f>IF(Basis!$E$1=1,ROUND(H257/((TaH-TrH)*1.163)/3600,3),ROUND(H257/(500*(TaH-TrH)),2))</f>
        <v>0.19</v>
      </c>
      <c r="K257" s="84"/>
      <c r="L257" s="177">
        <f>CHOOSE(Basis!$E$1,((AJ257*(J257*3600/Basis!$E$5)^AK257*(((MID(C257,9,3)*10)-144)/1000)*AL257+AM257*(J257*3600/Basis!$E$5)^2)*0.0098)/Basis!$E$10,((AJ257*(J257/Basis!$E$5)^AK257*(((MID(C257,9,3)*10)-144)/1000)*AL257+AM257*(J257/Basis!$E$5)^2)*0.0098)/Basis!$E$10)</f>
        <v>0</v>
      </c>
      <c r="M257" s="85"/>
      <c r="N257" s="109">
        <v>1.248</v>
      </c>
      <c r="O257" s="68"/>
      <c r="P257" s="67">
        <v>855</v>
      </c>
      <c r="Q257" s="68"/>
      <c r="R257" s="69"/>
      <c r="S257" s="69"/>
      <c r="T257" s="69"/>
      <c r="U257" s="69"/>
      <c r="V257" s="69"/>
      <c r="W257" s="68"/>
      <c r="X257" s="70"/>
      <c r="Y257" s="70"/>
      <c r="Z257" s="70"/>
      <c r="AA257" s="70"/>
      <c r="AB257" s="70"/>
      <c r="AC257" s="68"/>
      <c r="AD257" s="71"/>
      <c r="AE257" s="71"/>
      <c r="AF257" s="71"/>
      <c r="AG257" s="71"/>
      <c r="AH257" s="71"/>
      <c r="AI257" s="68"/>
      <c r="AJ257" s="214"/>
      <c r="AK257" s="214"/>
      <c r="AL257" s="214"/>
      <c r="AM257" s="214"/>
      <c r="AN257" s="68"/>
      <c r="AO257" s="67"/>
      <c r="AP257" s="67"/>
      <c r="AQ257" s="67"/>
      <c r="AR257" s="67"/>
      <c r="AS257" s="67"/>
      <c r="AT257" s="68"/>
      <c r="AU257" s="49"/>
      <c r="AV257" s="50"/>
    </row>
    <row r="258" spans="1:48" ht="12.75" customHeight="1" x14ac:dyDescent="0.25">
      <c r="A258" s="72" t="s">
        <v>20</v>
      </c>
      <c r="B258" s="43" t="s">
        <v>4043</v>
      </c>
      <c r="C258" s="44" t="s">
        <v>3586</v>
      </c>
      <c r="D258" s="45">
        <f>MROUND(MID($C258,6,3)/Basis!$E$3,0.5)</f>
        <v>7</v>
      </c>
      <c r="E258" s="45">
        <f>MROUND(MID($C258,9,3)/Basis!$E$3,0.5)</f>
        <v>86.5</v>
      </c>
      <c r="F258" s="229" t="str">
        <f t="shared" si="3"/>
        <v>22</v>
      </c>
      <c r="G258" s="45">
        <f>ROUND(9/Basis!$E$3,1)</f>
        <v>3.5</v>
      </c>
      <c r="H258" s="120">
        <f>ROUND($P258*Basis!$E$2*((TaH-TrH)/LN(1/µ)/Basis!$E$7)^$N258*Glycol,0)</f>
        <v>3010</v>
      </c>
      <c r="I258" s="83">
        <f>ROUND(H258/(MID($C258,9,3)/Basis!$E$3/Basis!$E$9)*Basis!$E$11,0)</f>
        <v>417</v>
      </c>
      <c r="J258" s="123">
        <f>IF(Basis!$E$1=1,ROUND(H258/((TaH-TrH)*1.163)/3600,3),ROUND(H258/(500*(TaH-TrH)),2))</f>
        <v>0.3</v>
      </c>
      <c r="K258" s="84"/>
      <c r="L258" s="177">
        <f>CHOOSE(Basis!$E$1,((AJ258*(J258*3600/Basis!$E$5)^AK258*(((MID(C258,9,3)*10)-144)/1000)*AL258+AM258*(J258*3600/Basis!$E$5)^2)*0.0098)/Basis!$E$10,((AJ258*(J258/Basis!$E$5)^AK258*(((MID(C258,9,3)*10)-144)/1000)*AL258+AM258*(J258/Basis!$E$5)^2)*0.0098)/Basis!$E$10)</f>
        <v>0</v>
      </c>
      <c r="M258" s="85"/>
      <c r="N258" s="110">
        <v>1.349</v>
      </c>
      <c r="O258" s="74"/>
      <c r="P258" s="73">
        <v>1377</v>
      </c>
      <c r="Q258" s="74"/>
      <c r="R258" s="75"/>
      <c r="S258" s="75"/>
      <c r="T258" s="75"/>
      <c r="U258" s="75"/>
      <c r="V258" s="75"/>
      <c r="W258" s="74"/>
      <c r="X258" s="76"/>
      <c r="Y258" s="76"/>
      <c r="Z258" s="76"/>
      <c r="AA258" s="76"/>
      <c r="AB258" s="76"/>
      <c r="AC258" s="74"/>
      <c r="AD258" s="77"/>
      <c r="AE258" s="77"/>
      <c r="AF258" s="77"/>
      <c r="AG258" s="77"/>
      <c r="AH258" s="77"/>
      <c r="AI258" s="68"/>
      <c r="AJ258" s="213"/>
      <c r="AK258" s="213"/>
      <c r="AL258" s="213"/>
      <c r="AM258" s="213"/>
      <c r="AN258" s="74"/>
      <c r="AO258" s="73"/>
      <c r="AP258" s="73"/>
      <c r="AQ258" s="73"/>
      <c r="AR258" s="73"/>
      <c r="AS258" s="73"/>
      <c r="AT258" s="74"/>
      <c r="AU258" s="47"/>
      <c r="AV258" s="48"/>
    </row>
    <row r="259" spans="1:48" ht="12.75" customHeight="1" x14ac:dyDescent="0.25">
      <c r="A259" s="72" t="s">
        <v>20</v>
      </c>
      <c r="B259" s="43" t="s">
        <v>4043</v>
      </c>
      <c r="C259" s="44" t="s">
        <v>3587</v>
      </c>
      <c r="D259" s="45">
        <f>MROUND(MID($C259,6,3)/Basis!$E$3,0.5)</f>
        <v>7</v>
      </c>
      <c r="E259" s="45">
        <f>MROUND(MID($C259,9,3)/Basis!$E$3,0.5)</f>
        <v>86.5</v>
      </c>
      <c r="F259" s="229" t="str">
        <f t="shared" si="3"/>
        <v>34</v>
      </c>
      <c r="G259" s="45">
        <f>ROUND(16.9/Basis!$E$3,1)</f>
        <v>6.7</v>
      </c>
      <c r="H259" s="120">
        <f>ROUND($P259*Basis!$E$2*((TaH-TrH)/LN(1/µ)/Basis!$E$7)^$N259*Glycol,0)</f>
        <v>5302</v>
      </c>
      <c r="I259" s="83">
        <f>ROUND(H259/(MID($C259,9,3)/Basis!$E$3/Basis!$E$9)*Basis!$E$11,0)</f>
        <v>735</v>
      </c>
      <c r="J259" s="123">
        <f>IF(Basis!$E$1=1,ROUND(H259/((TaH-TrH)*1.163)/3600,3),ROUND(H259/(500*(TaH-TrH)),2))</f>
        <v>0.53</v>
      </c>
      <c r="K259" s="84"/>
      <c r="L259" s="177">
        <f>CHOOSE(Basis!$E$1,((AJ259*(J259*3600/Basis!$E$5)^AK259*(((MID(C259,9,3)*10)-144)/1000)*AL259+AM259*(J259*3600/Basis!$E$5)^2)*0.0098)/Basis!$E$10,((AJ259*(J259/Basis!$E$5)^AK259*(((MID(C259,9,3)*10)-144)/1000)*AL259+AM259*(J259/Basis!$E$5)^2)*0.0098)/Basis!$E$10)</f>
        <v>0</v>
      </c>
      <c r="M259" s="85"/>
      <c r="N259" s="110">
        <v>1.452</v>
      </c>
      <c r="O259" s="74"/>
      <c r="P259" s="73">
        <v>2509</v>
      </c>
      <c r="Q259" s="74"/>
      <c r="R259" s="75"/>
      <c r="S259" s="75"/>
      <c r="T259" s="75"/>
      <c r="U259" s="75"/>
      <c r="V259" s="75"/>
      <c r="W259" s="74"/>
      <c r="X259" s="76"/>
      <c r="Y259" s="76"/>
      <c r="Z259" s="76"/>
      <c r="AA259" s="76"/>
      <c r="AB259" s="76"/>
      <c r="AC259" s="74"/>
      <c r="AD259" s="77"/>
      <c r="AE259" s="77"/>
      <c r="AF259" s="77"/>
      <c r="AG259" s="77"/>
      <c r="AH259" s="77"/>
      <c r="AI259" s="68"/>
      <c r="AJ259" s="213"/>
      <c r="AK259" s="213"/>
      <c r="AL259" s="213"/>
      <c r="AM259" s="213"/>
      <c r="AN259" s="74"/>
      <c r="AO259" s="73"/>
      <c r="AP259" s="73"/>
      <c r="AQ259" s="73"/>
      <c r="AR259" s="73"/>
      <c r="AS259" s="73"/>
      <c r="AT259" s="74"/>
      <c r="AU259" s="47"/>
      <c r="AV259" s="48"/>
    </row>
    <row r="260" spans="1:48" ht="12.75" customHeight="1" x14ac:dyDescent="0.25">
      <c r="A260" s="72" t="s">
        <v>20</v>
      </c>
      <c r="B260" s="43" t="s">
        <v>4043</v>
      </c>
      <c r="C260" s="44" t="s">
        <v>3588</v>
      </c>
      <c r="D260" s="45">
        <f>MROUND(MID($C260,6,3)/Basis!$E$3,0.5)</f>
        <v>7</v>
      </c>
      <c r="E260" s="45">
        <f>MROUND(MID($C260,9,3)/Basis!$E$3,0.5)</f>
        <v>94.5</v>
      </c>
      <c r="F260" s="229" t="str">
        <f t="shared" si="3"/>
        <v>11</v>
      </c>
      <c r="G260" s="45">
        <f>ROUND(5/Basis!$E$3,1)</f>
        <v>2</v>
      </c>
      <c r="H260" s="120">
        <f>ROUND($P260*Basis!$E$2*((TaH-TrH)/LN(1/µ)/Basis!$E$7)^$N260*Glycol,0)</f>
        <v>2106</v>
      </c>
      <c r="I260" s="83">
        <f>ROUND(H260/(MID($C260,9,3)/Basis!$E$3/Basis!$E$9)*Basis!$E$11,0)</f>
        <v>267</v>
      </c>
      <c r="J260" s="123">
        <f>IF(Basis!$E$1=1,ROUND(H260/((TaH-TrH)*1.163)/3600,3),ROUND(H260/(500*(TaH-TrH)),2))</f>
        <v>0.21</v>
      </c>
      <c r="K260" s="84"/>
      <c r="L260" s="177">
        <f>CHOOSE(Basis!$E$1,((AJ260*(J260*3600/Basis!$E$5)^AK260*(((MID(C260,9,3)*10)-144)/1000)*AL260+AM260*(J260*3600/Basis!$E$5)^2)*0.0098)/Basis!$E$10,((AJ260*(J260/Basis!$E$5)^AK260*(((MID(C260,9,3)*10)-144)/1000)*AL260+AM260*(J260/Basis!$E$5)^2)*0.0098)/Basis!$E$10)</f>
        <v>0</v>
      </c>
      <c r="M260" s="85"/>
      <c r="N260" s="109">
        <v>1.248</v>
      </c>
      <c r="O260" s="68"/>
      <c r="P260" s="67">
        <v>932</v>
      </c>
      <c r="Q260" s="68"/>
      <c r="R260" s="69"/>
      <c r="S260" s="69"/>
      <c r="T260" s="69"/>
      <c r="U260" s="69"/>
      <c r="V260" s="69"/>
      <c r="W260" s="68"/>
      <c r="X260" s="70"/>
      <c r="Y260" s="70"/>
      <c r="Z260" s="70"/>
      <c r="AA260" s="70"/>
      <c r="AB260" s="70"/>
      <c r="AC260" s="68"/>
      <c r="AD260" s="71"/>
      <c r="AE260" s="71"/>
      <c r="AF260" s="71"/>
      <c r="AG260" s="71"/>
      <c r="AH260" s="71"/>
      <c r="AI260" s="68"/>
      <c r="AJ260" s="214"/>
      <c r="AK260" s="214"/>
      <c r="AL260" s="214"/>
      <c r="AM260" s="214"/>
      <c r="AN260" s="68"/>
      <c r="AO260" s="67"/>
      <c r="AP260" s="67"/>
      <c r="AQ260" s="67"/>
      <c r="AR260" s="67"/>
      <c r="AS260" s="67"/>
      <c r="AT260" s="68"/>
      <c r="AU260" s="49"/>
      <c r="AV260" s="50"/>
    </row>
    <row r="261" spans="1:48" ht="12.75" customHeight="1" x14ac:dyDescent="0.25">
      <c r="A261" s="72" t="s">
        <v>20</v>
      </c>
      <c r="B261" s="43" t="s">
        <v>4043</v>
      </c>
      <c r="C261" s="44" t="s">
        <v>3589</v>
      </c>
      <c r="D261" s="45">
        <f>MROUND(MID($C261,6,3)/Basis!$E$3,0.5)</f>
        <v>7</v>
      </c>
      <c r="E261" s="45">
        <f>MROUND(MID($C261,9,3)/Basis!$E$3,0.5)</f>
        <v>94.5</v>
      </c>
      <c r="F261" s="229" t="str">
        <f t="shared" si="3"/>
        <v>22</v>
      </c>
      <c r="G261" s="45">
        <f>ROUND(9/Basis!$E$3,1)</f>
        <v>3.5</v>
      </c>
      <c r="H261" s="120">
        <f>ROUND($P261*Basis!$E$2*((TaH-TrH)/LN(1/µ)/Basis!$E$7)^$N261*Glycol,0)</f>
        <v>3283</v>
      </c>
      <c r="I261" s="83">
        <f>ROUND(H261/(MID($C261,9,3)/Basis!$E$3/Basis!$E$9)*Basis!$E$11,0)</f>
        <v>417</v>
      </c>
      <c r="J261" s="123">
        <f>IF(Basis!$E$1=1,ROUND(H261/((TaH-TrH)*1.163)/3600,3),ROUND(H261/(500*(TaH-TrH)),2))</f>
        <v>0.33</v>
      </c>
      <c r="K261" s="84"/>
      <c r="L261" s="177">
        <f>CHOOSE(Basis!$E$1,((AJ261*(J261*3600/Basis!$E$5)^AK261*(((MID(C261,9,3)*10)-144)/1000)*AL261+AM261*(J261*3600/Basis!$E$5)^2)*0.0098)/Basis!$E$10,((AJ261*(J261/Basis!$E$5)^AK261*(((MID(C261,9,3)*10)-144)/1000)*AL261+AM261*(J261/Basis!$E$5)^2)*0.0098)/Basis!$E$10)</f>
        <v>0</v>
      </c>
      <c r="M261" s="85"/>
      <c r="N261" s="109">
        <v>1.349</v>
      </c>
      <c r="O261" s="68"/>
      <c r="P261" s="67">
        <v>1502</v>
      </c>
      <c r="Q261" s="68"/>
      <c r="R261" s="69"/>
      <c r="S261" s="69"/>
      <c r="T261" s="69"/>
      <c r="U261" s="69"/>
      <c r="V261" s="69"/>
      <c r="W261" s="68"/>
      <c r="X261" s="70"/>
      <c r="Y261" s="70"/>
      <c r="Z261" s="70"/>
      <c r="AA261" s="70"/>
      <c r="AB261" s="70"/>
      <c r="AC261" s="68"/>
      <c r="AD261" s="71"/>
      <c r="AE261" s="71"/>
      <c r="AF261" s="71"/>
      <c r="AG261" s="71"/>
      <c r="AH261" s="71"/>
      <c r="AI261" s="68"/>
      <c r="AJ261" s="214"/>
      <c r="AK261" s="214"/>
      <c r="AL261" s="214"/>
      <c r="AM261" s="214"/>
      <c r="AN261" s="68"/>
      <c r="AO261" s="67"/>
      <c r="AP261" s="67"/>
      <c r="AQ261" s="67"/>
      <c r="AR261" s="67"/>
      <c r="AS261" s="67"/>
      <c r="AT261" s="68"/>
      <c r="AU261" s="49"/>
      <c r="AV261" s="50"/>
    </row>
    <row r="262" spans="1:48" ht="12.75" customHeight="1" x14ac:dyDescent="0.25">
      <c r="A262" s="72" t="s">
        <v>20</v>
      </c>
      <c r="B262" s="43" t="s">
        <v>4043</v>
      </c>
      <c r="C262" s="44" t="s">
        <v>3590</v>
      </c>
      <c r="D262" s="45">
        <f>MROUND(MID($C262,6,3)/Basis!$E$3,0.5)</f>
        <v>7</v>
      </c>
      <c r="E262" s="45">
        <f>MROUND(MID($C262,9,3)/Basis!$E$3,0.5)</f>
        <v>94.5</v>
      </c>
      <c r="F262" s="229" t="str">
        <f t="shared" si="3"/>
        <v>34</v>
      </c>
      <c r="G262" s="45">
        <f>ROUND(16.9/Basis!$E$3,1)</f>
        <v>6.7</v>
      </c>
      <c r="H262" s="120">
        <f>ROUND($P262*Basis!$E$2*((TaH-TrH)/LN(1/µ)/Basis!$E$7)^$N262*Glycol,0)</f>
        <v>5783</v>
      </c>
      <c r="I262" s="83">
        <f>ROUND(H262/(MID($C262,9,3)/Basis!$E$3/Basis!$E$9)*Basis!$E$11,0)</f>
        <v>734</v>
      </c>
      <c r="J262" s="123">
        <f>IF(Basis!$E$1=1,ROUND(H262/((TaH-TrH)*1.163)/3600,3),ROUND(H262/(500*(TaH-TrH)),2))</f>
        <v>0.57999999999999996</v>
      </c>
      <c r="K262" s="84"/>
      <c r="L262" s="177">
        <f>CHOOSE(Basis!$E$1,((AJ262*(J262*3600/Basis!$E$5)^AK262*(((MID(C262,9,3)*10)-144)/1000)*AL262+AM262*(J262*3600/Basis!$E$5)^2)*0.0098)/Basis!$E$10,((AJ262*(J262/Basis!$E$5)^AK262*(((MID(C262,9,3)*10)-144)/1000)*AL262+AM262*(J262/Basis!$E$5)^2)*0.0098)/Basis!$E$10)</f>
        <v>0</v>
      </c>
      <c r="M262" s="85"/>
      <c r="N262" s="110">
        <v>1.452</v>
      </c>
      <c r="O262" s="74"/>
      <c r="P262" s="73">
        <v>2737</v>
      </c>
      <c r="Q262" s="74"/>
      <c r="R262" s="75"/>
      <c r="S262" s="75"/>
      <c r="T262" s="75"/>
      <c r="U262" s="75"/>
      <c r="V262" s="75"/>
      <c r="W262" s="74"/>
      <c r="X262" s="76"/>
      <c r="Y262" s="76"/>
      <c r="Z262" s="76"/>
      <c r="AA262" s="76"/>
      <c r="AB262" s="76"/>
      <c r="AC262" s="74"/>
      <c r="AD262" s="77"/>
      <c r="AE262" s="77"/>
      <c r="AF262" s="77"/>
      <c r="AG262" s="77"/>
      <c r="AH262" s="77"/>
      <c r="AI262" s="68"/>
      <c r="AJ262" s="213"/>
      <c r="AK262" s="213"/>
      <c r="AL262" s="213"/>
      <c r="AM262" s="213"/>
      <c r="AN262" s="74"/>
      <c r="AO262" s="73"/>
      <c r="AP262" s="73"/>
      <c r="AQ262" s="73"/>
      <c r="AR262" s="73"/>
      <c r="AS262" s="73"/>
      <c r="AT262" s="74"/>
      <c r="AU262" s="47"/>
      <c r="AV262" s="48"/>
    </row>
    <row r="263" spans="1:48" ht="12.75" customHeight="1" x14ac:dyDescent="0.25">
      <c r="A263" s="72" t="s">
        <v>20</v>
      </c>
      <c r="B263" s="43" t="s">
        <v>4043</v>
      </c>
      <c r="C263" s="44" t="s">
        <v>3591</v>
      </c>
      <c r="D263" s="45">
        <f>MROUND(MID($C263,6,3)/Basis!$E$3,0.5)</f>
        <v>7</v>
      </c>
      <c r="E263" s="45">
        <f>MROUND(MID($C263,9,3)/Basis!$E$3,0.5)</f>
        <v>102.5</v>
      </c>
      <c r="F263" s="229" t="str">
        <f t="shared" si="3"/>
        <v>11</v>
      </c>
      <c r="G263" s="45">
        <f>ROUND(5/Basis!$E$3,1)</f>
        <v>2</v>
      </c>
      <c r="H263" s="120">
        <f>ROUND($P263*Basis!$E$2*((TaH-TrH)/LN(1/µ)/Basis!$E$7)^$N263*Glycol,0)</f>
        <v>2283</v>
      </c>
      <c r="I263" s="83">
        <f>ROUND(H263/(MID($C263,9,3)/Basis!$E$3/Basis!$E$9)*Basis!$E$11,0)</f>
        <v>268</v>
      </c>
      <c r="J263" s="123">
        <f>IF(Basis!$E$1=1,ROUND(H263/((TaH-TrH)*1.163)/3600,3),ROUND(H263/(500*(TaH-TrH)),2))</f>
        <v>0.23</v>
      </c>
      <c r="K263" s="84"/>
      <c r="L263" s="177">
        <f>CHOOSE(Basis!$E$1,((AJ263*(J263*3600/Basis!$E$5)^AK263*(((MID(C263,9,3)*10)-144)/1000)*AL263+AM263*(J263*3600/Basis!$E$5)^2)*0.0098)/Basis!$E$10,((AJ263*(J263/Basis!$E$5)^AK263*(((MID(C263,9,3)*10)-144)/1000)*AL263+AM263*(J263/Basis!$E$5)^2)*0.0098)/Basis!$E$10)</f>
        <v>0</v>
      </c>
      <c r="M263" s="85"/>
      <c r="N263" s="110">
        <v>1.248</v>
      </c>
      <c r="O263" s="74"/>
      <c r="P263" s="73">
        <v>1010</v>
      </c>
      <c r="Q263" s="74"/>
      <c r="R263" s="75"/>
      <c r="S263" s="75"/>
      <c r="T263" s="75"/>
      <c r="U263" s="75"/>
      <c r="V263" s="75"/>
      <c r="W263" s="74"/>
      <c r="X263" s="76"/>
      <c r="Y263" s="76"/>
      <c r="Z263" s="76"/>
      <c r="AA263" s="76"/>
      <c r="AB263" s="76"/>
      <c r="AC263" s="74"/>
      <c r="AD263" s="77"/>
      <c r="AE263" s="77"/>
      <c r="AF263" s="77"/>
      <c r="AG263" s="77"/>
      <c r="AH263" s="77"/>
      <c r="AI263" s="68"/>
      <c r="AJ263" s="213"/>
      <c r="AK263" s="213"/>
      <c r="AL263" s="213"/>
      <c r="AM263" s="213"/>
      <c r="AN263" s="74"/>
      <c r="AO263" s="73"/>
      <c r="AP263" s="73"/>
      <c r="AQ263" s="73"/>
      <c r="AR263" s="73"/>
      <c r="AS263" s="73"/>
      <c r="AT263" s="74"/>
      <c r="AU263" s="47"/>
      <c r="AV263" s="48"/>
    </row>
    <row r="264" spans="1:48" ht="12.75" customHeight="1" x14ac:dyDescent="0.25">
      <c r="A264" s="72" t="s">
        <v>20</v>
      </c>
      <c r="B264" s="43" t="s">
        <v>4043</v>
      </c>
      <c r="C264" s="44" t="s">
        <v>3592</v>
      </c>
      <c r="D264" s="45">
        <f>MROUND(MID($C264,6,3)/Basis!$E$3,0.5)</f>
        <v>7</v>
      </c>
      <c r="E264" s="45">
        <f>MROUND(MID($C264,9,3)/Basis!$E$3,0.5)</f>
        <v>102.5</v>
      </c>
      <c r="F264" s="229" t="str">
        <f t="shared" si="3"/>
        <v>22</v>
      </c>
      <c r="G264" s="45">
        <f>ROUND(9/Basis!$E$3,1)</f>
        <v>3.5</v>
      </c>
      <c r="H264" s="120">
        <f>ROUND($P264*Basis!$E$2*((TaH-TrH)/LN(1/µ)/Basis!$E$7)^$N264*Glycol,0)</f>
        <v>3557</v>
      </c>
      <c r="I264" s="83">
        <f>ROUND(H264/(MID($C264,9,3)/Basis!$E$3/Basis!$E$9)*Basis!$E$11,0)</f>
        <v>417</v>
      </c>
      <c r="J264" s="123">
        <f>IF(Basis!$E$1=1,ROUND(H264/((TaH-TrH)*1.163)/3600,3),ROUND(H264/(500*(TaH-TrH)),2))</f>
        <v>0.36</v>
      </c>
      <c r="K264" s="84"/>
      <c r="L264" s="177">
        <f>CHOOSE(Basis!$E$1,((AJ264*(J264*3600/Basis!$E$5)^AK264*(((MID(C264,9,3)*10)-144)/1000)*AL264+AM264*(J264*3600/Basis!$E$5)^2)*0.0098)/Basis!$E$10,((AJ264*(J264/Basis!$E$5)^AK264*(((MID(C264,9,3)*10)-144)/1000)*AL264+AM264*(J264/Basis!$E$5)^2)*0.0098)/Basis!$E$10)</f>
        <v>0</v>
      </c>
      <c r="M264" s="85"/>
      <c r="N264" s="109">
        <v>1.349</v>
      </c>
      <c r="O264" s="68"/>
      <c r="P264" s="67">
        <v>1627</v>
      </c>
      <c r="Q264" s="68"/>
      <c r="R264" s="69"/>
      <c r="S264" s="69"/>
      <c r="T264" s="69"/>
      <c r="U264" s="69"/>
      <c r="V264" s="69"/>
      <c r="W264" s="68"/>
      <c r="X264" s="70"/>
      <c r="Y264" s="70"/>
      <c r="Z264" s="70"/>
      <c r="AA264" s="70"/>
      <c r="AB264" s="70"/>
      <c r="AC264" s="68"/>
      <c r="AD264" s="71"/>
      <c r="AE264" s="71"/>
      <c r="AF264" s="71"/>
      <c r="AG264" s="71"/>
      <c r="AH264" s="71"/>
      <c r="AI264" s="68"/>
      <c r="AJ264" s="214"/>
      <c r="AK264" s="214"/>
      <c r="AL264" s="214"/>
      <c r="AM264" s="214"/>
      <c r="AN264" s="68"/>
      <c r="AO264" s="67"/>
      <c r="AP264" s="67"/>
      <c r="AQ264" s="67"/>
      <c r="AR264" s="67"/>
      <c r="AS264" s="67"/>
      <c r="AT264" s="68"/>
      <c r="AU264" s="49"/>
      <c r="AV264" s="50"/>
    </row>
    <row r="265" spans="1:48" ht="12.75" customHeight="1" x14ac:dyDescent="0.25">
      <c r="A265" s="72" t="s">
        <v>20</v>
      </c>
      <c r="B265" s="43" t="s">
        <v>4043</v>
      </c>
      <c r="C265" s="44" t="s">
        <v>3593</v>
      </c>
      <c r="D265" s="45">
        <f>MROUND(MID($C265,6,3)/Basis!$E$3,0.5)</f>
        <v>7</v>
      </c>
      <c r="E265" s="45">
        <f>MROUND(MID($C265,9,3)/Basis!$E$3,0.5)</f>
        <v>102.5</v>
      </c>
      <c r="F265" s="229" t="str">
        <f t="shared" si="3"/>
        <v>34</v>
      </c>
      <c r="G265" s="45">
        <f>ROUND(16.9/Basis!$E$3,1)</f>
        <v>6.7</v>
      </c>
      <c r="H265" s="120">
        <f>ROUND($P265*Basis!$E$2*((TaH-TrH)/LN(1/µ)/Basis!$E$7)^$N265*Glycol,0)</f>
        <v>6265</v>
      </c>
      <c r="I265" s="83">
        <f>ROUND(H265/(MID($C265,9,3)/Basis!$E$3/Basis!$E$9)*Basis!$E$11,0)</f>
        <v>734</v>
      </c>
      <c r="J265" s="123">
        <f>IF(Basis!$E$1=1,ROUND(H265/((TaH-TrH)*1.163)/3600,3),ROUND(H265/(500*(TaH-TrH)),2))</f>
        <v>0.63</v>
      </c>
      <c r="K265" s="84"/>
      <c r="L265" s="177">
        <f>CHOOSE(Basis!$E$1,((AJ265*(J265*3600/Basis!$E$5)^AK265*(((MID(C265,9,3)*10)-144)/1000)*AL265+AM265*(J265*3600/Basis!$E$5)^2)*0.0098)/Basis!$E$10,((AJ265*(J265/Basis!$E$5)^AK265*(((MID(C265,9,3)*10)-144)/1000)*AL265+AM265*(J265/Basis!$E$5)^2)*0.0098)/Basis!$E$10)</f>
        <v>0</v>
      </c>
      <c r="M265" s="85"/>
      <c r="N265" s="109">
        <v>1.452</v>
      </c>
      <c r="O265" s="68"/>
      <c r="P265" s="67">
        <v>2965</v>
      </c>
      <c r="Q265" s="68"/>
      <c r="R265" s="69"/>
      <c r="S265" s="69"/>
      <c r="T265" s="69"/>
      <c r="U265" s="69"/>
      <c r="V265" s="69"/>
      <c r="W265" s="68"/>
      <c r="X265" s="70"/>
      <c r="Y265" s="70"/>
      <c r="Z265" s="70"/>
      <c r="AA265" s="70"/>
      <c r="AB265" s="70"/>
      <c r="AC265" s="68"/>
      <c r="AD265" s="71"/>
      <c r="AE265" s="71"/>
      <c r="AF265" s="71"/>
      <c r="AG265" s="71"/>
      <c r="AH265" s="71"/>
      <c r="AI265" s="68"/>
      <c r="AJ265" s="214"/>
      <c r="AK265" s="214"/>
      <c r="AL265" s="214"/>
      <c r="AM265" s="214"/>
      <c r="AN265" s="68"/>
      <c r="AO265" s="67"/>
      <c r="AP265" s="67"/>
      <c r="AQ265" s="67"/>
      <c r="AR265" s="67"/>
      <c r="AS265" s="67"/>
      <c r="AT265" s="68"/>
      <c r="AU265" s="49"/>
      <c r="AV265" s="50"/>
    </row>
    <row r="266" spans="1:48" ht="12.75" customHeight="1" x14ac:dyDescent="0.25">
      <c r="A266" s="72" t="s">
        <v>20</v>
      </c>
      <c r="B266" s="43" t="s">
        <v>4043</v>
      </c>
      <c r="C266" s="44" t="s">
        <v>3594</v>
      </c>
      <c r="D266" s="45">
        <f>MROUND(MID($C266,6,3)/Basis!$E$3,0.5)</f>
        <v>7</v>
      </c>
      <c r="E266" s="45">
        <f>MROUND(MID($C266,9,3)/Basis!$E$3,0.5)</f>
        <v>110</v>
      </c>
      <c r="F266" s="229" t="str">
        <f t="shared" si="3"/>
        <v>11</v>
      </c>
      <c r="G266" s="45">
        <f>ROUND(5/Basis!$E$3,1)</f>
        <v>2</v>
      </c>
      <c r="H266" s="120">
        <f>ROUND($P266*Basis!$E$2*((TaH-TrH)/LN(1/µ)/Basis!$E$7)^$N266*Glycol,0)</f>
        <v>2459</v>
      </c>
      <c r="I266" s="83">
        <f>ROUND(H266/(MID($C266,9,3)/Basis!$E$3/Basis!$E$9)*Basis!$E$11,0)</f>
        <v>268</v>
      </c>
      <c r="J266" s="123">
        <f>IF(Basis!$E$1=1,ROUND(H266/((TaH-TrH)*1.163)/3600,3),ROUND(H266/(500*(TaH-TrH)),2))</f>
        <v>0.25</v>
      </c>
      <c r="K266" s="84"/>
      <c r="L266" s="177">
        <f>CHOOSE(Basis!$E$1,((AJ266*(J266*3600/Basis!$E$5)^AK266*(((MID(C266,9,3)*10)-144)/1000)*AL266+AM266*(J266*3600/Basis!$E$5)^2)*0.0098)/Basis!$E$10,((AJ266*(J266/Basis!$E$5)^AK266*(((MID(C266,9,3)*10)-144)/1000)*AL266+AM266*(J266/Basis!$E$5)^2)*0.0098)/Basis!$E$10)</f>
        <v>0</v>
      </c>
      <c r="M266" s="85"/>
      <c r="N266" s="110">
        <v>1.248</v>
      </c>
      <c r="O266" s="74"/>
      <c r="P266" s="73">
        <v>1088</v>
      </c>
      <c r="Q266" s="74"/>
      <c r="R266" s="75"/>
      <c r="S266" s="75"/>
      <c r="T266" s="75"/>
      <c r="U266" s="75"/>
      <c r="V266" s="75"/>
      <c r="W266" s="74"/>
      <c r="X266" s="76"/>
      <c r="Y266" s="76"/>
      <c r="Z266" s="76"/>
      <c r="AA266" s="76"/>
      <c r="AB266" s="76"/>
      <c r="AC266" s="74"/>
      <c r="AD266" s="77"/>
      <c r="AE266" s="77"/>
      <c r="AF266" s="77"/>
      <c r="AG266" s="77"/>
      <c r="AH266" s="77"/>
      <c r="AI266" s="68"/>
      <c r="AJ266" s="213"/>
      <c r="AK266" s="213"/>
      <c r="AL266" s="213"/>
      <c r="AM266" s="213"/>
      <c r="AN266" s="74"/>
      <c r="AO266" s="73"/>
      <c r="AP266" s="73"/>
      <c r="AQ266" s="73"/>
      <c r="AR266" s="73"/>
      <c r="AS266" s="73"/>
      <c r="AT266" s="74"/>
      <c r="AU266" s="47"/>
      <c r="AV266" s="48"/>
    </row>
    <row r="267" spans="1:48" ht="12.75" customHeight="1" x14ac:dyDescent="0.25">
      <c r="A267" s="72" t="s">
        <v>20</v>
      </c>
      <c r="B267" s="43" t="s">
        <v>4043</v>
      </c>
      <c r="C267" s="44" t="s">
        <v>3595</v>
      </c>
      <c r="D267" s="45">
        <f>MROUND(MID($C267,6,3)/Basis!$E$3,0.5)</f>
        <v>7</v>
      </c>
      <c r="E267" s="45">
        <f>MROUND(MID($C267,9,3)/Basis!$E$3,0.5)</f>
        <v>110</v>
      </c>
      <c r="F267" s="229" t="str">
        <f t="shared" ref="F267:F330" si="4">MID(C267,12,2)</f>
        <v>22</v>
      </c>
      <c r="G267" s="45">
        <f>ROUND(9/Basis!$E$3,1)</f>
        <v>3.5</v>
      </c>
      <c r="H267" s="120">
        <f>ROUND($P267*Basis!$E$2*((TaH-TrH)/LN(1/µ)/Basis!$E$7)^$N267*Glycol,0)</f>
        <v>3830</v>
      </c>
      <c r="I267" s="83">
        <f>ROUND(H267/(MID($C267,9,3)/Basis!$E$3/Basis!$E$9)*Basis!$E$11,0)</f>
        <v>417</v>
      </c>
      <c r="J267" s="123">
        <f>IF(Basis!$E$1=1,ROUND(H267/((TaH-TrH)*1.163)/3600,3),ROUND(H267/(500*(TaH-TrH)),2))</f>
        <v>0.38</v>
      </c>
      <c r="K267" s="84"/>
      <c r="L267" s="177">
        <f>CHOOSE(Basis!$E$1,((AJ267*(J267*3600/Basis!$E$5)^AK267*(((MID(C267,9,3)*10)-144)/1000)*AL267+AM267*(J267*3600/Basis!$E$5)^2)*0.0098)/Basis!$E$10,((AJ267*(J267/Basis!$E$5)^AK267*(((MID(C267,9,3)*10)-144)/1000)*AL267+AM267*(J267/Basis!$E$5)^2)*0.0098)/Basis!$E$10)</f>
        <v>0</v>
      </c>
      <c r="M267" s="85"/>
      <c r="N267" s="110">
        <v>1.349</v>
      </c>
      <c r="O267" s="74"/>
      <c r="P267" s="73">
        <v>1752</v>
      </c>
      <c r="Q267" s="74"/>
      <c r="R267" s="75"/>
      <c r="S267" s="75"/>
      <c r="T267" s="75"/>
      <c r="U267" s="75"/>
      <c r="V267" s="75"/>
      <c r="W267" s="74"/>
      <c r="X267" s="76"/>
      <c r="Y267" s="76"/>
      <c r="Z267" s="76"/>
      <c r="AA267" s="76"/>
      <c r="AB267" s="76"/>
      <c r="AC267" s="74"/>
      <c r="AD267" s="77"/>
      <c r="AE267" s="77"/>
      <c r="AF267" s="77"/>
      <c r="AG267" s="77"/>
      <c r="AH267" s="77"/>
      <c r="AI267" s="68"/>
      <c r="AJ267" s="213"/>
      <c r="AK267" s="213"/>
      <c r="AL267" s="213"/>
      <c r="AM267" s="213"/>
      <c r="AN267" s="74"/>
      <c r="AO267" s="73"/>
      <c r="AP267" s="73"/>
      <c r="AQ267" s="73"/>
      <c r="AR267" s="73"/>
      <c r="AS267" s="73"/>
      <c r="AT267" s="74"/>
      <c r="AU267" s="47"/>
      <c r="AV267" s="48"/>
    </row>
    <row r="268" spans="1:48" ht="12.75" customHeight="1" x14ac:dyDescent="0.25">
      <c r="A268" s="72" t="s">
        <v>20</v>
      </c>
      <c r="B268" s="43" t="s">
        <v>4043</v>
      </c>
      <c r="C268" s="44" t="s">
        <v>3596</v>
      </c>
      <c r="D268" s="45">
        <f>MROUND(MID($C268,6,3)/Basis!$E$3,0.5)</f>
        <v>7</v>
      </c>
      <c r="E268" s="45">
        <f>MROUND(MID($C268,9,3)/Basis!$E$3,0.5)</f>
        <v>110</v>
      </c>
      <c r="F268" s="229" t="str">
        <f t="shared" si="4"/>
        <v>34</v>
      </c>
      <c r="G268" s="45">
        <f>ROUND(16.9/Basis!$E$3,1)</f>
        <v>6.7</v>
      </c>
      <c r="H268" s="120">
        <f>ROUND($P268*Basis!$E$2*((TaH-TrH)/LN(1/µ)/Basis!$E$7)^$N268*Glycol,0)</f>
        <v>6747</v>
      </c>
      <c r="I268" s="83">
        <f>ROUND(H268/(MID($C268,9,3)/Basis!$E$3/Basis!$E$9)*Basis!$E$11,0)</f>
        <v>734</v>
      </c>
      <c r="J268" s="123">
        <f>IF(Basis!$E$1=1,ROUND(H268/((TaH-TrH)*1.163)/3600,3),ROUND(H268/(500*(TaH-TrH)),2))</f>
        <v>0.67</v>
      </c>
      <c r="K268" s="84"/>
      <c r="L268" s="177">
        <f>CHOOSE(Basis!$E$1,((AJ268*(J268*3600/Basis!$E$5)^AK268*(((MID(C268,9,3)*10)-144)/1000)*AL268+AM268*(J268*3600/Basis!$E$5)^2)*0.0098)/Basis!$E$10,((AJ268*(J268/Basis!$E$5)^AK268*(((MID(C268,9,3)*10)-144)/1000)*AL268+AM268*(J268/Basis!$E$5)^2)*0.0098)/Basis!$E$10)</f>
        <v>0</v>
      </c>
      <c r="M268" s="85"/>
      <c r="N268" s="109">
        <v>1.452</v>
      </c>
      <c r="O268" s="68"/>
      <c r="P268" s="67">
        <v>3193</v>
      </c>
      <c r="Q268" s="68"/>
      <c r="R268" s="69"/>
      <c r="S268" s="69"/>
      <c r="T268" s="69"/>
      <c r="U268" s="69"/>
      <c r="V268" s="69"/>
      <c r="W268" s="68"/>
      <c r="X268" s="70"/>
      <c r="Y268" s="70"/>
      <c r="Z268" s="70"/>
      <c r="AA268" s="70"/>
      <c r="AB268" s="70"/>
      <c r="AC268" s="68"/>
      <c r="AD268" s="71"/>
      <c r="AE268" s="71"/>
      <c r="AF268" s="71"/>
      <c r="AG268" s="71"/>
      <c r="AH268" s="71"/>
      <c r="AI268" s="68"/>
      <c r="AJ268" s="214"/>
      <c r="AK268" s="214"/>
      <c r="AL268" s="214"/>
      <c r="AM268" s="214"/>
      <c r="AN268" s="68"/>
      <c r="AO268" s="67"/>
      <c r="AP268" s="67"/>
      <c r="AQ268" s="67"/>
      <c r="AR268" s="67"/>
      <c r="AS268" s="67"/>
      <c r="AT268" s="68"/>
      <c r="AU268" s="49"/>
      <c r="AV268" s="50"/>
    </row>
    <row r="269" spans="1:48" ht="12.75" customHeight="1" x14ac:dyDescent="0.25">
      <c r="A269" s="72" t="s">
        <v>20</v>
      </c>
      <c r="B269" s="43" t="s">
        <v>4043</v>
      </c>
      <c r="C269" s="44" t="s">
        <v>3597</v>
      </c>
      <c r="D269" s="45">
        <f>MROUND(MID($C269,6,3)/Basis!$E$3,0.5)</f>
        <v>7</v>
      </c>
      <c r="E269" s="45">
        <f>MROUND(MID($C269,9,3)/Basis!$E$3,0.5)</f>
        <v>118</v>
      </c>
      <c r="F269" s="229" t="str">
        <f t="shared" si="4"/>
        <v>11</v>
      </c>
      <c r="G269" s="45">
        <f>ROUND(5/Basis!$E$3,1)</f>
        <v>2</v>
      </c>
      <c r="H269" s="120">
        <f>ROUND($P269*Basis!$E$2*((TaH-TrH)/LN(1/µ)/Basis!$E$7)^$N269*Glycol,0)</f>
        <v>2635</v>
      </c>
      <c r="I269" s="83">
        <f>ROUND(H269/(MID($C269,9,3)/Basis!$E$3/Basis!$E$9)*Basis!$E$11,0)</f>
        <v>268</v>
      </c>
      <c r="J269" s="123">
        <f>IF(Basis!$E$1=1,ROUND(H269/((TaH-TrH)*1.163)/3600,3),ROUND(H269/(500*(TaH-TrH)),2))</f>
        <v>0.26</v>
      </c>
      <c r="K269" s="84"/>
      <c r="L269" s="177">
        <f>CHOOSE(Basis!$E$1,((AJ269*(J269*3600/Basis!$E$5)^AK269*(((MID(C269,9,3)*10)-144)/1000)*AL269+AM269*(J269*3600/Basis!$E$5)^2)*0.0098)/Basis!$E$10,((AJ269*(J269/Basis!$E$5)^AK269*(((MID(C269,9,3)*10)-144)/1000)*AL269+AM269*(J269/Basis!$E$5)^2)*0.0098)/Basis!$E$10)</f>
        <v>0</v>
      </c>
      <c r="M269" s="85"/>
      <c r="N269" s="109">
        <v>1.248</v>
      </c>
      <c r="O269" s="68"/>
      <c r="P269" s="67">
        <v>1166</v>
      </c>
      <c r="Q269" s="68"/>
      <c r="R269" s="69"/>
      <c r="S269" s="69"/>
      <c r="T269" s="69"/>
      <c r="U269" s="69"/>
      <c r="V269" s="69"/>
      <c r="W269" s="68"/>
      <c r="X269" s="70"/>
      <c r="Y269" s="70"/>
      <c r="Z269" s="70"/>
      <c r="AA269" s="70"/>
      <c r="AB269" s="70"/>
      <c r="AC269" s="68"/>
      <c r="AD269" s="71"/>
      <c r="AE269" s="71"/>
      <c r="AF269" s="71"/>
      <c r="AG269" s="71"/>
      <c r="AH269" s="71"/>
      <c r="AI269" s="68"/>
      <c r="AJ269" s="214"/>
      <c r="AK269" s="214"/>
      <c r="AL269" s="214"/>
      <c r="AM269" s="214"/>
      <c r="AN269" s="68"/>
      <c r="AO269" s="67"/>
      <c r="AP269" s="67"/>
      <c r="AQ269" s="67"/>
      <c r="AR269" s="67"/>
      <c r="AS269" s="67"/>
      <c r="AT269" s="68"/>
      <c r="AU269" s="49"/>
      <c r="AV269" s="50"/>
    </row>
    <row r="270" spans="1:48" ht="12.75" customHeight="1" x14ac:dyDescent="0.25">
      <c r="A270" s="72" t="s">
        <v>20</v>
      </c>
      <c r="B270" s="43" t="s">
        <v>4043</v>
      </c>
      <c r="C270" s="44" t="s">
        <v>3598</v>
      </c>
      <c r="D270" s="45">
        <f>MROUND(MID($C270,6,3)/Basis!$E$3,0.5)</f>
        <v>7</v>
      </c>
      <c r="E270" s="45">
        <f>MROUND(MID($C270,9,3)/Basis!$E$3,0.5)</f>
        <v>118</v>
      </c>
      <c r="F270" s="229" t="str">
        <f t="shared" si="4"/>
        <v>22</v>
      </c>
      <c r="G270" s="45">
        <f>ROUND(9/Basis!$E$3,1)</f>
        <v>3.5</v>
      </c>
      <c r="H270" s="120">
        <f>ROUND($P270*Basis!$E$2*((TaH-TrH)/LN(1/µ)/Basis!$E$7)^$N270*Glycol,0)</f>
        <v>4103</v>
      </c>
      <c r="I270" s="83">
        <f>ROUND(H270/(MID($C270,9,3)/Basis!$E$3/Basis!$E$9)*Basis!$E$11,0)</f>
        <v>417</v>
      </c>
      <c r="J270" s="123">
        <f>IF(Basis!$E$1=1,ROUND(H270/((TaH-TrH)*1.163)/3600,3),ROUND(H270/(500*(TaH-TrH)),2))</f>
        <v>0.41</v>
      </c>
      <c r="K270" s="84"/>
      <c r="L270" s="177">
        <f>CHOOSE(Basis!$E$1,((AJ270*(J270*3600/Basis!$E$5)^AK270*(((MID(C270,9,3)*10)-144)/1000)*AL270+AM270*(J270*3600/Basis!$E$5)^2)*0.0098)/Basis!$E$10,((AJ270*(J270/Basis!$E$5)^AK270*(((MID(C270,9,3)*10)-144)/1000)*AL270+AM270*(J270/Basis!$E$5)^2)*0.0098)/Basis!$E$10)</f>
        <v>0</v>
      </c>
      <c r="M270" s="85"/>
      <c r="N270" s="110">
        <v>1.349</v>
      </c>
      <c r="O270" s="74"/>
      <c r="P270" s="73">
        <v>1877</v>
      </c>
      <c r="Q270" s="74"/>
      <c r="R270" s="75"/>
      <c r="S270" s="75"/>
      <c r="T270" s="75"/>
      <c r="U270" s="75"/>
      <c r="V270" s="75"/>
      <c r="W270" s="74"/>
      <c r="X270" s="76"/>
      <c r="Y270" s="76"/>
      <c r="Z270" s="76"/>
      <c r="AA270" s="76"/>
      <c r="AB270" s="76"/>
      <c r="AC270" s="74"/>
      <c r="AD270" s="77"/>
      <c r="AE270" s="77"/>
      <c r="AF270" s="77"/>
      <c r="AG270" s="77"/>
      <c r="AH270" s="77"/>
      <c r="AI270" s="68"/>
      <c r="AJ270" s="213"/>
      <c r="AK270" s="213"/>
      <c r="AL270" s="213"/>
      <c r="AM270" s="213"/>
      <c r="AN270" s="74"/>
      <c r="AO270" s="73"/>
      <c r="AP270" s="73"/>
      <c r="AQ270" s="73"/>
      <c r="AR270" s="73"/>
      <c r="AS270" s="73"/>
      <c r="AT270" s="74"/>
      <c r="AU270" s="47"/>
      <c r="AV270" s="48"/>
    </row>
    <row r="271" spans="1:48" ht="12.75" customHeight="1" x14ac:dyDescent="0.25">
      <c r="A271" s="72" t="s">
        <v>20</v>
      </c>
      <c r="B271" s="43" t="s">
        <v>4043</v>
      </c>
      <c r="C271" s="44" t="s">
        <v>3599</v>
      </c>
      <c r="D271" s="45">
        <f>MROUND(MID($C271,6,3)/Basis!$E$3,0.5)</f>
        <v>7</v>
      </c>
      <c r="E271" s="45">
        <f>MROUND(MID($C271,9,3)/Basis!$E$3,0.5)</f>
        <v>118</v>
      </c>
      <c r="F271" s="229" t="str">
        <f t="shared" si="4"/>
        <v>34</v>
      </c>
      <c r="G271" s="45">
        <f>ROUND(16.9/Basis!$E$3,1)</f>
        <v>6.7</v>
      </c>
      <c r="H271" s="120">
        <f>ROUND($P271*Basis!$E$2*((TaH-TrH)/LN(1/µ)/Basis!$E$7)^$N271*Glycol,0)</f>
        <v>7229</v>
      </c>
      <c r="I271" s="83">
        <f>ROUND(H271/(MID($C271,9,3)/Basis!$E$3/Basis!$E$9)*Basis!$E$11,0)</f>
        <v>734</v>
      </c>
      <c r="J271" s="123">
        <f>IF(Basis!$E$1=1,ROUND(H271/((TaH-TrH)*1.163)/3600,3),ROUND(H271/(500*(TaH-TrH)),2))</f>
        <v>0.72</v>
      </c>
      <c r="K271" s="84"/>
      <c r="L271" s="177">
        <f>CHOOSE(Basis!$E$1,((AJ271*(J271*3600/Basis!$E$5)^AK271*(((MID(C271,9,3)*10)-144)/1000)*AL271+AM271*(J271*3600/Basis!$E$5)^2)*0.0098)/Basis!$E$10,((AJ271*(J271/Basis!$E$5)^AK271*(((MID(C271,9,3)*10)-144)/1000)*AL271+AM271*(J271/Basis!$E$5)^2)*0.0098)/Basis!$E$10)</f>
        <v>0</v>
      </c>
      <c r="M271" s="85"/>
      <c r="N271" s="110">
        <v>1.452</v>
      </c>
      <c r="O271" s="74"/>
      <c r="P271" s="73">
        <v>3421</v>
      </c>
      <c r="Q271" s="74"/>
      <c r="R271" s="75"/>
      <c r="S271" s="75"/>
      <c r="T271" s="75"/>
      <c r="U271" s="75"/>
      <c r="V271" s="75"/>
      <c r="W271" s="74"/>
      <c r="X271" s="76"/>
      <c r="Y271" s="76"/>
      <c r="Z271" s="76"/>
      <c r="AA271" s="76"/>
      <c r="AB271" s="76"/>
      <c r="AC271" s="74"/>
      <c r="AD271" s="77"/>
      <c r="AE271" s="77"/>
      <c r="AF271" s="77"/>
      <c r="AG271" s="77"/>
      <c r="AH271" s="77"/>
      <c r="AI271" s="68"/>
      <c r="AJ271" s="213"/>
      <c r="AK271" s="213"/>
      <c r="AL271" s="213"/>
      <c r="AM271" s="213"/>
      <c r="AN271" s="74"/>
      <c r="AO271" s="73"/>
      <c r="AP271" s="73"/>
      <c r="AQ271" s="73"/>
      <c r="AR271" s="73"/>
      <c r="AS271" s="73"/>
      <c r="AT271" s="74"/>
      <c r="AU271" s="47"/>
      <c r="AV271" s="48"/>
    </row>
    <row r="272" spans="1:48" ht="12.75" customHeight="1" x14ac:dyDescent="0.25">
      <c r="A272" s="72" t="s">
        <v>20</v>
      </c>
      <c r="B272" s="43" t="s">
        <v>4043</v>
      </c>
      <c r="C272" s="44" t="s">
        <v>3600</v>
      </c>
      <c r="D272" s="45">
        <f>MROUND(MID($C272,6,3)/Basis!$E$3,0.5)</f>
        <v>7</v>
      </c>
      <c r="E272" s="45">
        <f>MROUND(MID($C272,9,3)/Basis!$E$3,0.5)</f>
        <v>126</v>
      </c>
      <c r="F272" s="229" t="str">
        <f t="shared" si="4"/>
        <v>11</v>
      </c>
      <c r="G272" s="45">
        <f>ROUND(5/Basis!$E$3,1)</f>
        <v>2</v>
      </c>
      <c r="H272" s="120">
        <f>ROUND($P272*Basis!$E$2*((TaH-TrH)/LN(1/µ)/Basis!$E$7)^$N272*Glycol,0)</f>
        <v>2809</v>
      </c>
      <c r="I272" s="83">
        <f>ROUND(H272/(MID($C272,9,3)/Basis!$E$3/Basis!$E$9)*Basis!$E$11,0)</f>
        <v>268</v>
      </c>
      <c r="J272" s="123">
        <f>IF(Basis!$E$1=1,ROUND(H272/((TaH-TrH)*1.163)/3600,3),ROUND(H272/(500*(TaH-TrH)),2))</f>
        <v>0.28000000000000003</v>
      </c>
      <c r="K272" s="84"/>
      <c r="L272" s="177">
        <f>CHOOSE(Basis!$E$1,((AJ272*(J272*3600/Basis!$E$5)^AK272*(((MID(C272,9,3)*10)-144)/1000)*AL272+AM272*(J272*3600/Basis!$E$5)^2)*0.0098)/Basis!$E$10,((AJ272*(J272/Basis!$E$5)^AK272*(((MID(C272,9,3)*10)-144)/1000)*AL272+AM272*(J272/Basis!$E$5)^2)*0.0098)/Basis!$E$10)</f>
        <v>0</v>
      </c>
      <c r="M272" s="85"/>
      <c r="N272" s="109">
        <v>1.248</v>
      </c>
      <c r="O272" s="68"/>
      <c r="P272" s="67">
        <v>1243</v>
      </c>
      <c r="Q272" s="68"/>
      <c r="R272" s="69"/>
      <c r="S272" s="69"/>
      <c r="T272" s="69"/>
      <c r="U272" s="69"/>
      <c r="V272" s="69"/>
      <c r="W272" s="68"/>
      <c r="X272" s="70"/>
      <c r="Y272" s="70"/>
      <c r="Z272" s="70"/>
      <c r="AA272" s="70"/>
      <c r="AB272" s="70"/>
      <c r="AC272" s="68"/>
      <c r="AD272" s="71"/>
      <c r="AE272" s="71"/>
      <c r="AF272" s="71"/>
      <c r="AG272" s="71"/>
      <c r="AH272" s="71"/>
      <c r="AI272" s="68"/>
      <c r="AJ272" s="214"/>
      <c r="AK272" s="214"/>
      <c r="AL272" s="214"/>
      <c r="AM272" s="214"/>
      <c r="AN272" s="68"/>
      <c r="AO272" s="67"/>
      <c r="AP272" s="67"/>
      <c r="AQ272" s="67"/>
      <c r="AR272" s="67"/>
      <c r="AS272" s="67"/>
      <c r="AT272" s="68"/>
      <c r="AU272" s="49"/>
      <c r="AV272" s="50"/>
    </row>
    <row r="273" spans="1:48" ht="12.75" customHeight="1" x14ac:dyDescent="0.25">
      <c r="A273" s="72" t="s">
        <v>20</v>
      </c>
      <c r="B273" s="43" t="s">
        <v>4043</v>
      </c>
      <c r="C273" s="44" t="s">
        <v>3601</v>
      </c>
      <c r="D273" s="45">
        <f>MROUND(MID($C273,6,3)/Basis!$E$3,0.5)</f>
        <v>7</v>
      </c>
      <c r="E273" s="45">
        <f>MROUND(MID($C273,9,3)/Basis!$E$3,0.5)</f>
        <v>126</v>
      </c>
      <c r="F273" s="229" t="str">
        <f t="shared" si="4"/>
        <v>22</v>
      </c>
      <c r="G273" s="45">
        <f>ROUND(9/Basis!$E$3,1)</f>
        <v>3.5</v>
      </c>
      <c r="H273" s="120">
        <f>ROUND($P273*Basis!$E$2*((TaH-TrH)/LN(1/µ)/Basis!$E$7)^$N273*Glycol,0)</f>
        <v>4377</v>
      </c>
      <c r="I273" s="83">
        <f>ROUND(H273/(MID($C273,9,3)/Basis!$E$3/Basis!$E$9)*Basis!$E$11,0)</f>
        <v>417</v>
      </c>
      <c r="J273" s="123">
        <f>IF(Basis!$E$1=1,ROUND(H273/((TaH-TrH)*1.163)/3600,3),ROUND(H273/(500*(TaH-TrH)),2))</f>
        <v>0.44</v>
      </c>
      <c r="K273" s="84"/>
      <c r="L273" s="177">
        <f>CHOOSE(Basis!$E$1,((AJ273*(J273*3600/Basis!$E$5)^AK273*(((MID(C273,9,3)*10)-144)/1000)*AL273+AM273*(J273*3600/Basis!$E$5)^2)*0.0098)/Basis!$E$10,((AJ273*(J273/Basis!$E$5)^AK273*(((MID(C273,9,3)*10)-144)/1000)*AL273+AM273*(J273/Basis!$E$5)^2)*0.0098)/Basis!$E$10)</f>
        <v>0</v>
      </c>
      <c r="M273" s="85"/>
      <c r="N273" s="109">
        <v>1.349</v>
      </c>
      <c r="O273" s="68"/>
      <c r="P273" s="67">
        <v>2002</v>
      </c>
      <c r="Q273" s="68"/>
      <c r="R273" s="69"/>
      <c r="S273" s="69"/>
      <c r="T273" s="69"/>
      <c r="U273" s="69"/>
      <c r="V273" s="69"/>
      <c r="W273" s="68"/>
      <c r="X273" s="70"/>
      <c r="Y273" s="70"/>
      <c r="Z273" s="70"/>
      <c r="AA273" s="70"/>
      <c r="AB273" s="70"/>
      <c r="AC273" s="68"/>
      <c r="AD273" s="71"/>
      <c r="AE273" s="71"/>
      <c r="AF273" s="71"/>
      <c r="AG273" s="71"/>
      <c r="AH273" s="71"/>
      <c r="AI273" s="68"/>
      <c r="AJ273" s="214"/>
      <c r="AK273" s="214"/>
      <c r="AL273" s="214"/>
      <c r="AM273" s="214"/>
      <c r="AN273" s="68"/>
      <c r="AO273" s="67"/>
      <c r="AP273" s="67"/>
      <c r="AQ273" s="67"/>
      <c r="AR273" s="67"/>
      <c r="AS273" s="67"/>
      <c r="AT273" s="68"/>
      <c r="AU273" s="49"/>
      <c r="AV273" s="50"/>
    </row>
    <row r="274" spans="1:48" ht="12.75" customHeight="1" x14ac:dyDescent="0.25">
      <c r="A274" s="72" t="s">
        <v>20</v>
      </c>
      <c r="B274" s="43" t="s">
        <v>4043</v>
      </c>
      <c r="C274" s="44" t="s">
        <v>3602</v>
      </c>
      <c r="D274" s="45">
        <f>MROUND(MID($C274,6,3)/Basis!$E$3,0.5)</f>
        <v>7</v>
      </c>
      <c r="E274" s="45">
        <f>MROUND(MID($C274,9,3)/Basis!$E$3,0.5)</f>
        <v>126</v>
      </c>
      <c r="F274" s="229" t="str">
        <f t="shared" si="4"/>
        <v>34</v>
      </c>
      <c r="G274" s="45">
        <f>ROUND(16.9/Basis!$E$3,1)</f>
        <v>6.7</v>
      </c>
      <c r="H274" s="120">
        <f>ROUND($P274*Basis!$E$2*((TaH-TrH)/LN(1/µ)/Basis!$E$7)^$N274*Glycol,0)</f>
        <v>7710</v>
      </c>
      <c r="I274" s="83">
        <f>ROUND(H274/(MID($C274,9,3)/Basis!$E$3/Basis!$E$9)*Basis!$E$11,0)</f>
        <v>734</v>
      </c>
      <c r="J274" s="123">
        <f>IF(Basis!$E$1=1,ROUND(H274/((TaH-TrH)*1.163)/3600,3),ROUND(H274/(500*(TaH-TrH)),2))</f>
        <v>0.77</v>
      </c>
      <c r="K274" s="84"/>
      <c r="L274" s="177">
        <f>CHOOSE(Basis!$E$1,((AJ274*(J274*3600/Basis!$E$5)^AK274*(((MID(C274,9,3)*10)-144)/1000)*AL274+AM274*(J274*3600/Basis!$E$5)^2)*0.0098)/Basis!$E$10,((AJ274*(J274/Basis!$E$5)^AK274*(((MID(C274,9,3)*10)-144)/1000)*AL274+AM274*(J274/Basis!$E$5)^2)*0.0098)/Basis!$E$10)</f>
        <v>0</v>
      </c>
      <c r="M274" s="85"/>
      <c r="N274" s="110">
        <v>1.452</v>
      </c>
      <c r="O274" s="74"/>
      <c r="P274" s="73">
        <v>3649</v>
      </c>
      <c r="Q274" s="74"/>
      <c r="R274" s="75"/>
      <c r="S274" s="75"/>
      <c r="T274" s="75"/>
      <c r="U274" s="75"/>
      <c r="V274" s="75"/>
      <c r="W274" s="74"/>
      <c r="X274" s="76"/>
      <c r="Y274" s="76"/>
      <c r="Z274" s="76"/>
      <c r="AA274" s="76"/>
      <c r="AB274" s="76"/>
      <c r="AC274" s="74"/>
      <c r="AD274" s="77"/>
      <c r="AE274" s="77"/>
      <c r="AF274" s="77"/>
      <c r="AG274" s="77"/>
      <c r="AH274" s="77"/>
      <c r="AI274" s="68"/>
      <c r="AJ274" s="213"/>
      <c r="AK274" s="213"/>
      <c r="AL274" s="213"/>
      <c r="AM274" s="213"/>
      <c r="AN274" s="74"/>
      <c r="AO274" s="73"/>
      <c r="AP274" s="73"/>
      <c r="AQ274" s="73"/>
      <c r="AR274" s="73"/>
      <c r="AS274" s="73"/>
      <c r="AT274" s="74"/>
      <c r="AU274" s="47"/>
      <c r="AV274" s="48"/>
    </row>
    <row r="275" spans="1:48" ht="12.75" customHeight="1" x14ac:dyDescent="0.25">
      <c r="A275" s="72" t="s">
        <v>20</v>
      </c>
      <c r="B275" s="43" t="s">
        <v>4043</v>
      </c>
      <c r="C275" s="44" t="s">
        <v>3603</v>
      </c>
      <c r="D275" s="45">
        <f>MROUND(MID($C275,6,3)/Basis!$E$3,0.5)</f>
        <v>7</v>
      </c>
      <c r="E275" s="45">
        <f>MROUND(MID($C275,9,3)/Basis!$E$3,0.5)</f>
        <v>134</v>
      </c>
      <c r="F275" s="229" t="str">
        <f t="shared" si="4"/>
        <v>11</v>
      </c>
      <c r="G275" s="45">
        <f>ROUND(5/Basis!$E$3,1)</f>
        <v>2</v>
      </c>
      <c r="H275" s="120">
        <f>ROUND($P275*Basis!$E$2*((TaH-TrH)/LN(1/µ)/Basis!$E$7)^$N275*Glycol,0)</f>
        <v>2986</v>
      </c>
      <c r="I275" s="83">
        <f>ROUND(H275/(MID($C275,9,3)/Basis!$E$3/Basis!$E$9)*Basis!$E$11,0)</f>
        <v>268</v>
      </c>
      <c r="J275" s="123">
        <f>IF(Basis!$E$1=1,ROUND(H275/((TaH-TrH)*1.163)/3600,3),ROUND(H275/(500*(TaH-TrH)),2))</f>
        <v>0.3</v>
      </c>
      <c r="K275" s="84"/>
      <c r="L275" s="177">
        <f>CHOOSE(Basis!$E$1,((AJ275*(J275*3600/Basis!$E$5)^AK275*(((MID(C275,9,3)*10)-144)/1000)*AL275+AM275*(J275*3600/Basis!$E$5)^2)*0.0098)/Basis!$E$10,((AJ275*(J275/Basis!$E$5)^AK275*(((MID(C275,9,3)*10)-144)/1000)*AL275+AM275*(J275/Basis!$E$5)^2)*0.0098)/Basis!$E$10)</f>
        <v>0</v>
      </c>
      <c r="M275" s="85"/>
      <c r="N275" s="110">
        <v>1.248</v>
      </c>
      <c r="O275" s="74"/>
      <c r="P275" s="73">
        <v>1321</v>
      </c>
      <c r="Q275" s="74"/>
      <c r="R275" s="75"/>
      <c r="S275" s="75"/>
      <c r="T275" s="75"/>
      <c r="U275" s="75"/>
      <c r="V275" s="75"/>
      <c r="W275" s="74"/>
      <c r="X275" s="76"/>
      <c r="Y275" s="76"/>
      <c r="Z275" s="76"/>
      <c r="AA275" s="76"/>
      <c r="AB275" s="76"/>
      <c r="AC275" s="74"/>
      <c r="AD275" s="77"/>
      <c r="AE275" s="77"/>
      <c r="AF275" s="77"/>
      <c r="AG275" s="77"/>
      <c r="AH275" s="77"/>
      <c r="AI275" s="68"/>
      <c r="AJ275" s="213"/>
      <c r="AK275" s="213"/>
      <c r="AL275" s="213"/>
      <c r="AM275" s="213"/>
      <c r="AN275" s="74"/>
      <c r="AO275" s="73"/>
      <c r="AP275" s="73"/>
      <c r="AQ275" s="73"/>
      <c r="AR275" s="73"/>
      <c r="AS275" s="73"/>
      <c r="AT275" s="74"/>
      <c r="AU275" s="47"/>
      <c r="AV275" s="48"/>
    </row>
    <row r="276" spans="1:48" ht="12.75" customHeight="1" x14ac:dyDescent="0.25">
      <c r="A276" s="72" t="s">
        <v>20</v>
      </c>
      <c r="B276" s="43" t="s">
        <v>4043</v>
      </c>
      <c r="C276" s="44" t="s">
        <v>3604</v>
      </c>
      <c r="D276" s="45">
        <f>MROUND(MID($C276,6,3)/Basis!$E$3,0.5)</f>
        <v>7</v>
      </c>
      <c r="E276" s="45">
        <f>MROUND(MID($C276,9,3)/Basis!$E$3,0.5)</f>
        <v>134</v>
      </c>
      <c r="F276" s="229" t="str">
        <f t="shared" si="4"/>
        <v>22</v>
      </c>
      <c r="G276" s="45">
        <f>ROUND(9/Basis!$E$3,1)</f>
        <v>3.5</v>
      </c>
      <c r="H276" s="120">
        <f>ROUND($P276*Basis!$E$2*((TaH-TrH)/LN(1/µ)/Basis!$E$7)^$N276*Glycol,0)</f>
        <v>4652</v>
      </c>
      <c r="I276" s="83">
        <f>ROUND(H276/(MID($C276,9,3)/Basis!$E$3/Basis!$E$9)*Basis!$E$11,0)</f>
        <v>417</v>
      </c>
      <c r="J276" s="123">
        <f>IF(Basis!$E$1=1,ROUND(H276/((TaH-TrH)*1.163)/3600,3),ROUND(H276/(500*(TaH-TrH)),2))</f>
        <v>0.47</v>
      </c>
      <c r="K276" s="84"/>
      <c r="L276" s="177">
        <f>CHOOSE(Basis!$E$1,((AJ276*(J276*3600/Basis!$E$5)^AK276*(((MID(C276,9,3)*10)-144)/1000)*AL276+AM276*(J276*3600/Basis!$E$5)^2)*0.0098)/Basis!$E$10,((AJ276*(J276/Basis!$E$5)^AK276*(((MID(C276,9,3)*10)-144)/1000)*AL276+AM276*(J276/Basis!$E$5)^2)*0.0098)/Basis!$E$10)</f>
        <v>0</v>
      </c>
      <c r="M276" s="85"/>
      <c r="N276" s="109">
        <v>1.349</v>
      </c>
      <c r="O276" s="68"/>
      <c r="P276" s="67">
        <v>2128</v>
      </c>
      <c r="Q276" s="68"/>
      <c r="R276" s="69"/>
      <c r="S276" s="69"/>
      <c r="T276" s="69"/>
      <c r="U276" s="69"/>
      <c r="V276" s="69"/>
      <c r="W276" s="68"/>
      <c r="X276" s="70"/>
      <c r="Y276" s="70"/>
      <c r="Z276" s="70"/>
      <c r="AA276" s="70"/>
      <c r="AB276" s="70"/>
      <c r="AC276" s="68"/>
      <c r="AD276" s="71"/>
      <c r="AE276" s="71"/>
      <c r="AF276" s="71"/>
      <c r="AG276" s="71"/>
      <c r="AH276" s="71"/>
      <c r="AI276" s="68"/>
      <c r="AJ276" s="214"/>
      <c r="AK276" s="214"/>
      <c r="AL276" s="214"/>
      <c r="AM276" s="214"/>
      <c r="AN276" s="68"/>
      <c r="AO276" s="67"/>
      <c r="AP276" s="67"/>
      <c r="AQ276" s="67"/>
      <c r="AR276" s="67"/>
      <c r="AS276" s="67"/>
      <c r="AT276" s="68"/>
      <c r="AU276" s="49"/>
      <c r="AV276" s="50"/>
    </row>
    <row r="277" spans="1:48" ht="12.75" customHeight="1" x14ac:dyDescent="0.25">
      <c r="A277" s="72" t="s">
        <v>20</v>
      </c>
      <c r="B277" s="43" t="s">
        <v>4043</v>
      </c>
      <c r="C277" s="44" t="s">
        <v>3605</v>
      </c>
      <c r="D277" s="45">
        <f>MROUND(MID($C277,6,3)/Basis!$E$3,0.5)</f>
        <v>7</v>
      </c>
      <c r="E277" s="45">
        <f>MROUND(MID($C277,9,3)/Basis!$E$3,0.5)</f>
        <v>134</v>
      </c>
      <c r="F277" s="229" t="str">
        <f t="shared" si="4"/>
        <v>34</v>
      </c>
      <c r="G277" s="45">
        <f>ROUND(16.9/Basis!$E$3,1)</f>
        <v>6.7</v>
      </c>
      <c r="H277" s="120">
        <f>ROUND($P277*Basis!$E$2*((TaH-TrH)/LN(1/µ)/Basis!$E$7)^$N277*Glycol,0)</f>
        <v>8192</v>
      </c>
      <c r="I277" s="83">
        <f>ROUND(H277/(MID($C277,9,3)/Basis!$E$3/Basis!$E$9)*Basis!$E$11,0)</f>
        <v>734</v>
      </c>
      <c r="J277" s="123">
        <f>IF(Basis!$E$1=1,ROUND(H277/((TaH-TrH)*1.163)/3600,3),ROUND(H277/(500*(TaH-TrH)),2))</f>
        <v>0.82</v>
      </c>
      <c r="K277" s="84"/>
      <c r="L277" s="177">
        <f>CHOOSE(Basis!$E$1,((AJ277*(J277*3600/Basis!$E$5)^AK277*(((MID(C277,9,3)*10)-144)/1000)*AL277+AM277*(J277*3600/Basis!$E$5)^2)*0.0098)/Basis!$E$10,((AJ277*(J277/Basis!$E$5)^AK277*(((MID(C277,9,3)*10)-144)/1000)*AL277+AM277*(J277/Basis!$E$5)^2)*0.0098)/Basis!$E$10)</f>
        <v>0</v>
      </c>
      <c r="M277" s="85"/>
      <c r="N277" s="110">
        <v>1.452</v>
      </c>
      <c r="O277" s="74"/>
      <c r="P277" s="73">
        <v>3877</v>
      </c>
      <c r="Q277" s="74"/>
      <c r="R277" s="75"/>
      <c r="S277" s="75"/>
      <c r="T277" s="75"/>
      <c r="U277" s="75"/>
      <c r="V277" s="75"/>
      <c r="W277" s="74"/>
      <c r="X277" s="76"/>
      <c r="Y277" s="76"/>
      <c r="Z277" s="76"/>
      <c r="AA277" s="76"/>
      <c r="AB277" s="76"/>
      <c r="AC277" s="74"/>
      <c r="AD277" s="77"/>
      <c r="AE277" s="77"/>
      <c r="AF277" s="77"/>
      <c r="AG277" s="77"/>
      <c r="AH277" s="77"/>
      <c r="AI277" s="68"/>
      <c r="AJ277" s="213"/>
      <c r="AK277" s="213"/>
      <c r="AL277" s="213"/>
      <c r="AM277" s="213"/>
      <c r="AN277" s="74"/>
      <c r="AO277" s="73"/>
      <c r="AP277" s="73"/>
      <c r="AQ277" s="73"/>
      <c r="AR277" s="73"/>
      <c r="AS277" s="73"/>
      <c r="AT277" s="74"/>
      <c r="AU277" s="47"/>
      <c r="AV277" s="48"/>
    </row>
    <row r="278" spans="1:48" ht="12.75" customHeight="1" x14ac:dyDescent="0.25">
      <c r="A278" s="72" t="s">
        <v>20</v>
      </c>
      <c r="B278" s="43" t="s">
        <v>4043</v>
      </c>
      <c r="C278" s="44" t="s">
        <v>3606</v>
      </c>
      <c r="D278" s="45">
        <f>MROUND(MID($C278,6,3)/Basis!$E$3,0.5)</f>
        <v>7</v>
      </c>
      <c r="E278" s="45">
        <f>MROUND(MID($C278,9,3)/Basis!$E$3,0.5)</f>
        <v>141.5</v>
      </c>
      <c r="F278" s="229" t="str">
        <f t="shared" si="4"/>
        <v>11</v>
      </c>
      <c r="G278" s="45">
        <f>ROUND(5/Basis!$E$3,1)</f>
        <v>2</v>
      </c>
      <c r="H278" s="120">
        <f>ROUND($P278*Basis!$E$2*((TaH-TrH)/LN(1/µ)/Basis!$E$7)^$N278*Glycol,0)</f>
        <v>3162</v>
      </c>
      <c r="I278" s="83">
        <f>ROUND(H278/(MID($C278,9,3)/Basis!$E$3/Basis!$E$9)*Basis!$E$11,0)</f>
        <v>268</v>
      </c>
      <c r="J278" s="123">
        <f>IF(Basis!$E$1=1,ROUND(H278/((TaH-TrH)*1.163)/3600,3),ROUND(H278/(500*(TaH-TrH)),2))</f>
        <v>0.32</v>
      </c>
      <c r="K278" s="84"/>
      <c r="L278" s="177">
        <f>CHOOSE(Basis!$E$1,((AJ278*(J278*3600/Basis!$E$5)^AK278*(((MID(C278,9,3)*10)-144)/1000)*AL278+AM278*(J278*3600/Basis!$E$5)^2)*0.0098)/Basis!$E$10,((AJ278*(J278/Basis!$E$5)^AK278*(((MID(C278,9,3)*10)-144)/1000)*AL278+AM278*(J278/Basis!$E$5)^2)*0.0098)/Basis!$E$10)</f>
        <v>0</v>
      </c>
      <c r="M278" s="85"/>
      <c r="N278" s="109">
        <v>1.248</v>
      </c>
      <c r="O278" s="68"/>
      <c r="P278" s="67">
        <v>1399</v>
      </c>
      <c r="Q278" s="68"/>
      <c r="R278" s="69"/>
      <c r="S278" s="69"/>
      <c r="T278" s="69"/>
      <c r="U278" s="69"/>
      <c r="V278" s="69"/>
      <c r="W278" s="68"/>
      <c r="X278" s="70"/>
      <c r="Y278" s="70"/>
      <c r="Z278" s="70"/>
      <c r="AA278" s="70"/>
      <c r="AB278" s="70"/>
      <c r="AC278" s="68"/>
      <c r="AD278" s="71"/>
      <c r="AE278" s="71"/>
      <c r="AF278" s="71"/>
      <c r="AG278" s="71"/>
      <c r="AH278" s="71"/>
      <c r="AI278" s="68"/>
      <c r="AJ278" s="214"/>
      <c r="AK278" s="214"/>
      <c r="AL278" s="214"/>
      <c r="AM278" s="214"/>
      <c r="AN278" s="68"/>
      <c r="AO278" s="67"/>
      <c r="AP278" s="67"/>
      <c r="AQ278" s="67"/>
      <c r="AR278" s="67"/>
      <c r="AS278" s="67"/>
      <c r="AT278" s="68"/>
      <c r="AU278" s="49"/>
      <c r="AV278" s="50"/>
    </row>
    <row r="279" spans="1:48" ht="12.75" customHeight="1" x14ac:dyDescent="0.25">
      <c r="A279" s="72" t="s">
        <v>20</v>
      </c>
      <c r="B279" s="43" t="s">
        <v>4043</v>
      </c>
      <c r="C279" s="44" t="s">
        <v>3607</v>
      </c>
      <c r="D279" s="45">
        <f>MROUND(MID($C279,6,3)/Basis!$E$3,0.5)</f>
        <v>7</v>
      </c>
      <c r="E279" s="45">
        <f>MROUND(MID($C279,9,3)/Basis!$E$3,0.5)</f>
        <v>141.5</v>
      </c>
      <c r="F279" s="229" t="str">
        <f t="shared" si="4"/>
        <v>22</v>
      </c>
      <c r="G279" s="45">
        <f>ROUND(9/Basis!$E$3,1)</f>
        <v>3.5</v>
      </c>
      <c r="H279" s="120">
        <f>ROUND($P279*Basis!$E$2*((TaH-TrH)/LN(1/µ)/Basis!$E$7)^$N279*Glycol,0)</f>
        <v>4925</v>
      </c>
      <c r="I279" s="83">
        <f>ROUND(H279/(MID($C279,9,3)/Basis!$E$3/Basis!$E$9)*Basis!$E$11,0)</f>
        <v>417</v>
      </c>
      <c r="J279" s="123">
        <f>IF(Basis!$E$1=1,ROUND(H279/((TaH-TrH)*1.163)/3600,3),ROUND(H279/(500*(TaH-TrH)),2))</f>
        <v>0.49</v>
      </c>
      <c r="K279" s="84"/>
      <c r="L279" s="177">
        <f>CHOOSE(Basis!$E$1,((AJ279*(J279*3600/Basis!$E$5)^AK279*(((MID(C279,9,3)*10)-144)/1000)*AL279+AM279*(J279*3600/Basis!$E$5)^2)*0.0098)/Basis!$E$10,((AJ279*(J279/Basis!$E$5)^AK279*(((MID(C279,9,3)*10)-144)/1000)*AL279+AM279*(J279/Basis!$E$5)^2)*0.0098)/Basis!$E$10)</f>
        <v>0</v>
      </c>
      <c r="M279" s="85"/>
      <c r="N279" s="110">
        <v>1.349</v>
      </c>
      <c r="O279" s="74"/>
      <c r="P279" s="73">
        <v>2253</v>
      </c>
      <c r="Q279" s="74"/>
      <c r="R279" s="75"/>
      <c r="S279" s="75"/>
      <c r="T279" s="75"/>
      <c r="U279" s="75"/>
      <c r="V279" s="75"/>
      <c r="W279" s="74"/>
      <c r="X279" s="76"/>
      <c r="Y279" s="76"/>
      <c r="Z279" s="76"/>
      <c r="AA279" s="76"/>
      <c r="AB279" s="76"/>
      <c r="AC279" s="74"/>
      <c r="AD279" s="77"/>
      <c r="AE279" s="77"/>
      <c r="AF279" s="77"/>
      <c r="AG279" s="77"/>
      <c r="AH279" s="77"/>
      <c r="AI279" s="68"/>
      <c r="AJ279" s="213"/>
      <c r="AK279" s="213"/>
      <c r="AL279" s="213"/>
      <c r="AM279" s="213"/>
      <c r="AN279" s="74"/>
      <c r="AO279" s="73"/>
      <c r="AP279" s="73"/>
      <c r="AQ279" s="73"/>
      <c r="AR279" s="73"/>
      <c r="AS279" s="73"/>
      <c r="AT279" s="74"/>
      <c r="AU279" s="47"/>
      <c r="AV279" s="48"/>
    </row>
    <row r="280" spans="1:48" ht="12.75" customHeight="1" x14ac:dyDescent="0.25">
      <c r="A280" s="72" t="s">
        <v>20</v>
      </c>
      <c r="B280" s="43" t="s">
        <v>4043</v>
      </c>
      <c r="C280" s="44" t="s">
        <v>3608</v>
      </c>
      <c r="D280" s="45">
        <f>MROUND(MID($C280,6,3)/Basis!$E$3,0.5)</f>
        <v>7</v>
      </c>
      <c r="E280" s="45">
        <f>MROUND(MID($C280,9,3)/Basis!$E$3,0.5)</f>
        <v>141.5</v>
      </c>
      <c r="F280" s="229" t="str">
        <f t="shared" si="4"/>
        <v>34</v>
      </c>
      <c r="G280" s="45">
        <f>ROUND(16.9/Basis!$E$3,1)</f>
        <v>6.7</v>
      </c>
      <c r="H280" s="120">
        <f>ROUND($P280*Basis!$E$2*((TaH-TrH)/LN(1/µ)/Basis!$E$7)^$N280*Glycol,0)</f>
        <v>8676</v>
      </c>
      <c r="I280" s="83">
        <f>ROUND(H280/(MID($C280,9,3)/Basis!$E$3/Basis!$E$9)*Basis!$E$11,0)</f>
        <v>735</v>
      </c>
      <c r="J280" s="123">
        <f>IF(Basis!$E$1=1,ROUND(H280/((TaH-TrH)*1.163)/3600,3),ROUND(H280/(500*(TaH-TrH)),2))</f>
        <v>0.87</v>
      </c>
      <c r="K280" s="84"/>
      <c r="L280" s="177">
        <f>CHOOSE(Basis!$E$1,((AJ280*(J280*3600/Basis!$E$5)^AK280*(((MID(C280,9,3)*10)-144)/1000)*AL280+AM280*(J280*3600/Basis!$E$5)^2)*0.0098)/Basis!$E$10,((AJ280*(J280/Basis!$E$5)^AK280*(((MID(C280,9,3)*10)-144)/1000)*AL280+AM280*(J280/Basis!$E$5)^2)*0.0098)/Basis!$E$10)</f>
        <v>0</v>
      </c>
      <c r="M280" s="85"/>
      <c r="N280" s="109">
        <v>1.452</v>
      </c>
      <c r="O280" s="68"/>
      <c r="P280" s="67">
        <v>4106</v>
      </c>
      <c r="Q280" s="68"/>
      <c r="R280" s="69"/>
      <c r="S280" s="69"/>
      <c r="T280" s="69"/>
      <c r="U280" s="69"/>
      <c r="V280" s="69"/>
      <c r="W280" s="68"/>
      <c r="X280" s="70"/>
      <c r="Y280" s="70"/>
      <c r="Z280" s="70"/>
      <c r="AA280" s="70"/>
      <c r="AB280" s="70"/>
      <c r="AC280" s="68"/>
      <c r="AD280" s="71"/>
      <c r="AE280" s="71"/>
      <c r="AF280" s="71"/>
      <c r="AG280" s="71"/>
      <c r="AH280" s="71"/>
      <c r="AI280" s="68"/>
      <c r="AJ280" s="214"/>
      <c r="AK280" s="214"/>
      <c r="AL280" s="214"/>
      <c r="AM280" s="214"/>
      <c r="AN280" s="68"/>
      <c r="AO280" s="67"/>
      <c r="AP280" s="67"/>
      <c r="AQ280" s="67"/>
      <c r="AR280" s="67"/>
      <c r="AS280" s="67"/>
      <c r="AT280" s="68"/>
      <c r="AU280" s="49"/>
      <c r="AV280" s="50"/>
    </row>
    <row r="281" spans="1:48" ht="12.75" customHeight="1" x14ac:dyDescent="0.25">
      <c r="A281" s="72" t="s">
        <v>20</v>
      </c>
      <c r="B281" s="43" t="s">
        <v>4043</v>
      </c>
      <c r="C281" s="44" t="s">
        <v>3609</v>
      </c>
      <c r="D281" s="45">
        <f>MROUND(MID($C281,6,3)/Basis!$E$3,0.5)</f>
        <v>7</v>
      </c>
      <c r="E281" s="45">
        <f>MROUND(MID($C281,9,3)/Basis!$E$3,0.5)</f>
        <v>149.5</v>
      </c>
      <c r="F281" s="229" t="str">
        <f t="shared" si="4"/>
        <v>11</v>
      </c>
      <c r="G281" s="45">
        <f>ROUND(5/Basis!$E$3,1)</f>
        <v>2</v>
      </c>
      <c r="H281" s="120">
        <f>ROUND($P281*Basis!$E$2*((TaH-TrH)/LN(1/µ)/Basis!$E$7)^$N281*Glycol,0)</f>
        <v>3336</v>
      </c>
      <c r="I281" s="83">
        <f>ROUND(H281/(MID($C281,9,3)/Basis!$E$3/Basis!$E$9)*Basis!$E$11,0)</f>
        <v>268</v>
      </c>
      <c r="J281" s="123">
        <f>IF(Basis!$E$1=1,ROUND(H281/((TaH-TrH)*1.163)/3600,3),ROUND(H281/(500*(TaH-TrH)),2))</f>
        <v>0.33</v>
      </c>
      <c r="K281" s="84"/>
      <c r="L281" s="177">
        <f>CHOOSE(Basis!$E$1,((AJ281*(J281*3600/Basis!$E$5)^AK281*(((MID(C281,9,3)*10)-144)/1000)*AL281+AM281*(J281*3600/Basis!$E$5)^2)*0.0098)/Basis!$E$10,((AJ281*(J281/Basis!$E$5)^AK281*(((MID(C281,9,3)*10)-144)/1000)*AL281+AM281*(J281/Basis!$E$5)^2)*0.0098)/Basis!$E$10)</f>
        <v>0</v>
      </c>
      <c r="M281" s="85"/>
      <c r="N281" s="110">
        <v>1.248</v>
      </c>
      <c r="O281" s="74"/>
      <c r="P281" s="73">
        <v>1476</v>
      </c>
      <c r="Q281" s="74"/>
      <c r="R281" s="75"/>
      <c r="S281" s="75"/>
      <c r="T281" s="75"/>
      <c r="U281" s="75"/>
      <c r="V281" s="75"/>
      <c r="W281" s="74"/>
      <c r="X281" s="76"/>
      <c r="Y281" s="76"/>
      <c r="Z281" s="76"/>
      <c r="AA281" s="76"/>
      <c r="AB281" s="76"/>
      <c r="AC281" s="74"/>
      <c r="AD281" s="77"/>
      <c r="AE281" s="77"/>
      <c r="AF281" s="77"/>
      <c r="AG281" s="77"/>
      <c r="AH281" s="77"/>
      <c r="AI281" s="68"/>
      <c r="AJ281" s="213"/>
      <c r="AK281" s="213"/>
      <c r="AL281" s="213"/>
      <c r="AM281" s="213"/>
      <c r="AN281" s="74"/>
      <c r="AO281" s="73"/>
      <c r="AP281" s="73"/>
      <c r="AQ281" s="73"/>
      <c r="AR281" s="73"/>
      <c r="AS281" s="73"/>
      <c r="AT281" s="74"/>
      <c r="AU281" s="47"/>
      <c r="AV281" s="48"/>
    </row>
    <row r="282" spans="1:48" ht="12.75" customHeight="1" x14ac:dyDescent="0.25">
      <c r="A282" s="72" t="s">
        <v>20</v>
      </c>
      <c r="B282" s="43" t="s">
        <v>4043</v>
      </c>
      <c r="C282" s="44" t="s">
        <v>3610</v>
      </c>
      <c r="D282" s="45">
        <f>MROUND(MID($C282,6,3)/Basis!$E$3,0.5)</f>
        <v>7</v>
      </c>
      <c r="E282" s="45">
        <f>MROUND(MID($C282,9,3)/Basis!$E$3,0.5)</f>
        <v>149.5</v>
      </c>
      <c r="F282" s="229" t="str">
        <f t="shared" si="4"/>
        <v>22</v>
      </c>
      <c r="G282" s="45">
        <f>ROUND(9/Basis!$E$3,1)</f>
        <v>3.5</v>
      </c>
      <c r="H282" s="120">
        <f>ROUND($P282*Basis!$E$2*((TaH-TrH)/LN(1/µ)/Basis!$E$7)^$N282*Glycol,0)</f>
        <v>5198</v>
      </c>
      <c r="I282" s="83">
        <f>ROUND(H282/(MID($C282,9,3)/Basis!$E$3/Basis!$E$9)*Basis!$E$11,0)</f>
        <v>417</v>
      </c>
      <c r="J282" s="123">
        <f>IF(Basis!$E$1=1,ROUND(H282/((TaH-TrH)*1.163)/3600,3),ROUND(H282/(500*(TaH-TrH)),2))</f>
        <v>0.52</v>
      </c>
      <c r="K282" s="84"/>
      <c r="L282" s="177">
        <f>CHOOSE(Basis!$E$1,((AJ282*(J282*3600/Basis!$E$5)^AK282*(((MID(C282,9,3)*10)-144)/1000)*AL282+AM282*(J282*3600/Basis!$E$5)^2)*0.0098)/Basis!$E$10,((AJ282*(J282/Basis!$E$5)^AK282*(((MID(C282,9,3)*10)-144)/1000)*AL282+AM282*(J282/Basis!$E$5)^2)*0.0098)/Basis!$E$10)</f>
        <v>0</v>
      </c>
      <c r="M282" s="85"/>
      <c r="N282" s="109">
        <v>1.349</v>
      </c>
      <c r="O282" s="68"/>
      <c r="P282" s="67">
        <v>2378</v>
      </c>
      <c r="Q282" s="68"/>
      <c r="R282" s="69"/>
      <c r="S282" s="69"/>
      <c r="T282" s="69"/>
      <c r="U282" s="69"/>
      <c r="V282" s="69"/>
      <c r="W282" s="68"/>
      <c r="X282" s="70"/>
      <c r="Y282" s="70"/>
      <c r="Z282" s="70"/>
      <c r="AA282" s="70"/>
      <c r="AB282" s="70"/>
      <c r="AC282" s="68"/>
      <c r="AD282" s="71"/>
      <c r="AE282" s="71"/>
      <c r="AF282" s="71"/>
      <c r="AG282" s="71"/>
      <c r="AH282" s="71"/>
      <c r="AI282" s="68"/>
      <c r="AJ282" s="214"/>
      <c r="AK282" s="214"/>
      <c r="AL282" s="214"/>
      <c r="AM282" s="214"/>
      <c r="AN282" s="68"/>
      <c r="AO282" s="67"/>
      <c r="AP282" s="67"/>
      <c r="AQ282" s="67"/>
      <c r="AR282" s="67"/>
      <c r="AS282" s="67"/>
      <c r="AT282" s="68"/>
      <c r="AU282" s="49"/>
      <c r="AV282" s="50"/>
    </row>
    <row r="283" spans="1:48" ht="12.75" customHeight="1" x14ac:dyDescent="0.25">
      <c r="A283" s="72" t="s">
        <v>20</v>
      </c>
      <c r="B283" s="43" t="s">
        <v>4043</v>
      </c>
      <c r="C283" s="44" t="s">
        <v>3611</v>
      </c>
      <c r="D283" s="45">
        <f>MROUND(MID($C283,6,3)/Basis!$E$3,0.5)</f>
        <v>7</v>
      </c>
      <c r="E283" s="45">
        <f>MROUND(MID($C283,9,3)/Basis!$E$3,0.5)</f>
        <v>149.5</v>
      </c>
      <c r="F283" s="229" t="str">
        <f t="shared" si="4"/>
        <v>34</v>
      </c>
      <c r="G283" s="45">
        <f>ROUND(16.9/Basis!$E$3,1)</f>
        <v>6.7</v>
      </c>
      <c r="H283" s="120">
        <f>ROUND($P283*Basis!$E$2*((TaH-TrH)/LN(1/µ)/Basis!$E$7)^$N283*Glycol,0)</f>
        <v>9158</v>
      </c>
      <c r="I283" s="83">
        <f>ROUND(H283/(MID($C283,9,3)/Basis!$E$3/Basis!$E$9)*Basis!$E$11,0)</f>
        <v>735</v>
      </c>
      <c r="J283" s="123">
        <f>IF(Basis!$E$1=1,ROUND(H283/((TaH-TrH)*1.163)/3600,3),ROUND(H283/(500*(TaH-TrH)),2))</f>
        <v>0.92</v>
      </c>
      <c r="K283" s="84"/>
      <c r="L283" s="177">
        <f>CHOOSE(Basis!$E$1,((AJ283*(J283*3600/Basis!$E$5)^AK283*(((MID(C283,9,3)*10)-144)/1000)*AL283+AM283*(J283*3600/Basis!$E$5)^2)*0.0098)/Basis!$E$10,((AJ283*(J283/Basis!$E$5)^AK283*(((MID(C283,9,3)*10)-144)/1000)*AL283+AM283*(J283/Basis!$E$5)^2)*0.0098)/Basis!$E$10)</f>
        <v>0</v>
      </c>
      <c r="M283" s="85"/>
      <c r="N283" s="110">
        <v>1.452</v>
      </c>
      <c r="O283" s="74"/>
      <c r="P283" s="73">
        <v>4334</v>
      </c>
      <c r="Q283" s="74"/>
      <c r="R283" s="75"/>
      <c r="S283" s="75"/>
      <c r="T283" s="75"/>
      <c r="U283" s="75"/>
      <c r="V283" s="75"/>
      <c r="W283" s="74"/>
      <c r="X283" s="76"/>
      <c r="Y283" s="76"/>
      <c r="Z283" s="76"/>
      <c r="AA283" s="76"/>
      <c r="AB283" s="76"/>
      <c r="AC283" s="74"/>
      <c r="AD283" s="77"/>
      <c r="AE283" s="77"/>
      <c r="AF283" s="77"/>
      <c r="AG283" s="77"/>
      <c r="AH283" s="77"/>
      <c r="AI283" s="68"/>
      <c r="AJ283" s="213"/>
      <c r="AK283" s="213"/>
      <c r="AL283" s="213"/>
      <c r="AM283" s="213"/>
      <c r="AN283" s="74"/>
      <c r="AO283" s="73"/>
      <c r="AP283" s="73"/>
      <c r="AQ283" s="73"/>
      <c r="AR283" s="73"/>
      <c r="AS283" s="73"/>
      <c r="AT283" s="74"/>
      <c r="AU283" s="47"/>
      <c r="AV283" s="48"/>
    </row>
    <row r="284" spans="1:48" ht="12.75" customHeight="1" x14ac:dyDescent="0.25">
      <c r="A284" s="72" t="s">
        <v>20</v>
      </c>
      <c r="B284" s="43" t="s">
        <v>4043</v>
      </c>
      <c r="C284" s="44" t="s">
        <v>3612</v>
      </c>
      <c r="D284" s="45">
        <f>MROUND(MID($C284,6,3)/Basis!$E$3,0.5)</f>
        <v>7</v>
      </c>
      <c r="E284" s="45">
        <f>MROUND(MID($C284,9,3)/Basis!$E$3,0.5)</f>
        <v>165.5</v>
      </c>
      <c r="F284" s="229" t="str">
        <f t="shared" si="4"/>
        <v>11</v>
      </c>
      <c r="G284" s="45">
        <f>ROUND(5/Basis!$E$3,1)</f>
        <v>2</v>
      </c>
      <c r="H284" s="120">
        <f>ROUND($P284*Basis!$E$2*((TaH-TrH)/LN(1/µ)/Basis!$E$7)^$N284*Glycol,0)</f>
        <v>3689</v>
      </c>
      <c r="I284" s="83">
        <f>ROUND(H284/(MID($C284,9,3)/Basis!$E$3/Basis!$E$9)*Basis!$E$11,0)</f>
        <v>268</v>
      </c>
      <c r="J284" s="123">
        <f>IF(Basis!$E$1=1,ROUND(H284/((TaH-TrH)*1.163)/3600,3),ROUND(H284/(500*(TaH-TrH)),2))</f>
        <v>0.37</v>
      </c>
      <c r="K284" s="84"/>
      <c r="L284" s="177">
        <f>CHOOSE(Basis!$E$1,((AJ284*(J284*3600/Basis!$E$5)^AK284*(((MID(C284,9,3)*10)-144)/1000)*AL284+AM284*(J284*3600/Basis!$E$5)^2)*0.0098)/Basis!$E$10,((AJ284*(J284/Basis!$E$5)^AK284*(((MID(C284,9,3)*10)-144)/1000)*AL284+AM284*(J284/Basis!$E$5)^2)*0.0098)/Basis!$E$10)</f>
        <v>0</v>
      </c>
      <c r="M284" s="85"/>
      <c r="N284" s="109">
        <v>1.248</v>
      </c>
      <c r="O284" s="68"/>
      <c r="P284" s="67">
        <v>1632</v>
      </c>
      <c r="Q284" s="68"/>
      <c r="R284" s="69"/>
      <c r="S284" s="69"/>
      <c r="T284" s="69"/>
      <c r="U284" s="69"/>
      <c r="V284" s="69"/>
      <c r="W284" s="68"/>
      <c r="X284" s="70"/>
      <c r="Y284" s="70"/>
      <c r="Z284" s="70"/>
      <c r="AA284" s="70"/>
      <c r="AB284" s="70"/>
      <c r="AC284" s="68"/>
      <c r="AD284" s="71"/>
      <c r="AE284" s="71"/>
      <c r="AF284" s="71"/>
      <c r="AG284" s="71"/>
      <c r="AH284" s="71"/>
      <c r="AI284" s="68"/>
      <c r="AJ284" s="214"/>
      <c r="AK284" s="214"/>
      <c r="AL284" s="214"/>
      <c r="AM284" s="214"/>
      <c r="AN284" s="68"/>
      <c r="AO284" s="67"/>
      <c r="AP284" s="67"/>
      <c r="AQ284" s="67"/>
      <c r="AR284" s="67"/>
      <c r="AS284" s="67"/>
      <c r="AT284" s="68"/>
      <c r="AU284" s="49"/>
      <c r="AV284" s="50"/>
    </row>
    <row r="285" spans="1:48" ht="12.75" customHeight="1" x14ac:dyDescent="0.25">
      <c r="A285" s="72" t="s">
        <v>20</v>
      </c>
      <c r="B285" s="43" t="s">
        <v>4043</v>
      </c>
      <c r="C285" s="44" t="s">
        <v>3613</v>
      </c>
      <c r="D285" s="45">
        <f>MROUND(MID($C285,6,3)/Basis!$E$3,0.5)</f>
        <v>7</v>
      </c>
      <c r="E285" s="45">
        <f>MROUND(MID($C285,9,3)/Basis!$E$3,0.5)</f>
        <v>165.5</v>
      </c>
      <c r="F285" s="229" t="str">
        <f t="shared" si="4"/>
        <v>22</v>
      </c>
      <c r="G285" s="45">
        <f>ROUND(9/Basis!$E$3,1)</f>
        <v>3.5</v>
      </c>
      <c r="H285" s="120">
        <f>ROUND($P285*Basis!$E$2*((TaH-TrH)/LN(1/µ)/Basis!$E$7)^$N285*Glycol,0)</f>
        <v>5745</v>
      </c>
      <c r="I285" s="83">
        <f>ROUND(H285/(MID($C285,9,3)/Basis!$E$3/Basis!$E$9)*Basis!$E$11,0)</f>
        <v>417</v>
      </c>
      <c r="J285" s="123">
        <f>IF(Basis!$E$1=1,ROUND(H285/((TaH-TrH)*1.163)/3600,3),ROUND(H285/(500*(TaH-TrH)),2))</f>
        <v>0.56999999999999995</v>
      </c>
      <c r="K285" s="84"/>
      <c r="L285" s="177">
        <f>CHOOSE(Basis!$E$1,((AJ285*(J285*3600/Basis!$E$5)^AK285*(((MID(C285,9,3)*10)-144)/1000)*AL285+AM285*(J285*3600/Basis!$E$5)^2)*0.0098)/Basis!$E$10,((AJ285*(J285/Basis!$E$5)^AK285*(((MID(C285,9,3)*10)-144)/1000)*AL285+AM285*(J285/Basis!$E$5)^2)*0.0098)/Basis!$E$10)</f>
        <v>0</v>
      </c>
      <c r="M285" s="85"/>
      <c r="N285" s="110">
        <v>1.349</v>
      </c>
      <c r="O285" s="74"/>
      <c r="P285" s="73">
        <v>2628</v>
      </c>
      <c r="Q285" s="74"/>
      <c r="R285" s="75"/>
      <c r="S285" s="75"/>
      <c r="T285" s="75"/>
      <c r="U285" s="75"/>
      <c r="V285" s="75"/>
      <c r="W285" s="74"/>
      <c r="X285" s="76"/>
      <c r="Y285" s="76"/>
      <c r="Z285" s="76"/>
      <c r="AA285" s="76"/>
      <c r="AB285" s="76"/>
      <c r="AC285" s="74"/>
      <c r="AD285" s="77"/>
      <c r="AE285" s="77"/>
      <c r="AF285" s="77"/>
      <c r="AG285" s="77"/>
      <c r="AH285" s="77"/>
      <c r="AI285" s="68"/>
      <c r="AJ285" s="213"/>
      <c r="AK285" s="213"/>
      <c r="AL285" s="213"/>
      <c r="AM285" s="213"/>
      <c r="AN285" s="74"/>
      <c r="AO285" s="73"/>
      <c r="AP285" s="73"/>
      <c r="AQ285" s="73"/>
      <c r="AR285" s="73"/>
      <c r="AS285" s="73"/>
      <c r="AT285" s="74"/>
      <c r="AU285" s="47"/>
      <c r="AV285" s="48"/>
    </row>
    <row r="286" spans="1:48" ht="12.75" customHeight="1" x14ac:dyDescent="0.25">
      <c r="A286" s="72" t="s">
        <v>20</v>
      </c>
      <c r="B286" s="43" t="s">
        <v>4043</v>
      </c>
      <c r="C286" s="44" t="s">
        <v>3614</v>
      </c>
      <c r="D286" s="45">
        <f>MROUND(MID($C286,6,3)/Basis!$E$3,0.5)</f>
        <v>7</v>
      </c>
      <c r="E286" s="45">
        <f>MROUND(MID($C286,9,3)/Basis!$E$3,0.5)</f>
        <v>165.5</v>
      </c>
      <c r="F286" s="229" t="str">
        <f t="shared" si="4"/>
        <v>34</v>
      </c>
      <c r="G286" s="45">
        <f>ROUND(16.9/Basis!$E$3,1)</f>
        <v>6.7</v>
      </c>
      <c r="H286" s="120">
        <f>ROUND($P286*Basis!$E$2*((TaH-TrH)/LN(1/µ)/Basis!$E$7)^$N286*Glycol,0)</f>
        <v>10121</v>
      </c>
      <c r="I286" s="83">
        <f>ROUND(H286/(MID($C286,9,3)/Basis!$E$3/Basis!$E$9)*Basis!$E$11,0)</f>
        <v>734</v>
      </c>
      <c r="J286" s="123">
        <f>IF(Basis!$E$1=1,ROUND(H286/((TaH-TrH)*1.163)/3600,3),ROUND(H286/(500*(TaH-TrH)),2))</f>
        <v>1.01</v>
      </c>
      <c r="K286" s="84"/>
      <c r="L286" s="177">
        <f>CHOOSE(Basis!$E$1,((AJ286*(J286*3600/Basis!$E$5)^AK286*(((MID(C286,9,3)*10)-144)/1000)*AL286+AM286*(J286*3600/Basis!$E$5)^2)*0.0098)/Basis!$E$10,((AJ286*(J286/Basis!$E$5)^AK286*(((MID(C286,9,3)*10)-144)/1000)*AL286+AM286*(J286/Basis!$E$5)^2)*0.0098)/Basis!$E$10)</f>
        <v>0</v>
      </c>
      <c r="M286" s="85"/>
      <c r="N286" s="109">
        <v>1.452</v>
      </c>
      <c r="O286" s="68"/>
      <c r="P286" s="67">
        <v>4790</v>
      </c>
      <c r="Q286" s="68"/>
      <c r="R286" s="69"/>
      <c r="S286" s="69"/>
      <c r="T286" s="69"/>
      <c r="U286" s="69"/>
      <c r="V286" s="69"/>
      <c r="W286" s="68"/>
      <c r="X286" s="70"/>
      <c r="Y286" s="70"/>
      <c r="Z286" s="70"/>
      <c r="AA286" s="70"/>
      <c r="AB286" s="70"/>
      <c r="AC286" s="68"/>
      <c r="AD286" s="71"/>
      <c r="AE286" s="71"/>
      <c r="AF286" s="71"/>
      <c r="AG286" s="71"/>
      <c r="AH286" s="71"/>
      <c r="AI286" s="68"/>
      <c r="AJ286" s="214"/>
      <c r="AK286" s="214"/>
      <c r="AL286" s="214"/>
      <c r="AM286" s="214"/>
      <c r="AN286" s="68"/>
      <c r="AO286" s="67"/>
      <c r="AP286" s="67"/>
      <c r="AQ286" s="67"/>
      <c r="AR286" s="67"/>
      <c r="AS286" s="67"/>
      <c r="AT286" s="68"/>
      <c r="AU286" s="49"/>
      <c r="AV286" s="50"/>
    </row>
    <row r="287" spans="1:48" ht="12.75" customHeight="1" x14ac:dyDescent="0.25">
      <c r="A287" s="72" t="s">
        <v>20</v>
      </c>
      <c r="B287" s="43" t="s">
        <v>4043</v>
      </c>
      <c r="C287" s="44" t="s">
        <v>3615</v>
      </c>
      <c r="D287" s="45">
        <f>MROUND(MID($C287,6,3)/Basis!$E$3,0.5)</f>
        <v>7</v>
      </c>
      <c r="E287" s="45">
        <f>MROUND(MID($C287,9,3)/Basis!$E$3,0.5)</f>
        <v>181</v>
      </c>
      <c r="F287" s="229" t="str">
        <f t="shared" si="4"/>
        <v>11</v>
      </c>
      <c r="G287" s="45">
        <f>ROUND(5/Basis!$E$3,1)</f>
        <v>2</v>
      </c>
      <c r="H287" s="120">
        <f>ROUND($P287*Basis!$E$2*((TaH-TrH)/LN(1/µ)/Basis!$E$7)^$N287*Glycol,0)</f>
        <v>4039</v>
      </c>
      <c r="I287" s="83">
        <f>ROUND(H287/(MID($C287,9,3)/Basis!$E$3/Basis!$E$9)*Basis!$E$11,0)</f>
        <v>268</v>
      </c>
      <c r="J287" s="123">
        <f>IF(Basis!$E$1=1,ROUND(H287/((TaH-TrH)*1.163)/3600,3),ROUND(H287/(500*(TaH-TrH)),2))</f>
        <v>0.4</v>
      </c>
      <c r="K287" s="84"/>
      <c r="L287" s="177">
        <f>CHOOSE(Basis!$E$1,((AJ287*(J287*3600/Basis!$E$5)^AK287*(((MID(C287,9,3)*10)-144)/1000)*AL287+AM287*(J287*3600/Basis!$E$5)^2)*0.0098)/Basis!$E$10,((AJ287*(J287/Basis!$E$5)^AK287*(((MID(C287,9,3)*10)-144)/1000)*AL287+AM287*(J287/Basis!$E$5)^2)*0.0098)/Basis!$E$10)</f>
        <v>0</v>
      </c>
      <c r="M287" s="85"/>
      <c r="N287" s="110">
        <v>1.248</v>
      </c>
      <c r="O287" s="74"/>
      <c r="P287" s="73">
        <v>1787</v>
      </c>
      <c r="Q287" s="74"/>
      <c r="R287" s="75"/>
      <c r="S287" s="75"/>
      <c r="T287" s="75"/>
      <c r="U287" s="75"/>
      <c r="V287" s="75"/>
      <c r="W287" s="74"/>
      <c r="X287" s="76"/>
      <c r="Y287" s="76"/>
      <c r="Z287" s="76"/>
      <c r="AA287" s="76"/>
      <c r="AB287" s="76"/>
      <c r="AC287" s="74"/>
      <c r="AD287" s="77"/>
      <c r="AE287" s="77"/>
      <c r="AF287" s="77"/>
      <c r="AG287" s="77"/>
      <c r="AH287" s="77"/>
      <c r="AI287" s="68"/>
      <c r="AJ287" s="213"/>
      <c r="AK287" s="213"/>
      <c r="AL287" s="213"/>
      <c r="AM287" s="213"/>
      <c r="AN287" s="74"/>
      <c r="AO287" s="73"/>
      <c r="AP287" s="73"/>
      <c r="AQ287" s="73"/>
      <c r="AR287" s="73"/>
      <c r="AS287" s="73"/>
      <c r="AT287" s="74"/>
      <c r="AU287" s="47"/>
      <c r="AV287" s="48"/>
    </row>
    <row r="288" spans="1:48" ht="12.75" customHeight="1" x14ac:dyDescent="0.25">
      <c r="A288" s="72" t="s">
        <v>20</v>
      </c>
      <c r="B288" s="43" t="s">
        <v>4043</v>
      </c>
      <c r="C288" s="44" t="s">
        <v>3616</v>
      </c>
      <c r="D288" s="45">
        <f>MROUND(MID($C288,6,3)/Basis!$E$3,0.5)</f>
        <v>7</v>
      </c>
      <c r="E288" s="45">
        <f>MROUND(MID($C288,9,3)/Basis!$E$3,0.5)</f>
        <v>181</v>
      </c>
      <c r="F288" s="229" t="str">
        <f t="shared" si="4"/>
        <v>22</v>
      </c>
      <c r="G288" s="45">
        <f>ROUND(9/Basis!$E$3,1)</f>
        <v>3.5</v>
      </c>
      <c r="H288" s="120">
        <f>ROUND($P288*Basis!$E$2*((TaH-TrH)/LN(1/µ)/Basis!$E$7)^$N288*Glycol,0)</f>
        <v>6292</v>
      </c>
      <c r="I288" s="83">
        <f>ROUND(H288/(MID($C288,9,3)/Basis!$E$3/Basis!$E$9)*Basis!$E$11,0)</f>
        <v>417</v>
      </c>
      <c r="J288" s="123">
        <f>IF(Basis!$E$1=1,ROUND(H288/((TaH-TrH)*1.163)/3600,3),ROUND(H288/(500*(TaH-TrH)),2))</f>
        <v>0.63</v>
      </c>
      <c r="K288" s="84"/>
      <c r="L288" s="177">
        <f>CHOOSE(Basis!$E$1,((AJ288*(J288*3600/Basis!$E$5)^AK288*(((MID(C288,9,3)*10)-144)/1000)*AL288+AM288*(J288*3600/Basis!$E$5)^2)*0.0098)/Basis!$E$10,((AJ288*(J288/Basis!$E$5)^AK288*(((MID(C288,9,3)*10)-144)/1000)*AL288+AM288*(J288/Basis!$E$5)^2)*0.0098)/Basis!$E$10)</f>
        <v>0</v>
      </c>
      <c r="M288" s="85"/>
      <c r="N288" s="109">
        <v>1.349</v>
      </c>
      <c r="O288" s="68"/>
      <c r="P288" s="67">
        <v>2878</v>
      </c>
      <c r="Q288" s="68"/>
      <c r="R288" s="69"/>
      <c r="S288" s="69"/>
      <c r="T288" s="69"/>
      <c r="U288" s="69"/>
      <c r="V288" s="69"/>
      <c r="W288" s="68"/>
      <c r="X288" s="70"/>
      <c r="Y288" s="70"/>
      <c r="Z288" s="70"/>
      <c r="AA288" s="70"/>
      <c r="AB288" s="70"/>
      <c r="AC288" s="68"/>
      <c r="AD288" s="71"/>
      <c r="AE288" s="71"/>
      <c r="AF288" s="71"/>
      <c r="AG288" s="71"/>
      <c r="AH288" s="71"/>
      <c r="AI288" s="68"/>
      <c r="AJ288" s="214"/>
      <c r="AK288" s="214"/>
      <c r="AL288" s="214"/>
      <c r="AM288" s="214"/>
      <c r="AN288" s="68"/>
      <c r="AO288" s="67"/>
      <c r="AP288" s="67"/>
      <c r="AQ288" s="67"/>
      <c r="AR288" s="67"/>
      <c r="AS288" s="67"/>
      <c r="AT288" s="68"/>
      <c r="AU288" s="49"/>
      <c r="AV288" s="50"/>
    </row>
    <row r="289" spans="1:48" ht="12.75" customHeight="1" x14ac:dyDescent="0.25">
      <c r="A289" s="72" t="s">
        <v>20</v>
      </c>
      <c r="B289" s="43" t="s">
        <v>4043</v>
      </c>
      <c r="C289" s="44" t="s">
        <v>3617</v>
      </c>
      <c r="D289" s="45">
        <f>MROUND(MID($C289,6,3)/Basis!$E$3,0.5)</f>
        <v>7</v>
      </c>
      <c r="E289" s="45">
        <f>MROUND(MID($C289,9,3)/Basis!$E$3,0.5)</f>
        <v>181</v>
      </c>
      <c r="F289" s="229" t="str">
        <f t="shared" si="4"/>
        <v>34</v>
      </c>
      <c r="G289" s="45">
        <f>ROUND(16.9/Basis!$E$3,1)</f>
        <v>6.7</v>
      </c>
      <c r="H289" s="120">
        <f>ROUND($P289*Basis!$E$2*((TaH-TrH)/LN(1/µ)/Basis!$E$7)^$N289*Glycol,0)</f>
        <v>11085</v>
      </c>
      <c r="I289" s="83">
        <f>ROUND(H289/(MID($C289,9,3)/Basis!$E$3/Basis!$E$9)*Basis!$E$11,0)</f>
        <v>735</v>
      </c>
      <c r="J289" s="123">
        <f>IF(Basis!$E$1=1,ROUND(H289/((TaH-TrH)*1.163)/3600,3),ROUND(H289/(500*(TaH-TrH)),2))</f>
        <v>1.1100000000000001</v>
      </c>
      <c r="K289" s="84"/>
      <c r="L289" s="177">
        <f>CHOOSE(Basis!$E$1,((AJ289*(J289*3600/Basis!$E$5)^AK289*(((MID(C289,9,3)*10)-144)/1000)*AL289+AM289*(J289*3600/Basis!$E$5)^2)*0.0098)/Basis!$E$10,((AJ289*(J289/Basis!$E$5)^AK289*(((MID(C289,9,3)*10)-144)/1000)*AL289+AM289*(J289/Basis!$E$5)^2)*0.0098)/Basis!$E$10)</f>
        <v>0</v>
      </c>
      <c r="M289" s="85"/>
      <c r="N289" s="109">
        <v>1.452</v>
      </c>
      <c r="O289" s="68"/>
      <c r="P289" s="67">
        <v>5246</v>
      </c>
      <c r="Q289" s="68"/>
      <c r="R289" s="69"/>
      <c r="S289" s="69"/>
      <c r="T289" s="69"/>
      <c r="U289" s="69"/>
      <c r="V289" s="69"/>
      <c r="W289" s="68"/>
      <c r="X289" s="70"/>
      <c r="Y289" s="70"/>
      <c r="Z289" s="70"/>
      <c r="AA289" s="70"/>
      <c r="AB289" s="70"/>
      <c r="AC289" s="68"/>
      <c r="AD289" s="71"/>
      <c r="AE289" s="71"/>
      <c r="AF289" s="71"/>
      <c r="AG289" s="71"/>
      <c r="AH289" s="71"/>
      <c r="AI289" s="68"/>
      <c r="AJ289" s="214"/>
      <c r="AK289" s="214"/>
      <c r="AL289" s="214"/>
      <c r="AM289" s="214"/>
      <c r="AN289" s="68"/>
      <c r="AO289" s="67"/>
      <c r="AP289" s="67"/>
      <c r="AQ289" s="67"/>
      <c r="AR289" s="67"/>
      <c r="AS289" s="67"/>
      <c r="AT289" s="68"/>
      <c r="AU289" s="49"/>
      <c r="AV289" s="50"/>
    </row>
    <row r="290" spans="1:48" ht="12.75" customHeight="1" x14ac:dyDescent="0.25">
      <c r="A290" s="72" t="s">
        <v>20</v>
      </c>
      <c r="B290" s="43" t="s">
        <v>4043</v>
      </c>
      <c r="C290" s="44" t="s">
        <v>3618</v>
      </c>
      <c r="D290" s="45">
        <f>MROUND(MID($C290,6,3)/Basis!$E$3,0.5)</f>
        <v>9.5</v>
      </c>
      <c r="E290" s="45">
        <f>MROUND(MID($C290,9,3)/Basis!$E$3,0.5)</f>
        <v>23.5</v>
      </c>
      <c r="F290" s="229" t="str">
        <f t="shared" si="4"/>
        <v>11</v>
      </c>
      <c r="G290" s="45">
        <f>ROUND(5/Basis!$E$3,1)</f>
        <v>2</v>
      </c>
      <c r="H290" s="120">
        <f>ROUND($P290*Basis!$E$2*((TaH-TrH)/LN(1/µ)/Basis!$E$7)^$N290*Glycol,0)</f>
        <v>644</v>
      </c>
      <c r="I290" s="83">
        <f>ROUND(H290/(MID($C290,9,3)/Basis!$E$3/Basis!$E$9)*Basis!$E$11,0)</f>
        <v>327</v>
      </c>
      <c r="J290" s="123">
        <f>IF(Basis!$E$1=1,ROUND(H290/((TaH-TrH)*1.163)/3600,3),ROUND(H290/(500*(TaH-TrH)),2))</f>
        <v>0.06</v>
      </c>
      <c r="K290" s="84"/>
      <c r="L290" s="177">
        <f>CHOOSE(Basis!$E$1,((AJ290*(J290*3600/Basis!$E$5)^AK290*(((MID(C290,9,3)*10)-144)/1000)*AL290+AM290*(J290*3600/Basis!$E$5)^2)*0.0098)/Basis!$E$10,((AJ290*(J290/Basis!$E$5)^AK290*(((MID(C290,9,3)*10)-144)/1000)*AL290+AM290*(J290/Basis!$E$5)^2)*0.0098)/Basis!$E$10)</f>
        <v>0</v>
      </c>
      <c r="M290" s="85"/>
      <c r="N290" s="110">
        <v>1.248</v>
      </c>
      <c r="O290" s="74"/>
      <c r="P290" s="73">
        <v>285</v>
      </c>
      <c r="Q290" s="74"/>
      <c r="R290" s="75"/>
      <c r="S290" s="75"/>
      <c r="T290" s="75"/>
      <c r="U290" s="75"/>
      <c r="V290" s="75"/>
      <c r="W290" s="74"/>
      <c r="X290" s="76"/>
      <c r="Y290" s="76"/>
      <c r="Z290" s="76"/>
      <c r="AA290" s="76"/>
      <c r="AB290" s="76"/>
      <c r="AC290" s="74"/>
      <c r="AD290" s="77"/>
      <c r="AE290" s="77"/>
      <c r="AF290" s="77"/>
      <c r="AG290" s="77"/>
      <c r="AH290" s="77"/>
      <c r="AI290" s="68"/>
      <c r="AJ290" s="213"/>
      <c r="AK290" s="213"/>
      <c r="AL290" s="213"/>
      <c r="AM290" s="213"/>
      <c r="AN290" s="74"/>
      <c r="AO290" s="73"/>
      <c r="AP290" s="73"/>
      <c r="AQ290" s="73"/>
      <c r="AR290" s="73"/>
      <c r="AS290" s="73"/>
      <c r="AT290" s="74"/>
      <c r="AU290" s="47"/>
      <c r="AV290" s="48"/>
    </row>
    <row r="291" spans="1:48" ht="12.75" customHeight="1" x14ac:dyDescent="0.25">
      <c r="A291" s="72" t="s">
        <v>20</v>
      </c>
      <c r="B291" s="43" t="s">
        <v>4043</v>
      </c>
      <c r="C291" s="44" t="s">
        <v>3619</v>
      </c>
      <c r="D291" s="45">
        <f>MROUND(MID($C291,6,3)/Basis!$E$3,0.5)</f>
        <v>9.5</v>
      </c>
      <c r="E291" s="45">
        <f>MROUND(MID($C291,9,3)/Basis!$E$3,0.5)</f>
        <v>23.5</v>
      </c>
      <c r="F291" s="229" t="str">
        <f t="shared" si="4"/>
        <v>22</v>
      </c>
      <c r="G291" s="45">
        <f>ROUND(9/Basis!$E$3,1)</f>
        <v>3.5</v>
      </c>
      <c r="H291" s="120">
        <f>ROUND($P291*Basis!$E$2*((TaH-TrH)/LN(1/µ)/Basis!$E$7)^$N291*Glycol,0)</f>
        <v>1043</v>
      </c>
      <c r="I291" s="83">
        <f>ROUND(H291/(MID($C291,9,3)/Basis!$E$3/Basis!$E$9)*Basis!$E$11,0)</f>
        <v>530</v>
      </c>
      <c r="J291" s="123">
        <f>IF(Basis!$E$1=1,ROUND(H291/((TaH-TrH)*1.163)/3600,3),ROUND(H291/(500*(TaH-TrH)),2))</f>
        <v>0.1</v>
      </c>
      <c r="K291" s="84"/>
      <c r="L291" s="177">
        <f>CHOOSE(Basis!$E$1,((AJ291*(J291*3600/Basis!$E$5)^AK291*(((MID(C291,9,3)*10)-144)/1000)*AL291+AM291*(J291*3600/Basis!$E$5)^2)*0.0098)/Basis!$E$10,((AJ291*(J291/Basis!$E$5)^AK291*(((MID(C291,9,3)*10)-144)/1000)*AL291+AM291*(J291/Basis!$E$5)^2)*0.0098)/Basis!$E$10)</f>
        <v>0</v>
      </c>
      <c r="M291" s="85"/>
      <c r="N291" s="110">
        <v>1.349</v>
      </c>
      <c r="O291" s="74"/>
      <c r="P291" s="73">
        <v>477</v>
      </c>
      <c r="Q291" s="74"/>
      <c r="R291" s="75"/>
      <c r="S291" s="75"/>
      <c r="T291" s="75"/>
      <c r="U291" s="75"/>
      <c r="V291" s="75"/>
      <c r="W291" s="74"/>
      <c r="X291" s="76"/>
      <c r="Y291" s="76"/>
      <c r="Z291" s="76"/>
      <c r="AA291" s="76"/>
      <c r="AB291" s="76"/>
      <c r="AC291" s="74"/>
      <c r="AD291" s="77"/>
      <c r="AE291" s="77"/>
      <c r="AF291" s="77"/>
      <c r="AG291" s="77"/>
      <c r="AH291" s="77"/>
      <c r="AI291" s="68"/>
      <c r="AJ291" s="213"/>
      <c r="AK291" s="213"/>
      <c r="AL291" s="213"/>
      <c r="AM291" s="213"/>
      <c r="AN291" s="74"/>
      <c r="AO291" s="73"/>
      <c r="AP291" s="73"/>
      <c r="AQ291" s="73"/>
      <c r="AR291" s="73"/>
      <c r="AS291" s="73"/>
      <c r="AT291" s="74"/>
      <c r="AU291" s="47"/>
      <c r="AV291" s="48"/>
    </row>
    <row r="292" spans="1:48" ht="12.75" customHeight="1" x14ac:dyDescent="0.25">
      <c r="A292" s="72" t="s">
        <v>20</v>
      </c>
      <c r="B292" s="43" t="s">
        <v>4043</v>
      </c>
      <c r="C292" s="44" t="s">
        <v>3620</v>
      </c>
      <c r="D292" s="45">
        <f>MROUND(MID($C292,6,3)/Basis!$E$3,0.5)</f>
        <v>9.5</v>
      </c>
      <c r="E292" s="45">
        <f>MROUND(MID($C292,9,3)/Basis!$E$3,0.5)</f>
        <v>23.5</v>
      </c>
      <c r="F292" s="229" t="str">
        <f t="shared" si="4"/>
        <v>34</v>
      </c>
      <c r="G292" s="45">
        <f>ROUND(16.9/Basis!$E$3,1)</f>
        <v>6.7</v>
      </c>
      <c r="H292" s="120">
        <f>ROUND($P292*Basis!$E$2*((TaH-TrH)/LN(1/µ)/Basis!$E$7)^$N292*Glycol,0)</f>
        <v>1849</v>
      </c>
      <c r="I292" s="83">
        <f>ROUND(H292/(MID($C292,9,3)/Basis!$E$3/Basis!$E$9)*Basis!$E$11,0)</f>
        <v>939</v>
      </c>
      <c r="J292" s="123">
        <f>IF(Basis!$E$1=1,ROUND(H292/((TaH-TrH)*1.163)/3600,3),ROUND(H292/(500*(TaH-TrH)),2))</f>
        <v>0.18</v>
      </c>
      <c r="K292" s="84"/>
      <c r="L292" s="177">
        <f>CHOOSE(Basis!$E$1,((AJ292*(J292*3600/Basis!$E$5)^AK292*(((MID(C292,9,3)*10)-144)/1000)*AL292+AM292*(J292*3600/Basis!$E$5)^2)*0.0098)/Basis!$E$10,((AJ292*(J292/Basis!$E$5)^AK292*(((MID(C292,9,3)*10)-144)/1000)*AL292+AM292*(J292/Basis!$E$5)^2)*0.0098)/Basis!$E$10)</f>
        <v>0</v>
      </c>
      <c r="M292" s="85"/>
      <c r="N292" s="109">
        <v>1.452</v>
      </c>
      <c r="O292" s="68"/>
      <c r="P292" s="67">
        <v>875</v>
      </c>
      <c r="Q292" s="68"/>
      <c r="R292" s="69"/>
      <c r="S292" s="69"/>
      <c r="T292" s="69"/>
      <c r="U292" s="69"/>
      <c r="V292" s="69"/>
      <c r="W292" s="68"/>
      <c r="X292" s="70"/>
      <c r="Y292" s="70"/>
      <c r="Z292" s="70"/>
      <c r="AA292" s="70"/>
      <c r="AB292" s="70"/>
      <c r="AC292" s="68"/>
      <c r="AD292" s="71"/>
      <c r="AE292" s="71"/>
      <c r="AF292" s="71"/>
      <c r="AG292" s="71"/>
      <c r="AH292" s="71"/>
      <c r="AI292" s="68"/>
      <c r="AJ292" s="214"/>
      <c r="AK292" s="214"/>
      <c r="AL292" s="214"/>
      <c r="AM292" s="214"/>
      <c r="AN292" s="68"/>
      <c r="AO292" s="67"/>
      <c r="AP292" s="67"/>
      <c r="AQ292" s="67"/>
      <c r="AR292" s="67"/>
      <c r="AS292" s="67"/>
      <c r="AT292" s="68"/>
      <c r="AU292" s="49"/>
      <c r="AV292" s="50"/>
    </row>
    <row r="293" spans="1:48" ht="12.75" customHeight="1" x14ac:dyDescent="0.25">
      <c r="A293" s="72" t="s">
        <v>20</v>
      </c>
      <c r="B293" s="43" t="s">
        <v>4043</v>
      </c>
      <c r="C293" s="44" t="s">
        <v>3621</v>
      </c>
      <c r="D293" s="45">
        <f>MROUND(MID($C293,6,3)/Basis!$E$3,0.5)</f>
        <v>9.5</v>
      </c>
      <c r="E293" s="45">
        <f>MROUND(MID($C293,9,3)/Basis!$E$3,0.5)</f>
        <v>31.5</v>
      </c>
      <c r="F293" s="229" t="str">
        <f t="shared" si="4"/>
        <v>11</v>
      </c>
      <c r="G293" s="45">
        <f>ROUND(5/Basis!$E$3,1)</f>
        <v>2</v>
      </c>
      <c r="H293" s="120">
        <f>ROUND($P293*Basis!$E$2*((TaH-TrH)/LN(1/µ)/Basis!$E$7)^$N293*Glycol,0)</f>
        <v>859</v>
      </c>
      <c r="I293" s="83">
        <f>ROUND(H293/(MID($C293,9,3)/Basis!$E$3/Basis!$E$9)*Basis!$E$11,0)</f>
        <v>327</v>
      </c>
      <c r="J293" s="123">
        <f>IF(Basis!$E$1=1,ROUND(H293/((TaH-TrH)*1.163)/3600,3),ROUND(H293/(500*(TaH-TrH)),2))</f>
        <v>0.09</v>
      </c>
      <c r="K293" s="84"/>
      <c r="L293" s="177">
        <f>CHOOSE(Basis!$E$1,((AJ293*(J293*3600/Basis!$E$5)^AK293*(((MID(C293,9,3)*10)-144)/1000)*AL293+AM293*(J293*3600/Basis!$E$5)^2)*0.0098)/Basis!$E$10,((AJ293*(J293/Basis!$E$5)^AK293*(((MID(C293,9,3)*10)-144)/1000)*AL293+AM293*(J293/Basis!$E$5)^2)*0.0098)/Basis!$E$10)</f>
        <v>0</v>
      </c>
      <c r="M293" s="85"/>
      <c r="N293" s="109">
        <v>1.248</v>
      </c>
      <c r="O293" s="68"/>
      <c r="P293" s="67">
        <v>380</v>
      </c>
      <c r="Q293" s="68"/>
      <c r="R293" s="69"/>
      <c r="S293" s="69"/>
      <c r="T293" s="69"/>
      <c r="U293" s="69"/>
      <c r="V293" s="69"/>
      <c r="W293" s="68"/>
      <c r="X293" s="70"/>
      <c r="Y293" s="70"/>
      <c r="Z293" s="70"/>
      <c r="AA293" s="70"/>
      <c r="AB293" s="70"/>
      <c r="AC293" s="68"/>
      <c r="AD293" s="71"/>
      <c r="AE293" s="71"/>
      <c r="AF293" s="71"/>
      <c r="AG293" s="71"/>
      <c r="AH293" s="71"/>
      <c r="AI293" s="68"/>
      <c r="AJ293" s="214"/>
      <c r="AK293" s="214"/>
      <c r="AL293" s="214"/>
      <c r="AM293" s="214"/>
      <c r="AN293" s="68"/>
      <c r="AO293" s="67"/>
      <c r="AP293" s="67"/>
      <c r="AQ293" s="67"/>
      <c r="AR293" s="67"/>
      <c r="AS293" s="67"/>
      <c r="AT293" s="68"/>
      <c r="AU293" s="49"/>
      <c r="AV293" s="50"/>
    </row>
    <row r="294" spans="1:48" ht="12.75" customHeight="1" x14ac:dyDescent="0.25">
      <c r="A294" s="72" t="s">
        <v>20</v>
      </c>
      <c r="B294" s="43" t="s">
        <v>4043</v>
      </c>
      <c r="C294" s="44" t="s">
        <v>3622</v>
      </c>
      <c r="D294" s="45">
        <f>MROUND(MID($C294,6,3)/Basis!$E$3,0.5)</f>
        <v>9.5</v>
      </c>
      <c r="E294" s="45">
        <f>MROUND(MID($C294,9,3)/Basis!$E$3,0.5)</f>
        <v>31.5</v>
      </c>
      <c r="F294" s="229" t="str">
        <f t="shared" si="4"/>
        <v>22</v>
      </c>
      <c r="G294" s="45">
        <f>ROUND(9/Basis!$E$3,1)</f>
        <v>3.5</v>
      </c>
      <c r="H294" s="120">
        <f>ROUND($P294*Basis!$E$2*((TaH-TrH)/LN(1/µ)/Basis!$E$7)^$N294*Glycol,0)</f>
        <v>1390</v>
      </c>
      <c r="I294" s="83">
        <f>ROUND(H294/(MID($C294,9,3)/Basis!$E$3/Basis!$E$9)*Basis!$E$11,0)</f>
        <v>530</v>
      </c>
      <c r="J294" s="123">
        <f>IF(Basis!$E$1=1,ROUND(H294/((TaH-TrH)*1.163)/3600,3),ROUND(H294/(500*(TaH-TrH)),2))</f>
        <v>0.14000000000000001</v>
      </c>
      <c r="K294" s="84"/>
      <c r="L294" s="177">
        <f>CHOOSE(Basis!$E$1,((AJ294*(J294*3600/Basis!$E$5)^AK294*(((MID(C294,9,3)*10)-144)/1000)*AL294+AM294*(J294*3600/Basis!$E$5)^2)*0.0098)/Basis!$E$10,((AJ294*(J294/Basis!$E$5)^AK294*(((MID(C294,9,3)*10)-144)/1000)*AL294+AM294*(J294/Basis!$E$5)^2)*0.0098)/Basis!$E$10)</f>
        <v>0</v>
      </c>
      <c r="M294" s="85"/>
      <c r="N294" s="110">
        <v>1.349</v>
      </c>
      <c r="O294" s="74"/>
      <c r="P294" s="73">
        <v>636</v>
      </c>
      <c r="Q294" s="74"/>
      <c r="R294" s="75"/>
      <c r="S294" s="75"/>
      <c r="T294" s="75"/>
      <c r="U294" s="75"/>
      <c r="V294" s="75"/>
      <c r="W294" s="74"/>
      <c r="X294" s="76"/>
      <c r="Y294" s="76"/>
      <c r="Z294" s="76"/>
      <c r="AA294" s="76"/>
      <c r="AB294" s="76"/>
      <c r="AC294" s="74"/>
      <c r="AD294" s="77"/>
      <c r="AE294" s="77"/>
      <c r="AF294" s="77"/>
      <c r="AG294" s="77"/>
      <c r="AH294" s="77"/>
      <c r="AI294" s="68"/>
      <c r="AJ294" s="213"/>
      <c r="AK294" s="213"/>
      <c r="AL294" s="213"/>
      <c r="AM294" s="213"/>
      <c r="AN294" s="74"/>
      <c r="AO294" s="73"/>
      <c r="AP294" s="73"/>
      <c r="AQ294" s="73"/>
      <c r="AR294" s="73"/>
      <c r="AS294" s="73"/>
      <c r="AT294" s="74"/>
      <c r="AU294" s="47"/>
      <c r="AV294" s="48"/>
    </row>
    <row r="295" spans="1:48" ht="12.75" customHeight="1" x14ac:dyDescent="0.25">
      <c r="A295" s="72" t="s">
        <v>20</v>
      </c>
      <c r="B295" s="43" t="s">
        <v>4043</v>
      </c>
      <c r="C295" s="44" t="s">
        <v>3623</v>
      </c>
      <c r="D295" s="45">
        <f>MROUND(MID($C295,6,3)/Basis!$E$3,0.5)</f>
        <v>9.5</v>
      </c>
      <c r="E295" s="45">
        <f>MROUND(MID($C295,9,3)/Basis!$E$3,0.5)</f>
        <v>31.5</v>
      </c>
      <c r="F295" s="229" t="str">
        <f t="shared" si="4"/>
        <v>34</v>
      </c>
      <c r="G295" s="45">
        <f>ROUND(16.9/Basis!$E$3,1)</f>
        <v>6.7</v>
      </c>
      <c r="H295" s="120">
        <f>ROUND($P295*Basis!$E$2*((TaH-TrH)/LN(1/µ)/Basis!$E$7)^$N295*Glycol,0)</f>
        <v>2464</v>
      </c>
      <c r="I295" s="83">
        <f>ROUND(H295/(MID($C295,9,3)/Basis!$E$3/Basis!$E$9)*Basis!$E$11,0)</f>
        <v>939</v>
      </c>
      <c r="J295" s="123">
        <f>IF(Basis!$E$1=1,ROUND(H295/((TaH-TrH)*1.163)/3600,3),ROUND(H295/(500*(TaH-TrH)),2))</f>
        <v>0.25</v>
      </c>
      <c r="K295" s="84"/>
      <c r="L295" s="177">
        <f>CHOOSE(Basis!$E$1,((AJ295*(J295*3600/Basis!$E$5)^AK295*(((MID(C295,9,3)*10)-144)/1000)*AL295+AM295*(J295*3600/Basis!$E$5)^2)*0.0098)/Basis!$E$10,((AJ295*(J295/Basis!$E$5)^AK295*(((MID(C295,9,3)*10)-144)/1000)*AL295+AM295*(J295/Basis!$E$5)^2)*0.0098)/Basis!$E$10)</f>
        <v>0</v>
      </c>
      <c r="M295" s="85"/>
      <c r="N295" s="110">
        <v>1.452</v>
      </c>
      <c r="O295" s="74"/>
      <c r="P295" s="73">
        <v>1166</v>
      </c>
      <c r="Q295" s="74"/>
      <c r="R295" s="75"/>
      <c r="S295" s="75"/>
      <c r="T295" s="75"/>
      <c r="U295" s="75"/>
      <c r="V295" s="75"/>
      <c r="W295" s="74"/>
      <c r="X295" s="76"/>
      <c r="Y295" s="76"/>
      <c r="Z295" s="76"/>
      <c r="AA295" s="76"/>
      <c r="AB295" s="76"/>
      <c r="AC295" s="74"/>
      <c r="AD295" s="77"/>
      <c r="AE295" s="77"/>
      <c r="AF295" s="77"/>
      <c r="AG295" s="77"/>
      <c r="AH295" s="77"/>
      <c r="AI295" s="68"/>
      <c r="AJ295" s="213"/>
      <c r="AK295" s="213"/>
      <c r="AL295" s="213"/>
      <c r="AM295" s="213"/>
      <c r="AN295" s="74"/>
      <c r="AO295" s="73"/>
      <c r="AP295" s="73"/>
      <c r="AQ295" s="73"/>
      <c r="AR295" s="73"/>
      <c r="AS295" s="73"/>
      <c r="AT295" s="74"/>
      <c r="AU295" s="47"/>
      <c r="AV295" s="48"/>
    </row>
    <row r="296" spans="1:48" ht="12.75" customHeight="1" x14ac:dyDescent="0.25">
      <c r="A296" s="72" t="s">
        <v>20</v>
      </c>
      <c r="B296" s="43" t="s">
        <v>4043</v>
      </c>
      <c r="C296" s="44" t="s">
        <v>3624</v>
      </c>
      <c r="D296" s="45">
        <f>MROUND(MID($C296,6,3)/Basis!$E$3,0.5)</f>
        <v>9.5</v>
      </c>
      <c r="E296" s="45">
        <f>MROUND(MID($C296,9,3)/Basis!$E$3,0.5)</f>
        <v>39.5</v>
      </c>
      <c r="F296" s="229" t="str">
        <f t="shared" si="4"/>
        <v>11</v>
      </c>
      <c r="G296" s="45">
        <f>ROUND(5/Basis!$E$3,1)</f>
        <v>2</v>
      </c>
      <c r="H296" s="120">
        <f>ROUND($P296*Basis!$E$2*((TaH-TrH)/LN(1/µ)/Basis!$E$7)^$N296*Glycol,0)</f>
        <v>1074</v>
      </c>
      <c r="I296" s="83">
        <f>ROUND(H296/(MID($C296,9,3)/Basis!$E$3/Basis!$E$9)*Basis!$E$11,0)</f>
        <v>327</v>
      </c>
      <c r="J296" s="123">
        <f>IF(Basis!$E$1=1,ROUND(H296/((TaH-TrH)*1.163)/3600,3),ROUND(H296/(500*(TaH-TrH)),2))</f>
        <v>0.11</v>
      </c>
      <c r="K296" s="84"/>
      <c r="L296" s="177">
        <f>CHOOSE(Basis!$E$1,((AJ296*(J296*3600/Basis!$E$5)^AK296*(((MID(C296,9,3)*10)-144)/1000)*AL296+AM296*(J296*3600/Basis!$E$5)^2)*0.0098)/Basis!$E$10,((AJ296*(J296/Basis!$E$5)^AK296*(((MID(C296,9,3)*10)-144)/1000)*AL296+AM296*(J296/Basis!$E$5)^2)*0.0098)/Basis!$E$10)</f>
        <v>0</v>
      </c>
      <c r="M296" s="85"/>
      <c r="N296" s="109">
        <v>1.248</v>
      </c>
      <c r="O296" s="68"/>
      <c r="P296" s="67">
        <v>475</v>
      </c>
      <c r="Q296" s="68"/>
      <c r="R296" s="69"/>
      <c r="S296" s="69"/>
      <c r="T296" s="69"/>
      <c r="U296" s="69"/>
      <c r="V296" s="69"/>
      <c r="W296" s="68"/>
      <c r="X296" s="70"/>
      <c r="Y296" s="70"/>
      <c r="Z296" s="70"/>
      <c r="AA296" s="70"/>
      <c r="AB296" s="70"/>
      <c r="AC296" s="68"/>
      <c r="AD296" s="71"/>
      <c r="AE296" s="71"/>
      <c r="AF296" s="71"/>
      <c r="AG296" s="71"/>
      <c r="AH296" s="71"/>
      <c r="AI296" s="68"/>
      <c r="AJ296" s="214"/>
      <c r="AK296" s="214"/>
      <c r="AL296" s="214"/>
      <c r="AM296" s="214"/>
      <c r="AN296" s="68"/>
      <c r="AO296" s="67"/>
      <c r="AP296" s="67"/>
      <c r="AQ296" s="67"/>
      <c r="AR296" s="67"/>
      <c r="AS296" s="67"/>
      <c r="AT296" s="68"/>
      <c r="AU296" s="49"/>
      <c r="AV296" s="50"/>
    </row>
    <row r="297" spans="1:48" ht="12.75" customHeight="1" x14ac:dyDescent="0.25">
      <c r="A297" s="72" t="s">
        <v>20</v>
      </c>
      <c r="B297" s="43" t="s">
        <v>4043</v>
      </c>
      <c r="C297" s="44" t="s">
        <v>3625</v>
      </c>
      <c r="D297" s="45">
        <f>MROUND(MID($C297,6,3)/Basis!$E$3,0.5)</f>
        <v>9.5</v>
      </c>
      <c r="E297" s="45">
        <f>MROUND(MID($C297,9,3)/Basis!$E$3,0.5)</f>
        <v>39.5</v>
      </c>
      <c r="F297" s="229" t="str">
        <f t="shared" si="4"/>
        <v>22</v>
      </c>
      <c r="G297" s="45">
        <f>ROUND(9/Basis!$E$3,1)</f>
        <v>3.5</v>
      </c>
      <c r="H297" s="120">
        <f>ROUND($P297*Basis!$E$2*((TaH-TrH)/LN(1/µ)/Basis!$E$7)^$N297*Glycol,0)</f>
        <v>1736</v>
      </c>
      <c r="I297" s="83">
        <f>ROUND(H297/(MID($C297,9,3)/Basis!$E$3/Basis!$E$9)*Basis!$E$11,0)</f>
        <v>529</v>
      </c>
      <c r="J297" s="123">
        <f>IF(Basis!$E$1=1,ROUND(H297/((TaH-TrH)*1.163)/3600,3),ROUND(H297/(500*(TaH-TrH)),2))</f>
        <v>0.17</v>
      </c>
      <c r="K297" s="84"/>
      <c r="L297" s="177">
        <f>CHOOSE(Basis!$E$1,((AJ297*(J297*3600/Basis!$E$5)^AK297*(((MID(C297,9,3)*10)-144)/1000)*AL297+AM297*(J297*3600/Basis!$E$5)^2)*0.0098)/Basis!$E$10,((AJ297*(J297/Basis!$E$5)^AK297*(((MID(C297,9,3)*10)-144)/1000)*AL297+AM297*(J297/Basis!$E$5)^2)*0.0098)/Basis!$E$10)</f>
        <v>0</v>
      </c>
      <c r="M297" s="85"/>
      <c r="N297" s="109">
        <v>1.349</v>
      </c>
      <c r="O297" s="68"/>
      <c r="P297" s="67">
        <v>794</v>
      </c>
      <c r="Q297" s="68"/>
      <c r="R297" s="69"/>
      <c r="S297" s="69"/>
      <c r="T297" s="69"/>
      <c r="U297" s="69"/>
      <c r="V297" s="69"/>
      <c r="W297" s="68"/>
      <c r="X297" s="70"/>
      <c r="Y297" s="70"/>
      <c r="Z297" s="70"/>
      <c r="AA297" s="70"/>
      <c r="AB297" s="70"/>
      <c r="AC297" s="68"/>
      <c r="AD297" s="71"/>
      <c r="AE297" s="71"/>
      <c r="AF297" s="71"/>
      <c r="AG297" s="71"/>
      <c r="AH297" s="71"/>
      <c r="AI297" s="68"/>
      <c r="AJ297" s="214"/>
      <c r="AK297" s="214"/>
      <c r="AL297" s="214"/>
      <c r="AM297" s="214"/>
      <c r="AN297" s="68"/>
      <c r="AO297" s="67"/>
      <c r="AP297" s="67"/>
      <c r="AQ297" s="67"/>
      <c r="AR297" s="67"/>
      <c r="AS297" s="67"/>
      <c r="AT297" s="68"/>
      <c r="AU297" s="49"/>
      <c r="AV297" s="50"/>
    </row>
    <row r="298" spans="1:48" ht="12.75" customHeight="1" x14ac:dyDescent="0.25">
      <c r="A298" s="72" t="s">
        <v>20</v>
      </c>
      <c r="B298" s="43" t="s">
        <v>4043</v>
      </c>
      <c r="C298" s="44" t="s">
        <v>3626</v>
      </c>
      <c r="D298" s="45">
        <f>MROUND(MID($C298,6,3)/Basis!$E$3,0.5)</f>
        <v>9.5</v>
      </c>
      <c r="E298" s="45">
        <f>MROUND(MID($C298,9,3)/Basis!$E$3,0.5)</f>
        <v>39.5</v>
      </c>
      <c r="F298" s="229" t="str">
        <f t="shared" si="4"/>
        <v>34</v>
      </c>
      <c r="G298" s="45">
        <f>ROUND(16.9/Basis!$E$3,1)</f>
        <v>6.7</v>
      </c>
      <c r="H298" s="120">
        <f>ROUND($P298*Basis!$E$2*((TaH-TrH)/LN(1/µ)/Basis!$E$7)^$N298*Glycol,0)</f>
        <v>3081</v>
      </c>
      <c r="I298" s="83">
        <f>ROUND(H298/(MID($C298,9,3)/Basis!$E$3/Basis!$E$9)*Basis!$E$11,0)</f>
        <v>939</v>
      </c>
      <c r="J298" s="123">
        <f>IF(Basis!$E$1=1,ROUND(H298/((TaH-TrH)*1.163)/3600,3),ROUND(H298/(500*(TaH-TrH)),2))</f>
        <v>0.31</v>
      </c>
      <c r="K298" s="84"/>
      <c r="L298" s="177">
        <f>CHOOSE(Basis!$E$1,((AJ298*(J298*3600/Basis!$E$5)^AK298*(((MID(C298,9,3)*10)-144)/1000)*AL298+AM298*(J298*3600/Basis!$E$5)^2)*0.0098)/Basis!$E$10,((AJ298*(J298/Basis!$E$5)^AK298*(((MID(C298,9,3)*10)-144)/1000)*AL298+AM298*(J298/Basis!$E$5)^2)*0.0098)/Basis!$E$10)</f>
        <v>0</v>
      </c>
      <c r="M298" s="85"/>
      <c r="N298" s="110">
        <v>1.452</v>
      </c>
      <c r="O298" s="74"/>
      <c r="P298" s="73">
        <v>1458</v>
      </c>
      <c r="Q298" s="74"/>
      <c r="R298" s="75"/>
      <c r="S298" s="75"/>
      <c r="T298" s="75"/>
      <c r="U298" s="75"/>
      <c r="V298" s="75"/>
      <c r="W298" s="74"/>
      <c r="X298" s="76"/>
      <c r="Y298" s="76"/>
      <c r="Z298" s="76"/>
      <c r="AA298" s="76"/>
      <c r="AB298" s="76"/>
      <c r="AC298" s="74"/>
      <c r="AD298" s="77"/>
      <c r="AE298" s="77"/>
      <c r="AF298" s="77"/>
      <c r="AG298" s="77"/>
      <c r="AH298" s="77"/>
      <c r="AI298" s="68"/>
      <c r="AJ298" s="213"/>
      <c r="AK298" s="213"/>
      <c r="AL298" s="213"/>
      <c r="AM298" s="213"/>
      <c r="AN298" s="74"/>
      <c r="AO298" s="73"/>
      <c r="AP298" s="73"/>
      <c r="AQ298" s="73"/>
      <c r="AR298" s="73"/>
      <c r="AS298" s="73"/>
      <c r="AT298" s="74"/>
      <c r="AU298" s="47"/>
      <c r="AV298" s="48"/>
    </row>
    <row r="299" spans="1:48" ht="12.75" customHeight="1" x14ac:dyDescent="0.25">
      <c r="A299" s="72" t="s">
        <v>20</v>
      </c>
      <c r="B299" s="43" t="s">
        <v>4043</v>
      </c>
      <c r="C299" s="44" t="s">
        <v>3627</v>
      </c>
      <c r="D299" s="45">
        <f>MROUND(MID($C299,6,3)/Basis!$E$3,0.5)</f>
        <v>9.5</v>
      </c>
      <c r="E299" s="45">
        <f>MROUND(MID($C299,9,3)/Basis!$E$3,0.5)</f>
        <v>47</v>
      </c>
      <c r="F299" s="229" t="str">
        <f t="shared" si="4"/>
        <v>11</v>
      </c>
      <c r="G299" s="45">
        <f>ROUND(5/Basis!$E$3,1)</f>
        <v>2</v>
      </c>
      <c r="H299" s="120">
        <f>ROUND($P299*Basis!$E$2*((TaH-TrH)/LN(1/µ)/Basis!$E$7)^$N299*Glycol,0)</f>
        <v>1288</v>
      </c>
      <c r="I299" s="83">
        <f>ROUND(H299/(MID($C299,9,3)/Basis!$E$3/Basis!$E$9)*Basis!$E$11,0)</f>
        <v>327</v>
      </c>
      <c r="J299" s="123">
        <f>IF(Basis!$E$1=1,ROUND(H299/((TaH-TrH)*1.163)/3600,3),ROUND(H299/(500*(TaH-TrH)),2))</f>
        <v>0.13</v>
      </c>
      <c r="K299" s="84"/>
      <c r="L299" s="177">
        <f>CHOOSE(Basis!$E$1,((AJ299*(J299*3600/Basis!$E$5)^AK299*(((MID(C299,9,3)*10)-144)/1000)*AL299+AM299*(J299*3600/Basis!$E$5)^2)*0.0098)/Basis!$E$10,((AJ299*(J299/Basis!$E$5)^AK299*(((MID(C299,9,3)*10)-144)/1000)*AL299+AM299*(J299/Basis!$E$5)^2)*0.0098)/Basis!$E$10)</f>
        <v>0</v>
      </c>
      <c r="M299" s="85"/>
      <c r="N299" s="110">
        <v>1.248</v>
      </c>
      <c r="O299" s="74"/>
      <c r="P299" s="73">
        <v>570</v>
      </c>
      <c r="Q299" s="74"/>
      <c r="R299" s="75"/>
      <c r="S299" s="75"/>
      <c r="T299" s="75"/>
      <c r="U299" s="75"/>
      <c r="V299" s="75"/>
      <c r="W299" s="74"/>
      <c r="X299" s="76"/>
      <c r="Y299" s="76"/>
      <c r="Z299" s="76"/>
      <c r="AA299" s="76"/>
      <c r="AB299" s="76"/>
      <c r="AC299" s="74"/>
      <c r="AD299" s="77"/>
      <c r="AE299" s="77"/>
      <c r="AF299" s="77"/>
      <c r="AG299" s="77"/>
      <c r="AH299" s="77"/>
      <c r="AI299" s="68"/>
      <c r="AJ299" s="213"/>
      <c r="AK299" s="213"/>
      <c r="AL299" s="213"/>
      <c r="AM299" s="213"/>
      <c r="AN299" s="74"/>
      <c r="AO299" s="73"/>
      <c r="AP299" s="73"/>
      <c r="AQ299" s="73"/>
      <c r="AR299" s="73"/>
      <c r="AS299" s="73"/>
      <c r="AT299" s="74"/>
      <c r="AU299" s="47"/>
      <c r="AV299" s="48"/>
    </row>
    <row r="300" spans="1:48" ht="12.75" customHeight="1" x14ac:dyDescent="0.25">
      <c r="A300" s="72" t="s">
        <v>20</v>
      </c>
      <c r="B300" s="43" t="s">
        <v>4043</v>
      </c>
      <c r="C300" s="44" t="s">
        <v>3628</v>
      </c>
      <c r="D300" s="45">
        <f>MROUND(MID($C300,6,3)/Basis!$E$3,0.5)</f>
        <v>9.5</v>
      </c>
      <c r="E300" s="45">
        <f>MROUND(MID($C300,9,3)/Basis!$E$3,0.5)</f>
        <v>47</v>
      </c>
      <c r="F300" s="229" t="str">
        <f t="shared" si="4"/>
        <v>22</v>
      </c>
      <c r="G300" s="45">
        <f>ROUND(9/Basis!$E$3,1)</f>
        <v>3.5</v>
      </c>
      <c r="H300" s="120">
        <f>ROUND($P300*Basis!$E$2*((TaH-TrH)/LN(1/µ)/Basis!$E$7)^$N300*Glycol,0)</f>
        <v>2083</v>
      </c>
      <c r="I300" s="83">
        <f>ROUND(H300/(MID($C300,9,3)/Basis!$E$3/Basis!$E$9)*Basis!$E$11,0)</f>
        <v>529</v>
      </c>
      <c r="J300" s="123">
        <f>IF(Basis!$E$1=1,ROUND(H300/((TaH-TrH)*1.163)/3600,3),ROUND(H300/(500*(TaH-TrH)),2))</f>
        <v>0.21</v>
      </c>
      <c r="K300" s="84"/>
      <c r="L300" s="177">
        <f>CHOOSE(Basis!$E$1,((AJ300*(J300*3600/Basis!$E$5)^AK300*(((MID(C300,9,3)*10)-144)/1000)*AL300+AM300*(J300*3600/Basis!$E$5)^2)*0.0098)/Basis!$E$10,((AJ300*(J300/Basis!$E$5)^AK300*(((MID(C300,9,3)*10)-144)/1000)*AL300+AM300*(J300/Basis!$E$5)^2)*0.0098)/Basis!$E$10)</f>
        <v>0</v>
      </c>
      <c r="M300" s="85"/>
      <c r="N300" s="109">
        <v>1.349</v>
      </c>
      <c r="O300" s="68"/>
      <c r="P300" s="67">
        <v>953</v>
      </c>
      <c r="Q300" s="68"/>
      <c r="R300" s="69"/>
      <c r="S300" s="69"/>
      <c r="T300" s="69"/>
      <c r="U300" s="69"/>
      <c r="V300" s="69"/>
      <c r="W300" s="68"/>
      <c r="X300" s="70"/>
      <c r="Y300" s="70"/>
      <c r="Z300" s="70"/>
      <c r="AA300" s="70"/>
      <c r="AB300" s="70"/>
      <c r="AC300" s="68"/>
      <c r="AD300" s="71"/>
      <c r="AE300" s="71"/>
      <c r="AF300" s="71"/>
      <c r="AG300" s="71"/>
      <c r="AH300" s="71"/>
      <c r="AI300" s="68"/>
      <c r="AJ300" s="214"/>
      <c r="AK300" s="214"/>
      <c r="AL300" s="214"/>
      <c r="AM300" s="214"/>
      <c r="AN300" s="68"/>
      <c r="AO300" s="67"/>
      <c r="AP300" s="67"/>
      <c r="AQ300" s="67"/>
      <c r="AR300" s="67"/>
      <c r="AS300" s="67"/>
      <c r="AT300" s="68"/>
      <c r="AU300" s="49"/>
      <c r="AV300" s="50"/>
    </row>
    <row r="301" spans="1:48" ht="12.75" customHeight="1" x14ac:dyDescent="0.25">
      <c r="A301" s="72" t="s">
        <v>20</v>
      </c>
      <c r="B301" s="43" t="s">
        <v>4043</v>
      </c>
      <c r="C301" s="44" t="s">
        <v>3629</v>
      </c>
      <c r="D301" s="45">
        <f>MROUND(MID($C301,6,3)/Basis!$E$3,0.5)</f>
        <v>9.5</v>
      </c>
      <c r="E301" s="45">
        <f>MROUND(MID($C301,9,3)/Basis!$E$3,0.5)</f>
        <v>47</v>
      </c>
      <c r="F301" s="229" t="str">
        <f t="shared" si="4"/>
        <v>34</v>
      </c>
      <c r="G301" s="45">
        <f>ROUND(16.9/Basis!$E$3,1)</f>
        <v>6.7</v>
      </c>
      <c r="H301" s="120">
        <f>ROUND($P301*Basis!$E$2*((TaH-TrH)/LN(1/µ)/Basis!$E$7)^$N301*Glycol,0)</f>
        <v>3696</v>
      </c>
      <c r="I301" s="83">
        <f>ROUND(H301/(MID($C301,9,3)/Basis!$E$3/Basis!$E$9)*Basis!$E$11,0)</f>
        <v>939</v>
      </c>
      <c r="J301" s="123">
        <f>IF(Basis!$E$1=1,ROUND(H301/((TaH-TrH)*1.163)/3600,3),ROUND(H301/(500*(TaH-TrH)),2))</f>
        <v>0.37</v>
      </c>
      <c r="K301" s="84"/>
      <c r="L301" s="177">
        <f>CHOOSE(Basis!$E$1,((AJ301*(J301*3600/Basis!$E$5)^AK301*(((MID(C301,9,3)*10)-144)/1000)*AL301+AM301*(J301*3600/Basis!$E$5)^2)*0.0098)/Basis!$E$10,((AJ301*(J301/Basis!$E$5)^AK301*(((MID(C301,9,3)*10)-144)/1000)*AL301+AM301*(J301/Basis!$E$5)^2)*0.0098)/Basis!$E$10)</f>
        <v>0</v>
      </c>
      <c r="M301" s="85"/>
      <c r="N301" s="109">
        <v>1.452</v>
      </c>
      <c r="O301" s="68"/>
      <c r="P301" s="67">
        <v>1749</v>
      </c>
      <c r="Q301" s="68"/>
      <c r="R301" s="69"/>
      <c r="S301" s="69"/>
      <c r="T301" s="69"/>
      <c r="U301" s="69"/>
      <c r="V301" s="69"/>
      <c r="W301" s="68"/>
      <c r="X301" s="70"/>
      <c r="Y301" s="70"/>
      <c r="Z301" s="70"/>
      <c r="AA301" s="70"/>
      <c r="AB301" s="70"/>
      <c r="AC301" s="68"/>
      <c r="AD301" s="71"/>
      <c r="AE301" s="71"/>
      <c r="AF301" s="71"/>
      <c r="AG301" s="71"/>
      <c r="AH301" s="71"/>
      <c r="AI301" s="68"/>
      <c r="AJ301" s="214"/>
      <c r="AK301" s="214"/>
      <c r="AL301" s="214"/>
      <c r="AM301" s="214"/>
      <c r="AN301" s="68"/>
      <c r="AO301" s="67"/>
      <c r="AP301" s="67"/>
      <c r="AQ301" s="67"/>
      <c r="AR301" s="67"/>
      <c r="AS301" s="67"/>
      <c r="AT301" s="68"/>
      <c r="AU301" s="49"/>
      <c r="AV301" s="50"/>
    </row>
    <row r="302" spans="1:48" ht="12.75" customHeight="1" x14ac:dyDescent="0.25">
      <c r="A302" s="72" t="s">
        <v>20</v>
      </c>
      <c r="B302" s="43" t="s">
        <v>4043</v>
      </c>
      <c r="C302" s="44" t="s">
        <v>3630</v>
      </c>
      <c r="D302" s="45">
        <f>MROUND(MID($C302,6,3)/Basis!$E$3,0.5)</f>
        <v>9.5</v>
      </c>
      <c r="E302" s="45">
        <f>MROUND(MID($C302,9,3)/Basis!$E$3,0.5)</f>
        <v>55</v>
      </c>
      <c r="F302" s="229" t="str">
        <f t="shared" si="4"/>
        <v>11</v>
      </c>
      <c r="G302" s="45">
        <f>ROUND(5/Basis!$E$3,1)</f>
        <v>2</v>
      </c>
      <c r="H302" s="120">
        <f>ROUND($P302*Basis!$E$2*((TaH-TrH)/LN(1/µ)/Basis!$E$7)^$N302*Glycol,0)</f>
        <v>1503</v>
      </c>
      <c r="I302" s="83">
        <f>ROUND(H302/(MID($C302,9,3)/Basis!$E$3/Basis!$E$9)*Basis!$E$11,0)</f>
        <v>327</v>
      </c>
      <c r="J302" s="123">
        <f>IF(Basis!$E$1=1,ROUND(H302/((TaH-TrH)*1.163)/3600,3),ROUND(H302/(500*(TaH-TrH)),2))</f>
        <v>0.15</v>
      </c>
      <c r="K302" s="84"/>
      <c r="L302" s="177">
        <f>CHOOSE(Basis!$E$1,((AJ302*(J302*3600/Basis!$E$5)^AK302*(((MID(C302,9,3)*10)-144)/1000)*AL302+AM302*(J302*3600/Basis!$E$5)^2)*0.0098)/Basis!$E$10,((AJ302*(J302/Basis!$E$5)^AK302*(((MID(C302,9,3)*10)-144)/1000)*AL302+AM302*(J302/Basis!$E$5)^2)*0.0098)/Basis!$E$10)</f>
        <v>0</v>
      </c>
      <c r="M302" s="85"/>
      <c r="N302" s="110">
        <v>1.248</v>
      </c>
      <c r="O302" s="74"/>
      <c r="P302" s="73">
        <v>665</v>
      </c>
      <c r="Q302" s="74"/>
      <c r="R302" s="75"/>
      <c r="S302" s="75"/>
      <c r="T302" s="75"/>
      <c r="U302" s="75"/>
      <c r="V302" s="75"/>
      <c r="W302" s="74"/>
      <c r="X302" s="76"/>
      <c r="Y302" s="76"/>
      <c r="Z302" s="76"/>
      <c r="AA302" s="76"/>
      <c r="AB302" s="76"/>
      <c r="AC302" s="74"/>
      <c r="AD302" s="77"/>
      <c r="AE302" s="77"/>
      <c r="AF302" s="77"/>
      <c r="AG302" s="77"/>
      <c r="AH302" s="77"/>
      <c r="AI302" s="68"/>
      <c r="AJ302" s="213"/>
      <c r="AK302" s="213"/>
      <c r="AL302" s="213"/>
      <c r="AM302" s="213"/>
      <c r="AN302" s="74"/>
      <c r="AO302" s="73"/>
      <c r="AP302" s="73"/>
      <c r="AQ302" s="73"/>
      <c r="AR302" s="73"/>
      <c r="AS302" s="73"/>
      <c r="AT302" s="74"/>
      <c r="AU302" s="47"/>
      <c r="AV302" s="48"/>
    </row>
    <row r="303" spans="1:48" ht="12.75" customHeight="1" x14ac:dyDescent="0.25">
      <c r="A303" s="72" t="s">
        <v>20</v>
      </c>
      <c r="B303" s="43" t="s">
        <v>4043</v>
      </c>
      <c r="C303" s="44" t="s">
        <v>3631</v>
      </c>
      <c r="D303" s="45">
        <f>MROUND(MID($C303,6,3)/Basis!$E$3,0.5)</f>
        <v>9.5</v>
      </c>
      <c r="E303" s="45">
        <f>MROUND(MID($C303,9,3)/Basis!$E$3,0.5)</f>
        <v>55</v>
      </c>
      <c r="F303" s="229" t="str">
        <f t="shared" si="4"/>
        <v>22</v>
      </c>
      <c r="G303" s="45">
        <f>ROUND(9/Basis!$E$3,1)</f>
        <v>3.5</v>
      </c>
      <c r="H303" s="120">
        <f>ROUND($P303*Basis!$E$2*((TaH-TrH)/LN(1/µ)/Basis!$E$7)^$N303*Glycol,0)</f>
        <v>2431</v>
      </c>
      <c r="I303" s="83">
        <f>ROUND(H303/(MID($C303,9,3)/Basis!$E$3/Basis!$E$9)*Basis!$E$11,0)</f>
        <v>529</v>
      </c>
      <c r="J303" s="123">
        <f>IF(Basis!$E$1=1,ROUND(H303/((TaH-TrH)*1.163)/3600,3),ROUND(H303/(500*(TaH-TrH)),2))</f>
        <v>0.24</v>
      </c>
      <c r="K303" s="84"/>
      <c r="L303" s="177">
        <f>CHOOSE(Basis!$E$1,((AJ303*(J303*3600/Basis!$E$5)^AK303*(((MID(C303,9,3)*10)-144)/1000)*AL303+AM303*(J303*3600/Basis!$E$5)^2)*0.0098)/Basis!$E$10,((AJ303*(J303/Basis!$E$5)^AK303*(((MID(C303,9,3)*10)-144)/1000)*AL303+AM303*(J303/Basis!$E$5)^2)*0.0098)/Basis!$E$10)</f>
        <v>0</v>
      </c>
      <c r="M303" s="85"/>
      <c r="N303" s="110">
        <v>1.349</v>
      </c>
      <c r="O303" s="74"/>
      <c r="P303" s="73">
        <v>1112</v>
      </c>
      <c r="Q303" s="74"/>
      <c r="R303" s="75"/>
      <c r="S303" s="75"/>
      <c r="T303" s="75"/>
      <c r="U303" s="75"/>
      <c r="V303" s="75"/>
      <c r="W303" s="74"/>
      <c r="X303" s="76"/>
      <c r="Y303" s="76"/>
      <c r="Z303" s="76"/>
      <c r="AA303" s="76"/>
      <c r="AB303" s="76"/>
      <c r="AC303" s="74"/>
      <c r="AD303" s="77"/>
      <c r="AE303" s="77"/>
      <c r="AF303" s="77"/>
      <c r="AG303" s="77"/>
      <c r="AH303" s="77"/>
      <c r="AI303" s="68"/>
      <c r="AJ303" s="213"/>
      <c r="AK303" s="213"/>
      <c r="AL303" s="213"/>
      <c r="AM303" s="213"/>
      <c r="AN303" s="74"/>
      <c r="AO303" s="73"/>
      <c r="AP303" s="73"/>
      <c r="AQ303" s="73"/>
      <c r="AR303" s="73"/>
      <c r="AS303" s="73"/>
      <c r="AT303" s="74"/>
      <c r="AU303" s="47"/>
      <c r="AV303" s="48"/>
    </row>
    <row r="304" spans="1:48" ht="12.75" customHeight="1" x14ac:dyDescent="0.25">
      <c r="A304" s="72" t="s">
        <v>20</v>
      </c>
      <c r="B304" s="43" t="s">
        <v>4043</v>
      </c>
      <c r="C304" s="44" t="s">
        <v>3632</v>
      </c>
      <c r="D304" s="45">
        <f>MROUND(MID($C304,6,3)/Basis!$E$3,0.5)</f>
        <v>9.5</v>
      </c>
      <c r="E304" s="45">
        <f>MROUND(MID($C304,9,3)/Basis!$E$3,0.5)</f>
        <v>55</v>
      </c>
      <c r="F304" s="229" t="str">
        <f t="shared" si="4"/>
        <v>34</v>
      </c>
      <c r="G304" s="45">
        <f>ROUND(16.9/Basis!$E$3,1)</f>
        <v>6.7</v>
      </c>
      <c r="H304" s="120">
        <f>ROUND($P304*Basis!$E$2*((TaH-TrH)/LN(1/µ)/Basis!$E$7)^$N304*Glycol,0)</f>
        <v>4313</v>
      </c>
      <c r="I304" s="83">
        <f>ROUND(H304/(MID($C304,9,3)/Basis!$E$3/Basis!$E$9)*Basis!$E$11,0)</f>
        <v>939</v>
      </c>
      <c r="J304" s="123">
        <f>IF(Basis!$E$1=1,ROUND(H304/((TaH-TrH)*1.163)/3600,3),ROUND(H304/(500*(TaH-TrH)),2))</f>
        <v>0.43</v>
      </c>
      <c r="K304" s="84"/>
      <c r="L304" s="177">
        <f>CHOOSE(Basis!$E$1,((AJ304*(J304*3600/Basis!$E$5)^AK304*(((MID(C304,9,3)*10)-144)/1000)*AL304+AM304*(J304*3600/Basis!$E$5)^2)*0.0098)/Basis!$E$10,((AJ304*(J304/Basis!$E$5)^AK304*(((MID(C304,9,3)*10)-144)/1000)*AL304+AM304*(J304/Basis!$E$5)^2)*0.0098)/Basis!$E$10)</f>
        <v>0</v>
      </c>
      <c r="M304" s="85"/>
      <c r="N304" s="109">
        <v>1.452</v>
      </c>
      <c r="O304" s="68"/>
      <c r="P304" s="67">
        <v>2041</v>
      </c>
      <c r="Q304" s="68"/>
      <c r="R304" s="69"/>
      <c r="S304" s="69"/>
      <c r="T304" s="69"/>
      <c r="U304" s="69"/>
      <c r="V304" s="69"/>
      <c r="W304" s="68"/>
      <c r="X304" s="70"/>
      <c r="Y304" s="70"/>
      <c r="Z304" s="70"/>
      <c r="AA304" s="70"/>
      <c r="AB304" s="70"/>
      <c r="AC304" s="68"/>
      <c r="AD304" s="71"/>
      <c r="AE304" s="71"/>
      <c r="AF304" s="71"/>
      <c r="AG304" s="71"/>
      <c r="AH304" s="71"/>
      <c r="AI304" s="68"/>
      <c r="AJ304" s="214"/>
      <c r="AK304" s="214"/>
      <c r="AL304" s="214"/>
      <c r="AM304" s="214"/>
      <c r="AN304" s="68"/>
      <c r="AO304" s="67"/>
      <c r="AP304" s="67"/>
      <c r="AQ304" s="67"/>
      <c r="AR304" s="67"/>
      <c r="AS304" s="67"/>
      <c r="AT304" s="68"/>
      <c r="AU304" s="49"/>
      <c r="AV304" s="50"/>
    </row>
    <row r="305" spans="1:48" ht="12.75" customHeight="1" x14ac:dyDescent="0.25">
      <c r="A305" s="72" t="s">
        <v>20</v>
      </c>
      <c r="B305" s="43" t="s">
        <v>4043</v>
      </c>
      <c r="C305" s="44" t="s">
        <v>3633</v>
      </c>
      <c r="D305" s="45">
        <f>MROUND(MID($C305,6,3)/Basis!$E$3,0.5)</f>
        <v>9.5</v>
      </c>
      <c r="E305" s="45">
        <f>MROUND(MID($C305,9,3)/Basis!$E$3,0.5)</f>
        <v>63</v>
      </c>
      <c r="F305" s="229" t="str">
        <f t="shared" si="4"/>
        <v>11</v>
      </c>
      <c r="G305" s="45">
        <f>ROUND(5/Basis!$E$3,1)</f>
        <v>2</v>
      </c>
      <c r="H305" s="120">
        <f>ROUND($P305*Basis!$E$2*((TaH-TrH)/LN(1/µ)/Basis!$E$7)^$N305*Glycol,0)</f>
        <v>1718</v>
      </c>
      <c r="I305" s="83">
        <f>ROUND(H305/(MID($C305,9,3)/Basis!$E$3/Basis!$E$9)*Basis!$E$11,0)</f>
        <v>327</v>
      </c>
      <c r="J305" s="123">
        <f>IF(Basis!$E$1=1,ROUND(H305/((TaH-TrH)*1.163)/3600,3),ROUND(H305/(500*(TaH-TrH)),2))</f>
        <v>0.17</v>
      </c>
      <c r="K305" s="84"/>
      <c r="L305" s="177">
        <f>CHOOSE(Basis!$E$1,((AJ305*(J305*3600/Basis!$E$5)^AK305*(((MID(C305,9,3)*10)-144)/1000)*AL305+AM305*(J305*3600/Basis!$E$5)^2)*0.0098)/Basis!$E$10,((AJ305*(J305/Basis!$E$5)^AK305*(((MID(C305,9,3)*10)-144)/1000)*AL305+AM305*(J305/Basis!$E$5)^2)*0.0098)/Basis!$E$10)</f>
        <v>0</v>
      </c>
      <c r="M305" s="85"/>
      <c r="N305" s="109">
        <v>1.248</v>
      </c>
      <c r="O305" s="68"/>
      <c r="P305" s="67">
        <v>760</v>
      </c>
      <c r="Q305" s="68"/>
      <c r="R305" s="69"/>
      <c r="S305" s="69"/>
      <c r="T305" s="69"/>
      <c r="U305" s="69"/>
      <c r="V305" s="69"/>
      <c r="W305" s="68"/>
      <c r="X305" s="70"/>
      <c r="Y305" s="70"/>
      <c r="Z305" s="70"/>
      <c r="AA305" s="70"/>
      <c r="AB305" s="70"/>
      <c r="AC305" s="68"/>
      <c r="AD305" s="71"/>
      <c r="AE305" s="71"/>
      <c r="AF305" s="71"/>
      <c r="AG305" s="71"/>
      <c r="AH305" s="71"/>
      <c r="AI305" s="68"/>
      <c r="AJ305" s="214"/>
      <c r="AK305" s="214"/>
      <c r="AL305" s="214"/>
      <c r="AM305" s="214"/>
      <c r="AN305" s="68"/>
      <c r="AO305" s="67"/>
      <c r="AP305" s="67"/>
      <c r="AQ305" s="67"/>
      <c r="AR305" s="67"/>
      <c r="AS305" s="67"/>
      <c r="AT305" s="68"/>
      <c r="AU305" s="49"/>
      <c r="AV305" s="50"/>
    </row>
    <row r="306" spans="1:48" ht="12.75" customHeight="1" x14ac:dyDescent="0.25">
      <c r="A306" s="72" t="s">
        <v>20</v>
      </c>
      <c r="B306" s="43" t="s">
        <v>4043</v>
      </c>
      <c r="C306" s="44" t="s">
        <v>3634</v>
      </c>
      <c r="D306" s="45">
        <f>MROUND(MID($C306,6,3)/Basis!$E$3,0.5)</f>
        <v>9.5</v>
      </c>
      <c r="E306" s="45">
        <f>MROUND(MID($C306,9,3)/Basis!$E$3,0.5)</f>
        <v>63</v>
      </c>
      <c r="F306" s="229" t="str">
        <f t="shared" si="4"/>
        <v>22</v>
      </c>
      <c r="G306" s="45">
        <f>ROUND(9/Basis!$E$3,1)</f>
        <v>3.5</v>
      </c>
      <c r="H306" s="120">
        <f>ROUND($P306*Basis!$E$2*((TaH-TrH)/LN(1/µ)/Basis!$E$7)^$N306*Glycol,0)</f>
        <v>2779</v>
      </c>
      <c r="I306" s="83">
        <f>ROUND(H306/(MID($C306,9,3)/Basis!$E$3/Basis!$E$9)*Basis!$E$11,0)</f>
        <v>529</v>
      </c>
      <c r="J306" s="123">
        <f>IF(Basis!$E$1=1,ROUND(H306/((TaH-TrH)*1.163)/3600,3),ROUND(H306/(500*(TaH-TrH)),2))</f>
        <v>0.28000000000000003</v>
      </c>
      <c r="K306" s="84"/>
      <c r="L306" s="177">
        <f>CHOOSE(Basis!$E$1,((AJ306*(J306*3600/Basis!$E$5)^AK306*(((MID(C306,9,3)*10)-144)/1000)*AL306+AM306*(J306*3600/Basis!$E$5)^2)*0.0098)/Basis!$E$10,((AJ306*(J306/Basis!$E$5)^AK306*(((MID(C306,9,3)*10)-144)/1000)*AL306+AM306*(J306/Basis!$E$5)^2)*0.0098)/Basis!$E$10)</f>
        <v>0</v>
      </c>
      <c r="M306" s="85"/>
      <c r="N306" s="110">
        <v>1.349</v>
      </c>
      <c r="O306" s="74"/>
      <c r="P306" s="73">
        <v>1271</v>
      </c>
      <c r="Q306" s="74"/>
      <c r="R306" s="75"/>
      <c r="S306" s="75"/>
      <c r="T306" s="75"/>
      <c r="U306" s="75"/>
      <c r="V306" s="75"/>
      <c r="W306" s="74"/>
      <c r="X306" s="76"/>
      <c r="Y306" s="76"/>
      <c r="Z306" s="76"/>
      <c r="AA306" s="76"/>
      <c r="AB306" s="76"/>
      <c r="AC306" s="74"/>
      <c r="AD306" s="77"/>
      <c r="AE306" s="77"/>
      <c r="AF306" s="77"/>
      <c r="AG306" s="77"/>
      <c r="AH306" s="77"/>
      <c r="AI306" s="68"/>
      <c r="AJ306" s="213"/>
      <c r="AK306" s="213"/>
      <c r="AL306" s="213"/>
      <c r="AM306" s="213"/>
      <c r="AN306" s="74"/>
      <c r="AO306" s="73"/>
      <c r="AP306" s="73"/>
      <c r="AQ306" s="73"/>
      <c r="AR306" s="73"/>
      <c r="AS306" s="73"/>
      <c r="AT306" s="74"/>
      <c r="AU306" s="47"/>
      <c r="AV306" s="48"/>
    </row>
    <row r="307" spans="1:48" ht="12.75" customHeight="1" x14ac:dyDescent="0.25">
      <c r="A307" s="72" t="s">
        <v>20</v>
      </c>
      <c r="B307" s="43" t="s">
        <v>4043</v>
      </c>
      <c r="C307" s="44" t="s">
        <v>3635</v>
      </c>
      <c r="D307" s="45">
        <f>MROUND(MID($C307,6,3)/Basis!$E$3,0.5)</f>
        <v>9.5</v>
      </c>
      <c r="E307" s="45">
        <f>MROUND(MID($C307,9,3)/Basis!$E$3,0.5)</f>
        <v>63</v>
      </c>
      <c r="F307" s="229" t="str">
        <f t="shared" si="4"/>
        <v>34</v>
      </c>
      <c r="G307" s="45">
        <f>ROUND(16.9/Basis!$E$3,1)</f>
        <v>6.7</v>
      </c>
      <c r="H307" s="120">
        <f>ROUND($P307*Basis!$E$2*((TaH-TrH)/LN(1/µ)/Basis!$E$7)^$N307*Glycol,0)</f>
        <v>4928</v>
      </c>
      <c r="I307" s="83">
        <f>ROUND(H307/(MID($C307,9,3)/Basis!$E$3/Basis!$E$9)*Basis!$E$11,0)</f>
        <v>939</v>
      </c>
      <c r="J307" s="123">
        <f>IF(Basis!$E$1=1,ROUND(H307/((TaH-TrH)*1.163)/3600,3),ROUND(H307/(500*(TaH-TrH)),2))</f>
        <v>0.49</v>
      </c>
      <c r="K307" s="84"/>
      <c r="L307" s="177">
        <f>CHOOSE(Basis!$E$1,((AJ307*(J307*3600/Basis!$E$5)^AK307*(((MID(C307,9,3)*10)-144)/1000)*AL307+AM307*(J307*3600/Basis!$E$5)^2)*0.0098)/Basis!$E$10,((AJ307*(J307/Basis!$E$5)^AK307*(((MID(C307,9,3)*10)-144)/1000)*AL307+AM307*(J307/Basis!$E$5)^2)*0.0098)/Basis!$E$10)</f>
        <v>0</v>
      </c>
      <c r="M307" s="85"/>
      <c r="N307" s="110">
        <v>1.452</v>
      </c>
      <c r="O307" s="74"/>
      <c r="P307" s="73">
        <v>2332</v>
      </c>
      <c r="Q307" s="74"/>
      <c r="R307" s="75"/>
      <c r="S307" s="75"/>
      <c r="T307" s="75"/>
      <c r="U307" s="75"/>
      <c r="V307" s="75"/>
      <c r="W307" s="74"/>
      <c r="X307" s="76"/>
      <c r="Y307" s="76"/>
      <c r="Z307" s="76"/>
      <c r="AA307" s="76"/>
      <c r="AB307" s="76"/>
      <c r="AC307" s="74"/>
      <c r="AD307" s="77"/>
      <c r="AE307" s="77"/>
      <c r="AF307" s="77"/>
      <c r="AG307" s="77"/>
      <c r="AH307" s="77"/>
      <c r="AI307" s="68"/>
      <c r="AJ307" s="213"/>
      <c r="AK307" s="213"/>
      <c r="AL307" s="213"/>
      <c r="AM307" s="213"/>
      <c r="AN307" s="74"/>
      <c r="AO307" s="73"/>
      <c r="AP307" s="73"/>
      <c r="AQ307" s="73"/>
      <c r="AR307" s="73"/>
      <c r="AS307" s="73"/>
      <c r="AT307" s="74"/>
      <c r="AU307" s="47"/>
      <c r="AV307" s="48"/>
    </row>
    <row r="308" spans="1:48" ht="12.75" customHeight="1" x14ac:dyDescent="0.25">
      <c r="A308" s="72" t="s">
        <v>20</v>
      </c>
      <c r="B308" s="43" t="s">
        <v>4043</v>
      </c>
      <c r="C308" s="44" t="s">
        <v>3636</v>
      </c>
      <c r="D308" s="45">
        <f>MROUND(MID($C308,6,3)/Basis!$E$3,0.5)</f>
        <v>9.5</v>
      </c>
      <c r="E308" s="45">
        <f>MROUND(MID($C308,9,3)/Basis!$E$3,0.5)</f>
        <v>71</v>
      </c>
      <c r="F308" s="229" t="str">
        <f t="shared" si="4"/>
        <v>11</v>
      </c>
      <c r="G308" s="45">
        <f>ROUND(5/Basis!$E$3,1)</f>
        <v>2</v>
      </c>
      <c r="H308" s="120">
        <f>ROUND($P308*Basis!$E$2*((TaH-TrH)/LN(1/µ)/Basis!$E$7)^$N308*Glycol,0)</f>
        <v>1932</v>
      </c>
      <c r="I308" s="83">
        <f>ROUND(H308/(MID($C308,9,3)/Basis!$E$3/Basis!$E$9)*Basis!$E$11,0)</f>
        <v>327</v>
      </c>
      <c r="J308" s="123">
        <f>IF(Basis!$E$1=1,ROUND(H308/((TaH-TrH)*1.163)/3600,3),ROUND(H308/(500*(TaH-TrH)),2))</f>
        <v>0.19</v>
      </c>
      <c r="K308" s="84"/>
      <c r="L308" s="177">
        <f>CHOOSE(Basis!$E$1,((AJ308*(J308*3600/Basis!$E$5)^AK308*(((MID(C308,9,3)*10)-144)/1000)*AL308+AM308*(J308*3600/Basis!$E$5)^2)*0.0098)/Basis!$E$10,((AJ308*(J308/Basis!$E$5)^AK308*(((MID(C308,9,3)*10)-144)/1000)*AL308+AM308*(J308/Basis!$E$5)^2)*0.0098)/Basis!$E$10)</f>
        <v>0</v>
      </c>
      <c r="M308" s="85"/>
      <c r="N308" s="109">
        <v>1.248</v>
      </c>
      <c r="O308" s="68"/>
      <c r="P308" s="67">
        <v>855</v>
      </c>
      <c r="Q308" s="68"/>
      <c r="R308" s="69"/>
      <c r="S308" s="69"/>
      <c r="T308" s="69"/>
      <c r="U308" s="69"/>
      <c r="V308" s="69"/>
      <c r="W308" s="68"/>
      <c r="X308" s="70"/>
      <c r="Y308" s="70"/>
      <c r="Z308" s="70"/>
      <c r="AA308" s="70"/>
      <c r="AB308" s="70"/>
      <c r="AC308" s="68"/>
      <c r="AD308" s="71"/>
      <c r="AE308" s="71"/>
      <c r="AF308" s="71"/>
      <c r="AG308" s="71"/>
      <c r="AH308" s="71"/>
      <c r="AI308" s="68"/>
      <c r="AJ308" s="214"/>
      <c r="AK308" s="214"/>
      <c r="AL308" s="214"/>
      <c r="AM308" s="214"/>
      <c r="AN308" s="68"/>
      <c r="AO308" s="67"/>
      <c r="AP308" s="67"/>
      <c r="AQ308" s="67"/>
      <c r="AR308" s="67"/>
      <c r="AS308" s="67"/>
      <c r="AT308" s="68"/>
      <c r="AU308" s="49"/>
      <c r="AV308" s="50"/>
    </row>
    <row r="309" spans="1:48" ht="12.75" customHeight="1" x14ac:dyDescent="0.25">
      <c r="A309" s="72" t="s">
        <v>20</v>
      </c>
      <c r="B309" s="43" t="s">
        <v>4043</v>
      </c>
      <c r="C309" s="44" t="s">
        <v>3637</v>
      </c>
      <c r="D309" s="45">
        <f>MROUND(MID($C309,6,3)/Basis!$E$3,0.5)</f>
        <v>9.5</v>
      </c>
      <c r="E309" s="45">
        <f>MROUND(MID($C309,9,3)/Basis!$E$3,0.5)</f>
        <v>71</v>
      </c>
      <c r="F309" s="229" t="str">
        <f t="shared" si="4"/>
        <v>22</v>
      </c>
      <c r="G309" s="45">
        <f>ROUND(9/Basis!$E$3,1)</f>
        <v>3.5</v>
      </c>
      <c r="H309" s="120">
        <f>ROUND($P309*Basis!$E$2*((TaH-TrH)/LN(1/µ)/Basis!$E$7)^$N309*Glycol,0)</f>
        <v>3126</v>
      </c>
      <c r="I309" s="83">
        <f>ROUND(H309/(MID($C309,9,3)/Basis!$E$3/Basis!$E$9)*Basis!$E$11,0)</f>
        <v>529</v>
      </c>
      <c r="J309" s="123">
        <f>IF(Basis!$E$1=1,ROUND(H309/((TaH-TrH)*1.163)/3600,3),ROUND(H309/(500*(TaH-TrH)),2))</f>
        <v>0.31</v>
      </c>
      <c r="K309" s="84"/>
      <c r="L309" s="177">
        <f>CHOOSE(Basis!$E$1,((AJ309*(J309*3600/Basis!$E$5)^AK309*(((MID(C309,9,3)*10)-144)/1000)*AL309+AM309*(J309*3600/Basis!$E$5)^2)*0.0098)/Basis!$E$10,((AJ309*(J309/Basis!$E$5)^AK309*(((MID(C309,9,3)*10)-144)/1000)*AL309+AM309*(J309/Basis!$E$5)^2)*0.0098)/Basis!$E$10)</f>
        <v>0</v>
      </c>
      <c r="M309" s="85"/>
      <c r="N309" s="109">
        <v>1.349</v>
      </c>
      <c r="O309" s="68"/>
      <c r="P309" s="67">
        <v>1430</v>
      </c>
      <c r="Q309" s="68"/>
      <c r="R309" s="69"/>
      <c r="S309" s="69"/>
      <c r="T309" s="69"/>
      <c r="U309" s="69"/>
      <c r="V309" s="69"/>
      <c r="W309" s="68"/>
      <c r="X309" s="70"/>
      <c r="Y309" s="70"/>
      <c r="Z309" s="70"/>
      <c r="AA309" s="70"/>
      <c r="AB309" s="70"/>
      <c r="AC309" s="68"/>
      <c r="AD309" s="71"/>
      <c r="AE309" s="71"/>
      <c r="AF309" s="71"/>
      <c r="AG309" s="71"/>
      <c r="AH309" s="71"/>
      <c r="AI309" s="68"/>
      <c r="AJ309" s="214"/>
      <c r="AK309" s="214"/>
      <c r="AL309" s="214"/>
      <c r="AM309" s="214"/>
      <c r="AN309" s="68"/>
      <c r="AO309" s="67"/>
      <c r="AP309" s="67"/>
      <c r="AQ309" s="67"/>
      <c r="AR309" s="67"/>
      <c r="AS309" s="67"/>
      <c r="AT309" s="68"/>
      <c r="AU309" s="49"/>
      <c r="AV309" s="50"/>
    </row>
    <row r="310" spans="1:48" ht="12.75" customHeight="1" x14ac:dyDescent="0.25">
      <c r="A310" s="72" t="s">
        <v>20</v>
      </c>
      <c r="B310" s="43" t="s">
        <v>4043</v>
      </c>
      <c r="C310" s="44" t="s">
        <v>3638</v>
      </c>
      <c r="D310" s="45">
        <f>MROUND(MID($C310,6,3)/Basis!$E$3,0.5)</f>
        <v>9.5</v>
      </c>
      <c r="E310" s="45">
        <f>MROUND(MID($C310,9,3)/Basis!$E$3,0.5)</f>
        <v>71</v>
      </c>
      <c r="F310" s="229" t="str">
        <f t="shared" si="4"/>
        <v>34</v>
      </c>
      <c r="G310" s="45">
        <f>ROUND(16.9/Basis!$E$3,1)</f>
        <v>6.7</v>
      </c>
      <c r="H310" s="120">
        <f>ROUND($P310*Basis!$E$2*((TaH-TrH)/LN(1/µ)/Basis!$E$7)^$N310*Glycol,0)</f>
        <v>5545</v>
      </c>
      <c r="I310" s="83">
        <f>ROUND(H310/(MID($C310,9,3)/Basis!$E$3/Basis!$E$9)*Basis!$E$11,0)</f>
        <v>939</v>
      </c>
      <c r="J310" s="123">
        <f>IF(Basis!$E$1=1,ROUND(H310/((TaH-TrH)*1.163)/3600,3),ROUND(H310/(500*(TaH-TrH)),2))</f>
        <v>0.55000000000000004</v>
      </c>
      <c r="K310" s="84"/>
      <c r="L310" s="177">
        <f>CHOOSE(Basis!$E$1,((AJ310*(J310*3600/Basis!$E$5)^AK310*(((MID(C310,9,3)*10)-144)/1000)*AL310+AM310*(J310*3600/Basis!$E$5)^2)*0.0098)/Basis!$E$10,((AJ310*(J310/Basis!$E$5)^AK310*(((MID(C310,9,3)*10)-144)/1000)*AL310+AM310*(J310/Basis!$E$5)^2)*0.0098)/Basis!$E$10)</f>
        <v>0</v>
      </c>
      <c r="M310" s="85"/>
      <c r="N310" s="110">
        <v>1.452</v>
      </c>
      <c r="O310" s="74"/>
      <c r="P310" s="73">
        <v>2624</v>
      </c>
      <c r="Q310" s="74"/>
      <c r="R310" s="75"/>
      <c r="S310" s="75"/>
      <c r="T310" s="75"/>
      <c r="U310" s="75"/>
      <c r="V310" s="75"/>
      <c r="W310" s="74"/>
      <c r="X310" s="76"/>
      <c r="Y310" s="76"/>
      <c r="Z310" s="76"/>
      <c r="AA310" s="76"/>
      <c r="AB310" s="76"/>
      <c r="AC310" s="74"/>
      <c r="AD310" s="77"/>
      <c r="AE310" s="77"/>
      <c r="AF310" s="77"/>
      <c r="AG310" s="77"/>
      <c r="AH310" s="77"/>
      <c r="AI310" s="68"/>
      <c r="AJ310" s="213"/>
      <c r="AK310" s="213"/>
      <c r="AL310" s="213"/>
      <c r="AM310" s="213"/>
      <c r="AN310" s="74"/>
      <c r="AO310" s="73"/>
      <c r="AP310" s="73"/>
      <c r="AQ310" s="73"/>
      <c r="AR310" s="73"/>
      <c r="AS310" s="73"/>
      <c r="AT310" s="74"/>
      <c r="AU310" s="47"/>
      <c r="AV310" s="48"/>
    </row>
    <row r="311" spans="1:48" ht="12.75" customHeight="1" x14ac:dyDescent="0.25">
      <c r="A311" s="72" t="s">
        <v>20</v>
      </c>
      <c r="B311" s="43" t="s">
        <v>4043</v>
      </c>
      <c r="C311" s="44" t="s">
        <v>3639</v>
      </c>
      <c r="D311" s="45">
        <f>MROUND(MID($C311,6,3)/Basis!$E$3,0.5)</f>
        <v>9.5</v>
      </c>
      <c r="E311" s="45">
        <f>MROUND(MID($C311,9,3)/Basis!$E$3,0.5)</f>
        <v>78.5</v>
      </c>
      <c r="F311" s="229" t="str">
        <f t="shared" si="4"/>
        <v>11</v>
      </c>
      <c r="G311" s="45">
        <f>ROUND(5/Basis!$E$3,1)</f>
        <v>2</v>
      </c>
      <c r="H311" s="120">
        <f>ROUND($P311*Basis!$E$2*((TaH-TrH)/LN(1/µ)/Basis!$E$7)^$N311*Glycol,0)</f>
        <v>2147</v>
      </c>
      <c r="I311" s="83">
        <f>ROUND(H311/(MID($C311,9,3)/Basis!$E$3/Basis!$E$9)*Basis!$E$11,0)</f>
        <v>327</v>
      </c>
      <c r="J311" s="123">
        <f>IF(Basis!$E$1=1,ROUND(H311/((TaH-TrH)*1.163)/3600,3),ROUND(H311/(500*(TaH-TrH)),2))</f>
        <v>0.21</v>
      </c>
      <c r="K311" s="84"/>
      <c r="L311" s="177">
        <f>CHOOSE(Basis!$E$1,((AJ311*(J311*3600/Basis!$E$5)^AK311*(((MID(C311,9,3)*10)-144)/1000)*AL311+AM311*(J311*3600/Basis!$E$5)^2)*0.0098)/Basis!$E$10,((AJ311*(J311/Basis!$E$5)^AK311*(((MID(C311,9,3)*10)-144)/1000)*AL311+AM311*(J311/Basis!$E$5)^2)*0.0098)/Basis!$E$10)</f>
        <v>0</v>
      </c>
      <c r="M311" s="85"/>
      <c r="N311" s="110">
        <v>1.248</v>
      </c>
      <c r="O311" s="74"/>
      <c r="P311" s="73">
        <v>950</v>
      </c>
      <c r="Q311" s="74"/>
      <c r="R311" s="75"/>
      <c r="S311" s="75"/>
      <c r="T311" s="75"/>
      <c r="U311" s="75"/>
      <c r="V311" s="75"/>
      <c r="W311" s="74"/>
      <c r="X311" s="76"/>
      <c r="Y311" s="76"/>
      <c r="Z311" s="76"/>
      <c r="AA311" s="76"/>
      <c r="AB311" s="76"/>
      <c r="AC311" s="74"/>
      <c r="AD311" s="77"/>
      <c r="AE311" s="77"/>
      <c r="AF311" s="77"/>
      <c r="AG311" s="77"/>
      <c r="AH311" s="77"/>
      <c r="AI311" s="68"/>
      <c r="AJ311" s="213"/>
      <c r="AK311" s="213"/>
      <c r="AL311" s="213"/>
      <c r="AM311" s="213"/>
      <c r="AN311" s="74"/>
      <c r="AO311" s="73"/>
      <c r="AP311" s="73"/>
      <c r="AQ311" s="73"/>
      <c r="AR311" s="73"/>
      <c r="AS311" s="73"/>
      <c r="AT311" s="74"/>
      <c r="AU311" s="47"/>
      <c r="AV311" s="48"/>
    </row>
    <row r="312" spans="1:48" ht="12.75" customHeight="1" x14ac:dyDescent="0.25">
      <c r="A312" s="72" t="s">
        <v>20</v>
      </c>
      <c r="B312" s="43" t="s">
        <v>4043</v>
      </c>
      <c r="C312" s="44" t="s">
        <v>3640</v>
      </c>
      <c r="D312" s="45">
        <f>MROUND(MID($C312,6,3)/Basis!$E$3,0.5)</f>
        <v>9.5</v>
      </c>
      <c r="E312" s="45">
        <f>MROUND(MID($C312,9,3)/Basis!$E$3,0.5)</f>
        <v>78.5</v>
      </c>
      <c r="F312" s="229" t="str">
        <f t="shared" si="4"/>
        <v>22</v>
      </c>
      <c r="G312" s="45">
        <f>ROUND(9/Basis!$E$3,1)</f>
        <v>3.5</v>
      </c>
      <c r="H312" s="120">
        <f>ROUND($P312*Basis!$E$2*((TaH-TrH)/LN(1/µ)/Basis!$E$7)^$N312*Glycol,0)</f>
        <v>3474</v>
      </c>
      <c r="I312" s="83">
        <f>ROUND(H312/(MID($C312,9,3)/Basis!$E$3/Basis!$E$9)*Basis!$E$11,0)</f>
        <v>529</v>
      </c>
      <c r="J312" s="123">
        <f>IF(Basis!$E$1=1,ROUND(H312/((TaH-TrH)*1.163)/3600,3),ROUND(H312/(500*(TaH-TrH)),2))</f>
        <v>0.35</v>
      </c>
      <c r="K312" s="84"/>
      <c r="L312" s="177">
        <f>CHOOSE(Basis!$E$1,((AJ312*(J312*3600/Basis!$E$5)^AK312*(((MID(C312,9,3)*10)-144)/1000)*AL312+AM312*(J312*3600/Basis!$E$5)^2)*0.0098)/Basis!$E$10,((AJ312*(J312/Basis!$E$5)^AK312*(((MID(C312,9,3)*10)-144)/1000)*AL312+AM312*(J312/Basis!$E$5)^2)*0.0098)/Basis!$E$10)</f>
        <v>0</v>
      </c>
      <c r="M312" s="85"/>
      <c r="N312" s="109">
        <v>1.349</v>
      </c>
      <c r="O312" s="68"/>
      <c r="P312" s="67">
        <v>1589</v>
      </c>
      <c r="Q312" s="68"/>
      <c r="R312" s="69"/>
      <c r="S312" s="69"/>
      <c r="T312" s="69"/>
      <c r="U312" s="69"/>
      <c r="V312" s="69"/>
      <c r="W312" s="68"/>
      <c r="X312" s="70"/>
      <c r="Y312" s="70"/>
      <c r="Z312" s="70"/>
      <c r="AA312" s="70"/>
      <c r="AB312" s="70"/>
      <c r="AC312" s="68"/>
      <c r="AD312" s="71"/>
      <c r="AE312" s="71"/>
      <c r="AF312" s="71"/>
      <c r="AG312" s="71"/>
      <c r="AH312" s="71"/>
      <c r="AI312" s="68"/>
      <c r="AJ312" s="214"/>
      <c r="AK312" s="214"/>
      <c r="AL312" s="214"/>
      <c r="AM312" s="214"/>
      <c r="AN312" s="68"/>
      <c r="AO312" s="67"/>
      <c r="AP312" s="67"/>
      <c r="AQ312" s="67"/>
      <c r="AR312" s="67"/>
      <c r="AS312" s="67"/>
      <c r="AT312" s="68"/>
      <c r="AU312" s="49"/>
      <c r="AV312" s="50"/>
    </row>
    <row r="313" spans="1:48" ht="12.75" customHeight="1" x14ac:dyDescent="0.25">
      <c r="A313" s="72" t="s">
        <v>20</v>
      </c>
      <c r="B313" s="43" t="s">
        <v>4043</v>
      </c>
      <c r="C313" s="44" t="s">
        <v>3641</v>
      </c>
      <c r="D313" s="45">
        <f>MROUND(MID($C313,6,3)/Basis!$E$3,0.5)</f>
        <v>9.5</v>
      </c>
      <c r="E313" s="45">
        <f>MROUND(MID($C313,9,3)/Basis!$E$3,0.5)</f>
        <v>78.5</v>
      </c>
      <c r="F313" s="229" t="str">
        <f t="shared" si="4"/>
        <v>34</v>
      </c>
      <c r="G313" s="45">
        <f>ROUND(16.9/Basis!$E$3,1)</f>
        <v>6.7</v>
      </c>
      <c r="H313" s="120">
        <f>ROUND($P313*Basis!$E$2*((TaH-TrH)/LN(1/µ)/Basis!$E$7)^$N313*Glycol,0)</f>
        <v>6159</v>
      </c>
      <c r="I313" s="83">
        <f>ROUND(H313/(MID($C313,9,3)/Basis!$E$3/Basis!$E$9)*Basis!$E$11,0)</f>
        <v>939</v>
      </c>
      <c r="J313" s="123">
        <f>IF(Basis!$E$1=1,ROUND(H313/((TaH-TrH)*1.163)/3600,3),ROUND(H313/(500*(TaH-TrH)),2))</f>
        <v>0.62</v>
      </c>
      <c r="K313" s="84"/>
      <c r="L313" s="177">
        <f>CHOOSE(Basis!$E$1,((AJ313*(J313*3600/Basis!$E$5)^AK313*(((MID(C313,9,3)*10)-144)/1000)*AL313+AM313*(J313*3600/Basis!$E$5)^2)*0.0098)/Basis!$E$10,((AJ313*(J313/Basis!$E$5)^AK313*(((MID(C313,9,3)*10)-144)/1000)*AL313+AM313*(J313/Basis!$E$5)^2)*0.0098)/Basis!$E$10)</f>
        <v>0</v>
      </c>
      <c r="M313" s="85"/>
      <c r="N313" s="109">
        <v>1.452</v>
      </c>
      <c r="O313" s="68"/>
      <c r="P313" s="67">
        <v>2915</v>
      </c>
      <c r="Q313" s="68"/>
      <c r="R313" s="69"/>
      <c r="S313" s="69"/>
      <c r="T313" s="69"/>
      <c r="U313" s="69"/>
      <c r="V313" s="69"/>
      <c r="W313" s="68"/>
      <c r="X313" s="70"/>
      <c r="Y313" s="70"/>
      <c r="Z313" s="70"/>
      <c r="AA313" s="70"/>
      <c r="AB313" s="70"/>
      <c r="AC313" s="68"/>
      <c r="AD313" s="71"/>
      <c r="AE313" s="71"/>
      <c r="AF313" s="71"/>
      <c r="AG313" s="71"/>
      <c r="AH313" s="71"/>
      <c r="AI313" s="68"/>
      <c r="AJ313" s="214"/>
      <c r="AK313" s="214"/>
      <c r="AL313" s="214"/>
      <c r="AM313" s="214"/>
      <c r="AN313" s="68"/>
      <c r="AO313" s="67"/>
      <c r="AP313" s="67"/>
      <c r="AQ313" s="67"/>
      <c r="AR313" s="67"/>
      <c r="AS313" s="67"/>
      <c r="AT313" s="68"/>
      <c r="AU313" s="49"/>
      <c r="AV313" s="50"/>
    </row>
    <row r="314" spans="1:48" ht="12.75" customHeight="1" x14ac:dyDescent="0.25">
      <c r="A314" s="72" t="s">
        <v>20</v>
      </c>
      <c r="B314" s="43" t="s">
        <v>4043</v>
      </c>
      <c r="C314" s="44" t="s">
        <v>3642</v>
      </c>
      <c r="D314" s="45">
        <f>MROUND(MID($C314,6,3)/Basis!$E$3,0.5)</f>
        <v>9.5</v>
      </c>
      <c r="E314" s="45">
        <f>MROUND(MID($C314,9,3)/Basis!$E$3,0.5)</f>
        <v>86.5</v>
      </c>
      <c r="F314" s="229" t="str">
        <f t="shared" si="4"/>
        <v>11</v>
      </c>
      <c r="G314" s="45">
        <f>ROUND(5/Basis!$E$3,1)</f>
        <v>2</v>
      </c>
      <c r="H314" s="120">
        <f>ROUND($P314*Basis!$E$2*((TaH-TrH)/LN(1/µ)/Basis!$E$7)^$N314*Glycol,0)</f>
        <v>2362</v>
      </c>
      <c r="I314" s="83">
        <f>ROUND(H314/(MID($C314,9,3)/Basis!$E$3/Basis!$E$9)*Basis!$E$11,0)</f>
        <v>327</v>
      </c>
      <c r="J314" s="123">
        <f>IF(Basis!$E$1=1,ROUND(H314/((TaH-TrH)*1.163)/3600,3),ROUND(H314/(500*(TaH-TrH)),2))</f>
        <v>0.24</v>
      </c>
      <c r="K314" s="84"/>
      <c r="L314" s="177">
        <f>CHOOSE(Basis!$E$1,((AJ314*(J314*3600/Basis!$E$5)^AK314*(((MID(C314,9,3)*10)-144)/1000)*AL314+AM314*(J314*3600/Basis!$E$5)^2)*0.0098)/Basis!$E$10,((AJ314*(J314/Basis!$E$5)^AK314*(((MID(C314,9,3)*10)-144)/1000)*AL314+AM314*(J314/Basis!$E$5)^2)*0.0098)/Basis!$E$10)</f>
        <v>0</v>
      </c>
      <c r="M314" s="85"/>
      <c r="N314" s="110">
        <v>1.248</v>
      </c>
      <c r="O314" s="74"/>
      <c r="P314" s="73">
        <v>1045</v>
      </c>
      <c r="Q314" s="74"/>
      <c r="R314" s="75"/>
      <c r="S314" s="75"/>
      <c r="T314" s="75"/>
      <c r="U314" s="75"/>
      <c r="V314" s="75"/>
      <c r="W314" s="74"/>
      <c r="X314" s="76"/>
      <c r="Y314" s="76"/>
      <c r="Z314" s="76"/>
      <c r="AA314" s="76"/>
      <c r="AB314" s="76"/>
      <c r="AC314" s="74"/>
      <c r="AD314" s="77"/>
      <c r="AE314" s="77"/>
      <c r="AF314" s="77"/>
      <c r="AG314" s="77"/>
      <c r="AH314" s="77"/>
      <c r="AI314" s="68"/>
      <c r="AJ314" s="213"/>
      <c r="AK314" s="213"/>
      <c r="AL314" s="213"/>
      <c r="AM314" s="213"/>
      <c r="AN314" s="74"/>
      <c r="AO314" s="73"/>
      <c r="AP314" s="73"/>
      <c r="AQ314" s="73"/>
      <c r="AR314" s="73"/>
      <c r="AS314" s="73"/>
      <c r="AT314" s="74"/>
      <c r="AU314" s="47"/>
      <c r="AV314" s="48"/>
    </row>
    <row r="315" spans="1:48" ht="12.75" customHeight="1" x14ac:dyDescent="0.25">
      <c r="A315" s="72" t="s">
        <v>20</v>
      </c>
      <c r="B315" s="43" t="s">
        <v>4043</v>
      </c>
      <c r="C315" s="44" t="s">
        <v>3643</v>
      </c>
      <c r="D315" s="45">
        <f>MROUND(MID($C315,6,3)/Basis!$E$3,0.5)</f>
        <v>9.5</v>
      </c>
      <c r="E315" s="45">
        <f>MROUND(MID($C315,9,3)/Basis!$E$3,0.5)</f>
        <v>86.5</v>
      </c>
      <c r="F315" s="229" t="str">
        <f t="shared" si="4"/>
        <v>22</v>
      </c>
      <c r="G315" s="45">
        <f>ROUND(9/Basis!$E$3,1)</f>
        <v>3.5</v>
      </c>
      <c r="H315" s="120">
        <f>ROUND($P315*Basis!$E$2*((TaH-TrH)/LN(1/µ)/Basis!$E$7)^$N315*Glycol,0)</f>
        <v>3821</v>
      </c>
      <c r="I315" s="83">
        <f>ROUND(H315/(MID($C315,9,3)/Basis!$E$3/Basis!$E$9)*Basis!$E$11,0)</f>
        <v>529</v>
      </c>
      <c r="J315" s="123">
        <f>IF(Basis!$E$1=1,ROUND(H315/((TaH-TrH)*1.163)/3600,3),ROUND(H315/(500*(TaH-TrH)),2))</f>
        <v>0.38</v>
      </c>
      <c r="K315" s="84"/>
      <c r="L315" s="177">
        <f>CHOOSE(Basis!$E$1,((AJ315*(J315*3600/Basis!$E$5)^AK315*(((MID(C315,9,3)*10)-144)/1000)*AL315+AM315*(J315*3600/Basis!$E$5)^2)*0.0098)/Basis!$E$10,((AJ315*(J315/Basis!$E$5)^AK315*(((MID(C315,9,3)*10)-144)/1000)*AL315+AM315*(J315/Basis!$E$5)^2)*0.0098)/Basis!$E$10)</f>
        <v>0</v>
      </c>
      <c r="M315" s="85"/>
      <c r="N315" s="110">
        <v>1.349</v>
      </c>
      <c r="O315" s="74"/>
      <c r="P315" s="73">
        <v>1748</v>
      </c>
      <c r="Q315" s="74"/>
      <c r="R315" s="75"/>
      <c r="S315" s="75"/>
      <c r="T315" s="75"/>
      <c r="U315" s="75"/>
      <c r="V315" s="75"/>
      <c r="W315" s="74"/>
      <c r="X315" s="76"/>
      <c r="Y315" s="76"/>
      <c r="Z315" s="76"/>
      <c r="AA315" s="76"/>
      <c r="AB315" s="76"/>
      <c r="AC315" s="74"/>
      <c r="AD315" s="77"/>
      <c r="AE315" s="77"/>
      <c r="AF315" s="77"/>
      <c r="AG315" s="77"/>
      <c r="AH315" s="77"/>
      <c r="AI315" s="68"/>
      <c r="AJ315" s="213"/>
      <c r="AK315" s="213"/>
      <c r="AL315" s="213"/>
      <c r="AM315" s="213"/>
      <c r="AN315" s="74"/>
      <c r="AO315" s="73"/>
      <c r="AP315" s="73"/>
      <c r="AQ315" s="73"/>
      <c r="AR315" s="73"/>
      <c r="AS315" s="73"/>
      <c r="AT315" s="74"/>
      <c r="AU315" s="47"/>
      <c r="AV315" s="48"/>
    </row>
    <row r="316" spans="1:48" ht="12.75" customHeight="1" x14ac:dyDescent="0.25">
      <c r="A316" s="72" t="s">
        <v>20</v>
      </c>
      <c r="B316" s="43" t="s">
        <v>4043</v>
      </c>
      <c r="C316" s="44" t="s">
        <v>3644</v>
      </c>
      <c r="D316" s="45">
        <f>MROUND(MID($C316,6,3)/Basis!$E$3,0.5)</f>
        <v>9.5</v>
      </c>
      <c r="E316" s="45">
        <f>MROUND(MID($C316,9,3)/Basis!$E$3,0.5)</f>
        <v>86.5</v>
      </c>
      <c r="F316" s="229" t="str">
        <f t="shared" si="4"/>
        <v>34</v>
      </c>
      <c r="G316" s="45">
        <f>ROUND(16.9/Basis!$E$3,1)</f>
        <v>6.7</v>
      </c>
      <c r="H316" s="120">
        <f>ROUND($P316*Basis!$E$2*((TaH-TrH)/LN(1/µ)/Basis!$E$7)^$N316*Glycol,0)</f>
        <v>6776</v>
      </c>
      <c r="I316" s="83">
        <f>ROUND(H316/(MID($C316,9,3)/Basis!$E$3/Basis!$E$9)*Basis!$E$11,0)</f>
        <v>939</v>
      </c>
      <c r="J316" s="123">
        <f>IF(Basis!$E$1=1,ROUND(H316/((TaH-TrH)*1.163)/3600,3),ROUND(H316/(500*(TaH-TrH)),2))</f>
        <v>0.68</v>
      </c>
      <c r="K316" s="84"/>
      <c r="L316" s="177">
        <f>CHOOSE(Basis!$E$1,((AJ316*(J316*3600/Basis!$E$5)^AK316*(((MID(C316,9,3)*10)-144)/1000)*AL316+AM316*(J316*3600/Basis!$E$5)^2)*0.0098)/Basis!$E$10,((AJ316*(J316/Basis!$E$5)^AK316*(((MID(C316,9,3)*10)-144)/1000)*AL316+AM316*(J316/Basis!$E$5)^2)*0.0098)/Basis!$E$10)</f>
        <v>0</v>
      </c>
      <c r="M316" s="85"/>
      <c r="N316" s="109">
        <v>1.452</v>
      </c>
      <c r="O316" s="68"/>
      <c r="P316" s="67">
        <v>3207</v>
      </c>
      <c r="Q316" s="68"/>
      <c r="R316" s="69"/>
      <c r="S316" s="69"/>
      <c r="T316" s="69"/>
      <c r="U316" s="69"/>
      <c r="V316" s="69"/>
      <c r="W316" s="68"/>
      <c r="X316" s="70"/>
      <c r="Y316" s="70"/>
      <c r="Z316" s="70"/>
      <c r="AA316" s="70"/>
      <c r="AB316" s="70"/>
      <c r="AC316" s="68"/>
      <c r="AD316" s="71"/>
      <c r="AE316" s="71"/>
      <c r="AF316" s="71"/>
      <c r="AG316" s="71"/>
      <c r="AH316" s="71"/>
      <c r="AI316" s="68"/>
      <c r="AJ316" s="214"/>
      <c r="AK316" s="214"/>
      <c r="AL316" s="214"/>
      <c r="AM316" s="214"/>
      <c r="AN316" s="68"/>
      <c r="AO316" s="67"/>
      <c r="AP316" s="67"/>
      <c r="AQ316" s="67"/>
      <c r="AR316" s="67"/>
      <c r="AS316" s="67"/>
      <c r="AT316" s="68"/>
      <c r="AU316" s="49"/>
      <c r="AV316" s="50"/>
    </row>
    <row r="317" spans="1:48" ht="12.75" customHeight="1" x14ac:dyDescent="0.25">
      <c r="A317" s="72" t="s">
        <v>20</v>
      </c>
      <c r="B317" s="43" t="s">
        <v>4043</v>
      </c>
      <c r="C317" s="44" t="s">
        <v>3645</v>
      </c>
      <c r="D317" s="45">
        <f>MROUND(MID($C317,6,3)/Basis!$E$3,0.5)</f>
        <v>9.5</v>
      </c>
      <c r="E317" s="45">
        <f>MROUND(MID($C317,9,3)/Basis!$E$3,0.5)</f>
        <v>94.5</v>
      </c>
      <c r="F317" s="229" t="str">
        <f t="shared" si="4"/>
        <v>11</v>
      </c>
      <c r="G317" s="45">
        <f>ROUND(5/Basis!$E$3,1)</f>
        <v>2</v>
      </c>
      <c r="H317" s="120">
        <f>ROUND($P317*Basis!$E$2*((TaH-TrH)/LN(1/µ)/Basis!$E$7)^$N317*Glycol,0)</f>
        <v>2577</v>
      </c>
      <c r="I317" s="83">
        <f>ROUND(H317/(MID($C317,9,3)/Basis!$E$3/Basis!$E$9)*Basis!$E$11,0)</f>
        <v>327</v>
      </c>
      <c r="J317" s="123">
        <f>IF(Basis!$E$1=1,ROUND(H317/((TaH-TrH)*1.163)/3600,3),ROUND(H317/(500*(TaH-TrH)),2))</f>
        <v>0.26</v>
      </c>
      <c r="K317" s="84"/>
      <c r="L317" s="177">
        <f>CHOOSE(Basis!$E$1,((AJ317*(J317*3600/Basis!$E$5)^AK317*(((MID(C317,9,3)*10)-144)/1000)*AL317+AM317*(J317*3600/Basis!$E$5)^2)*0.0098)/Basis!$E$10,((AJ317*(J317/Basis!$E$5)^AK317*(((MID(C317,9,3)*10)-144)/1000)*AL317+AM317*(J317/Basis!$E$5)^2)*0.0098)/Basis!$E$10)</f>
        <v>0</v>
      </c>
      <c r="M317" s="85"/>
      <c r="N317" s="109">
        <v>1.248</v>
      </c>
      <c r="O317" s="68"/>
      <c r="P317" s="67">
        <v>1140</v>
      </c>
      <c r="Q317" s="68"/>
      <c r="R317" s="69"/>
      <c r="S317" s="69"/>
      <c r="T317" s="69"/>
      <c r="U317" s="69"/>
      <c r="V317" s="69"/>
      <c r="W317" s="68"/>
      <c r="X317" s="70"/>
      <c r="Y317" s="70"/>
      <c r="Z317" s="70"/>
      <c r="AA317" s="70"/>
      <c r="AB317" s="70"/>
      <c r="AC317" s="68"/>
      <c r="AD317" s="71"/>
      <c r="AE317" s="71"/>
      <c r="AF317" s="71"/>
      <c r="AG317" s="71"/>
      <c r="AH317" s="71"/>
      <c r="AI317" s="68"/>
      <c r="AJ317" s="214"/>
      <c r="AK317" s="214"/>
      <c r="AL317" s="214"/>
      <c r="AM317" s="214"/>
      <c r="AN317" s="68"/>
      <c r="AO317" s="67"/>
      <c r="AP317" s="67"/>
      <c r="AQ317" s="67"/>
      <c r="AR317" s="67"/>
      <c r="AS317" s="67"/>
      <c r="AT317" s="68"/>
      <c r="AU317" s="49"/>
      <c r="AV317" s="50"/>
    </row>
    <row r="318" spans="1:48" ht="12.75" customHeight="1" x14ac:dyDescent="0.25">
      <c r="A318" s="72" t="s">
        <v>20</v>
      </c>
      <c r="B318" s="43" t="s">
        <v>4043</v>
      </c>
      <c r="C318" s="44" t="s">
        <v>3646</v>
      </c>
      <c r="D318" s="45">
        <f>MROUND(MID($C318,6,3)/Basis!$E$3,0.5)</f>
        <v>9.5</v>
      </c>
      <c r="E318" s="45">
        <f>MROUND(MID($C318,9,3)/Basis!$E$3,0.5)</f>
        <v>94.5</v>
      </c>
      <c r="F318" s="229" t="str">
        <f t="shared" si="4"/>
        <v>22</v>
      </c>
      <c r="G318" s="45">
        <f>ROUND(9/Basis!$E$3,1)</f>
        <v>3.5</v>
      </c>
      <c r="H318" s="120">
        <f>ROUND($P318*Basis!$E$2*((TaH-TrH)/LN(1/µ)/Basis!$E$7)^$N318*Glycol,0)</f>
        <v>4169</v>
      </c>
      <c r="I318" s="83">
        <f>ROUND(H318/(MID($C318,9,3)/Basis!$E$3/Basis!$E$9)*Basis!$E$11,0)</f>
        <v>529</v>
      </c>
      <c r="J318" s="123">
        <f>IF(Basis!$E$1=1,ROUND(H318/((TaH-TrH)*1.163)/3600,3),ROUND(H318/(500*(TaH-TrH)),2))</f>
        <v>0.42</v>
      </c>
      <c r="K318" s="84"/>
      <c r="L318" s="177">
        <f>CHOOSE(Basis!$E$1,((AJ318*(J318*3600/Basis!$E$5)^AK318*(((MID(C318,9,3)*10)-144)/1000)*AL318+AM318*(J318*3600/Basis!$E$5)^2)*0.0098)/Basis!$E$10,((AJ318*(J318/Basis!$E$5)^AK318*(((MID(C318,9,3)*10)-144)/1000)*AL318+AM318*(J318/Basis!$E$5)^2)*0.0098)/Basis!$E$10)</f>
        <v>0</v>
      </c>
      <c r="M318" s="85"/>
      <c r="N318" s="110">
        <v>1.349</v>
      </c>
      <c r="O318" s="74"/>
      <c r="P318" s="73">
        <v>1907</v>
      </c>
      <c r="Q318" s="74"/>
      <c r="R318" s="75"/>
      <c r="S318" s="75"/>
      <c r="T318" s="75"/>
      <c r="U318" s="75"/>
      <c r="V318" s="75"/>
      <c r="W318" s="74"/>
      <c r="X318" s="76"/>
      <c r="Y318" s="76"/>
      <c r="Z318" s="76"/>
      <c r="AA318" s="76"/>
      <c r="AB318" s="76"/>
      <c r="AC318" s="74"/>
      <c r="AD318" s="77"/>
      <c r="AE318" s="77"/>
      <c r="AF318" s="77"/>
      <c r="AG318" s="77"/>
      <c r="AH318" s="77"/>
      <c r="AI318" s="68"/>
      <c r="AJ318" s="213"/>
      <c r="AK318" s="213"/>
      <c r="AL318" s="213"/>
      <c r="AM318" s="213"/>
      <c r="AN318" s="74"/>
      <c r="AO318" s="73"/>
      <c r="AP318" s="73"/>
      <c r="AQ318" s="73"/>
      <c r="AR318" s="73"/>
      <c r="AS318" s="73"/>
      <c r="AT318" s="74"/>
      <c r="AU318" s="47"/>
      <c r="AV318" s="48"/>
    </row>
    <row r="319" spans="1:48" ht="12.75" customHeight="1" x14ac:dyDescent="0.25">
      <c r="A319" s="72" t="s">
        <v>20</v>
      </c>
      <c r="B319" s="43" t="s">
        <v>4043</v>
      </c>
      <c r="C319" s="44" t="s">
        <v>3647</v>
      </c>
      <c r="D319" s="45">
        <f>MROUND(MID($C319,6,3)/Basis!$E$3,0.5)</f>
        <v>9.5</v>
      </c>
      <c r="E319" s="45">
        <f>MROUND(MID($C319,9,3)/Basis!$E$3,0.5)</f>
        <v>94.5</v>
      </c>
      <c r="F319" s="229" t="str">
        <f t="shared" si="4"/>
        <v>34</v>
      </c>
      <c r="G319" s="45">
        <f>ROUND(16.9/Basis!$E$3,1)</f>
        <v>6.7</v>
      </c>
      <c r="H319" s="120">
        <f>ROUND($P319*Basis!$E$2*((TaH-TrH)/LN(1/µ)/Basis!$E$7)^$N319*Glycol,0)</f>
        <v>7391</v>
      </c>
      <c r="I319" s="83">
        <f>ROUND(H319/(MID($C319,9,3)/Basis!$E$3/Basis!$E$9)*Basis!$E$11,0)</f>
        <v>939</v>
      </c>
      <c r="J319" s="123">
        <f>IF(Basis!$E$1=1,ROUND(H319/((TaH-TrH)*1.163)/3600,3),ROUND(H319/(500*(TaH-TrH)),2))</f>
        <v>0.74</v>
      </c>
      <c r="K319" s="84"/>
      <c r="L319" s="177">
        <f>CHOOSE(Basis!$E$1,((AJ319*(J319*3600/Basis!$E$5)^AK319*(((MID(C319,9,3)*10)-144)/1000)*AL319+AM319*(J319*3600/Basis!$E$5)^2)*0.0098)/Basis!$E$10,((AJ319*(J319/Basis!$E$5)^AK319*(((MID(C319,9,3)*10)-144)/1000)*AL319+AM319*(J319/Basis!$E$5)^2)*0.0098)/Basis!$E$10)</f>
        <v>0</v>
      </c>
      <c r="M319" s="85"/>
      <c r="N319" s="110">
        <v>1.452</v>
      </c>
      <c r="O319" s="74"/>
      <c r="P319" s="73">
        <v>3498</v>
      </c>
      <c r="Q319" s="74"/>
      <c r="R319" s="75"/>
      <c r="S319" s="75"/>
      <c r="T319" s="75"/>
      <c r="U319" s="75"/>
      <c r="V319" s="75"/>
      <c r="W319" s="74"/>
      <c r="X319" s="76"/>
      <c r="Y319" s="76"/>
      <c r="Z319" s="76"/>
      <c r="AA319" s="76"/>
      <c r="AB319" s="76"/>
      <c r="AC319" s="74"/>
      <c r="AD319" s="77"/>
      <c r="AE319" s="77"/>
      <c r="AF319" s="77"/>
      <c r="AG319" s="77"/>
      <c r="AH319" s="77"/>
      <c r="AI319" s="68"/>
      <c r="AJ319" s="213"/>
      <c r="AK319" s="213"/>
      <c r="AL319" s="213"/>
      <c r="AM319" s="213"/>
      <c r="AN319" s="74"/>
      <c r="AO319" s="73"/>
      <c r="AP319" s="73"/>
      <c r="AQ319" s="73"/>
      <c r="AR319" s="73"/>
      <c r="AS319" s="73"/>
      <c r="AT319" s="74"/>
      <c r="AU319" s="47"/>
      <c r="AV319" s="48"/>
    </row>
    <row r="320" spans="1:48" ht="12.75" customHeight="1" x14ac:dyDescent="0.25">
      <c r="A320" s="72" t="s">
        <v>20</v>
      </c>
      <c r="B320" s="43" t="s">
        <v>4043</v>
      </c>
      <c r="C320" s="44" t="s">
        <v>3648</v>
      </c>
      <c r="D320" s="45">
        <f>MROUND(MID($C320,6,3)/Basis!$E$3,0.5)</f>
        <v>9.5</v>
      </c>
      <c r="E320" s="45">
        <f>MROUND(MID($C320,9,3)/Basis!$E$3,0.5)</f>
        <v>102.5</v>
      </c>
      <c r="F320" s="229" t="str">
        <f t="shared" si="4"/>
        <v>11</v>
      </c>
      <c r="G320" s="45">
        <f>ROUND(5/Basis!$E$3,1)</f>
        <v>2</v>
      </c>
      <c r="H320" s="120">
        <f>ROUND($P320*Basis!$E$2*((TaH-TrH)/LN(1/µ)/Basis!$E$7)^$N320*Glycol,0)</f>
        <v>2791</v>
      </c>
      <c r="I320" s="83">
        <f>ROUND(H320/(MID($C320,9,3)/Basis!$E$3/Basis!$E$9)*Basis!$E$11,0)</f>
        <v>327</v>
      </c>
      <c r="J320" s="123">
        <f>IF(Basis!$E$1=1,ROUND(H320/((TaH-TrH)*1.163)/3600,3),ROUND(H320/(500*(TaH-TrH)),2))</f>
        <v>0.28000000000000003</v>
      </c>
      <c r="K320" s="84"/>
      <c r="L320" s="177">
        <f>CHOOSE(Basis!$E$1,((AJ320*(J320*3600/Basis!$E$5)^AK320*(((MID(C320,9,3)*10)-144)/1000)*AL320+AM320*(J320*3600/Basis!$E$5)^2)*0.0098)/Basis!$E$10,((AJ320*(J320/Basis!$E$5)^AK320*(((MID(C320,9,3)*10)-144)/1000)*AL320+AM320*(J320/Basis!$E$5)^2)*0.0098)/Basis!$E$10)</f>
        <v>0</v>
      </c>
      <c r="M320" s="85"/>
      <c r="N320" s="109">
        <v>1.248</v>
      </c>
      <c r="O320" s="68"/>
      <c r="P320" s="67">
        <v>1235</v>
      </c>
      <c r="Q320" s="68"/>
      <c r="R320" s="69"/>
      <c r="S320" s="69"/>
      <c r="T320" s="69"/>
      <c r="U320" s="69"/>
      <c r="V320" s="69"/>
      <c r="W320" s="68"/>
      <c r="X320" s="70"/>
      <c r="Y320" s="70"/>
      <c r="Z320" s="70"/>
      <c r="AA320" s="70"/>
      <c r="AB320" s="70"/>
      <c r="AC320" s="68"/>
      <c r="AD320" s="71"/>
      <c r="AE320" s="71"/>
      <c r="AF320" s="71"/>
      <c r="AG320" s="71"/>
      <c r="AH320" s="71"/>
      <c r="AI320" s="68"/>
      <c r="AJ320" s="214"/>
      <c r="AK320" s="214"/>
      <c r="AL320" s="214"/>
      <c r="AM320" s="214"/>
      <c r="AN320" s="68"/>
      <c r="AO320" s="67"/>
      <c r="AP320" s="67"/>
      <c r="AQ320" s="67"/>
      <c r="AR320" s="67"/>
      <c r="AS320" s="67"/>
      <c r="AT320" s="68"/>
      <c r="AU320" s="49"/>
      <c r="AV320" s="50"/>
    </row>
    <row r="321" spans="1:48" ht="12.75" customHeight="1" x14ac:dyDescent="0.25">
      <c r="A321" s="72" t="s">
        <v>20</v>
      </c>
      <c r="B321" s="43" t="s">
        <v>4043</v>
      </c>
      <c r="C321" s="44" t="s">
        <v>3649</v>
      </c>
      <c r="D321" s="45">
        <f>MROUND(MID($C321,6,3)/Basis!$E$3,0.5)</f>
        <v>9.5</v>
      </c>
      <c r="E321" s="45">
        <f>MROUND(MID($C321,9,3)/Basis!$E$3,0.5)</f>
        <v>102.5</v>
      </c>
      <c r="F321" s="229" t="str">
        <f t="shared" si="4"/>
        <v>22</v>
      </c>
      <c r="G321" s="45">
        <f>ROUND(9/Basis!$E$3,1)</f>
        <v>3.5</v>
      </c>
      <c r="H321" s="120">
        <f>ROUND($P321*Basis!$E$2*((TaH-TrH)/LN(1/µ)/Basis!$E$7)^$N321*Glycol,0)</f>
        <v>4514</v>
      </c>
      <c r="I321" s="83">
        <f>ROUND(H321/(MID($C321,9,3)/Basis!$E$3/Basis!$E$9)*Basis!$E$11,0)</f>
        <v>529</v>
      </c>
      <c r="J321" s="123">
        <f>IF(Basis!$E$1=1,ROUND(H321/((TaH-TrH)*1.163)/3600,3),ROUND(H321/(500*(TaH-TrH)),2))</f>
        <v>0.45</v>
      </c>
      <c r="K321" s="84"/>
      <c r="L321" s="177">
        <f>CHOOSE(Basis!$E$1,((AJ321*(J321*3600/Basis!$E$5)^AK321*(((MID(C321,9,3)*10)-144)/1000)*AL321+AM321*(J321*3600/Basis!$E$5)^2)*0.0098)/Basis!$E$10,((AJ321*(J321/Basis!$E$5)^AK321*(((MID(C321,9,3)*10)-144)/1000)*AL321+AM321*(J321/Basis!$E$5)^2)*0.0098)/Basis!$E$10)</f>
        <v>0</v>
      </c>
      <c r="M321" s="85"/>
      <c r="N321" s="109">
        <v>1.349</v>
      </c>
      <c r="O321" s="68"/>
      <c r="P321" s="67">
        <v>2065</v>
      </c>
      <c r="Q321" s="68"/>
      <c r="R321" s="69"/>
      <c r="S321" s="69"/>
      <c r="T321" s="69"/>
      <c r="U321" s="69"/>
      <c r="V321" s="69"/>
      <c r="W321" s="68"/>
      <c r="X321" s="70"/>
      <c r="Y321" s="70"/>
      <c r="Z321" s="70"/>
      <c r="AA321" s="70"/>
      <c r="AB321" s="70"/>
      <c r="AC321" s="68"/>
      <c r="AD321" s="71"/>
      <c r="AE321" s="71"/>
      <c r="AF321" s="71"/>
      <c r="AG321" s="71"/>
      <c r="AH321" s="71"/>
      <c r="AI321" s="68"/>
      <c r="AJ321" s="214"/>
      <c r="AK321" s="214"/>
      <c r="AL321" s="214"/>
      <c r="AM321" s="214"/>
      <c r="AN321" s="68"/>
      <c r="AO321" s="67"/>
      <c r="AP321" s="67"/>
      <c r="AQ321" s="67"/>
      <c r="AR321" s="67"/>
      <c r="AS321" s="67"/>
      <c r="AT321" s="68"/>
      <c r="AU321" s="49"/>
      <c r="AV321" s="50"/>
    </row>
    <row r="322" spans="1:48" ht="12.75" customHeight="1" x14ac:dyDescent="0.25">
      <c r="A322" s="72" t="s">
        <v>20</v>
      </c>
      <c r="B322" s="43" t="s">
        <v>4043</v>
      </c>
      <c r="C322" s="44" t="s">
        <v>3650</v>
      </c>
      <c r="D322" s="45">
        <f>MROUND(MID($C322,6,3)/Basis!$E$3,0.5)</f>
        <v>9.5</v>
      </c>
      <c r="E322" s="45">
        <f>MROUND(MID($C322,9,3)/Basis!$E$3,0.5)</f>
        <v>102.5</v>
      </c>
      <c r="F322" s="229" t="str">
        <f t="shared" si="4"/>
        <v>34</v>
      </c>
      <c r="G322" s="45">
        <f>ROUND(16.9/Basis!$E$3,1)</f>
        <v>6.7</v>
      </c>
      <c r="H322" s="120">
        <f>ROUND($P322*Basis!$E$2*((TaH-TrH)/LN(1/µ)/Basis!$E$7)^$N322*Glycol,0)</f>
        <v>8008</v>
      </c>
      <c r="I322" s="83">
        <f>ROUND(H322/(MID($C322,9,3)/Basis!$E$3/Basis!$E$9)*Basis!$E$11,0)</f>
        <v>939</v>
      </c>
      <c r="J322" s="123">
        <f>IF(Basis!$E$1=1,ROUND(H322/((TaH-TrH)*1.163)/3600,3),ROUND(H322/(500*(TaH-TrH)),2))</f>
        <v>0.8</v>
      </c>
      <c r="K322" s="84"/>
      <c r="L322" s="177">
        <f>CHOOSE(Basis!$E$1,((AJ322*(J322*3600/Basis!$E$5)^AK322*(((MID(C322,9,3)*10)-144)/1000)*AL322+AM322*(J322*3600/Basis!$E$5)^2)*0.0098)/Basis!$E$10,((AJ322*(J322/Basis!$E$5)^AK322*(((MID(C322,9,3)*10)-144)/1000)*AL322+AM322*(J322/Basis!$E$5)^2)*0.0098)/Basis!$E$10)</f>
        <v>0</v>
      </c>
      <c r="M322" s="85"/>
      <c r="N322" s="110">
        <v>1.452</v>
      </c>
      <c r="O322" s="74"/>
      <c r="P322" s="73">
        <v>3790</v>
      </c>
      <c r="Q322" s="74"/>
      <c r="R322" s="75"/>
      <c r="S322" s="75"/>
      <c r="T322" s="75"/>
      <c r="U322" s="75"/>
      <c r="V322" s="75"/>
      <c r="W322" s="74"/>
      <c r="X322" s="76"/>
      <c r="Y322" s="76"/>
      <c r="Z322" s="76"/>
      <c r="AA322" s="76"/>
      <c r="AB322" s="76"/>
      <c r="AC322" s="74"/>
      <c r="AD322" s="77"/>
      <c r="AE322" s="77"/>
      <c r="AF322" s="77"/>
      <c r="AG322" s="77"/>
      <c r="AH322" s="77"/>
      <c r="AI322" s="68"/>
      <c r="AJ322" s="213"/>
      <c r="AK322" s="213"/>
      <c r="AL322" s="213"/>
      <c r="AM322" s="213"/>
      <c r="AN322" s="74"/>
      <c r="AO322" s="73"/>
      <c r="AP322" s="73"/>
      <c r="AQ322" s="73"/>
      <c r="AR322" s="73"/>
      <c r="AS322" s="73"/>
      <c r="AT322" s="74"/>
      <c r="AU322" s="47"/>
      <c r="AV322" s="48"/>
    </row>
    <row r="323" spans="1:48" ht="12.75" customHeight="1" x14ac:dyDescent="0.25">
      <c r="A323" s="72" t="s">
        <v>20</v>
      </c>
      <c r="B323" s="43" t="s">
        <v>4043</v>
      </c>
      <c r="C323" s="44" t="s">
        <v>3651</v>
      </c>
      <c r="D323" s="45">
        <f>MROUND(MID($C323,6,3)/Basis!$E$3,0.5)</f>
        <v>9.5</v>
      </c>
      <c r="E323" s="45">
        <f>MROUND(MID($C323,9,3)/Basis!$E$3,0.5)</f>
        <v>110</v>
      </c>
      <c r="F323" s="229" t="str">
        <f t="shared" si="4"/>
        <v>11</v>
      </c>
      <c r="G323" s="45">
        <f>ROUND(5/Basis!$E$3,1)</f>
        <v>2</v>
      </c>
      <c r="H323" s="120">
        <f>ROUND($P323*Basis!$E$2*((TaH-TrH)/LN(1/µ)/Basis!$E$7)^$N323*Glycol,0)</f>
        <v>3006</v>
      </c>
      <c r="I323" s="83">
        <f>ROUND(H323/(MID($C323,9,3)/Basis!$E$3/Basis!$E$9)*Basis!$E$11,0)</f>
        <v>327</v>
      </c>
      <c r="J323" s="123">
        <f>IF(Basis!$E$1=1,ROUND(H323/((TaH-TrH)*1.163)/3600,3),ROUND(H323/(500*(TaH-TrH)),2))</f>
        <v>0.3</v>
      </c>
      <c r="K323" s="84"/>
      <c r="L323" s="177">
        <f>CHOOSE(Basis!$E$1,((AJ323*(J323*3600/Basis!$E$5)^AK323*(((MID(C323,9,3)*10)-144)/1000)*AL323+AM323*(J323*3600/Basis!$E$5)^2)*0.0098)/Basis!$E$10,((AJ323*(J323/Basis!$E$5)^AK323*(((MID(C323,9,3)*10)-144)/1000)*AL323+AM323*(J323/Basis!$E$5)^2)*0.0098)/Basis!$E$10)</f>
        <v>0</v>
      </c>
      <c r="M323" s="85"/>
      <c r="N323" s="110">
        <v>1.248</v>
      </c>
      <c r="O323" s="74"/>
      <c r="P323" s="73">
        <v>1330</v>
      </c>
      <c r="Q323" s="74"/>
      <c r="R323" s="75"/>
      <c r="S323" s="75"/>
      <c r="T323" s="75"/>
      <c r="U323" s="75"/>
      <c r="V323" s="75"/>
      <c r="W323" s="74"/>
      <c r="X323" s="76"/>
      <c r="Y323" s="76"/>
      <c r="Z323" s="76"/>
      <c r="AA323" s="76"/>
      <c r="AB323" s="76"/>
      <c r="AC323" s="74"/>
      <c r="AD323" s="77"/>
      <c r="AE323" s="77"/>
      <c r="AF323" s="77"/>
      <c r="AG323" s="77"/>
      <c r="AH323" s="77"/>
      <c r="AI323" s="68"/>
      <c r="AJ323" s="213"/>
      <c r="AK323" s="213"/>
      <c r="AL323" s="213"/>
      <c r="AM323" s="213"/>
      <c r="AN323" s="74"/>
      <c r="AO323" s="73"/>
      <c r="AP323" s="73"/>
      <c r="AQ323" s="73"/>
      <c r="AR323" s="73"/>
      <c r="AS323" s="73"/>
      <c r="AT323" s="74"/>
      <c r="AU323" s="47"/>
      <c r="AV323" s="48"/>
    </row>
    <row r="324" spans="1:48" ht="12.75" customHeight="1" x14ac:dyDescent="0.25">
      <c r="A324" s="72" t="s">
        <v>20</v>
      </c>
      <c r="B324" s="43" t="s">
        <v>4043</v>
      </c>
      <c r="C324" s="44" t="s">
        <v>3652</v>
      </c>
      <c r="D324" s="45">
        <f>MROUND(MID($C324,6,3)/Basis!$E$3,0.5)</f>
        <v>9.5</v>
      </c>
      <c r="E324" s="45">
        <f>MROUND(MID($C324,9,3)/Basis!$E$3,0.5)</f>
        <v>110</v>
      </c>
      <c r="F324" s="229" t="str">
        <f t="shared" si="4"/>
        <v>22</v>
      </c>
      <c r="G324" s="45">
        <f>ROUND(9/Basis!$E$3,1)</f>
        <v>3.5</v>
      </c>
      <c r="H324" s="120">
        <f>ROUND($P324*Basis!$E$2*((TaH-TrH)/LN(1/µ)/Basis!$E$7)^$N324*Glycol,0)</f>
        <v>4862</v>
      </c>
      <c r="I324" s="83">
        <f>ROUND(H324/(MID($C324,9,3)/Basis!$E$3/Basis!$E$9)*Basis!$E$11,0)</f>
        <v>529</v>
      </c>
      <c r="J324" s="123">
        <f>IF(Basis!$E$1=1,ROUND(H324/((TaH-TrH)*1.163)/3600,3),ROUND(H324/(500*(TaH-TrH)),2))</f>
        <v>0.49</v>
      </c>
      <c r="K324" s="84"/>
      <c r="L324" s="177">
        <f>CHOOSE(Basis!$E$1,((AJ324*(J324*3600/Basis!$E$5)^AK324*(((MID(C324,9,3)*10)-144)/1000)*AL324+AM324*(J324*3600/Basis!$E$5)^2)*0.0098)/Basis!$E$10,((AJ324*(J324/Basis!$E$5)^AK324*(((MID(C324,9,3)*10)-144)/1000)*AL324+AM324*(J324/Basis!$E$5)^2)*0.0098)/Basis!$E$10)</f>
        <v>0</v>
      </c>
      <c r="M324" s="85"/>
      <c r="N324" s="109">
        <v>1.349</v>
      </c>
      <c r="O324" s="68"/>
      <c r="P324" s="67">
        <v>2224</v>
      </c>
      <c r="Q324" s="68"/>
      <c r="R324" s="69"/>
      <c r="S324" s="69"/>
      <c r="T324" s="69"/>
      <c r="U324" s="69"/>
      <c r="V324" s="69"/>
      <c r="W324" s="68"/>
      <c r="X324" s="70"/>
      <c r="Y324" s="70"/>
      <c r="Z324" s="70"/>
      <c r="AA324" s="70"/>
      <c r="AB324" s="70"/>
      <c r="AC324" s="68"/>
      <c r="AD324" s="71"/>
      <c r="AE324" s="71"/>
      <c r="AF324" s="71"/>
      <c r="AG324" s="71"/>
      <c r="AH324" s="71"/>
      <c r="AI324" s="68"/>
      <c r="AJ324" s="214"/>
      <c r="AK324" s="214"/>
      <c r="AL324" s="214"/>
      <c r="AM324" s="214"/>
      <c r="AN324" s="68"/>
      <c r="AO324" s="67"/>
      <c r="AP324" s="67"/>
      <c r="AQ324" s="67"/>
      <c r="AR324" s="67"/>
      <c r="AS324" s="67"/>
      <c r="AT324" s="68"/>
      <c r="AU324" s="49"/>
      <c r="AV324" s="50"/>
    </row>
    <row r="325" spans="1:48" ht="12.75" customHeight="1" x14ac:dyDescent="0.25">
      <c r="A325" s="72" t="s">
        <v>20</v>
      </c>
      <c r="B325" s="43" t="s">
        <v>4043</v>
      </c>
      <c r="C325" s="44" t="s">
        <v>3653</v>
      </c>
      <c r="D325" s="45">
        <f>MROUND(MID($C325,6,3)/Basis!$E$3,0.5)</f>
        <v>9.5</v>
      </c>
      <c r="E325" s="45">
        <f>MROUND(MID($C325,9,3)/Basis!$E$3,0.5)</f>
        <v>110</v>
      </c>
      <c r="F325" s="229" t="str">
        <f t="shared" si="4"/>
        <v>34</v>
      </c>
      <c r="G325" s="45">
        <f>ROUND(16.9/Basis!$E$3,1)</f>
        <v>6.7</v>
      </c>
      <c r="H325" s="120">
        <f>ROUND($P325*Basis!$E$2*((TaH-TrH)/LN(1/µ)/Basis!$E$7)^$N325*Glycol,0)</f>
        <v>8623</v>
      </c>
      <c r="I325" s="83">
        <f>ROUND(H325/(MID($C325,9,3)/Basis!$E$3/Basis!$E$9)*Basis!$E$11,0)</f>
        <v>939</v>
      </c>
      <c r="J325" s="123">
        <f>IF(Basis!$E$1=1,ROUND(H325/((TaH-TrH)*1.163)/3600,3),ROUND(H325/(500*(TaH-TrH)),2))</f>
        <v>0.86</v>
      </c>
      <c r="K325" s="84"/>
      <c r="L325" s="177">
        <f>CHOOSE(Basis!$E$1,((AJ325*(J325*3600/Basis!$E$5)^AK325*(((MID(C325,9,3)*10)-144)/1000)*AL325+AM325*(J325*3600/Basis!$E$5)^2)*0.0098)/Basis!$E$10,((AJ325*(J325/Basis!$E$5)^AK325*(((MID(C325,9,3)*10)-144)/1000)*AL325+AM325*(J325/Basis!$E$5)^2)*0.0098)/Basis!$E$10)</f>
        <v>0</v>
      </c>
      <c r="M325" s="85"/>
      <c r="N325" s="109">
        <v>1.452</v>
      </c>
      <c r="O325" s="68"/>
      <c r="P325" s="67">
        <v>4081</v>
      </c>
      <c r="Q325" s="68"/>
      <c r="R325" s="69"/>
      <c r="S325" s="69"/>
      <c r="T325" s="69"/>
      <c r="U325" s="69"/>
      <c r="V325" s="69"/>
      <c r="W325" s="68"/>
      <c r="X325" s="70"/>
      <c r="Y325" s="70"/>
      <c r="Z325" s="70"/>
      <c r="AA325" s="70"/>
      <c r="AB325" s="70"/>
      <c r="AC325" s="68"/>
      <c r="AD325" s="71"/>
      <c r="AE325" s="71"/>
      <c r="AF325" s="71"/>
      <c r="AG325" s="71"/>
      <c r="AH325" s="71"/>
      <c r="AI325" s="68"/>
      <c r="AJ325" s="214"/>
      <c r="AK325" s="214"/>
      <c r="AL325" s="214"/>
      <c r="AM325" s="214"/>
      <c r="AN325" s="68"/>
      <c r="AO325" s="67"/>
      <c r="AP325" s="67"/>
      <c r="AQ325" s="67"/>
      <c r="AR325" s="67"/>
      <c r="AS325" s="67"/>
      <c r="AT325" s="68"/>
      <c r="AU325" s="49"/>
      <c r="AV325" s="50"/>
    </row>
    <row r="326" spans="1:48" ht="12.75" customHeight="1" x14ac:dyDescent="0.25">
      <c r="A326" s="72" t="s">
        <v>20</v>
      </c>
      <c r="B326" s="43" t="s">
        <v>4043</v>
      </c>
      <c r="C326" s="44" t="s">
        <v>3654</v>
      </c>
      <c r="D326" s="45">
        <f>MROUND(MID($C326,6,3)/Basis!$E$3,0.5)</f>
        <v>9.5</v>
      </c>
      <c r="E326" s="45">
        <f>MROUND(MID($C326,9,3)/Basis!$E$3,0.5)</f>
        <v>118</v>
      </c>
      <c r="F326" s="229" t="str">
        <f t="shared" si="4"/>
        <v>11</v>
      </c>
      <c r="G326" s="45">
        <f>ROUND(5/Basis!$E$3,1)</f>
        <v>2</v>
      </c>
      <c r="H326" s="120">
        <f>ROUND($P326*Basis!$E$2*((TaH-TrH)/LN(1/µ)/Basis!$E$7)^$N326*Glycol,0)</f>
        <v>3221</v>
      </c>
      <c r="I326" s="83">
        <f>ROUND(H326/(MID($C326,9,3)/Basis!$E$3/Basis!$E$9)*Basis!$E$11,0)</f>
        <v>327</v>
      </c>
      <c r="J326" s="123">
        <f>IF(Basis!$E$1=1,ROUND(H326/((TaH-TrH)*1.163)/3600,3),ROUND(H326/(500*(TaH-TrH)),2))</f>
        <v>0.32</v>
      </c>
      <c r="K326" s="84"/>
      <c r="L326" s="177">
        <f>CHOOSE(Basis!$E$1,((AJ326*(J326*3600/Basis!$E$5)^AK326*(((MID(C326,9,3)*10)-144)/1000)*AL326+AM326*(J326*3600/Basis!$E$5)^2)*0.0098)/Basis!$E$10,((AJ326*(J326/Basis!$E$5)^AK326*(((MID(C326,9,3)*10)-144)/1000)*AL326+AM326*(J326/Basis!$E$5)^2)*0.0098)/Basis!$E$10)</f>
        <v>0</v>
      </c>
      <c r="M326" s="85"/>
      <c r="N326" s="110">
        <v>1.248</v>
      </c>
      <c r="O326" s="74"/>
      <c r="P326" s="73">
        <v>1425</v>
      </c>
      <c r="Q326" s="74"/>
      <c r="R326" s="75"/>
      <c r="S326" s="75"/>
      <c r="T326" s="75"/>
      <c r="U326" s="75"/>
      <c r="V326" s="75"/>
      <c r="W326" s="74"/>
      <c r="X326" s="76"/>
      <c r="Y326" s="76"/>
      <c r="Z326" s="76"/>
      <c r="AA326" s="76"/>
      <c r="AB326" s="76"/>
      <c r="AC326" s="74"/>
      <c r="AD326" s="77"/>
      <c r="AE326" s="77"/>
      <c r="AF326" s="77"/>
      <c r="AG326" s="77"/>
      <c r="AH326" s="77"/>
      <c r="AI326" s="68"/>
      <c r="AJ326" s="213"/>
      <c r="AK326" s="213"/>
      <c r="AL326" s="213"/>
      <c r="AM326" s="213"/>
      <c r="AN326" s="74"/>
      <c r="AO326" s="73"/>
      <c r="AP326" s="73"/>
      <c r="AQ326" s="73"/>
      <c r="AR326" s="73"/>
      <c r="AS326" s="73"/>
      <c r="AT326" s="74"/>
      <c r="AU326" s="47"/>
      <c r="AV326" s="48"/>
    </row>
    <row r="327" spans="1:48" ht="12.75" customHeight="1" x14ac:dyDescent="0.25">
      <c r="A327" s="72" t="s">
        <v>20</v>
      </c>
      <c r="B327" s="43" t="s">
        <v>4043</v>
      </c>
      <c r="C327" s="44" t="s">
        <v>3655</v>
      </c>
      <c r="D327" s="45">
        <f>MROUND(MID($C327,6,3)/Basis!$E$3,0.5)</f>
        <v>9.5</v>
      </c>
      <c r="E327" s="45">
        <f>MROUND(MID($C327,9,3)/Basis!$E$3,0.5)</f>
        <v>118</v>
      </c>
      <c r="F327" s="229" t="str">
        <f t="shared" si="4"/>
        <v>22</v>
      </c>
      <c r="G327" s="45">
        <f>ROUND(9/Basis!$E$3,1)</f>
        <v>3.5</v>
      </c>
      <c r="H327" s="120">
        <f>ROUND($P327*Basis!$E$2*((TaH-TrH)/LN(1/µ)/Basis!$E$7)^$N327*Glycol,0)</f>
        <v>5209</v>
      </c>
      <c r="I327" s="83">
        <f>ROUND(H327/(MID($C327,9,3)/Basis!$E$3/Basis!$E$9)*Basis!$E$11,0)</f>
        <v>529</v>
      </c>
      <c r="J327" s="123">
        <f>IF(Basis!$E$1=1,ROUND(H327/((TaH-TrH)*1.163)/3600,3),ROUND(H327/(500*(TaH-TrH)),2))</f>
        <v>0.52</v>
      </c>
      <c r="K327" s="84"/>
      <c r="L327" s="177">
        <f>CHOOSE(Basis!$E$1,((AJ327*(J327*3600/Basis!$E$5)^AK327*(((MID(C327,9,3)*10)-144)/1000)*AL327+AM327*(J327*3600/Basis!$E$5)^2)*0.0098)/Basis!$E$10,((AJ327*(J327/Basis!$E$5)^AK327*(((MID(C327,9,3)*10)-144)/1000)*AL327+AM327*(J327/Basis!$E$5)^2)*0.0098)/Basis!$E$10)</f>
        <v>0</v>
      </c>
      <c r="M327" s="85"/>
      <c r="N327" s="110">
        <v>1.349</v>
      </c>
      <c r="O327" s="74"/>
      <c r="P327" s="73">
        <v>2383</v>
      </c>
      <c r="Q327" s="74"/>
      <c r="R327" s="75"/>
      <c r="S327" s="75"/>
      <c r="T327" s="75"/>
      <c r="U327" s="75"/>
      <c r="V327" s="75"/>
      <c r="W327" s="74"/>
      <c r="X327" s="76"/>
      <c r="Y327" s="76"/>
      <c r="Z327" s="76"/>
      <c r="AA327" s="76"/>
      <c r="AB327" s="76"/>
      <c r="AC327" s="74"/>
      <c r="AD327" s="77"/>
      <c r="AE327" s="77"/>
      <c r="AF327" s="77"/>
      <c r="AG327" s="77"/>
      <c r="AH327" s="77"/>
      <c r="AI327" s="68"/>
      <c r="AJ327" s="213"/>
      <c r="AK327" s="213"/>
      <c r="AL327" s="213"/>
      <c r="AM327" s="213"/>
      <c r="AN327" s="74"/>
      <c r="AO327" s="73"/>
      <c r="AP327" s="73"/>
      <c r="AQ327" s="73"/>
      <c r="AR327" s="73"/>
      <c r="AS327" s="73"/>
      <c r="AT327" s="74"/>
      <c r="AU327" s="47"/>
      <c r="AV327" s="48"/>
    </row>
    <row r="328" spans="1:48" ht="12.75" customHeight="1" x14ac:dyDescent="0.25">
      <c r="A328" s="72" t="s">
        <v>20</v>
      </c>
      <c r="B328" s="43" t="s">
        <v>4043</v>
      </c>
      <c r="C328" s="44" t="s">
        <v>3656</v>
      </c>
      <c r="D328" s="45">
        <f>MROUND(MID($C328,6,3)/Basis!$E$3,0.5)</f>
        <v>9.5</v>
      </c>
      <c r="E328" s="45">
        <f>MROUND(MID($C328,9,3)/Basis!$E$3,0.5)</f>
        <v>118</v>
      </c>
      <c r="F328" s="229" t="str">
        <f t="shared" si="4"/>
        <v>34</v>
      </c>
      <c r="G328" s="45">
        <f>ROUND(16.9/Basis!$E$3,1)</f>
        <v>6.7</v>
      </c>
      <c r="H328" s="120">
        <f>ROUND($P328*Basis!$E$2*((TaH-TrH)/LN(1/µ)/Basis!$E$7)^$N328*Glycol,0)</f>
        <v>9240</v>
      </c>
      <c r="I328" s="83">
        <f>ROUND(H328/(MID($C328,9,3)/Basis!$E$3/Basis!$E$9)*Basis!$E$11,0)</f>
        <v>939</v>
      </c>
      <c r="J328" s="123">
        <f>IF(Basis!$E$1=1,ROUND(H328/((TaH-TrH)*1.163)/3600,3),ROUND(H328/(500*(TaH-TrH)),2))</f>
        <v>0.92</v>
      </c>
      <c r="K328" s="84"/>
      <c r="L328" s="177">
        <f>CHOOSE(Basis!$E$1,((AJ328*(J328*3600/Basis!$E$5)^AK328*(((MID(C328,9,3)*10)-144)/1000)*AL328+AM328*(J328*3600/Basis!$E$5)^2)*0.0098)/Basis!$E$10,((AJ328*(J328/Basis!$E$5)^AK328*(((MID(C328,9,3)*10)-144)/1000)*AL328+AM328*(J328/Basis!$E$5)^2)*0.0098)/Basis!$E$10)</f>
        <v>0</v>
      </c>
      <c r="M328" s="85"/>
      <c r="N328" s="109">
        <v>1.452</v>
      </c>
      <c r="O328" s="68"/>
      <c r="P328" s="67">
        <v>4373</v>
      </c>
      <c r="Q328" s="68"/>
      <c r="R328" s="69"/>
      <c r="S328" s="69"/>
      <c r="T328" s="69"/>
      <c r="U328" s="69"/>
      <c r="V328" s="69"/>
      <c r="W328" s="68"/>
      <c r="X328" s="70"/>
      <c r="Y328" s="70"/>
      <c r="Z328" s="70"/>
      <c r="AA328" s="70"/>
      <c r="AB328" s="70"/>
      <c r="AC328" s="68"/>
      <c r="AD328" s="71"/>
      <c r="AE328" s="71"/>
      <c r="AF328" s="71"/>
      <c r="AG328" s="71"/>
      <c r="AH328" s="71"/>
      <c r="AI328" s="68"/>
      <c r="AJ328" s="214"/>
      <c r="AK328" s="214"/>
      <c r="AL328" s="214"/>
      <c r="AM328" s="214"/>
      <c r="AN328" s="68"/>
      <c r="AO328" s="67"/>
      <c r="AP328" s="67"/>
      <c r="AQ328" s="67"/>
      <c r="AR328" s="67"/>
      <c r="AS328" s="67"/>
      <c r="AT328" s="68"/>
      <c r="AU328" s="49"/>
      <c r="AV328" s="50"/>
    </row>
    <row r="329" spans="1:48" ht="12.75" customHeight="1" x14ac:dyDescent="0.25">
      <c r="A329" s="72" t="s">
        <v>20</v>
      </c>
      <c r="B329" s="43" t="s">
        <v>4043</v>
      </c>
      <c r="C329" s="44" t="s">
        <v>3657</v>
      </c>
      <c r="D329" s="45">
        <f>MROUND(MID($C329,6,3)/Basis!$E$3,0.5)</f>
        <v>12</v>
      </c>
      <c r="E329" s="45">
        <f>MROUND(MID($C329,9,3)/Basis!$E$3,0.5)</f>
        <v>23.5</v>
      </c>
      <c r="F329" s="229" t="str">
        <f t="shared" si="4"/>
        <v>11</v>
      </c>
      <c r="G329" s="45">
        <f>ROUND(5/Basis!$E$3,1)</f>
        <v>2</v>
      </c>
      <c r="H329" s="120">
        <f>ROUND($P329*Basis!$E$2*((TaH-TrH)/LN(1/µ)/Basis!$E$7)^$N329*Glycol,0)</f>
        <v>755</v>
      </c>
      <c r="I329" s="83">
        <f>ROUND(H329/(MID($C329,9,3)/Basis!$E$3/Basis!$E$9)*Basis!$E$11,0)</f>
        <v>384</v>
      </c>
      <c r="J329" s="123">
        <f>IF(Basis!$E$1=1,ROUND(H329/((TaH-TrH)*1.163)/3600,3),ROUND(H329/(500*(TaH-TrH)),2))</f>
        <v>0.08</v>
      </c>
      <c r="K329" s="84"/>
      <c r="L329" s="177">
        <f>CHOOSE(Basis!$E$1,((AJ329*(J329*3600/Basis!$E$5)^AK329*(((MID(C329,9,3)*10)-144)/1000)*AL329+AM329*(J329*3600/Basis!$E$5)^2)*0.0098)/Basis!$E$10,((AJ329*(J329/Basis!$E$5)^AK329*(((MID(C329,9,3)*10)-144)/1000)*AL329+AM329*(J329/Basis!$E$5)^2)*0.0098)/Basis!$E$10)</f>
        <v>0</v>
      </c>
      <c r="M329" s="85"/>
      <c r="N329" s="109">
        <v>1.248</v>
      </c>
      <c r="O329" s="68"/>
      <c r="P329" s="67">
        <v>334</v>
      </c>
      <c r="Q329" s="68"/>
      <c r="R329" s="69"/>
      <c r="S329" s="69"/>
      <c r="T329" s="69"/>
      <c r="U329" s="69"/>
      <c r="V329" s="69"/>
      <c r="W329" s="68"/>
      <c r="X329" s="70"/>
      <c r="Y329" s="70"/>
      <c r="Z329" s="70"/>
      <c r="AA329" s="70"/>
      <c r="AB329" s="70"/>
      <c r="AC329" s="68"/>
      <c r="AD329" s="71"/>
      <c r="AE329" s="71"/>
      <c r="AF329" s="71"/>
      <c r="AG329" s="71"/>
      <c r="AH329" s="71"/>
      <c r="AI329" s="68"/>
      <c r="AJ329" s="214"/>
      <c r="AK329" s="214"/>
      <c r="AL329" s="214"/>
      <c r="AM329" s="214"/>
      <c r="AN329" s="68"/>
      <c r="AO329" s="67"/>
      <c r="AP329" s="67"/>
      <c r="AQ329" s="67"/>
      <c r="AR329" s="67"/>
      <c r="AS329" s="67"/>
      <c r="AT329" s="68"/>
      <c r="AU329" s="49"/>
      <c r="AV329" s="50"/>
    </row>
    <row r="330" spans="1:48" ht="12.75" customHeight="1" x14ac:dyDescent="0.25">
      <c r="A330" s="72" t="s">
        <v>20</v>
      </c>
      <c r="B330" s="43" t="s">
        <v>4043</v>
      </c>
      <c r="C330" s="44" t="s">
        <v>3658</v>
      </c>
      <c r="D330" s="45">
        <f>MROUND(MID($C330,6,3)/Basis!$E$3,0.5)</f>
        <v>12</v>
      </c>
      <c r="E330" s="45">
        <f>MROUND(MID($C330,9,3)/Basis!$E$3,0.5)</f>
        <v>23.5</v>
      </c>
      <c r="F330" s="229" t="str">
        <f t="shared" si="4"/>
        <v>22</v>
      </c>
      <c r="G330" s="45">
        <f>ROUND(9/Basis!$E$3,1)</f>
        <v>3.5</v>
      </c>
      <c r="H330" s="120">
        <f>ROUND($P330*Basis!$E$2*((TaH-TrH)/LN(1/µ)/Basis!$E$7)^$N330*Glycol,0)</f>
        <v>1248</v>
      </c>
      <c r="I330" s="83">
        <f>ROUND(H330/(MID($C330,9,3)/Basis!$E$3/Basis!$E$9)*Basis!$E$11,0)</f>
        <v>634</v>
      </c>
      <c r="J330" s="123">
        <f>IF(Basis!$E$1=1,ROUND(H330/((TaH-TrH)*1.163)/3600,3),ROUND(H330/(500*(TaH-TrH)),2))</f>
        <v>0.12</v>
      </c>
      <c r="K330" s="84"/>
      <c r="L330" s="177">
        <f>CHOOSE(Basis!$E$1,((AJ330*(J330*3600/Basis!$E$5)^AK330*(((MID(C330,9,3)*10)-144)/1000)*AL330+AM330*(J330*3600/Basis!$E$5)^2)*0.0098)/Basis!$E$10,((AJ330*(J330/Basis!$E$5)^AK330*(((MID(C330,9,3)*10)-144)/1000)*AL330+AM330*(J330/Basis!$E$5)^2)*0.0098)/Basis!$E$10)</f>
        <v>0</v>
      </c>
      <c r="M330" s="85"/>
      <c r="N330" s="110">
        <v>1.349</v>
      </c>
      <c r="O330" s="74"/>
      <c r="P330" s="73">
        <v>571</v>
      </c>
      <c r="Q330" s="74"/>
      <c r="R330" s="75"/>
      <c r="S330" s="75"/>
      <c r="T330" s="75"/>
      <c r="U330" s="75"/>
      <c r="V330" s="75"/>
      <c r="W330" s="74"/>
      <c r="X330" s="76"/>
      <c r="Y330" s="76"/>
      <c r="Z330" s="76"/>
      <c r="AA330" s="76"/>
      <c r="AB330" s="76"/>
      <c r="AC330" s="74"/>
      <c r="AD330" s="77"/>
      <c r="AE330" s="77"/>
      <c r="AF330" s="77"/>
      <c r="AG330" s="77"/>
      <c r="AH330" s="77"/>
      <c r="AI330" s="68"/>
      <c r="AJ330" s="213"/>
      <c r="AK330" s="213"/>
      <c r="AL330" s="213"/>
      <c r="AM330" s="213"/>
      <c r="AN330" s="74"/>
      <c r="AO330" s="73"/>
      <c r="AP330" s="73"/>
      <c r="AQ330" s="73"/>
      <c r="AR330" s="73"/>
      <c r="AS330" s="73"/>
      <c r="AT330" s="74"/>
      <c r="AU330" s="47"/>
      <c r="AV330" s="48"/>
    </row>
    <row r="331" spans="1:48" ht="12.75" customHeight="1" x14ac:dyDescent="0.25">
      <c r="A331" s="72" t="s">
        <v>20</v>
      </c>
      <c r="B331" s="43" t="s">
        <v>4043</v>
      </c>
      <c r="C331" s="44" t="s">
        <v>3659</v>
      </c>
      <c r="D331" s="45">
        <f>MROUND(MID($C331,6,3)/Basis!$E$3,0.5)</f>
        <v>12</v>
      </c>
      <c r="E331" s="45">
        <f>MROUND(MID($C331,9,3)/Basis!$E$3,0.5)</f>
        <v>23.5</v>
      </c>
      <c r="F331" s="229" t="str">
        <f t="shared" ref="F331:F394" si="5">MID(C331,12,2)</f>
        <v>34</v>
      </c>
      <c r="G331" s="45">
        <f>ROUND(16.9/Basis!$E$3,1)</f>
        <v>6.7</v>
      </c>
      <c r="H331" s="120">
        <f>ROUND($P331*Basis!$E$2*((TaH-TrH)/LN(1/µ)/Basis!$E$7)^$N331*Glycol,0)</f>
        <v>2152</v>
      </c>
      <c r="I331" s="83">
        <f>ROUND(H331/(MID($C331,9,3)/Basis!$E$3/Basis!$E$9)*Basis!$E$11,0)</f>
        <v>1093</v>
      </c>
      <c r="J331" s="123">
        <f>IF(Basis!$E$1=1,ROUND(H331/((TaH-TrH)*1.163)/3600,3),ROUND(H331/(500*(TaH-TrH)),2))</f>
        <v>0.22</v>
      </c>
      <c r="K331" s="84"/>
      <c r="L331" s="177">
        <f>CHOOSE(Basis!$E$1,((AJ331*(J331*3600/Basis!$E$5)^AK331*(((MID(C331,9,3)*10)-144)/1000)*AL331+AM331*(J331*3600/Basis!$E$5)^2)*0.0098)/Basis!$E$10,((AJ331*(J331/Basis!$E$5)^AK331*(((MID(C331,9,3)*10)-144)/1000)*AL331+AM331*(J331/Basis!$E$5)^2)*0.0098)/Basis!$E$10)</f>
        <v>0</v>
      </c>
      <c r="M331" s="85"/>
      <c r="N331" s="110">
        <v>1.4510000000000001</v>
      </c>
      <c r="O331" s="74"/>
      <c r="P331" s="73">
        <v>1018</v>
      </c>
      <c r="Q331" s="74"/>
      <c r="R331" s="75"/>
      <c r="S331" s="75"/>
      <c r="T331" s="75"/>
      <c r="U331" s="75"/>
      <c r="V331" s="75"/>
      <c r="W331" s="74"/>
      <c r="X331" s="76"/>
      <c r="Y331" s="76"/>
      <c r="Z331" s="76"/>
      <c r="AA331" s="76"/>
      <c r="AB331" s="76"/>
      <c r="AC331" s="74"/>
      <c r="AD331" s="77"/>
      <c r="AE331" s="77"/>
      <c r="AF331" s="77"/>
      <c r="AG331" s="77"/>
      <c r="AH331" s="77"/>
      <c r="AI331" s="68"/>
      <c r="AJ331" s="213"/>
      <c r="AK331" s="213"/>
      <c r="AL331" s="213"/>
      <c r="AM331" s="213"/>
      <c r="AN331" s="74"/>
      <c r="AO331" s="73"/>
      <c r="AP331" s="73"/>
      <c r="AQ331" s="73"/>
      <c r="AR331" s="73"/>
      <c r="AS331" s="73"/>
      <c r="AT331" s="74"/>
      <c r="AU331" s="47"/>
      <c r="AV331" s="48"/>
    </row>
    <row r="332" spans="1:48" ht="12.75" customHeight="1" x14ac:dyDescent="0.25">
      <c r="A332" s="72" t="s">
        <v>20</v>
      </c>
      <c r="B332" s="43" t="s">
        <v>4043</v>
      </c>
      <c r="C332" s="44" t="s">
        <v>3660</v>
      </c>
      <c r="D332" s="45">
        <f>MROUND(MID($C332,6,3)/Basis!$E$3,0.5)</f>
        <v>12</v>
      </c>
      <c r="E332" s="45">
        <f>MROUND(MID($C332,9,3)/Basis!$E$3,0.5)</f>
        <v>31.5</v>
      </c>
      <c r="F332" s="229" t="str">
        <f t="shared" si="5"/>
        <v>11</v>
      </c>
      <c r="G332" s="45">
        <f>ROUND(5/Basis!$E$3,1)</f>
        <v>2</v>
      </c>
      <c r="H332" s="120">
        <f>ROUND($P332*Basis!$E$2*((TaH-TrH)/LN(1/µ)/Basis!$E$7)^$N332*Glycol,0)</f>
        <v>1006</v>
      </c>
      <c r="I332" s="83">
        <f>ROUND(H332/(MID($C332,9,3)/Basis!$E$3/Basis!$E$9)*Basis!$E$11,0)</f>
        <v>383</v>
      </c>
      <c r="J332" s="123">
        <f>IF(Basis!$E$1=1,ROUND(H332/((TaH-TrH)*1.163)/3600,3),ROUND(H332/(500*(TaH-TrH)),2))</f>
        <v>0.1</v>
      </c>
      <c r="K332" s="84"/>
      <c r="L332" s="177">
        <f>CHOOSE(Basis!$E$1,((AJ332*(J332*3600/Basis!$E$5)^AK332*(((MID(C332,9,3)*10)-144)/1000)*AL332+AM332*(J332*3600/Basis!$E$5)^2)*0.0098)/Basis!$E$10,((AJ332*(J332/Basis!$E$5)^AK332*(((MID(C332,9,3)*10)-144)/1000)*AL332+AM332*(J332/Basis!$E$5)^2)*0.0098)/Basis!$E$10)</f>
        <v>0</v>
      </c>
      <c r="M332" s="85"/>
      <c r="N332" s="109">
        <v>1.248</v>
      </c>
      <c r="O332" s="68"/>
      <c r="P332" s="67">
        <v>445</v>
      </c>
      <c r="Q332" s="68"/>
      <c r="R332" s="69"/>
      <c r="S332" s="69"/>
      <c r="T332" s="69"/>
      <c r="U332" s="69"/>
      <c r="V332" s="69"/>
      <c r="W332" s="68"/>
      <c r="X332" s="70"/>
      <c r="Y332" s="70"/>
      <c r="Z332" s="70"/>
      <c r="AA332" s="70"/>
      <c r="AB332" s="70"/>
      <c r="AC332" s="68"/>
      <c r="AD332" s="71"/>
      <c r="AE332" s="71"/>
      <c r="AF332" s="71"/>
      <c r="AG332" s="71"/>
      <c r="AH332" s="71"/>
      <c r="AI332" s="68"/>
      <c r="AJ332" s="214"/>
      <c r="AK332" s="214"/>
      <c r="AL332" s="214"/>
      <c r="AM332" s="214"/>
      <c r="AN332" s="68"/>
      <c r="AO332" s="67"/>
      <c r="AP332" s="67"/>
      <c r="AQ332" s="67"/>
      <c r="AR332" s="67"/>
      <c r="AS332" s="67"/>
      <c r="AT332" s="68"/>
      <c r="AU332" s="49"/>
      <c r="AV332" s="50"/>
    </row>
    <row r="333" spans="1:48" ht="12.75" customHeight="1" x14ac:dyDescent="0.25">
      <c r="A333" s="72" t="s">
        <v>20</v>
      </c>
      <c r="B333" s="43" t="s">
        <v>4043</v>
      </c>
      <c r="C333" s="44" t="s">
        <v>3661</v>
      </c>
      <c r="D333" s="45">
        <f>MROUND(MID($C333,6,3)/Basis!$E$3,0.5)</f>
        <v>12</v>
      </c>
      <c r="E333" s="45">
        <f>MROUND(MID($C333,9,3)/Basis!$E$3,0.5)</f>
        <v>31.5</v>
      </c>
      <c r="F333" s="229" t="str">
        <f t="shared" si="5"/>
        <v>22</v>
      </c>
      <c r="G333" s="45">
        <f>ROUND(9/Basis!$E$3,1)</f>
        <v>3.5</v>
      </c>
      <c r="H333" s="120">
        <f>ROUND($P333*Basis!$E$2*((TaH-TrH)/LN(1/µ)/Basis!$E$7)^$N333*Glycol,0)</f>
        <v>1664</v>
      </c>
      <c r="I333" s="83">
        <f>ROUND(H333/(MID($C333,9,3)/Basis!$E$3/Basis!$E$9)*Basis!$E$11,0)</f>
        <v>634</v>
      </c>
      <c r="J333" s="123">
        <f>IF(Basis!$E$1=1,ROUND(H333/((TaH-TrH)*1.163)/3600,3),ROUND(H333/(500*(TaH-TrH)),2))</f>
        <v>0.17</v>
      </c>
      <c r="K333" s="84"/>
      <c r="L333" s="177">
        <f>CHOOSE(Basis!$E$1,((AJ333*(J333*3600/Basis!$E$5)^AK333*(((MID(C333,9,3)*10)-144)/1000)*AL333+AM333*(J333*3600/Basis!$E$5)^2)*0.0098)/Basis!$E$10,((AJ333*(J333/Basis!$E$5)^AK333*(((MID(C333,9,3)*10)-144)/1000)*AL333+AM333*(J333/Basis!$E$5)^2)*0.0098)/Basis!$E$10)</f>
        <v>0</v>
      </c>
      <c r="M333" s="85"/>
      <c r="N333" s="109">
        <v>1.349</v>
      </c>
      <c r="O333" s="68"/>
      <c r="P333" s="67">
        <v>761</v>
      </c>
      <c r="Q333" s="68"/>
      <c r="R333" s="69"/>
      <c r="S333" s="69"/>
      <c r="T333" s="69"/>
      <c r="U333" s="69"/>
      <c r="V333" s="69"/>
      <c r="W333" s="68"/>
      <c r="X333" s="70"/>
      <c r="Y333" s="70"/>
      <c r="Z333" s="70"/>
      <c r="AA333" s="70"/>
      <c r="AB333" s="70"/>
      <c r="AC333" s="68"/>
      <c r="AD333" s="71"/>
      <c r="AE333" s="71"/>
      <c r="AF333" s="71"/>
      <c r="AG333" s="71"/>
      <c r="AH333" s="71"/>
      <c r="AI333" s="68"/>
      <c r="AJ333" s="214"/>
      <c r="AK333" s="214"/>
      <c r="AL333" s="214"/>
      <c r="AM333" s="214"/>
      <c r="AN333" s="68"/>
      <c r="AO333" s="67"/>
      <c r="AP333" s="67"/>
      <c r="AQ333" s="67"/>
      <c r="AR333" s="67"/>
      <c r="AS333" s="67"/>
      <c r="AT333" s="68"/>
      <c r="AU333" s="49"/>
      <c r="AV333" s="50"/>
    </row>
    <row r="334" spans="1:48" ht="12.75" customHeight="1" x14ac:dyDescent="0.25">
      <c r="A334" s="72" t="s">
        <v>20</v>
      </c>
      <c r="B334" s="43" t="s">
        <v>4043</v>
      </c>
      <c r="C334" s="44" t="s">
        <v>3662</v>
      </c>
      <c r="D334" s="45">
        <f>MROUND(MID($C334,6,3)/Basis!$E$3,0.5)</f>
        <v>12</v>
      </c>
      <c r="E334" s="45">
        <f>MROUND(MID($C334,9,3)/Basis!$E$3,0.5)</f>
        <v>31.5</v>
      </c>
      <c r="F334" s="229" t="str">
        <f t="shared" si="5"/>
        <v>34</v>
      </c>
      <c r="G334" s="45">
        <f>ROUND(16.9/Basis!$E$3,1)</f>
        <v>6.7</v>
      </c>
      <c r="H334" s="120">
        <f>ROUND($P334*Basis!$E$2*((TaH-TrH)/LN(1/µ)/Basis!$E$7)^$N334*Glycol,0)</f>
        <v>2868</v>
      </c>
      <c r="I334" s="83">
        <f>ROUND(H334/(MID($C334,9,3)/Basis!$E$3/Basis!$E$9)*Basis!$E$11,0)</f>
        <v>1093</v>
      </c>
      <c r="J334" s="123">
        <f>IF(Basis!$E$1=1,ROUND(H334/((TaH-TrH)*1.163)/3600,3),ROUND(H334/(500*(TaH-TrH)),2))</f>
        <v>0.28999999999999998</v>
      </c>
      <c r="K334" s="84"/>
      <c r="L334" s="177">
        <f>CHOOSE(Basis!$E$1,((AJ334*(J334*3600/Basis!$E$5)^AK334*(((MID(C334,9,3)*10)-144)/1000)*AL334+AM334*(J334*3600/Basis!$E$5)^2)*0.0098)/Basis!$E$10,((AJ334*(J334/Basis!$E$5)^AK334*(((MID(C334,9,3)*10)-144)/1000)*AL334+AM334*(J334/Basis!$E$5)^2)*0.0098)/Basis!$E$10)</f>
        <v>0</v>
      </c>
      <c r="M334" s="85"/>
      <c r="N334" s="110">
        <v>1.4510000000000001</v>
      </c>
      <c r="O334" s="74"/>
      <c r="P334" s="73">
        <v>1357</v>
      </c>
      <c r="Q334" s="74"/>
      <c r="R334" s="75"/>
      <c r="S334" s="75"/>
      <c r="T334" s="75"/>
      <c r="U334" s="75"/>
      <c r="V334" s="75"/>
      <c r="W334" s="74"/>
      <c r="X334" s="76"/>
      <c r="Y334" s="76"/>
      <c r="Z334" s="76"/>
      <c r="AA334" s="76"/>
      <c r="AB334" s="76"/>
      <c r="AC334" s="74"/>
      <c r="AD334" s="77"/>
      <c r="AE334" s="77"/>
      <c r="AF334" s="77"/>
      <c r="AG334" s="77"/>
      <c r="AH334" s="77"/>
      <c r="AI334" s="68"/>
      <c r="AJ334" s="213"/>
      <c r="AK334" s="213"/>
      <c r="AL334" s="213"/>
      <c r="AM334" s="213"/>
      <c r="AN334" s="74"/>
      <c r="AO334" s="73"/>
      <c r="AP334" s="73"/>
      <c r="AQ334" s="73"/>
      <c r="AR334" s="73"/>
      <c r="AS334" s="73"/>
      <c r="AT334" s="74"/>
      <c r="AU334" s="47"/>
      <c r="AV334" s="48"/>
    </row>
    <row r="335" spans="1:48" ht="12.75" customHeight="1" x14ac:dyDescent="0.25">
      <c r="A335" s="72" t="s">
        <v>20</v>
      </c>
      <c r="B335" s="43" t="s">
        <v>4043</v>
      </c>
      <c r="C335" s="44" t="s">
        <v>3663</v>
      </c>
      <c r="D335" s="45">
        <f>MROUND(MID($C335,6,3)/Basis!$E$3,0.5)</f>
        <v>12</v>
      </c>
      <c r="E335" s="45">
        <f>MROUND(MID($C335,9,3)/Basis!$E$3,0.5)</f>
        <v>39.5</v>
      </c>
      <c r="F335" s="229" t="str">
        <f t="shared" si="5"/>
        <v>11</v>
      </c>
      <c r="G335" s="45">
        <f>ROUND(5/Basis!$E$3,1)</f>
        <v>2</v>
      </c>
      <c r="H335" s="120">
        <f>ROUND($P335*Basis!$E$2*((TaH-TrH)/LN(1/µ)/Basis!$E$7)^$N335*Glycol,0)</f>
        <v>1257</v>
      </c>
      <c r="I335" s="83">
        <f>ROUND(H335/(MID($C335,9,3)/Basis!$E$3/Basis!$E$9)*Basis!$E$11,0)</f>
        <v>383</v>
      </c>
      <c r="J335" s="123">
        <f>IF(Basis!$E$1=1,ROUND(H335/((TaH-TrH)*1.163)/3600,3),ROUND(H335/(500*(TaH-TrH)),2))</f>
        <v>0.13</v>
      </c>
      <c r="K335" s="84"/>
      <c r="L335" s="177">
        <f>CHOOSE(Basis!$E$1,((AJ335*(J335*3600/Basis!$E$5)^AK335*(((MID(C335,9,3)*10)-144)/1000)*AL335+AM335*(J335*3600/Basis!$E$5)^2)*0.0098)/Basis!$E$10,((AJ335*(J335/Basis!$E$5)^AK335*(((MID(C335,9,3)*10)-144)/1000)*AL335+AM335*(J335/Basis!$E$5)^2)*0.0098)/Basis!$E$10)</f>
        <v>0</v>
      </c>
      <c r="M335" s="85"/>
      <c r="N335" s="110">
        <v>1.248</v>
      </c>
      <c r="O335" s="74"/>
      <c r="P335" s="73">
        <v>556</v>
      </c>
      <c r="Q335" s="74"/>
      <c r="R335" s="75"/>
      <c r="S335" s="75"/>
      <c r="T335" s="75"/>
      <c r="U335" s="75"/>
      <c r="V335" s="75"/>
      <c r="W335" s="74"/>
      <c r="X335" s="76"/>
      <c r="Y335" s="76"/>
      <c r="Z335" s="76"/>
      <c r="AA335" s="76"/>
      <c r="AB335" s="76"/>
      <c r="AC335" s="74"/>
      <c r="AD335" s="77"/>
      <c r="AE335" s="77"/>
      <c r="AF335" s="77"/>
      <c r="AG335" s="77"/>
      <c r="AH335" s="77"/>
      <c r="AI335" s="68"/>
      <c r="AJ335" s="213"/>
      <c r="AK335" s="213"/>
      <c r="AL335" s="213"/>
      <c r="AM335" s="213"/>
      <c r="AN335" s="74"/>
      <c r="AO335" s="73"/>
      <c r="AP335" s="73"/>
      <c r="AQ335" s="73"/>
      <c r="AR335" s="73"/>
      <c r="AS335" s="73"/>
      <c r="AT335" s="74"/>
      <c r="AU335" s="47"/>
      <c r="AV335" s="48"/>
    </row>
    <row r="336" spans="1:48" ht="12.75" customHeight="1" x14ac:dyDescent="0.25">
      <c r="A336" s="72" t="s">
        <v>20</v>
      </c>
      <c r="B336" s="43" t="s">
        <v>4043</v>
      </c>
      <c r="C336" s="44" t="s">
        <v>3664</v>
      </c>
      <c r="D336" s="45">
        <f>MROUND(MID($C336,6,3)/Basis!$E$3,0.5)</f>
        <v>12</v>
      </c>
      <c r="E336" s="45">
        <f>MROUND(MID($C336,9,3)/Basis!$E$3,0.5)</f>
        <v>39.5</v>
      </c>
      <c r="F336" s="229" t="str">
        <f t="shared" si="5"/>
        <v>22</v>
      </c>
      <c r="G336" s="45">
        <f>ROUND(9/Basis!$E$3,1)</f>
        <v>3.5</v>
      </c>
      <c r="H336" s="120">
        <f>ROUND($P336*Basis!$E$2*((TaH-TrH)/LN(1/µ)/Basis!$E$7)^$N336*Glycol,0)</f>
        <v>2079</v>
      </c>
      <c r="I336" s="83">
        <f>ROUND(H336/(MID($C336,9,3)/Basis!$E$3/Basis!$E$9)*Basis!$E$11,0)</f>
        <v>634</v>
      </c>
      <c r="J336" s="123">
        <f>IF(Basis!$E$1=1,ROUND(H336/((TaH-TrH)*1.163)/3600,3),ROUND(H336/(500*(TaH-TrH)),2))</f>
        <v>0.21</v>
      </c>
      <c r="K336" s="84"/>
      <c r="L336" s="177">
        <f>CHOOSE(Basis!$E$1,((AJ336*(J336*3600/Basis!$E$5)^AK336*(((MID(C336,9,3)*10)-144)/1000)*AL336+AM336*(J336*3600/Basis!$E$5)^2)*0.0098)/Basis!$E$10,((AJ336*(J336/Basis!$E$5)^AK336*(((MID(C336,9,3)*10)-144)/1000)*AL336+AM336*(J336/Basis!$E$5)^2)*0.0098)/Basis!$E$10)</f>
        <v>0</v>
      </c>
      <c r="M336" s="85"/>
      <c r="N336" s="109">
        <v>1.349</v>
      </c>
      <c r="O336" s="68"/>
      <c r="P336" s="67">
        <v>951</v>
      </c>
      <c r="Q336" s="68"/>
      <c r="R336" s="69"/>
      <c r="S336" s="69"/>
      <c r="T336" s="69"/>
      <c r="U336" s="69"/>
      <c r="V336" s="69"/>
      <c r="W336" s="68"/>
      <c r="X336" s="70"/>
      <c r="Y336" s="70"/>
      <c r="Z336" s="70"/>
      <c r="AA336" s="70"/>
      <c r="AB336" s="70"/>
      <c r="AC336" s="68"/>
      <c r="AD336" s="71"/>
      <c r="AE336" s="71"/>
      <c r="AF336" s="71"/>
      <c r="AG336" s="71"/>
      <c r="AH336" s="71"/>
      <c r="AI336" s="68"/>
      <c r="AJ336" s="214"/>
      <c r="AK336" s="214"/>
      <c r="AL336" s="214"/>
      <c r="AM336" s="214"/>
      <c r="AN336" s="68"/>
      <c r="AO336" s="67"/>
      <c r="AP336" s="67"/>
      <c r="AQ336" s="67"/>
      <c r="AR336" s="67"/>
      <c r="AS336" s="67"/>
      <c r="AT336" s="68"/>
      <c r="AU336" s="49"/>
      <c r="AV336" s="50"/>
    </row>
    <row r="337" spans="1:48" ht="12.75" customHeight="1" x14ac:dyDescent="0.25">
      <c r="A337" s="72" t="s">
        <v>20</v>
      </c>
      <c r="B337" s="43" t="s">
        <v>4043</v>
      </c>
      <c r="C337" s="44" t="s">
        <v>3665</v>
      </c>
      <c r="D337" s="45">
        <f>MROUND(MID($C337,6,3)/Basis!$E$3,0.5)</f>
        <v>12</v>
      </c>
      <c r="E337" s="45">
        <f>MROUND(MID($C337,9,3)/Basis!$E$3,0.5)</f>
        <v>39.5</v>
      </c>
      <c r="F337" s="229" t="str">
        <f t="shared" si="5"/>
        <v>34</v>
      </c>
      <c r="G337" s="45">
        <f>ROUND(16.9/Basis!$E$3,1)</f>
        <v>6.7</v>
      </c>
      <c r="H337" s="120">
        <f>ROUND($P337*Basis!$E$2*((TaH-TrH)/LN(1/µ)/Basis!$E$7)^$N337*Glycol,0)</f>
        <v>3587</v>
      </c>
      <c r="I337" s="83">
        <f>ROUND(H337/(MID($C337,9,3)/Basis!$E$3/Basis!$E$9)*Basis!$E$11,0)</f>
        <v>1093</v>
      </c>
      <c r="J337" s="123">
        <f>IF(Basis!$E$1=1,ROUND(H337/((TaH-TrH)*1.163)/3600,3),ROUND(H337/(500*(TaH-TrH)),2))</f>
        <v>0.36</v>
      </c>
      <c r="K337" s="84"/>
      <c r="L337" s="177">
        <f>CHOOSE(Basis!$E$1,((AJ337*(J337*3600/Basis!$E$5)^AK337*(((MID(C337,9,3)*10)-144)/1000)*AL337+AM337*(J337*3600/Basis!$E$5)^2)*0.0098)/Basis!$E$10,((AJ337*(J337/Basis!$E$5)^AK337*(((MID(C337,9,3)*10)-144)/1000)*AL337+AM337*(J337/Basis!$E$5)^2)*0.0098)/Basis!$E$10)</f>
        <v>0</v>
      </c>
      <c r="M337" s="85"/>
      <c r="N337" s="109">
        <v>1.4510000000000001</v>
      </c>
      <c r="O337" s="68"/>
      <c r="P337" s="67">
        <v>1697</v>
      </c>
      <c r="Q337" s="68"/>
      <c r="R337" s="69"/>
      <c r="S337" s="69"/>
      <c r="T337" s="69"/>
      <c r="U337" s="69"/>
      <c r="V337" s="69"/>
      <c r="W337" s="68"/>
      <c r="X337" s="70"/>
      <c r="Y337" s="70"/>
      <c r="Z337" s="70"/>
      <c r="AA337" s="70"/>
      <c r="AB337" s="70"/>
      <c r="AC337" s="68"/>
      <c r="AD337" s="71"/>
      <c r="AE337" s="71"/>
      <c r="AF337" s="71"/>
      <c r="AG337" s="71"/>
      <c r="AH337" s="71"/>
      <c r="AI337" s="68"/>
      <c r="AJ337" s="214"/>
      <c r="AK337" s="214"/>
      <c r="AL337" s="214"/>
      <c r="AM337" s="214"/>
      <c r="AN337" s="68"/>
      <c r="AO337" s="67"/>
      <c r="AP337" s="67"/>
      <c r="AQ337" s="67"/>
      <c r="AR337" s="67"/>
      <c r="AS337" s="67"/>
      <c r="AT337" s="68"/>
      <c r="AU337" s="49"/>
      <c r="AV337" s="50"/>
    </row>
    <row r="338" spans="1:48" ht="12.75" customHeight="1" x14ac:dyDescent="0.25">
      <c r="A338" s="72" t="s">
        <v>20</v>
      </c>
      <c r="B338" s="43" t="s">
        <v>4043</v>
      </c>
      <c r="C338" s="44" t="s">
        <v>3666</v>
      </c>
      <c r="D338" s="45">
        <f>MROUND(MID($C338,6,3)/Basis!$E$3,0.5)</f>
        <v>12</v>
      </c>
      <c r="E338" s="45">
        <f>MROUND(MID($C338,9,3)/Basis!$E$3,0.5)</f>
        <v>47</v>
      </c>
      <c r="F338" s="229" t="str">
        <f t="shared" si="5"/>
        <v>11</v>
      </c>
      <c r="G338" s="45">
        <f>ROUND(5/Basis!$E$3,1)</f>
        <v>2</v>
      </c>
      <c r="H338" s="120">
        <f>ROUND($P338*Basis!$E$2*((TaH-TrH)/LN(1/µ)/Basis!$E$7)^$N338*Glycol,0)</f>
        <v>1510</v>
      </c>
      <c r="I338" s="83">
        <f>ROUND(H338/(MID($C338,9,3)/Basis!$E$3/Basis!$E$9)*Basis!$E$11,0)</f>
        <v>384</v>
      </c>
      <c r="J338" s="123">
        <f>IF(Basis!$E$1=1,ROUND(H338/((TaH-TrH)*1.163)/3600,3),ROUND(H338/(500*(TaH-TrH)),2))</f>
        <v>0.15</v>
      </c>
      <c r="K338" s="84"/>
      <c r="L338" s="177">
        <f>CHOOSE(Basis!$E$1,((AJ338*(J338*3600/Basis!$E$5)^AK338*(((MID(C338,9,3)*10)-144)/1000)*AL338+AM338*(J338*3600/Basis!$E$5)^2)*0.0098)/Basis!$E$10,((AJ338*(J338/Basis!$E$5)^AK338*(((MID(C338,9,3)*10)-144)/1000)*AL338+AM338*(J338/Basis!$E$5)^2)*0.0098)/Basis!$E$10)</f>
        <v>0</v>
      </c>
      <c r="M338" s="85"/>
      <c r="N338" s="110">
        <v>1.248</v>
      </c>
      <c r="O338" s="74"/>
      <c r="P338" s="73">
        <v>668</v>
      </c>
      <c r="Q338" s="74"/>
      <c r="R338" s="75"/>
      <c r="S338" s="75"/>
      <c r="T338" s="75"/>
      <c r="U338" s="75"/>
      <c r="V338" s="75"/>
      <c r="W338" s="74"/>
      <c r="X338" s="76"/>
      <c r="Y338" s="76"/>
      <c r="Z338" s="76"/>
      <c r="AA338" s="76"/>
      <c r="AB338" s="76"/>
      <c r="AC338" s="74"/>
      <c r="AD338" s="77"/>
      <c r="AE338" s="77"/>
      <c r="AF338" s="77"/>
      <c r="AG338" s="77"/>
      <c r="AH338" s="77"/>
      <c r="AI338" s="68"/>
      <c r="AJ338" s="213"/>
      <c r="AK338" s="213"/>
      <c r="AL338" s="213"/>
      <c r="AM338" s="213"/>
      <c r="AN338" s="74"/>
      <c r="AO338" s="73"/>
      <c r="AP338" s="73"/>
      <c r="AQ338" s="73"/>
      <c r="AR338" s="73"/>
      <c r="AS338" s="73"/>
      <c r="AT338" s="74"/>
      <c r="AU338" s="47"/>
      <c r="AV338" s="48"/>
    </row>
    <row r="339" spans="1:48" ht="12.75" customHeight="1" x14ac:dyDescent="0.25">
      <c r="A339" s="72" t="s">
        <v>20</v>
      </c>
      <c r="B339" s="43" t="s">
        <v>4043</v>
      </c>
      <c r="C339" s="44" t="s">
        <v>3667</v>
      </c>
      <c r="D339" s="45">
        <f>MROUND(MID($C339,6,3)/Basis!$E$3,0.5)</f>
        <v>12</v>
      </c>
      <c r="E339" s="45">
        <f>MROUND(MID($C339,9,3)/Basis!$E$3,0.5)</f>
        <v>47</v>
      </c>
      <c r="F339" s="229" t="str">
        <f t="shared" si="5"/>
        <v>22</v>
      </c>
      <c r="G339" s="45">
        <f>ROUND(9/Basis!$E$3,1)</f>
        <v>3.5</v>
      </c>
      <c r="H339" s="120">
        <f>ROUND($P339*Basis!$E$2*((TaH-TrH)/LN(1/µ)/Basis!$E$7)^$N339*Glycol,0)</f>
        <v>2496</v>
      </c>
      <c r="I339" s="83">
        <f>ROUND(H339/(MID($C339,9,3)/Basis!$E$3/Basis!$E$9)*Basis!$E$11,0)</f>
        <v>634</v>
      </c>
      <c r="J339" s="123">
        <f>IF(Basis!$E$1=1,ROUND(H339/((TaH-TrH)*1.163)/3600,3),ROUND(H339/(500*(TaH-TrH)),2))</f>
        <v>0.25</v>
      </c>
      <c r="K339" s="84"/>
      <c r="L339" s="177">
        <f>CHOOSE(Basis!$E$1,((AJ339*(J339*3600/Basis!$E$5)^AK339*(((MID(C339,9,3)*10)-144)/1000)*AL339+AM339*(J339*3600/Basis!$E$5)^2)*0.0098)/Basis!$E$10,((AJ339*(J339/Basis!$E$5)^AK339*(((MID(C339,9,3)*10)-144)/1000)*AL339+AM339*(J339/Basis!$E$5)^2)*0.0098)/Basis!$E$10)</f>
        <v>0</v>
      </c>
      <c r="M339" s="85"/>
      <c r="N339" s="110">
        <v>1.349</v>
      </c>
      <c r="O339" s="74"/>
      <c r="P339" s="73">
        <v>1142</v>
      </c>
      <c r="Q339" s="74"/>
      <c r="R339" s="75"/>
      <c r="S339" s="75"/>
      <c r="T339" s="75"/>
      <c r="U339" s="75"/>
      <c r="V339" s="75"/>
      <c r="W339" s="74"/>
      <c r="X339" s="76"/>
      <c r="Y339" s="76"/>
      <c r="Z339" s="76"/>
      <c r="AA339" s="76"/>
      <c r="AB339" s="76"/>
      <c r="AC339" s="74"/>
      <c r="AD339" s="77"/>
      <c r="AE339" s="77"/>
      <c r="AF339" s="77"/>
      <c r="AG339" s="77"/>
      <c r="AH339" s="77"/>
      <c r="AI339" s="68"/>
      <c r="AJ339" s="213"/>
      <c r="AK339" s="213"/>
      <c r="AL339" s="213"/>
      <c r="AM339" s="213"/>
      <c r="AN339" s="74"/>
      <c r="AO339" s="73"/>
      <c r="AP339" s="73"/>
      <c r="AQ339" s="73"/>
      <c r="AR339" s="73"/>
      <c r="AS339" s="73"/>
      <c r="AT339" s="74"/>
      <c r="AU339" s="47"/>
      <c r="AV339" s="48"/>
    </row>
    <row r="340" spans="1:48" ht="12.75" customHeight="1" x14ac:dyDescent="0.25">
      <c r="A340" s="72" t="s">
        <v>20</v>
      </c>
      <c r="B340" s="43" t="s">
        <v>4043</v>
      </c>
      <c r="C340" s="44" t="s">
        <v>3668</v>
      </c>
      <c r="D340" s="45">
        <f>MROUND(MID($C340,6,3)/Basis!$E$3,0.5)</f>
        <v>12</v>
      </c>
      <c r="E340" s="45">
        <f>MROUND(MID($C340,9,3)/Basis!$E$3,0.5)</f>
        <v>47</v>
      </c>
      <c r="F340" s="229" t="str">
        <f t="shared" si="5"/>
        <v>34</v>
      </c>
      <c r="G340" s="45">
        <f>ROUND(16.9/Basis!$E$3,1)</f>
        <v>6.7</v>
      </c>
      <c r="H340" s="120">
        <f>ROUND($P340*Basis!$E$2*((TaH-TrH)/LN(1/µ)/Basis!$E$7)^$N340*Glycol,0)</f>
        <v>4304</v>
      </c>
      <c r="I340" s="83">
        <f>ROUND(H340/(MID($C340,9,3)/Basis!$E$3/Basis!$E$9)*Basis!$E$11,0)</f>
        <v>1093</v>
      </c>
      <c r="J340" s="123">
        <f>IF(Basis!$E$1=1,ROUND(H340/((TaH-TrH)*1.163)/3600,3),ROUND(H340/(500*(TaH-TrH)),2))</f>
        <v>0.43</v>
      </c>
      <c r="K340" s="84"/>
      <c r="L340" s="177">
        <f>CHOOSE(Basis!$E$1,((AJ340*(J340*3600/Basis!$E$5)^AK340*(((MID(C340,9,3)*10)-144)/1000)*AL340+AM340*(J340*3600/Basis!$E$5)^2)*0.0098)/Basis!$E$10,((AJ340*(J340/Basis!$E$5)^AK340*(((MID(C340,9,3)*10)-144)/1000)*AL340+AM340*(J340/Basis!$E$5)^2)*0.0098)/Basis!$E$10)</f>
        <v>0</v>
      </c>
      <c r="M340" s="85"/>
      <c r="N340" s="109">
        <v>1.4510000000000001</v>
      </c>
      <c r="O340" s="68"/>
      <c r="P340" s="67">
        <v>2036</v>
      </c>
      <c r="Q340" s="68"/>
      <c r="R340" s="69"/>
      <c r="S340" s="69"/>
      <c r="T340" s="69"/>
      <c r="U340" s="69"/>
      <c r="V340" s="69"/>
      <c r="W340" s="68"/>
      <c r="X340" s="70"/>
      <c r="Y340" s="70"/>
      <c r="Z340" s="70"/>
      <c r="AA340" s="70"/>
      <c r="AB340" s="70"/>
      <c r="AC340" s="68"/>
      <c r="AD340" s="71"/>
      <c r="AE340" s="71"/>
      <c r="AF340" s="71"/>
      <c r="AG340" s="71"/>
      <c r="AH340" s="71"/>
      <c r="AI340" s="68"/>
      <c r="AJ340" s="214"/>
      <c r="AK340" s="214"/>
      <c r="AL340" s="214"/>
      <c r="AM340" s="214"/>
      <c r="AN340" s="68"/>
      <c r="AO340" s="67"/>
      <c r="AP340" s="67"/>
      <c r="AQ340" s="67"/>
      <c r="AR340" s="67"/>
      <c r="AS340" s="67"/>
      <c r="AT340" s="68"/>
      <c r="AU340" s="49"/>
      <c r="AV340" s="50"/>
    </row>
    <row r="341" spans="1:48" ht="12.75" customHeight="1" x14ac:dyDescent="0.25">
      <c r="A341" s="72" t="s">
        <v>20</v>
      </c>
      <c r="B341" s="43" t="s">
        <v>4043</v>
      </c>
      <c r="C341" s="44" t="s">
        <v>3669</v>
      </c>
      <c r="D341" s="45">
        <f>MROUND(MID($C341,6,3)/Basis!$E$3,0.5)</f>
        <v>12</v>
      </c>
      <c r="E341" s="45">
        <f>MROUND(MID($C341,9,3)/Basis!$E$3,0.5)</f>
        <v>55</v>
      </c>
      <c r="F341" s="229" t="str">
        <f t="shared" si="5"/>
        <v>11</v>
      </c>
      <c r="G341" s="45">
        <f>ROUND(5/Basis!$E$3,1)</f>
        <v>2</v>
      </c>
      <c r="H341" s="120">
        <f>ROUND($P341*Basis!$E$2*((TaH-TrH)/LN(1/µ)/Basis!$E$7)^$N341*Glycol,0)</f>
        <v>1761</v>
      </c>
      <c r="I341" s="83">
        <f>ROUND(H341/(MID($C341,9,3)/Basis!$E$3/Basis!$E$9)*Basis!$E$11,0)</f>
        <v>383</v>
      </c>
      <c r="J341" s="123">
        <f>IF(Basis!$E$1=1,ROUND(H341/((TaH-TrH)*1.163)/3600,3),ROUND(H341/(500*(TaH-TrH)),2))</f>
        <v>0.18</v>
      </c>
      <c r="K341" s="84"/>
      <c r="L341" s="177">
        <f>CHOOSE(Basis!$E$1,((AJ341*(J341*3600/Basis!$E$5)^AK341*(((MID(C341,9,3)*10)-144)/1000)*AL341+AM341*(J341*3600/Basis!$E$5)^2)*0.0098)/Basis!$E$10,((AJ341*(J341/Basis!$E$5)^AK341*(((MID(C341,9,3)*10)-144)/1000)*AL341+AM341*(J341/Basis!$E$5)^2)*0.0098)/Basis!$E$10)</f>
        <v>0</v>
      </c>
      <c r="M341" s="85"/>
      <c r="N341" s="109">
        <v>1.248</v>
      </c>
      <c r="O341" s="68"/>
      <c r="P341" s="67">
        <v>779</v>
      </c>
      <c r="Q341" s="68"/>
      <c r="R341" s="69"/>
      <c r="S341" s="69"/>
      <c r="T341" s="69"/>
      <c r="U341" s="69"/>
      <c r="V341" s="69"/>
      <c r="W341" s="68"/>
      <c r="X341" s="70"/>
      <c r="Y341" s="70"/>
      <c r="Z341" s="70"/>
      <c r="AA341" s="70"/>
      <c r="AB341" s="70"/>
      <c r="AC341" s="68"/>
      <c r="AD341" s="71"/>
      <c r="AE341" s="71"/>
      <c r="AF341" s="71"/>
      <c r="AG341" s="71"/>
      <c r="AH341" s="71"/>
      <c r="AI341" s="68"/>
      <c r="AJ341" s="214"/>
      <c r="AK341" s="214"/>
      <c r="AL341" s="214"/>
      <c r="AM341" s="214"/>
      <c r="AN341" s="68"/>
      <c r="AO341" s="67"/>
      <c r="AP341" s="67"/>
      <c r="AQ341" s="67"/>
      <c r="AR341" s="67"/>
      <c r="AS341" s="67"/>
      <c r="AT341" s="68"/>
      <c r="AU341" s="49"/>
      <c r="AV341" s="50"/>
    </row>
    <row r="342" spans="1:48" ht="12.75" customHeight="1" x14ac:dyDescent="0.25">
      <c r="A342" s="72" t="s">
        <v>20</v>
      </c>
      <c r="B342" s="43" t="s">
        <v>4043</v>
      </c>
      <c r="C342" s="44" t="s">
        <v>3670</v>
      </c>
      <c r="D342" s="45">
        <f>MROUND(MID($C342,6,3)/Basis!$E$3,0.5)</f>
        <v>12</v>
      </c>
      <c r="E342" s="45">
        <f>MROUND(MID($C342,9,3)/Basis!$E$3,0.5)</f>
        <v>55</v>
      </c>
      <c r="F342" s="229" t="str">
        <f t="shared" si="5"/>
        <v>22</v>
      </c>
      <c r="G342" s="45">
        <f>ROUND(9/Basis!$E$3,1)</f>
        <v>3.5</v>
      </c>
      <c r="H342" s="120">
        <f>ROUND($P342*Basis!$E$2*((TaH-TrH)/LN(1/µ)/Basis!$E$7)^$N342*Glycol,0)</f>
        <v>2912</v>
      </c>
      <c r="I342" s="83">
        <f>ROUND(H342/(MID($C342,9,3)/Basis!$E$3/Basis!$E$9)*Basis!$E$11,0)</f>
        <v>634</v>
      </c>
      <c r="J342" s="123">
        <f>IF(Basis!$E$1=1,ROUND(H342/((TaH-TrH)*1.163)/3600,3),ROUND(H342/(500*(TaH-TrH)),2))</f>
        <v>0.28999999999999998</v>
      </c>
      <c r="K342" s="84"/>
      <c r="L342" s="177">
        <f>CHOOSE(Basis!$E$1,((AJ342*(J342*3600/Basis!$E$5)^AK342*(((MID(C342,9,3)*10)-144)/1000)*AL342+AM342*(J342*3600/Basis!$E$5)^2)*0.0098)/Basis!$E$10,((AJ342*(J342/Basis!$E$5)^AK342*(((MID(C342,9,3)*10)-144)/1000)*AL342+AM342*(J342/Basis!$E$5)^2)*0.0098)/Basis!$E$10)</f>
        <v>0</v>
      </c>
      <c r="M342" s="85"/>
      <c r="N342" s="110">
        <v>1.349</v>
      </c>
      <c r="O342" s="74"/>
      <c r="P342" s="73">
        <v>1332</v>
      </c>
      <c r="Q342" s="74"/>
      <c r="R342" s="75"/>
      <c r="S342" s="75"/>
      <c r="T342" s="75"/>
      <c r="U342" s="75"/>
      <c r="V342" s="75"/>
      <c r="W342" s="74"/>
      <c r="X342" s="76"/>
      <c r="Y342" s="76"/>
      <c r="Z342" s="76"/>
      <c r="AA342" s="76"/>
      <c r="AB342" s="76"/>
      <c r="AC342" s="74"/>
      <c r="AD342" s="77"/>
      <c r="AE342" s="77"/>
      <c r="AF342" s="77"/>
      <c r="AG342" s="77"/>
      <c r="AH342" s="77"/>
      <c r="AI342" s="68"/>
      <c r="AJ342" s="213"/>
      <c r="AK342" s="213"/>
      <c r="AL342" s="213"/>
      <c r="AM342" s="213"/>
      <c r="AN342" s="74"/>
      <c r="AO342" s="73"/>
      <c r="AP342" s="73"/>
      <c r="AQ342" s="73"/>
      <c r="AR342" s="73"/>
      <c r="AS342" s="73"/>
      <c r="AT342" s="74"/>
      <c r="AU342" s="47"/>
      <c r="AV342" s="48"/>
    </row>
    <row r="343" spans="1:48" ht="12.75" customHeight="1" x14ac:dyDescent="0.25">
      <c r="A343" s="72" t="s">
        <v>20</v>
      </c>
      <c r="B343" s="43" t="s">
        <v>4043</v>
      </c>
      <c r="C343" s="44" t="s">
        <v>3671</v>
      </c>
      <c r="D343" s="45">
        <f>MROUND(MID($C343,6,3)/Basis!$E$3,0.5)</f>
        <v>12</v>
      </c>
      <c r="E343" s="45">
        <f>MROUND(MID($C343,9,3)/Basis!$E$3,0.5)</f>
        <v>55</v>
      </c>
      <c r="F343" s="229" t="str">
        <f t="shared" si="5"/>
        <v>34</v>
      </c>
      <c r="G343" s="45">
        <f>ROUND(16.9/Basis!$E$3,1)</f>
        <v>6.7</v>
      </c>
      <c r="H343" s="120">
        <f>ROUND($P343*Basis!$E$2*((TaH-TrH)/LN(1/µ)/Basis!$E$7)^$N343*Glycol,0)</f>
        <v>5020</v>
      </c>
      <c r="I343" s="83">
        <f>ROUND(H343/(MID($C343,9,3)/Basis!$E$3/Basis!$E$9)*Basis!$E$11,0)</f>
        <v>1093</v>
      </c>
      <c r="J343" s="123">
        <f>IF(Basis!$E$1=1,ROUND(H343/((TaH-TrH)*1.163)/3600,3),ROUND(H343/(500*(TaH-TrH)),2))</f>
        <v>0.5</v>
      </c>
      <c r="K343" s="84"/>
      <c r="L343" s="177">
        <f>CHOOSE(Basis!$E$1,((AJ343*(J343*3600/Basis!$E$5)^AK343*(((MID(C343,9,3)*10)-144)/1000)*AL343+AM343*(J343*3600/Basis!$E$5)^2)*0.0098)/Basis!$E$10,((AJ343*(J343/Basis!$E$5)^AK343*(((MID(C343,9,3)*10)-144)/1000)*AL343+AM343*(J343/Basis!$E$5)^2)*0.0098)/Basis!$E$10)</f>
        <v>0</v>
      </c>
      <c r="M343" s="85"/>
      <c r="N343" s="110">
        <v>1.4510000000000001</v>
      </c>
      <c r="O343" s="74"/>
      <c r="P343" s="73">
        <v>2375</v>
      </c>
      <c r="Q343" s="74"/>
      <c r="R343" s="75"/>
      <c r="S343" s="75"/>
      <c r="T343" s="75"/>
      <c r="U343" s="75"/>
      <c r="V343" s="75"/>
      <c r="W343" s="74"/>
      <c r="X343" s="76"/>
      <c r="Y343" s="76"/>
      <c r="Z343" s="76"/>
      <c r="AA343" s="76"/>
      <c r="AB343" s="76"/>
      <c r="AC343" s="74"/>
      <c r="AD343" s="77"/>
      <c r="AE343" s="77"/>
      <c r="AF343" s="77"/>
      <c r="AG343" s="77"/>
      <c r="AH343" s="77"/>
      <c r="AI343" s="68"/>
      <c r="AJ343" s="213"/>
      <c r="AK343" s="213"/>
      <c r="AL343" s="213"/>
      <c r="AM343" s="213"/>
      <c r="AN343" s="74"/>
      <c r="AO343" s="73"/>
      <c r="AP343" s="73"/>
      <c r="AQ343" s="73"/>
      <c r="AR343" s="73"/>
      <c r="AS343" s="73"/>
      <c r="AT343" s="74"/>
      <c r="AU343" s="47"/>
      <c r="AV343" s="48"/>
    </row>
    <row r="344" spans="1:48" ht="12.75" customHeight="1" x14ac:dyDescent="0.25">
      <c r="A344" s="72" t="s">
        <v>20</v>
      </c>
      <c r="B344" s="43" t="s">
        <v>4043</v>
      </c>
      <c r="C344" s="44" t="s">
        <v>3672</v>
      </c>
      <c r="D344" s="45">
        <f>MROUND(MID($C344,6,3)/Basis!$E$3,0.5)</f>
        <v>12</v>
      </c>
      <c r="E344" s="45">
        <f>MROUND(MID($C344,9,3)/Basis!$E$3,0.5)</f>
        <v>63</v>
      </c>
      <c r="F344" s="229" t="str">
        <f t="shared" si="5"/>
        <v>11</v>
      </c>
      <c r="G344" s="45">
        <f>ROUND(5/Basis!$E$3,1)</f>
        <v>2</v>
      </c>
      <c r="H344" s="120">
        <f>ROUND($P344*Basis!$E$2*((TaH-TrH)/LN(1/µ)/Basis!$E$7)^$N344*Glycol,0)</f>
        <v>2012</v>
      </c>
      <c r="I344" s="83">
        <f>ROUND(H344/(MID($C344,9,3)/Basis!$E$3/Basis!$E$9)*Basis!$E$11,0)</f>
        <v>383</v>
      </c>
      <c r="J344" s="123">
        <f>IF(Basis!$E$1=1,ROUND(H344/((TaH-TrH)*1.163)/3600,3),ROUND(H344/(500*(TaH-TrH)),2))</f>
        <v>0.2</v>
      </c>
      <c r="K344" s="84"/>
      <c r="L344" s="177">
        <f>CHOOSE(Basis!$E$1,((AJ344*(J344*3600/Basis!$E$5)^AK344*(((MID(C344,9,3)*10)-144)/1000)*AL344+AM344*(J344*3600/Basis!$E$5)^2)*0.0098)/Basis!$E$10,((AJ344*(J344/Basis!$E$5)^AK344*(((MID(C344,9,3)*10)-144)/1000)*AL344+AM344*(J344/Basis!$E$5)^2)*0.0098)/Basis!$E$10)</f>
        <v>0</v>
      </c>
      <c r="M344" s="85"/>
      <c r="N344" s="109">
        <v>1.248</v>
      </c>
      <c r="O344" s="68"/>
      <c r="P344" s="67">
        <v>890</v>
      </c>
      <c r="Q344" s="68"/>
      <c r="R344" s="69"/>
      <c r="S344" s="69"/>
      <c r="T344" s="69"/>
      <c r="U344" s="69"/>
      <c r="V344" s="69"/>
      <c r="W344" s="68"/>
      <c r="X344" s="70"/>
      <c r="Y344" s="70"/>
      <c r="Z344" s="70"/>
      <c r="AA344" s="70"/>
      <c r="AB344" s="70"/>
      <c r="AC344" s="68"/>
      <c r="AD344" s="71"/>
      <c r="AE344" s="71"/>
      <c r="AF344" s="71"/>
      <c r="AG344" s="71"/>
      <c r="AH344" s="71"/>
      <c r="AI344" s="68"/>
      <c r="AJ344" s="214"/>
      <c r="AK344" s="214"/>
      <c r="AL344" s="214"/>
      <c r="AM344" s="214"/>
      <c r="AN344" s="68"/>
      <c r="AO344" s="67"/>
      <c r="AP344" s="67"/>
      <c r="AQ344" s="67"/>
      <c r="AR344" s="67"/>
      <c r="AS344" s="67"/>
      <c r="AT344" s="68"/>
      <c r="AU344" s="49"/>
      <c r="AV344" s="50"/>
    </row>
    <row r="345" spans="1:48" ht="12.75" customHeight="1" x14ac:dyDescent="0.25">
      <c r="A345" s="72" t="s">
        <v>20</v>
      </c>
      <c r="B345" s="43" t="s">
        <v>4043</v>
      </c>
      <c r="C345" s="44" t="s">
        <v>3673</v>
      </c>
      <c r="D345" s="45">
        <f>MROUND(MID($C345,6,3)/Basis!$E$3,0.5)</f>
        <v>12</v>
      </c>
      <c r="E345" s="45">
        <f>MROUND(MID($C345,9,3)/Basis!$E$3,0.5)</f>
        <v>63</v>
      </c>
      <c r="F345" s="229" t="str">
        <f t="shared" si="5"/>
        <v>22</v>
      </c>
      <c r="G345" s="45">
        <f>ROUND(9/Basis!$E$3,1)</f>
        <v>3.5</v>
      </c>
      <c r="H345" s="120">
        <f>ROUND($P345*Basis!$E$2*((TaH-TrH)/LN(1/µ)/Basis!$E$7)^$N345*Glycol,0)</f>
        <v>3327</v>
      </c>
      <c r="I345" s="83">
        <f>ROUND(H345/(MID($C345,9,3)/Basis!$E$3/Basis!$E$9)*Basis!$E$11,0)</f>
        <v>634</v>
      </c>
      <c r="J345" s="123">
        <f>IF(Basis!$E$1=1,ROUND(H345/((TaH-TrH)*1.163)/3600,3),ROUND(H345/(500*(TaH-TrH)),2))</f>
        <v>0.33</v>
      </c>
      <c r="K345" s="84"/>
      <c r="L345" s="177">
        <f>CHOOSE(Basis!$E$1,((AJ345*(J345*3600/Basis!$E$5)^AK345*(((MID(C345,9,3)*10)-144)/1000)*AL345+AM345*(J345*3600/Basis!$E$5)^2)*0.0098)/Basis!$E$10,((AJ345*(J345/Basis!$E$5)^AK345*(((MID(C345,9,3)*10)-144)/1000)*AL345+AM345*(J345/Basis!$E$5)^2)*0.0098)/Basis!$E$10)</f>
        <v>0</v>
      </c>
      <c r="M345" s="85"/>
      <c r="N345" s="109">
        <v>1.349</v>
      </c>
      <c r="O345" s="68"/>
      <c r="P345" s="67">
        <v>1522</v>
      </c>
      <c r="Q345" s="68"/>
      <c r="R345" s="69"/>
      <c r="S345" s="69"/>
      <c r="T345" s="69"/>
      <c r="U345" s="69"/>
      <c r="V345" s="69"/>
      <c r="W345" s="68"/>
      <c r="X345" s="70"/>
      <c r="Y345" s="70"/>
      <c r="Z345" s="70"/>
      <c r="AA345" s="70"/>
      <c r="AB345" s="70"/>
      <c r="AC345" s="68"/>
      <c r="AD345" s="71"/>
      <c r="AE345" s="71"/>
      <c r="AF345" s="71"/>
      <c r="AG345" s="71"/>
      <c r="AH345" s="71"/>
      <c r="AI345" s="68"/>
      <c r="AJ345" s="214"/>
      <c r="AK345" s="214"/>
      <c r="AL345" s="214"/>
      <c r="AM345" s="214"/>
      <c r="AN345" s="68"/>
      <c r="AO345" s="67"/>
      <c r="AP345" s="67"/>
      <c r="AQ345" s="67"/>
      <c r="AR345" s="67"/>
      <c r="AS345" s="67"/>
      <c r="AT345" s="68"/>
      <c r="AU345" s="49"/>
      <c r="AV345" s="50"/>
    </row>
    <row r="346" spans="1:48" ht="12.75" customHeight="1" x14ac:dyDescent="0.25">
      <c r="A346" s="72" t="s">
        <v>20</v>
      </c>
      <c r="B346" s="43" t="s">
        <v>4043</v>
      </c>
      <c r="C346" s="44" t="s">
        <v>3674</v>
      </c>
      <c r="D346" s="45">
        <f>MROUND(MID($C346,6,3)/Basis!$E$3,0.5)</f>
        <v>12</v>
      </c>
      <c r="E346" s="45">
        <f>MROUND(MID($C346,9,3)/Basis!$E$3,0.5)</f>
        <v>63</v>
      </c>
      <c r="F346" s="229" t="str">
        <f t="shared" si="5"/>
        <v>34</v>
      </c>
      <c r="G346" s="45">
        <f>ROUND(16.9/Basis!$E$3,1)</f>
        <v>6.7</v>
      </c>
      <c r="H346" s="120">
        <f>ROUND($P346*Basis!$E$2*((TaH-TrH)/LN(1/µ)/Basis!$E$7)^$N346*Glycol,0)</f>
        <v>5739</v>
      </c>
      <c r="I346" s="83">
        <f>ROUND(H346/(MID($C346,9,3)/Basis!$E$3/Basis!$E$9)*Basis!$E$11,0)</f>
        <v>1093</v>
      </c>
      <c r="J346" s="123">
        <f>IF(Basis!$E$1=1,ROUND(H346/((TaH-TrH)*1.163)/3600,3),ROUND(H346/(500*(TaH-TrH)),2))</f>
        <v>0.56999999999999995</v>
      </c>
      <c r="K346" s="84"/>
      <c r="L346" s="177">
        <f>CHOOSE(Basis!$E$1,((AJ346*(J346*3600/Basis!$E$5)^AK346*(((MID(C346,9,3)*10)-144)/1000)*AL346+AM346*(J346*3600/Basis!$E$5)^2)*0.0098)/Basis!$E$10,((AJ346*(J346/Basis!$E$5)^AK346*(((MID(C346,9,3)*10)-144)/1000)*AL346+AM346*(J346/Basis!$E$5)^2)*0.0098)/Basis!$E$10)</f>
        <v>0</v>
      </c>
      <c r="M346" s="85"/>
      <c r="N346" s="110">
        <v>1.4510000000000001</v>
      </c>
      <c r="O346" s="74"/>
      <c r="P346" s="73">
        <v>2715</v>
      </c>
      <c r="Q346" s="74"/>
      <c r="R346" s="75"/>
      <c r="S346" s="75"/>
      <c r="T346" s="75"/>
      <c r="U346" s="75"/>
      <c r="V346" s="75"/>
      <c r="W346" s="74"/>
      <c r="X346" s="76"/>
      <c r="Y346" s="76"/>
      <c r="Z346" s="76"/>
      <c r="AA346" s="76"/>
      <c r="AB346" s="76"/>
      <c r="AC346" s="74"/>
      <c r="AD346" s="77"/>
      <c r="AE346" s="77"/>
      <c r="AF346" s="77"/>
      <c r="AG346" s="77"/>
      <c r="AH346" s="77"/>
      <c r="AI346" s="68"/>
      <c r="AJ346" s="213"/>
      <c r="AK346" s="213"/>
      <c r="AL346" s="213"/>
      <c r="AM346" s="213"/>
      <c r="AN346" s="74"/>
      <c r="AO346" s="73"/>
      <c r="AP346" s="73"/>
      <c r="AQ346" s="73"/>
      <c r="AR346" s="73"/>
      <c r="AS346" s="73"/>
      <c r="AT346" s="74"/>
      <c r="AU346" s="47"/>
      <c r="AV346" s="48"/>
    </row>
    <row r="347" spans="1:48" ht="12.75" customHeight="1" x14ac:dyDescent="0.25">
      <c r="A347" s="72" t="s">
        <v>20</v>
      </c>
      <c r="B347" s="43" t="s">
        <v>4043</v>
      </c>
      <c r="C347" s="44" t="s">
        <v>3675</v>
      </c>
      <c r="D347" s="45">
        <f>MROUND(MID($C347,6,3)/Basis!$E$3,0.5)</f>
        <v>12</v>
      </c>
      <c r="E347" s="45">
        <f>MROUND(MID($C347,9,3)/Basis!$E$3,0.5)</f>
        <v>71</v>
      </c>
      <c r="F347" s="229" t="str">
        <f t="shared" si="5"/>
        <v>11</v>
      </c>
      <c r="G347" s="45">
        <f>ROUND(5/Basis!$E$3,1)</f>
        <v>2</v>
      </c>
      <c r="H347" s="120">
        <f>ROUND($P347*Basis!$E$2*((TaH-TrH)/LN(1/µ)/Basis!$E$7)^$N347*Glycol,0)</f>
        <v>2262</v>
      </c>
      <c r="I347" s="83">
        <f>ROUND(H347/(MID($C347,9,3)/Basis!$E$3/Basis!$E$9)*Basis!$E$11,0)</f>
        <v>383</v>
      </c>
      <c r="J347" s="123">
        <f>IF(Basis!$E$1=1,ROUND(H347/((TaH-TrH)*1.163)/3600,3),ROUND(H347/(500*(TaH-TrH)),2))</f>
        <v>0.23</v>
      </c>
      <c r="K347" s="84"/>
      <c r="L347" s="177">
        <f>CHOOSE(Basis!$E$1,((AJ347*(J347*3600/Basis!$E$5)^AK347*(((MID(C347,9,3)*10)-144)/1000)*AL347+AM347*(J347*3600/Basis!$E$5)^2)*0.0098)/Basis!$E$10,((AJ347*(J347/Basis!$E$5)^AK347*(((MID(C347,9,3)*10)-144)/1000)*AL347+AM347*(J347/Basis!$E$5)^2)*0.0098)/Basis!$E$10)</f>
        <v>0</v>
      </c>
      <c r="M347" s="85"/>
      <c r="N347" s="110">
        <v>1.248</v>
      </c>
      <c r="O347" s="74"/>
      <c r="P347" s="73">
        <v>1001</v>
      </c>
      <c r="Q347" s="74"/>
      <c r="R347" s="75"/>
      <c r="S347" s="75"/>
      <c r="T347" s="75"/>
      <c r="U347" s="75"/>
      <c r="V347" s="75"/>
      <c r="W347" s="74"/>
      <c r="X347" s="76"/>
      <c r="Y347" s="76"/>
      <c r="Z347" s="76"/>
      <c r="AA347" s="76"/>
      <c r="AB347" s="76"/>
      <c r="AC347" s="74"/>
      <c r="AD347" s="77"/>
      <c r="AE347" s="77"/>
      <c r="AF347" s="77"/>
      <c r="AG347" s="77"/>
      <c r="AH347" s="77"/>
      <c r="AI347" s="68"/>
      <c r="AJ347" s="213"/>
      <c r="AK347" s="213"/>
      <c r="AL347" s="213"/>
      <c r="AM347" s="213"/>
      <c r="AN347" s="74"/>
      <c r="AO347" s="73"/>
      <c r="AP347" s="73"/>
      <c r="AQ347" s="73"/>
      <c r="AR347" s="73"/>
      <c r="AS347" s="73"/>
      <c r="AT347" s="74"/>
      <c r="AU347" s="47"/>
      <c r="AV347" s="48"/>
    </row>
    <row r="348" spans="1:48" ht="12.75" customHeight="1" x14ac:dyDescent="0.25">
      <c r="A348" s="72" t="s">
        <v>20</v>
      </c>
      <c r="B348" s="43" t="s">
        <v>4043</v>
      </c>
      <c r="C348" s="44" t="s">
        <v>3676</v>
      </c>
      <c r="D348" s="45">
        <f>MROUND(MID($C348,6,3)/Basis!$E$3,0.5)</f>
        <v>12</v>
      </c>
      <c r="E348" s="45">
        <f>MROUND(MID($C348,9,3)/Basis!$E$3,0.5)</f>
        <v>71</v>
      </c>
      <c r="F348" s="229" t="str">
        <f t="shared" si="5"/>
        <v>22</v>
      </c>
      <c r="G348" s="45">
        <f>ROUND(9/Basis!$E$3,1)</f>
        <v>3.5</v>
      </c>
      <c r="H348" s="120">
        <f>ROUND($P348*Basis!$E$2*((TaH-TrH)/LN(1/µ)/Basis!$E$7)^$N348*Glycol,0)</f>
        <v>3745</v>
      </c>
      <c r="I348" s="83">
        <f>ROUND(H348/(MID($C348,9,3)/Basis!$E$3/Basis!$E$9)*Basis!$E$11,0)</f>
        <v>634</v>
      </c>
      <c r="J348" s="123">
        <f>IF(Basis!$E$1=1,ROUND(H348/((TaH-TrH)*1.163)/3600,3),ROUND(H348/(500*(TaH-TrH)),2))</f>
        <v>0.37</v>
      </c>
      <c r="K348" s="84"/>
      <c r="L348" s="177">
        <f>CHOOSE(Basis!$E$1,((AJ348*(J348*3600/Basis!$E$5)^AK348*(((MID(C348,9,3)*10)-144)/1000)*AL348+AM348*(J348*3600/Basis!$E$5)^2)*0.0098)/Basis!$E$10,((AJ348*(J348/Basis!$E$5)^AK348*(((MID(C348,9,3)*10)-144)/1000)*AL348+AM348*(J348/Basis!$E$5)^2)*0.0098)/Basis!$E$10)</f>
        <v>0</v>
      </c>
      <c r="M348" s="85"/>
      <c r="N348" s="109">
        <v>1.349</v>
      </c>
      <c r="O348" s="68"/>
      <c r="P348" s="67">
        <v>1713</v>
      </c>
      <c r="Q348" s="68"/>
      <c r="R348" s="69"/>
      <c r="S348" s="69"/>
      <c r="T348" s="69"/>
      <c r="U348" s="69"/>
      <c r="V348" s="69"/>
      <c r="W348" s="68"/>
      <c r="X348" s="70"/>
      <c r="Y348" s="70"/>
      <c r="Z348" s="70"/>
      <c r="AA348" s="70"/>
      <c r="AB348" s="70"/>
      <c r="AC348" s="68"/>
      <c r="AD348" s="71"/>
      <c r="AE348" s="71"/>
      <c r="AF348" s="71"/>
      <c r="AG348" s="71"/>
      <c r="AH348" s="71"/>
      <c r="AI348" s="68"/>
      <c r="AJ348" s="214"/>
      <c r="AK348" s="214"/>
      <c r="AL348" s="214"/>
      <c r="AM348" s="214"/>
      <c r="AN348" s="68"/>
      <c r="AO348" s="67"/>
      <c r="AP348" s="67"/>
      <c r="AQ348" s="67"/>
      <c r="AR348" s="67"/>
      <c r="AS348" s="67"/>
      <c r="AT348" s="68"/>
      <c r="AU348" s="49"/>
      <c r="AV348" s="50"/>
    </row>
    <row r="349" spans="1:48" ht="12.75" customHeight="1" x14ac:dyDescent="0.25">
      <c r="A349" s="72" t="s">
        <v>20</v>
      </c>
      <c r="B349" s="43" t="s">
        <v>4043</v>
      </c>
      <c r="C349" s="44" t="s">
        <v>3677</v>
      </c>
      <c r="D349" s="45">
        <f>MROUND(MID($C349,6,3)/Basis!$E$3,0.5)</f>
        <v>12</v>
      </c>
      <c r="E349" s="45">
        <f>MROUND(MID($C349,9,3)/Basis!$E$3,0.5)</f>
        <v>71</v>
      </c>
      <c r="F349" s="229" t="str">
        <f t="shared" si="5"/>
        <v>34</v>
      </c>
      <c r="G349" s="45">
        <f>ROUND(16.9/Basis!$E$3,1)</f>
        <v>6.7</v>
      </c>
      <c r="H349" s="120">
        <f>ROUND($P349*Basis!$E$2*((TaH-TrH)/LN(1/µ)/Basis!$E$7)^$N349*Glycol,0)</f>
        <v>6455</v>
      </c>
      <c r="I349" s="83">
        <f>ROUND(H349/(MID($C349,9,3)/Basis!$E$3/Basis!$E$9)*Basis!$E$11,0)</f>
        <v>1093</v>
      </c>
      <c r="J349" s="123">
        <f>IF(Basis!$E$1=1,ROUND(H349/((TaH-TrH)*1.163)/3600,3),ROUND(H349/(500*(TaH-TrH)),2))</f>
        <v>0.65</v>
      </c>
      <c r="K349" s="84"/>
      <c r="L349" s="177">
        <f>CHOOSE(Basis!$E$1,((AJ349*(J349*3600/Basis!$E$5)^AK349*(((MID(C349,9,3)*10)-144)/1000)*AL349+AM349*(J349*3600/Basis!$E$5)^2)*0.0098)/Basis!$E$10,((AJ349*(J349/Basis!$E$5)^AK349*(((MID(C349,9,3)*10)-144)/1000)*AL349+AM349*(J349/Basis!$E$5)^2)*0.0098)/Basis!$E$10)</f>
        <v>0</v>
      </c>
      <c r="M349" s="85"/>
      <c r="N349" s="109">
        <v>1.4510000000000001</v>
      </c>
      <c r="O349" s="68"/>
      <c r="P349" s="67">
        <v>3054</v>
      </c>
      <c r="Q349" s="68"/>
      <c r="R349" s="69"/>
      <c r="S349" s="69"/>
      <c r="T349" s="69"/>
      <c r="U349" s="69"/>
      <c r="V349" s="69"/>
      <c r="W349" s="68"/>
      <c r="X349" s="70"/>
      <c r="Y349" s="70"/>
      <c r="Z349" s="70"/>
      <c r="AA349" s="70"/>
      <c r="AB349" s="70"/>
      <c r="AC349" s="68"/>
      <c r="AD349" s="71"/>
      <c r="AE349" s="71"/>
      <c r="AF349" s="71"/>
      <c r="AG349" s="71"/>
      <c r="AH349" s="71"/>
      <c r="AI349" s="68"/>
      <c r="AJ349" s="214"/>
      <c r="AK349" s="214"/>
      <c r="AL349" s="214"/>
      <c r="AM349" s="214"/>
      <c r="AN349" s="68"/>
      <c r="AO349" s="67"/>
      <c r="AP349" s="67"/>
      <c r="AQ349" s="67"/>
      <c r="AR349" s="67"/>
      <c r="AS349" s="67"/>
      <c r="AT349" s="68"/>
      <c r="AU349" s="49"/>
      <c r="AV349" s="50"/>
    </row>
    <row r="350" spans="1:48" ht="12.75" customHeight="1" x14ac:dyDescent="0.25">
      <c r="A350" s="72" t="s">
        <v>20</v>
      </c>
      <c r="B350" s="43" t="s">
        <v>4043</v>
      </c>
      <c r="C350" s="44" t="s">
        <v>3678</v>
      </c>
      <c r="D350" s="45">
        <f>MROUND(MID($C350,6,3)/Basis!$E$3,0.5)</f>
        <v>12</v>
      </c>
      <c r="E350" s="45">
        <f>MROUND(MID($C350,9,3)/Basis!$E$3,0.5)</f>
        <v>78.5</v>
      </c>
      <c r="F350" s="229" t="str">
        <f t="shared" si="5"/>
        <v>11</v>
      </c>
      <c r="G350" s="45">
        <f>ROUND(5/Basis!$E$3,1)</f>
        <v>2</v>
      </c>
      <c r="H350" s="120">
        <f>ROUND($P350*Basis!$E$2*((TaH-TrH)/LN(1/µ)/Basis!$E$7)^$N350*Glycol,0)</f>
        <v>2516</v>
      </c>
      <c r="I350" s="83">
        <f>ROUND(H350/(MID($C350,9,3)/Basis!$E$3/Basis!$E$9)*Basis!$E$11,0)</f>
        <v>383</v>
      </c>
      <c r="J350" s="123">
        <f>IF(Basis!$E$1=1,ROUND(H350/((TaH-TrH)*1.163)/3600,3),ROUND(H350/(500*(TaH-TrH)),2))</f>
        <v>0.25</v>
      </c>
      <c r="K350" s="84"/>
      <c r="L350" s="177">
        <f>CHOOSE(Basis!$E$1,((AJ350*(J350*3600/Basis!$E$5)^AK350*(((MID(C350,9,3)*10)-144)/1000)*AL350+AM350*(J350*3600/Basis!$E$5)^2)*0.0098)/Basis!$E$10,((AJ350*(J350/Basis!$E$5)^AK350*(((MID(C350,9,3)*10)-144)/1000)*AL350+AM350*(J350/Basis!$E$5)^2)*0.0098)/Basis!$E$10)</f>
        <v>0</v>
      </c>
      <c r="M350" s="85"/>
      <c r="N350" s="110">
        <v>1.248</v>
      </c>
      <c r="O350" s="74"/>
      <c r="P350" s="73">
        <v>1113</v>
      </c>
      <c r="Q350" s="74"/>
      <c r="R350" s="75"/>
      <c r="S350" s="75"/>
      <c r="T350" s="75"/>
      <c r="U350" s="75"/>
      <c r="V350" s="75"/>
      <c r="W350" s="74"/>
      <c r="X350" s="76"/>
      <c r="Y350" s="76"/>
      <c r="Z350" s="76"/>
      <c r="AA350" s="76"/>
      <c r="AB350" s="76"/>
      <c r="AC350" s="74"/>
      <c r="AD350" s="77"/>
      <c r="AE350" s="77"/>
      <c r="AF350" s="77"/>
      <c r="AG350" s="77"/>
      <c r="AH350" s="77"/>
      <c r="AI350" s="68"/>
      <c r="AJ350" s="213"/>
      <c r="AK350" s="213"/>
      <c r="AL350" s="213"/>
      <c r="AM350" s="213"/>
      <c r="AN350" s="74"/>
      <c r="AO350" s="73"/>
      <c r="AP350" s="73"/>
      <c r="AQ350" s="73"/>
      <c r="AR350" s="73"/>
      <c r="AS350" s="73"/>
      <c r="AT350" s="74"/>
      <c r="AU350" s="47"/>
      <c r="AV350" s="48"/>
    </row>
    <row r="351" spans="1:48" ht="12.75" customHeight="1" x14ac:dyDescent="0.25">
      <c r="A351" s="72" t="s">
        <v>20</v>
      </c>
      <c r="B351" s="43" t="s">
        <v>4043</v>
      </c>
      <c r="C351" s="44" t="s">
        <v>3679</v>
      </c>
      <c r="D351" s="45">
        <f>MROUND(MID($C351,6,3)/Basis!$E$3,0.5)</f>
        <v>12</v>
      </c>
      <c r="E351" s="45">
        <f>MROUND(MID($C351,9,3)/Basis!$E$3,0.5)</f>
        <v>78.5</v>
      </c>
      <c r="F351" s="229" t="str">
        <f t="shared" si="5"/>
        <v>22</v>
      </c>
      <c r="G351" s="45">
        <f>ROUND(9/Basis!$E$3,1)</f>
        <v>3.5</v>
      </c>
      <c r="H351" s="120">
        <f>ROUND($P351*Basis!$E$2*((TaH-TrH)/LN(1/µ)/Basis!$E$7)^$N351*Glycol,0)</f>
        <v>4160</v>
      </c>
      <c r="I351" s="83">
        <f>ROUND(H351/(MID($C351,9,3)/Basis!$E$3/Basis!$E$9)*Basis!$E$11,0)</f>
        <v>634</v>
      </c>
      <c r="J351" s="123">
        <f>IF(Basis!$E$1=1,ROUND(H351/((TaH-TrH)*1.163)/3600,3),ROUND(H351/(500*(TaH-TrH)),2))</f>
        <v>0.42</v>
      </c>
      <c r="K351" s="84"/>
      <c r="L351" s="177">
        <f>CHOOSE(Basis!$E$1,((AJ351*(J351*3600/Basis!$E$5)^AK351*(((MID(C351,9,3)*10)-144)/1000)*AL351+AM351*(J351*3600/Basis!$E$5)^2)*0.0098)/Basis!$E$10,((AJ351*(J351/Basis!$E$5)^AK351*(((MID(C351,9,3)*10)-144)/1000)*AL351+AM351*(J351/Basis!$E$5)^2)*0.0098)/Basis!$E$10)</f>
        <v>0</v>
      </c>
      <c r="M351" s="85"/>
      <c r="N351" s="110">
        <v>1.349</v>
      </c>
      <c r="O351" s="74"/>
      <c r="P351" s="73">
        <v>1903</v>
      </c>
      <c r="Q351" s="74"/>
      <c r="R351" s="75"/>
      <c r="S351" s="75"/>
      <c r="T351" s="75"/>
      <c r="U351" s="75"/>
      <c r="V351" s="75"/>
      <c r="W351" s="74"/>
      <c r="X351" s="76"/>
      <c r="Y351" s="76"/>
      <c r="Z351" s="76"/>
      <c r="AA351" s="76"/>
      <c r="AB351" s="76"/>
      <c r="AC351" s="74"/>
      <c r="AD351" s="77"/>
      <c r="AE351" s="77"/>
      <c r="AF351" s="77"/>
      <c r="AG351" s="77"/>
      <c r="AH351" s="77"/>
      <c r="AI351" s="68"/>
      <c r="AJ351" s="213"/>
      <c r="AK351" s="213"/>
      <c r="AL351" s="213"/>
      <c r="AM351" s="213"/>
      <c r="AN351" s="74"/>
      <c r="AO351" s="73"/>
      <c r="AP351" s="73"/>
      <c r="AQ351" s="73"/>
      <c r="AR351" s="73"/>
      <c r="AS351" s="73"/>
      <c r="AT351" s="74"/>
      <c r="AU351" s="47"/>
      <c r="AV351" s="48"/>
    </row>
    <row r="352" spans="1:48" ht="12.75" customHeight="1" x14ac:dyDescent="0.25">
      <c r="A352" s="72" t="s">
        <v>20</v>
      </c>
      <c r="B352" s="43" t="s">
        <v>4043</v>
      </c>
      <c r="C352" s="44" t="s">
        <v>3680</v>
      </c>
      <c r="D352" s="45">
        <f>MROUND(MID($C352,6,3)/Basis!$E$3,0.5)</f>
        <v>12</v>
      </c>
      <c r="E352" s="45">
        <f>MROUND(MID($C352,9,3)/Basis!$E$3,0.5)</f>
        <v>78.5</v>
      </c>
      <c r="F352" s="229" t="str">
        <f t="shared" si="5"/>
        <v>34</v>
      </c>
      <c r="G352" s="45">
        <f>ROUND(16.9/Basis!$E$3,1)</f>
        <v>6.7</v>
      </c>
      <c r="H352" s="120">
        <f>ROUND($P352*Basis!$E$2*((TaH-TrH)/LN(1/µ)/Basis!$E$7)^$N352*Glycol,0)</f>
        <v>7172</v>
      </c>
      <c r="I352" s="83">
        <f>ROUND(H352/(MID($C352,9,3)/Basis!$E$3/Basis!$E$9)*Basis!$E$11,0)</f>
        <v>1093</v>
      </c>
      <c r="J352" s="123">
        <f>IF(Basis!$E$1=1,ROUND(H352/((TaH-TrH)*1.163)/3600,3),ROUND(H352/(500*(TaH-TrH)),2))</f>
        <v>0.72</v>
      </c>
      <c r="K352" s="84"/>
      <c r="L352" s="177">
        <f>CHOOSE(Basis!$E$1,((AJ352*(J352*3600/Basis!$E$5)^AK352*(((MID(C352,9,3)*10)-144)/1000)*AL352+AM352*(J352*3600/Basis!$E$5)^2)*0.0098)/Basis!$E$10,((AJ352*(J352/Basis!$E$5)^AK352*(((MID(C352,9,3)*10)-144)/1000)*AL352+AM352*(J352/Basis!$E$5)^2)*0.0098)/Basis!$E$10)</f>
        <v>0</v>
      </c>
      <c r="M352" s="85"/>
      <c r="N352" s="109">
        <v>1.4510000000000001</v>
      </c>
      <c r="O352" s="68"/>
      <c r="P352" s="67">
        <v>3393</v>
      </c>
      <c r="Q352" s="68"/>
      <c r="R352" s="69"/>
      <c r="S352" s="69"/>
      <c r="T352" s="69"/>
      <c r="U352" s="69"/>
      <c r="V352" s="69"/>
      <c r="W352" s="68"/>
      <c r="X352" s="70"/>
      <c r="Y352" s="70"/>
      <c r="Z352" s="70"/>
      <c r="AA352" s="70"/>
      <c r="AB352" s="70"/>
      <c r="AC352" s="68"/>
      <c r="AD352" s="71"/>
      <c r="AE352" s="71"/>
      <c r="AF352" s="71"/>
      <c r="AG352" s="71"/>
      <c r="AH352" s="71"/>
      <c r="AI352" s="68"/>
      <c r="AJ352" s="214"/>
      <c r="AK352" s="214"/>
      <c r="AL352" s="214"/>
      <c r="AM352" s="214"/>
      <c r="AN352" s="68"/>
      <c r="AO352" s="67"/>
      <c r="AP352" s="67"/>
      <c r="AQ352" s="67"/>
      <c r="AR352" s="67"/>
      <c r="AS352" s="67"/>
      <c r="AT352" s="68"/>
      <c r="AU352" s="49"/>
      <c r="AV352" s="50"/>
    </row>
    <row r="353" spans="1:48" ht="12.75" customHeight="1" x14ac:dyDescent="0.25">
      <c r="A353" s="72" t="s">
        <v>20</v>
      </c>
      <c r="B353" s="43" t="s">
        <v>4043</v>
      </c>
      <c r="C353" s="44" t="s">
        <v>3681</v>
      </c>
      <c r="D353" s="45">
        <f>MROUND(MID($C353,6,3)/Basis!$E$3,0.5)</f>
        <v>12</v>
      </c>
      <c r="E353" s="45">
        <f>MROUND(MID($C353,9,3)/Basis!$E$3,0.5)</f>
        <v>86.5</v>
      </c>
      <c r="F353" s="229" t="str">
        <f t="shared" si="5"/>
        <v>11</v>
      </c>
      <c r="G353" s="45">
        <f>ROUND(5/Basis!$E$3,1)</f>
        <v>2</v>
      </c>
      <c r="H353" s="120">
        <f>ROUND($P353*Basis!$E$2*((TaH-TrH)/LN(1/µ)/Basis!$E$7)^$N353*Glycol,0)</f>
        <v>2766</v>
      </c>
      <c r="I353" s="83">
        <f>ROUND(H353/(MID($C353,9,3)/Basis!$E$3/Basis!$E$9)*Basis!$E$11,0)</f>
        <v>383</v>
      </c>
      <c r="J353" s="123">
        <f>IF(Basis!$E$1=1,ROUND(H353/((TaH-TrH)*1.163)/3600,3),ROUND(H353/(500*(TaH-TrH)),2))</f>
        <v>0.28000000000000003</v>
      </c>
      <c r="K353" s="84"/>
      <c r="L353" s="177">
        <f>CHOOSE(Basis!$E$1,((AJ353*(J353*3600/Basis!$E$5)^AK353*(((MID(C353,9,3)*10)-144)/1000)*AL353+AM353*(J353*3600/Basis!$E$5)^2)*0.0098)/Basis!$E$10,((AJ353*(J353/Basis!$E$5)^AK353*(((MID(C353,9,3)*10)-144)/1000)*AL353+AM353*(J353/Basis!$E$5)^2)*0.0098)/Basis!$E$10)</f>
        <v>0</v>
      </c>
      <c r="M353" s="85"/>
      <c r="N353" s="109">
        <v>1.248</v>
      </c>
      <c r="O353" s="68"/>
      <c r="P353" s="67">
        <v>1224</v>
      </c>
      <c r="Q353" s="68"/>
      <c r="R353" s="69"/>
      <c r="S353" s="69"/>
      <c r="T353" s="69"/>
      <c r="U353" s="69"/>
      <c r="V353" s="69"/>
      <c r="W353" s="68"/>
      <c r="X353" s="70"/>
      <c r="Y353" s="70"/>
      <c r="Z353" s="70"/>
      <c r="AA353" s="70"/>
      <c r="AB353" s="70"/>
      <c r="AC353" s="68"/>
      <c r="AD353" s="71"/>
      <c r="AE353" s="71"/>
      <c r="AF353" s="71"/>
      <c r="AG353" s="71"/>
      <c r="AH353" s="71"/>
      <c r="AI353" s="68"/>
      <c r="AJ353" s="214"/>
      <c r="AK353" s="214"/>
      <c r="AL353" s="214"/>
      <c r="AM353" s="214"/>
      <c r="AN353" s="68"/>
      <c r="AO353" s="67"/>
      <c r="AP353" s="67"/>
      <c r="AQ353" s="67"/>
      <c r="AR353" s="67"/>
      <c r="AS353" s="67"/>
      <c r="AT353" s="68"/>
      <c r="AU353" s="49"/>
      <c r="AV353" s="50"/>
    </row>
    <row r="354" spans="1:48" ht="12.75" customHeight="1" x14ac:dyDescent="0.25">
      <c r="A354" s="72" t="s">
        <v>20</v>
      </c>
      <c r="B354" s="43" t="s">
        <v>4043</v>
      </c>
      <c r="C354" s="44" t="s">
        <v>3682</v>
      </c>
      <c r="D354" s="45">
        <f>MROUND(MID($C354,6,3)/Basis!$E$3,0.5)</f>
        <v>12</v>
      </c>
      <c r="E354" s="45">
        <f>MROUND(MID($C354,9,3)/Basis!$E$3,0.5)</f>
        <v>86.5</v>
      </c>
      <c r="F354" s="229" t="str">
        <f t="shared" si="5"/>
        <v>22</v>
      </c>
      <c r="G354" s="45">
        <f>ROUND(9/Basis!$E$3,1)</f>
        <v>3.5</v>
      </c>
      <c r="H354" s="120">
        <f>ROUND($P354*Basis!$E$2*((TaH-TrH)/LN(1/µ)/Basis!$E$7)^$N354*Glycol,0)</f>
        <v>4575</v>
      </c>
      <c r="I354" s="83">
        <f>ROUND(H354/(MID($C354,9,3)/Basis!$E$3/Basis!$E$9)*Basis!$E$11,0)</f>
        <v>634</v>
      </c>
      <c r="J354" s="123">
        <f>IF(Basis!$E$1=1,ROUND(H354/((TaH-TrH)*1.163)/3600,3),ROUND(H354/(500*(TaH-TrH)),2))</f>
        <v>0.46</v>
      </c>
      <c r="K354" s="84"/>
      <c r="L354" s="177">
        <f>CHOOSE(Basis!$E$1,((AJ354*(J354*3600/Basis!$E$5)^AK354*(((MID(C354,9,3)*10)-144)/1000)*AL354+AM354*(J354*3600/Basis!$E$5)^2)*0.0098)/Basis!$E$10,((AJ354*(J354/Basis!$E$5)^AK354*(((MID(C354,9,3)*10)-144)/1000)*AL354+AM354*(J354/Basis!$E$5)^2)*0.0098)/Basis!$E$10)</f>
        <v>0</v>
      </c>
      <c r="M354" s="85"/>
      <c r="N354" s="110">
        <v>1.349</v>
      </c>
      <c r="O354" s="74"/>
      <c r="P354" s="73">
        <v>2093</v>
      </c>
      <c r="Q354" s="74"/>
      <c r="R354" s="75"/>
      <c r="S354" s="75"/>
      <c r="T354" s="75"/>
      <c r="U354" s="75"/>
      <c r="V354" s="75"/>
      <c r="W354" s="74"/>
      <c r="X354" s="76"/>
      <c r="Y354" s="76"/>
      <c r="Z354" s="76"/>
      <c r="AA354" s="76"/>
      <c r="AB354" s="76"/>
      <c r="AC354" s="74"/>
      <c r="AD354" s="77"/>
      <c r="AE354" s="77"/>
      <c r="AF354" s="77"/>
      <c r="AG354" s="77"/>
      <c r="AH354" s="77"/>
      <c r="AI354" s="68"/>
      <c r="AJ354" s="213"/>
      <c r="AK354" s="213"/>
      <c r="AL354" s="213"/>
      <c r="AM354" s="213"/>
      <c r="AN354" s="74"/>
      <c r="AO354" s="73"/>
      <c r="AP354" s="73"/>
      <c r="AQ354" s="73"/>
      <c r="AR354" s="73"/>
      <c r="AS354" s="73"/>
      <c r="AT354" s="74"/>
      <c r="AU354" s="47"/>
      <c r="AV354" s="48"/>
    </row>
    <row r="355" spans="1:48" ht="12.75" customHeight="1" x14ac:dyDescent="0.25">
      <c r="A355" s="72" t="s">
        <v>20</v>
      </c>
      <c r="B355" s="43" t="s">
        <v>4043</v>
      </c>
      <c r="C355" s="44" t="s">
        <v>3683</v>
      </c>
      <c r="D355" s="45">
        <f>MROUND(MID($C355,6,3)/Basis!$E$3,0.5)</f>
        <v>12</v>
      </c>
      <c r="E355" s="45">
        <f>MROUND(MID($C355,9,3)/Basis!$E$3,0.5)</f>
        <v>86.5</v>
      </c>
      <c r="F355" s="229" t="str">
        <f t="shared" si="5"/>
        <v>34</v>
      </c>
      <c r="G355" s="45">
        <f>ROUND(16.9/Basis!$E$3,1)</f>
        <v>6.7</v>
      </c>
      <c r="H355" s="120">
        <f>ROUND($P355*Basis!$E$2*((TaH-TrH)/LN(1/µ)/Basis!$E$7)^$N355*Glycol,0)</f>
        <v>7890</v>
      </c>
      <c r="I355" s="83">
        <f>ROUND(H355/(MID($C355,9,3)/Basis!$E$3/Basis!$E$9)*Basis!$E$11,0)</f>
        <v>1093</v>
      </c>
      <c r="J355" s="123">
        <f>IF(Basis!$E$1=1,ROUND(H355/((TaH-TrH)*1.163)/3600,3),ROUND(H355/(500*(TaH-TrH)),2))</f>
        <v>0.79</v>
      </c>
      <c r="K355" s="84"/>
      <c r="L355" s="177">
        <f>CHOOSE(Basis!$E$1,((AJ355*(J355*3600/Basis!$E$5)^AK355*(((MID(C355,9,3)*10)-144)/1000)*AL355+AM355*(J355*3600/Basis!$E$5)^2)*0.0098)/Basis!$E$10,((AJ355*(J355/Basis!$E$5)^AK355*(((MID(C355,9,3)*10)-144)/1000)*AL355+AM355*(J355/Basis!$E$5)^2)*0.0098)/Basis!$E$10)</f>
        <v>0</v>
      </c>
      <c r="M355" s="85"/>
      <c r="N355" s="110">
        <v>1.4510000000000001</v>
      </c>
      <c r="O355" s="74"/>
      <c r="P355" s="73">
        <v>3733</v>
      </c>
      <c r="Q355" s="74"/>
      <c r="R355" s="75"/>
      <c r="S355" s="75"/>
      <c r="T355" s="75"/>
      <c r="U355" s="75"/>
      <c r="V355" s="75"/>
      <c r="W355" s="74"/>
      <c r="X355" s="76"/>
      <c r="Y355" s="76"/>
      <c r="Z355" s="76"/>
      <c r="AA355" s="76"/>
      <c r="AB355" s="76"/>
      <c r="AC355" s="74"/>
      <c r="AD355" s="77"/>
      <c r="AE355" s="77"/>
      <c r="AF355" s="77"/>
      <c r="AG355" s="77"/>
      <c r="AH355" s="77"/>
      <c r="AI355" s="68"/>
      <c r="AJ355" s="213"/>
      <c r="AK355" s="213"/>
      <c r="AL355" s="213"/>
      <c r="AM355" s="213"/>
      <c r="AN355" s="74"/>
      <c r="AO355" s="73"/>
      <c r="AP355" s="73"/>
      <c r="AQ355" s="73"/>
      <c r="AR355" s="73"/>
      <c r="AS355" s="73"/>
      <c r="AT355" s="74"/>
      <c r="AU355" s="47"/>
      <c r="AV355" s="48"/>
    </row>
    <row r="356" spans="1:48" ht="12.75" customHeight="1" x14ac:dyDescent="0.25">
      <c r="A356" s="72" t="s">
        <v>20</v>
      </c>
      <c r="B356" s="43" t="s">
        <v>4043</v>
      </c>
      <c r="C356" s="44" t="s">
        <v>3684</v>
      </c>
      <c r="D356" s="45">
        <f>MROUND(MID($C356,6,3)/Basis!$E$3,0.5)</f>
        <v>12</v>
      </c>
      <c r="E356" s="45">
        <f>MROUND(MID($C356,9,3)/Basis!$E$3,0.5)</f>
        <v>94.5</v>
      </c>
      <c r="F356" s="229" t="str">
        <f t="shared" si="5"/>
        <v>11</v>
      </c>
      <c r="G356" s="45">
        <f>ROUND(5/Basis!$E$3,1)</f>
        <v>2</v>
      </c>
      <c r="H356" s="120">
        <f>ROUND($P356*Basis!$E$2*((TaH-TrH)/LN(1/µ)/Basis!$E$7)^$N356*Glycol,0)</f>
        <v>3017</v>
      </c>
      <c r="I356" s="83">
        <f>ROUND(H356/(MID($C356,9,3)/Basis!$E$3/Basis!$E$9)*Basis!$E$11,0)</f>
        <v>383</v>
      </c>
      <c r="J356" s="123">
        <f>IF(Basis!$E$1=1,ROUND(H356/((TaH-TrH)*1.163)/3600,3),ROUND(H356/(500*(TaH-TrH)),2))</f>
        <v>0.3</v>
      </c>
      <c r="K356" s="84"/>
      <c r="L356" s="177">
        <f>CHOOSE(Basis!$E$1,((AJ356*(J356*3600/Basis!$E$5)^AK356*(((MID(C356,9,3)*10)-144)/1000)*AL356+AM356*(J356*3600/Basis!$E$5)^2)*0.0098)/Basis!$E$10,((AJ356*(J356/Basis!$E$5)^AK356*(((MID(C356,9,3)*10)-144)/1000)*AL356+AM356*(J356/Basis!$E$5)^2)*0.0098)/Basis!$E$10)</f>
        <v>0</v>
      </c>
      <c r="M356" s="85"/>
      <c r="N356" s="109">
        <v>1.248</v>
      </c>
      <c r="O356" s="68"/>
      <c r="P356" s="67">
        <v>1335</v>
      </c>
      <c r="Q356" s="68"/>
      <c r="R356" s="69"/>
      <c r="S356" s="69"/>
      <c r="T356" s="69"/>
      <c r="U356" s="69"/>
      <c r="V356" s="69"/>
      <c r="W356" s="68"/>
      <c r="X356" s="70"/>
      <c r="Y356" s="70"/>
      <c r="Z356" s="70"/>
      <c r="AA356" s="70"/>
      <c r="AB356" s="70"/>
      <c r="AC356" s="68"/>
      <c r="AD356" s="71"/>
      <c r="AE356" s="71"/>
      <c r="AF356" s="71"/>
      <c r="AG356" s="71"/>
      <c r="AH356" s="71"/>
      <c r="AI356" s="68"/>
      <c r="AJ356" s="214"/>
      <c r="AK356" s="214"/>
      <c r="AL356" s="214"/>
      <c r="AM356" s="214"/>
      <c r="AN356" s="68"/>
      <c r="AO356" s="67"/>
      <c r="AP356" s="67"/>
      <c r="AQ356" s="67"/>
      <c r="AR356" s="67"/>
      <c r="AS356" s="67"/>
      <c r="AT356" s="68"/>
      <c r="AU356" s="49"/>
      <c r="AV356" s="50"/>
    </row>
    <row r="357" spans="1:48" ht="12.75" customHeight="1" x14ac:dyDescent="0.25">
      <c r="A357" s="72" t="s">
        <v>20</v>
      </c>
      <c r="B357" s="43" t="s">
        <v>4043</v>
      </c>
      <c r="C357" s="44" t="s">
        <v>3685</v>
      </c>
      <c r="D357" s="45">
        <f>MROUND(MID($C357,6,3)/Basis!$E$3,0.5)</f>
        <v>12</v>
      </c>
      <c r="E357" s="45">
        <f>MROUND(MID($C357,9,3)/Basis!$E$3,0.5)</f>
        <v>94.5</v>
      </c>
      <c r="F357" s="229" t="str">
        <f t="shared" si="5"/>
        <v>22</v>
      </c>
      <c r="G357" s="45">
        <f>ROUND(9/Basis!$E$3,1)</f>
        <v>3.5</v>
      </c>
      <c r="H357" s="120">
        <f>ROUND($P357*Basis!$E$2*((TaH-TrH)/LN(1/µ)/Basis!$E$7)^$N357*Glycol,0)</f>
        <v>4991</v>
      </c>
      <c r="I357" s="83">
        <f>ROUND(H357/(MID($C357,9,3)/Basis!$E$3/Basis!$E$9)*Basis!$E$11,0)</f>
        <v>634</v>
      </c>
      <c r="J357" s="123">
        <f>IF(Basis!$E$1=1,ROUND(H357/((TaH-TrH)*1.163)/3600,3),ROUND(H357/(500*(TaH-TrH)),2))</f>
        <v>0.5</v>
      </c>
      <c r="K357" s="84"/>
      <c r="L357" s="177">
        <f>CHOOSE(Basis!$E$1,((AJ357*(J357*3600/Basis!$E$5)^AK357*(((MID(C357,9,3)*10)-144)/1000)*AL357+AM357*(J357*3600/Basis!$E$5)^2)*0.0098)/Basis!$E$10,((AJ357*(J357/Basis!$E$5)^AK357*(((MID(C357,9,3)*10)-144)/1000)*AL357+AM357*(J357/Basis!$E$5)^2)*0.0098)/Basis!$E$10)</f>
        <v>0</v>
      </c>
      <c r="M357" s="85"/>
      <c r="N357" s="109">
        <v>1.349</v>
      </c>
      <c r="O357" s="68"/>
      <c r="P357" s="67">
        <v>2283</v>
      </c>
      <c r="Q357" s="68"/>
      <c r="R357" s="69"/>
      <c r="S357" s="69"/>
      <c r="T357" s="69"/>
      <c r="U357" s="69"/>
      <c r="V357" s="69"/>
      <c r="W357" s="68"/>
      <c r="X357" s="70"/>
      <c r="Y357" s="70"/>
      <c r="Z357" s="70"/>
      <c r="AA357" s="70"/>
      <c r="AB357" s="70"/>
      <c r="AC357" s="68"/>
      <c r="AD357" s="71"/>
      <c r="AE357" s="71"/>
      <c r="AF357" s="71"/>
      <c r="AG357" s="71"/>
      <c r="AH357" s="71"/>
      <c r="AI357" s="68"/>
      <c r="AJ357" s="214"/>
      <c r="AK357" s="214"/>
      <c r="AL357" s="214"/>
      <c r="AM357" s="214"/>
      <c r="AN357" s="68"/>
      <c r="AO357" s="67"/>
      <c r="AP357" s="67"/>
      <c r="AQ357" s="67"/>
      <c r="AR357" s="67"/>
      <c r="AS357" s="67"/>
      <c r="AT357" s="68"/>
      <c r="AU357" s="49"/>
      <c r="AV357" s="50"/>
    </row>
    <row r="358" spans="1:48" ht="12.75" customHeight="1" x14ac:dyDescent="0.25">
      <c r="A358" s="72" t="s">
        <v>20</v>
      </c>
      <c r="B358" s="43" t="s">
        <v>4043</v>
      </c>
      <c r="C358" s="44" t="s">
        <v>3686</v>
      </c>
      <c r="D358" s="45">
        <f>MROUND(MID($C358,6,3)/Basis!$E$3,0.5)</f>
        <v>12</v>
      </c>
      <c r="E358" s="45">
        <f>MROUND(MID($C358,9,3)/Basis!$E$3,0.5)</f>
        <v>94.5</v>
      </c>
      <c r="F358" s="229" t="str">
        <f t="shared" si="5"/>
        <v>34</v>
      </c>
      <c r="G358" s="45">
        <f>ROUND(16.9/Basis!$E$3,1)</f>
        <v>6.7</v>
      </c>
      <c r="H358" s="120">
        <f>ROUND($P358*Basis!$E$2*((TaH-TrH)/LN(1/µ)/Basis!$E$7)^$N358*Glycol,0)</f>
        <v>8607</v>
      </c>
      <c r="I358" s="83">
        <f>ROUND(H358/(MID($C358,9,3)/Basis!$E$3/Basis!$E$9)*Basis!$E$11,0)</f>
        <v>1093</v>
      </c>
      <c r="J358" s="123">
        <f>IF(Basis!$E$1=1,ROUND(H358/((TaH-TrH)*1.163)/3600,3),ROUND(H358/(500*(TaH-TrH)),2))</f>
        <v>0.86</v>
      </c>
      <c r="K358" s="84"/>
      <c r="L358" s="177">
        <f>CHOOSE(Basis!$E$1,((AJ358*(J358*3600/Basis!$E$5)^AK358*(((MID(C358,9,3)*10)-144)/1000)*AL358+AM358*(J358*3600/Basis!$E$5)^2)*0.0098)/Basis!$E$10,((AJ358*(J358/Basis!$E$5)^AK358*(((MID(C358,9,3)*10)-144)/1000)*AL358+AM358*(J358/Basis!$E$5)^2)*0.0098)/Basis!$E$10)</f>
        <v>0</v>
      </c>
      <c r="M358" s="85"/>
      <c r="N358" s="110">
        <v>1.4510000000000001</v>
      </c>
      <c r="O358" s="74"/>
      <c r="P358" s="73">
        <v>4072</v>
      </c>
      <c r="Q358" s="74"/>
      <c r="R358" s="75"/>
      <c r="S358" s="75"/>
      <c r="T358" s="75"/>
      <c r="U358" s="75"/>
      <c r="V358" s="75"/>
      <c r="W358" s="74"/>
      <c r="X358" s="76"/>
      <c r="Y358" s="76"/>
      <c r="Z358" s="76"/>
      <c r="AA358" s="76"/>
      <c r="AB358" s="76"/>
      <c r="AC358" s="74"/>
      <c r="AD358" s="77"/>
      <c r="AE358" s="77"/>
      <c r="AF358" s="77"/>
      <c r="AG358" s="77"/>
      <c r="AH358" s="77"/>
      <c r="AI358" s="68"/>
      <c r="AJ358" s="213"/>
      <c r="AK358" s="213"/>
      <c r="AL358" s="213"/>
      <c r="AM358" s="213"/>
      <c r="AN358" s="74"/>
      <c r="AO358" s="73"/>
      <c r="AP358" s="73"/>
      <c r="AQ358" s="73"/>
      <c r="AR358" s="73"/>
      <c r="AS358" s="73"/>
      <c r="AT358" s="74"/>
      <c r="AU358" s="47"/>
      <c r="AV358" s="48"/>
    </row>
    <row r="359" spans="1:48" ht="12.75" customHeight="1" x14ac:dyDescent="0.25">
      <c r="A359" s="72" t="s">
        <v>20</v>
      </c>
      <c r="B359" s="43" t="s">
        <v>4043</v>
      </c>
      <c r="C359" s="44" t="s">
        <v>3687</v>
      </c>
      <c r="D359" s="45">
        <f>MROUND(MID($C359,6,3)/Basis!$E$3,0.5)</f>
        <v>12</v>
      </c>
      <c r="E359" s="45">
        <f>MROUND(MID($C359,9,3)/Basis!$E$3,0.5)</f>
        <v>102.5</v>
      </c>
      <c r="F359" s="229" t="str">
        <f t="shared" si="5"/>
        <v>11</v>
      </c>
      <c r="G359" s="45">
        <f>ROUND(5/Basis!$E$3,1)</f>
        <v>2</v>
      </c>
      <c r="H359" s="120">
        <f>ROUND($P359*Basis!$E$2*((TaH-TrH)/LN(1/µ)/Basis!$E$7)^$N359*Glycol,0)</f>
        <v>3268</v>
      </c>
      <c r="I359" s="83">
        <f>ROUND(H359/(MID($C359,9,3)/Basis!$E$3/Basis!$E$9)*Basis!$E$11,0)</f>
        <v>383</v>
      </c>
      <c r="J359" s="123">
        <f>IF(Basis!$E$1=1,ROUND(H359/((TaH-TrH)*1.163)/3600,3),ROUND(H359/(500*(TaH-TrH)),2))</f>
        <v>0.33</v>
      </c>
      <c r="K359" s="84"/>
      <c r="L359" s="177">
        <f>CHOOSE(Basis!$E$1,((AJ359*(J359*3600/Basis!$E$5)^AK359*(((MID(C359,9,3)*10)-144)/1000)*AL359+AM359*(J359*3600/Basis!$E$5)^2)*0.0098)/Basis!$E$10,((AJ359*(J359/Basis!$E$5)^AK359*(((MID(C359,9,3)*10)-144)/1000)*AL359+AM359*(J359/Basis!$E$5)^2)*0.0098)/Basis!$E$10)</f>
        <v>0</v>
      </c>
      <c r="M359" s="85"/>
      <c r="N359" s="110">
        <v>1.248</v>
      </c>
      <c r="O359" s="74"/>
      <c r="P359" s="73">
        <v>1446</v>
      </c>
      <c r="Q359" s="74"/>
      <c r="R359" s="75"/>
      <c r="S359" s="75"/>
      <c r="T359" s="75"/>
      <c r="U359" s="75"/>
      <c r="V359" s="75"/>
      <c r="W359" s="74"/>
      <c r="X359" s="76"/>
      <c r="Y359" s="76"/>
      <c r="Z359" s="76"/>
      <c r="AA359" s="76"/>
      <c r="AB359" s="76"/>
      <c r="AC359" s="74"/>
      <c r="AD359" s="77"/>
      <c r="AE359" s="77"/>
      <c r="AF359" s="77"/>
      <c r="AG359" s="77"/>
      <c r="AH359" s="77"/>
      <c r="AI359" s="68"/>
      <c r="AJ359" s="213"/>
      <c r="AK359" s="213"/>
      <c r="AL359" s="213"/>
      <c r="AM359" s="213"/>
      <c r="AN359" s="74"/>
      <c r="AO359" s="73"/>
      <c r="AP359" s="73"/>
      <c r="AQ359" s="73"/>
      <c r="AR359" s="73"/>
      <c r="AS359" s="73"/>
      <c r="AT359" s="74"/>
      <c r="AU359" s="47"/>
      <c r="AV359" s="48"/>
    </row>
    <row r="360" spans="1:48" ht="12.75" customHeight="1" x14ac:dyDescent="0.25">
      <c r="A360" s="72" t="s">
        <v>20</v>
      </c>
      <c r="B360" s="43" t="s">
        <v>4043</v>
      </c>
      <c r="C360" s="44" t="s">
        <v>3688</v>
      </c>
      <c r="D360" s="45">
        <f>MROUND(MID($C360,6,3)/Basis!$E$3,0.5)</f>
        <v>12</v>
      </c>
      <c r="E360" s="45">
        <f>MROUND(MID($C360,9,3)/Basis!$E$3,0.5)</f>
        <v>102.5</v>
      </c>
      <c r="F360" s="229" t="str">
        <f t="shared" si="5"/>
        <v>22</v>
      </c>
      <c r="G360" s="45">
        <f>ROUND(9/Basis!$E$3,1)</f>
        <v>3.5</v>
      </c>
      <c r="H360" s="120">
        <f>ROUND($P360*Basis!$E$2*((TaH-TrH)/LN(1/µ)/Basis!$E$7)^$N360*Glycol,0)</f>
        <v>5408</v>
      </c>
      <c r="I360" s="83">
        <f>ROUND(H360/(MID($C360,9,3)/Basis!$E$3/Basis!$E$9)*Basis!$E$11,0)</f>
        <v>634</v>
      </c>
      <c r="J360" s="123">
        <f>IF(Basis!$E$1=1,ROUND(H360/((TaH-TrH)*1.163)/3600,3),ROUND(H360/(500*(TaH-TrH)),2))</f>
        <v>0.54</v>
      </c>
      <c r="K360" s="84"/>
      <c r="L360" s="177">
        <f>CHOOSE(Basis!$E$1,((AJ360*(J360*3600/Basis!$E$5)^AK360*(((MID(C360,9,3)*10)-144)/1000)*AL360+AM360*(J360*3600/Basis!$E$5)^2)*0.0098)/Basis!$E$10,((AJ360*(J360/Basis!$E$5)^AK360*(((MID(C360,9,3)*10)-144)/1000)*AL360+AM360*(J360/Basis!$E$5)^2)*0.0098)/Basis!$E$10)</f>
        <v>0</v>
      </c>
      <c r="M360" s="85"/>
      <c r="N360" s="109">
        <v>1.349</v>
      </c>
      <c r="O360" s="68"/>
      <c r="P360" s="67">
        <v>2474</v>
      </c>
      <c r="Q360" s="68"/>
      <c r="R360" s="69"/>
      <c r="S360" s="69"/>
      <c r="T360" s="69"/>
      <c r="U360" s="69"/>
      <c r="V360" s="69"/>
      <c r="W360" s="68"/>
      <c r="X360" s="70"/>
      <c r="Y360" s="70"/>
      <c r="Z360" s="70"/>
      <c r="AA360" s="70"/>
      <c r="AB360" s="70"/>
      <c r="AC360" s="68"/>
      <c r="AD360" s="71"/>
      <c r="AE360" s="71"/>
      <c r="AF360" s="71"/>
      <c r="AG360" s="71"/>
      <c r="AH360" s="71"/>
      <c r="AI360" s="68"/>
      <c r="AJ360" s="214"/>
      <c r="AK360" s="214"/>
      <c r="AL360" s="214"/>
      <c r="AM360" s="214"/>
      <c r="AN360" s="68"/>
      <c r="AO360" s="67"/>
      <c r="AP360" s="67"/>
      <c r="AQ360" s="67"/>
      <c r="AR360" s="67"/>
      <c r="AS360" s="67"/>
      <c r="AT360" s="68"/>
      <c r="AU360" s="49"/>
      <c r="AV360" s="50"/>
    </row>
    <row r="361" spans="1:48" ht="12.75" customHeight="1" x14ac:dyDescent="0.25">
      <c r="A361" s="72" t="s">
        <v>20</v>
      </c>
      <c r="B361" s="43" t="s">
        <v>4043</v>
      </c>
      <c r="C361" s="44" t="s">
        <v>3689</v>
      </c>
      <c r="D361" s="45">
        <f>MROUND(MID($C361,6,3)/Basis!$E$3,0.5)</f>
        <v>12</v>
      </c>
      <c r="E361" s="45">
        <f>MROUND(MID($C361,9,3)/Basis!$E$3,0.5)</f>
        <v>102.5</v>
      </c>
      <c r="F361" s="229" t="str">
        <f t="shared" si="5"/>
        <v>34</v>
      </c>
      <c r="G361" s="45">
        <f>ROUND(16.9/Basis!$E$3,1)</f>
        <v>6.7</v>
      </c>
      <c r="H361" s="120">
        <f>ROUND($P361*Basis!$E$2*((TaH-TrH)/LN(1/µ)/Basis!$E$7)^$N361*Glycol,0)</f>
        <v>9324</v>
      </c>
      <c r="I361" s="83">
        <f>ROUND(H361/(MID($C361,9,3)/Basis!$E$3/Basis!$E$9)*Basis!$E$11,0)</f>
        <v>1093</v>
      </c>
      <c r="J361" s="123">
        <f>IF(Basis!$E$1=1,ROUND(H361/((TaH-TrH)*1.163)/3600,3),ROUND(H361/(500*(TaH-TrH)),2))</f>
        <v>0.93</v>
      </c>
      <c r="K361" s="84"/>
      <c r="L361" s="177">
        <f>CHOOSE(Basis!$E$1,((AJ361*(J361*3600/Basis!$E$5)^AK361*(((MID(C361,9,3)*10)-144)/1000)*AL361+AM361*(J361*3600/Basis!$E$5)^2)*0.0098)/Basis!$E$10,((AJ361*(J361/Basis!$E$5)^AK361*(((MID(C361,9,3)*10)-144)/1000)*AL361+AM361*(J361/Basis!$E$5)^2)*0.0098)/Basis!$E$10)</f>
        <v>0</v>
      </c>
      <c r="M361" s="85"/>
      <c r="N361" s="109">
        <v>1.4510000000000001</v>
      </c>
      <c r="O361" s="68"/>
      <c r="P361" s="67">
        <v>4411</v>
      </c>
      <c r="Q361" s="68"/>
      <c r="R361" s="69"/>
      <c r="S361" s="69"/>
      <c r="T361" s="69"/>
      <c r="U361" s="69"/>
      <c r="V361" s="69"/>
      <c r="W361" s="68"/>
      <c r="X361" s="70"/>
      <c r="Y361" s="70"/>
      <c r="Z361" s="70"/>
      <c r="AA361" s="70"/>
      <c r="AB361" s="70"/>
      <c r="AC361" s="68"/>
      <c r="AD361" s="71"/>
      <c r="AE361" s="71"/>
      <c r="AF361" s="71"/>
      <c r="AG361" s="71"/>
      <c r="AH361" s="71"/>
      <c r="AI361" s="68"/>
      <c r="AJ361" s="214"/>
      <c r="AK361" s="214"/>
      <c r="AL361" s="214"/>
      <c r="AM361" s="214"/>
      <c r="AN361" s="68"/>
      <c r="AO361" s="67"/>
      <c r="AP361" s="67"/>
      <c r="AQ361" s="67"/>
      <c r="AR361" s="67"/>
      <c r="AS361" s="67"/>
      <c r="AT361" s="68"/>
      <c r="AU361" s="49"/>
      <c r="AV361" s="50"/>
    </row>
    <row r="362" spans="1:48" ht="12.75" customHeight="1" x14ac:dyDescent="0.25">
      <c r="A362" s="72" t="s">
        <v>20</v>
      </c>
      <c r="B362" s="43" t="s">
        <v>4043</v>
      </c>
      <c r="C362" s="44" t="s">
        <v>3690</v>
      </c>
      <c r="D362" s="45">
        <f>MROUND(MID($C362,6,3)/Basis!$E$3,0.5)</f>
        <v>12</v>
      </c>
      <c r="E362" s="45">
        <f>MROUND(MID($C362,9,3)/Basis!$E$3,0.5)</f>
        <v>110</v>
      </c>
      <c r="F362" s="229" t="str">
        <f t="shared" si="5"/>
        <v>11</v>
      </c>
      <c r="G362" s="45">
        <f>ROUND(5/Basis!$E$3,1)</f>
        <v>2</v>
      </c>
      <c r="H362" s="120">
        <f>ROUND($P362*Basis!$E$2*((TaH-TrH)/LN(1/µ)/Basis!$E$7)^$N362*Glycol,0)</f>
        <v>3521</v>
      </c>
      <c r="I362" s="83">
        <f>ROUND(H362/(MID($C362,9,3)/Basis!$E$3/Basis!$E$9)*Basis!$E$11,0)</f>
        <v>383</v>
      </c>
      <c r="J362" s="123">
        <f>IF(Basis!$E$1=1,ROUND(H362/((TaH-TrH)*1.163)/3600,3),ROUND(H362/(500*(TaH-TrH)),2))</f>
        <v>0.35</v>
      </c>
      <c r="K362" s="84"/>
      <c r="L362" s="177">
        <f>CHOOSE(Basis!$E$1,((AJ362*(J362*3600/Basis!$E$5)^AK362*(((MID(C362,9,3)*10)-144)/1000)*AL362+AM362*(J362*3600/Basis!$E$5)^2)*0.0098)/Basis!$E$10,((AJ362*(J362/Basis!$E$5)^AK362*(((MID(C362,9,3)*10)-144)/1000)*AL362+AM362*(J362/Basis!$E$5)^2)*0.0098)/Basis!$E$10)</f>
        <v>0</v>
      </c>
      <c r="M362" s="85"/>
      <c r="N362" s="110">
        <v>1.248</v>
      </c>
      <c r="O362" s="74"/>
      <c r="P362" s="73">
        <v>1558</v>
      </c>
      <c r="Q362" s="74"/>
      <c r="R362" s="75"/>
      <c r="S362" s="75"/>
      <c r="T362" s="75"/>
      <c r="U362" s="75"/>
      <c r="V362" s="75"/>
      <c r="W362" s="74"/>
      <c r="X362" s="76"/>
      <c r="Y362" s="76"/>
      <c r="Z362" s="76"/>
      <c r="AA362" s="76"/>
      <c r="AB362" s="76"/>
      <c r="AC362" s="74"/>
      <c r="AD362" s="77"/>
      <c r="AE362" s="77"/>
      <c r="AF362" s="77"/>
      <c r="AG362" s="77"/>
      <c r="AH362" s="77"/>
      <c r="AI362" s="68"/>
      <c r="AJ362" s="213"/>
      <c r="AK362" s="213"/>
      <c r="AL362" s="213"/>
      <c r="AM362" s="213"/>
      <c r="AN362" s="74"/>
      <c r="AO362" s="73"/>
      <c r="AP362" s="73"/>
      <c r="AQ362" s="73"/>
      <c r="AR362" s="73"/>
      <c r="AS362" s="73"/>
      <c r="AT362" s="74"/>
      <c r="AU362" s="47"/>
      <c r="AV362" s="48"/>
    </row>
    <row r="363" spans="1:48" ht="12.75" customHeight="1" x14ac:dyDescent="0.25">
      <c r="A363" s="72" t="s">
        <v>20</v>
      </c>
      <c r="B363" s="43" t="s">
        <v>4043</v>
      </c>
      <c r="C363" s="44" t="s">
        <v>3691</v>
      </c>
      <c r="D363" s="45">
        <f>MROUND(MID($C363,6,3)/Basis!$E$3,0.5)</f>
        <v>12</v>
      </c>
      <c r="E363" s="45">
        <f>MROUND(MID($C363,9,3)/Basis!$E$3,0.5)</f>
        <v>110</v>
      </c>
      <c r="F363" s="229" t="str">
        <f t="shared" si="5"/>
        <v>22</v>
      </c>
      <c r="G363" s="45">
        <f>ROUND(9/Basis!$E$3,1)</f>
        <v>3.5</v>
      </c>
      <c r="H363" s="120">
        <f>ROUND($P363*Basis!$E$2*((TaH-TrH)/LN(1/µ)/Basis!$E$7)^$N363*Glycol,0)</f>
        <v>5824</v>
      </c>
      <c r="I363" s="83">
        <f>ROUND(H363/(MID($C363,9,3)/Basis!$E$3/Basis!$E$9)*Basis!$E$11,0)</f>
        <v>634</v>
      </c>
      <c r="J363" s="123">
        <f>IF(Basis!$E$1=1,ROUND(H363/((TaH-TrH)*1.163)/3600,3),ROUND(H363/(500*(TaH-TrH)),2))</f>
        <v>0.57999999999999996</v>
      </c>
      <c r="K363" s="84"/>
      <c r="L363" s="177">
        <f>CHOOSE(Basis!$E$1,((AJ363*(J363*3600/Basis!$E$5)^AK363*(((MID(C363,9,3)*10)-144)/1000)*AL363+AM363*(J363*3600/Basis!$E$5)^2)*0.0098)/Basis!$E$10,((AJ363*(J363/Basis!$E$5)^AK363*(((MID(C363,9,3)*10)-144)/1000)*AL363+AM363*(J363/Basis!$E$5)^2)*0.0098)/Basis!$E$10)</f>
        <v>0</v>
      </c>
      <c r="M363" s="85"/>
      <c r="N363" s="110">
        <v>1.349</v>
      </c>
      <c r="O363" s="74"/>
      <c r="P363" s="73">
        <v>2664</v>
      </c>
      <c r="Q363" s="74"/>
      <c r="R363" s="75"/>
      <c r="S363" s="75"/>
      <c r="T363" s="75"/>
      <c r="U363" s="75"/>
      <c r="V363" s="75"/>
      <c r="W363" s="74"/>
      <c r="X363" s="76"/>
      <c r="Y363" s="76"/>
      <c r="Z363" s="76"/>
      <c r="AA363" s="76"/>
      <c r="AB363" s="76"/>
      <c r="AC363" s="74"/>
      <c r="AD363" s="77"/>
      <c r="AE363" s="77"/>
      <c r="AF363" s="77"/>
      <c r="AG363" s="77"/>
      <c r="AH363" s="77"/>
      <c r="AI363" s="68"/>
      <c r="AJ363" s="213"/>
      <c r="AK363" s="213"/>
      <c r="AL363" s="213"/>
      <c r="AM363" s="213"/>
      <c r="AN363" s="74"/>
      <c r="AO363" s="73"/>
      <c r="AP363" s="73"/>
      <c r="AQ363" s="73"/>
      <c r="AR363" s="73"/>
      <c r="AS363" s="73"/>
      <c r="AT363" s="74"/>
      <c r="AU363" s="47"/>
      <c r="AV363" s="48"/>
    </row>
    <row r="364" spans="1:48" ht="12.75" customHeight="1" x14ac:dyDescent="0.25">
      <c r="A364" s="72" t="s">
        <v>20</v>
      </c>
      <c r="B364" s="43" t="s">
        <v>4043</v>
      </c>
      <c r="C364" s="44" t="s">
        <v>3692</v>
      </c>
      <c r="D364" s="45">
        <f>MROUND(MID($C364,6,3)/Basis!$E$3,0.5)</f>
        <v>12</v>
      </c>
      <c r="E364" s="45">
        <f>MROUND(MID($C364,9,3)/Basis!$E$3,0.5)</f>
        <v>110</v>
      </c>
      <c r="F364" s="229" t="str">
        <f t="shared" si="5"/>
        <v>34</v>
      </c>
      <c r="G364" s="45">
        <f>ROUND(16.9/Basis!$E$3,1)</f>
        <v>6.7</v>
      </c>
      <c r="H364" s="120">
        <f>ROUND($P364*Basis!$E$2*((TaH-TrH)/LN(1/µ)/Basis!$E$7)^$N364*Glycol,0)</f>
        <v>10042</v>
      </c>
      <c r="I364" s="83">
        <f>ROUND(H364/(MID($C364,9,3)/Basis!$E$3/Basis!$E$9)*Basis!$E$11,0)</f>
        <v>1093</v>
      </c>
      <c r="J364" s="123">
        <f>IF(Basis!$E$1=1,ROUND(H364/((TaH-TrH)*1.163)/3600,3),ROUND(H364/(500*(TaH-TrH)),2))</f>
        <v>1</v>
      </c>
      <c r="K364" s="84"/>
      <c r="L364" s="177">
        <f>CHOOSE(Basis!$E$1,((AJ364*(J364*3600/Basis!$E$5)^AK364*(((MID(C364,9,3)*10)-144)/1000)*AL364+AM364*(J364*3600/Basis!$E$5)^2)*0.0098)/Basis!$E$10,((AJ364*(J364/Basis!$E$5)^AK364*(((MID(C364,9,3)*10)-144)/1000)*AL364+AM364*(J364/Basis!$E$5)^2)*0.0098)/Basis!$E$10)</f>
        <v>0</v>
      </c>
      <c r="M364" s="85"/>
      <c r="N364" s="109">
        <v>1.4510000000000001</v>
      </c>
      <c r="O364" s="68"/>
      <c r="P364" s="67">
        <v>4751</v>
      </c>
      <c r="Q364" s="68"/>
      <c r="R364" s="69"/>
      <c r="S364" s="69"/>
      <c r="T364" s="69"/>
      <c r="U364" s="69"/>
      <c r="V364" s="69"/>
      <c r="W364" s="68"/>
      <c r="X364" s="70"/>
      <c r="Y364" s="70"/>
      <c r="Z364" s="70"/>
      <c r="AA364" s="70"/>
      <c r="AB364" s="70"/>
      <c r="AC364" s="68"/>
      <c r="AD364" s="71"/>
      <c r="AE364" s="71"/>
      <c r="AF364" s="71"/>
      <c r="AG364" s="71"/>
      <c r="AH364" s="71"/>
      <c r="AI364" s="68"/>
      <c r="AJ364" s="214"/>
      <c r="AK364" s="214"/>
      <c r="AL364" s="214"/>
      <c r="AM364" s="214"/>
      <c r="AN364" s="68"/>
      <c r="AO364" s="67"/>
      <c r="AP364" s="67"/>
      <c r="AQ364" s="67"/>
      <c r="AR364" s="67"/>
      <c r="AS364" s="67"/>
      <c r="AT364" s="68"/>
      <c r="AU364" s="49"/>
      <c r="AV364" s="50"/>
    </row>
    <row r="365" spans="1:48" ht="12.75" customHeight="1" x14ac:dyDescent="0.25">
      <c r="A365" s="72" t="s">
        <v>20</v>
      </c>
      <c r="B365" s="43" t="s">
        <v>4043</v>
      </c>
      <c r="C365" s="44" t="s">
        <v>3693</v>
      </c>
      <c r="D365" s="45">
        <f>MROUND(MID($C365,6,3)/Basis!$E$3,0.5)</f>
        <v>12</v>
      </c>
      <c r="E365" s="45">
        <f>MROUND(MID($C365,9,3)/Basis!$E$3,0.5)</f>
        <v>118</v>
      </c>
      <c r="F365" s="229" t="str">
        <f t="shared" si="5"/>
        <v>11</v>
      </c>
      <c r="G365" s="45">
        <f>ROUND(5/Basis!$E$3,1)</f>
        <v>2</v>
      </c>
      <c r="H365" s="120">
        <f>ROUND($P365*Basis!$E$2*((TaH-TrH)/LN(1/µ)/Basis!$E$7)^$N365*Glycol,0)</f>
        <v>3772</v>
      </c>
      <c r="I365" s="83">
        <f>ROUND(H365/(MID($C365,9,3)/Basis!$E$3/Basis!$E$9)*Basis!$E$11,0)</f>
        <v>383</v>
      </c>
      <c r="J365" s="123">
        <f>IF(Basis!$E$1=1,ROUND(H365/((TaH-TrH)*1.163)/3600,3),ROUND(H365/(500*(TaH-TrH)),2))</f>
        <v>0.38</v>
      </c>
      <c r="K365" s="84"/>
      <c r="L365" s="177">
        <f>CHOOSE(Basis!$E$1,((AJ365*(J365*3600/Basis!$E$5)^AK365*(((MID(C365,9,3)*10)-144)/1000)*AL365+AM365*(J365*3600/Basis!$E$5)^2)*0.0098)/Basis!$E$10,((AJ365*(J365/Basis!$E$5)^AK365*(((MID(C365,9,3)*10)-144)/1000)*AL365+AM365*(J365/Basis!$E$5)^2)*0.0098)/Basis!$E$10)</f>
        <v>0</v>
      </c>
      <c r="M365" s="85"/>
      <c r="N365" s="109">
        <v>1.248</v>
      </c>
      <c r="O365" s="68"/>
      <c r="P365" s="67">
        <v>1669</v>
      </c>
      <c r="Q365" s="68"/>
      <c r="R365" s="69"/>
      <c r="S365" s="69"/>
      <c r="T365" s="69"/>
      <c r="U365" s="69"/>
      <c r="V365" s="69"/>
      <c r="W365" s="68"/>
      <c r="X365" s="70"/>
      <c r="Y365" s="70"/>
      <c r="Z365" s="70"/>
      <c r="AA365" s="70"/>
      <c r="AB365" s="70"/>
      <c r="AC365" s="68"/>
      <c r="AD365" s="71"/>
      <c r="AE365" s="71"/>
      <c r="AF365" s="71"/>
      <c r="AG365" s="71"/>
      <c r="AH365" s="71"/>
      <c r="AI365" s="68"/>
      <c r="AJ365" s="214"/>
      <c r="AK365" s="214"/>
      <c r="AL365" s="214"/>
      <c r="AM365" s="214"/>
      <c r="AN365" s="68"/>
      <c r="AO365" s="67"/>
      <c r="AP365" s="67"/>
      <c r="AQ365" s="67"/>
      <c r="AR365" s="67"/>
      <c r="AS365" s="67"/>
      <c r="AT365" s="68"/>
      <c r="AU365" s="49"/>
      <c r="AV365" s="50"/>
    </row>
    <row r="366" spans="1:48" ht="12.75" customHeight="1" x14ac:dyDescent="0.25">
      <c r="A366" s="72" t="s">
        <v>20</v>
      </c>
      <c r="B366" s="43" t="s">
        <v>4043</v>
      </c>
      <c r="C366" s="44" t="s">
        <v>3694</v>
      </c>
      <c r="D366" s="45">
        <f>MROUND(MID($C366,6,3)/Basis!$E$3,0.5)</f>
        <v>12</v>
      </c>
      <c r="E366" s="45">
        <f>MROUND(MID($C366,9,3)/Basis!$E$3,0.5)</f>
        <v>118</v>
      </c>
      <c r="F366" s="229" t="str">
        <f t="shared" si="5"/>
        <v>22</v>
      </c>
      <c r="G366" s="45">
        <f>ROUND(9/Basis!$E$3,1)</f>
        <v>3.5</v>
      </c>
      <c r="H366" s="120">
        <f>ROUND($P366*Basis!$E$2*((TaH-TrH)/LN(1/µ)/Basis!$E$7)^$N366*Glycol,0)</f>
        <v>6239</v>
      </c>
      <c r="I366" s="83">
        <f>ROUND(H366/(MID($C366,9,3)/Basis!$E$3/Basis!$E$9)*Basis!$E$11,0)</f>
        <v>634</v>
      </c>
      <c r="J366" s="123">
        <f>IF(Basis!$E$1=1,ROUND(H366/((TaH-TrH)*1.163)/3600,3),ROUND(H366/(500*(TaH-TrH)),2))</f>
        <v>0.62</v>
      </c>
      <c r="K366" s="84"/>
      <c r="L366" s="177">
        <f>CHOOSE(Basis!$E$1,((AJ366*(J366*3600/Basis!$E$5)^AK366*(((MID(C366,9,3)*10)-144)/1000)*AL366+AM366*(J366*3600/Basis!$E$5)^2)*0.0098)/Basis!$E$10,((AJ366*(J366/Basis!$E$5)^AK366*(((MID(C366,9,3)*10)-144)/1000)*AL366+AM366*(J366/Basis!$E$5)^2)*0.0098)/Basis!$E$10)</f>
        <v>0</v>
      </c>
      <c r="M366" s="85"/>
      <c r="N366" s="110">
        <v>1.349</v>
      </c>
      <c r="O366" s="74"/>
      <c r="P366" s="73">
        <v>2854</v>
      </c>
      <c r="Q366" s="74"/>
      <c r="R366" s="75"/>
      <c r="S366" s="75"/>
      <c r="T366" s="75"/>
      <c r="U366" s="75"/>
      <c r="V366" s="75"/>
      <c r="W366" s="74"/>
      <c r="X366" s="76"/>
      <c r="Y366" s="76"/>
      <c r="Z366" s="76"/>
      <c r="AA366" s="76"/>
      <c r="AB366" s="76"/>
      <c r="AC366" s="74"/>
      <c r="AD366" s="77"/>
      <c r="AE366" s="77"/>
      <c r="AF366" s="77"/>
      <c r="AG366" s="77"/>
      <c r="AH366" s="77"/>
      <c r="AI366" s="68"/>
      <c r="AJ366" s="213"/>
      <c r="AK366" s="213"/>
      <c r="AL366" s="213"/>
      <c r="AM366" s="213"/>
      <c r="AN366" s="74"/>
      <c r="AO366" s="73"/>
      <c r="AP366" s="73"/>
      <c r="AQ366" s="73"/>
      <c r="AR366" s="73"/>
      <c r="AS366" s="73"/>
      <c r="AT366" s="74"/>
      <c r="AU366" s="47"/>
      <c r="AV366" s="48"/>
    </row>
    <row r="367" spans="1:48" ht="12.75" customHeight="1" x14ac:dyDescent="0.25">
      <c r="A367" s="72" t="s">
        <v>20</v>
      </c>
      <c r="B367" s="43" t="s">
        <v>4043</v>
      </c>
      <c r="C367" s="44" t="s">
        <v>3695</v>
      </c>
      <c r="D367" s="45">
        <f>MROUND(MID($C367,6,3)/Basis!$E$3,0.5)</f>
        <v>12</v>
      </c>
      <c r="E367" s="45">
        <f>MROUND(MID($C367,9,3)/Basis!$E$3,0.5)</f>
        <v>118</v>
      </c>
      <c r="F367" s="229" t="str">
        <f t="shared" si="5"/>
        <v>34</v>
      </c>
      <c r="G367" s="45">
        <f>ROUND(16.9/Basis!$E$3,1)</f>
        <v>6.7</v>
      </c>
      <c r="H367" s="120">
        <f>ROUND($P367*Basis!$E$2*((TaH-TrH)/LN(1/µ)/Basis!$E$7)^$N367*Glycol,0)</f>
        <v>10759</v>
      </c>
      <c r="I367" s="83">
        <f>ROUND(H367/(MID($C367,9,3)/Basis!$E$3/Basis!$E$9)*Basis!$E$11,0)</f>
        <v>1093</v>
      </c>
      <c r="J367" s="123">
        <f>IF(Basis!$E$1=1,ROUND(H367/((TaH-TrH)*1.163)/3600,3),ROUND(H367/(500*(TaH-TrH)),2))</f>
        <v>1.08</v>
      </c>
      <c r="K367" s="84"/>
      <c r="L367" s="177">
        <f>CHOOSE(Basis!$E$1,((AJ367*(J367*3600/Basis!$E$5)^AK367*(((MID(C367,9,3)*10)-144)/1000)*AL367+AM367*(J367*3600/Basis!$E$5)^2)*0.0098)/Basis!$E$10,((AJ367*(J367/Basis!$E$5)^AK367*(((MID(C367,9,3)*10)-144)/1000)*AL367+AM367*(J367/Basis!$E$5)^2)*0.0098)/Basis!$E$10)</f>
        <v>0</v>
      </c>
      <c r="M367" s="85"/>
      <c r="N367" s="110">
        <v>1.4510000000000001</v>
      </c>
      <c r="O367" s="74"/>
      <c r="P367" s="73">
        <v>5090</v>
      </c>
      <c r="Q367" s="74"/>
      <c r="R367" s="75"/>
      <c r="S367" s="75"/>
      <c r="T367" s="75"/>
      <c r="U367" s="75"/>
      <c r="V367" s="75"/>
      <c r="W367" s="74"/>
      <c r="X367" s="76"/>
      <c r="Y367" s="76"/>
      <c r="Z367" s="76"/>
      <c r="AA367" s="76"/>
      <c r="AB367" s="76"/>
      <c r="AC367" s="74"/>
      <c r="AD367" s="77"/>
      <c r="AE367" s="77"/>
      <c r="AF367" s="77"/>
      <c r="AG367" s="77"/>
      <c r="AH367" s="77"/>
      <c r="AI367" s="68"/>
      <c r="AJ367" s="213"/>
      <c r="AK367" s="213"/>
      <c r="AL367" s="213"/>
      <c r="AM367" s="213"/>
      <c r="AN367" s="74"/>
      <c r="AO367" s="73"/>
      <c r="AP367" s="73"/>
      <c r="AQ367" s="73"/>
      <c r="AR367" s="73"/>
      <c r="AS367" s="73"/>
      <c r="AT367" s="74"/>
      <c r="AU367" s="47"/>
      <c r="AV367" s="48"/>
    </row>
    <row r="368" spans="1:48" ht="12.75" customHeight="1" x14ac:dyDescent="0.25">
      <c r="A368" s="72" t="s">
        <v>20</v>
      </c>
      <c r="B368" s="43" t="s">
        <v>4043</v>
      </c>
      <c r="C368" s="44" t="s">
        <v>3696</v>
      </c>
      <c r="D368" s="45">
        <f>MROUND(MID($C368,6,3)/Basis!$E$3,0.5)</f>
        <v>14.5</v>
      </c>
      <c r="E368" s="45">
        <f>MROUND(MID($C368,9,3)/Basis!$E$3,0.5)</f>
        <v>23.5</v>
      </c>
      <c r="F368" s="229" t="str">
        <f t="shared" si="5"/>
        <v>11</v>
      </c>
      <c r="G368" s="45">
        <f>ROUND(5/Basis!$E$3,1)</f>
        <v>2</v>
      </c>
      <c r="H368" s="120">
        <f>ROUND($P368*Basis!$E$2*((TaH-TrH)/LN(1/µ)/Basis!$E$7)^$N368*Glycol,0)</f>
        <v>859</v>
      </c>
      <c r="I368" s="83">
        <f>ROUND(H368/(MID($C368,9,3)/Basis!$E$3/Basis!$E$9)*Basis!$E$11,0)</f>
        <v>436</v>
      </c>
      <c r="J368" s="123">
        <f>IF(Basis!$E$1=1,ROUND(H368/((TaH-TrH)*1.163)/3600,3),ROUND(H368/(500*(TaH-TrH)),2))</f>
        <v>0.09</v>
      </c>
      <c r="K368" s="84"/>
      <c r="L368" s="177">
        <f>CHOOSE(Basis!$E$1,((AJ368*(J368*3600/Basis!$E$5)^AK368*(((MID(C368,9,3)*10)-144)/1000)*AL368+AM368*(J368*3600/Basis!$E$5)^2)*0.0098)/Basis!$E$10,((AJ368*(J368/Basis!$E$5)^AK368*(((MID(C368,9,3)*10)-144)/1000)*AL368+AM368*(J368/Basis!$E$5)^2)*0.0098)/Basis!$E$10)</f>
        <v>0</v>
      </c>
      <c r="M368" s="85"/>
      <c r="N368" s="109">
        <v>1.248</v>
      </c>
      <c r="O368" s="68"/>
      <c r="P368" s="67">
        <v>380</v>
      </c>
      <c r="Q368" s="68"/>
      <c r="R368" s="69"/>
      <c r="S368" s="69"/>
      <c r="T368" s="69"/>
      <c r="U368" s="69"/>
      <c r="V368" s="69"/>
      <c r="W368" s="68"/>
      <c r="X368" s="70"/>
      <c r="Y368" s="70"/>
      <c r="Z368" s="70"/>
      <c r="AA368" s="70"/>
      <c r="AB368" s="70"/>
      <c r="AC368" s="68"/>
      <c r="AD368" s="71"/>
      <c r="AE368" s="71"/>
      <c r="AF368" s="71"/>
      <c r="AG368" s="71"/>
      <c r="AH368" s="71"/>
      <c r="AI368" s="68"/>
      <c r="AJ368" s="214"/>
      <c r="AK368" s="214"/>
      <c r="AL368" s="214"/>
      <c r="AM368" s="214"/>
      <c r="AN368" s="68"/>
      <c r="AO368" s="67"/>
      <c r="AP368" s="67"/>
      <c r="AQ368" s="67"/>
      <c r="AR368" s="67"/>
      <c r="AS368" s="67"/>
      <c r="AT368" s="68"/>
      <c r="AU368" s="49"/>
      <c r="AV368" s="50"/>
    </row>
    <row r="369" spans="1:48" ht="12.75" customHeight="1" x14ac:dyDescent="0.25">
      <c r="A369" s="72" t="s">
        <v>20</v>
      </c>
      <c r="B369" s="43" t="s">
        <v>4043</v>
      </c>
      <c r="C369" s="44" t="s">
        <v>3697</v>
      </c>
      <c r="D369" s="45">
        <f>MROUND(MID($C369,6,3)/Basis!$E$3,0.5)</f>
        <v>14.5</v>
      </c>
      <c r="E369" s="45">
        <f>MROUND(MID($C369,9,3)/Basis!$E$3,0.5)</f>
        <v>23.5</v>
      </c>
      <c r="F369" s="229" t="str">
        <f t="shared" si="5"/>
        <v>22</v>
      </c>
      <c r="G369" s="45">
        <f>ROUND(9/Basis!$E$3,1)</f>
        <v>3.5</v>
      </c>
      <c r="H369" s="120">
        <f>ROUND($P369*Basis!$E$2*((TaH-TrH)/LN(1/µ)/Basis!$E$7)^$N369*Glycol,0)</f>
        <v>1441</v>
      </c>
      <c r="I369" s="83">
        <f>ROUND(H369/(MID($C369,9,3)/Basis!$E$3/Basis!$E$9)*Basis!$E$11,0)</f>
        <v>732</v>
      </c>
      <c r="J369" s="123">
        <f>IF(Basis!$E$1=1,ROUND(H369/((TaH-TrH)*1.163)/3600,3),ROUND(H369/(500*(TaH-TrH)),2))</f>
        <v>0.14000000000000001</v>
      </c>
      <c r="K369" s="84"/>
      <c r="L369" s="177">
        <f>CHOOSE(Basis!$E$1,((AJ369*(J369*3600/Basis!$E$5)^AK369*(((MID(C369,9,3)*10)-144)/1000)*AL369+AM369*(J369*3600/Basis!$E$5)^2)*0.0098)/Basis!$E$10,((AJ369*(J369/Basis!$E$5)^AK369*(((MID(C369,9,3)*10)-144)/1000)*AL369+AM369*(J369/Basis!$E$5)^2)*0.0098)/Basis!$E$10)</f>
        <v>0</v>
      </c>
      <c r="M369" s="85"/>
      <c r="N369" s="109">
        <v>1.349</v>
      </c>
      <c r="O369" s="68"/>
      <c r="P369" s="67">
        <v>659</v>
      </c>
      <c r="Q369" s="68"/>
      <c r="R369" s="69"/>
      <c r="S369" s="69"/>
      <c r="T369" s="69"/>
      <c r="U369" s="69"/>
      <c r="V369" s="69"/>
      <c r="W369" s="68"/>
      <c r="X369" s="70"/>
      <c r="Y369" s="70"/>
      <c r="Z369" s="70"/>
      <c r="AA369" s="70"/>
      <c r="AB369" s="70"/>
      <c r="AC369" s="68"/>
      <c r="AD369" s="71"/>
      <c r="AE369" s="71"/>
      <c r="AF369" s="71"/>
      <c r="AG369" s="71"/>
      <c r="AH369" s="71"/>
      <c r="AI369" s="68"/>
      <c r="AJ369" s="214"/>
      <c r="AK369" s="214"/>
      <c r="AL369" s="214"/>
      <c r="AM369" s="214"/>
      <c r="AN369" s="68"/>
      <c r="AO369" s="67"/>
      <c r="AP369" s="67"/>
      <c r="AQ369" s="67"/>
      <c r="AR369" s="67"/>
      <c r="AS369" s="67"/>
      <c r="AT369" s="68"/>
      <c r="AU369" s="49"/>
      <c r="AV369" s="50"/>
    </row>
    <row r="370" spans="1:48" ht="12.75" customHeight="1" x14ac:dyDescent="0.25">
      <c r="A370" s="72" t="s">
        <v>20</v>
      </c>
      <c r="B370" s="43" t="s">
        <v>4043</v>
      </c>
      <c r="C370" s="44" t="s">
        <v>3698</v>
      </c>
      <c r="D370" s="45">
        <f>MROUND(MID($C370,6,3)/Basis!$E$3,0.5)</f>
        <v>14.5</v>
      </c>
      <c r="E370" s="45">
        <f>MROUND(MID($C370,9,3)/Basis!$E$3,0.5)</f>
        <v>31.5</v>
      </c>
      <c r="F370" s="229" t="str">
        <f t="shared" si="5"/>
        <v>11</v>
      </c>
      <c r="G370" s="45">
        <f>ROUND(5/Basis!$E$3,1)</f>
        <v>2</v>
      </c>
      <c r="H370" s="120">
        <f>ROUND($P370*Basis!$E$2*((TaH-TrH)/LN(1/µ)/Basis!$E$7)^$N370*Glycol,0)</f>
        <v>1146</v>
      </c>
      <c r="I370" s="83">
        <f>ROUND(H370/(MID($C370,9,3)/Basis!$E$3/Basis!$E$9)*Basis!$E$11,0)</f>
        <v>437</v>
      </c>
      <c r="J370" s="123">
        <f>IF(Basis!$E$1=1,ROUND(H370/((TaH-TrH)*1.163)/3600,3),ROUND(H370/(500*(TaH-TrH)),2))</f>
        <v>0.11</v>
      </c>
      <c r="K370" s="84"/>
      <c r="L370" s="177">
        <f>CHOOSE(Basis!$E$1,((AJ370*(J370*3600/Basis!$E$5)^AK370*(((MID(C370,9,3)*10)-144)/1000)*AL370+AM370*(J370*3600/Basis!$E$5)^2)*0.0098)/Basis!$E$10,((AJ370*(J370/Basis!$E$5)^AK370*(((MID(C370,9,3)*10)-144)/1000)*AL370+AM370*(J370/Basis!$E$5)^2)*0.0098)/Basis!$E$10)</f>
        <v>0</v>
      </c>
      <c r="M370" s="85"/>
      <c r="N370" s="110">
        <v>1.248</v>
      </c>
      <c r="O370" s="74"/>
      <c r="P370" s="73">
        <v>507</v>
      </c>
      <c r="Q370" s="74"/>
      <c r="R370" s="75"/>
      <c r="S370" s="75"/>
      <c r="T370" s="75"/>
      <c r="U370" s="75"/>
      <c r="V370" s="75"/>
      <c r="W370" s="74"/>
      <c r="X370" s="76"/>
      <c r="Y370" s="76"/>
      <c r="Z370" s="76"/>
      <c r="AA370" s="76"/>
      <c r="AB370" s="76"/>
      <c r="AC370" s="74"/>
      <c r="AD370" s="77"/>
      <c r="AE370" s="77"/>
      <c r="AF370" s="77"/>
      <c r="AG370" s="77"/>
      <c r="AH370" s="77"/>
      <c r="AI370" s="68"/>
      <c r="AJ370" s="213"/>
      <c r="AK370" s="213"/>
      <c r="AL370" s="213"/>
      <c r="AM370" s="213"/>
      <c r="AN370" s="74"/>
      <c r="AO370" s="73"/>
      <c r="AP370" s="73"/>
      <c r="AQ370" s="73"/>
      <c r="AR370" s="73"/>
      <c r="AS370" s="73"/>
      <c r="AT370" s="74"/>
      <c r="AU370" s="47"/>
      <c r="AV370" s="48"/>
    </row>
    <row r="371" spans="1:48" ht="12.75" customHeight="1" x14ac:dyDescent="0.25">
      <c r="A371" s="72" t="s">
        <v>20</v>
      </c>
      <c r="B371" s="43" t="s">
        <v>4043</v>
      </c>
      <c r="C371" s="44" t="s">
        <v>3699</v>
      </c>
      <c r="D371" s="45">
        <f>MROUND(MID($C371,6,3)/Basis!$E$3,0.5)</f>
        <v>14.5</v>
      </c>
      <c r="E371" s="45">
        <f>MROUND(MID($C371,9,3)/Basis!$E$3,0.5)</f>
        <v>31.5</v>
      </c>
      <c r="F371" s="229" t="str">
        <f t="shared" si="5"/>
        <v>22</v>
      </c>
      <c r="G371" s="45">
        <f>ROUND(9/Basis!$E$3,1)</f>
        <v>3.5</v>
      </c>
      <c r="H371" s="120">
        <f>ROUND($P371*Basis!$E$2*((TaH-TrH)/LN(1/µ)/Basis!$E$7)^$N371*Glycol,0)</f>
        <v>1922</v>
      </c>
      <c r="I371" s="83">
        <f>ROUND(H371/(MID($C371,9,3)/Basis!$E$3/Basis!$E$9)*Basis!$E$11,0)</f>
        <v>732</v>
      </c>
      <c r="J371" s="123">
        <f>IF(Basis!$E$1=1,ROUND(H371/((TaH-TrH)*1.163)/3600,3),ROUND(H371/(500*(TaH-TrH)),2))</f>
        <v>0.19</v>
      </c>
      <c r="K371" s="84"/>
      <c r="L371" s="177">
        <f>CHOOSE(Basis!$E$1,((AJ371*(J371*3600/Basis!$E$5)^AK371*(((MID(C371,9,3)*10)-144)/1000)*AL371+AM371*(J371*3600/Basis!$E$5)^2)*0.0098)/Basis!$E$10,((AJ371*(J371/Basis!$E$5)^AK371*(((MID(C371,9,3)*10)-144)/1000)*AL371+AM371*(J371/Basis!$E$5)^2)*0.0098)/Basis!$E$10)</f>
        <v>0</v>
      </c>
      <c r="M371" s="85"/>
      <c r="N371" s="110">
        <v>1.349</v>
      </c>
      <c r="O371" s="74"/>
      <c r="P371" s="73">
        <v>879</v>
      </c>
      <c r="Q371" s="74"/>
      <c r="R371" s="75"/>
      <c r="S371" s="75"/>
      <c r="T371" s="75"/>
      <c r="U371" s="75"/>
      <c r="V371" s="75"/>
      <c r="W371" s="74"/>
      <c r="X371" s="76"/>
      <c r="Y371" s="76"/>
      <c r="Z371" s="76"/>
      <c r="AA371" s="76"/>
      <c r="AB371" s="76"/>
      <c r="AC371" s="74"/>
      <c r="AD371" s="77"/>
      <c r="AE371" s="77"/>
      <c r="AF371" s="77"/>
      <c r="AG371" s="77"/>
      <c r="AH371" s="77"/>
      <c r="AI371" s="68"/>
      <c r="AJ371" s="213"/>
      <c r="AK371" s="213"/>
      <c r="AL371" s="213"/>
      <c r="AM371" s="213"/>
      <c r="AN371" s="74"/>
      <c r="AO371" s="73"/>
      <c r="AP371" s="73"/>
      <c r="AQ371" s="73"/>
      <c r="AR371" s="73"/>
      <c r="AS371" s="73"/>
      <c r="AT371" s="74"/>
      <c r="AU371" s="47"/>
      <c r="AV371" s="48"/>
    </row>
    <row r="372" spans="1:48" ht="12.75" customHeight="1" x14ac:dyDescent="0.25">
      <c r="A372" s="72" t="s">
        <v>20</v>
      </c>
      <c r="B372" s="43" t="s">
        <v>4043</v>
      </c>
      <c r="C372" s="44" t="s">
        <v>3700</v>
      </c>
      <c r="D372" s="45">
        <f>MROUND(MID($C372,6,3)/Basis!$E$3,0.5)</f>
        <v>14.5</v>
      </c>
      <c r="E372" s="45">
        <f>MROUND(MID($C372,9,3)/Basis!$E$3,0.5)</f>
        <v>39.5</v>
      </c>
      <c r="F372" s="229" t="str">
        <f t="shared" si="5"/>
        <v>11</v>
      </c>
      <c r="G372" s="45">
        <f>ROUND(5/Basis!$E$3,1)</f>
        <v>2</v>
      </c>
      <c r="H372" s="120">
        <f>ROUND($P372*Basis!$E$2*((TaH-TrH)/LN(1/µ)/Basis!$E$7)^$N372*Glycol,0)</f>
        <v>1431</v>
      </c>
      <c r="I372" s="83">
        <f>ROUND(H372/(MID($C372,9,3)/Basis!$E$3/Basis!$E$9)*Basis!$E$11,0)</f>
        <v>436</v>
      </c>
      <c r="J372" s="123">
        <f>IF(Basis!$E$1=1,ROUND(H372/((TaH-TrH)*1.163)/3600,3),ROUND(H372/(500*(TaH-TrH)),2))</f>
        <v>0.14000000000000001</v>
      </c>
      <c r="K372" s="84"/>
      <c r="L372" s="177">
        <f>CHOOSE(Basis!$E$1,((AJ372*(J372*3600/Basis!$E$5)^AK372*(((MID(C372,9,3)*10)-144)/1000)*AL372+AM372*(J372*3600/Basis!$E$5)^2)*0.0098)/Basis!$E$10,((AJ372*(J372/Basis!$E$5)^AK372*(((MID(C372,9,3)*10)-144)/1000)*AL372+AM372*(J372/Basis!$E$5)^2)*0.0098)/Basis!$E$10)</f>
        <v>0</v>
      </c>
      <c r="M372" s="85"/>
      <c r="N372" s="109">
        <v>1.248</v>
      </c>
      <c r="O372" s="68"/>
      <c r="P372" s="67">
        <v>633</v>
      </c>
      <c r="Q372" s="68"/>
      <c r="R372" s="69"/>
      <c r="S372" s="69"/>
      <c r="T372" s="69"/>
      <c r="U372" s="69"/>
      <c r="V372" s="69"/>
      <c r="W372" s="68"/>
      <c r="X372" s="70"/>
      <c r="Y372" s="70"/>
      <c r="Z372" s="70"/>
      <c r="AA372" s="70"/>
      <c r="AB372" s="70"/>
      <c r="AC372" s="68"/>
      <c r="AD372" s="71"/>
      <c r="AE372" s="71"/>
      <c r="AF372" s="71"/>
      <c r="AG372" s="71"/>
      <c r="AH372" s="71"/>
      <c r="AI372" s="68"/>
      <c r="AJ372" s="214"/>
      <c r="AK372" s="214"/>
      <c r="AL372" s="214"/>
      <c r="AM372" s="214"/>
      <c r="AN372" s="68"/>
      <c r="AO372" s="67"/>
      <c r="AP372" s="67"/>
      <c r="AQ372" s="67"/>
      <c r="AR372" s="67"/>
      <c r="AS372" s="67"/>
      <c r="AT372" s="68"/>
      <c r="AU372" s="49"/>
      <c r="AV372" s="50"/>
    </row>
    <row r="373" spans="1:48" ht="12.75" customHeight="1" x14ac:dyDescent="0.25">
      <c r="A373" s="72" t="s">
        <v>20</v>
      </c>
      <c r="B373" s="43" t="s">
        <v>4043</v>
      </c>
      <c r="C373" s="44" t="s">
        <v>3701</v>
      </c>
      <c r="D373" s="45">
        <f>MROUND(MID($C373,6,3)/Basis!$E$3,0.5)</f>
        <v>14.5</v>
      </c>
      <c r="E373" s="45">
        <f>MROUND(MID($C373,9,3)/Basis!$E$3,0.5)</f>
        <v>39.5</v>
      </c>
      <c r="F373" s="229" t="str">
        <f t="shared" si="5"/>
        <v>22</v>
      </c>
      <c r="G373" s="45">
        <f>ROUND(9/Basis!$E$3,1)</f>
        <v>3.5</v>
      </c>
      <c r="H373" s="120">
        <f>ROUND($P373*Basis!$E$2*((TaH-TrH)/LN(1/µ)/Basis!$E$7)^$N373*Glycol,0)</f>
        <v>2400</v>
      </c>
      <c r="I373" s="83">
        <f>ROUND(H373/(MID($C373,9,3)/Basis!$E$3/Basis!$E$9)*Basis!$E$11,0)</f>
        <v>732</v>
      </c>
      <c r="J373" s="123">
        <f>IF(Basis!$E$1=1,ROUND(H373/((TaH-TrH)*1.163)/3600,3),ROUND(H373/(500*(TaH-TrH)),2))</f>
        <v>0.24</v>
      </c>
      <c r="K373" s="84"/>
      <c r="L373" s="177">
        <f>CHOOSE(Basis!$E$1,((AJ373*(J373*3600/Basis!$E$5)^AK373*(((MID(C373,9,3)*10)-144)/1000)*AL373+AM373*(J373*3600/Basis!$E$5)^2)*0.0098)/Basis!$E$10,((AJ373*(J373/Basis!$E$5)^AK373*(((MID(C373,9,3)*10)-144)/1000)*AL373+AM373*(J373/Basis!$E$5)^2)*0.0098)/Basis!$E$10)</f>
        <v>0</v>
      </c>
      <c r="M373" s="85"/>
      <c r="N373" s="109">
        <v>1.349</v>
      </c>
      <c r="O373" s="68"/>
      <c r="P373" s="67">
        <v>1098</v>
      </c>
      <c r="Q373" s="68"/>
      <c r="R373" s="69"/>
      <c r="S373" s="69"/>
      <c r="T373" s="69"/>
      <c r="U373" s="69"/>
      <c r="V373" s="69"/>
      <c r="W373" s="68"/>
      <c r="X373" s="70"/>
      <c r="Y373" s="70"/>
      <c r="Z373" s="70"/>
      <c r="AA373" s="70"/>
      <c r="AB373" s="70"/>
      <c r="AC373" s="68"/>
      <c r="AD373" s="71"/>
      <c r="AE373" s="71"/>
      <c r="AF373" s="71"/>
      <c r="AG373" s="71"/>
      <c r="AH373" s="71"/>
      <c r="AI373" s="68"/>
      <c r="AJ373" s="214"/>
      <c r="AK373" s="214"/>
      <c r="AL373" s="214"/>
      <c r="AM373" s="214"/>
      <c r="AN373" s="68"/>
      <c r="AO373" s="67"/>
      <c r="AP373" s="67"/>
      <c r="AQ373" s="67"/>
      <c r="AR373" s="67"/>
      <c r="AS373" s="67"/>
      <c r="AT373" s="68"/>
      <c r="AU373" s="49"/>
      <c r="AV373" s="50"/>
    </row>
    <row r="374" spans="1:48" ht="12.75" customHeight="1" x14ac:dyDescent="0.25">
      <c r="A374" s="72" t="s">
        <v>20</v>
      </c>
      <c r="B374" s="43" t="s">
        <v>4043</v>
      </c>
      <c r="C374" s="44" t="s">
        <v>3702</v>
      </c>
      <c r="D374" s="45">
        <f>MROUND(MID($C374,6,3)/Basis!$E$3,0.5)</f>
        <v>14.5</v>
      </c>
      <c r="E374" s="45">
        <f>MROUND(MID($C374,9,3)/Basis!$E$3,0.5)</f>
        <v>47</v>
      </c>
      <c r="F374" s="229" t="str">
        <f t="shared" si="5"/>
        <v>11</v>
      </c>
      <c r="G374" s="45">
        <f>ROUND(5/Basis!$E$3,1)</f>
        <v>2</v>
      </c>
      <c r="H374" s="120">
        <f>ROUND($P374*Basis!$E$2*((TaH-TrH)/LN(1/µ)/Basis!$E$7)^$N374*Glycol,0)</f>
        <v>1718</v>
      </c>
      <c r="I374" s="83">
        <f>ROUND(H374/(MID($C374,9,3)/Basis!$E$3/Basis!$E$9)*Basis!$E$11,0)</f>
        <v>436</v>
      </c>
      <c r="J374" s="123">
        <f>IF(Basis!$E$1=1,ROUND(H374/((TaH-TrH)*1.163)/3600,3),ROUND(H374/(500*(TaH-TrH)),2))</f>
        <v>0.17</v>
      </c>
      <c r="K374" s="84"/>
      <c r="L374" s="177">
        <f>CHOOSE(Basis!$E$1,((AJ374*(J374*3600/Basis!$E$5)^AK374*(((MID(C374,9,3)*10)-144)/1000)*AL374+AM374*(J374*3600/Basis!$E$5)^2)*0.0098)/Basis!$E$10,((AJ374*(J374/Basis!$E$5)^AK374*(((MID(C374,9,3)*10)-144)/1000)*AL374+AM374*(J374/Basis!$E$5)^2)*0.0098)/Basis!$E$10)</f>
        <v>0</v>
      </c>
      <c r="M374" s="85"/>
      <c r="N374" s="110">
        <v>1.248</v>
      </c>
      <c r="O374" s="74"/>
      <c r="P374" s="73">
        <v>760</v>
      </c>
      <c r="Q374" s="74"/>
      <c r="R374" s="75"/>
      <c r="S374" s="75"/>
      <c r="T374" s="75"/>
      <c r="U374" s="75"/>
      <c r="V374" s="75"/>
      <c r="W374" s="74"/>
      <c r="X374" s="76"/>
      <c r="Y374" s="76"/>
      <c r="Z374" s="76"/>
      <c r="AA374" s="76"/>
      <c r="AB374" s="76"/>
      <c r="AC374" s="74"/>
      <c r="AD374" s="77"/>
      <c r="AE374" s="77"/>
      <c r="AF374" s="77"/>
      <c r="AG374" s="77"/>
      <c r="AH374" s="77"/>
      <c r="AI374" s="68"/>
      <c r="AJ374" s="213"/>
      <c r="AK374" s="213"/>
      <c r="AL374" s="213"/>
      <c r="AM374" s="213"/>
      <c r="AN374" s="74"/>
      <c r="AO374" s="73"/>
      <c r="AP374" s="73"/>
      <c r="AQ374" s="73"/>
      <c r="AR374" s="73"/>
      <c r="AS374" s="73"/>
      <c r="AT374" s="74"/>
      <c r="AU374" s="47"/>
      <c r="AV374" s="48"/>
    </row>
    <row r="375" spans="1:48" ht="12.75" customHeight="1" x14ac:dyDescent="0.25">
      <c r="A375" s="72" t="s">
        <v>20</v>
      </c>
      <c r="B375" s="43" t="s">
        <v>4043</v>
      </c>
      <c r="C375" s="44" t="s">
        <v>3703</v>
      </c>
      <c r="D375" s="45">
        <f>MROUND(MID($C375,6,3)/Basis!$E$3,0.5)</f>
        <v>14.5</v>
      </c>
      <c r="E375" s="45">
        <f>MROUND(MID($C375,9,3)/Basis!$E$3,0.5)</f>
        <v>47</v>
      </c>
      <c r="F375" s="229" t="str">
        <f t="shared" si="5"/>
        <v>22</v>
      </c>
      <c r="G375" s="45">
        <f>ROUND(9/Basis!$E$3,1)</f>
        <v>3.5</v>
      </c>
      <c r="H375" s="120">
        <f>ROUND($P375*Basis!$E$2*((TaH-TrH)/LN(1/µ)/Basis!$E$7)^$N375*Glycol,0)</f>
        <v>2881</v>
      </c>
      <c r="I375" s="83">
        <f>ROUND(H375/(MID($C375,9,3)/Basis!$E$3/Basis!$E$9)*Basis!$E$11,0)</f>
        <v>732</v>
      </c>
      <c r="J375" s="123">
        <f>IF(Basis!$E$1=1,ROUND(H375/((TaH-TrH)*1.163)/3600,3),ROUND(H375/(500*(TaH-TrH)),2))</f>
        <v>0.28999999999999998</v>
      </c>
      <c r="K375" s="84"/>
      <c r="L375" s="177">
        <f>CHOOSE(Basis!$E$1,((AJ375*(J375*3600/Basis!$E$5)^AK375*(((MID(C375,9,3)*10)-144)/1000)*AL375+AM375*(J375*3600/Basis!$E$5)^2)*0.0098)/Basis!$E$10,((AJ375*(J375/Basis!$E$5)^AK375*(((MID(C375,9,3)*10)-144)/1000)*AL375+AM375*(J375/Basis!$E$5)^2)*0.0098)/Basis!$E$10)</f>
        <v>0</v>
      </c>
      <c r="M375" s="85"/>
      <c r="N375" s="110">
        <v>1.349</v>
      </c>
      <c r="O375" s="74"/>
      <c r="P375" s="73">
        <v>1318</v>
      </c>
      <c r="Q375" s="74"/>
      <c r="R375" s="75"/>
      <c r="S375" s="75"/>
      <c r="T375" s="75"/>
      <c r="U375" s="75"/>
      <c r="V375" s="75"/>
      <c r="W375" s="74"/>
      <c r="X375" s="76"/>
      <c r="Y375" s="76"/>
      <c r="Z375" s="76"/>
      <c r="AA375" s="76"/>
      <c r="AB375" s="76"/>
      <c r="AC375" s="74"/>
      <c r="AD375" s="77"/>
      <c r="AE375" s="77"/>
      <c r="AF375" s="77"/>
      <c r="AG375" s="77"/>
      <c r="AH375" s="77"/>
      <c r="AI375" s="68"/>
      <c r="AJ375" s="213"/>
      <c r="AK375" s="213"/>
      <c r="AL375" s="213"/>
      <c r="AM375" s="213"/>
      <c r="AN375" s="74"/>
      <c r="AO375" s="73"/>
      <c r="AP375" s="73"/>
      <c r="AQ375" s="73"/>
      <c r="AR375" s="73"/>
      <c r="AS375" s="73"/>
      <c r="AT375" s="74"/>
      <c r="AU375" s="47"/>
      <c r="AV375" s="48"/>
    </row>
    <row r="376" spans="1:48" ht="12.75" customHeight="1" x14ac:dyDescent="0.25">
      <c r="A376" s="72" t="s">
        <v>20</v>
      </c>
      <c r="B376" s="43" t="s">
        <v>4043</v>
      </c>
      <c r="C376" s="44" t="s">
        <v>3704</v>
      </c>
      <c r="D376" s="45">
        <f>MROUND(MID($C376,6,3)/Basis!$E$3,0.5)</f>
        <v>14.5</v>
      </c>
      <c r="E376" s="45">
        <f>MROUND(MID($C376,9,3)/Basis!$E$3,0.5)</f>
        <v>55</v>
      </c>
      <c r="F376" s="229" t="str">
        <f t="shared" si="5"/>
        <v>11</v>
      </c>
      <c r="G376" s="45">
        <f>ROUND(5/Basis!$E$3,1)</f>
        <v>2</v>
      </c>
      <c r="H376" s="120">
        <f>ROUND($P376*Basis!$E$2*((TaH-TrH)/LN(1/µ)/Basis!$E$7)^$N376*Glycol,0)</f>
        <v>2005</v>
      </c>
      <c r="I376" s="83">
        <f>ROUND(H376/(MID($C376,9,3)/Basis!$E$3/Basis!$E$9)*Basis!$E$11,0)</f>
        <v>437</v>
      </c>
      <c r="J376" s="123">
        <f>IF(Basis!$E$1=1,ROUND(H376/((TaH-TrH)*1.163)/3600,3),ROUND(H376/(500*(TaH-TrH)),2))</f>
        <v>0.2</v>
      </c>
      <c r="K376" s="84"/>
      <c r="L376" s="177">
        <f>CHOOSE(Basis!$E$1,((AJ376*(J376*3600/Basis!$E$5)^AK376*(((MID(C376,9,3)*10)-144)/1000)*AL376+AM376*(J376*3600/Basis!$E$5)^2)*0.0098)/Basis!$E$10,((AJ376*(J376/Basis!$E$5)^AK376*(((MID(C376,9,3)*10)-144)/1000)*AL376+AM376*(J376/Basis!$E$5)^2)*0.0098)/Basis!$E$10)</f>
        <v>0</v>
      </c>
      <c r="M376" s="85"/>
      <c r="N376" s="109">
        <v>1.248</v>
      </c>
      <c r="O376" s="68"/>
      <c r="P376" s="67">
        <v>887</v>
      </c>
      <c r="Q376" s="68"/>
      <c r="R376" s="69"/>
      <c r="S376" s="69"/>
      <c r="T376" s="69"/>
      <c r="U376" s="69"/>
      <c r="V376" s="69"/>
      <c r="W376" s="68"/>
      <c r="X376" s="70"/>
      <c r="Y376" s="70"/>
      <c r="Z376" s="70"/>
      <c r="AA376" s="70"/>
      <c r="AB376" s="70"/>
      <c r="AC376" s="68"/>
      <c r="AD376" s="71"/>
      <c r="AE376" s="71"/>
      <c r="AF376" s="71"/>
      <c r="AG376" s="71"/>
      <c r="AH376" s="71"/>
      <c r="AI376" s="68"/>
      <c r="AJ376" s="214"/>
      <c r="AK376" s="214"/>
      <c r="AL376" s="214"/>
      <c r="AM376" s="214"/>
      <c r="AN376" s="68"/>
      <c r="AO376" s="67"/>
      <c r="AP376" s="67"/>
      <c r="AQ376" s="67"/>
      <c r="AR376" s="67"/>
      <c r="AS376" s="67"/>
      <c r="AT376" s="68"/>
      <c r="AU376" s="49"/>
      <c r="AV376" s="50"/>
    </row>
    <row r="377" spans="1:48" ht="12.75" customHeight="1" x14ac:dyDescent="0.25">
      <c r="A377" s="72" t="s">
        <v>20</v>
      </c>
      <c r="B377" s="43" t="s">
        <v>4043</v>
      </c>
      <c r="C377" s="44" t="s">
        <v>3705</v>
      </c>
      <c r="D377" s="45">
        <f>MROUND(MID($C377,6,3)/Basis!$E$3,0.5)</f>
        <v>14.5</v>
      </c>
      <c r="E377" s="45">
        <f>MROUND(MID($C377,9,3)/Basis!$E$3,0.5)</f>
        <v>55</v>
      </c>
      <c r="F377" s="229" t="str">
        <f t="shared" si="5"/>
        <v>22</v>
      </c>
      <c r="G377" s="45">
        <f>ROUND(9/Basis!$E$3,1)</f>
        <v>3.5</v>
      </c>
      <c r="H377" s="120">
        <f>ROUND($P377*Basis!$E$2*((TaH-TrH)/LN(1/µ)/Basis!$E$7)^$N377*Glycol,0)</f>
        <v>3362</v>
      </c>
      <c r="I377" s="83">
        <f>ROUND(H377/(MID($C377,9,3)/Basis!$E$3/Basis!$E$9)*Basis!$E$11,0)</f>
        <v>732</v>
      </c>
      <c r="J377" s="123">
        <f>IF(Basis!$E$1=1,ROUND(H377/((TaH-TrH)*1.163)/3600,3),ROUND(H377/(500*(TaH-TrH)),2))</f>
        <v>0.34</v>
      </c>
      <c r="K377" s="84"/>
      <c r="L377" s="177">
        <f>CHOOSE(Basis!$E$1,((AJ377*(J377*3600/Basis!$E$5)^AK377*(((MID(C377,9,3)*10)-144)/1000)*AL377+AM377*(J377*3600/Basis!$E$5)^2)*0.0098)/Basis!$E$10,((AJ377*(J377/Basis!$E$5)^AK377*(((MID(C377,9,3)*10)-144)/1000)*AL377+AM377*(J377/Basis!$E$5)^2)*0.0098)/Basis!$E$10)</f>
        <v>0</v>
      </c>
      <c r="M377" s="85"/>
      <c r="N377" s="109">
        <v>1.349</v>
      </c>
      <c r="O377" s="68"/>
      <c r="P377" s="67">
        <v>1538</v>
      </c>
      <c r="Q377" s="68"/>
      <c r="R377" s="69"/>
      <c r="S377" s="69"/>
      <c r="T377" s="69"/>
      <c r="U377" s="69"/>
      <c r="V377" s="69"/>
      <c r="W377" s="68"/>
      <c r="X377" s="70"/>
      <c r="Y377" s="70"/>
      <c r="Z377" s="70"/>
      <c r="AA377" s="70"/>
      <c r="AB377" s="70"/>
      <c r="AC377" s="68"/>
      <c r="AD377" s="71"/>
      <c r="AE377" s="71"/>
      <c r="AF377" s="71"/>
      <c r="AG377" s="71"/>
      <c r="AH377" s="71"/>
      <c r="AI377" s="68"/>
      <c r="AJ377" s="214"/>
      <c r="AK377" s="214"/>
      <c r="AL377" s="214"/>
      <c r="AM377" s="214"/>
      <c r="AN377" s="68"/>
      <c r="AO377" s="67"/>
      <c r="AP377" s="67"/>
      <c r="AQ377" s="67"/>
      <c r="AR377" s="67"/>
      <c r="AS377" s="67"/>
      <c r="AT377" s="68"/>
      <c r="AU377" s="49"/>
      <c r="AV377" s="50"/>
    </row>
    <row r="378" spans="1:48" ht="12.75" customHeight="1" x14ac:dyDescent="0.25">
      <c r="A378" s="72" t="s">
        <v>20</v>
      </c>
      <c r="B378" s="43" t="s">
        <v>4043</v>
      </c>
      <c r="C378" s="44" t="s">
        <v>3706</v>
      </c>
      <c r="D378" s="45">
        <f>MROUND(MID($C378,6,3)/Basis!$E$3,0.5)</f>
        <v>14.5</v>
      </c>
      <c r="E378" s="45">
        <f>MROUND(MID($C378,9,3)/Basis!$E$3,0.5)</f>
        <v>63</v>
      </c>
      <c r="F378" s="229" t="str">
        <f t="shared" si="5"/>
        <v>11</v>
      </c>
      <c r="G378" s="45">
        <f>ROUND(5/Basis!$E$3,1)</f>
        <v>2</v>
      </c>
      <c r="H378" s="120">
        <f>ROUND($P378*Basis!$E$2*((TaH-TrH)/LN(1/µ)/Basis!$E$7)^$N378*Glycol,0)</f>
        <v>2290</v>
      </c>
      <c r="I378" s="83">
        <f>ROUND(H378/(MID($C378,9,3)/Basis!$E$3/Basis!$E$9)*Basis!$E$11,0)</f>
        <v>436</v>
      </c>
      <c r="J378" s="123">
        <f>IF(Basis!$E$1=1,ROUND(H378/((TaH-TrH)*1.163)/3600,3),ROUND(H378/(500*(TaH-TrH)),2))</f>
        <v>0.23</v>
      </c>
      <c r="K378" s="84"/>
      <c r="L378" s="177">
        <f>CHOOSE(Basis!$E$1,((AJ378*(J378*3600/Basis!$E$5)^AK378*(((MID(C378,9,3)*10)-144)/1000)*AL378+AM378*(J378*3600/Basis!$E$5)^2)*0.0098)/Basis!$E$10,((AJ378*(J378/Basis!$E$5)^AK378*(((MID(C378,9,3)*10)-144)/1000)*AL378+AM378*(J378/Basis!$E$5)^2)*0.0098)/Basis!$E$10)</f>
        <v>0</v>
      </c>
      <c r="M378" s="85"/>
      <c r="N378" s="110">
        <v>1.248</v>
      </c>
      <c r="O378" s="74"/>
      <c r="P378" s="73">
        <v>1013</v>
      </c>
      <c r="Q378" s="74"/>
      <c r="R378" s="75"/>
      <c r="S378" s="75"/>
      <c r="T378" s="75"/>
      <c r="U378" s="75"/>
      <c r="V378" s="75"/>
      <c r="W378" s="74"/>
      <c r="X378" s="76"/>
      <c r="Y378" s="76"/>
      <c r="Z378" s="76"/>
      <c r="AA378" s="76"/>
      <c r="AB378" s="76"/>
      <c r="AC378" s="74"/>
      <c r="AD378" s="77"/>
      <c r="AE378" s="77"/>
      <c r="AF378" s="77"/>
      <c r="AG378" s="77"/>
      <c r="AH378" s="77"/>
      <c r="AI378" s="68"/>
      <c r="AJ378" s="213"/>
      <c r="AK378" s="213"/>
      <c r="AL378" s="213"/>
      <c r="AM378" s="213"/>
      <c r="AN378" s="74"/>
      <c r="AO378" s="73"/>
      <c r="AP378" s="73"/>
      <c r="AQ378" s="73"/>
      <c r="AR378" s="73"/>
      <c r="AS378" s="73"/>
      <c r="AT378" s="74"/>
      <c r="AU378" s="47"/>
      <c r="AV378" s="48"/>
    </row>
    <row r="379" spans="1:48" ht="12.75" customHeight="1" x14ac:dyDescent="0.25">
      <c r="A379" s="72" t="s">
        <v>20</v>
      </c>
      <c r="B379" s="43" t="s">
        <v>4043</v>
      </c>
      <c r="C379" s="44" t="s">
        <v>3707</v>
      </c>
      <c r="D379" s="45">
        <f>MROUND(MID($C379,6,3)/Basis!$E$3,0.5)</f>
        <v>14.5</v>
      </c>
      <c r="E379" s="45">
        <f>MROUND(MID($C379,9,3)/Basis!$E$3,0.5)</f>
        <v>63</v>
      </c>
      <c r="F379" s="229" t="str">
        <f t="shared" si="5"/>
        <v>22</v>
      </c>
      <c r="G379" s="45">
        <f>ROUND(9/Basis!$E$3,1)</f>
        <v>3.5</v>
      </c>
      <c r="H379" s="120">
        <f>ROUND($P379*Basis!$E$2*((TaH-TrH)/LN(1/µ)/Basis!$E$7)^$N379*Glycol,0)</f>
        <v>3841</v>
      </c>
      <c r="I379" s="83">
        <f>ROUND(H379/(MID($C379,9,3)/Basis!$E$3/Basis!$E$9)*Basis!$E$11,0)</f>
        <v>732</v>
      </c>
      <c r="J379" s="123">
        <f>IF(Basis!$E$1=1,ROUND(H379/((TaH-TrH)*1.163)/3600,3),ROUND(H379/(500*(TaH-TrH)),2))</f>
        <v>0.38</v>
      </c>
      <c r="K379" s="84"/>
      <c r="L379" s="177">
        <f>CHOOSE(Basis!$E$1,((AJ379*(J379*3600/Basis!$E$5)^AK379*(((MID(C379,9,3)*10)-144)/1000)*AL379+AM379*(J379*3600/Basis!$E$5)^2)*0.0098)/Basis!$E$10,((AJ379*(J379/Basis!$E$5)^AK379*(((MID(C379,9,3)*10)-144)/1000)*AL379+AM379*(J379/Basis!$E$5)^2)*0.0098)/Basis!$E$10)</f>
        <v>0</v>
      </c>
      <c r="M379" s="85"/>
      <c r="N379" s="110">
        <v>1.349</v>
      </c>
      <c r="O379" s="74"/>
      <c r="P379" s="73">
        <v>1757</v>
      </c>
      <c r="Q379" s="74"/>
      <c r="R379" s="75"/>
      <c r="S379" s="75"/>
      <c r="T379" s="75"/>
      <c r="U379" s="75"/>
      <c r="V379" s="75"/>
      <c r="W379" s="74"/>
      <c r="X379" s="76"/>
      <c r="Y379" s="76"/>
      <c r="Z379" s="76"/>
      <c r="AA379" s="76"/>
      <c r="AB379" s="76"/>
      <c r="AC379" s="74"/>
      <c r="AD379" s="77"/>
      <c r="AE379" s="77"/>
      <c r="AF379" s="77"/>
      <c r="AG379" s="77"/>
      <c r="AH379" s="77"/>
      <c r="AI379" s="68"/>
      <c r="AJ379" s="213"/>
      <c r="AK379" s="213"/>
      <c r="AL379" s="213"/>
      <c r="AM379" s="213"/>
      <c r="AN379" s="74"/>
      <c r="AO379" s="73"/>
      <c r="AP379" s="73"/>
      <c r="AQ379" s="73"/>
      <c r="AR379" s="73"/>
      <c r="AS379" s="73"/>
      <c r="AT379" s="74"/>
      <c r="AU379" s="47"/>
      <c r="AV379" s="48"/>
    </row>
    <row r="380" spans="1:48" ht="12.75" customHeight="1" x14ac:dyDescent="0.25">
      <c r="A380" s="72" t="s">
        <v>20</v>
      </c>
      <c r="B380" s="43" t="s">
        <v>4043</v>
      </c>
      <c r="C380" s="44" t="s">
        <v>3708</v>
      </c>
      <c r="D380" s="45">
        <f>MROUND(MID($C380,6,3)/Basis!$E$3,0.5)</f>
        <v>14.5</v>
      </c>
      <c r="E380" s="45">
        <f>MROUND(MID($C380,9,3)/Basis!$E$3,0.5)</f>
        <v>71</v>
      </c>
      <c r="F380" s="229" t="str">
        <f t="shared" si="5"/>
        <v>11</v>
      </c>
      <c r="G380" s="45">
        <f>ROUND(5/Basis!$E$3,1)</f>
        <v>2</v>
      </c>
      <c r="H380" s="120">
        <f>ROUND($P380*Basis!$E$2*((TaH-TrH)/LN(1/µ)/Basis!$E$7)^$N380*Glycol,0)</f>
        <v>2577</v>
      </c>
      <c r="I380" s="83">
        <f>ROUND(H380/(MID($C380,9,3)/Basis!$E$3/Basis!$E$9)*Basis!$E$11,0)</f>
        <v>436</v>
      </c>
      <c r="J380" s="123">
        <f>IF(Basis!$E$1=1,ROUND(H380/((TaH-TrH)*1.163)/3600,3),ROUND(H380/(500*(TaH-TrH)),2))</f>
        <v>0.26</v>
      </c>
      <c r="K380" s="84"/>
      <c r="L380" s="177">
        <f>CHOOSE(Basis!$E$1,((AJ380*(J380*3600/Basis!$E$5)^AK380*(((MID(C380,9,3)*10)-144)/1000)*AL380+AM380*(J380*3600/Basis!$E$5)^2)*0.0098)/Basis!$E$10,((AJ380*(J380/Basis!$E$5)^AK380*(((MID(C380,9,3)*10)-144)/1000)*AL380+AM380*(J380/Basis!$E$5)^2)*0.0098)/Basis!$E$10)</f>
        <v>0</v>
      </c>
      <c r="M380" s="85"/>
      <c r="N380" s="109">
        <v>1.248</v>
      </c>
      <c r="O380" s="68"/>
      <c r="P380" s="67">
        <v>1140</v>
      </c>
      <c r="Q380" s="68"/>
      <c r="R380" s="69"/>
      <c r="S380" s="69"/>
      <c r="T380" s="69"/>
      <c r="U380" s="69"/>
      <c r="V380" s="69"/>
      <c r="W380" s="68"/>
      <c r="X380" s="70"/>
      <c r="Y380" s="70"/>
      <c r="Z380" s="70"/>
      <c r="AA380" s="70"/>
      <c r="AB380" s="70"/>
      <c r="AC380" s="68"/>
      <c r="AD380" s="71"/>
      <c r="AE380" s="71"/>
      <c r="AF380" s="71"/>
      <c r="AG380" s="71"/>
      <c r="AH380" s="71"/>
      <c r="AI380" s="68"/>
      <c r="AJ380" s="214"/>
      <c r="AK380" s="214"/>
      <c r="AL380" s="214"/>
      <c r="AM380" s="214"/>
      <c r="AN380" s="68"/>
      <c r="AO380" s="67"/>
      <c r="AP380" s="67"/>
      <c r="AQ380" s="67"/>
      <c r="AR380" s="67"/>
      <c r="AS380" s="67"/>
      <c r="AT380" s="68"/>
      <c r="AU380" s="49"/>
      <c r="AV380" s="50"/>
    </row>
    <row r="381" spans="1:48" ht="12.75" customHeight="1" x14ac:dyDescent="0.25">
      <c r="A381" s="72" t="s">
        <v>20</v>
      </c>
      <c r="B381" s="43" t="s">
        <v>4043</v>
      </c>
      <c r="C381" s="44" t="s">
        <v>3709</v>
      </c>
      <c r="D381" s="45">
        <f>MROUND(MID($C381,6,3)/Basis!$E$3,0.5)</f>
        <v>14.5</v>
      </c>
      <c r="E381" s="45">
        <f>MROUND(MID($C381,9,3)/Basis!$E$3,0.5)</f>
        <v>71</v>
      </c>
      <c r="F381" s="229" t="str">
        <f t="shared" si="5"/>
        <v>22</v>
      </c>
      <c r="G381" s="45">
        <f>ROUND(9/Basis!$E$3,1)</f>
        <v>3.5</v>
      </c>
      <c r="H381" s="120">
        <f>ROUND($P381*Basis!$E$2*((TaH-TrH)/LN(1/µ)/Basis!$E$7)^$N381*Glycol,0)</f>
        <v>4322</v>
      </c>
      <c r="I381" s="83">
        <f>ROUND(H381/(MID($C381,9,3)/Basis!$E$3/Basis!$E$9)*Basis!$E$11,0)</f>
        <v>732</v>
      </c>
      <c r="J381" s="123">
        <f>IF(Basis!$E$1=1,ROUND(H381/((TaH-TrH)*1.163)/3600,3),ROUND(H381/(500*(TaH-TrH)),2))</f>
        <v>0.43</v>
      </c>
      <c r="K381" s="84"/>
      <c r="L381" s="177">
        <f>CHOOSE(Basis!$E$1,((AJ381*(J381*3600/Basis!$E$5)^AK381*(((MID(C381,9,3)*10)-144)/1000)*AL381+AM381*(J381*3600/Basis!$E$5)^2)*0.0098)/Basis!$E$10,((AJ381*(J381/Basis!$E$5)^AK381*(((MID(C381,9,3)*10)-144)/1000)*AL381+AM381*(J381/Basis!$E$5)^2)*0.0098)/Basis!$E$10)</f>
        <v>0</v>
      </c>
      <c r="M381" s="85"/>
      <c r="N381" s="109">
        <v>1.349</v>
      </c>
      <c r="O381" s="68"/>
      <c r="P381" s="67">
        <v>1977</v>
      </c>
      <c r="Q381" s="68"/>
      <c r="R381" s="69"/>
      <c r="S381" s="69"/>
      <c r="T381" s="69"/>
      <c r="U381" s="69"/>
      <c r="V381" s="69"/>
      <c r="W381" s="68"/>
      <c r="X381" s="70"/>
      <c r="Y381" s="70"/>
      <c r="Z381" s="70"/>
      <c r="AA381" s="70"/>
      <c r="AB381" s="70"/>
      <c r="AC381" s="68"/>
      <c r="AD381" s="71"/>
      <c r="AE381" s="71"/>
      <c r="AF381" s="71"/>
      <c r="AG381" s="71"/>
      <c r="AH381" s="71"/>
      <c r="AI381" s="68"/>
      <c r="AJ381" s="214"/>
      <c r="AK381" s="214"/>
      <c r="AL381" s="214"/>
      <c r="AM381" s="214"/>
      <c r="AN381" s="68"/>
      <c r="AO381" s="67"/>
      <c r="AP381" s="67"/>
      <c r="AQ381" s="67"/>
      <c r="AR381" s="67"/>
      <c r="AS381" s="67"/>
      <c r="AT381" s="68"/>
      <c r="AU381" s="49"/>
      <c r="AV381" s="50"/>
    </row>
    <row r="382" spans="1:48" ht="12.75" customHeight="1" x14ac:dyDescent="0.25">
      <c r="A382" s="72" t="s">
        <v>20</v>
      </c>
      <c r="B382" s="43" t="s">
        <v>4043</v>
      </c>
      <c r="C382" s="44" t="s">
        <v>3710</v>
      </c>
      <c r="D382" s="45">
        <f>MROUND(MID($C382,6,3)/Basis!$E$3,0.5)</f>
        <v>14.5</v>
      </c>
      <c r="E382" s="45">
        <f>MROUND(MID($C382,9,3)/Basis!$E$3,0.5)</f>
        <v>78.5</v>
      </c>
      <c r="F382" s="229" t="str">
        <f t="shared" si="5"/>
        <v>11</v>
      </c>
      <c r="G382" s="45">
        <f>ROUND(5/Basis!$E$3,1)</f>
        <v>2</v>
      </c>
      <c r="H382" s="120">
        <f>ROUND($P382*Basis!$E$2*((TaH-TrH)/LN(1/µ)/Basis!$E$7)^$N382*Glycol,0)</f>
        <v>2864</v>
      </c>
      <c r="I382" s="83">
        <f>ROUND(H382/(MID($C382,9,3)/Basis!$E$3/Basis!$E$9)*Basis!$E$11,0)</f>
        <v>436</v>
      </c>
      <c r="J382" s="123">
        <f>IF(Basis!$E$1=1,ROUND(H382/((TaH-TrH)*1.163)/3600,3),ROUND(H382/(500*(TaH-TrH)),2))</f>
        <v>0.28999999999999998</v>
      </c>
      <c r="K382" s="84"/>
      <c r="L382" s="177">
        <f>CHOOSE(Basis!$E$1,((AJ382*(J382*3600/Basis!$E$5)^AK382*(((MID(C382,9,3)*10)-144)/1000)*AL382+AM382*(J382*3600/Basis!$E$5)^2)*0.0098)/Basis!$E$10,((AJ382*(J382/Basis!$E$5)^AK382*(((MID(C382,9,3)*10)-144)/1000)*AL382+AM382*(J382/Basis!$E$5)^2)*0.0098)/Basis!$E$10)</f>
        <v>0</v>
      </c>
      <c r="M382" s="85"/>
      <c r="N382" s="110">
        <v>1.248</v>
      </c>
      <c r="O382" s="74"/>
      <c r="P382" s="73">
        <v>1267</v>
      </c>
      <c r="Q382" s="74"/>
      <c r="R382" s="75"/>
      <c r="S382" s="75"/>
      <c r="T382" s="75"/>
      <c r="U382" s="75"/>
      <c r="V382" s="75"/>
      <c r="W382" s="74"/>
      <c r="X382" s="76"/>
      <c r="Y382" s="76"/>
      <c r="Z382" s="76"/>
      <c r="AA382" s="76"/>
      <c r="AB382" s="76"/>
      <c r="AC382" s="74"/>
      <c r="AD382" s="77"/>
      <c r="AE382" s="77"/>
      <c r="AF382" s="77"/>
      <c r="AG382" s="77"/>
      <c r="AH382" s="77"/>
      <c r="AI382" s="68"/>
      <c r="AJ382" s="213"/>
      <c r="AK382" s="213"/>
      <c r="AL382" s="213"/>
      <c r="AM382" s="213"/>
      <c r="AN382" s="74"/>
      <c r="AO382" s="73"/>
      <c r="AP382" s="73"/>
      <c r="AQ382" s="73"/>
      <c r="AR382" s="73"/>
      <c r="AS382" s="73"/>
      <c r="AT382" s="74"/>
      <c r="AU382" s="47"/>
      <c r="AV382" s="48"/>
    </row>
    <row r="383" spans="1:48" ht="12.75" customHeight="1" x14ac:dyDescent="0.25">
      <c r="A383" s="72" t="s">
        <v>20</v>
      </c>
      <c r="B383" s="43" t="s">
        <v>4043</v>
      </c>
      <c r="C383" s="44" t="s">
        <v>3711</v>
      </c>
      <c r="D383" s="45">
        <f>MROUND(MID($C383,6,3)/Basis!$E$3,0.5)</f>
        <v>14.5</v>
      </c>
      <c r="E383" s="45">
        <f>MROUND(MID($C383,9,3)/Basis!$E$3,0.5)</f>
        <v>78.5</v>
      </c>
      <c r="F383" s="229" t="str">
        <f t="shared" si="5"/>
        <v>22</v>
      </c>
      <c r="G383" s="45">
        <f>ROUND(9/Basis!$E$3,1)</f>
        <v>3.5</v>
      </c>
      <c r="H383" s="120">
        <f>ROUND($P383*Basis!$E$2*((TaH-TrH)/LN(1/µ)/Basis!$E$7)^$N383*Glycol,0)</f>
        <v>4803</v>
      </c>
      <c r="I383" s="83">
        <f>ROUND(H383/(MID($C383,9,3)/Basis!$E$3/Basis!$E$9)*Basis!$E$11,0)</f>
        <v>732</v>
      </c>
      <c r="J383" s="123">
        <f>IF(Basis!$E$1=1,ROUND(H383/((TaH-TrH)*1.163)/3600,3),ROUND(H383/(500*(TaH-TrH)),2))</f>
        <v>0.48</v>
      </c>
      <c r="K383" s="84"/>
      <c r="L383" s="177">
        <f>CHOOSE(Basis!$E$1,((AJ383*(J383*3600/Basis!$E$5)^AK383*(((MID(C383,9,3)*10)-144)/1000)*AL383+AM383*(J383*3600/Basis!$E$5)^2)*0.0098)/Basis!$E$10,((AJ383*(J383/Basis!$E$5)^AK383*(((MID(C383,9,3)*10)-144)/1000)*AL383+AM383*(J383/Basis!$E$5)^2)*0.0098)/Basis!$E$10)</f>
        <v>0</v>
      </c>
      <c r="M383" s="85"/>
      <c r="N383" s="110">
        <v>1.349</v>
      </c>
      <c r="O383" s="74"/>
      <c r="P383" s="73">
        <v>2197</v>
      </c>
      <c r="Q383" s="74"/>
      <c r="R383" s="75"/>
      <c r="S383" s="75"/>
      <c r="T383" s="75"/>
      <c r="U383" s="75"/>
      <c r="V383" s="75"/>
      <c r="W383" s="74"/>
      <c r="X383" s="76"/>
      <c r="Y383" s="76"/>
      <c r="Z383" s="76"/>
      <c r="AA383" s="76"/>
      <c r="AB383" s="76"/>
      <c r="AC383" s="74"/>
      <c r="AD383" s="77"/>
      <c r="AE383" s="77"/>
      <c r="AF383" s="77"/>
      <c r="AG383" s="77"/>
      <c r="AH383" s="77"/>
      <c r="AI383" s="68"/>
      <c r="AJ383" s="213"/>
      <c r="AK383" s="213"/>
      <c r="AL383" s="213"/>
      <c r="AM383" s="213"/>
      <c r="AN383" s="74"/>
      <c r="AO383" s="73"/>
      <c r="AP383" s="73"/>
      <c r="AQ383" s="73"/>
      <c r="AR383" s="73"/>
      <c r="AS383" s="73"/>
      <c r="AT383" s="74"/>
      <c r="AU383" s="47"/>
      <c r="AV383" s="48"/>
    </row>
    <row r="384" spans="1:48" ht="12.75" customHeight="1" x14ac:dyDescent="0.25">
      <c r="A384" s="72" t="s">
        <v>20</v>
      </c>
      <c r="B384" s="43" t="s">
        <v>4043</v>
      </c>
      <c r="C384" s="44" t="s">
        <v>3712</v>
      </c>
      <c r="D384" s="45">
        <f>MROUND(MID($C384,6,3)/Basis!$E$3,0.5)</f>
        <v>14.5</v>
      </c>
      <c r="E384" s="45">
        <f>MROUND(MID($C384,9,3)/Basis!$E$3,0.5)</f>
        <v>86.5</v>
      </c>
      <c r="F384" s="229" t="str">
        <f t="shared" si="5"/>
        <v>11</v>
      </c>
      <c r="G384" s="45">
        <f>ROUND(5/Basis!$E$3,1)</f>
        <v>2</v>
      </c>
      <c r="H384" s="120">
        <f>ROUND($P384*Basis!$E$2*((TaH-TrH)/LN(1/µ)/Basis!$E$7)^$N384*Glycol,0)</f>
        <v>3151</v>
      </c>
      <c r="I384" s="83">
        <f>ROUND(H384/(MID($C384,9,3)/Basis!$E$3/Basis!$E$9)*Basis!$E$11,0)</f>
        <v>437</v>
      </c>
      <c r="J384" s="123">
        <f>IF(Basis!$E$1=1,ROUND(H384/((TaH-TrH)*1.163)/3600,3),ROUND(H384/(500*(TaH-TrH)),2))</f>
        <v>0.32</v>
      </c>
      <c r="K384" s="84"/>
      <c r="L384" s="177">
        <f>CHOOSE(Basis!$E$1,((AJ384*(J384*3600/Basis!$E$5)^AK384*(((MID(C384,9,3)*10)-144)/1000)*AL384+AM384*(J384*3600/Basis!$E$5)^2)*0.0098)/Basis!$E$10,((AJ384*(J384/Basis!$E$5)^AK384*(((MID(C384,9,3)*10)-144)/1000)*AL384+AM384*(J384/Basis!$E$5)^2)*0.0098)/Basis!$E$10)</f>
        <v>0</v>
      </c>
      <c r="M384" s="85"/>
      <c r="N384" s="109">
        <v>1.248</v>
      </c>
      <c r="O384" s="68"/>
      <c r="P384" s="67">
        <v>1394</v>
      </c>
      <c r="Q384" s="68"/>
      <c r="R384" s="69"/>
      <c r="S384" s="69"/>
      <c r="T384" s="69"/>
      <c r="U384" s="69"/>
      <c r="V384" s="69"/>
      <c r="W384" s="68"/>
      <c r="X384" s="70"/>
      <c r="Y384" s="70"/>
      <c r="Z384" s="70"/>
      <c r="AA384" s="70"/>
      <c r="AB384" s="70"/>
      <c r="AC384" s="68"/>
      <c r="AD384" s="71"/>
      <c r="AE384" s="71"/>
      <c r="AF384" s="71"/>
      <c r="AG384" s="71"/>
      <c r="AH384" s="71"/>
      <c r="AI384" s="68"/>
      <c r="AJ384" s="214"/>
      <c r="AK384" s="214"/>
      <c r="AL384" s="214"/>
      <c r="AM384" s="214"/>
      <c r="AN384" s="68"/>
      <c r="AO384" s="67"/>
      <c r="AP384" s="67"/>
      <c r="AQ384" s="67"/>
      <c r="AR384" s="67"/>
      <c r="AS384" s="67"/>
      <c r="AT384" s="68"/>
      <c r="AU384" s="49"/>
      <c r="AV384" s="50"/>
    </row>
    <row r="385" spans="1:48" ht="12.75" customHeight="1" x14ac:dyDescent="0.25">
      <c r="A385" s="72" t="s">
        <v>20</v>
      </c>
      <c r="B385" s="43" t="s">
        <v>4043</v>
      </c>
      <c r="C385" s="44" t="s">
        <v>3713</v>
      </c>
      <c r="D385" s="45">
        <f>MROUND(MID($C385,6,3)/Basis!$E$3,0.5)</f>
        <v>14.5</v>
      </c>
      <c r="E385" s="45">
        <f>MROUND(MID($C385,9,3)/Basis!$E$3,0.5)</f>
        <v>86.5</v>
      </c>
      <c r="F385" s="229" t="str">
        <f t="shared" si="5"/>
        <v>22</v>
      </c>
      <c r="G385" s="45">
        <f>ROUND(9/Basis!$E$3,1)</f>
        <v>3.5</v>
      </c>
      <c r="H385" s="120">
        <f>ROUND($P385*Basis!$E$2*((TaH-TrH)/LN(1/µ)/Basis!$E$7)^$N385*Glycol,0)</f>
        <v>5282</v>
      </c>
      <c r="I385" s="83">
        <f>ROUND(H385/(MID($C385,9,3)/Basis!$E$3/Basis!$E$9)*Basis!$E$11,0)</f>
        <v>732</v>
      </c>
      <c r="J385" s="123">
        <f>IF(Basis!$E$1=1,ROUND(H385/((TaH-TrH)*1.163)/3600,3),ROUND(H385/(500*(TaH-TrH)),2))</f>
        <v>0.53</v>
      </c>
      <c r="K385" s="84"/>
      <c r="L385" s="177">
        <f>CHOOSE(Basis!$E$1,((AJ385*(J385*3600/Basis!$E$5)^AK385*(((MID(C385,9,3)*10)-144)/1000)*AL385+AM385*(J385*3600/Basis!$E$5)^2)*0.0098)/Basis!$E$10,((AJ385*(J385/Basis!$E$5)^AK385*(((MID(C385,9,3)*10)-144)/1000)*AL385+AM385*(J385/Basis!$E$5)^2)*0.0098)/Basis!$E$10)</f>
        <v>0</v>
      </c>
      <c r="M385" s="85"/>
      <c r="N385" s="110">
        <v>1.349</v>
      </c>
      <c r="O385" s="74"/>
      <c r="P385" s="73">
        <v>2416</v>
      </c>
      <c r="Q385" s="74"/>
      <c r="R385" s="75"/>
      <c r="S385" s="75"/>
      <c r="T385" s="75"/>
      <c r="U385" s="75"/>
      <c r="V385" s="75"/>
      <c r="W385" s="74"/>
      <c r="X385" s="76"/>
      <c r="Y385" s="76"/>
      <c r="Z385" s="76"/>
      <c r="AA385" s="76"/>
      <c r="AB385" s="76"/>
      <c r="AC385" s="74"/>
      <c r="AD385" s="77"/>
      <c r="AE385" s="77"/>
      <c r="AF385" s="77"/>
      <c r="AG385" s="77"/>
      <c r="AH385" s="77"/>
      <c r="AI385" s="68"/>
      <c r="AJ385" s="213"/>
      <c r="AK385" s="213"/>
      <c r="AL385" s="213"/>
      <c r="AM385" s="213"/>
      <c r="AN385" s="74"/>
      <c r="AO385" s="73"/>
      <c r="AP385" s="73"/>
      <c r="AQ385" s="73"/>
      <c r="AR385" s="73"/>
      <c r="AS385" s="73"/>
      <c r="AT385" s="74"/>
      <c r="AU385" s="47"/>
      <c r="AV385" s="48"/>
    </row>
    <row r="386" spans="1:48" ht="12.75" customHeight="1" x14ac:dyDescent="0.25">
      <c r="A386" s="72" t="s">
        <v>20</v>
      </c>
      <c r="B386" s="43" t="s">
        <v>4043</v>
      </c>
      <c r="C386" s="44" t="s">
        <v>3714</v>
      </c>
      <c r="D386" s="45">
        <f>MROUND(MID($C386,6,3)/Basis!$E$3,0.5)</f>
        <v>14.5</v>
      </c>
      <c r="E386" s="45">
        <f>MROUND(MID($C386,9,3)/Basis!$E$3,0.5)</f>
        <v>94.5</v>
      </c>
      <c r="F386" s="229" t="str">
        <f t="shared" si="5"/>
        <v>11</v>
      </c>
      <c r="G386" s="45">
        <f>ROUND(5/Basis!$E$3,1)</f>
        <v>2</v>
      </c>
      <c r="H386" s="120">
        <f>ROUND($P386*Basis!$E$2*((TaH-TrH)/LN(1/µ)/Basis!$E$7)^$N386*Glycol,0)</f>
        <v>3435</v>
      </c>
      <c r="I386" s="83">
        <f>ROUND(H386/(MID($C386,9,3)/Basis!$E$3/Basis!$E$9)*Basis!$E$11,0)</f>
        <v>436</v>
      </c>
      <c r="J386" s="123">
        <f>IF(Basis!$E$1=1,ROUND(H386/((TaH-TrH)*1.163)/3600,3),ROUND(H386/(500*(TaH-TrH)),2))</f>
        <v>0.34</v>
      </c>
      <c r="K386" s="84"/>
      <c r="L386" s="177">
        <f>CHOOSE(Basis!$E$1,((AJ386*(J386*3600/Basis!$E$5)^AK386*(((MID(C386,9,3)*10)-144)/1000)*AL386+AM386*(J386*3600/Basis!$E$5)^2)*0.0098)/Basis!$E$10,((AJ386*(J386/Basis!$E$5)^AK386*(((MID(C386,9,3)*10)-144)/1000)*AL386+AM386*(J386/Basis!$E$5)^2)*0.0098)/Basis!$E$10)</f>
        <v>0</v>
      </c>
      <c r="M386" s="85"/>
      <c r="N386" s="109">
        <v>1.248</v>
      </c>
      <c r="O386" s="68"/>
      <c r="P386" s="67">
        <v>1520</v>
      </c>
      <c r="Q386" s="68"/>
      <c r="R386" s="69"/>
      <c r="S386" s="69"/>
      <c r="T386" s="69"/>
      <c r="U386" s="69"/>
      <c r="V386" s="69"/>
      <c r="W386" s="68"/>
      <c r="X386" s="70"/>
      <c r="Y386" s="70"/>
      <c r="Z386" s="70"/>
      <c r="AA386" s="70"/>
      <c r="AB386" s="70"/>
      <c r="AC386" s="68"/>
      <c r="AD386" s="71"/>
      <c r="AE386" s="71"/>
      <c r="AF386" s="71"/>
      <c r="AG386" s="71"/>
      <c r="AH386" s="71"/>
      <c r="AI386" s="68"/>
      <c r="AJ386" s="214"/>
      <c r="AK386" s="214"/>
      <c r="AL386" s="214"/>
      <c r="AM386" s="214"/>
      <c r="AN386" s="68"/>
      <c r="AO386" s="67"/>
      <c r="AP386" s="67"/>
      <c r="AQ386" s="67"/>
      <c r="AR386" s="67"/>
      <c r="AS386" s="67"/>
      <c r="AT386" s="68"/>
      <c r="AU386" s="49"/>
      <c r="AV386" s="50"/>
    </row>
    <row r="387" spans="1:48" ht="12.75" customHeight="1" x14ac:dyDescent="0.25">
      <c r="A387" s="72" t="s">
        <v>20</v>
      </c>
      <c r="B387" s="43" t="s">
        <v>4043</v>
      </c>
      <c r="C387" s="44" t="s">
        <v>3715</v>
      </c>
      <c r="D387" s="45">
        <f>MROUND(MID($C387,6,3)/Basis!$E$3,0.5)</f>
        <v>14.5</v>
      </c>
      <c r="E387" s="45">
        <f>MROUND(MID($C387,9,3)/Basis!$E$3,0.5)</f>
        <v>94.5</v>
      </c>
      <c r="F387" s="229" t="str">
        <f t="shared" si="5"/>
        <v>22</v>
      </c>
      <c r="G387" s="45">
        <f>ROUND(9/Basis!$E$3,1)</f>
        <v>3.5</v>
      </c>
      <c r="H387" s="120">
        <f>ROUND($P387*Basis!$E$2*((TaH-TrH)/LN(1/µ)/Basis!$E$7)^$N387*Glycol,0)</f>
        <v>5762</v>
      </c>
      <c r="I387" s="83">
        <f>ROUND(H387/(MID($C387,9,3)/Basis!$E$3/Basis!$E$9)*Basis!$E$11,0)</f>
        <v>732</v>
      </c>
      <c r="J387" s="123">
        <f>IF(Basis!$E$1=1,ROUND(H387/((TaH-TrH)*1.163)/3600,3),ROUND(H387/(500*(TaH-TrH)),2))</f>
        <v>0.57999999999999996</v>
      </c>
      <c r="K387" s="84"/>
      <c r="L387" s="177">
        <f>CHOOSE(Basis!$E$1,((AJ387*(J387*3600/Basis!$E$5)^AK387*(((MID(C387,9,3)*10)-144)/1000)*AL387+AM387*(J387*3600/Basis!$E$5)^2)*0.0098)/Basis!$E$10,((AJ387*(J387/Basis!$E$5)^AK387*(((MID(C387,9,3)*10)-144)/1000)*AL387+AM387*(J387/Basis!$E$5)^2)*0.0098)/Basis!$E$10)</f>
        <v>0</v>
      </c>
      <c r="M387" s="85"/>
      <c r="N387" s="110">
        <v>1.349</v>
      </c>
      <c r="O387" s="74"/>
      <c r="P387" s="73">
        <v>2636</v>
      </c>
      <c r="Q387" s="74"/>
      <c r="R387" s="75"/>
      <c r="S387" s="75"/>
      <c r="T387" s="75"/>
      <c r="U387" s="75"/>
      <c r="V387" s="75"/>
      <c r="W387" s="74"/>
      <c r="X387" s="76"/>
      <c r="Y387" s="76"/>
      <c r="Z387" s="76"/>
      <c r="AA387" s="76"/>
      <c r="AB387" s="76"/>
      <c r="AC387" s="74"/>
      <c r="AD387" s="77"/>
      <c r="AE387" s="77"/>
      <c r="AF387" s="77"/>
      <c r="AG387" s="77"/>
      <c r="AH387" s="77"/>
      <c r="AI387" s="68"/>
      <c r="AJ387" s="213"/>
      <c r="AK387" s="213"/>
      <c r="AL387" s="213"/>
      <c r="AM387" s="213"/>
      <c r="AN387" s="74"/>
      <c r="AO387" s="73"/>
      <c r="AP387" s="73"/>
      <c r="AQ387" s="73"/>
      <c r="AR387" s="73"/>
      <c r="AS387" s="73"/>
      <c r="AT387" s="74"/>
      <c r="AU387" s="47"/>
      <c r="AV387" s="48"/>
    </row>
    <row r="388" spans="1:48" ht="12.75" customHeight="1" x14ac:dyDescent="0.25">
      <c r="A388" s="72" t="s">
        <v>20</v>
      </c>
      <c r="B388" s="43" t="s">
        <v>4043</v>
      </c>
      <c r="C388" s="44" t="s">
        <v>3716</v>
      </c>
      <c r="D388" s="45">
        <f>MROUND(MID($C388,6,3)/Basis!$E$3,0.5)</f>
        <v>14.5</v>
      </c>
      <c r="E388" s="45">
        <f>MROUND(MID($C388,9,3)/Basis!$E$3,0.5)</f>
        <v>102.5</v>
      </c>
      <c r="F388" s="229" t="str">
        <f t="shared" si="5"/>
        <v>11</v>
      </c>
      <c r="G388" s="45">
        <f>ROUND(5/Basis!$E$3,1)</f>
        <v>2</v>
      </c>
      <c r="H388" s="120">
        <f>ROUND($P388*Basis!$E$2*((TaH-TrH)/LN(1/µ)/Basis!$E$7)^$N388*Glycol,0)</f>
        <v>3723</v>
      </c>
      <c r="I388" s="83">
        <f>ROUND(H388/(MID($C388,9,3)/Basis!$E$3/Basis!$E$9)*Basis!$E$11,0)</f>
        <v>436</v>
      </c>
      <c r="J388" s="123">
        <f>IF(Basis!$E$1=1,ROUND(H388/((TaH-TrH)*1.163)/3600,3),ROUND(H388/(500*(TaH-TrH)),2))</f>
        <v>0.37</v>
      </c>
      <c r="K388" s="84"/>
      <c r="L388" s="177">
        <f>CHOOSE(Basis!$E$1,((AJ388*(J388*3600/Basis!$E$5)^AK388*(((MID(C388,9,3)*10)-144)/1000)*AL388+AM388*(J388*3600/Basis!$E$5)^2)*0.0098)/Basis!$E$10,((AJ388*(J388/Basis!$E$5)^AK388*(((MID(C388,9,3)*10)-144)/1000)*AL388+AM388*(J388/Basis!$E$5)^2)*0.0098)/Basis!$E$10)</f>
        <v>0</v>
      </c>
      <c r="M388" s="85"/>
      <c r="N388" s="109">
        <v>1.248</v>
      </c>
      <c r="O388" s="68"/>
      <c r="P388" s="67">
        <v>1647</v>
      </c>
      <c r="Q388" s="68"/>
      <c r="R388" s="69"/>
      <c r="S388" s="69"/>
      <c r="T388" s="69"/>
      <c r="U388" s="69"/>
      <c r="V388" s="69"/>
      <c r="W388" s="68"/>
      <c r="X388" s="70"/>
      <c r="Y388" s="70"/>
      <c r="Z388" s="70"/>
      <c r="AA388" s="70"/>
      <c r="AB388" s="70"/>
      <c r="AC388" s="68"/>
      <c r="AD388" s="71"/>
      <c r="AE388" s="71"/>
      <c r="AF388" s="71"/>
      <c r="AG388" s="71"/>
      <c r="AH388" s="71"/>
      <c r="AI388" s="68"/>
      <c r="AJ388" s="214"/>
      <c r="AK388" s="214"/>
      <c r="AL388" s="214"/>
      <c r="AM388" s="214"/>
      <c r="AN388" s="68"/>
      <c r="AO388" s="67"/>
      <c r="AP388" s="67"/>
      <c r="AQ388" s="67"/>
      <c r="AR388" s="67"/>
      <c r="AS388" s="67"/>
      <c r="AT388" s="68"/>
      <c r="AU388" s="49"/>
      <c r="AV388" s="50"/>
    </row>
    <row r="389" spans="1:48" ht="12.75" customHeight="1" x14ac:dyDescent="0.25">
      <c r="A389" s="72" t="s">
        <v>20</v>
      </c>
      <c r="B389" s="43" t="s">
        <v>4043</v>
      </c>
      <c r="C389" s="44" t="s">
        <v>3717</v>
      </c>
      <c r="D389" s="45">
        <f>MROUND(MID($C389,6,3)/Basis!$E$3,0.5)</f>
        <v>14.5</v>
      </c>
      <c r="E389" s="45">
        <f>MROUND(MID($C389,9,3)/Basis!$E$3,0.5)</f>
        <v>102.5</v>
      </c>
      <c r="F389" s="229" t="str">
        <f t="shared" si="5"/>
        <v>22</v>
      </c>
      <c r="G389" s="45">
        <f>ROUND(9/Basis!$E$3,1)</f>
        <v>3.5</v>
      </c>
      <c r="H389" s="120">
        <f>ROUND($P389*Basis!$E$2*((TaH-TrH)/LN(1/µ)/Basis!$E$7)^$N389*Glycol,0)</f>
        <v>6243</v>
      </c>
      <c r="I389" s="83">
        <f>ROUND(H389/(MID($C389,9,3)/Basis!$E$3/Basis!$E$9)*Basis!$E$11,0)</f>
        <v>732</v>
      </c>
      <c r="J389" s="123">
        <f>IF(Basis!$E$1=1,ROUND(H389/((TaH-TrH)*1.163)/3600,3),ROUND(H389/(500*(TaH-TrH)),2))</f>
        <v>0.62</v>
      </c>
      <c r="K389" s="84"/>
      <c r="L389" s="177">
        <f>CHOOSE(Basis!$E$1,((AJ389*(J389*3600/Basis!$E$5)^AK389*(((MID(C389,9,3)*10)-144)/1000)*AL389+AM389*(J389*3600/Basis!$E$5)^2)*0.0098)/Basis!$E$10,((AJ389*(J389/Basis!$E$5)^AK389*(((MID(C389,9,3)*10)-144)/1000)*AL389+AM389*(J389/Basis!$E$5)^2)*0.0098)/Basis!$E$10)</f>
        <v>0</v>
      </c>
      <c r="M389" s="85"/>
      <c r="N389" s="110">
        <v>1.349</v>
      </c>
      <c r="O389" s="74"/>
      <c r="P389" s="73">
        <v>2856</v>
      </c>
      <c r="Q389" s="74"/>
      <c r="R389" s="75"/>
      <c r="S389" s="75"/>
      <c r="T389" s="75"/>
      <c r="U389" s="75"/>
      <c r="V389" s="75"/>
      <c r="W389" s="74"/>
      <c r="X389" s="76"/>
      <c r="Y389" s="76"/>
      <c r="Z389" s="76"/>
      <c r="AA389" s="76"/>
      <c r="AB389" s="76"/>
      <c r="AC389" s="74"/>
      <c r="AD389" s="77"/>
      <c r="AE389" s="77"/>
      <c r="AF389" s="77"/>
      <c r="AG389" s="77"/>
      <c r="AH389" s="77"/>
      <c r="AI389" s="68"/>
      <c r="AJ389" s="213"/>
      <c r="AK389" s="213"/>
      <c r="AL389" s="213"/>
      <c r="AM389" s="213"/>
      <c r="AN389" s="74"/>
      <c r="AO389" s="73"/>
      <c r="AP389" s="73"/>
      <c r="AQ389" s="73"/>
      <c r="AR389" s="73"/>
      <c r="AS389" s="73"/>
      <c r="AT389" s="74"/>
      <c r="AU389" s="47"/>
      <c r="AV389" s="48"/>
    </row>
    <row r="390" spans="1:48" ht="12.75" customHeight="1" x14ac:dyDescent="0.25">
      <c r="A390" s="72" t="s">
        <v>20</v>
      </c>
      <c r="B390" s="43" t="s">
        <v>4043</v>
      </c>
      <c r="C390" s="44" t="s">
        <v>3718</v>
      </c>
      <c r="D390" s="45">
        <f>MROUND(MID($C390,6,3)/Basis!$E$3,0.5)</f>
        <v>14.5</v>
      </c>
      <c r="E390" s="45">
        <f>MROUND(MID($C390,9,3)/Basis!$E$3,0.5)</f>
        <v>110</v>
      </c>
      <c r="F390" s="229" t="str">
        <f t="shared" si="5"/>
        <v>11</v>
      </c>
      <c r="G390" s="45">
        <f>ROUND(5/Basis!$E$3,1)</f>
        <v>2</v>
      </c>
      <c r="H390" s="120">
        <f>ROUND($P390*Basis!$E$2*((TaH-TrH)/LN(1/µ)/Basis!$E$7)^$N390*Glycol,0)</f>
        <v>4010</v>
      </c>
      <c r="I390" s="83">
        <f>ROUND(H390/(MID($C390,9,3)/Basis!$E$3/Basis!$E$9)*Basis!$E$11,0)</f>
        <v>437</v>
      </c>
      <c r="J390" s="123">
        <f>IF(Basis!$E$1=1,ROUND(H390/((TaH-TrH)*1.163)/3600,3),ROUND(H390/(500*(TaH-TrH)),2))</f>
        <v>0.4</v>
      </c>
      <c r="K390" s="84"/>
      <c r="L390" s="177">
        <f>CHOOSE(Basis!$E$1,((AJ390*(J390*3600/Basis!$E$5)^AK390*(((MID(C390,9,3)*10)-144)/1000)*AL390+AM390*(J390*3600/Basis!$E$5)^2)*0.0098)/Basis!$E$10,((AJ390*(J390/Basis!$E$5)^AK390*(((MID(C390,9,3)*10)-144)/1000)*AL390+AM390*(J390/Basis!$E$5)^2)*0.0098)/Basis!$E$10)</f>
        <v>0</v>
      </c>
      <c r="M390" s="85"/>
      <c r="N390" s="109">
        <v>1.248</v>
      </c>
      <c r="O390" s="68"/>
      <c r="P390" s="67">
        <v>1774</v>
      </c>
      <c r="Q390" s="68"/>
      <c r="R390" s="69"/>
      <c r="S390" s="69"/>
      <c r="T390" s="69"/>
      <c r="U390" s="69"/>
      <c r="V390" s="69"/>
      <c r="W390" s="68"/>
      <c r="X390" s="70"/>
      <c r="Y390" s="70"/>
      <c r="Z390" s="70"/>
      <c r="AA390" s="70"/>
      <c r="AB390" s="70"/>
      <c r="AC390" s="68"/>
      <c r="AD390" s="71"/>
      <c r="AE390" s="71"/>
      <c r="AF390" s="71"/>
      <c r="AG390" s="71"/>
      <c r="AH390" s="71"/>
      <c r="AI390" s="68"/>
      <c r="AJ390" s="214"/>
      <c r="AK390" s="214"/>
      <c r="AL390" s="214"/>
      <c r="AM390" s="214"/>
      <c r="AN390" s="68"/>
      <c r="AO390" s="67"/>
      <c r="AP390" s="67"/>
      <c r="AQ390" s="67"/>
      <c r="AR390" s="67"/>
      <c r="AS390" s="67"/>
      <c r="AT390" s="68"/>
      <c r="AU390" s="49"/>
      <c r="AV390" s="50"/>
    </row>
    <row r="391" spans="1:48" ht="12.75" customHeight="1" x14ac:dyDescent="0.25">
      <c r="A391" s="72" t="s">
        <v>20</v>
      </c>
      <c r="B391" s="43" t="s">
        <v>4043</v>
      </c>
      <c r="C391" s="44" t="s">
        <v>3719</v>
      </c>
      <c r="D391" s="45">
        <f>MROUND(MID($C391,6,3)/Basis!$E$3,0.5)</f>
        <v>14.5</v>
      </c>
      <c r="E391" s="45">
        <f>MROUND(MID($C391,9,3)/Basis!$E$3,0.5)</f>
        <v>110</v>
      </c>
      <c r="F391" s="229" t="str">
        <f t="shared" si="5"/>
        <v>22</v>
      </c>
      <c r="G391" s="45">
        <f>ROUND(9/Basis!$E$3,1)</f>
        <v>3.5</v>
      </c>
      <c r="H391" s="120">
        <f>ROUND($P391*Basis!$E$2*((TaH-TrH)/LN(1/µ)/Basis!$E$7)^$N391*Glycol,0)</f>
        <v>6722</v>
      </c>
      <c r="I391" s="83">
        <f>ROUND(H391/(MID($C391,9,3)/Basis!$E$3/Basis!$E$9)*Basis!$E$11,0)</f>
        <v>732</v>
      </c>
      <c r="J391" s="123">
        <f>IF(Basis!$E$1=1,ROUND(H391/((TaH-TrH)*1.163)/3600,3),ROUND(H391/(500*(TaH-TrH)),2))</f>
        <v>0.67</v>
      </c>
      <c r="K391" s="84"/>
      <c r="L391" s="177">
        <f>CHOOSE(Basis!$E$1,((AJ391*(J391*3600/Basis!$E$5)^AK391*(((MID(C391,9,3)*10)-144)/1000)*AL391+AM391*(J391*3600/Basis!$E$5)^2)*0.0098)/Basis!$E$10,((AJ391*(J391/Basis!$E$5)^AK391*(((MID(C391,9,3)*10)-144)/1000)*AL391+AM391*(J391/Basis!$E$5)^2)*0.0098)/Basis!$E$10)</f>
        <v>0</v>
      </c>
      <c r="M391" s="85"/>
      <c r="N391" s="110">
        <v>1.349</v>
      </c>
      <c r="O391" s="74"/>
      <c r="P391" s="73">
        <v>3075</v>
      </c>
      <c r="Q391" s="74"/>
      <c r="R391" s="75"/>
      <c r="S391" s="75"/>
      <c r="T391" s="75"/>
      <c r="U391" s="75"/>
      <c r="V391" s="75"/>
      <c r="W391" s="74"/>
      <c r="X391" s="76"/>
      <c r="Y391" s="76"/>
      <c r="Z391" s="76"/>
      <c r="AA391" s="76"/>
      <c r="AB391" s="76"/>
      <c r="AC391" s="74"/>
      <c r="AD391" s="77"/>
      <c r="AE391" s="77"/>
      <c r="AF391" s="77"/>
      <c r="AG391" s="77"/>
      <c r="AH391" s="77"/>
      <c r="AI391" s="68"/>
      <c r="AJ391" s="213"/>
      <c r="AK391" s="213"/>
      <c r="AL391" s="213"/>
      <c r="AM391" s="213"/>
      <c r="AN391" s="74"/>
      <c r="AO391" s="73"/>
      <c r="AP391" s="73"/>
      <c r="AQ391" s="73"/>
      <c r="AR391" s="73"/>
      <c r="AS391" s="73"/>
      <c r="AT391" s="74"/>
      <c r="AU391" s="47"/>
      <c r="AV391" s="48"/>
    </row>
    <row r="392" spans="1:48" ht="12.75" customHeight="1" x14ac:dyDescent="0.25">
      <c r="A392" s="72" t="s">
        <v>20</v>
      </c>
      <c r="B392" s="43" t="s">
        <v>4043</v>
      </c>
      <c r="C392" s="44" t="s">
        <v>3720</v>
      </c>
      <c r="D392" s="45">
        <f>MROUND(MID($C392,6,3)/Basis!$E$3,0.5)</f>
        <v>14.5</v>
      </c>
      <c r="E392" s="45">
        <f>MROUND(MID($C392,9,3)/Basis!$E$3,0.5)</f>
        <v>118</v>
      </c>
      <c r="F392" s="229" t="str">
        <f t="shared" si="5"/>
        <v>11</v>
      </c>
      <c r="G392" s="45">
        <f>ROUND(5/Basis!$E$3,1)</f>
        <v>2</v>
      </c>
      <c r="H392" s="120">
        <f>ROUND($P392*Basis!$E$2*((TaH-TrH)/LN(1/µ)/Basis!$E$7)^$N392*Glycol,0)</f>
        <v>4294</v>
      </c>
      <c r="I392" s="83">
        <f>ROUND(H392/(MID($C392,9,3)/Basis!$E$3/Basis!$E$9)*Basis!$E$11,0)</f>
        <v>436</v>
      </c>
      <c r="J392" s="123">
        <f>IF(Basis!$E$1=1,ROUND(H392/((TaH-TrH)*1.163)/3600,3),ROUND(H392/(500*(TaH-TrH)),2))</f>
        <v>0.43</v>
      </c>
      <c r="K392" s="84"/>
      <c r="L392" s="177">
        <f>CHOOSE(Basis!$E$1,((AJ392*(J392*3600/Basis!$E$5)^AK392*(((MID(C392,9,3)*10)-144)/1000)*AL392+AM392*(J392*3600/Basis!$E$5)^2)*0.0098)/Basis!$E$10,((AJ392*(J392/Basis!$E$5)^AK392*(((MID(C392,9,3)*10)-144)/1000)*AL392+AM392*(J392/Basis!$E$5)^2)*0.0098)/Basis!$E$10)</f>
        <v>0</v>
      </c>
      <c r="M392" s="85"/>
      <c r="N392" s="109">
        <v>1.248</v>
      </c>
      <c r="O392" s="68"/>
      <c r="P392" s="67">
        <v>1900</v>
      </c>
      <c r="Q392" s="68"/>
      <c r="R392" s="69"/>
      <c r="S392" s="69"/>
      <c r="T392" s="69"/>
      <c r="U392" s="69"/>
      <c r="V392" s="69"/>
      <c r="W392" s="68"/>
      <c r="X392" s="70"/>
      <c r="Y392" s="70"/>
      <c r="Z392" s="70"/>
      <c r="AA392" s="70"/>
      <c r="AB392" s="70"/>
      <c r="AC392" s="68"/>
      <c r="AD392" s="71"/>
      <c r="AE392" s="71"/>
      <c r="AF392" s="71"/>
      <c r="AG392" s="71"/>
      <c r="AH392" s="71"/>
      <c r="AI392" s="68"/>
      <c r="AJ392" s="214"/>
      <c r="AK392" s="214"/>
      <c r="AL392" s="214"/>
      <c r="AM392" s="214"/>
      <c r="AN392" s="68"/>
      <c r="AO392" s="67"/>
      <c r="AP392" s="67"/>
      <c r="AQ392" s="67"/>
      <c r="AR392" s="67"/>
      <c r="AS392" s="67"/>
      <c r="AT392" s="68"/>
      <c r="AU392" s="49"/>
      <c r="AV392" s="50"/>
    </row>
    <row r="393" spans="1:48" ht="12.75" customHeight="1" x14ac:dyDescent="0.25">
      <c r="A393" s="72" t="s">
        <v>20</v>
      </c>
      <c r="B393" s="43" t="s">
        <v>4043</v>
      </c>
      <c r="C393" s="44" t="s">
        <v>3721</v>
      </c>
      <c r="D393" s="45">
        <f>MROUND(MID($C393,6,3)/Basis!$E$3,0.5)</f>
        <v>14.5</v>
      </c>
      <c r="E393" s="45">
        <f>MROUND(MID($C393,9,3)/Basis!$E$3,0.5)</f>
        <v>118</v>
      </c>
      <c r="F393" s="229" t="str">
        <f t="shared" si="5"/>
        <v>22</v>
      </c>
      <c r="G393" s="45">
        <f>ROUND(9/Basis!$E$3,1)</f>
        <v>3.5</v>
      </c>
      <c r="H393" s="120">
        <f>ROUND($P393*Basis!$E$2*((TaH-TrH)/LN(1/µ)/Basis!$E$7)^$N393*Glycol,0)</f>
        <v>7203</v>
      </c>
      <c r="I393" s="83">
        <f>ROUND(H393/(MID($C393,9,3)/Basis!$E$3/Basis!$E$9)*Basis!$E$11,0)</f>
        <v>732</v>
      </c>
      <c r="J393" s="123">
        <f>IF(Basis!$E$1=1,ROUND(H393/((TaH-TrH)*1.163)/3600,3),ROUND(H393/(500*(TaH-TrH)),2))</f>
        <v>0.72</v>
      </c>
      <c r="K393" s="84"/>
      <c r="L393" s="177">
        <f>CHOOSE(Basis!$E$1,((AJ393*(J393*3600/Basis!$E$5)^AK393*(((MID(C393,9,3)*10)-144)/1000)*AL393+AM393*(J393*3600/Basis!$E$5)^2)*0.0098)/Basis!$E$10,((AJ393*(J393/Basis!$E$5)^AK393*(((MID(C393,9,3)*10)-144)/1000)*AL393+AM393*(J393/Basis!$E$5)^2)*0.0098)/Basis!$E$10)</f>
        <v>0</v>
      </c>
      <c r="M393" s="85"/>
      <c r="N393" s="110">
        <v>1.349</v>
      </c>
      <c r="O393" s="74"/>
      <c r="P393" s="73">
        <v>3295</v>
      </c>
      <c r="Q393" s="74"/>
      <c r="R393" s="75"/>
      <c r="S393" s="75"/>
      <c r="T393" s="75"/>
      <c r="U393" s="75"/>
      <c r="V393" s="75"/>
      <c r="W393" s="74"/>
      <c r="X393" s="76"/>
      <c r="Y393" s="76"/>
      <c r="Z393" s="76"/>
      <c r="AA393" s="76"/>
      <c r="AB393" s="76"/>
      <c r="AC393" s="74"/>
      <c r="AD393" s="77"/>
      <c r="AE393" s="77"/>
      <c r="AF393" s="77"/>
      <c r="AG393" s="77"/>
      <c r="AH393" s="77"/>
      <c r="AI393" s="68"/>
      <c r="AJ393" s="213"/>
      <c r="AK393" s="213"/>
      <c r="AL393" s="213"/>
      <c r="AM393" s="213"/>
      <c r="AN393" s="74"/>
      <c r="AO393" s="73"/>
      <c r="AP393" s="73"/>
      <c r="AQ393" s="73"/>
      <c r="AR393" s="73"/>
      <c r="AS393" s="73"/>
      <c r="AT393" s="74"/>
      <c r="AU393" s="47"/>
      <c r="AV393" s="48"/>
    </row>
    <row r="394" spans="1:48" ht="12.75" customHeight="1" x14ac:dyDescent="0.25">
      <c r="A394" s="72" t="s">
        <v>20</v>
      </c>
      <c r="B394" s="43" t="s">
        <v>4043</v>
      </c>
      <c r="C394" s="44" t="s">
        <v>3722</v>
      </c>
      <c r="D394" s="45">
        <f>MROUND(MID($C394,6,3)/Basis!$E$3,0.5)</f>
        <v>17</v>
      </c>
      <c r="E394" s="45">
        <f>MROUND(MID($C394,9,3)/Basis!$E$3,0.5)</f>
        <v>23.5</v>
      </c>
      <c r="F394" s="229" t="str">
        <f t="shared" si="5"/>
        <v>11</v>
      </c>
      <c r="G394" s="45">
        <f>ROUND(5/Basis!$E$3,1)</f>
        <v>2</v>
      </c>
      <c r="H394" s="120">
        <f>ROUND($P394*Basis!$E$2*((TaH-TrH)/LN(1/µ)/Basis!$E$7)^$N394*Glycol,0)</f>
        <v>961</v>
      </c>
      <c r="I394" s="83">
        <f>ROUND(H394/(MID($C394,9,3)/Basis!$E$3/Basis!$E$9)*Basis!$E$11,0)</f>
        <v>488</v>
      </c>
      <c r="J394" s="123">
        <f>IF(Basis!$E$1=1,ROUND(H394/((TaH-TrH)*1.163)/3600,3),ROUND(H394/(500*(TaH-TrH)),2))</f>
        <v>0.1</v>
      </c>
      <c r="K394" s="84"/>
      <c r="L394" s="177">
        <f>CHOOSE(Basis!$E$1,((AJ394*(J394*3600/Basis!$E$5)^AK394*(((MID(C394,9,3)*10)-144)/1000)*AL394+AM394*(J394*3600/Basis!$E$5)^2)*0.0098)/Basis!$E$10,((AJ394*(J394/Basis!$E$5)^AK394*(((MID(C394,9,3)*10)-144)/1000)*AL394+AM394*(J394/Basis!$E$5)^2)*0.0098)/Basis!$E$10)</f>
        <v>0</v>
      </c>
      <c r="M394" s="85"/>
      <c r="N394" s="109">
        <v>1.248</v>
      </c>
      <c r="O394" s="68"/>
      <c r="P394" s="67">
        <v>425</v>
      </c>
      <c r="Q394" s="68"/>
      <c r="R394" s="69"/>
      <c r="S394" s="69"/>
      <c r="T394" s="69"/>
      <c r="U394" s="69"/>
      <c r="V394" s="69"/>
      <c r="W394" s="68"/>
      <c r="X394" s="70"/>
      <c r="Y394" s="70"/>
      <c r="Z394" s="70"/>
      <c r="AA394" s="70"/>
      <c r="AB394" s="70"/>
      <c r="AC394" s="68"/>
      <c r="AD394" s="71"/>
      <c r="AE394" s="71"/>
      <c r="AF394" s="71"/>
      <c r="AG394" s="71"/>
      <c r="AH394" s="71"/>
      <c r="AI394" s="68"/>
      <c r="AJ394" s="214"/>
      <c r="AK394" s="214"/>
      <c r="AL394" s="214"/>
      <c r="AM394" s="214"/>
      <c r="AN394" s="68"/>
      <c r="AO394" s="67"/>
      <c r="AP394" s="67"/>
      <c r="AQ394" s="67"/>
      <c r="AR394" s="67"/>
      <c r="AS394" s="67"/>
      <c r="AT394" s="68"/>
      <c r="AU394" s="49"/>
      <c r="AV394" s="50"/>
    </row>
    <row r="395" spans="1:48" ht="12.75" customHeight="1" x14ac:dyDescent="0.25">
      <c r="A395" s="72" t="s">
        <v>20</v>
      </c>
      <c r="B395" s="43" t="s">
        <v>4043</v>
      </c>
      <c r="C395" s="44" t="s">
        <v>3723</v>
      </c>
      <c r="D395" s="45">
        <f>MROUND(MID($C395,6,3)/Basis!$E$3,0.5)</f>
        <v>17</v>
      </c>
      <c r="E395" s="45">
        <f>MROUND(MID($C395,9,3)/Basis!$E$3,0.5)</f>
        <v>23.5</v>
      </c>
      <c r="F395" s="229" t="str">
        <f t="shared" ref="F395:F458" si="6">MID(C395,12,2)</f>
        <v>22</v>
      </c>
      <c r="G395" s="45">
        <f>ROUND(9/Basis!$E$3,1)</f>
        <v>3.5</v>
      </c>
      <c r="H395" s="120">
        <f>ROUND($P395*Basis!$E$2*((TaH-TrH)/LN(1/µ)/Basis!$E$7)^$N395*Glycol,0)</f>
        <v>1622</v>
      </c>
      <c r="I395" s="83">
        <f>ROUND(H395/(MID($C395,9,3)/Basis!$E$3/Basis!$E$9)*Basis!$E$11,0)</f>
        <v>824</v>
      </c>
      <c r="J395" s="123">
        <f>IF(Basis!$E$1=1,ROUND(H395/((TaH-TrH)*1.163)/3600,3),ROUND(H395/(500*(TaH-TrH)),2))</f>
        <v>0.16</v>
      </c>
      <c r="K395" s="84"/>
      <c r="L395" s="177">
        <f>CHOOSE(Basis!$E$1,((AJ395*(J395*3600/Basis!$E$5)^AK395*(((MID(C395,9,3)*10)-144)/1000)*AL395+AM395*(J395*3600/Basis!$E$5)^2)*0.0098)/Basis!$E$10,((AJ395*(J395/Basis!$E$5)^AK395*(((MID(C395,9,3)*10)-144)/1000)*AL395+AM395*(J395/Basis!$E$5)^2)*0.0098)/Basis!$E$10)</f>
        <v>0</v>
      </c>
      <c r="M395" s="85"/>
      <c r="N395" s="110">
        <v>1.349</v>
      </c>
      <c r="O395" s="74"/>
      <c r="P395" s="73">
        <v>742</v>
      </c>
      <c r="Q395" s="74"/>
      <c r="R395" s="75"/>
      <c r="S395" s="75"/>
      <c r="T395" s="75"/>
      <c r="U395" s="75"/>
      <c r="V395" s="75"/>
      <c r="W395" s="74"/>
      <c r="X395" s="76"/>
      <c r="Y395" s="76"/>
      <c r="Z395" s="76"/>
      <c r="AA395" s="76"/>
      <c r="AB395" s="76"/>
      <c r="AC395" s="74"/>
      <c r="AD395" s="77"/>
      <c r="AE395" s="77"/>
      <c r="AF395" s="77"/>
      <c r="AG395" s="77"/>
      <c r="AH395" s="77"/>
      <c r="AI395" s="68"/>
      <c r="AJ395" s="213"/>
      <c r="AK395" s="213"/>
      <c r="AL395" s="213"/>
      <c r="AM395" s="213"/>
      <c r="AN395" s="74"/>
      <c r="AO395" s="73"/>
      <c r="AP395" s="73"/>
      <c r="AQ395" s="73"/>
      <c r="AR395" s="73"/>
      <c r="AS395" s="73"/>
      <c r="AT395" s="74"/>
      <c r="AU395" s="47"/>
      <c r="AV395" s="48"/>
    </row>
    <row r="396" spans="1:48" ht="12.75" customHeight="1" x14ac:dyDescent="0.25">
      <c r="A396" s="72" t="s">
        <v>20</v>
      </c>
      <c r="B396" s="43" t="s">
        <v>4043</v>
      </c>
      <c r="C396" s="44" t="s">
        <v>3724</v>
      </c>
      <c r="D396" s="45">
        <f>MROUND(MID($C396,6,3)/Basis!$E$3,0.5)</f>
        <v>17</v>
      </c>
      <c r="E396" s="45">
        <f>MROUND(MID($C396,9,3)/Basis!$E$3,0.5)</f>
        <v>31.5</v>
      </c>
      <c r="F396" s="229" t="str">
        <f t="shared" si="6"/>
        <v>11</v>
      </c>
      <c r="G396" s="45">
        <f>ROUND(5/Basis!$E$3,1)</f>
        <v>2</v>
      </c>
      <c r="H396" s="120">
        <f>ROUND($P396*Basis!$E$2*((TaH-TrH)/LN(1/µ)/Basis!$E$7)^$N396*Glycol,0)</f>
        <v>1279</v>
      </c>
      <c r="I396" s="83">
        <f>ROUND(H396/(MID($C396,9,3)/Basis!$E$3/Basis!$E$9)*Basis!$E$11,0)</f>
        <v>487</v>
      </c>
      <c r="J396" s="123">
        <f>IF(Basis!$E$1=1,ROUND(H396/((TaH-TrH)*1.163)/3600,3),ROUND(H396/(500*(TaH-TrH)),2))</f>
        <v>0.13</v>
      </c>
      <c r="K396" s="84"/>
      <c r="L396" s="177">
        <f>CHOOSE(Basis!$E$1,((AJ396*(J396*3600/Basis!$E$5)^AK396*(((MID(C396,9,3)*10)-144)/1000)*AL396+AM396*(J396*3600/Basis!$E$5)^2)*0.0098)/Basis!$E$10,((AJ396*(J396/Basis!$E$5)^AK396*(((MID(C396,9,3)*10)-144)/1000)*AL396+AM396*(J396/Basis!$E$5)^2)*0.0098)/Basis!$E$10)</f>
        <v>0</v>
      </c>
      <c r="M396" s="85"/>
      <c r="N396" s="109">
        <v>1.248</v>
      </c>
      <c r="O396" s="68"/>
      <c r="P396" s="67">
        <v>566</v>
      </c>
      <c r="Q396" s="68"/>
      <c r="R396" s="69"/>
      <c r="S396" s="69"/>
      <c r="T396" s="69"/>
      <c r="U396" s="69"/>
      <c r="V396" s="69"/>
      <c r="W396" s="68"/>
      <c r="X396" s="70"/>
      <c r="Y396" s="70"/>
      <c r="Z396" s="70"/>
      <c r="AA396" s="70"/>
      <c r="AB396" s="70"/>
      <c r="AC396" s="68"/>
      <c r="AD396" s="71"/>
      <c r="AE396" s="71"/>
      <c r="AF396" s="71"/>
      <c r="AG396" s="71"/>
      <c r="AH396" s="71"/>
      <c r="AI396" s="68"/>
      <c r="AJ396" s="214"/>
      <c r="AK396" s="214"/>
      <c r="AL396" s="214"/>
      <c r="AM396" s="214"/>
      <c r="AN396" s="68"/>
      <c r="AO396" s="67"/>
      <c r="AP396" s="67"/>
      <c r="AQ396" s="67"/>
      <c r="AR396" s="67"/>
      <c r="AS396" s="67"/>
      <c r="AT396" s="68"/>
      <c r="AU396" s="49"/>
      <c r="AV396" s="50"/>
    </row>
    <row r="397" spans="1:48" ht="12.75" customHeight="1" x14ac:dyDescent="0.25">
      <c r="A397" s="72" t="s">
        <v>20</v>
      </c>
      <c r="B397" s="43" t="s">
        <v>4043</v>
      </c>
      <c r="C397" s="44" t="s">
        <v>3725</v>
      </c>
      <c r="D397" s="45">
        <f>MROUND(MID($C397,6,3)/Basis!$E$3,0.5)</f>
        <v>17</v>
      </c>
      <c r="E397" s="45">
        <f>MROUND(MID($C397,9,3)/Basis!$E$3,0.5)</f>
        <v>31.5</v>
      </c>
      <c r="F397" s="229" t="str">
        <f t="shared" si="6"/>
        <v>22</v>
      </c>
      <c r="G397" s="45">
        <f>ROUND(9/Basis!$E$3,1)</f>
        <v>3.5</v>
      </c>
      <c r="H397" s="120">
        <f>ROUND($P397*Basis!$E$2*((TaH-TrH)/LN(1/µ)/Basis!$E$7)^$N397*Glycol,0)</f>
        <v>2162</v>
      </c>
      <c r="I397" s="83">
        <f>ROUND(H397/(MID($C397,9,3)/Basis!$E$3/Basis!$E$9)*Basis!$E$11,0)</f>
        <v>824</v>
      </c>
      <c r="J397" s="123">
        <f>IF(Basis!$E$1=1,ROUND(H397/((TaH-TrH)*1.163)/3600,3),ROUND(H397/(500*(TaH-TrH)),2))</f>
        <v>0.22</v>
      </c>
      <c r="K397" s="84"/>
      <c r="L397" s="177">
        <f>CHOOSE(Basis!$E$1,((AJ397*(J397*3600/Basis!$E$5)^AK397*(((MID(C397,9,3)*10)-144)/1000)*AL397+AM397*(J397*3600/Basis!$E$5)^2)*0.0098)/Basis!$E$10,((AJ397*(J397/Basis!$E$5)^AK397*(((MID(C397,9,3)*10)-144)/1000)*AL397+AM397*(J397/Basis!$E$5)^2)*0.0098)/Basis!$E$10)</f>
        <v>0</v>
      </c>
      <c r="M397" s="85"/>
      <c r="N397" s="109">
        <v>1.349</v>
      </c>
      <c r="O397" s="68"/>
      <c r="P397" s="67">
        <v>989</v>
      </c>
      <c r="Q397" s="68"/>
      <c r="R397" s="69"/>
      <c r="S397" s="69"/>
      <c r="T397" s="69"/>
      <c r="U397" s="69"/>
      <c r="V397" s="69"/>
      <c r="W397" s="68"/>
      <c r="X397" s="70"/>
      <c r="Y397" s="70"/>
      <c r="Z397" s="70"/>
      <c r="AA397" s="70"/>
      <c r="AB397" s="70"/>
      <c r="AC397" s="68"/>
      <c r="AD397" s="71"/>
      <c r="AE397" s="71"/>
      <c r="AF397" s="71"/>
      <c r="AG397" s="71"/>
      <c r="AH397" s="71"/>
      <c r="AI397" s="68"/>
      <c r="AJ397" s="214"/>
      <c r="AK397" s="214"/>
      <c r="AL397" s="214"/>
      <c r="AM397" s="214"/>
      <c r="AN397" s="68"/>
      <c r="AO397" s="67"/>
      <c r="AP397" s="67"/>
      <c r="AQ397" s="67"/>
      <c r="AR397" s="67"/>
      <c r="AS397" s="67"/>
      <c r="AT397" s="68"/>
      <c r="AU397" s="49"/>
      <c r="AV397" s="50"/>
    </row>
    <row r="398" spans="1:48" ht="12.75" customHeight="1" x14ac:dyDescent="0.25">
      <c r="A398" s="72" t="s">
        <v>20</v>
      </c>
      <c r="B398" s="43" t="s">
        <v>4043</v>
      </c>
      <c r="C398" s="44" t="s">
        <v>3726</v>
      </c>
      <c r="D398" s="45">
        <f>MROUND(MID($C398,6,3)/Basis!$E$3,0.5)</f>
        <v>17</v>
      </c>
      <c r="E398" s="45">
        <f>MROUND(MID($C398,9,3)/Basis!$E$3,0.5)</f>
        <v>39.5</v>
      </c>
      <c r="F398" s="229" t="str">
        <f t="shared" si="6"/>
        <v>11</v>
      </c>
      <c r="G398" s="45">
        <f>ROUND(5/Basis!$E$3,1)</f>
        <v>2</v>
      </c>
      <c r="H398" s="120">
        <f>ROUND($P398*Basis!$E$2*((TaH-TrH)/LN(1/µ)/Basis!$E$7)^$N398*Glycol,0)</f>
        <v>1600</v>
      </c>
      <c r="I398" s="83">
        <f>ROUND(H398/(MID($C398,9,3)/Basis!$E$3/Basis!$E$9)*Basis!$E$11,0)</f>
        <v>488</v>
      </c>
      <c r="J398" s="123">
        <f>IF(Basis!$E$1=1,ROUND(H398/((TaH-TrH)*1.163)/3600,3),ROUND(H398/(500*(TaH-TrH)),2))</f>
        <v>0.16</v>
      </c>
      <c r="K398" s="84"/>
      <c r="L398" s="177">
        <f>CHOOSE(Basis!$E$1,((AJ398*(J398*3600/Basis!$E$5)^AK398*(((MID(C398,9,3)*10)-144)/1000)*AL398+AM398*(J398*3600/Basis!$E$5)^2)*0.0098)/Basis!$E$10,((AJ398*(J398/Basis!$E$5)^AK398*(((MID(C398,9,3)*10)-144)/1000)*AL398+AM398*(J398/Basis!$E$5)^2)*0.0098)/Basis!$E$10)</f>
        <v>0</v>
      </c>
      <c r="M398" s="85"/>
      <c r="N398" s="110">
        <v>1.248</v>
      </c>
      <c r="O398" s="74"/>
      <c r="P398" s="73">
        <v>708</v>
      </c>
      <c r="Q398" s="74"/>
      <c r="R398" s="75"/>
      <c r="S398" s="75"/>
      <c r="T398" s="75"/>
      <c r="U398" s="75"/>
      <c r="V398" s="75"/>
      <c r="W398" s="74"/>
      <c r="X398" s="76"/>
      <c r="Y398" s="76"/>
      <c r="Z398" s="76"/>
      <c r="AA398" s="76"/>
      <c r="AB398" s="76"/>
      <c r="AC398" s="74"/>
      <c r="AD398" s="77"/>
      <c r="AE398" s="77"/>
      <c r="AF398" s="77"/>
      <c r="AG398" s="77"/>
      <c r="AH398" s="77"/>
      <c r="AI398" s="68"/>
      <c r="AJ398" s="213"/>
      <c r="AK398" s="213"/>
      <c r="AL398" s="213"/>
      <c r="AM398" s="213"/>
      <c r="AN398" s="74"/>
      <c r="AO398" s="73"/>
      <c r="AP398" s="73"/>
      <c r="AQ398" s="73"/>
      <c r="AR398" s="73"/>
      <c r="AS398" s="73"/>
      <c r="AT398" s="74"/>
      <c r="AU398" s="47"/>
      <c r="AV398" s="48"/>
    </row>
    <row r="399" spans="1:48" ht="12.75" customHeight="1" x14ac:dyDescent="0.25">
      <c r="A399" s="72" t="s">
        <v>20</v>
      </c>
      <c r="B399" s="43" t="s">
        <v>4043</v>
      </c>
      <c r="C399" s="44" t="s">
        <v>3727</v>
      </c>
      <c r="D399" s="45">
        <f>MROUND(MID($C399,6,3)/Basis!$E$3,0.5)</f>
        <v>17</v>
      </c>
      <c r="E399" s="45">
        <f>MROUND(MID($C399,9,3)/Basis!$E$3,0.5)</f>
        <v>39.5</v>
      </c>
      <c r="F399" s="229" t="str">
        <f t="shared" si="6"/>
        <v>22</v>
      </c>
      <c r="G399" s="45">
        <f>ROUND(9/Basis!$E$3,1)</f>
        <v>3.5</v>
      </c>
      <c r="H399" s="120">
        <f>ROUND($P399*Basis!$E$2*((TaH-TrH)/LN(1/µ)/Basis!$E$7)^$N399*Glycol,0)</f>
        <v>2702</v>
      </c>
      <c r="I399" s="83">
        <f>ROUND(H399/(MID($C399,9,3)/Basis!$E$3/Basis!$E$9)*Basis!$E$11,0)</f>
        <v>824</v>
      </c>
      <c r="J399" s="123">
        <f>IF(Basis!$E$1=1,ROUND(H399/((TaH-TrH)*1.163)/3600,3),ROUND(H399/(500*(TaH-TrH)),2))</f>
        <v>0.27</v>
      </c>
      <c r="K399" s="84"/>
      <c r="L399" s="177">
        <f>CHOOSE(Basis!$E$1,((AJ399*(J399*3600/Basis!$E$5)^AK399*(((MID(C399,9,3)*10)-144)/1000)*AL399+AM399*(J399*3600/Basis!$E$5)^2)*0.0098)/Basis!$E$10,((AJ399*(J399/Basis!$E$5)^AK399*(((MID(C399,9,3)*10)-144)/1000)*AL399+AM399*(J399/Basis!$E$5)^2)*0.0098)/Basis!$E$10)</f>
        <v>0</v>
      </c>
      <c r="M399" s="85"/>
      <c r="N399" s="110">
        <v>1.349</v>
      </c>
      <c r="O399" s="74"/>
      <c r="P399" s="73">
        <v>1236</v>
      </c>
      <c r="Q399" s="74"/>
      <c r="R399" s="75"/>
      <c r="S399" s="75"/>
      <c r="T399" s="75"/>
      <c r="U399" s="75"/>
      <c r="V399" s="75"/>
      <c r="W399" s="74"/>
      <c r="X399" s="76"/>
      <c r="Y399" s="76"/>
      <c r="Z399" s="76"/>
      <c r="AA399" s="76"/>
      <c r="AB399" s="76"/>
      <c r="AC399" s="74"/>
      <c r="AD399" s="77"/>
      <c r="AE399" s="77"/>
      <c r="AF399" s="77"/>
      <c r="AG399" s="77"/>
      <c r="AH399" s="77"/>
      <c r="AI399" s="68"/>
      <c r="AJ399" s="213"/>
      <c r="AK399" s="213"/>
      <c r="AL399" s="213"/>
      <c r="AM399" s="213"/>
      <c r="AN399" s="74"/>
      <c r="AO399" s="73"/>
      <c r="AP399" s="73"/>
      <c r="AQ399" s="73"/>
      <c r="AR399" s="73"/>
      <c r="AS399" s="73"/>
      <c r="AT399" s="74"/>
      <c r="AU399" s="47"/>
      <c r="AV399" s="48"/>
    </row>
    <row r="400" spans="1:48" ht="12.75" customHeight="1" x14ac:dyDescent="0.25">
      <c r="A400" s="72" t="s">
        <v>20</v>
      </c>
      <c r="B400" s="43" t="s">
        <v>4043</v>
      </c>
      <c r="C400" s="44" t="s">
        <v>3728</v>
      </c>
      <c r="D400" s="45">
        <f>MROUND(MID($C400,6,3)/Basis!$E$3,0.5)</f>
        <v>17</v>
      </c>
      <c r="E400" s="45">
        <f>MROUND(MID($C400,9,3)/Basis!$E$3,0.5)</f>
        <v>47</v>
      </c>
      <c r="F400" s="229" t="str">
        <f t="shared" si="6"/>
        <v>11</v>
      </c>
      <c r="G400" s="45">
        <f>ROUND(5/Basis!$E$3,1)</f>
        <v>2</v>
      </c>
      <c r="H400" s="120">
        <f>ROUND($P400*Basis!$E$2*((TaH-TrH)/LN(1/µ)/Basis!$E$7)^$N400*Glycol,0)</f>
        <v>1919</v>
      </c>
      <c r="I400" s="83">
        <f>ROUND(H400/(MID($C400,9,3)/Basis!$E$3/Basis!$E$9)*Basis!$E$11,0)</f>
        <v>487</v>
      </c>
      <c r="J400" s="123">
        <f>IF(Basis!$E$1=1,ROUND(H400/((TaH-TrH)*1.163)/3600,3),ROUND(H400/(500*(TaH-TrH)),2))</f>
        <v>0.19</v>
      </c>
      <c r="K400" s="84"/>
      <c r="L400" s="177">
        <f>CHOOSE(Basis!$E$1,((AJ400*(J400*3600/Basis!$E$5)^AK400*(((MID(C400,9,3)*10)-144)/1000)*AL400+AM400*(J400*3600/Basis!$E$5)^2)*0.0098)/Basis!$E$10,((AJ400*(J400/Basis!$E$5)^AK400*(((MID(C400,9,3)*10)-144)/1000)*AL400+AM400*(J400/Basis!$E$5)^2)*0.0098)/Basis!$E$10)</f>
        <v>0</v>
      </c>
      <c r="M400" s="85"/>
      <c r="N400" s="109">
        <v>1.248</v>
      </c>
      <c r="O400" s="68"/>
      <c r="P400" s="67">
        <v>849</v>
      </c>
      <c r="Q400" s="68"/>
      <c r="R400" s="69"/>
      <c r="S400" s="69"/>
      <c r="T400" s="69"/>
      <c r="U400" s="69"/>
      <c r="V400" s="69"/>
      <c r="W400" s="68"/>
      <c r="X400" s="70"/>
      <c r="Y400" s="70"/>
      <c r="Z400" s="70"/>
      <c r="AA400" s="70"/>
      <c r="AB400" s="70"/>
      <c r="AC400" s="68"/>
      <c r="AD400" s="71"/>
      <c r="AE400" s="71"/>
      <c r="AF400" s="71"/>
      <c r="AG400" s="71"/>
      <c r="AH400" s="71"/>
      <c r="AI400" s="68"/>
      <c r="AJ400" s="214"/>
      <c r="AK400" s="214"/>
      <c r="AL400" s="214"/>
      <c r="AM400" s="214"/>
      <c r="AN400" s="68"/>
      <c r="AO400" s="67"/>
      <c r="AP400" s="67"/>
      <c r="AQ400" s="67"/>
      <c r="AR400" s="67"/>
      <c r="AS400" s="67"/>
      <c r="AT400" s="68"/>
      <c r="AU400" s="49"/>
      <c r="AV400" s="50"/>
    </row>
    <row r="401" spans="1:48" ht="12.75" customHeight="1" x14ac:dyDescent="0.25">
      <c r="A401" s="72" t="s">
        <v>20</v>
      </c>
      <c r="B401" s="43" t="s">
        <v>4043</v>
      </c>
      <c r="C401" s="44" t="s">
        <v>3729</v>
      </c>
      <c r="D401" s="45">
        <f>MROUND(MID($C401,6,3)/Basis!$E$3,0.5)</f>
        <v>17</v>
      </c>
      <c r="E401" s="45">
        <f>MROUND(MID($C401,9,3)/Basis!$E$3,0.5)</f>
        <v>47</v>
      </c>
      <c r="F401" s="229" t="str">
        <f t="shared" si="6"/>
        <v>22</v>
      </c>
      <c r="G401" s="45">
        <f>ROUND(9/Basis!$E$3,1)</f>
        <v>3.5</v>
      </c>
      <c r="H401" s="120">
        <f>ROUND($P401*Basis!$E$2*((TaH-TrH)/LN(1/µ)/Basis!$E$7)^$N401*Glycol,0)</f>
        <v>3242</v>
      </c>
      <c r="I401" s="83">
        <f>ROUND(H401/(MID($C401,9,3)/Basis!$E$3/Basis!$E$9)*Basis!$E$11,0)</f>
        <v>823</v>
      </c>
      <c r="J401" s="123">
        <f>IF(Basis!$E$1=1,ROUND(H401/((TaH-TrH)*1.163)/3600,3),ROUND(H401/(500*(TaH-TrH)),2))</f>
        <v>0.32</v>
      </c>
      <c r="K401" s="84"/>
      <c r="L401" s="177">
        <f>CHOOSE(Basis!$E$1,((AJ401*(J401*3600/Basis!$E$5)^AK401*(((MID(C401,9,3)*10)-144)/1000)*AL401+AM401*(J401*3600/Basis!$E$5)^2)*0.0098)/Basis!$E$10,((AJ401*(J401/Basis!$E$5)^AK401*(((MID(C401,9,3)*10)-144)/1000)*AL401+AM401*(J401/Basis!$E$5)^2)*0.0098)/Basis!$E$10)</f>
        <v>0</v>
      </c>
      <c r="M401" s="85"/>
      <c r="N401" s="109">
        <v>1.349</v>
      </c>
      <c r="O401" s="68"/>
      <c r="P401" s="67">
        <v>1483</v>
      </c>
      <c r="Q401" s="68"/>
      <c r="R401" s="69"/>
      <c r="S401" s="69"/>
      <c r="T401" s="69"/>
      <c r="U401" s="69"/>
      <c r="V401" s="69"/>
      <c r="W401" s="68"/>
      <c r="X401" s="70"/>
      <c r="Y401" s="70"/>
      <c r="Z401" s="70"/>
      <c r="AA401" s="70"/>
      <c r="AB401" s="70"/>
      <c r="AC401" s="68"/>
      <c r="AD401" s="71"/>
      <c r="AE401" s="71"/>
      <c r="AF401" s="71"/>
      <c r="AG401" s="71"/>
      <c r="AH401" s="71"/>
      <c r="AI401" s="68"/>
      <c r="AJ401" s="214"/>
      <c r="AK401" s="214"/>
      <c r="AL401" s="214"/>
      <c r="AM401" s="214"/>
      <c r="AN401" s="68"/>
      <c r="AO401" s="67"/>
      <c r="AP401" s="67"/>
      <c r="AQ401" s="67"/>
      <c r="AR401" s="67"/>
      <c r="AS401" s="67"/>
      <c r="AT401" s="68"/>
      <c r="AU401" s="49"/>
      <c r="AV401" s="50"/>
    </row>
    <row r="402" spans="1:48" ht="12.75" customHeight="1" x14ac:dyDescent="0.25">
      <c r="A402" s="72" t="s">
        <v>20</v>
      </c>
      <c r="B402" s="43" t="s">
        <v>4043</v>
      </c>
      <c r="C402" s="44" t="s">
        <v>3730</v>
      </c>
      <c r="D402" s="45">
        <f>MROUND(MID($C402,6,3)/Basis!$E$3,0.5)</f>
        <v>17</v>
      </c>
      <c r="E402" s="45">
        <f>MROUND(MID($C402,9,3)/Basis!$E$3,0.5)</f>
        <v>55</v>
      </c>
      <c r="F402" s="229" t="str">
        <f t="shared" si="6"/>
        <v>11</v>
      </c>
      <c r="G402" s="45">
        <f>ROUND(5/Basis!$E$3,1)</f>
        <v>2</v>
      </c>
      <c r="H402" s="120">
        <f>ROUND($P402*Basis!$E$2*((TaH-TrH)/LN(1/µ)/Basis!$E$7)^$N402*Glycol,0)</f>
        <v>2240</v>
      </c>
      <c r="I402" s="83">
        <f>ROUND(H402/(MID($C402,9,3)/Basis!$E$3/Basis!$E$9)*Basis!$E$11,0)</f>
        <v>488</v>
      </c>
      <c r="J402" s="123">
        <f>IF(Basis!$E$1=1,ROUND(H402/((TaH-TrH)*1.163)/3600,3),ROUND(H402/(500*(TaH-TrH)),2))</f>
        <v>0.22</v>
      </c>
      <c r="K402" s="84"/>
      <c r="L402" s="177">
        <f>CHOOSE(Basis!$E$1,((AJ402*(J402*3600/Basis!$E$5)^AK402*(((MID(C402,9,3)*10)-144)/1000)*AL402+AM402*(J402*3600/Basis!$E$5)^2)*0.0098)/Basis!$E$10,((AJ402*(J402/Basis!$E$5)^AK402*(((MID(C402,9,3)*10)-144)/1000)*AL402+AM402*(J402/Basis!$E$5)^2)*0.0098)/Basis!$E$10)</f>
        <v>0</v>
      </c>
      <c r="M402" s="85"/>
      <c r="N402" s="110">
        <v>1.248</v>
      </c>
      <c r="O402" s="74"/>
      <c r="P402" s="73">
        <v>991</v>
      </c>
      <c r="Q402" s="74"/>
      <c r="R402" s="75"/>
      <c r="S402" s="75"/>
      <c r="T402" s="75"/>
      <c r="U402" s="75"/>
      <c r="V402" s="75"/>
      <c r="W402" s="74"/>
      <c r="X402" s="76"/>
      <c r="Y402" s="76"/>
      <c r="Z402" s="76"/>
      <c r="AA402" s="76"/>
      <c r="AB402" s="76"/>
      <c r="AC402" s="74"/>
      <c r="AD402" s="77"/>
      <c r="AE402" s="77"/>
      <c r="AF402" s="77"/>
      <c r="AG402" s="77"/>
      <c r="AH402" s="77"/>
      <c r="AI402" s="68"/>
      <c r="AJ402" s="213"/>
      <c r="AK402" s="213"/>
      <c r="AL402" s="213"/>
      <c r="AM402" s="213"/>
      <c r="AN402" s="74"/>
      <c r="AO402" s="73"/>
      <c r="AP402" s="73"/>
      <c r="AQ402" s="73"/>
      <c r="AR402" s="73"/>
      <c r="AS402" s="73"/>
      <c r="AT402" s="74"/>
      <c r="AU402" s="47"/>
      <c r="AV402" s="48"/>
    </row>
    <row r="403" spans="1:48" ht="12.75" customHeight="1" x14ac:dyDescent="0.25">
      <c r="A403" s="72" t="s">
        <v>20</v>
      </c>
      <c r="B403" s="43" t="s">
        <v>4043</v>
      </c>
      <c r="C403" s="44" t="s">
        <v>3731</v>
      </c>
      <c r="D403" s="45">
        <f>MROUND(MID($C403,6,3)/Basis!$E$3,0.5)</f>
        <v>17</v>
      </c>
      <c r="E403" s="45">
        <f>MROUND(MID($C403,9,3)/Basis!$E$3,0.5)</f>
        <v>55</v>
      </c>
      <c r="F403" s="229" t="str">
        <f t="shared" si="6"/>
        <v>22</v>
      </c>
      <c r="G403" s="45">
        <f>ROUND(9/Basis!$E$3,1)</f>
        <v>3.5</v>
      </c>
      <c r="H403" s="120">
        <f>ROUND($P403*Basis!$E$2*((TaH-TrH)/LN(1/µ)/Basis!$E$7)^$N403*Glycol,0)</f>
        <v>3782</v>
      </c>
      <c r="I403" s="83">
        <f>ROUND(H403/(MID($C403,9,3)/Basis!$E$3/Basis!$E$9)*Basis!$E$11,0)</f>
        <v>823</v>
      </c>
      <c r="J403" s="123">
        <f>IF(Basis!$E$1=1,ROUND(H403/((TaH-TrH)*1.163)/3600,3),ROUND(H403/(500*(TaH-TrH)),2))</f>
        <v>0.38</v>
      </c>
      <c r="K403" s="84"/>
      <c r="L403" s="177">
        <f>CHOOSE(Basis!$E$1,((AJ403*(J403*3600/Basis!$E$5)^AK403*(((MID(C403,9,3)*10)-144)/1000)*AL403+AM403*(J403*3600/Basis!$E$5)^2)*0.0098)/Basis!$E$10,((AJ403*(J403/Basis!$E$5)^AK403*(((MID(C403,9,3)*10)-144)/1000)*AL403+AM403*(J403/Basis!$E$5)^2)*0.0098)/Basis!$E$10)</f>
        <v>0</v>
      </c>
      <c r="M403" s="85"/>
      <c r="N403" s="110">
        <v>1.349</v>
      </c>
      <c r="O403" s="74"/>
      <c r="P403" s="73">
        <v>1730</v>
      </c>
      <c r="Q403" s="74"/>
      <c r="R403" s="75"/>
      <c r="S403" s="75"/>
      <c r="T403" s="75"/>
      <c r="U403" s="75"/>
      <c r="V403" s="75"/>
      <c r="W403" s="74"/>
      <c r="X403" s="76"/>
      <c r="Y403" s="76"/>
      <c r="Z403" s="76"/>
      <c r="AA403" s="76"/>
      <c r="AB403" s="76"/>
      <c r="AC403" s="74"/>
      <c r="AD403" s="77"/>
      <c r="AE403" s="77"/>
      <c r="AF403" s="77"/>
      <c r="AG403" s="77"/>
      <c r="AH403" s="77"/>
      <c r="AI403" s="68"/>
      <c r="AJ403" s="213"/>
      <c r="AK403" s="213"/>
      <c r="AL403" s="213"/>
      <c r="AM403" s="213"/>
      <c r="AN403" s="74"/>
      <c r="AO403" s="73"/>
      <c r="AP403" s="73"/>
      <c r="AQ403" s="73"/>
      <c r="AR403" s="73"/>
      <c r="AS403" s="73"/>
      <c r="AT403" s="74"/>
      <c r="AU403" s="47"/>
      <c r="AV403" s="48"/>
    </row>
    <row r="404" spans="1:48" ht="12.75" customHeight="1" x14ac:dyDescent="0.25">
      <c r="A404" s="72" t="s">
        <v>20</v>
      </c>
      <c r="B404" s="43" t="s">
        <v>4043</v>
      </c>
      <c r="C404" s="44" t="s">
        <v>3732</v>
      </c>
      <c r="D404" s="45">
        <f>MROUND(MID($C404,6,3)/Basis!$E$3,0.5)</f>
        <v>17</v>
      </c>
      <c r="E404" s="45">
        <f>MROUND(MID($C404,9,3)/Basis!$E$3,0.5)</f>
        <v>63</v>
      </c>
      <c r="F404" s="229" t="str">
        <f t="shared" si="6"/>
        <v>11</v>
      </c>
      <c r="G404" s="45">
        <f>ROUND(5/Basis!$E$3,1)</f>
        <v>2</v>
      </c>
      <c r="H404" s="120">
        <f>ROUND($P404*Basis!$E$2*((TaH-TrH)/LN(1/µ)/Basis!$E$7)^$N404*Glycol,0)</f>
        <v>2559</v>
      </c>
      <c r="I404" s="83">
        <f>ROUND(H404/(MID($C404,9,3)/Basis!$E$3/Basis!$E$9)*Basis!$E$11,0)</f>
        <v>487</v>
      </c>
      <c r="J404" s="123">
        <f>IF(Basis!$E$1=1,ROUND(H404/((TaH-TrH)*1.163)/3600,3),ROUND(H404/(500*(TaH-TrH)),2))</f>
        <v>0.26</v>
      </c>
      <c r="K404" s="84"/>
      <c r="L404" s="177">
        <f>CHOOSE(Basis!$E$1,((AJ404*(J404*3600/Basis!$E$5)^AK404*(((MID(C404,9,3)*10)-144)/1000)*AL404+AM404*(J404*3600/Basis!$E$5)^2)*0.0098)/Basis!$E$10,((AJ404*(J404/Basis!$E$5)^AK404*(((MID(C404,9,3)*10)-144)/1000)*AL404+AM404*(J404/Basis!$E$5)^2)*0.0098)/Basis!$E$10)</f>
        <v>0</v>
      </c>
      <c r="M404" s="85"/>
      <c r="N404" s="109">
        <v>1.248</v>
      </c>
      <c r="O404" s="68"/>
      <c r="P404" s="67">
        <v>1132</v>
      </c>
      <c r="Q404" s="68"/>
      <c r="R404" s="69"/>
      <c r="S404" s="69"/>
      <c r="T404" s="69"/>
      <c r="U404" s="69"/>
      <c r="V404" s="69"/>
      <c r="W404" s="68"/>
      <c r="X404" s="70"/>
      <c r="Y404" s="70"/>
      <c r="Z404" s="70"/>
      <c r="AA404" s="70"/>
      <c r="AB404" s="70"/>
      <c r="AC404" s="68"/>
      <c r="AD404" s="71"/>
      <c r="AE404" s="71"/>
      <c r="AF404" s="71"/>
      <c r="AG404" s="71"/>
      <c r="AH404" s="71"/>
      <c r="AI404" s="68"/>
      <c r="AJ404" s="214"/>
      <c r="AK404" s="214"/>
      <c r="AL404" s="214"/>
      <c r="AM404" s="214"/>
      <c r="AN404" s="68"/>
      <c r="AO404" s="67"/>
      <c r="AP404" s="67"/>
      <c r="AQ404" s="67"/>
      <c r="AR404" s="67"/>
      <c r="AS404" s="67"/>
      <c r="AT404" s="68"/>
      <c r="AU404" s="49"/>
      <c r="AV404" s="50"/>
    </row>
    <row r="405" spans="1:48" ht="12.75" customHeight="1" x14ac:dyDescent="0.25">
      <c r="A405" s="72" t="s">
        <v>20</v>
      </c>
      <c r="B405" s="43" t="s">
        <v>4043</v>
      </c>
      <c r="C405" s="44" t="s">
        <v>3733</v>
      </c>
      <c r="D405" s="45">
        <f>MROUND(MID($C405,6,3)/Basis!$E$3,0.5)</f>
        <v>17</v>
      </c>
      <c r="E405" s="45">
        <f>MROUND(MID($C405,9,3)/Basis!$E$3,0.5)</f>
        <v>63</v>
      </c>
      <c r="F405" s="229" t="str">
        <f t="shared" si="6"/>
        <v>22</v>
      </c>
      <c r="G405" s="45">
        <f>ROUND(9/Basis!$E$3,1)</f>
        <v>3.5</v>
      </c>
      <c r="H405" s="120">
        <f>ROUND($P405*Basis!$E$2*((TaH-TrH)/LN(1/µ)/Basis!$E$7)^$N405*Glycol,0)</f>
        <v>4324</v>
      </c>
      <c r="I405" s="83">
        <f>ROUND(H405/(MID($C405,9,3)/Basis!$E$3/Basis!$E$9)*Basis!$E$11,0)</f>
        <v>824</v>
      </c>
      <c r="J405" s="123">
        <f>IF(Basis!$E$1=1,ROUND(H405/((TaH-TrH)*1.163)/3600,3),ROUND(H405/(500*(TaH-TrH)),2))</f>
        <v>0.43</v>
      </c>
      <c r="K405" s="84"/>
      <c r="L405" s="177">
        <f>CHOOSE(Basis!$E$1,((AJ405*(J405*3600/Basis!$E$5)^AK405*(((MID(C405,9,3)*10)-144)/1000)*AL405+AM405*(J405*3600/Basis!$E$5)^2)*0.0098)/Basis!$E$10,((AJ405*(J405/Basis!$E$5)^AK405*(((MID(C405,9,3)*10)-144)/1000)*AL405+AM405*(J405/Basis!$E$5)^2)*0.0098)/Basis!$E$10)</f>
        <v>0</v>
      </c>
      <c r="M405" s="85"/>
      <c r="N405" s="109">
        <v>1.349</v>
      </c>
      <c r="O405" s="68"/>
      <c r="P405" s="67">
        <v>1978</v>
      </c>
      <c r="Q405" s="68"/>
      <c r="R405" s="69"/>
      <c r="S405" s="69"/>
      <c r="T405" s="69"/>
      <c r="U405" s="69"/>
      <c r="V405" s="69"/>
      <c r="W405" s="68"/>
      <c r="X405" s="70"/>
      <c r="Y405" s="70"/>
      <c r="Z405" s="70"/>
      <c r="AA405" s="70"/>
      <c r="AB405" s="70"/>
      <c r="AC405" s="68"/>
      <c r="AD405" s="71"/>
      <c r="AE405" s="71"/>
      <c r="AF405" s="71"/>
      <c r="AG405" s="71"/>
      <c r="AH405" s="71"/>
      <c r="AI405" s="68"/>
      <c r="AJ405" s="214"/>
      <c r="AK405" s="214"/>
      <c r="AL405" s="214"/>
      <c r="AM405" s="214"/>
      <c r="AN405" s="68"/>
      <c r="AO405" s="67"/>
      <c r="AP405" s="67"/>
      <c r="AQ405" s="67"/>
      <c r="AR405" s="67"/>
      <c r="AS405" s="67"/>
      <c r="AT405" s="68"/>
      <c r="AU405" s="49"/>
      <c r="AV405" s="50"/>
    </row>
    <row r="406" spans="1:48" ht="12.75" customHeight="1" x14ac:dyDescent="0.25">
      <c r="A406" s="72" t="s">
        <v>20</v>
      </c>
      <c r="B406" s="43" t="s">
        <v>4043</v>
      </c>
      <c r="C406" s="44" t="s">
        <v>3734</v>
      </c>
      <c r="D406" s="45">
        <f>MROUND(MID($C406,6,3)/Basis!$E$3,0.5)</f>
        <v>17</v>
      </c>
      <c r="E406" s="45">
        <f>MROUND(MID($C406,9,3)/Basis!$E$3,0.5)</f>
        <v>71</v>
      </c>
      <c r="F406" s="229" t="str">
        <f t="shared" si="6"/>
        <v>11</v>
      </c>
      <c r="G406" s="45">
        <f>ROUND(5/Basis!$E$3,1)</f>
        <v>2</v>
      </c>
      <c r="H406" s="120">
        <f>ROUND($P406*Basis!$E$2*((TaH-TrH)/LN(1/µ)/Basis!$E$7)^$N406*Glycol,0)</f>
        <v>2879</v>
      </c>
      <c r="I406" s="83">
        <f>ROUND(H406/(MID($C406,9,3)/Basis!$E$3/Basis!$E$9)*Basis!$E$11,0)</f>
        <v>488</v>
      </c>
      <c r="J406" s="123">
        <f>IF(Basis!$E$1=1,ROUND(H406/((TaH-TrH)*1.163)/3600,3),ROUND(H406/(500*(TaH-TrH)),2))</f>
        <v>0.28999999999999998</v>
      </c>
      <c r="K406" s="84"/>
      <c r="L406" s="177">
        <f>CHOOSE(Basis!$E$1,((AJ406*(J406*3600/Basis!$E$5)^AK406*(((MID(C406,9,3)*10)-144)/1000)*AL406+AM406*(J406*3600/Basis!$E$5)^2)*0.0098)/Basis!$E$10,((AJ406*(J406/Basis!$E$5)^AK406*(((MID(C406,9,3)*10)-144)/1000)*AL406+AM406*(J406/Basis!$E$5)^2)*0.0098)/Basis!$E$10)</f>
        <v>0</v>
      </c>
      <c r="M406" s="85"/>
      <c r="N406" s="110">
        <v>1.248</v>
      </c>
      <c r="O406" s="74"/>
      <c r="P406" s="73">
        <v>1274</v>
      </c>
      <c r="Q406" s="74"/>
      <c r="R406" s="75"/>
      <c r="S406" s="75"/>
      <c r="T406" s="75"/>
      <c r="U406" s="75"/>
      <c r="V406" s="75"/>
      <c r="W406" s="74"/>
      <c r="X406" s="76"/>
      <c r="Y406" s="76"/>
      <c r="Z406" s="76"/>
      <c r="AA406" s="76"/>
      <c r="AB406" s="76"/>
      <c r="AC406" s="74"/>
      <c r="AD406" s="77"/>
      <c r="AE406" s="77"/>
      <c r="AF406" s="77"/>
      <c r="AG406" s="77"/>
      <c r="AH406" s="77"/>
      <c r="AI406" s="68"/>
      <c r="AJ406" s="213"/>
      <c r="AK406" s="213"/>
      <c r="AL406" s="213"/>
      <c r="AM406" s="213"/>
      <c r="AN406" s="74"/>
      <c r="AO406" s="73"/>
      <c r="AP406" s="73"/>
      <c r="AQ406" s="73"/>
      <c r="AR406" s="73"/>
      <c r="AS406" s="73"/>
      <c r="AT406" s="74"/>
      <c r="AU406" s="47"/>
      <c r="AV406" s="48"/>
    </row>
    <row r="407" spans="1:48" ht="12.75" customHeight="1" x14ac:dyDescent="0.25">
      <c r="A407" s="72" t="s">
        <v>20</v>
      </c>
      <c r="B407" s="43" t="s">
        <v>4043</v>
      </c>
      <c r="C407" s="44" t="s">
        <v>3735</v>
      </c>
      <c r="D407" s="45">
        <f>MROUND(MID($C407,6,3)/Basis!$E$3,0.5)</f>
        <v>17</v>
      </c>
      <c r="E407" s="45">
        <f>MROUND(MID($C407,9,3)/Basis!$E$3,0.5)</f>
        <v>71</v>
      </c>
      <c r="F407" s="229" t="str">
        <f t="shared" si="6"/>
        <v>22</v>
      </c>
      <c r="G407" s="45">
        <f>ROUND(9/Basis!$E$3,1)</f>
        <v>3.5</v>
      </c>
      <c r="H407" s="120">
        <f>ROUND($P407*Basis!$E$2*((TaH-TrH)/LN(1/µ)/Basis!$E$7)^$N407*Glycol,0)</f>
        <v>4864</v>
      </c>
      <c r="I407" s="83">
        <f>ROUND(H407/(MID($C407,9,3)/Basis!$E$3/Basis!$E$9)*Basis!$E$11,0)</f>
        <v>824</v>
      </c>
      <c r="J407" s="123">
        <f>IF(Basis!$E$1=1,ROUND(H407/((TaH-TrH)*1.163)/3600,3),ROUND(H407/(500*(TaH-TrH)),2))</f>
        <v>0.49</v>
      </c>
      <c r="K407" s="84"/>
      <c r="L407" s="177">
        <f>CHOOSE(Basis!$E$1,((AJ407*(J407*3600/Basis!$E$5)^AK407*(((MID(C407,9,3)*10)-144)/1000)*AL407+AM407*(J407*3600/Basis!$E$5)^2)*0.0098)/Basis!$E$10,((AJ407*(J407/Basis!$E$5)^AK407*(((MID(C407,9,3)*10)-144)/1000)*AL407+AM407*(J407/Basis!$E$5)^2)*0.0098)/Basis!$E$10)</f>
        <v>0</v>
      </c>
      <c r="M407" s="85"/>
      <c r="N407" s="110">
        <v>1.349</v>
      </c>
      <c r="O407" s="74"/>
      <c r="P407" s="73">
        <v>2225</v>
      </c>
      <c r="Q407" s="74"/>
      <c r="R407" s="75"/>
      <c r="S407" s="75"/>
      <c r="T407" s="75"/>
      <c r="U407" s="75"/>
      <c r="V407" s="75"/>
      <c r="W407" s="74"/>
      <c r="X407" s="76"/>
      <c r="Y407" s="76"/>
      <c r="Z407" s="76"/>
      <c r="AA407" s="76"/>
      <c r="AB407" s="76"/>
      <c r="AC407" s="74"/>
      <c r="AD407" s="77"/>
      <c r="AE407" s="77"/>
      <c r="AF407" s="77"/>
      <c r="AG407" s="77"/>
      <c r="AH407" s="77"/>
      <c r="AI407" s="68"/>
      <c r="AJ407" s="213"/>
      <c r="AK407" s="213"/>
      <c r="AL407" s="213"/>
      <c r="AM407" s="213"/>
      <c r="AN407" s="74"/>
      <c r="AO407" s="73"/>
      <c r="AP407" s="73"/>
      <c r="AQ407" s="73"/>
      <c r="AR407" s="73"/>
      <c r="AS407" s="73"/>
      <c r="AT407" s="74"/>
      <c r="AU407" s="47"/>
      <c r="AV407" s="48"/>
    </row>
    <row r="408" spans="1:48" ht="12.75" customHeight="1" x14ac:dyDescent="0.25">
      <c r="A408" s="72" t="s">
        <v>20</v>
      </c>
      <c r="B408" s="43" t="s">
        <v>4043</v>
      </c>
      <c r="C408" s="44" t="s">
        <v>3736</v>
      </c>
      <c r="D408" s="45">
        <f>MROUND(MID($C408,6,3)/Basis!$E$3,0.5)</f>
        <v>17</v>
      </c>
      <c r="E408" s="45">
        <f>MROUND(MID($C408,9,3)/Basis!$E$3,0.5)</f>
        <v>78.5</v>
      </c>
      <c r="F408" s="229" t="str">
        <f t="shared" si="6"/>
        <v>11</v>
      </c>
      <c r="G408" s="45">
        <f>ROUND(5/Basis!$E$3,1)</f>
        <v>2</v>
      </c>
      <c r="H408" s="120">
        <f>ROUND($P408*Basis!$E$2*((TaH-TrH)/LN(1/µ)/Basis!$E$7)^$N408*Glycol,0)</f>
        <v>3198</v>
      </c>
      <c r="I408" s="83">
        <f>ROUND(H408/(MID($C408,9,3)/Basis!$E$3/Basis!$E$9)*Basis!$E$11,0)</f>
        <v>487</v>
      </c>
      <c r="J408" s="123">
        <f>IF(Basis!$E$1=1,ROUND(H408/((TaH-TrH)*1.163)/3600,3),ROUND(H408/(500*(TaH-TrH)),2))</f>
        <v>0.32</v>
      </c>
      <c r="K408" s="84"/>
      <c r="L408" s="177">
        <f>CHOOSE(Basis!$E$1,((AJ408*(J408*3600/Basis!$E$5)^AK408*(((MID(C408,9,3)*10)-144)/1000)*AL408+AM408*(J408*3600/Basis!$E$5)^2)*0.0098)/Basis!$E$10,((AJ408*(J408/Basis!$E$5)^AK408*(((MID(C408,9,3)*10)-144)/1000)*AL408+AM408*(J408/Basis!$E$5)^2)*0.0098)/Basis!$E$10)</f>
        <v>0</v>
      </c>
      <c r="M408" s="85"/>
      <c r="N408" s="109">
        <v>1.248</v>
      </c>
      <c r="O408" s="68"/>
      <c r="P408" s="67">
        <v>1415</v>
      </c>
      <c r="Q408" s="68"/>
      <c r="R408" s="69"/>
      <c r="S408" s="69"/>
      <c r="T408" s="69"/>
      <c r="U408" s="69"/>
      <c r="V408" s="69"/>
      <c r="W408" s="68"/>
      <c r="X408" s="70"/>
      <c r="Y408" s="70"/>
      <c r="Z408" s="70"/>
      <c r="AA408" s="70"/>
      <c r="AB408" s="70"/>
      <c r="AC408" s="68"/>
      <c r="AD408" s="71"/>
      <c r="AE408" s="71"/>
      <c r="AF408" s="71"/>
      <c r="AG408" s="71"/>
      <c r="AH408" s="71"/>
      <c r="AI408" s="68"/>
      <c r="AJ408" s="214"/>
      <c r="AK408" s="214"/>
      <c r="AL408" s="214"/>
      <c r="AM408" s="214"/>
      <c r="AN408" s="68"/>
      <c r="AO408" s="67"/>
      <c r="AP408" s="67"/>
      <c r="AQ408" s="67"/>
      <c r="AR408" s="67"/>
      <c r="AS408" s="67"/>
      <c r="AT408" s="68"/>
      <c r="AU408" s="49"/>
      <c r="AV408" s="50"/>
    </row>
    <row r="409" spans="1:48" ht="12.75" customHeight="1" x14ac:dyDescent="0.25">
      <c r="A409" s="72" t="s">
        <v>20</v>
      </c>
      <c r="B409" s="43" t="s">
        <v>4043</v>
      </c>
      <c r="C409" s="44" t="s">
        <v>3737</v>
      </c>
      <c r="D409" s="45">
        <f>MROUND(MID($C409,6,3)/Basis!$E$3,0.5)</f>
        <v>17</v>
      </c>
      <c r="E409" s="45">
        <f>MROUND(MID($C409,9,3)/Basis!$E$3,0.5)</f>
        <v>78.5</v>
      </c>
      <c r="F409" s="229" t="str">
        <f t="shared" si="6"/>
        <v>22</v>
      </c>
      <c r="G409" s="45">
        <f>ROUND(9/Basis!$E$3,1)</f>
        <v>3.5</v>
      </c>
      <c r="H409" s="120">
        <f>ROUND($P409*Basis!$E$2*((TaH-TrH)/LN(1/µ)/Basis!$E$7)^$N409*Glycol,0)</f>
        <v>5404</v>
      </c>
      <c r="I409" s="83">
        <f>ROUND(H409/(MID($C409,9,3)/Basis!$E$3/Basis!$E$9)*Basis!$E$11,0)</f>
        <v>824</v>
      </c>
      <c r="J409" s="123">
        <f>IF(Basis!$E$1=1,ROUND(H409/((TaH-TrH)*1.163)/3600,3),ROUND(H409/(500*(TaH-TrH)),2))</f>
        <v>0.54</v>
      </c>
      <c r="K409" s="84"/>
      <c r="L409" s="177">
        <f>CHOOSE(Basis!$E$1,((AJ409*(J409*3600/Basis!$E$5)^AK409*(((MID(C409,9,3)*10)-144)/1000)*AL409+AM409*(J409*3600/Basis!$E$5)^2)*0.0098)/Basis!$E$10,((AJ409*(J409/Basis!$E$5)^AK409*(((MID(C409,9,3)*10)-144)/1000)*AL409+AM409*(J409/Basis!$E$5)^2)*0.0098)/Basis!$E$10)</f>
        <v>0</v>
      </c>
      <c r="M409" s="85"/>
      <c r="N409" s="109">
        <v>1.349</v>
      </c>
      <c r="O409" s="68"/>
      <c r="P409" s="67">
        <v>2472</v>
      </c>
      <c r="Q409" s="68"/>
      <c r="R409" s="69"/>
      <c r="S409" s="69"/>
      <c r="T409" s="69"/>
      <c r="U409" s="69"/>
      <c r="V409" s="69"/>
      <c r="W409" s="68"/>
      <c r="X409" s="70"/>
      <c r="Y409" s="70"/>
      <c r="Z409" s="70"/>
      <c r="AA409" s="70"/>
      <c r="AB409" s="70"/>
      <c r="AC409" s="68"/>
      <c r="AD409" s="71"/>
      <c r="AE409" s="71"/>
      <c r="AF409" s="71"/>
      <c r="AG409" s="71"/>
      <c r="AH409" s="71"/>
      <c r="AI409" s="68"/>
      <c r="AJ409" s="214"/>
      <c r="AK409" s="214"/>
      <c r="AL409" s="214"/>
      <c r="AM409" s="214"/>
      <c r="AN409" s="68"/>
      <c r="AO409" s="67"/>
      <c r="AP409" s="67"/>
      <c r="AQ409" s="67"/>
      <c r="AR409" s="67"/>
      <c r="AS409" s="67"/>
      <c r="AT409" s="68"/>
      <c r="AU409" s="49"/>
      <c r="AV409" s="50"/>
    </row>
    <row r="410" spans="1:48" ht="12.75" customHeight="1" x14ac:dyDescent="0.25">
      <c r="A410" s="72" t="s">
        <v>20</v>
      </c>
      <c r="B410" s="43" t="s">
        <v>4043</v>
      </c>
      <c r="C410" s="44" t="s">
        <v>3738</v>
      </c>
      <c r="D410" s="45">
        <f>MROUND(MID($C410,6,3)/Basis!$E$3,0.5)</f>
        <v>17</v>
      </c>
      <c r="E410" s="45">
        <f>MROUND(MID($C410,9,3)/Basis!$E$3,0.5)</f>
        <v>86.5</v>
      </c>
      <c r="F410" s="229" t="str">
        <f t="shared" si="6"/>
        <v>11</v>
      </c>
      <c r="G410" s="45">
        <f>ROUND(5/Basis!$E$3,1)</f>
        <v>2</v>
      </c>
      <c r="H410" s="120">
        <f>ROUND($P410*Basis!$E$2*((TaH-TrH)/LN(1/µ)/Basis!$E$7)^$N410*Glycol,0)</f>
        <v>3519</v>
      </c>
      <c r="I410" s="83">
        <f>ROUND(H410/(MID($C410,9,3)/Basis!$E$3/Basis!$E$9)*Basis!$E$11,0)</f>
        <v>488</v>
      </c>
      <c r="J410" s="123">
        <f>IF(Basis!$E$1=1,ROUND(H410/((TaH-TrH)*1.163)/3600,3),ROUND(H410/(500*(TaH-TrH)),2))</f>
        <v>0.35</v>
      </c>
      <c r="K410" s="84"/>
      <c r="L410" s="177">
        <f>CHOOSE(Basis!$E$1,((AJ410*(J410*3600/Basis!$E$5)^AK410*(((MID(C410,9,3)*10)-144)/1000)*AL410+AM410*(J410*3600/Basis!$E$5)^2)*0.0098)/Basis!$E$10,((AJ410*(J410/Basis!$E$5)^AK410*(((MID(C410,9,3)*10)-144)/1000)*AL410+AM410*(J410/Basis!$E$5)^2)*0.0098)/Basis!$E$10)</f>
        <v>0</v>
      </c>
      <c r="M410" s="85"/>
      <c r="N410" s="110">
        <v>1.248</v>
      </c>
      <c r="O410" s="74"/>
      <c r="P410" s="73">
        <v>1557</v>
      </c>
      <c r="Q410" s="74"/>
      <c r="R410" s="75"/>
      <c r="S410" s="75"/>
      <c r="T410" s="75"/>
      <c r="U410" s="75"/>
      <c r="V410" s="75"/>
      <c r="W410" s="74"/>
      <c r="X410" s="76"/>
      <c r="Y410" s="76"/>
      <c r="Z410" s="76"/>
      <c r="AA410" s="76"/>
      <c r="AB410" s="76"/>
      <c r="AC410" s="74"/>
      <c r="AD410" s="77"/>
      <c r="AE410" s="77"/>
      <c r="AF410" s="77"/>
      <c r="AG410" s="77"/>
      <c r="AH410" s="77"/>
      <c r="AI410" s="68"/>
      <c r="AJ410" s="213"/>
      <c r="AK410" s="213"/>
      <c r="AL410" s="213"/>
      <c r="AM410" s="213"/>
      <c r="AN410" s="74"/>
      <c r="AO410" s="73"/>
      <c r="AP410" s="73"/>
      <c r="AQ410" s="73"/>
      <c r="AR410" s="73"/>
      <c r="AS410" s="73"/>
      <c r="AT410" s="74"/>
      <c r="AU410" s="47"/>
      <c r="AV410" s="48"/>
    </row>
    <row r="411" spans="1:48" ht="12.75" customHeight="1" x14ac:dyDescent="0.25">
      <c r="A411" s="72" t="s">
        <v>20</v>
      </c>
      <c r="B411" s="43" t="s">
        <v>4043</v>
      </c>
      <c r="C411" s="44" t="s">
        <v>3739</v>
      </c>
      <c r="D411" s="45">
        <f>MROUND(MID($C411,6,3)/Basis!$E$3,0.5)</f>
        <v>17</v>
      </c>
      <c r="E411" s="45">
        <f>MROUND(MID($C411,9,3)/Basis!$E$3,0.5)</f>
        <v>86.5</v>
      </c>
      <c r="F411" s="229" t="str">
        <f t="shared" si="6"/>
        <v>22</v>
      </c>
      <c r="G411" s="45">
        <f>ROUND(9/Basis!$E$3,1)</f>
        <v>3.5</v>
      </c>
      <c r="H411" s="120">
        <f>ROUND($P411*Basis!$E$2*((TaH-TrH)/LN(1/µ)/Basis!$E$7)^$N411*Glycol,0)</f>
        <v>5944</v>
      </c>
      <c r="I411" s="83">
        <f>ROUND(H411/(MID($C411,9,3)/Basis!$E$3/Basis!$E$9)*Basis!$E$11,0)</f>
        <v>824</v>
      </c>
      <c r="J411" s="123">
        <f>IF(Basis!$E$1=1,ROUND(H411/((TaH-TrH)*1.163)/3600,3),ROUND(H411/(500*(TaH-TrH)),2))</f>
        <v>0.59</v>
      </c>
      <c r="K411" s="84"/>
      <c r="L411" s="177">
        <f>CHOOSE(Basis!$E$1,((AJ411*(J411*3600/Basis!$E$5)^AK411*(((MID(C411,9,3)*10)-144)/1000)*AL411+AM411*(J411*3600/Basis!$E$5)^2)*0.0098)/Basis!$E$10,((AJ411*(J411/Basis!$E$5)^AK411*(((MID(C411,9,3)*10)-144)/1000)*AL411+AM411*(J411/Basis!$E$5)^2)*0.0098)/Basis!$E$10)</f>
        <v>0</v>
      </c>
      <c r="M411" s="85"/>
      <c r="N411" s="110">
        <v>1.349</v>
      </c>
      <c r="O411" s="74"/>
      <c r="P411" s="73">
        <v>2719</v>
      </c>
      <c r="Q411" s="74"/>
      <c r="R411" s="75"/>
      <c r="S411" s="75"/>
      <c r="T411" s="75"/>
      <c r="U411" s="75"/>
      <c r="V411" s="75"/>
      <c r="W411" s="74"/>
      <c r="X411" s="76"/>
      <c r="Y411" s="76"/>
      <c r="Z411" s="76"/>
      <c r="AA411" s="76"/>
      <c r="AB411" s="76"/>
      <c r="AC411" s="74"/>
      <c r="AD411" s="77"/>
      <c r="AE411" s="77"/>
      <c r="AF411" s="77"/>
      <c r="AG411" s="77"/>
      <c r="AH411" s="77"/>
      <c r="AI411" s="68"/>
      <c r="AJ411" s="213"/>
      <c r="AK411" s="213"/>
      <c r="AL411" s="213"/>
      <c r="AM411" s="213"/>
      <c r="AN411" s="74"/>
      <c r="AO411" s="73"/>
      <c r="AP411" s="73"/>
      <c r="AQ411" s="73"/>
      <c r="AR411" s="73"/>
      <c r="AS411" s="73"/>
      <c r="AT411" s="74"/>
      <c r="AU411" s="47"/>
      <c r="AV411" s="48"/>
    </row>
    <row r="412" spans="1:48" ht="12.75" customHeight="1" x14ac:dyDescent="0.25">
      <c r="A412" s="72" t="s">
        <v>20</v>
      </c>
      <c r="B412" s="43" t="s">
        <v>4043</v>
      </c>
      <c r="C412" s="44" t="s">
        <v>3740</v>
      </c>
      <c r="D412" s="45">
        <f>MROUND(MID($C412,6,3)/Basis!$E$3,0.5)</f>
        <v>17</v>
      </c>
      <c r="E412" s="45">
        <f>MROUND(MID($C412,9,3)/Basis!$E$3,0.5)</f>
        <v>94.5</v>
      </c>
      <c r="F412" s="229" t="str">
        <f t="shared" si="6"/>
        <v>11</v>
      </c>
      <c r="G412" s="45">
        <f>ROUND(5/Basis!$E$3,1)</f>
        <v>2</v>
      </c>
      <c r="H412" s="120">
        <f>ROUND($P412*Basis!$E$2*((TaH-TrH)/LN(1/µ)/Basis!$E$7)^$N412*Glycol,0)</f>
        <v>3838</v>
      </c>
      <c r="I412" s="83">
        <f>ROUND(H412/(MID($C412,9,3)/Basis!$E$3/Basis!$E$9)*Basis!$E$11,0)</f>
        <v>487</v>
      </c>
      <c r="J412" s="123">
        <f>IF(Basis!$E$1=1,ROUND(H412/((TaH-TrH)*1.163)/3600,3),ROUND(H412/(500*(TaH-TrH)),2))</f>
        <v>0.38</v>
      </c>
      <c r="K412" s="84"/>
      <c r="L412" s="177">
        <f>CHOOSE(Basis!$E$1,((AJ412*(J412*3600/Basis!$E$5)^AK412*(((MID(C412,9,3)*10)-144)/1000)*AL412+AM412*(J412*3600/Basis!$E$5)^2)*0.0098)/Basis!$E$10,((AJ412*(J412/Basis!$E$5)^AK412*(((MID(C412,9,3)*10)-144)/1000)*AL412+AM412*(J412/Basis!$E$5)^2)*0.0098)/Basis!$E$10)</f>
        <v>0</v>
      </c>
      <c r="M412" s="85"/>
      <c r="N412" s="109">
        <v>1.248</v>
      </c>
      <c r="O412" s="68"/>
      <c r="P412" s="67">
        <v>1698</v>
      </c>
      <c r="Q412" s="68"/>
      <c r="R412" s="69"/>
      <c r="S412" s="69"/>
      <c r="T412" s="69"/>
      <c r="U412" s="69"/>
      <c r="V412" s="69"/>
      <c r="W412" s="68"/>
      <c r="X412" s="70"/>
      <c r="Y412" s="70"/>
      <c r="Z412" s="70"/>
      <c r="AA412" s="70"/>
      <c r="AB412" s="70"/>
      <c r="AC412" s="68"/>
      <c r="AD412" s="71"/>
      <c r="AE412" s="71"/>
      <c r="AF412" s="71"/>
      <c r="AG412" s="71"/>
      <c r="AH412" s="71"/>
      <c r="AI412" s="68"/>
      <c r="AJ412" s="214"/>
      <c r="AK412" s="214"/>
      <c r="AL412" s="214"/>
      <c r="AM412" s="214"/>
      <c r="AN412" s="68"/>
      <c r="AO412" s="67"/>
      <c r="AP412" s="67"/>
      <c r="AQ412" s="67"/>
      <c r="AR412" s="67"/>
      <c r="AS412" s="67"/>
      <c r="AT412" s="68"/>
      <c r="AU412" s="49"/>
      <c r="AV412" s="50"/>
    </row>
    <row r="413" spans="1:48" ht="12.75" customHeight="1" x14ac:dyDescent="0.25">
      <c r="A413" s="72" t="s">
        <v>20</v>
      </c>
      <c r="B413" s="43" t="s">
        <v>4043</v>
      </c>
      <c r="C413" s="44" t="s">
        <v>3741</v>
      </c>
      <c r="D413" s="45">
        <f>MROUND(MID($C413,6,3)/Basis!$E$3,0.5)</f>
        <v>17</v>
      </c>
      <c r="E413" s="45">
        <f>MROUND(MID($C413,9,3)/Basis!$E$3,0.5)</f>
        <v>94.5</v>
      </c>
      <c r="F413" s="229" t="str">
        <f t="shared" si="6"/>
        <v>22</v>
      </c>
      <c r="G413" s="45">
        <f>ROUND(9/Basis!$E$3,1)</f>
        <v>3.5</v>
      </c>
      <c r="H413" s="120">
        <f>ROUND($P413*Basis!$E$2*((TaH-TrH)/LN(1/µ)/Basis!$E$7)^$N413*Glycol,0)</f>
        <v>6484</v>
      </c>
      <c r="I413" s="83">
        <f>ROUND(H413/(MID($C413,9,3)/Basis!$E$3/Basis!$E$9)*Basis!$E$11,0)</f>
        <v>823</v>
      </c>
      <c r="J413" s="123">
        <f>IF(Basis!$E$1=1,ROUND(H413/((TaH-TrH)*1.163)/3600,3),ROUND(H413/(500*(TaH-TrH)),2))</f>
        <v>0.65</v>
      </c>
      <c r="K413" s="84"/>
      <c r="L413" s="177">
        <f>CHOOSE(Basis!$E$1,((AJ413*(J413*3600/Basis!$E$5)^AK413*(((MID(C413,9,3)*10)-144)/1000)*AL413+AM413*(J413*3600/Basis!$E$5)^2)*0.0098)/Basis!$E$10,((AJ413*(J413/Basis!$E$5)^AK413*(((MID(C413,9,3)*10)-144)/1000)*AL413+AM413*(J413/Basis!$E$5)^2)*0.0098)/Basis!$E$10)</f>
        <v>0</v>
      </c>
      <c r="M413" s="85"/>
      <c r="N413" s="109">
        <v>1.349</v>
      </c>
      <c r="O413" s="68"/>
      <c r="P413" s="67">
        <v>2966</v>
      </c>
      <c r="Q413" s="68"/>
      <c r="R413" s="69"/>
      <c r="S413" s="69"/>
      <c r="T413" s="69"/>
      <c r="U413" s="69"/>
      <c r="V413" s="69"/>
      <c r="W413" s="68"/>
      <c r="X413" s="70"/>
      <c r="Y413" s="70"/>
      <c r="Z413" s="70"/>
      <c r="AA413" s="70"/>
      <c r="AB413" s="70"/>
      <c r="AC413" s="68"/>
      <c r="AD413" s="71"/>
      <c r="AE413" s="71"/>
      <c r="AF413" s="71"/>
      <c r="AG413" s="71"/>
      <c r="AH413" s="71"/>
      <c r="AI413" s="68"/>
      <c r="AJ413" s="214"/>
      <c r="AK413" s="214"/>
      <c r="AL413" s="214"/>
      <c r="AM413" s="214"/>
      <c r="AN413" s="68"/>
      <c r="AO413" s="67"/>
      <c r="AP413" s="67"/>
      <c r="AQ413" s="67"/>
      <c r="AR413" s="67"/>
      <c r="AS413" s="67"/>
      <c r="AT413" s="68"/>
      <c r="AU413" s="49"/>
      <c r="AV413" s="50"/>
    </row>
    <row r="414" spans="1:48" ht="12.75" customHeight="1" x14ac:dyDescent="0.25">
      <c r="A414" s="72" t="s">
        <v>20</v>
      </c>
      <c r="B414" s="43" t="s">
        <v>4043</v>
      </c>
      <c r="C414" s="44" t="s">
        <v>3742</v>
      </c>
      <c r="D414" s="45">
        <f>MROUND(MID($C414,6,3)/Basis!$E$3,0.5)</f>
        <v>17</v>
      </c>
      <c r="E414" s="45">
        <f>MROUND(MID($C414,9,3)/Basis!$E$3,0.5)</f>
        <v>102.5</v>
      </c>
      <c r="F414" s="229" t="str">
        <f t="shared" si="6"/>
        <v>11</v>
      </c>
      <c r="G414" s="45">
        <f>ROUND(5/Basis!$E$3,1)</f>
        <v>2</v>
      </c>
      <c r="H414" s="120">
        <f>ROUND($P414*Basis!$E$2*((TaH-TrH)/LN(1/µ)/Basis!$E$7)^$N414*Glycol,0)</f>
        <v>4159</v>
      </c>
      <c r="I414" s="83">
        <f>ROUND(H414/(MID($C414,9,3)/Basis!$E$3/Basis!$E$9)*Basis!$E$11,0)</f>
        <v>488</v>
      </c>
      <c r="J414" s="123">
        <f>IF(Basis!$E$1=1,ROUND(H414/((TaH-TrH)*1.163)/3600,3),ROUND(H414/(500*(TaH-TrH)),2))</f>
        <v>0.42</v>
      </c>
      <c r="K414" s="84"/>
      <c r="L414" s="177">
        <f>CHOOSE(Basis!$E$1,((AJ414*(J414*3600/Basis!$E$5)^AK414*(((MID(C414,9,3)*10)-144)/1000)*AL414+AM414*(J414*3600/Basis!$E$5)^2)*0.0098)/Basis!$E$10,((AJ414*(J414/Basis!$E$5)^AK414*(((MID(C414,9,3)*10)-144)/1000)*AL414+AM414*(J414/Basis!$E$5)^2)*0.0098)/Basis!$E$10)</f>
        <v>0</v>
      </c>
      <c r="M414" s="85"/>
      <c r="N414" s="110">
        <v>1.248</v>
      </c>
      <c r="O414" s="74"/>
      <c r="P414" s="73">
        <v>1840</v>
      </c>
      <c r="Q414" s="74"/>
      <c r="R414" s="75"/>
      <c r="S414" s="75"/>
      <c r="T414" s="75"/>
      <c r="U414" s="75"/>
      <c r="V414" s="75"/>
      <c r="W414" s="74"/>
      <c r="X414" s="76"/>
      <c r="Y414" s="76"/>
      <c r="Z414" s="76"/>
      <c r="AA414" s="76"/>
      <c r="AB414" s="76"/>
      <c r="AC414" s="74"/>
      <c r="AD414" s="77"/>
      <c r="AE414" s="77"/>
      <c r="AF414" s="77"/>
      <c r="AG414" s="77"/>
      <c r="AH414" s="77"/>
      <c r="AI414" s="68"/>
      <c r="AJ414" s="213"/>
      <c r="AK414" s="213"/>
      <c r="AL414" s="213"/>
      <c r="AM414" s="213"/>
      <c r="AN414" s="74"/>
      <c r="AO414" s="73"/>
      <c r="AP414" s="73"/>
      <c r="AQ414" s="73"/>
      <c r="AR414" s="73"/>
      <c r="AS414" s="73"/>
      <c r="AT414" s="74"/>
      <c r="AU414" s="47"/>
      <c r="AV414" s="48"/>
    </row>
    <row r="415" spans="1:48" ht="12.75" customHeight="1" x14ac:dyDescent="0.25">
      <c r="A415" s="72" t="s">
        <v>20</v>
      </c>
      <c r="B415" s="43" t="s">
        <v>4043</v>
      </c>
      <c r="C415" s="44" t="s">
        <v>3743</v>
      </c>
      <c r="D415" s="45">
        <f>MROUND(MID($C415,6,3)/Basis!$E$3,0.5)</f>
        <v>17</v>
      </c>
      <c r="E415" s="45">
        <f>MROUND(MID($C415,9,3)/Basis!$E$3,0.5)</f>
        <v>102.5</v>
      </c>
      <c r="F415" s="229" t="str">
        <f t="shared" si="6"/>
        <v>22</v>
      </c>
      <c r="G415" s="45">
        <f>ROUND(9/Basis!$E$3,1)</f>
        <v>3.5</v>
      </c>
      <c r="H415" s="120">
        <f>ROUND($P415*Basis!$E$2*((TaH-TrH)/LN(1/µ)/Basis!$E$7)^$N415*Glycol,0)</f>
        <v>7026</v>
      </c>
      <c r="I415" s="83">
        <f>ROUND(H415/(MID($C415,9,3)/Basis!$E$3/Basis!$E$9)*Basis!$E$11,0)</f>
        <v>824</v>
      </c>
      <c r="J415" s="123">
        <f>IF(Basis!$E$1=1,ROUND(H415/((TaH-TrH)*1.163)/3600,3),ROUND(H415/(500*(TaH-TrH)),2))</f>
        <v>0.7</v>
      </c>
      <c r="K415" s="84"/>
      <c r="L415" s="177">
        <f>CHOOSE(Basis!$E$1,((AJ415*(J415*3600/Basis!$E$5)^AK415*(((MID(C415,9,3)*10)-144)/1000)*AL415+AM415*(J415*3600/Basis!$E$5)^2)*0.0098)/Basis!$E$10,((AJ415*(J415/Basis!$E$5)^AK415*(((MID(C415,9,3)*10)-144)/1000)*AL415+AM415*(J415/Basis!$E$5)^2)*0.0098)/Basis!$E$10)</f>
        <v>0</v>
      </c>
      <c r="M415" s="85"/>
      <c r="N415" s="110">
        <v>1.349</v>
      </c>
      <c r="O415" s="74"/>
      <c r="P415" s="73">
        <v>3214</v>
      </c>
      <c r="Q415" s="74"/>
      <c r="R415" s="75"/>
      <c r="S415" s="75"/>
      <c r="T415" s="75"/>
      <c r="U415" s="75"/>
      <c r="V415" s="75"/>
      <c r="W415" s="74"/>
      <c r="X415" s="76"/>
      <c r="Y415" s="76"/>
      <c r="Z415" s="76"/>
      <c r="AA415" s="76"/>
      <c r="AB415" s="76"/>
      <c r="AC415" s="74"/>
      <c r="AD415" s="77"/>
      <c r="AE415" s="77"/>
      <c r="AF415" s="77"/>
      <c r="AG415" s="77"/>
      <c r="AH415" s="77"/>
      <c r="AI415" s="68"/>
      <c r="AJ415" s="213"/>
      <c r="AK415" s="213"/>
      <c r="AL415" s="213"/>
      <c r="AM415" s="213"/>
      <c r="AN415" s="74"/>
      <c r="AO415" s="73"/>
      <c r="AP415" s="73"/>
      <c r="AQ415" s="73"/>
      <c r="AR415" s="73"/>
      <c r="AS415" s="73"/>
      <c r="AT415" s="74"/>
      <c r="AU415" s="47"/>
      <c r="AV415" s="48"/>
    </row>
    <row r="416" spans="1:48" ht="12.75" customHeight="1" x14ac:dyDescent="0.25">
      <c r="A416" s="72" t="s">
        <v>20</v>
      </c>
      <c r="B416" s="43" t="s">
        <v>4043</v>
      </c>
      <c r="C416" s="44" t="s">
        <v>3744</v>
      </c>
      <c r="D416" s="45">
        <f>MROUND(MID($C416,6,3)/Basis!$E$3,0.5)</f>
        <v>17</v>
      </c>
      <c r="E416" s="45">
        <f>MROUND(MID($C416,9,3)/Basis!$E$3,0.5)</f>
        <v>110</v>
      </c>
      <c r="F416" s="229" t="str">
        <f t="shared" si="6"/>
        <v>11</v>
      </c>
      <c r="G416" s="45">
        <f>ROUND(5/Basis!$E$3,1)</f>
        <v>2</v>
      </c>
      <c r="H416" s="120">
        <f>ROUND($P416*Basis!$E$2*((TaH-TrH)/LN(1/µ)/Basis!$E$7)^$N416*Glycol,0)</f>
        <v>4477</v>
      </c>
      <c r="I416" s="83">
        <f>ROUND(H416/(MID($C416,9,3)/Basis!$E$3/Basis!$E$9)*Basis!$E$11,0)</f>
        <v>487</v>
      </c>
      <c r="J416" s="123">
        <f>IF(Basis!$E$1=1,ROUND(H416/((TaH-TrH)*1.163)/3600,3),ROUND(H416/(500*(TaH-TrH)),2))</f>
        <v>0.45</v>
      </c>
      <c r="K416" s="84"/>
      <c r="L416" s="177">
        <f>CHOOSE(Basis!$E$1,((AJ416*(J416*3600/Basis!$E$5)^AK416*(((MID(C416,9,3)*10)-144)/1000)*AL416+AM416*(J416*3600/Basis!$E$5)^2)*0.0098)/Basis!$E$10,((AJ416*(J416/Basis!$E$5)^AK416*(((MID(C416,9,3)*10)-144)/1000)*AL416+AM416*(J416/Basis!$E$5)^2)*0.0098)/Basis!$E$10)</f>
        <v>0</v>
      </c>
      <c r="M416" s="85"/>
      <c r="N416" s="109">
        <v>1.248</v>
      </c>
      <c r="O416" s="68"/>
      <c r="P416" s="67">
        <v>1981</v>
      </c>
      <c r="Q416" s="68"/>
      <c r="R416" s="69"/>
      <c r="S416" s="69"/>
      <c r="T416" s="69"/>
      <c r="U416" s="69"/>
      <c r="V416" s="69"/>
      <c r="W416" s="68"/>
      <c r="X416" s="70"/>
      <c r="Y416" s="70"/>
      <c r="Z416" s="70"/>
      <c r="AA416" s="70"/>
      <c r="AB416" s="70"/>
      <c r="AC416" s="68"/>
      <c r="AD416" s="71"/>
      <c r="AE416" s="71"/>
      <c r="AF416" s="71"/>
      <c r="AG416" s="71"/>
      <c r="AH416" s="71"/>
      <c r="AI416" s="68"/>
      <c r="AJ416" s="214"/>
      <c r="AK416" s="214"/>
      <c r="AL416" s="214"/>
      <c r="AM416" s="214"/>
      <c r="AN416" s="68"/>
      <c r="AO416" s="67"/>
      <c r="AP416" s="67"/>
      <c r="AQ416" s="67"/>
      <c r="AR416" s="67"/>
      <c r="AS416" s="67"/>
      <c r="AT416" s="68"/>
      <c r="AU416" s="49"/>
      <c r="AV416" s="50"/>
    </row>
    <row r="417" spans="1:48" ht="12.75" customHeight="1" x14ac:dyDescent="0.25">
      <c r="A417" s="72" t="s">
        <v>20</v>
      </c>
      <c r="B417" s="43" t="s">
        <v>4043</v>
      </c>
      <c r="C417" s="44" t="s">
        <v>3745</v>
      </c>
      <c r="D417" s="45">
        <f>MROUND(MID($C417,6,3)/Basis!$E$3,0.5)</f>
        <v>17</v>
      </c>
      <c r="E417" s="45">
        <f>MROUND(MID($C417,9,3)/Basis!$E$3,0.5)</f>
        <v>110</v>
      </c>
      <c r="F417" s="229" t="str">
        <f t="shared" si="6"/>
        <v>22</v>
      </c>
      <c r="G417" s="45">
        <f>ROUND(9/Basis!$E$3,1)</f>
        <v>3.5</v>
      </c>
      <c r="H417" s="120">
        <f>ROUND($P417*Basis!$E$2*((TaH-TrH)/LN(1/µ)/Basis!$E$7)^$N417*Glycol,0)</f>
        <v>7566</v>
      </c>
      <c r="I417" s="83">
        <f>ROUND(H417/(MID($C417,9,3)/Basis!$E$3/Basis!$E$9)*Basis!$E$11,0)</f>
        <v>824</v>
      </c>
      <c r="J417" s="123">
        <f>IF(Basis!$E$1=1,ROUND(H417/((TaH-TrH)*1.163)/3600,3),ROUND(H417/(500*(TaH-TrH)),2))</f>
        <v>0.76</v>
      </c>
      <c r="K417" s="84"/>
      <c r="L417" s="177">
        <f>CHOOSE(Basis!$E$1,((AJ417*(J417*3600/Basis!$E$5)^AK417*(((MID(C417,9,3)*10)-144)/1000)*AL417+AM417*(J417*3600/Basis!$E$5)^2)*0.0098)/Basis!$E$10,((AJ417*(J417/Basis!$E$5)^AK417*(((MID(C417,9,3)*10)-144)/1000)*AL417+AM417*(J417/Basis!$E$5)^2)*0.0098)/Basis!$E$10)</f>
        <v>0</v>
      </c>
      <c r="M417" s="85"/>
      <c r="N417" s="109">
        <v>1.349</v>
      </c>
      <c r="O417" s="68"/>
      <c r="P417" s="67">
        <v>3461</v>
      </c>
      <c r="Q417" s="68"/>
      <c r="R417" s="69"/>
      <c r="S417" s="69"/>
      <c r="T417" s="69"/>
      <c r="U417" s="69"/>
      <c r="V417" s="69"/>
      <c r="W417" s="68"/>
      <c r="X417" s="70"/>
      <c r="Y417" s="70"/>
      <c r="Z417" s="70"/>
      <c r="AA417" s="70"/>
      <c r="AB417" s="70"/>
      <c r="AC417" s="68"/>
      <c r="AD417" s="71"/>
      <c r="AE417" s="71"/>
      <c r="AF417" s="71"/>
      <c r="AG417" s="71"/>
      <c r="AH417" s="71"/>
      <c r="AI417" s="68"/>
      <c r="AJ417" s="214"/>
      <c r="AK417" s="214"/>
      <c r="AL417" s="214"/>
      <c r="AM417" s="214"/>
      <c r="AN417" s="68"/>
      <c r="AO417" s="67"/>
      <c r="AP417" s="67"/>
      <c r="AQ417" s="67"/>
      <c r="AR417" s="67"/>
      <c r="AS417" s="67"/>
      <c r="AT417" s="68"/>
      <c r="AU417" s="49"/>
      <c r="AV417" s="50"/>
    </row>
    <row r="418" spans="1:48" ht="12.75" customHeight="1" x14ac:dyDescent="0.25">
      <c r="A418" s="72" t="s">
        <v>20</v>
      </c>
      <c r="B418" s="43" t="s">
        <v>4043</v>
      </c>
      <c r="C418" s="44" t="s">
        <v>3746</v>
      </c>
      <c r="D418" s="45">
        <f>MROUND(MID($C418,6,3)/Basis!$E$3,0.5)</f>
        <v>17</v>
      </c>
      <c r="E418" s="45">
        <f>MROUND(MID($C418,9,3)/Basis!$E$3,0.5)</f>
        <v>118</v>
      </c>
      <c r="F418" s="229" t="str">
        <f t="shared" si="6"/>
        <v>11</v>
      </c>
      <c r="G418" s="45">
        <f>ROUND(5/Basis!$E$3,1)</f>
        <v>2</v>
      </c>
      <c r="H418" s="120">
        <f>ROUND($P418*Basis!$E$2*((TaH-TrH)/LN(1/µ)/Basis!$E$7)^$N418*Glycol,0)</f>
        <v>4798</v>
      </c>
      <c r="I418" s="83">
        <f>ROUND(H418/(MID($C418,9,3)/Basis!$E$3/Basis!$E$9)*Basis!$E$11,0)</f>
        <v>487</v>
      </c>
      <c r="J418" s="123">
        <f>IF(Basis!$E$1=1,ROUND(H418/((TaH-TrH)*1.163)/3600,3),ROUND(H418/(500*(TaH-TrH)),2))</f>
        <v>0.48</v>
      </c>
      <c r="K418" s="84"/>
      <c r="L418" s="177">
        <f>CHOOSE(Basis!$E$1,((AJ418*(J418*3600/Basis!$E$5)^AK418*(((MID(C418,9,3)*10)-144)/1000)*AL418+AM418*(J418*3600/Basis!$E$5)^2)*0.0098)/Basis!$E$10,((AJ418*(J418/Basis!$E$5)^AK418*(((MID(C418,9,3)*10)-144)/1000)*AL418+AM418*(J418/Basis!$E$5)^2)*0.0098)/Basis!$E$10)</f>
        <v>0</v>
      </c>
      <c r="M418" s="85"/>
      <c r="N418" s="110">
        <v>1.248</v>
      </c>
      <c r="O418" s="74"/>
      <c r="P418" s="73">
        <v>2123</v>
      </c>
      <c r="Q418" s="74"/>
      <c r="R418" s="75"/>
      <c r="S418" s="75"/>
      <c r="T418" s="75"/>
      <c r="U418" s="75"/>
      <c r="V418" s="75"/>
      <c r="W418" s="74"/>
      <c r="X418" s="76"/>
      <c r="Y418" s="76"/>
      <c r="Z418" s="76"/>
      <c r="AA418" s="76"/>
      <c r="AB418" s="76"/>
      <c r="AC418" s="74"/>
      <c r="AD418" s="77"/>
      <c r="AE418" s="77"/>
      <c r="AF418" s="77"/>
      <c r="AG418" s="77"/>
      <c r="AH418" s="77"/>
      <c r="AI418" s="68"/>
      <c r="AJ418" s="213"/>
      <c r="AK418" s="213"/>
      <c r="AL418" s="213"/>
      <c r="AM418" s="213"/>
      <c r="AN418" s="74"/>
      <c r="AO418" s="73"/>
      <c r="AP418" s="73"/>
      <c r="AQ418" s="73"/>
      <c r="AR418" s="73"/>
      <c r="AS418" s="73"/>
      <c r="AT418" s="74"/>
      <c r="AU418" s="47"/>
      <c r="AV418" s="48"/>
    </row>
    <row r="419" spans="1:48" ht="12.75" customHeight="1" x14ac:dyDescent="0.25">
      <c r="A419" s="72" t="s">
        <v>20</v>
      </c>
      <c r="B419" s="43" t="s">
        <v>4043</v>
      </c>
      <c r="C419" s="44" t="s">
        <v>3747</v>
      </c>
      <c r="D419" s="45">
        <f>MROUND(MID($C419,6,3)/Basis!$E$3,0.5)</f>
        <v>17</v>
      </c>
      <c r="E419" s="45">
        <f>MROUND(MID($C419,9,3)/Basis!$E$3,0.5)</f>
        <v>118</v>
      </c>
      <c r="F419" s="229" t="str">
        <f t="shared" si="6"/>
        <v>22</v>
      </c>
      <c r="G419" s="45">
        <f>ROUND(9/Basis!$E$3,1)</f>
        <v>3.5</v>
      </c>
      <c r="H419" s="120">
        <f>ROUND($P419*Basis!$E$2*((TaH-TrH)/LN(1/µ)/Basis!$E$7)^$N419*Glycol,0)</f>
        <v>8106</v>
      </c>
      <c r="I419" s="83">
        <f>ROUND(H419/(MID($C419,9,3)/Basis!$E$3/Basis!$E$9)*Basis!$E$11,0)</f>
        <v>824</v>
      </c>
      <c r="J419" s="123">
        <f>IF(Basis!$E$1=1,ROUND(H419/((TaH-TrH)*1.163)/3600,3),ROUND(H419/(500*(TaH-TrH)),2))</f>
        <v>0.81</v>
      </c>
      <c r="K419" s="84"/>
      <c r="L419" s="177">
        <f>CHOOSE(Basis!$E$1,((AJ419*(J419*3600/Basis!$E$5)^AK419*(((MID(C419,9,3)*10)-144)/1000)*AL419+AM419*(J419*3600/Basis!$E$5)^2)*0.0098)/Basis!$E$10,((AJ419*(J419/Basis!$E$5)^AK419*(((MID(C419,9,3)*10)-144)/1000)*AL419+AM419*(J419/Basis!$E$5)^2)*0.0098)/Basis!$E$10)</f>
        <v>0</v>
      </c>
      <c r="M419" s="85"/>
      <c r="N419" s="110">
        <v>1.349</v>
      </c>
      <c r="O419" s="74"/>
      <c r="P419" s="73">
        <v>3708</v>
      </c>
      <c r="Q419" s="74"/>
      <c r="R419" s="75"/>
      <c r="S419" s="75"/>
      <c r="T419" s="75"/>
      <c r="U419" s="75"/>
      <c r="V419" s="75"/>
      <c r="W419" s="74"/>
      <c r="X419" s="76"/>
      <c r="Y419" s="76"/>
      <c r="Z419" s="76"/>
      <c r="AA419" s="76"/>
      <c r="AB419" s="76"/>
      <c r="AC419" s="74"/>
      <c r="AD419" s="77"/>
      <c r="AE419" s="77"/>
      <c r="AF419" s="77"/>
      <c r="AG419" s="77"/>
      <c r="AH419" s="77"/>
      <c r="AI419" s="68"/>
      <c r="AJ419" s="213"/>
      <c r="AK419" s="213"/>
      <c r="AL419" s="213"/>
      <c r="AM419" s="213"/>
      <c r="AN419" s="74"/>
      <c r="AO419" s="73"/>
      <c r="AP419" s="73"/>
      <c r="AQ419" s="73"/>
      <c r="AR419" s="73"/>
      <c r="AS419" s="73"/>
      <c r="AT419" s="74"/>
      <c r="AU419" s="47"/>
      <c r="AV419" s="48"/>
    </row>
    <row r="420" spans="1:48" ht="12.75" customHeight="1" x14ac:dyDescent="0.25">
      <c r="A420" s="72" t="s">
        <v>20</v>
      </c>
      <c r="B420" s="43" t="s">
        <v>4043</v>
      </c>
      <c r="C420" s="44" t="s">
        <v>3748</v>
      </c>
      <c r="D420" s="45">
        <f>MROUND(MID($C420,6,3)/Basis!$E$3,0.5)</f>
        <v>19.5</v>
      </c>
      <c r="E420" s="45">
        <f>MROUND(MID($C420,9,3)/Basis!$E$3,0.5)</f>
        <v>23.5</v>
      </c>
      <c r="F420" s="229" t="str">
        <f t="shared" si="6"/>
        <v>11</v>
      </c>
      <c r="G420" s="45">
        <f>ROUND(5/Basis!$E$3,1)</f>
        <v>2</v>
      </c>
      <c r="H420" s="120">
        <f>ROUND($P420*Basis!$E$2*((TaH-TrH)/LN(1/µ)/Basis!$E$7)^$N420*Glycol,0)</f>
        <v>1058</v>
      </c>
      <c r="I420" s="83">
        <f>ROUND(H420/(MID($C420,9,3)/Basis!$E$3/Basis!$E$9)*Basis!$E$11,0)</f>
        <v>537</v>
      </c>
      <c r="J420" s="123">
        <f>IF(Basis!$E$1=1,ROUND(H420/((TaH-TrH)*1.163)/3600,3),ROUND(H420/(500*(TaH-TrH)),2))</f>
        <v>0.11</v>
      </c>
      <c r="K420" s="84"/>
      <c r="L420" s="177">
        <f>CHOOSE(Basis!$E$1,((AJ420*(J420*3600/Basis!$E$5)^AK420*(((MID(C420,9,3)*10)-144)/1000)*AL420+AM420*(J420*3600/Basis!$E$5)^2)*0.0098)/Basis!$E$10,((AJ420*(J420/Basis!$E$5)^AK420*(((MID(C420,9,3)*10)-144)/1000)*AL420+AM420*(J420/Basis!$E$5)^2)*0.0098)/Basis!$E$10)</f>
        <v>0</v>
      </c>
      <c r="M420" s="85"/>
      <c r="N420" s="109">
        <v>1.248</v>
      </c>
      <c r="O420" s="68"/>
      <c r="P420" s="67">
        <v>468</v>
      </c>
      <c r="Q420" s="68"/>
      <c r="R420" s="69"/>
      <c r="S420" s="69"/>
      <c r="T420" s="69"/>
      <c r="U420" s="69"/>
      <c r="V420" s="69"/>
      <c r="W420" s="68"/>
      <c r="X420" s="70"/>
      <c r="Y420" s="70"/>
      <c r="Z420" s="70"/>
      <c r="AA420" s="70"/>
      <c r="AB420" s="70"/>
      <c r="AC420" s="68"/>
      <c r="AD420" s="71"/>
      <c r="AE420" s="71"/>
      <c r="AF420" s="71"/>
      <c r="AG420" s="71"/>
      <c r="AH420" s="71"/>
      <c r="AI420" s="68"/>
      <c r="AJ420" s="214"/>
      <c r="AK420" s="214"/>
      <c r="AL420" s="214"/>
      <c r="AM420" s="214"/>
      <c r="AN420" s="68"/>
      <c r="AO420" s="67"/>
      <c r="AP420" s="67"/>
      <c r="AQ420" s="67"/>
      <c r="AR420" s="67"/>
      <c r="AS420" s="67"/>
      <c r="AT420" s="68"/>
      <c r="AU420" s="49"/>
      <c r="AV420" s="50"/>
    </row>
    <row r="421" spans="1:48" ht="12.75" customHeight="1" x14ac:dyDescent="0.25">
      <c r="A421" s="72" t="s">
        <v>20</v>
      </c>
      <c r="B421" s="43" t="s">
        <v>4043</v>
      </c>
      <c r="C421" s="44" t="s">
        <v>3749</v>
      </c>
      <c r="D421" s="45">
        <f>MROUND(MID($C421,6,3)/Basis!$E$3,0.5)</f>
        <v>19.5</v>
      </c>
      <c r="E421" s="45">
        <f>MROUND(MID($C421,9,3)/Basis!$E$3,0.5)</f>
        <v>23.5</v>
      </c>
      <c r="F421" s="229" t="str">
        <f t="shared" si="6"/>
        <v>22</v>
      </c>
      <c r="G421" s="45">
        <f>ROUND(9/Basis!$E$3,1)</f>
        <v>3.5</v>
      </c>
      <c r="H421" s="120">
        <f>ROUND($P421*Basis!$E$2*((TaH-TrH)/LN(1/µ)/Basis!$E$7)^$N421*Glycol,0)</f>
        <v>1790</v>
      </c>
      <c r="I421" s="83">
        <f>ROUND(H421/(MID($C421,9,3)/Basis!$E$3/Basis!$E$9)*Basis!$E$11,0)</f>
        <v>909</v>
      </c>
      <c r="J421" s="123">
        <f>IF(Basis!$E$1=1,ROUND(H421/((TaH-TrH)*1.163)/3600,3),ROUND(H421/(500*(TaH-TrH)),2))</f>
        <v>0.18</v>
      </c>
      <c r="K421" s="84"/>
      <c r="L421" s="177">
        <f>CHOOSE(Basis!$E$1,((AJ421*(J421*3600/Basis!$E$5)^AK421*(((MID(C421,9,3)*10)-144)/1000)*AL421+AM421*(J421*3600/Basis!$E$5)^2)*0.0098)/Basis!$E$10,((AJ421*(J421/Basis!$E$5)^AK421*(((MID(C421,9,3)*10)-144)/1000)*AL421+AM421*(J421/Basis!$E$5)^2)*0.0098)/Basis!$E$10)</f>
        <v>0</v>
      </c>
      <c r="M421" s="85"/>
      <c r="N421" s="109">
        <v>1.349</v>
      </c>
      <c r="O421" s="68"/>
      <c r="P421" s="67">
        <v>819</v>
      </c>
      <c r="Q421" s="68"/>
      <c r="R421" s="69"/>
      <c r="S421" s="69"/>
      <c r="T421" s="69"/>
      <c r="U421" s="69"/>
      <c r="V421" s="69"/>
      <c r="W421" s="68"/>
      <c r="X421" s="70"/>
      <c r="Y421" s="70"/>
      <c r="Z421" s="70"/>
      <c r="AA421" s="70"/>
      <c r="AB421" s="70"/>
      <c r="AC421" s="68"/>
      <c r="AD421" s="71"/>
      <c r="AE421" s="71"/>
      <c r="AF421" s="71"/>
      <c r="AG421" s="71"/>
      <c r="AH421" s="71"/>
      <c r="AI421" s="68"/>
      <c r="AJ421" s="214"/>
      <c r="AK421" s="214"/>
      <c r="AL421" s="214"/>
      <c r="AM421" s="214"/>
      <c r="AN421" s="68"/>
      <c r="AO421" s="67"/>
      <c r="AP421" s="67"/>
      <c r="AQ421" s="67"/>
      <c r="AR421" s="67"/>
      <c r="AS421" s="67"/>
      <c r="AT421" s="68"/>
      <c r="AU421" s="49"/>
      <c r="AV421" s="50"/>
    </row>
    <row r="422" spans="1:48" ht="12.75" customHeight="1" x14ac:dyDescent="0.25">
      <c r="A422" s="72" t="s">
        <v>20</v>
      </c>
      <c r="B422" s="43" t="s">
        <v>4043</v>
      </c>
      <c r="C422" s="44" t="s">
        <v>3750</v>
      </c>
      <c r="D422" s="45">
        <f>MROUND(MID($C422,6,3)/Basis!$E$3,0.5)</f>
        <v>19.5</v>
      </c>
      <c r="E422" s="45">
        <f>MROUND(MID($C422,9,3)/Basis!$E$3,0.5)</f>
        <v>31.5</v>
      </c>
      <c r="F422" s="229" t="str">
        <f t="shared" si="6"/>
        <v>11</v>
      </c>
      <c r="G422" s="45">
        <f>ROUND(5/Basis!$E$3,1)</f>
        <v>2</v>
      </c>
      <c r="H422" s="120">
        <f>ROUND($P422*Basis!$E$2*((TaH-TrH)/LN(1/µ)/Basis!$E$7)^$N422*Glycol,0)</f>
        <v>1410</v>
      </c>
      <c r="I422" s="83">
        <f>ROUND(H422/(MID($C422,9,3)/Basis!$E$3/Basis!$E$9)*Basis!$E$11,0)</f>
        <v>537</v>
      </c>
      <c r="J422" s="123">
        <f>IF(Basis!$E$1=1,ROUND(H422/((TaH-TrH)*1.163)/3600,3),ROUND(H422/(500*(TaH-TrH)),2))</f>
        <v>0.14000000000000001</v>
      </c>
      <c r="K422" s="84"/>
      <c r="L422" s="177">
        <f>CHOOSE(Basis!$E$1,((AJ422*(J422*3600/Basis!$E$5)^AK422*(((MID(C422,9,3)*10)-144)/1000)*AL422+AM422*(J422*3600/Basis!$E$5)^2)*0.0098)/Basis!$E$10,((AJ422*(J422/Basis!$E$5)^AK422*(((MID(C422,9,3)*10)-144)/1000)*AL422+AM422*(J422/Basis!$E$5)^2)*0.0098)/Basis!$E$10)</f>
        <v>0</v>
      </c>
      <c r="M422" s="85"/>
      <c r="N422" s="110">
        <v>1.248</v>
      </c>
      <c r="O422" s="74"/>
      <c r="P422" s="73">
        <v>624</v>
      </c>
      <c r="Q422" s="74"/>
      <c r="R422" s="75"/>
      <c r="S422" s="75"/>
      <c r="T422" s="75"/>
      <c r="U422" s="75"/>
      <c r="V422" s="75"/>
      <c r="W422" s="74"/>
      <c r="X422" s="76"/>
      <c r="Y422" s="76"/>
      <c r="Z422" s="76"/>
      <c r="AA422" s="76"/>
      <c r="AB422" s="76"/>
      <c r="AC422" s="74"/>
      <c r="AD422" s="77"/>
      <c r="AE422" s="77"/>
      <c r="AF422" s="77"/>
      <c r="AG422" s="77"/>
      <c r="AH422" s="77"/>
      <c r="AI422" s="68"/>
      <c r="AJ422" s="213"/>
      <c r="AK422" s="213"/>
      <c r="AL422" s="213"/>
      <c r="AM422" s="213"/>
      <c r="AN422" s="74"/>
      <c r="AO422" s="73"/>
      <c r="AP422" s="73"/>
      <c r="AQ422" s="73"/>
      <c r="AR422" s="73"/>
      <c r="AS422" s="73"/>
      <c r="AT422" s="74"/>
      <c r="AU422" s="47"/>
      <c r="AV422" s="48"/>
    </row>
    <row r="423" spans="1:48" ht="12.75" customHeight="1" x14ac:dyDescent="0.25">
      <c r="A423" s="72" t="s">
        <v>20</v>
      </c>
      <c r="B423" s="43" t="s">
        <v>4043</v>
      </c>
      <c r="C423" s="44" t="s">
        <v>3751</v>
      </c>
      <c r="D423" s="45">
        <f>MROUND(MID($C423,6,3)/Basis!$E$3,0.5)</f>
        <v>19.5</v>
      </c>
      <c r="E423" s="45">
        <f>MROUND(MID($C423,9,3)/Basis!$E$3,0.5)</f>
        <v>31.5</v>
      </c>
      <c r="F423" s="229" t="str">
        <f t="shared" si="6"/>
        <v>22</v>
      </c>
      <c r="G423" s="45">
        <f>ROUND(9/Basis!$E$3,1)</f>
        <v>3.5</v>
      </c>
      <c r="H423" s="120">
        <f>ROUND($P423*Basis!$E$2*((TaH-TrH)/LN(1/µ)/Basis!$E$7)^$N423*Glycol,0)</f>
        <v>2387</v>
      </c>
      <c r="I423" s="83">
        <f>ROUND(H423/(MID($C423,9,3)/Basis!$E$3/Basis!$E$9)*Basis!$E$11,0)</f>
        <v>909</v>
      </c>
      <c r="J423" s="123">
        <f>IF(Basis!$E$1=1,ROUND(H423/((TaH-TrH)*1.163)/3600,3),ROUND(H423/(500*(TaH-TrH)),2))</f>
        <v>0.24</v>
      </c>
      <c r="K423" s="84"/>
      <c r="L423" s="177">
        <f>CHOOSE(Basis!$E$1,((AJ423*(J423*3600/Basis!$E$5)^AK423*(((MID(C423,9,3)*10)-144)/1000)*AL423+AM423*(J423*3600/Basis!$E$5)^2)*0.0098)/Basis!$E$10,((AJ423*(J423/Basis!$E$5)^AK423*(((MID(C423,9,3)*10)-144)/1000)*AL423+AM423*(J423/Basis!$E$5)^2)*0.0098)/Basis!$E$10)</f>
        <v>0</v>
      </c>
      <c r="M423" s="85"/>
      <c r="N423" s="110">
        <v>1.349</v>
      </c>
      <c r="O423" s="74"/>
      <c r="P423" s="73">
        <v>1092</v>
      </c>
      <c r="Q423" s="74"/>
      <c r="R423" s="75"/>
      <c r="S423" s="75"/>
      <c r="T423" s="75"/>
      <c r="U423" s="75"/>
      <c r="V423" s="75"/>
      <c r="W423" s="74"/>
      <c r="X423" s="76"/>
      <c r="Y423" s="76"/>
      <c r="Z423" s="76"/>
      <c r="AA423" s="76"/>
      <c r="AB423" s="76"/>
      <c r="AC423" s="74"/>
      <c r="AD423" s="77"/>
      <c r="AE423" s="77"/>
      <c r="AF423" s="77"/>
      <c r="AG423" s="77"/>
      <c r="AH423" s="77"/>
      <c r="AI423" s="68"/>
      <c r="AJ423" s="213"/>
      <c r="AK423" s="213"/>
      <c r="AL423" s="213"/>
      <c r="AM423" s="213"/>
      <c r="AN423" s="74"/>
      <c r="AO423" s="73"/>
      <c r="AP423" s="73"/>
      <c r="AQ423" s="73"/>
      <c r="AR423" s="73"/>
      <c r="AS423" s="73"/>
      <c r="AT423" s="74"/>
      <c r="AU423" s="47"/>
      <c r="AV423" s="48"/>
    </row>
    <row r="424" spans="1:48" ht="12.75" customHeight="1" x14ac:dyDescent="0.25">
      <c r="A424" s="72" t="s">
        <v>20</v>
      </c>
      <c r="B424" s="43" t="s">
        <v>4043</v>
      </c>
      <c r="C424" s="44" t="s">
        <v>3752</v>
      </c>
      <c r="D424" s="45">
        <f>MROUND(MID($C424,6,3)/Basis!$E$3,0.5)</f>
        <v>19.5</v>
      </c>
      <c r="E424" s="45">
        <f>MROUND(MID($C424,9,3)/Basis!$E$3,0.5)</f>
        <v>39.5</v>
      </c>
      <c r="F424" s="229" t="str">
        <f t="shared" si="6"/>
        <v>11</v>
      </c>
      <c r="G424" s="45">
        <f>ROUND(5/Basis!$E$3,1)</f>
        <v>2</v>
      </c>
      <c r="H424" s="120">
        <f>ROUND($P424*Basis!$E$2*((TaH-TrH)/LN(1/µ)/Basis!$E$7)^$N424*Glycol,0)</f>
        <v>1763</v>
      </c>
      <c r="I424" s="83">
        <f>ROUND(H424/(MID($C424,9,3)/Basis!$E$3/Basis!$E$9)*Basis!$E$11,0)</f>
        <v>537</v>
      </c>
      <c r="J424" s="123">
        <f>IF(Basis!$E$1=1,ROUND(H424/((TaH-TrH)*1.163)/3600,3),ROUND(H424/(500*(TaH-TrH)),2))</f>
        <v>0.18</v>
      </c>
      <c r="K424" s="84"/>
      <c r="L424" s="177">
        <f>CHOOSE(Basis!$E$1,((AJ424*(J424*3600/Basis!$E$5)^AK424*(((MID(C424,9,3)*10)-144)/1000)*AL424+AM424*(J424*3600/Basis!$E$5)^2)*0.0098)/Basis!$E$10,((AJ424*(J424/Basis!$E$5)^AK424*(((MID(C424,9,3)*10)-144)/1000)*AL424+AM424*(J424/Basis!$E$5)^2)*0.0098)/Basis!$E$10)</f>
        <v>0</v>
      </c>
      <c r="M424" s="85"/>
      <c r="N424" s="109">
        <v>1.248</v>
      </c>
      <c r="O424" s="68"/>
      <c r="P424" s="67">
        <v>780</v>
      </c>
      <c r="Q424" s="68"/>
      <c r="R424" s="69"/>
      <c r="S424" s="69"/>
      <c r="T424" s="69"/>
      <c r="U424" s="69"/>
      <c r="V424" s="69"/>
      <c r="W424" s="68"/>
      <c r="X424" s="70"/>
      <c r="Y424" s="70"/>
      <c r="Z424" s="70"/>
      <c r="AA424" s="70"/>
      <c r="AB424" s="70"/>
      <c r="AC424" s="68"/>
      <c r="AD424" s="71"/>
      <c r="AE424" s="71"/>
      <c r="AF424" s="71"/>
      <c r="AG424" s="71"/>
      <c r="AH424" s="71"/>
      <c r="AI424" s="68"/>
      <c r="AJ424" s="214"/>
      <c r="AK424" s="214"/>
      <c r="AL424" s="214"/>
      <c r="AM424" s="214"/>
      <c r="AN424" s="68"/>
      <c r="AO424" s="67"/>
      <c r="AP424" s="67"/>
      <c r="AQ424" s="67"/>
      <c r="AR424" s="67"/>
      <c r="AS424" s="67"/>
      <c r="AT424" s="68"/>
      <c r="AU424" s="49"/>
      <c r="AV424" s="50"/>
    </row>
    <row r="425" spans="1:48" ht="12.75" customHeight="1" x14ac:dyDescent="0.25">
      <c r="A425" s="72" t="s">
        <v>20</v>
      </c>
      <c r="B425" s="43" t="s">
        <v>4043</v>
      </c>
      <c r="C425" s="44" t="s">
        <v>3753</v>
      </c>
      <c r="D425" s="45">
        <f>MROUND(MID($C425,6,3)/Basis!$E$3,0.5)</f>
        <v>19.5</v>
      </c>
      <c r="E425" s="45">
        <f>MROUND(MID($C425,9,3)/Basis!$E$3,0.5)</f>
        <v>39.5</v>
      </c>
      <c r="F425" s="229" t="str">
        <f t="shared" si="6"/>
        <v>22</v>
      </c>
      <c r="G425" s="45">
        <f>ROUND(9/Basis!$E$3,1)</f>
        <v>3.5</v>
      </c>
      <c r="H425" s="120">
        <f>ROUND($P425*Basis!$E$2*((TaH-TrH)/LN(1/µ)/Basis!$E$7)^$N425*Glycol,0)</f>
        <v>2984</v>
      </c>
      <c r="I425" s="83">
        <f>ROUND(H425/(MID($C425,9,3)/Basis!$E$3/Basis!$E$9)*Basis!$E$11,0)</f>
        <v>910</v>
      </c>
      <c r="J425" s="123">
        <f>IF(Basis!$E$1=1,ROUND(H425/((TaH-TrH)*1.163)/3600,3),ROUND(H425/(500*(TaH-TrH)),2))</f>
        <v>0.3</v>
      </c>
      <c r="K425" s="84"/>
      <c r="L425" s="177">
        <f>CHOOSE(Basis!$E$1,((AJ425*(J425*3600/Basis!$E$5)^AK425*(((MID(C425,9,3)*10)-144)/1000)*AL425+AM425*(J425*3600/Basis!$E$5)^2)*0.0098)/Basis!$E$10,((AJ425*(J425/Basis!$E$5)^AK425*(((MID(C425,9,3)*10)-144)/1000)*AL425+AM425*(J425/Basis!$E$5)^2)*0.0098)/Basis!$E$10)</f>
        <v>0</v>
      </c>
      <c r="M425" s="85"/>
      <c r="N425" s="109">
        <v>1.349</v>
      </c>
      <c r="O425" s="68"/>
      <c r="P425" s="67">
        <v>1365</v>
      </c>
      <c r="Q425" s="68"/>
      <c r="R425" s="69"/>
      <c r="S425" s="69"/>
      <c r="T425" s="69"/>
      <c r="U425" s="69"/>
      <c r="V425" s="69"/>
      <c r="W425" s="68"/>
      <c r="X425" s="70"/>
      <c r="Y425" s="70"/>
      <c r="Z425" s="70"/>
      <c r="AA425" s="70"/>
      <c r="AB425" s="70"/>
      <c r="AC425" s="68"/>
      <c r="AD425" s="71"/>
      <c r="AE425" s="71"/>
      <c r="AF425" s="71"/>
      <c r="AG425" s="71"/>
      <c r="AH425" s="71"/>
      <c r="AI425" s="68"/>
      <c r="AJ425" s="214"/>
      <c r="AK425" s="214"/>
      <c r="AL425" s="214"/>
      <c r="AM425" s="214"/>
      <c r="AN425" s="68"/>
      <c r="AO425" s="67"/>
      <c r="AP425" s="67"/>
      <c r="AQ425" s="67"/>
      <c r="AR425" s="67"/>
      <c r="AS425" s="67"/>
      <c r="AT425" s="68"/>
      <c r="AU425" s="49"/>
      <c r="AV425" s="50"/>
    </row>
    <row r="426" spans="1:48" ht="12.75" customHeight="1" x14ac:dyDescent="0.25">
      <c r="A426" s="72" t="s">
        <v>20</v>
      </c>
      <c r="B426" s="43" t="s">
        <v>4043</v>
      </c>
      <c r="C426" s="44" t="s">
        <v>3754</v>
      </c>
      <c r="D426" s="45">
        <f>MROUND(MID($C426,6,3)/Basis!$E$3,0.5)</f>
        <v>19.5</v>
      </c>
      <c r="E426" s="45">
        <f>MROUND(MID($C426,9,3)/Basis!$E$3,0.5)</f>
        <v>47</v>
      </c>
      <c r="F426" s="229" t="str">
        <f t="shared" si="6"/>
        <v>11</v>
      </c>
      <c r="G426" s="45">
        <f>ROUND(5/Basis!$E$3,1)</f>
        <v>2</v>
      </c>
      <c r="H426" s="120">
        <f>ROUND($P426*Basis!$E$2*((TaH-TrH)/LN(1/µ)/Basis!$E$7)^$N426*Glycol,0)</f>
        <v>2116</v>
      </c>
      <c r="I426" s="83">
        <f>ROUND(H426/(MID($C426,9,3)/Basis!$E$3/Basis!$E$9)*Basis!$E$11,0)</f>
        <v>537</v>
      </c>
      <c r="J426" s="123">
        <f>IF(Basis!$E$1=1,ROUND(H426/((TaH-TrH)*1.163)/3600,3),ROUND(H426/(500*(TaH-TrH)),2))</f>
        <v>0.21</v>
      </c>
      <c r="K426" s="84"/>
      <c r="L426" s="177">
        <f>CHOOSE(Basis!$E$1,((AJ426*(J426*3600/Basis!$E$5)^AK426*(((MID(C426,9,3)*10)-144)/1000)*AL426+AM426*(J426*3600/Basis!$E$5)^2)*0.0098)/Basis!$E$10,((AJ426*(J426/Basis!$E$5)^AK426*(((MID(C426,9,3)*10)-144)/1000)*AL426+AM426*(J426/Basis!$E$5)^2)*0.0098)/Basis!$E$10)</f>
        <v>0</v>
      </c>
      <c r="M426" s="85"/>
      <c r="N426" s="110">
        <v>1.248</v>
      </c>
      <c r="O426" s="74"/>
      <c r="P426" s="73">
        <v>936</v>
      </c>
      <c r="Q426" s="74"/>
      <c r="R426" s="75"/>
      <c r="S426" s="75"/>
      <c r="T426" s="75"/>
      <c r="U426" s="75"/>
      <c r="V426" s="75"/>
      <c r="W426" s="74"/>
      <c r="X426" s="76"/>
      <c r="Y426" s="76"/>
      <c r="Z426" s="76"/>
      <c r="AA426" s="76"/>
      <c r="AB426" s="76"/>
      <c r="AC426" s="74"/>
      <c r="AD426" s="77"/>
      <c r="AE426" s="77"/>
      <c r="AF426" s="77"/>
      <c r="AG426" s="77"/>
      <c r="AH426" s="77"/>
      <c r="AI426" s="68"/>
      <c r="AJ426" s="213"/>
      <c r="AK426" s="213"/>
      <c r="AL426" s="213"/>
      <c r="AM426" s="213"/>
      <c r="AN426" s="74"/>
      <c r="AO426" s="73"/>
      <c r="AP426" s="73"/>
      <c r="AQ426" s="73"/>
      <c r="AR426" s="73"/>
      <c r="AS426" s="73"/>
      <c r="AT426" s="74"/>
      <c r="AU426" s="47"/>
      <c r="AV426" s="48"/>
    </row>
    <row r="427" spans="1:48" ht="12.75" customHeight="1" x14ac:dyDescent="0.25">
      <c r="A427" s="72" t="s">
        <v>20</v>
      </c>
      <c r="B427" s="43" t="s">
        <v>4043</v>
      </c>
      <c r="C427" s="44" t="s">
        <v>3755</v>
      </c>
      <c r="D427" s="45">
        <f>MROUND(MID($C427,6,3)/Basis!$E$3,0.5)</f>
        <v>19.5</v>
      </c>
      <c r="E427" s="45">
        <f>MROUND(MID($C427,9,3)/Basis!$E$3,0.5)</f>
        <v>47</v>
      </c>
      <c r="F427" s="229" t="str">
        <f t="shared" si="6"/>
        <v>22</v>
      </c>
      <c r="G427" s="45">
        <f>ROUND(9/Basis!$E$3,1)</f>
        <v>3.5</v>
      </c>
      <c r="H427" s="120">
        <f>ROUND($P427*Basis!$E$2*((TaH-TrH)/LN(1/µ)/Basis!$E$7)^$N427*Glycol,0)</f>
        <v>3581</v>
      </c>
      <c r="I427" s="83">
        <f>ROUND(H427/(MID($C427,9,3)/Basis!$E$3/Basis!$E$9)*Basis!$E$11,0)</f>
        <v>910</v>
      </c>
      <c r="J427" s="123">
        <f>IF(Basis!$E$1=1,ROUND(H427/((TaH-TrH)*1.163)/3600,3),ROUND(H427/(500*(TaH-TrH)),2))</f>
        <v>0.36</v>
      </c>
      <c r="K427" s="84"/>
      <c r="L427" s="177">
        <f>CHOOSE(Basis!$E$1,((AJ427*(J427*3600/Basis!$E$5)^AK427*(((MID(C427,9,3)*10)-144)/1000)*AL427+AM427*(J427*3600/Basis!$E$5)^2)*0.0098)/Basis!$E$10,((AJ427*(J427/Basis!$E$5)^AK427*(((MID(C427,9,3)*10)-144)/1000)*AL427+AM427*(J427/Basis!$E$5)^2)*0.0098)/Basis!$E$10)</f>
        <v>0</v>
      </c>
      <c r="M427" s="85"/>
      <c r="N427" s="110">
        <v>1.349</v>
      </c>
      <c r="O427" s="74"/>
      <c r="P427" s="73">
        <v>1638</v>
      </c>
      <c r="Q427" s="74"/>
      <c r="R427" s="75"/>
      <c r="S427" s="75"/>
      <c r="T427" s="75"/>
      <c r="U427" s="75"/>
      <c r="V427" s="75"/>
      <c r="W427" s="74"/>
      <c r="X427" s="76"/>
      <c r="Y427" s="76"/>
      <c r="Z427" s="76"/>
      <c r="AA427" s="76"/>
      <c r="AB427" s="76"/>
      <c r="AC427" s="74"/>
      <c r="AD427" s="77"/>
      <c r="AE427" s="77"/>
      <c r="AF427" s="77"/>
      <c r="AG427" s="77"/>
      <c r="AH427" s="77"/>
      <c r="AI427" s="68"/>
      <c r="AJ427" s="213"/>
      <c r="AK427" s="213"/>
      <c r="AL427" s="213"/>
      <c r="AM427" s="213"/>
      <c r="AN427" s="74"/>
      <c r="AO427" s="73"/>
      <c r="AP427" s="73"/>
      <c r="AQ427" s="73"/>
      <c r="AR427" s="73"/>
      <c r="AS427" s="73"/>
      <c r="AT427" s="74"/>
      <c r="AU427" s="47"/>
      <c r="AV427" s="48"/>
    </row>
    <row r="428" spans="1:48" ht="12.75" customHeight="1" x14ac:dyDescent="0.25">
      <c r="A428" s="72" t="s">
        <v>20</v>
      </c>
      <c r="B428" s="43" t="s">
        <v>4043</v>
      </c>
      <c r="C428" s="44" t="s">
        <v>3756</v>
      </c>
      <c r="D428" s="45">
        <f>MROUND(MID($C428,6,3)/Basis!$E$3,0.5)</f>
        <v>19.5</v>
      </c>
      <c r="E428" s="45">
        <f>MROUND(MID($C428,9,3)/Basis!$E$3,0.5)</f>
        <v>55</v>
      </c>
      <c r="F428" s="229" t="str">
        <f t="shared" si="6"/>
        <v>11</v>
      </c>
      <c r="G428" s="45">
        <f>ROUND(5/Basis!$E$3,1)</f>
        <v>2</v>
      </c>
      <c r="H428" s="120">
        <f>ROUND($P428*Basis!$E$2*((TaH-TrH)/LN(1/µ)/Basis!$E$7)^$N428*Glycol,0)</f>
        <v>2466</v>
      </c>
      <c r="I428" s="83">
        <f>ROUND(H428/(MID($C428,9,3)/Basis!$E$3/Basis!$E$9)*Basis!$E$11,0)</f>
        <v>537</v>
      </c>
      <c r="J428" s="123">
        <f>IF(Basis!$E$1=1,ROUND(H428/((TaH-TrH)*1.163)/3600,3),ROUND(H428/(500*(TaH-TrH)),2))</f>
        <v>0.25</v>
      </c>
      <c r="K428" s="84"/>
      <c r="L428" s="177">
        <f>CHOOSE(Basis!$E$1,((AJ428*(J428*3600/Basis!$E$5)^AK428*(((MID(C428,9,3)*10)-144)/1000)*AL428+AM428*(J428*3600/Basis!$E$5)^2)*0.0098)/Basis!$E$10,((AJ428*(J428/Basis!$E$5)^AK428*(((MID(C428,9,3)*10)-144)/1000)*AL428+AM428*(J428/Basis!$E$5)^2)*0.0098)/Basis!$E$10)</f>
        <v>0</v>
      </c>
      <c r="M428" s="85"/>
      <c r="N428" s="109">
        <v>1.248</v>
      </c>
      <c r="O428" s="68"/>
      <c r="P428" s="67">
        <v>1091</v>
      </c>
      <c r="Q428" s="68"/>
      <c r="R428" s="69"/>
      <c r="S428" s="69"/>
      <c r="T428" s="69"/>
      <c r="U428" s="69"/>
      <c r="V428" s="69"/>
      <c r="W428" s="68"/>
      <c r="X428" s="70"/>
      <c r="Y428" s="70"/>
      <c r="Z428" s="70"/>
      <c r="AA428" s="70"/>
      <c r="AB428" s="70"/>
      <c r="AC428" s="68"/>
      <c r="AD428" s="71"/>
      <c r="AE428" s="71"/>
      <c r="AF428" s="71"/>
      <c r="AG428" s="71"/>
      <c r="AH428" s="71"/>
      <c r="AI428" s="68"/>
      <c r="AJ428" s="214"/>
      <c r="AK428" s="214"/>
      <c r="AL428" s="214"/>
      <c r="AM428" s="214"/>
      <c r="AN428" s="68"/>
      <c r="AO428" s="67"/>
      <c r="AP428" s="67"/>
      <c r="AQ428" s="67"/>
      <c r="AR428" s="67"/>
      <c r="AS428" s="67"/>
      <c r="AT428" s="68"/>
      <c r="AU428" s="49"/>
      <c r="AV428" s="50"/>
    </row>
    <row r="429" spans="1:48" ht="12.75" customHeight="1" x14ac:dyDescent="0.25">
      <c r="A429" s="72" t="s">
        <v>20</v>
      </c>
      <c r="B429" s="43" t="s">
        <v>4043</v>
      </c>
      <c r="C429" s="44" t="s">
        <v>3757</v>
      </c>
      <c r="D429" s="45">
        <f>MROUND(MID($C429,6,3)/Basis!$E$3,0.5)</f>
        <v>19.5</v>
      </c>
      <c r="E429" s="45">
        <f>MROUND(MID($C429,9,3)/Basis!$E$3,0.5)</f>
        <v>55</v>
      </c>
      <c r="F429" s="229" t="str">
        <f t="shared" si="6"/>
        <v>22</v>
      </c>
      <c r="G429" s="45">
        <f>ROUND(9/Basis!$E$3,1)</f>
        <v>3.5</v>
      </c>
      <c r="H429" s="120">
        <f>ROUND($P429*Basis!$E$2*((TaH-TrH)/LN(1/µ)/Basis!$E$7)^$N429*Glycol,0)</f>
        <v>4178</v>
      </c>
      <c r="I429" s="83">
        <f>ROUND(H429/(MID($C429,9,3)/Basis!$E$3/Basis!$E$9)*Basis!$E$11,0)</f>
        <v>910</v>
      </c>
      <c r="J429" s="123">
        <f>IF(Basis!$E$1=1,ROUND(H429/((TaH-TrH)*1.163)/3600,3),ROUND(H429/(500*(TaH-TrH)),2))</f>
        <v>0.42</v>
      </c>
      <c r="K429" s="84"/>
      <c r="L429" s="177">
        <f>CHOOSE(Basis!$E$1,((AJ429*(J429*3600/Basis!$E$5)^AK429*(((MID(C429,9,3)*10)-144)/1000)*AL429+AM429*(J429*3600/Basis!$E$5)^2)*0.0098)/Basis!$E$10,((AJ429*(J429/Basis!$E$5)^AK429*(((MID(C429,9,3)*10)-144)/1000)*AL429+AM429*(J429/Basis!$E$5)^2)*0.0098)/Basis!$E$10)</f>
        <v>0</v>
      </c>
      <c r="M429" s="85"/>
      <c r="N429" s="109">
        <v>1.349</v>
      </c>
      <c r="O429" s="68"/>
      <c r="P429" s="67">
        <v>1911</v>
      </c>
      <c r="Q429" s="68"/>
      <c r="R429" s="69"/>
      <c r="S429" s="69"/>
      <c r="T429" s="69"/>
      <c r="U429" s="69"/>
      <c r="V429" s="69"/>
      <c r="W429" s="68"/>
      <c r="X429" s="70"/>
      <c r="Y429" s="70"/>
      <c r="Z429" s="70"/>
      <c r="AA429" s="70"/>
      <c r="AB429" s="70"/>
      <c r="AC429" s="68"/>
      <c r="AD429" s="71"/>
      <c r="AE429" s="71"/>
      <c r="AF429" s="71"/>
      <c r="AG429" s="71"/>
      <c r="AH429" s="71"/>
      <c r="AI429" s="68"/>
      <c r="AJ429" s="214"/>
      <c r="AK429" s="214"/>
      <c r="AL429" s="214"/>
      <c r="AM429" s="214"/>
      <c r="AN429" s="68"/>
      <c r="AO429" s="67"/>
      <c r="AP429" s="67"/>
      <c r="AQ429" s="67"/>
      <c r="AR429" s="67"/>
      <c r="AS429" s="67"/>
      <c r="AT429" s="68"/>
      <c r="AU429" s="49"/>
      <c r="AV429" s="50"/>
    </row>
    <row r="430" spans="1:48" ht="12.75" customHeight="1" x14ac:dyDescent="0.25">
      <c r="A430" s="72" t="s">
        <v>20</v>
      </c>
      <c r="B430" s="43" t="s">
        <v>4043</v>
      </c>
      <c r="C430" s="44" t="s">
        <v>3758</v>
      </c>
      <c r="D430" s="45">
        <f>MROUND(MID($C430,6,3)/Basis!$E$3,0.5)</f>
        <v>19.5</v>
      </c>
      <c r="E430" s="45">
        <f>MROUND(MID($C430,9,3)/Basis!$E$3,0.5)</f>
        <v>63</v>
      </c>
      <c r="F430" s="229" t="str">
        <f t="shared" si="6"/>
        <v>11</v>
      </c>
      <c r="G430" s="45">
        <f>ROUND(5/Basis!$E$3,1)</f>
        <v>2</v>
      </c>
      <c r="H430" s="120">
        <f>ROUND($P430*Basis!$E$2*((TaH-TrH)/LN(1/µ)/Basis!$E$7)^$N430*Glycol,0)</f>
        <v>2818</v>
      </c>
      <c r="I430" s="83">
        <f>ROUND(H430/(MID($C430,9,3)/Basis!$E$3/Basis!$E$9)*Basis!$E$11,0)</f>
        <v>537</v>
      </c>
      <c r="J430" s="123">
        <f>IF(Basis!$E$1=1,ROUND(H430/((TaH-TrH)*1.163)/3600,3),ROUND(H430/(500*(TaH-TrH)),2))</f>
        <v>0.28000000000000003</v>
      </c>
      <c r="K430" s="84"/>
      <c r="L430" s="177">
        <f>CHOOSE(Basis!$E$1,((AJ430*(J430*3600/Basis!$E$5)^AK430*(((MID(C430,9,3)*10)-144)/1000)*AL430+AM430*(J430*3600/Basis!$E$5)^2)*0.0098)/Basis!$E$10,((AJ430*(J430/Basis!$E$5)^AK430*(((MID(C430,9,3)*10)-144)/1000)*AL430+AM430*(J430/Basis!$E$5)^2)*0.0098)/Basis!$E$10)</f>
        <v>0</v>
      </c>
      <c r="M430" s="85"/>
      <c r="N430" s="110">
        <v>1.248</v>
      </c>
      <c r="O430" s="74"/>
      <c r="P430" s="73">
        <v>1247</v>
      </c>
      <c r="Q430" s="74"/>
      <c r="R430" s="75"/>
      <c r="S430" s="75"/>
      <c r="T430" s="75"/>
      <c r="U430" s="75"/>
      <c r="V430" s="75"/>
      <c r="W430" s="74"/>
      <c r="X430" s="76"/>
      <c r="Y430" s="76"/>
      <c r="Z430" s="76"/>
      <c r="AA430" s="76"/>
      <c r="AB430" s="76"/>
      <c r="AC430" s="74"/>
      <c r="AD430" s="77"/>
      <c r="AE430" s="77"/>
      <c r="AF430" s="77"/>
      <c r="AG430" s="77"/>
      <c r="AH430" s="77"/>
      <c r="AI430" s="68"/>
      <c r="AJ430" s="213"/>
      <c r="AK430" s="213"/>
      <c r="AL430" s="213"/>
      <c r="AM430" s="213"/>
      <c r="AN430" s="74"/>
      <c r="AO430" s="73"/>
      <c r="AP430" s="73"/>
      <c r="AQ430" s="73"/>
      <c r="AR430" s="73"/>
      <c r="AS430" s="73"/>
      <c r="AT430" s="74"/>
      <c r="AU430" s="47"/>
      <c r="AV430" s="48"/>
    </row>
    <row r="431" spans="1:48" ht="12.75" customHeight="1" x14ac:dyDescent="0.25">
      <c r="A431" s="72" t="s">
        <v>20</v>
      </c>
      <c r="B431" s="43" t="s">
        <v>4043</v>
      </c>
      <c r="C431" s="44" t="s">
        <v>3759</v>
      </c>
      <c r="D431" s="45">
        <f>MROUND(MID($C431,6,3)/Basis!$E$3,0.5)</f>
        <v>19.5</v>
      </c>
      <c r="E431" s="45">
        <f>MROUND(MID($C431,9,3)/Basis!$E$3,0.5)</f>
        <v>63</v>
      </c>
      <c r="F431" s="229" t="str">
        <f t="shared" si="6"/>
        <v>22</v>
      </c>
      <c r="G431" s="45">
        <f>ROUND(9/Basis!$E$3,1)</f>
        <v>3.5</v>
      </c>
      <c r="H431" s="120">
        <f>ROUND($P431*Basis!$E$2*((TaH-TrH)/LN(1/µ)/Basis!$E$7)^$N431*Glycol,0)</f>
        <v>4777</v>
      </c>
      <c r="I431" s="83">
        <f>ROUND(H431/(MID($C431,9,3)/Basis!$E$3/Basis!$E$9)*Basis!$E$11,0)</f>
        <v>910</v>
      </c>
      <c r="J431" s="123">
        <f>IF(Basis!$E$1=1,ROUND(H431/((TaH-TrH)*1.163)/3600,3),ROUND(H431/(500*(TaH-TrH)),2))</f>
        <v>0.48</v>
      </c>
      <c r="K431" s="84"/>
      <c r="L431" s="177">
        <f>CHOOSE(Basis!$E$1,((AJ431*(J431*3600/Basis!$E$5)^AK431*(((MID(C431,9,3)*10)-144)/1000)*AL431+AM431*(J431*3600/Basis!$E$5)^2)*0.0098)/Basis!$E$10,((AJ431*(J431/Basis!$E$5)^AK431*(((MID(C431,9,3)*10)-144)/1000)*AL431+AM431*(J431/Basis!$E$5)^2)*0.0098)/Basis!$E$10)</f>
        <v>0</v>
      </c>
      <c r="M431" s="85"/>
      <c r="N431" s="110">
        <v>1.349</v>
      </c>
      <c r="O431" s="74"/>
      <c r="P431" s="73">
        <v>2185</v>
      </c>
      <c r="Q431" s="74"/>
      <c r="R431" s="75"/>
      <c r="S431" s="75"/>
      <c r="T431" s="75"/>
      <c r="U431" s="75"/>
      <c r="V431" s="75"/>
      <c r="W431" s="74"/>
      <c r="X431" s="76"/>
      <c r="Y431" s="76"/>
      <c r="Z431" s="76"/>
      <c r="AA431" s="76"/>
      <c r="AB431" s="76"/>
      <c r="AC431" s="74"/>
      <c r="AD431" s="77"/>
      <c r="AE431" s="77"/>
      <c r="AF431" s="77"/>
      <c r="AG431" s="77"/>
      <c r="AH431" s="77"/>
      <c r="AI431" s="68"/>
      <c r="AJ431" s="213"/>
      <c r="AK431" s="213"/>
      <c r="AL431" s="213"/>
      <c r="AM431" s="213"/>
      <c r="AN431" s="74"/>
      <c r="AO431" s="73"/>
      <c r="AP431" s="73"/>
      <c r="AQ431" s="73"/>
      <c r="AR431" s="73"/>
      <c r="AS431" s="73"/>
      <c r="AT431" s="74"/>
      <c r="AU431" s="47"/>
      <c r="AV431" s="48"/>
    </row>
    <row r="432" spans="1:48" ht="12.75" customHeight="1" x14ac:dyDescent="0.25">
      <c r="A432" s="72" t="s">
        <v>20</v>
      </c>
      <c r="B432" s="43" t="s">
        <v>4043</v>
      </c>
      <c r="C432" s="44" t="s">
        <v>3760</v>
      </c>
      <c r="D432" s="45">
        <f>MROUND(MID($C432,6,3)/Basis!$E$3,0.5)</f>
        <v>19.5</v>
      </c>
      <c r="E432" s="45">
        <f>MROUND(MID($C432,9,3)/Basis!$E$3,0.5)</f>
        <v>71</v>
      </c>
      <c r="F432" s="229" t="str">
        <f t="shared" si="6"/>
        <v>11</v>
      </c>
      <c r="G432" s="45">
        <f>ROUND(5/Basis!$E$3,1)</f>
        <v>2</v>
      </c>
      <c r="H432" s="120">
        <f>ROUND($P432*Basis!$E$2*((TaH-TrH)/LN(1/µ)/Basis!$E$7)^$N432*Glycol,0)</f>
        <v>3171</v>
      </c>
      <c r="I432" s="83">
        <f>ROUND(H432/(MID($C432,9,3)/Basis!$E$3/Basis!$E$9)*Basis!$E$11,0)</f>
        <v>537</v>
      </c>
      <c r="J432" s="123">
        <f>IF(Basis!$E$1=1,ROUND(H432/((TaH-TrH)*1.163)/3600,3),ROUND(H432/(500*(TaH-TrH)),2))</f>
        <v>0.32</v>
      </c>
      <c r="K432" s="84"/>
      <c r="L432" s="177">
        <f>CHOOSE(Basis!$E$1,((AJ432*(J432*3600/Basis!$E$5)^AK432*(((MID(C432,9,3)*10)-144)/1000)*AL432+AM432*(J432*3600/Basis!$E$5)^2)*0.0098)/Basis!$E$10,((AJ432*(J432/Basis!$E$5)^AK432*(((MID(C432,9,3)*10)-144)/1000)*AL432+AM432*(J432/Basis!$E$5)^2)*0.0098)/Basis!$E$10)</f>
        <v>0</v>
      </c>
      <c r="M432" s="85"/>
      <c r="N432" s="109">
        <v>1.248</v>
      </c>
      <c r="O432" s="68"/>
      <c r="P432" s="67">
        <v>1403</v>
      </c>
      <c r="Q432" s="68"/>
      <c r="R432" s="69"/>
      <c r="S432" s="69"/>
      <c r="T432" s="69"/>
      <c r="U432" s="69"/>
      <c r="V432" s="69"/>
      <c r="W432" s="68"/>
      <c r="X432" s="70"/>
      <c r="Y432" s="70"/>
      <c r="Z432" s="70"/>
      <c r="AA432" s="70"/>
      <c r="AB432" s="70"/>
      <c r="AC432" s="68"/>
      <c r="AD432" s="71"/>
      <c r="AE432" s="71"/>
      <c r="AF432" s="71"/>
      <c r="AG432" s="71"/>
      <c r="AH432" s="71"/>
      <c r="AI432" s="68"/>
      <c r="AJ432" s="214"/>
      <c r="AK432" s="214"/>
      <c r="AL432" s="214"/>
      <c r="AM432" s="214"/>
      <c r="AN432" s="68"/>
      <c r="AO432" s="67"/>
      <c r="AP432" s="67"/>
      <c r="AQ432" s="67"/>
      <c r="AR432" s="67"/>
      <c r="AS432" s="67"/>
      <c r="AT432" s="68"/>
      <c r="AU432" s="49"/>
      <c r="AV432" s="50"/>
    </row>
    <row r="433" spans="1:48" ht="12.75" customHeight="1" x14ac:dyDescent="0.25">
      <c r="A433" s="72" t="s">
        <v>20</v>
      </c>
      <c r="B433" s="43" t="s">
        <v>4043</v>
      </c>
      <c r="C433" s="44" t="s">
        <v>3761</v>
      </c>
      <c r="D433" s="45">
        <f>MROUND(MID($C433,6,3)/Basis!$E$3,0.5)</f>
        <v>19.5</v>
      </c>
      <c r="E433" s="45">
        <f>MROUND(MID($C433,9,3)/Basis!$E$3,0.5)</f>
        <v>71</v>
      </c>
      <c r="F433" s="229" t="str">
        <f t="shared" si="6"/>
        <v>22</v>
      </c>
      <c r="G433" s="45">
        <f>ROUND(9/Basis!$E$3,1)</f>
        <v>3.5</v>
      </c>
      <c r="H433" s="120">
        <f>ROUND($P433*Basis!$E$2*((TaH-TrH)/LN(1/µ)/Basis!$E$7)^$N433*Glycol,0)</f>
        <v>5373</v>
      </c>
      <c r="I433" s="83">
        <f>ROUND(H433/(MID($C433,9,3)/Basis!$E$3/Basis!$E$9)*Basis!$E$11,0)</f>
        <v>910</v>
      </c>
      <c r="J433" s="123">
        <f>IF(Basis!$E$1=1,ROUND(H433/((TaH-TrH)*1.163)/3600,3),ROUND(H433/(500*(TaH-TrH)),2))</f>
        <v>0.54</v>
      </c>
      <c r="K433" s="84"/>
      <c r="L433" s="177">
        <f>CHOOSE(Basis!$E$1,((AJ433*(J433*3600/Basis!$E$5)^AK433*(((MID(C433,9,3)*10)-144)/1000)*AL433+AM433*(J433*3600/Basis!$E$5)^2)*0.0098)/Basis!$E$10,((AJ433*(J433/Basis!$E$5)^AK433*(((MID(C433,9,3)*10)-144)/1000)*AL433+AM433*(J433/Basis!$E$5)^2)*0.0098)/Basis!$E$10)</f>
        <v>0</v>
      </c>
      <c r="M433" s="85"/>
      <c r="N433" s="109">
        <v>1.349</v>
      </c>
      <c r="O433" s="68"/>
      <c r="P433" s="67">
        <v>2458</v>
      </c>
      <c r="Q433" s="68"/>
      <c r="R433" s="69"/>
      <c r="S433" s="69"/>
      <c r="T433" s="69"/>
      <c r="U433" s="69"/>
      <c r="V433" s="69"/>
      <c r="W433" s="68"/>
      <c r="X433" s="70"/>
      <c r="Y433" s="70"/>
      <c r="Z433" s="70"/>
      <c r="AA433" s="70"/>
      <c r="AB433" s="70"/>
      <c r="AC433" s="68"/>
      <c r="AD433" s="71"/>
      <c r="AE433" s="71"/>
      <c r="AF433" s="71"/>
      <c r="AG433" s="71"/>
      <c r="AH433" s="71"/>
      <c r="AI433" s="68"/>
      <c r="AJ433" s="214"/>
      <c r="AK433" s="214"/>
      <c r="AL433" s="214"/>
      <c r="AM433" s="214"/>
      <c r="AN433" s="68"/>
      <c r="AO433" s="67"/>
      <c r="AP433" s="67"/>
      <c r="AQ433" s="67"/>
      <c r="AR433" s="67"/>
      <c r="AS433" s="67"/>
      <c r="AT433" s="68"/>
      <c r="AU433" s="49"/>
      <c r="AV433" s="50"/>
    </row>
    <row r="434" spans="1:48" ht="12.75" customHeight="1" x14ac:dyDescent="0.25">
      <c r="A434" s="72" t="s">
        <v>20</v>
      </c>
      <c r="B434" s="43" t="s">
        <v>4043</v>
      </c>
      <c r="C434" s="44" t="s">
        <v>3762</v>
      </c>
      <c r="D434" s="45">
        <f>MROUND(MID($C434,6,3)/Basis!$E$3,0.5)</f>
        <v>19.5</v>
      </c>
      <c r="E434" s="45">
        <f>MROUND(MID($C434,9,3)/Basis!$E$3,0.5)</f>
        <v>78.5</v>
      </c>
      <c r="F434" s="229" t="str">
        <f t="shared" si="6"/>
        <v>11</v>
      </c>
      <c r="G434" s="45">
        <f>ROUND(5/Basis!$E$3,1)</f>
        <v>2</v>
      </c>
      <c r="H434" s="120">
        <f>ROUND($P434*Basis!$E$2*((TaH-TrH)/LN(1/µ)/Basis!$E$7)^$N434*Glycol,0)</f>
        <v>3524</v>
      </c>
      <c r="I434" s="83">
        <f>ROUND(H434/(MID($C434,9,3)/Basis!$E$3/Basis!$E$9)*Basis!$E$11,0)</f>
        <v>537</v>
      </c>
      <c r="J434" s="123">
        <f>IF(Basis!$E$1=1,ROUND(H434/((TaH-TrH)*1.163)/3600,3),ROUND(H434/(500*(TaH-TrH)),2))</f>
        <v>0.35</v>
      </c>
      <c r="K434" s="84"/>
      <c r="L434" s="177">
        <f>CHOOSE(Basis!$E$1,((AJ434*(J434*3600/Basis!$E$5)^AK434*(((MID(C434,9,3)*10)-144)/1000)*AL434+AM434*(J434*3600/Basis!$E$5)^2)*0.0098)/Basis!$E$10,((AJ434*(J434/Basis!$E$5)^AK434*(((MID(C434,9,3)*10)-144)/1000)*AL434+AM434*(J434/Basis!$E$5)^2)*0.0098)/Basis!$E$10)</f>
        <v>0</v>
      </c>
      <c r="M434" s="85"/>
      <c r="N434" s="110">
        <v>1.248</v>
      </c>
      <c r="O434" s="74"/>
      <c r="P434" s="73">
        <v>1559</v>
      </c>
      <c r="Q434" s="74"/>
      <c r="R434" s="75"/>
      <c r="S434" s="75"/>
      <c r="T434" s="75"/>
      <c r="U434" s="75"/>
      <c r="V434" s="75"/>
      <c r="W434" s="74"/>
      <c r="X434" s="76"/>
      <c r="Y434" s="76"/>
      <c r="Z434" s="76"/>
      <c r="AA434" s="76"/>
      <c r="AB434" s="76"/>
      <c r="AC434" s="74"/>
      <c r="AD434" s="77"/>
      <c r="AE434" s="77"/>
      <c r="AF434" s="77"/>
      <c r="AG434" s="77"/>
      <c r="AH434" s="77"/>
      <c r="AI434" s="68"/>
      <c r="AJ434" s="213"/>
      <c r="AK434" s="213"/>
      <c r="AL434" s="213"/>
      <c r="AM434" s="213"/>
      <c r="AN434" s="74"/>
      <c r="AO434" s="73"/>
      <c r="AP434" s="73"/>
      <c r="AQ434" s="73"/>
      <c r="AR434" s="73"/>
      <c r="AS434" s="73"/>
      <c r="AT434" s="74"/>
      <c r="AU434" s="47"/>
      <c r="AV434" s="48"/>
    </row>
    <row r="435" spans="1:48" ht="12.75" customHeight="1" x14ac:dyDescent="0.25">
      <c r="A435" s="72" t="s">
        <v>20</v>
      </c>
      <c r="B435" s="43" t="s">
        <v>4043</v>
      </c>
      <c r="C435" s="44" t="s">
        <v>3763</v>
      </c>
      <c r="D435" s="45">
        <f>MROUND(MID($C435,6,3)/Basis!$E$3,0.5)</f>
        <v>19.5</v>
      </c>
      <c r="E435" s="45">
        <f>MROUND(MID($C435,9,3)/Basis!$E$3,0.5)</f>
        <v>78.5</v>
      </c>
      <c r="F435" s="229" t="str">
        <f t="shared" si="6"/>
        <v>22</v>
      </c>
      <c r="G435" s="45">
        <f>ROUND(9/Basis!$E$3,1)</f>
        <v>3.5</v>
      </c>
      <c r="H435" s="120">
        <f>ROUND($P435*Basis!$E$2*((TaH-TrH)/LN(1/µ)/Basis!$E$7)^$N435*Glycol,0)</f>
        <v>5970</v>
      </c>
      <c r="I435" s="83">
        <f>ROUND(H435/(MID($C435,9,3)/Basis!$E$3/Basis!$E$9)*Basis!$E$11,0)</f>
        <v>910</v>
      </c>
      <c r="J435" s="123">
        <f>IF(Basis!$E$1=1,ROUND(H435/((TaH-TrH)*1.163)/3600,3),ROUND(H435/(500*(TaH-TrH)),2))</f>
        <v>0.6</v>
      </c>
      <c r="K435" s="84"/>
      <c r="L435" s="177">
        <f>CHOOSE(Basis!$E$1,((AJ435*(J435*3600/Basis!$E$5)^AK435*(((MID(C435,9,3)*10)-144)/1000)*AL435+AM435*(J435*3600/Basis!$E$5)^2)*0.0098)/Basis!$E$10,((AJ435*(J435/Basis!$E$5)^AK435*(((MID(C435,9,3)*10)-144)/1000)*AL435+AM435*(J435/Basis!$E$5)^2)*0.0098)/Basis!$E$10)</f>
        <v>0</v>
      </c>
      <c r="M435" s="85"/>
      <c r="N435" s="110">
        <v>1.349</v>
      </c>
      <c r="O435" s="74"/>
      <c r="P435" s="73">
        <v>2731</v>
      </c>
      <c r="Q435" s="74"/>
      <c r="R435" s="75"/>
      <c r="S435" s="75"/>
      <c r="T435" s="75"/>
      <c r="U435" s="75"/>
      <c r="V435" s="75"/>
      <c r="W435" s="74"/>
      <c r="X435" s="76"/>
      <c r="Y435" s="76"/>
      <c r="Z435" s="76"/>
      <c r="AA435" s="76"/>
      <c r="AB435" s="76"/>
      <c r="AC435" s="74"/>
      <c r="AD435" s="77"/>
      <c r="AE435" s="77"/>
      <c r="AF435" s="77"/>
      <c r="AG435" s="77"/>
      <c r="AH435" s="77"/>
      <c r="AI435" s="68"/>
      <c r="AJ435" s="213"/>
      <c r="AK435" s="213"/>
      <c r="AL435" s="213"/>
      <c r="AM435" s="213"/>
      <c r="AN435" s="74"/>
      <c r="AO435" s="73"/>
      <c r="AP435" s="73"/>
      <c r="AQ435" s="73"/>
      <c r="AR435" s="73"/>
      <c r="AS435" s="73"/>
      <c r="AT435" s="74"/>
      <c r="AU435" s="47"/>
      <c r="AV435" s="48"/>
    </row>
    <row r="436" spans="1:48" ht="12.75" customHeight="1" x14ac:dyDescent="0.25">
      <c r="A436" s="72" t="s">
        <v>20</v>
      </c>
      <c r="B436" s="43" t="s">
        <v>4043</v>
      </c>
      <c r="C436" s="44" t="s">
        <v>3764</v>
      </c>
      <c r="D436" s="45">
        <f>MROUND(MID($C436,6,3)/Basis!$E$3,0.5)</f>
        <v>19.5</v>
      </c>
      <c r="E436" s="45">
        <f>MROUND(MID($C436,9,3)/Basis!$E$3,0.5)</f>
        <v>86.5</v>
      </c>
      <c r="F436" s="229" t="str">
        <f t="shared" si="6"/>
        <v>11</v>
      </c>
      <c r="G436" s="45">
        <f>ROUND(5/Basis!$E$3,1)</f>
        <v>2</v>
      </c>
      <c r="H436" s="120">
        <f>ROUND($P436*Basis!$E$2*((TaH-TrH)/LN(1/µ)/Basis!$E$7)^$N436*Glycol,0)</f>
        <v>3876</v>
      </c>
      <c r="I436" s="83">
        <f>ROUND(H436/(MID($C436,9,3)/Basis!$E$3/Basis!$E$9)*Basis!$E$11,0)</f>
        <v>537</v>
      </c>
      <c r="J436" s="123">
        <f>IF(Basis!$E$1=1,ROUND(H436/((TaH-TrH)*1.163)/3600,3),ROUND(H436/(500*(TaH-TrH)),2))</f>
        <v>0.39</v>
      </c>
      <c r="K436" s="84"/>
      <c r="L436" s="177">
        <f>CHOOSE(Basis!$E$1,((AJ436*(J436*3600/Basis!$E$5)^AK436*(((MID(C436,9,3)*10)-144)/1000)*AL436+AM436*(J436*3600/Basis!$E$5)^2)*0.0098)/Basis!$E$10,((AJ436*(J436/Basis!$E$5)^AK436*(((MID(C436,9,3)*10)-144)/1000)*AL436+AM436*(J436/Basis!$E$5)^2)*0.0098)/Basis!$E$10)</f>
        <v>0</v>
      </c>
      <c r="M436" s="85"/>
      <c r="N436" s="109">
        <v>1.248</v>
      </c>
      <c r="O436" s="68"/>
      <c r="P436" s="67">
        <v>1715</v>
      </c>
      <c r="Q436" s="68"/>
      <c r="R436" s="69"/>
      <c r="S436" s="69"/>
      <c r="T436" s="69"/>
      <c r="U436" s="69"/>
      <c r="V436" s="69"/>
      <c r="W436" s="68"/>
      <c r="X436" s="70"/>
      <c r="Y436" s="70"/>
      <c r="Z436" s="70"/>
      <c r="AA436" s="70"/>
      <c r="AB436" s="70"/>
      <c r="AC436" s="68"/>
      <c r="AD436" s="71"/>
      <c r="AE436" s="71"/>
      <c r="AF436" s="71"/>
      <c r="AG436" s="71"/>
      <c r="AH436" s="71"/>
      <c r="AI436" s="68"/>
      <c r="AJ436" s="214"/>
      <c r="AK436" s="214"/>
      <c r="AL436" s="214"/>
      <c r="AM436" s="214"/>
      <c r="AN436" s="68"/>
      <c r="AO436" s="67"/>
      <c r="AP436" s="67"/>
      <c r="AQ436" s="67"/>
      <c r="AR436" s="67"/>
      <c r="AS436" s="67"/>
      <c r="AT436" s="68"/>
      <c r="AU436" s="49"/>
      <c r="AV436" s="50"/>
    </row>
    <row r="437" spans="1:48" ht="12.75" customHeight="1" x14ac:dyDescent="0.25">
      <c r="A437" s="72" t="s">
        <v>20</v>
      </c>
      <c r="B437" s="43" t="s">
        <v>4043</v>
      </c>
      <c r="C437" s="44" t="s">
        <v>3765</v>
      </c>
      <c r="D437" s="45">
        <f>MROUND(MID($C437,6,3)/Basis!$E$3,0.5)</f>
        <v>19.5</v>
      </c>
      <c r="E437" s="45">
        <f>MROUND(MID($C437,9,3)/Basis!$E$3,0.5)</f>
        <v>86.5</v>
      </c>
      <c r="F437" s="229" t="str">
        <f t="shared" si="6"/>
        <v>22</v>
      </c>
      <c r="G437" s="45">
        <f>ROUND(9/Basis!$E$3,1)</f>
        <v>3.5</v>
      </c>
      <c r="H437" s="120">
        <f>ROUND($P437*Basis!$E$2*((TaH-TrH)/LN(1/µ)/Basis!$E$7)^$N437*Glycol,0)</f>
        <v>6567</v>
      </c>
      <c r="I437" s="83">
        <f>ROUND(H437/(MID($C437,9,3)/Basis!$E$3/Basis!$E$9)*Basis!$E$11,0)</f>
        <v>910</v>
      </c>
      <c r="J437" s="123">
        <f>IF(Basis!$E$1=1,ROUND(H437/((TaH-TrH)*1.163)/3600,3),ROUND(H437/(500*(TaH-TrH)),2))</f>
        <v>0.66</v>
      </c>
      <c r="K437" s="84"/>
      <c r="L437" s="177">
        <f>CHOOSE(Basis!$E$1,((AJ437*(J437*3600/Basis!$E$5)^AK437*(((MID(C437,9,3)*10)-144)/1000)*AL437+AM437*(J437*3600/Basis!$E$5)^2)*0.0098)/Basis!$E$10,((AJ437*(J437/Basis!$E$5)^AK437*(((MID(C437,9,3)*10)-144)/1000)*AL437+AM437*(J437/Basis!$E$5)^2)*0.0098)/Basis!$E$10)</f>
        <v>0</v>
      </c>
      <c r="M437" s="85"/>
      <c r="N437" s="109">
        <v>1.349</v>
      </c>
      <c r="O437" s="68"/>
      <c r="P437" s="67">
        <v>3004</v>
      </c>
      <c r="Q437" s="68"/>
      <c r="R437" s="69"/>
      <c r="S437" s="69"/>
      <c r="T437" s="69"/>
      <c r="U437" s="69"/>
      <c r="V437" s="69"/>
      <c r="W437" s="68"/>
      <c r="X437" s="70"/>
      <c r="Y437" s="70"/>
      <c r="Z437" s="70"/>
      <c r="AA437" s="70"/>
      <c r="AB437" s="70"/>
      <c r="AC437" s="68"/>
      <c r="AD437" s="71"/>
      <c r="AE437" s="71"/>
      <c r="AF437" s="71"/>
      <c r="AG437" s="71"/>
      <c r="AH437" s="71"/>
      <c r="AI437" s="68"/>
      <c r="AJ437" s="214"/>
      <c r="AK437" s="214"/>
      <c r="AL437" s="214"/>
      <c r="AM437" s="214"/>
      <c r="AN437" s="68"/>
      <c r="AO437" s="67"/>
      <c r="AP437" s="67"/>
      <c r="AQ437" s="67"/>
      <c r="AR437" s="67"/>
      <c r="AS437" s="67"/>
      <c r="AT437" s="68"/>
      <c r="AU437" s="49"/>
      <c r="AV437" s="50"/>
    </row>
    <row r="438" spans="1:48" ht="12.75" customHeight="1" x14ac:dyDescent="0.25">
      <c r="A438" s="72" t="s">
        <v>20</v>
      </c>
      <c r="B438" s="43" t="s">
        <v>4043</v>
      </c>
      <c r="C438" s="44" t="s">
        <v>3766</v>
      </c>
      <c r="D438" s="45">
        <f>MROUND(MID($C438,6,3)/Basis!$E$3,0.5)</f>
        <v>19.5</v>
      </c>
      <c r="E438" s="45">
        <f>MROUND(MID($C438,9,3)/Basis!$E$3,0.5)</f>
        <v>94.5</v>
      </c>
      <c r="F438" s="229" t="str">
        <f t="shared" si="6"/>
        <v>11</v>
      </c>
      <c r="G438" s="45">
        <f>ROUND(5/Basis!$E$3,1)</f>
        <v>2</v>
      </c>
      <c r="H438" s="120">
        <f>ROUND($P438*Basis!$E$2*((TaH-TrH)/LN(1/µ)/Basis!$E$7)^$N438*Glycol,0)</f>
        <v>4229</v>
      </c>
      <c r="I438" s="83">
        <f>ROUND(H438/(MID($C438,9,3)/Basis!$E$3/Basis!$E$9)*Basis!$E$11,0)</f>
        <v>537</v>
      </c>
      <c r="J438" s="123">
        <f>IF(Basis!$E$1=1,ROUND(H438/((TaH-TrH)*1.163)/3600,3),ROUND(H438/(500*(TaH-TrH)),2))</f>
        <v>0.42</v>
      </c>
      <c r="K438" s="84"/>
      <c r="L438" s="177">
        <f>CHOOSE(Basis!$E$1,((AJ438*(J438*3600/Basis!$E$5)^AK438*(((MID(C438,9,3)*10)-144)/1000)*AL438+AM438*(J438*3600/Basis!$E$5)^2)*0.0098)/Basis!$E$10,((AJ438*(J438/Basis!$E$5)^AK438*(((MID(C438,9,3)*10)-144)/1000)*AL438+AM438*(J438/Basis!$E$5)^2)*0.0098)/Basis!$E$10)</f>
        <v>0</v>
      </c>
      <c r="M438" s="85"/>
      <c r="N438" s="110">
        <v>1.248</v>
      </c>
      <c r="O438" s="74"/>
      <c r="P438" s="73">
        <v>1871</v>
      </c>
      <c r="Q438" s="74"/>
      <c r="R438" s="75"/>
      <c r="S438" s="75"/>
      <c r="T438" s="75"/>
      <c r="U438" s="75"/>
      <c r="V438" s="75"/>
      <c r="W438" s="74"/>
      <c r="X438" s="76"/>
      <c r="Y438" s="76"/>
      <c r="Z438" s="76"/>
      <c r="AA438" s="76"/>
      <c r="AB438" s="76"/>
      <c r="AC438" s="74"/>
      <c r="AD438" s="77"/>
      <c r="AE438" s="77"/>
      <c r="AF438" s="77"/>
      <c r="AG438" s="77"/>
      <c r="AH438" s="77"/>
      <c r="AI438" s="68"/>
      <c r="AJ438" s="213"/>
      <c r="AK438" s="213"/>
      <c r="AL438" s="213"/>
      <c r="AM438" s="213"/>
      <c r="AN438" s="74"/>
      <c r="AO438" s="73"/>
      <c r="AP438" s="73"/>
      <c r="AQ438" s="73"/>
      <c r="AR438" s="73"/>
      <c r="AS438" s="73"/>
      <c r="AT438" s="74"/>
      <c r="AU438" s="47"/>
      <c r="AV438" s="48"/>
    </row>
    <row r="439" spans="1:48" ht="12.75" customHeight="1" x14ac:dyDescent="0.25">
      <c r="A439" s="72" t="s">
        <v>20</v>
      </c>
      <c r="B439" s="43" t="s">
        <v>4043</v>
      </c>
      <c r="C439" s="44" t="s">
        <v>3767</v>
      </c>
      <c r="D439" s="45">
        <f>MROUND(MID($C439,6,3)/Basis!$E$3,0.5)</f>
        <v>19.5</v>
      </c>
      <c r="E439" s="45">
        <f>MROUND(MID($C439,9,3)/Basis!$E$3,0.5)</f>
        <v>94.5</v>
      </c>
      <c r="F439" s="229" t="str">
        <f t="shared" si="6"/>
        <v>22</v>
      </c>
      <c r="G439" s="45">
        <f>ROUND(9/Basis!$E$3,1)</f>
        <v>3.5</v>
      </c>
      <c r="H439" s="120">
        <f>ROUND($P439*Basis!$E$2*((TaH-TrH)/LN(1/µ)/Basis!$E$7)^$N439*Glycol,0)</f>
        <v>7164</v>
      </c>
      <c r="I439" s="83">
        <f>ROUND(H439/(MID($C439,9,3)/Basis!$E$3/Basis!$E$9)*Basis!$E$11,0)</f>
        <v>910</v>
      </c>
      <c r="J439" s="123">
        <f>IF(Basis!$E$1=1,ROUND(H439/((TaH-TrH)*1.163)/3600,3),ROUND(H439/(500*(TaH-TrH)),2))</f>
        <v>0.72</v>
      </c>
      <c r="K439" s="84"/>
      <c r="L439" s="177">
        <f>CHOOSE(Basis!$E$1,((AJ439*(J439*3600/Basis!$E$5)^AK439*(((MID(C439,9,3)*10)-144)/1000)*AL439+AM439*(J439*3600/Basis!$E$5)^2)*0.0098)/Basis!$E$10,((AJ439*(J439/Basis!$E$5)^AK439*(((MID(C439,9,3)*10)-144)/1000)*AL439+AM439*(J439/Basis!$E$5)^2)*0.0098)/Basis!$E$10)</f>
        <v>0</v>
      </c>
      <c r="M439" s="85"/>
      <c r="N439" s="110">
        <v>1.349</v>
      </c>
      <c r="O439" s="74"/>
      <c r="P439" s="73">
        <v>3277</v>
      </c>
      <c r="Q439" s="74"/>
      <c r="R439" s="75"/>
      <c r="S439" s="75"/>
      <c r="T439" s="75"/>
      <c r="U439" s="75"/>
      <c r="V439" s="75"/>
      <c r="W439" s="74"/>
      <c r="X439" s="76"/>
      <c r="Y439" s="76"/>
      <c r="Z439" s="76"/>
      <c r="AA439" s="76"/>
      <c r="AB439" s="76"/>
      <c r="AC439" s="74"/>
      <c r="AD439" s="77"/>
      <c r="AE439" s="77"/>
      <c r="AF439" s="77"/>
      <c r="AG439" s="77"/>
      <c r="AH439" s="77"/>
      <c r="AI439" s="68"/>
      <c r="AJ439" s="213"/>
      <c r="AK439" s="213"/>
      <c r="AL439" s="213"/>
      <c r="AM439" s="213"/>
      <c r="AN439" s="74"/>
      <c r="AO439" s="73"/>
      <c r="AP439" s="73"/>
      <c r="AQ439" s="73"/>
      <c r="AR439" s="73"/>
      <c r="AS439" s="73"/>
      <c r="AT439" s="74"/>
      <c r="AU439" s="47"/>
      <c r="AV439" s="48"/>
    </row>
    <row r="440" spans="1:48" ht="12.75" customHeight="1" x14ac:dyDescent="0.25">
      <c r="A440" s="72" t="s">
        <v>20</v>
      </c>
      <c r="B440" s="43" t="s">
        <v>4043</v>
      </c>
      <c r="C440" s="44" t="s">
        <v>3768</v>
      </c>
      <c r="D440" s="45">
        <f>MROUND(MID($C440,6,3)/Basis!$E$3,0.5)</f>
        <v>19.5</v>
      </c>
      <c r="E440" s="45">
        <f>MROUND(MID($C440,9,3)/Basis!$E$3,0.5)</f>
        <v>102.5</v>
      </c>
      <c r="F440" s="229" t="str">
        <f t="shared" si="6"/>
        <v>11</v>
      </c>
      <c r="G440" s="45">
        <f>ROUND(5/Basis!$E$3,1)</f>
        <v>2</v>
      </c>
      <c r="H440" s="120">
        <f>ROUND($P440*Basis!$E$2*((TaH-TrH)/LN(1/µ)/Basis!$E$7)^$N440*Glycol,0)</f>
        <v>4581</v>
      </c>
      <c r="I440" s="83">
        <f>ROUND(H440/(MID($C440,9,3)/Basis!$E$3/Basis!$E$9)*Basis!$E$11,0)</f>
        <v>537</v>
      </c>
      <c r="J440" s="123">
        <f>IF(Basis!$E$1=1,ROUND(H440/((TaH-TrH)*1.163)/3600,3),ROUND(H440/(500*(TaH-TrH)),2))</f>
        <v>0.46</v>
      </c>
      <c r="K440" s="84"/>
      <c r="L440" s="177">
        <f>CHOOSE(Basis!$E$1,((AJ440*(J440*3600/Basis!$E$5)^AK440*(((MID(C440,9,3)*10)-144)/1000)*AL440+AM440*(J440*3600/Basis!$E$5)^2)*0.0098)/Basis!$E$10,((AJ440*(J440/Basis!$E$5)^AK440*(((MID(C440,9,3)*10)-144)/1000)*AL440+AM440*(J440/Basis!$E$5)^2)*0.0098)/Basis!$E$10)</f>
        <v>0</v>
      </c>
      <c r="M440" s="85"/>
      <c r="N440" s="109">
        <v>1.248</v>
      </c>
      <c r="O440" s="68"/>
      <c r="P440" s="67">
        <v>2027</v>
      </c>
      <c r="Q440" s="68"/>
      <c r="R440" s="69"/>
      <c r="S440" s="69"/>
      <c r="T440" s="69"/>
      <c r="U440" s="69"/>
      <c r="V440" s="69"/>
      <c r="W440" s="68"/>
      <c r="X440" s="70"/>
      <c r="Y440" s="70"/>
      <c r="Z440" s="70"/>
      <c r="AA440" s="70"/>
      <c r="AB440" s="70"/>
      <c r="AC440" s="68"/>
      <c r="AD440" s="71"/>
      <c r="AE440" s="71"/>
      <c r="AF440" s="71"/>
      <c r="AG440" s="71"/>
      <c r="AH440" s="71"/>
      <c r="AI440" s="68"/>
      <c r="AJ440" s="214"/>
      <c r="AK440" s="214"/>
      <c r="AL440" s="214"/>
      <c r="AM440" s="214"/>
      <c r="AN440" s="68"/>
      <c r="AO440" s="67"/>
      <c r="AP440" s="67"/>
      <c r="AQ440" s="67"/>
      <c r="AR440" s="67"/>
      <c r="AS440" s="67"/>
      <c r="AT440" s="68"/>
      <c r="AU440" s="49"/>
      <c r="AV440" s="50"/>
    </row>
    <row r="441" spans="1:48" ht="12.75" customHeight="1" x14ac:dyDescent="0.25">
      <c r="A441" s="72" t="s">
        <v>20</v>
      </c>
      <c r="B441" s="43" t="s">
        <v>4043</v>
      </c>
      <c r="C441" s="44" t="s">
        <v>3769</v>
      </c>
      <c r="D441" s="45">
        <f>MROUND(MID($C441,6,3)/Basis!$E$3,0.5)</f>
        <v>19.5</v>
      </c>
      <c r="E441" s="45">
        <f>MROUND(MID($C441,9,3)/Basis!$E$3,0.5)</f>
        <v>102.5</v>
      </c>
      <c r="F441" s="229" t="str">
        <f t="shared" si="6"/>
        <v>22</v>
      </c>
      <c r="G441" s="45">
        <f>ROUND(9/Basis!$E$3,1)</f>
        <v>3.5</v>
      </c>
      <c r="H441" s="120">
        <f>ROUND($P441*Basis!$E$2*((TaH-TrH)/LN(1/µ)/Basis!$E$7)^$N441*Glycol,0)</f>
        <v>7761</v>
      </c>
      <c r="I441" s="83">
        <f>ROUND(H441/(MID($C441,9,3)/Basis!$E$3/Basis!$E$9)*Basis!$E$11,0)</f>
        <v>910</v>
      </c>
      <c r="J441" s="123">
        <f>IF(Basis!$E$1=1,ROUND(H441/((TaH-TrH)*1.163)/3600,3),ROUND(H441/(500*(TaH-TrH)),2))</f>
        <v>0.78</v>
      </c>
      <c r="K441" s="84"/>
      <c r="L441" s="177">
        <f>CHOOSE(Basis!$E$1,((AJ441*(J441*3600/Basis!$E$5)^AK441*(((MID(C441,9,3)*10)-144)/1000)*AL441+AM441*(J441*3600/Basis!$E$5)^2)*0.0098)/Basis!$E$10,((AJ441*(J441/Basis!$E$5)^AK441*(((MID(C441,9,3)*10)-144)/1000)*AL441+AM441*(J441/Basis!$E$5)^2)*0.0098)/Basis!$E$10)</f>
        <v>0</v>
      </c>
      <c r="M441" s="85"/>
      <c r="N441" s="109">
        <v>1.349</v>
      </c>
      <c r="O441" s="68"/>
      <c r="P441" s="67">
        <v>3550</v>
      </c>
      <c r="Q441" s="68"/>
      <c r="R441" s="69"/>
      <c r="S441" s="69"/>
      <c r="T441" s="69"/>
      <c r="U441" s="69"/>
      <c r="V441" s="69"/>
      <c r="W441" s="68"/>
      <c r="X441" s="70"/>
      <c r="Y441" s="70"/>
      <c r="Z441" s="70"/>
      <c r="AA441" s="70"/>
      <c r="AB441" s="70"/>
      <c r="AC441" s="68"/>
      <c r="AD441" s="71"/>
      <c r="AE441" s="71"/>
      <c r="AF441" s="71"/>
      <c r="AG441" s="71"/>
      <c r="AH441" s="71"/>
      <c r="AI441" s="68"/>
      <c r="AJ441" s="214"/>
      <c r="AK441" s="214"/>
      <c r="AL441" s="214"/>
      <c r="AM441" s="214"/>
      <c r="AN441" s="68"/>
      <c r="AO441" s="67"/>
      <c r="AP441" s="67"/>
      <c r="AQ441" s="67"/>
      <c r="AR441" s="67"/>
      <c r="AS441" s="67"/>
      <c r="AT441" s="68"/>
      <c r="AU441" s="49"/>
      <c r="AV441" s="50"/>
    </row>
    <row r="442" spans="1:48" ht="12.75" customHeight="1" x14ac:dyDescent="0.25">
      <c r="A442" s="72" t="s">
        <v>20</v>
      </c>
      <c r="B442" s="43" t="s">
        <v>4043</v>
      </c>
      <c r="C442" s="44" t="s">
        <v>3770</v>
      </c>
      <c r="D442" s="45">
        <f>MROUND(MID($C442,6,3)/Basis!$E$3,0.5)</f>
        <v>19.5</v>
      </c>
      <c r="E442" s="45">
        <f>MROUND(MID($C442,9,3)/Basis!$E$3,0.5)</f>
        <v>110</v>
      </c>
      <c r="F442" s="229" t="str">
        <f t="shared" si="6"/>
        <v>11</v>
      </c>
      <c r="G442" s="45">
        <f>ROUND(5/Basis!$E$3,1)</f>
        <v>2</v>
      </c>
      <c r="H442" s="120">
        <f>ROUND($P442*Basis!$E$2*((TaH-TrH)/LN(1/µ)/Basis!$E$7)^$N442*Glycol,0)</f>
        <v>4934</v>
      </c>
      <c r="I442" s="83">
        <f>ROUND(H442/(MID($C442,9,3)/Basis!$E$3/Basis!$E$9)*Basis!$E$11,0)</f>
        <v>537</v>
      </c>
      <c r="J442" s="123">
        <f>IF(Basis!$E$1=1,ROUND(H442/((TaH-TrH)*1.163)/3600,3),ROUND(H442/(500*(TaH-TrH)),2))</f>
        <v>0.49</v>
      </c>
      <c r="K442" s="84"/>
      <c r="L442" s="177">
        <f>CHOOSE(Basis!$E$1,((AJ442*(J442*3600/Basis!$E$5)^AK442*(((MID(C442,9,3)*10)-144)/1000)*AL442+AM442*(J442*3600/Basis!$E$5)^2)*0.0098)/Basis!$E$10,((AJ442*(J442/Basis!$E$5)^AK442*(((MID(C442,9,3)*10)-144)/1000)*AL442+AM442*(J442/Basis!$E$5)^2)*0.0098)/Basis!$E$10)</f>
        <v>0</v>
      </c>
      <c r="M442" s="85"/>
      <c r="N442" s="110">
        <v>1.248</v>
      </c>
      <c r="O442" s="74"/>
      <c r="P442" s="73">
        <v>2183</v>
      </c>
      <c r="Q442" s="74"/>
      <c r="R442" s="75"/>
      <c r="S442" s="75"/>
      <c r="T442" s="75"/>
      <c r="U442" s="75"/>
      <c r="V442" s="75"/>
      <c r="W442" s="74"/>
      <c r="X442" s="76"/>
      <c r="Y442" s="76"/>
      <c r="Z442" s="76"/>
      <c r="AA442" s="76"/>
      <c r="AB442" s="76"/>
      <c r="AC442" s="74"/>
      <c r="AD442" s="77"/>
      <c r="AE442" s="77"/>
      <c r="AF442" s="77"/>
      <c r="AG442" s="77"/>
      <c r="AH442" s="77"/>
      <c r="AI442" s="68"/>
      <c r="AJ442" s="213"/>
      <c r="AK442" s="213"/>
      <c r="AL442" s="213"/>
      <c r="AM442" s="213"/>
      <c r="AN442" s="74"/>
      <c r="AO442" s="73"/>
      <c r="AP442" s="73"/>
      <c r="AQ442" s="73"/>
      <c r="AR442" s="73"/>
      <c r="AS442" s="73"/>
      <c r="AT442" s="74"/>
      <c r="AU442" s="47"/>
      <c r="AV442" s="48"/>
    </row>
    <row r="443" spans="1:48" ht="12.75" customHeight="1" x14ac:dyDescent="0.25">
      <c r="A443" s="72" t="s">
        <v>20</v>
      </c>
      <c r="B443" s="43" t="s">
        <v>4043</v>
      </c>
      <c r="C443" s="44" t="s">
        <v>3771</v>
      </c>
      <c r="D443" s="45">
        <f>MROUND(MID($C443,6,3)/Basis!$E$3,0.5)</f>
        <v>19.5</v>
      </c>
      <c r="E443" s="45">
        <f>MROUND(MID($C443,9,3)/Basis!$E$3,0.5)</f>
        <v>110</v>
      </c>
      <c r="F443" s="229" t="str">
        <f t="shared" si="6"/>
        <v>22</v>
      </c>
      <c r="G443" s="45">
        <f>ROUND(9/Basis!$E$3,1)</f>
        <v>3.5</v>
      </c>
      <c r="H443" s="120">
        <f>ROUND($P443*Basis!$E$2*((TaH-TrH)/LN(1/µ)/Basis!$E$7)^$N443*Glycol,0)</f>
        <v>8357</v>
      </c>
      <c r="I443" s="83">
        <f>ROUND(H443/(MID($C443,9,3)/Basis!$E$3/Basis!$E$9)*Basis!$E$11,0)</f>
        <v>910</v>
      </c>
      <c r="J443" s="123">
        <f>IF(Basis!$E$1=1,ROUND(H443/((TaH-TrH)*1.163)/3600,3),ROUND(H443/(500*(TaH-TrH)),2))</f>
        <v>0.84</v>
      </c>
      <c r="K443" s="84"/>
      <c r="L443" s="177">
        <f>CHOOSE(Basis!$E$1,((AJ443*(J443*3600/Basis!$E$5)^AK443*(((MID(C443,9,3)*10)-144)/1000)*AL443+AM443*(J443*3600/Basis!$E$5)^2)*0.0098)/Basis!$E$10,((AJ443*(J443/Basis!$E$5)^AK443*(((MID(C443,9,3)*10)-144)/1000)*AL443+AM443*(J443/Basis!$E$5)^2)*0.0098)/Basis!$E$10)</f>
        <v>0</v>
      </c>
      <c r="M443" s="85"/>
      <c r="N443" s="110">
        <v>1.349</v>
      </c>
      <c r="O443" s="74"/>
      <c r="P443" s="73">
        <v>3823</v>
      </c>
      <c r="Q443" s="74"/>
      <c r="R443" s="75"/>
      <c r="S443" s="75"/>
      <c r="T443" s="75"/>
      <c r="U443" s="75"/>
      <c r="V443" s="75"/>
      <c r="W443" s="74"/>
      <c r="X443" s="76"/>
      <c r="Y443" s="76"/>
      <c r="Z443" s="76"/>
      <c r="AA443" s="76"/>
      <c r="AB443" s="76"/>
      <c r="AC443" s="74"/>
      <c r="AD443" s="77"/>
      <c r="AE443" s="77"/>
      <c r="AF443" s="77"/>
      <c r="AG443" s="77"/>
      <c r="AH443" s="77"/>
      <c r="AI443" s="68"/>
      <c r="AJ443" s="213"/>
      <c r="AK443" s="213"/>
      <c r="AL443" s="213"/>
      <c r="AM443" s="213"/>
      <c r="AN443" s="74"/>
      <c r="AO443" s="73"/>
      <c r="AP443" s="73"/>
      <c r="AQ443" s="73"/>
      <c r="AR443" s="73"/>
      <c r="AS443" s="73"/>
      <c r="AT443" s="74"/>
      <c r="AU443" s="47"/>
      <c r="AV443" s="48"/>
    </row>
    <row r="444" spans="1:48" ht="12.75" customHeight="1" x14ac:dyDescent="0.25">
      <c r="A444" s="72" t="s">
        <v>20</v>
      </c>
      <c r="B444" s="43" t="s">
        <v>4043</v>
      </c>
      <c r="C444" s="44" t="s">
        <v>3772</v>
      </c>
      <c r="D444" s="45">
        <f>MROUND(MID($C444,6,3)/Basis!$E$3,0.5)</f>
        <v>19.5</v>
      </c>
      <c r="E444" s="45">
        <f>MROUND(MID($C444,9,3)/Basis!$E$3,0.5)</f>
        <v>118</v>
      </c>
      <c r="F444" s="229" t="str">
        <f t="shared" si="6"/>
        <v>11</v>
      </c>
      <c r="G444" s="45">
        <f>ROUND(5/Basis!$E$3,1)</f>
        <v>2</v>
      </c>
      <c r="H444" s="120">
        <f>ROUND($P444*Basis!$E$2*((TaH-TrH)/LN(1/µ)/Basis!$E$7)^$N444*Glycol,0)</f>
        <v>5287</v>
      </c>
      <c r="I444" s="83">
        <f>ROUND(H444/(MID($C444,9,3)/Basis!$E$3/Basis!$E$9)*Basis!$E$11,0)</f>
        <v>537</v>
      </c>
      <c r="J444" s="123">
        <f>IF(Basis!$E$1=1,ROUND(H444/((TaH-TrH)*1.163)/3600,3),ROUND(H444/(500*(TaH-TrH)),2))</f>
        <v>0.53</v>
      </c>
      <c r="K444" s="84"/>
      <c r="L444" s="177">
        <f>CHOOSE(Basis!$E$1,((AJ444*(J444*3600/Basis!$E$5)^AK444*(((MID(C444,9,3)*10)-144)/1000)*AL444+AM444*(J444*3600/Basis!$E$5)^2)*0.0098)/Basis!$E$10,((AJ444*(J444/Basis!$E$5)^AK444*(((MID(C444,9,3)*10)-144)/1000)*AL444+AM444*(J444/Basis!$E$5)^2)*0.0098)/Basis!$E$10)</f>
        <v>0</v>
      </c>
      <c r="M444" s="85"/>
      <c r="N444" s="109">
        <v>1.248</v>
      </c>
      <c r="O444" s="68"/>
      <c r="P444" s="67">
        <v>2339</v>
      </c>
      <c r="Q444" s="68"/>
      <c r="R444" s="69"/>
      <c r="S444" s="69"/>
      <c r="T444" s="69"/>
      <c r="U444" s="69"/>
      <c r="V444" s="69"/>
      <c r="W444" s="68"/>
      <c r="X444" s="70"/>
      <c r="Y444" s="70"/>
      <c r="Z444" s="70"/>
      <c r="AA444" s="70"/>
      <c r="AB444" s="70"/>
      <c r="AC444" s="68"/>
      <c r="AD444" s="71"/>
      <c r="AE444" s="71"/>
      <c r="AF444" s="71"/>
      <c r="AG444" s="71"/>
      <c r="AH444" s="71"/>
      <c r="AI444" s="68"/>
      <c r="AJ444" s="214"/>
      <c r="AK444" s="214"/>
      <c r="AL444" s="214"/>
      <c r="AM444" s="214"/>
      <c r="AN444" s="68"/>
      <c r="AO444" s="67"/>
      <c r="AP444" s="67"/>
      <c r="AQ444" s="67"/>
      <c r="AR444" s="67"/>
      <c r="AS444" s="67"/>
      <c r="AT444" s="68"/>
      <c r="AU444" s="49"/>
      <c r="AV444" s="50"/>
    </row>
    <row r="445" spans="1:48" ht="12.75" customHeight="1" x14ac:dyDescent="0.25">
      <c r="A445" s="72" t="s">
        <v>20</v>
      </c>
      <c r="B445" s="43" t="s">
        <v>4043</v>
      </c>
      <c r="C445" s="44" t="s">
        <v>3773</v>
      </c>
      <c r="D445" s="45">
        <f>MROUND(MID($C445,6,3)/Basis!$E$3,0.5)</f>
        <v>19.5</v>
      </c>
      <c r="E445" s="45">
        <f>MROUND(MID($C445,9,3)/Basis!$E$3,0.5)</f>
        <v>118</v>
      </c>
      <c r="F445" s="229" t="str">
        <f t="shared" si="6"/>
        <v>22</v>
      </c>
      <c r="G445" s="45">
        <f>ROUND(9/Basis!$E$3,1)</f>
        <v>3.5</v>
      </c>
      <c r="H445" s="120">
        <f>ROUND($P445*Basis!$E$2*((TaH-TrH)/LN(1/µ)/Basis!$E$7)^$N445*Glycol,0)</f>
        <v>8954</v>
      </c>
      <c r="I445" s="83">
        <f>ROUND(H445/(MID($C445,9,3)/Basis!$E$3/Basis!$E$9)*Basis!$E$11,0)</f>
        <v>910</v>
      </c>
      <c r="J445" s="123">
        <f>IF(Basis!$E$1=1,ROUND(H445/((TaH-TrH)*1.163)/3600,3),ROUND(H445/(500*(TaH-TrH)),2))</f>
        <v>0.9</v>
      </c>
      <c r="K445" s="84"/>
      <c r="L445" s="177">
        <f>CHOOSE(Basis!$E$1,((AJ445*(J445*3600/Basis!$E$5)^AK445*(((MID(C445,9,3)*10)-144)/1000)*AL445+AM445*(J445*3600/Basis!$E$5)^2)*0.0098)/Basis!$E$10,((AJ445*(J445/Basis!$E$5)^AK445*(((MID(C445,9,3)*10)-144)/1000)*AL445+AM445*(J445/Basis!$E$5)^2)*0.0098)/Basis!$E$10)</f>
        <v>0</v>
      </c>
      <c r="M445" s="85"/>
      <c r="N445" s="109">
        <v>1.349</v>
      </c>
      <c r="O445" s="68"/>
      <c r="P445" s="67">
        <v>4096</v>
      </c>
      <c r="Q445" s="68"/>
      <c r="R445" s="69"/>
      <c r="S445" s="69"/>
      <c r="T445" s="69"/>
      <c r="U445" s="69"/>
      <c r="V445" s="69"/>
      <c r="W445" s="68"/>
      <c r="X445" s="70"/>
      <c r="Y445" s="70"/>
      <c r="Z445" s="70"/>
      <c r="AA445" s="70"/>
      <c r="AB445" s="70"/>
      <c r="AC445" s="68"/>
      <c r="AD445" s="71"/>
      <c r="AE445" s="71"/>
      <c r="AF445" s="71"/>
      <c r="AG445" s="71"/>
      <c r="AH445" s="71"/>
      <c r="AI445" s="68"/>
      <c r="AJ445" s="214"/>
      <c r="AK445" s="214"/>
      <c r="AL445" s="214"/>
      <c r="AM445" s="214"/>
      <c r="AN445" s="68"/>
      <c r="AO445" s="67"/>
      <c r="AP445" s="67"/>
      <c r="AQ445" s="67"/>
      <c r="AR445" s="67"/>
      <c r="AS445" s="67"/>
      <c r="AT445" s="68"/>
      <c r="AU445" s="49"/>
      <c r="AV445" s="50"/>
    </row>
    <row r="446" spans="1:48" ht="12.75" customHeight="1" x14ac:dyDescent="0.25">
      <c r="A446" s="72" t="s">
        <v>20</v>
      </c>
      <c r="B446" s="43" t="s">
        <v>4043</v>
      </c>
      <c r="C446" s="44" t="s">
        <v>3774</v>
      </c>
      <c r="D446" s="45">
        <f>MROUND(MID($C446,6,3)/Basis!$E$3,0.5)</f>
        <v>22</v>
      </c>
      <c r="E446" s="45">
        <f>MROUND(MID($C446,9,3)/Basis!$E$3,0.5)</f>
        <v>23.5</v>
      </c>
      <c r="F446" s="229" t="str">
        <f t="shared" si="6"/>
        <v>11</v>
      </c>
      <c r="G446" s="45">
        <f>ROUND(5/Basis!$E$3,1)</f>
        <v>2</v>
      </c>
      <c r="H446" s="120">
        <f>ROUND($P446*Basis!$E$2*((TaH-TrH)/LN(1/µ)/Basis!$E$7)^$N446*Glycol,0)</f>
        <v>1153</v>
      </c>
      <c r="I446" s="83">
        <f>ROUND(H446/(MID($C446,9,3)/Basis!$E$3/Basis!$E$9)*Basis!$E$11,0)</f>
        <v>586</v>
      </c>
      <c r="J446" s="123">
        <f>IF(Basis!$E$1=1,ROUND(H446/((TaH-TrH)*1.163)/3600,3),ROUND(H446/(500*(TaH-TrH)),2))</f>
        <v>0.12</v>
      </c>
      <c r="K446" s="84"/>
      <c r="L446" s="177">
        <f>CHOOSE(Basis!$E$1,((AJ446*(J446*3600/Basis!$E$5)^AK446*(((MID(C446,9,3)*10)-144)/1000)*AL446+AM446*(J446*3600/Basis!$E$5)^2)*0.0098)/Basis!$E$10,((AJ446*(J446/Basis!$E$5)^AK446*(((MID(C446,9,3)*10)-144)/1000)*AL446+AM446*(J446/Basis!$E$5)^2)*0.0098)/Basis!$E$10)</f>
        <v>0</v>
      </c>
      <c r="M446" s="85"/>
      <c r="N446" s="110">
        <v>1.248</v>
      </c>
      <c r="O446" s="74"/>
      <c r="P446" s="73">
        <v>510</v>
      </c>
      <c r="Q446" s="74"/>
      <c r="R446" s="75"/>
      <c r="S446" s="75"/>
      <c r="T446" s="75"/>
      <c r="U446" s="75"/>
      <c r="V446" s="75"/>
      <c r="W446" s="74"/>
      <c r="X446" s="76"/>
      <c r="Y446" s="76"/>
      <c r="Z446" s="76"/>
      <c r="AA446" s="76"/>
      <c r="AB446" s="76"/>
      <c r="AC446" s="74"/>
      <c r="AD446" s="77"/>
      <c r="AE446" s="77"/>
      <c r="AF446" s="77"/>
      <c r="AG446" s="77"/>
      <c r="AH446" s="77"/>
      <c r="AI446" s="68"/>
      <c r="AJ446" s="213"/>
      <c r="AK446" s="213"/>
      <c r="AL446" s="213"/>
      <c r="AM446" s="213"/>
      <c r="AN446" s="74"/>
      <c r="AO446" s="73"/>
      <c r="AP446" s="73"/>
      <c r="AQ446" s="73"/>
      <c r="AR446" s="73"/>
      <c r="AS446" s="73"/>
      <c r="AT446" s="74"/>
      <c r="AU446" s="47"/>
      <c r="AV446" s="48"/>
    </row>
    <row r="447" spans="1:48" ht="12.75" customHeight="1" x14ac:dyDescent="0.25">
      <c r="A447" s="72" t="s">
        <v>20</v>
      </c>
      <c r="B447" s="43" t="s">
        <v>4043</v>
      </c>
      <c r="C447" s="44" t="s">
        <v>3775</v>
      </c>
      <c r="D447" s="45">
        <f>MROUND(MID($C447,6,3)/Basis!$E$3,0.5)</f>
        <v>22</v>
      </c>
      <c r="E447" s="45">
        <f>MROUND(MID($C447,9,3)/Basis!$E$3,0.5)</f>
        <v>23.5</v>
      </c>
      <c r="F447" s="229" t="str">
        <f t="shared" si="6"/>
        <v>22</v>
      </c>
      <c r="G447" s="45">
        <f>ROUND(9/Basis!$E$3,1)</f>
        <v>3.5</v>
      </c>
      <c r="H447" s="120">
        <f>ROUND($P447*Basis!$E$2*((TaH-TrH)/LN(1/µ)/Basis!$E$7)^$N447*Glycol,0)</f>
        <v>1950</v>
      </c>
      <c r="I447" s="83">
        <f>ROUND(H447/(MID($C447,9,3)/Basis!$E$3/Basis!$E$9)*Basis!$E$11,0)</f>
        <v>991</v>
      </c>
      <c r="J447" s="123">
        <f>IF(Basis!$E$1=1,ROUND(H447/((TaH-TrH)*1.163)/3600,3),ROUND(H447/(500*(TaH-TrH)),2))</f>
        <v>0.2</v>
      </c>
      <c r="K447" s="84"/>
      <c r="L447" s="177">
        <f>CHOOSE(Basis!$E$1,((AJ447*(J447*3600/Basis!$E$5)^AK447*(((MID(C447,9,3)*10)-144)/1000)*AL447+AM447*(J447*3600/Basis!$E$5)^2)*0.0098)/Basis!$E$10,((AJ447*(J447/Basis!$E$5)^AK447*(((MID(C447,9,3)*10)-144)/1000)*AL447+AM447*(J447/Basis!$E$5)^2)*0.0098)/Basis!$E$10)</f>
        <v>0</v>
      </c>
      <c r="M447" s="85"/>
      <c r="N447" s="110">
        <v>1.349</v>
      </c>
      <c r="O447" s="74"/>
      <c r="P447" s="73">
        <v>892</v>
      </c>
      <c r="Q447" s="74"/>
      <c r="R447" s="75"/>
      <c r="S447" s="75"/>
      <c r="T447" s="75"/>
      <c r="U447" s="75"/>
      <c r="V447" s="75"/>
      <c r="W447" s="74"/>
      <c r="X447" s="76"/>
      <c r="Y447" s="76"/>
      <c r="Z447" s="76"/>
      <c r="AA447" s="76"/>
      <c r="AB447" s="76"/>
      <c r="AC447" s="74"/>
      <c r="AD447" s="77"/>
      <c r="AE447" s="77"/>
      <c r="AF447" s="77"/>
      <c r="AG447" s="77"/>
      <c r="AH447" s="77"/>
      <c r="AI447" s="68"/>
      <c r="AJ447" s="213"/>
      <c r="AK447" s="213"/>
      <c r="AL447" s="213"/>
      <c r="AM447" s="213"/>
      <c r="AN447" s="74"/>
      <c r="AO447" s="73"/>
      <c r="AP447" s="73"/>
      <c r="AQ447" s="73"/>
      <c r="AR447" s="73"/>
      <c r="AS447" s="73"/>
      <c r="AT447" s="74"/>
      <c r="AU447" s="47"/>
      <c r="AV447" s="48"/>
    </row>
    <row r="448" spans="1:48" ht="12.75" customHeight="1" x14ac:dyDescent="0.25">
      <c r="A448" s="72" t="s">
        <v>20</v>
      </c>
      <c r="B448" s="43" t="s">
        <v>4043</v>
      </c>
      <c r="C448" s="44" t="s">
        <v>3776</v>
      </c>
      <c r="D448" s="45">
        <f>MROUND(MID($C448,6,3)/Basis!$E$3,0.5)</f>
        <v>22</v>
      </c>
      <c r="E448" s="45">
        <f>MROUND(MID($C448,9,3)/Basis!$E$3,0.5)</f>
        <v>31.5</v>
      </c>
      <c r="F448" s="229" t="str">
        <f t="shared" si="6"/>
        <v>11</v>
      </c>
      <c r="G448" s="45">
        <f>ROUND(5/Basis!$E$3,1)</f>
        <v>2</v>
      </c>
      <c r="H448" s="120">
        <f>ROUND($P448*Basis!$E$2*((TaH-TrH)/LN(1/µ)/Basis!$E$7)^$N448*Glycol,0)</f>
        <v>1537</v>
      </c>
      <c r="I448" s="83">
        <f>ROUND(H448/(MID($C448,9,3)/Basis!$E$3/Basis!$E$9)*Basis!$E$11,0)</f>
        <v>586</v>
      </c>
      <c r="J448" s="123">
        <f>IF(Basis!$E$1=1,ROUND(H448/((TaH-TrH)*1.163)/3600,3),ROUND(H448/(500*(TaH-TrH)),2))</f>
        <v>0.15</v>
      </c>
      <c r="K448" s="84"/>
      <c r="L448" s="177">
        <f>CHOOSE(Basis!$E$1,((AJ448*(J448*3600/Basis!$E$5)^AK448*(((MID(C448,9,3)*10)-144)/1000)*AL448+AM448*(J448*3600/Basis!$E$5)^2)*0.0098)/Basis!$E$10,((AJ448*(J448/Basis!$E$5)^AK448*(((MID(C448,9,3)*10)-144)/1000)*AL448+AM448*(J448/Basis!$E$5)^2)*0.0098)/Basis!$E$10)</f>
        <v>0</v>
      </c>
      <c r="M448" s="85"/>
      <c r="N448" s="109">
        <v>1.248</v>
      </c>
      <c r="O448" s="68"/>
      <c r="P448" s="67">
        <v>680</v>
      </c>
      <c r="Q448" s="68"/>
      <c r="R448" s="69"/>
      <c r="S448" s="69"/>
      <c r="T448" s="69"/>
      <c r="U448" s="69"/>
      <c r="V448" s="69"/>
      <c r="W448" s="68"/>
      <c r="X448" s="70"/>
      <c r="Y448" s="70"/>
      <c r="Z448" s="70"/>
      <c r="AA448" s="70"/>
      <c r="AB448" s="70"/>
      <c r="AC448" s="68"/>
      <c r="AD448" s="71"/>
      <c r="AE448" s="71"/>
      <c r="AF448" s="71"/>
      <c r="AG448" s="71"/>
      <c r="AH448" s="71"/>
      <c r="AI448" s="68"/>
      <c r="AJ448" s="214"/>
      <c r="AK448" s="214"/>
      <c r="AL448" s="214"/>
      <c r="AM448" s="214"/>
      <c r="AN448" s="68"/>
      <c r="AO448" s="67"/>
      <c r="AP448" s="67"/>
      <c r="AQ448" s="67"/>
      <c r="AR448" s="67"/>
      <c r="AS448" s="67"/>
      <c r="AT448" s="68"/>
      <c r="AU448" s="49"/>
      <c r="AV448" s="50"/>
    </row>
    <row r="449" spans="1:48" ht="12.75" customHeight="1" x14ac:dyDescent="0.25">
      <c r="A449" s="72" t="s">
        <v>20</v>
      </c>
      <c r="B449" s="43" t="s">
        <v>4043</v>
      </c>
      <c r="C449" s="44" t="s">
        <v>3777</v>
      </c>
      <c r="D449" s="45">
        <f>MROUND(MID($C449,6,3)/Basis!$E$3,0.5)</f>
        <v>22</v>
      </c>
      <c r="E449" s="45">
        <f>MROUND(MID($C449,9,3)/Basis!$E$3,0.5)</f>
        <v>31.5</v>
      </c>
      <c r="F449" s="229" t="str">
        <f t="shared" si="6"/>
        <v>22</v>
      </c>
      <c r="G449" s="45">
        <f>ROUND(9/Basis!$E$3,1)</f>
        <v>3.5</v>
      </c>
      <c r="H449" s="120">
        <f>ROUND($P449*Basis!$E$2*((TaH-TrH)/LN(1/µ)/Basis!$E$7)^$N449*Glycol,0)</f>
        <v>2601</v>
      </c>
      <c r="I449" s="83">
        <f>ROUND(H449/(MID($C449,9,3)/Basis!$E$3/Basis!$E$9)*Basis!$E$11,0)</f>
        <v>991</v>
      </c>
      <c r="J449" s="123">
        <f>IF(Basis!$E$1=1,ROUND(H449/((TaH-TrH)*1.163)/3600,3),ROUND(H449/(500*(TaH-TrH)),2))</f>
        <v>0.26</v>
      </c>
      <c r="K449" s="84"/>
      <c r="L449" s="177">
        <f>CHOOSE(Basis!$E$1,((AJ449*(J449*3600/Basis!$E$5)^AK449*(((MID(C449,9,3)*10)-144)/1000)*AL449+AM449*(J449*3600/Basis!$E$5)^2)*0.0098)/Basis!$E$10,((AJ449*(J449/Basis!$E$5)^AK449*(((MID(C449,9,3)*10)-144)/1000)*AL449+AM449*(J449/Basis!$E$5)^2)*0.0098)/Basis!$E$10)</f>
        <v>0</v>
      </c>
      <c r="M449" s="85"/>
      <c r="N449" s="109">
        <v>1.349</v>
      </c>
      <c r="O449" s="68"/>
      <c r="P449" s="67">
        <v>1190</v>
      </c>
      <c r="Q449" s="68"/>
      <c r="R449" s="69"/>
      <c r="S449" s="69"/>
      <c r="T449" s="69"/>
      <c r="U449" s="69"/>
      <c r="V449" s="69"/>
      <c r="W449" s="68"/>
      <c r="X449" s="70"/>
      <c r="Y449" s="70"/>
      <c r="Z449" s="70"/>
      <c r="AA449" s="70"/>
      <c r="AB449" s="70"/>
      <c r="AC449" s="68"/>
      <c r="AD449" s="71"/>
      <c r="AE449" s="71"/>
      <c r="AF449" s="71"/>
      <c r="AG449" s="71"/>
      <c r="AH449" s="71"/>
      <c r="AI449" s="68"/>
      <c r="AJ449" s="214"/>
      <c r="AK449" s="214"/>
      <c r="AL449" s="214"/>
      <c r="AM449" s="214"/>
      <c r="AN449" s="68"/>
      <c r="AO449" s="67"/>
      <c r="AP449" s="67"/>
      <c r="AQ449" s="67"/>
      <c r="AR449" s="67"/>
      <c r="AS449" s="67"/>
      <c r="AT449" s="68"/>
      <c r="AU449" s="49"/>
      <c r="AV449" s="50"/>
    </row>
    <row r="450" spans="1:48" ht="12.75" customHeight="1" x14ac:dyDescent="0.25">
      <c r="A450" s="72" t="s">
        <v>20</v>
      </c>
      <c r="B450" s="43" t="s">
        <v>4043</v>
      </c>
      <c r="C450" s="44" t="s">
        <v>3778</v>
      </c>
      <c r="D450" s="45">
        <f>MROUND(MID($C450,6,3)/Basis!$E$3,0.5)</f>
        <v>22</v>
      </c>
      <c r="E450" s="45">
        <f>MROUND(MID($C450,9,3)/Basis!$E$3,0.5)</f>
        <v>39.5</v>
      </c>
      <c r="F450" s="229" t="str">
        <f t="shared" si="6"/>
        <v>11</v>
      </c>
      <c r="G450" s="45">
        <f>ROUND(5/Basis!$E$3,1)</f>
        <v>2</v>
      </c>
      <c r="H450" s="120">
        <f>ROUND($P450*Basis!$E$2*((TaH-TrH)/LN(1/µ)/Basis!$E$7)^$N450*Glycol,0)</f>
        <v>1921</v>
      </c>
      <c r="I450" s="83">
        <f>ROUND(H450/(MID($C450,9,3)/Basis!$E$3/Basis!$E$9)*Basis!$E$11,0)</f>
        <v>586</v>
      </c>
      <c r="J450" s="123">
        <f>IF(Basis!$E$1=1,ROUND(H450/((TaH-TrH)*1.163)/3600,3),ROUND(H450/(500*(TaH-TrH)),2))</f>
        <v>0.19</v>
      </c>
      <c r="K450" s="84"/>
      <c r="L450" s="177">
        <f>CHOOSE(Basis!$E$1,((AJ450*(J450*3600/Basis!$E$5)^AK450*(((MID(C450,9,3)*10)-144)/1000)*AL450+AM450*(J450*3600/Basis!$E$5)^2)*0.0098)/Basis!$E$10,((AJ450*(J450/Basis!$E$5)^AK450*(((MID(C450,9,3)*10)-144)/1000)*AL450+AM450*(J450/Basis!$E$5)^2)*0.0098)/Basis!$E$10)</f>
        <v>0</v>
      </c>
      <c r="M450" s="85"/>
      <c r="N450" s="110">
        <v>1.248</v>
      </c>
      <c r="O450" s="74"/>
      <c r="P450" s="73">
        <v>850</v>
      </c>
      <c r="Q450" s="74"/>
      <c r="R450" s="75"/>
      <c r="S450" s="75"/>
      <c r="T450" s="75"/>
      <c r="U450" s="75"/>
      <c r="V450" s="75"/>
      <c r="W450" s="74"/>
      <c r="X450" s="76"/>
      <c r="Y450" s="76"/>
      <c r="Z450" s="76"/>
      <c r="AA450" s="76"/>
      <c r="AB450" s="76"/>
      <c r="AC450" s="74"/>
      <c r="AD450" s="77"/>
      <c r="AE450" s="77"/>
      <c r="AF450" s="77"/>
      <c r="AG450" s="77"/>
      <c r="AH450" s="77"/>
      <c r="AI450" s="68"/>
      <c r="AJ450" s="213"/>
      <c r="AK450" s="213"/>
      <c r="AL450" s="213"/>
      <c r="AM450" s="213"/>
      <c r="AN450" s="74"/>
      <c r="AO450" s="73"/>
      <c r="AP450" s="73"/>
      <c r="AQ450" s="73"/>
      <c r="AR450" s="73"/>
      <c r="AS450" s="73"/>
      <c r="AT450" s="74"/>
      <c r="AU450" s="47"/>
      <c r="AV450" s="48"/>
    </row>
    <row r="451" spans="1:48" ht="12.75" customHeight="1" x14ac:dyDescent="0.25">
      <c r="A451" s="72" t="s">
        <v>20</v>
      </c>
      <c r="B451" s="43" t="s">
        <v>4043</v>
      </c>
      <c r="C451" s="44" t="s">
        <v>3779</v>
      </c>
      <c r="D451" s="45">
        <f>MROUND(MID($C451,6,3)/Basis!$E$3,0.5)</f>
        <v>22</v>
      </c>
      <c r="E451" s="45">
        <f>MROUND(MID($C451,9,3)/Basis!$E$3,0.5)</f>
        <v>39.5</v>
      </c>
      <c r="F451" s="229" t="str">
        <f t="shared" si="6"/>
        <v>22</v>
      </c>
      <c r="G451" s="45">
        <f>ROUND(9/Basis!$E$3,1)</f>
        <v>3.5</v>
      </c>
      <c r="H451" s="120">
        <f>ROUND($P451*Basis!$E$2*((TaH-TrH)/LN(1/µ)/Basis!$E$7)^$N451*Glycol,0)</f>
        <v>3251</v>
      </c>
      <c r="I451" s="83">
        <f>ROUND(H451/(MID($C451,9,3)/Basis!$E$3/Basis!$E$9)*Basis!$E$11,0)</f>
        <v>991</v>
      </c>
      <c r="J451" s="123">
        <f>IF(Basis!$E$1=1,ROUND(H451/((TaH-TrH)*1.163)/3600,3),ROUND(H451/(500*(TaH-TrH)),2))</f>
        <v>0.33</v>
      </c>
      <c r="K451" s="84"/>
      <c r="L451" s="177">
        <f>CHOOSE(Basis!$E$1,((AJ451*(J451*3600/Basis!$E$5)^AK451*(((MID(C451,9,3)*10)-144)/1000)*AL451+AM451*(J451*3600/Basis!$E$5)^2)*0.0098)/Basis!$E$10,((AJ451*(J451/Basis!$E$5)^AK451*(((MID(C451,9,3)*10)-144)/1000)*AL451+AM451*(J451/Basis!$E$5)^2)*0.0098)/Basis!$E$10)</f>
        <v>0</v>
      </c>
      <c r="M451" s="85"/>
      <c r="N451" s="110">
        <v>1.349</v>
      </c>
      <c r="O451" s="74"/>
      <c r="P451" s="73">
        <v>1487</v>
      </c>
      <c r="Q451" s="74"/>
      <c r="R451" s="75"/>
      <c r="S451" s="75"/>
      <c r="T451" s="75"/>
      <c r="U451" s="75"/>
      <c r="V451" s="75"/>
      <c r="W451" s="74"/>
      <c r="X451" s="76"/>
      <c r="Y451" s="76"/>
      <c r="Z451" s="76"/>
      <c r="AA451" s="76"/>
      <c r="AB451" s="76"/>
      <c r="AC451" s="74"/>
      <c r="AD451" s="77"/>
      <c r="AE451" s="77"/>
      <c r="AF451" s="77"/>
      <c r="AG451" s="77"/>
      <c r="AH451" s="77"/>
      <c r="AI451" s="68"/>
      <c r="AJ451" s="213"/>
      <c r="AK451" s="213"/>
      <c r="AL451" s="213"/>
      <c r="AM451" s="213"/>
      <c r="AN451" s="74"/>
      <c r="AO451" s="73"/>
      <c r="AP451" s="73"/>
      <c r="AQ451" s="73"/>
      <c r="AR451" s="73"/>
      <c r="AS451" s="73"/>
      <c r="AT451" s="74"/>
      <c r="AU451" s="47"/>
      <c r="AV451" s="48"/>
    </row>
    <row r="452" spans="1:48" ht="12.75" customHeight="1" x14ac:dyDescent="0.25">
      <c r="A452" s="72" t="s">
        <v>20</v>
      </c>
      <c r="B452" s="43" t="s">
        <v>4043</v>
      </c>
      <c r="C452" s="44" t="s">
        <v>3780</v>
      </c>
      <c r="D452" s="45">
        <f>MROUND(MID($C452,6,3)/Basis!$E$3,0.5)</f>
        <v>22</v>
      </c>
      <c r="E452" s="45">
        <f>MROUND(MID($C452,9,3)/Basis!$E$3,0.5)</f>
        <v>47</v>
      </c>
      <c r="F452" s="229" t="str">
        <f t="shared" si="6"/>
        <v>11</v>
      </c>
      <c r="G452" s="45">
        <f>ROUND(5/Basis!$E$3,1)</f>
        <v>2</v>
      </c>
      <c r="H452" s="120">
        <f>ROUND($P452*Basis!$E$2*((TaH-TrH)/LN(1/µ)/Basis!$E$7)^$N452*Glycol,0)</f>
        <v>2305</v>
      </c>
      <c r="I452" s="83">
        <f>ROUND(H452/(MID($C452,9,3)/Basis!$E$3/Basis!$E$9)*Basis!$E$11,0)</f>
        <v>585</v>
      </c>
      <c r="J452" s="123">
        <f>IF(Basis!$E$1=1,ROUND(H452/((TaH-TrH)*1.163)/3600,3),ROUND(H452/(500*(TaH-TrH)),2))</f>
        <v>0.23</v>
      </c>
      <c r="K452" s="84"/>
      <c r="L452" s="177">
        <f>CHOOSE(Basis!$E$1,((AJ452*(J452*3600/Basis!$E$5)^AK452*(((MID(C452,9,3)*10)-144)/1000)*AL452+AM452*(J452*3600/Basis!$E$5)^2)*0.0098)/Basis!$E$10,((AJ452*(J452/Basis!$E$5)^AK452*(((MID(C452,9,3)*10)-144)/1000)*AL452+AM452*(J452/Basis!$E$5)^2)*0.0098)/Basis!$E$10)</f>
        <v>0</v>
      </c>
      <c r="M452" s="85"/>
      <c r="N452" s="109">
        <v>1.248</v>
      </c>
      <c r="O452" s="68"/>
      <c r="P452" s="67">
        <v>1020</v>
      </c>
      <c r="Q452" s="68"/>
      <c r="R452" s="69"/>
      <c r="S452" s="69"/>
      <c r="T452" s="69"/>
      <c r="U452" s="69"/>
      <c r="V452" s="69"/>
      <c r="W452" s="68"/>
      <c r="X452" s="70"/>
      <c r="Y452" s="70"/>
      <c r="Z452" s="70"/>
      <c r="AA452" s="70"/>
      <c r="AB452" s="70"/>
      <c r="AC452" s="68"/>
      <c r="AD452" s="71"/>
      <c r="AE452" s="71"/>
      <c r="AF452" s="71"/>
      <c r="AG452" s="71"/>
      <c r="AH452" s="71"/>
      <c r="AI452" s="68"/>
      <c r="AJ452" s="214"/>
      <c r="AK452" s="214"/>
      <c r="AL452" s="214"/>
      <c r="AM452" s="214"/>
      <c r="AN452" s="68"/>
      <c r="AO452" s="67"/>
      <c r="AP452" s="67"/>
      <c r="AQ452" s="67"/>
      <c r="AR452" s="67"/>
      <c r="AS452" s="67"/>
      <c r="AT452" s="68"/>
      <c r="AU452" s="49"/>
      <c r="AV452" s="50"/>
    </row>
    <row r="453" spans="1:48" ht="12.75" customHeight="1" x14ac:dyDescent="0.25">
      <c r="A453" s="72" t="s">
        <v>20</v>
      </c>
      <c r="B453" s="43" t="s">
        <v>4043</v>
      </c>
      <c r="C453" s="44" t="s">
        <v>3781</v>
      </c>
      <c r="D453" s="45">
        <f>MROUND(MID($C453,6,3)/Basis!$E$3,0.5)</f>
        <v>22</v>
      </c>
      <c r="E453" s="45">
        <f>MROUND(MID($C453,9,3)/Basis!$E$3,0.5)</f>
        <v>47</v>
      </c>
      <c r="F453" s="229" t="str">
        <f t="shared" si="6"/>
        <v>22</v>
      </c>
      <c r="G453" s="45">
        <f>ROUND(9/Basis!$E$3,1)</f>
        <v>3.5</v>
      </c>
      <c r="H453" s="120">
        <f>ROUND($P453*Basis!$E$2*((TaH-TrH)/LN(1/µ)/Basis!$E$7)^$N453*Glycol,0)</f>
        <v>3900</v>
      </c>
      <c r="I453" s="83">
        <f>ROUND(H453/(MID($C453,9,3)/Basis!$E$3/Basis!$E$9)*Basis!$E$11,0)</f>
        <v>991</v>
      </c>
      <c r="J453" s="123">
        <f>IF(Basis!$E$1=1,ROUND(H453/((TaH-TrH)*1.163)/3600,3),ROUND(H453/(500*(TaH-TrH)),2))</f>
        <v>0.39</v>
      </c>
      <c r="K453" s="84"/>
      <c r="L453" s="177">
        <f>CHOOSE(Basis!$E$1,((AJ453*(J453*3600/Basis!$E$5)^AK453*(((MID(C453,9,3)*10)-144)/1000)*AL453+AM453*(J453*3600/Basis!$E$5)^2)*0.0098)/Basis!$E$10,((AJ453*(J453/Basis!$E$5)^AK453*(((MID(C453,9,3)*10)-144)/1000)*AL453+AM453*(J453/Basis!$E$5)^2)*0.0098)/Basis!$E$10)</f>
        <v>0</v>
      </c>
      <c r="M453" s="85"/>
      <c r="N453" s="109">
        <v>1.349</v>
      </c>
      <c r="O453" s="68"/>
      <c r="P453" s="67">
        <v>1784</v>
      </c>
      <c r="Q453" s="68"/>
      <c r="R453" s="69"/>
      <c r="S453" s="69"/>
      <c r="T453" s="69"/>
      <c r="U453" s="69"/>
      <c r="V453" s="69"/>
      <c r="W453" s="68"/>
      <c r="X453" s="70"/>
      <c r="Y453" s="70"/>
      <c r="Z453" s="70"/>
      <c r="AA453" s="70"/>
      <c r="AB453" s="70"/>
      <c r="AC453" s="68"/>
      <c r="AD453" s="71"/>
      <c r="AE453" s="71"/>
      <c r="AF453" s="71"/>
      <c r="AG453" s="71"/>
      <c r="AH453" s="71"/>
      <c r="AI453" s="68"/>
      <c r="AJ453" s="214"/>
      <c r="AK453" s="214"/>
      <c r="AL453" s="214"/>
      <c r="AM453" s="214"/>
      <c r="AN453" s="68"/>
      <c r="AO453" s="67"/>
      <c r="AP453" s="67"/>
      <c r="AQ453" s="67"/>
      <c r="AR453" s="67"/>
      <c r="AS453" s="67"/>
      <c r="AT453" s="68"/>
      <c r="AU453" s="49"/>
      <c r="AV453" s="50"/>
    </row>
    <row r="454" spans="1:48" ht="12.75" customHeight="1" x14ac:dyDescent="0.25">
      <c r="A454" s="72" t="s">
        <v>20</v>
      </c>
      <c r="B454" s="43" t="s">
        <v>4043</v>
      </c>
      <c r="C454" s="44" t="s">
        <v>3782</v>
      </c>
      <c r="D454" s="45">
        <f>MROUND(MID($C454,6,3)/Basis!$E$3,0.5)</f>
        <v>22</v>
      </c>
      <c r="E454" s="45">
        <f>MROUND(MID($C454,9,3)/Basis!$E$3,0.5)</f>
        <v>55</v>
      </c>
      <c r="F454" s="229" t="str">
        <f t="shared" si="6"/>
        <v>11</v>
      </c>
      <c r="G454" s="45">
        <f>ROUND(5/Basis!$E$3,1)</f>
        <v>2</v>
      </c>
      <c r="H454" s="120">
        <f>ROUND($P454*Basis!$E$2*((TaH-TrH)/LN(1/µ)/Basis!$E$7)^$N454*Glycol,0)</f>
        <v>2690</v>
      </c>
      <c r="I454" s="83">
        <f>ROUND(H454/(MID($C454,9,3)/Basis!$E$3/Basis!$E$9)*Basis!$E$11,0)</f>
        <v>586</v>
      </c>
      <c r="J454" s="123">
        <f>IF(Basis!$E$1=1,ROUND(H454/((TaH-TrH)*1.163)/3600,3),ROUND(H454/(500*(TaH-TrH)),2))</f>
        <v>0.27</v>
      </c>
      <c r="K454" s="84"/>
      <c r="L454" s="177">
        <f>CHOOSE(Basis!$E$1,((AJ454*(J454*3600/Basis!$E$5)^AK454*(((MID(C454,9,3)*10)-144)/1000)*AL454+AM454*(J454*3600/Basis!$E$5)^2)*0.0098)/Basis!$E$10,((AJ454*(J454/Basis!$E$5)^AK454*(((MID(C454,9,3)*10)-144)/1000)*AL454+AM454*(J454/Basis!$E$5)^2)*0.0098)/Basis!$E$10)</f>
        <v>0</v>
      </c>
      <c r="M454" s="85"/>
      <c r="N454" s="110">
        <v>1.248</v>
      </c>
      <c r="O454" s="74"/>
      <c r="P454" s="73">
        <v>1190</v>
      </c>
      <c r="Q454" s="74"/>
      <c r="R454" s="75"/>
      <c r="S454" s="75"/>
      <c r="T454" s="75"/>
      <c r="U454" s="75"/>
      <c r="V454" s="75"/>
      <c r="W454" s="74"/>
      <c r="X454" s="76"/>
      <c r="Y454" s="76"/>
      <c r="Z454" s="76"/>
      <c r="AA454" s="76"/>
      <c r="AB454" s="76"/>
      <c r="AC454" s="74"/>
      <c r="AD454" s="77"/>
      <c r="AE454" s="77"/>
      <c r="AF454" s="77"/>
      <c r="AG454" s="77"/>
      <c r="AH454" s="77"/>
      <c r="AI454" s="68"/>
      <c r="AJ454" s="213"/>
      <c r="AK454" s="213"/>
      <c r="AL454" s="213"/>
      <c r="AM454" s="213"/>
      <c r="AN454" s="74"/>
      <c r="AO454" s="73"/>
      <c r="AP454" s="73"/>
      <c r="AQ454" s="73"/>
      <c r="AR454" s="73"/>
      <c r="AS454" s="73"/>
      <c r="AT454" s="74"/>
      <c r="AU454" s="47"/>
      <c r="AV454" s="48"/>
    </row>
    <row r="455" spans="1:48" ht="12.75" customHeight="1" x14ac:dyDescent="0.25">
      <c r="A455" s="72" t="s">
        <v>20</v>
      </c>
      <c r="B455" s="43" t="s">
        <v>4043</v>
      </c>
      <c r="C455" s="44" t="s">
        <v>3783</v>
      </c>
      <c r="D455" s="45">
        <f>MROUND(MID($C455,6,3)/Basis!$E$3,0.5)</f>
        <v>22</v>
      </c>
      <c r="E455" s="45">
        <f>MROUND(MID($C455,9,3)/Basis!$E$3,0.5)</f>
        <v>55</v>
      </c>
      <c r="F455" s="229" t="str">
        <f t="shared" si="6"/>
        <v>22</v>
      </c>
      <c r="G455" s="45">
        <f>ROUND(9/Basis!$E$3,1)</f>
        <v>3.5</v>
      </c>
      <c r="H455" s="120">
        <f>ROUND($P455*Basis!$E$2*((TaH-TrH)/LN(1/µ)/Basis!$E$7)^$N455*Glycol,0)</f>
        <v>4551</v>
      </c>
      <c r="I455" s="83">
        <f>ROUND(H455/(MID($C455,9,3)/Basis!$E$3/Basis!$E$9)*Basis!$E$11,0)</f>
        <v>991</v>
      </c>
      <c r="J455" s="123">
        <f>IF(Basis!$E$1=1,ROUND(H455/((TaH-TrH)*1.163)/3600,3),ROUND(H455/(500*(TaH-TrH)),2))</f>
        <v>0.46</v>
      </c>
      <c r="K455" s="84"/>
      <c r="L455" s="177">
        <f>CHOOSE(Basis!$E$1,((AJ455*(J455*3600/Basis!$E$5)^AK455*(((MID(C455,9,3)*10)-144)/1000)*AL455+AM455*(J455*3600/Basis!$E$5)^2)*0.0098)/Basis!$E$10,((AJ455*(J455/Basis!$E$5)^AK455*(((MID(C455,9,3)*10)-144)/1000)*AL455+AM455*(J455/Basis!$E$5)^2)*0.0098)/Basis!$E$10)</f>
        <v>0</v>
      </c>
      <c r="M455" s="85"/>
      <c r="N455" s="110">
        <v>1.349</v>
      </c>
      <c r="O455" s="74"/>
      <c r="P455" s="73">
        <v>2082</v>
      </c>
      <c r="Q455" s="74"/>
      <c r="R455" s="75"/>
      <c r="S455" s="75"/>
      <c r="T455" s="75"/>
      <c r="U455" s="75"/>
      <c r="V455" s="75"/>
      <c r="W455" s="74"/>
      <c r="X455" s="76"/>
      <c r="Y455" s="76"/>
      <c r="Z455" s="76"/>
      <c r="AA455" s="76"/>
      <c r="AB455" s="76"/>
      <c r="AC455" s="74"/>
      <c r="AD455" s="77"/>
      <c r="AE455" s="77"/>
      <c r="AF455" s="77"/>
      <c r="AG455" s="77"/>
      <c r="AH455" s="77"/>
      <c r="AI455" s="68"/>
      <c r="AJ455" s="213"/>
      <c r="AK455" s="213"/>
      <c r="AL455" s="213"/>
      <c r="AM455" s="213"/>
      <c r="AN455" s="74"/>
      <c r="AO455" s="73"/>
      <c r="AP455" s="73"/>
      <c r="AQ455" s="73"/>
      <c r="AR455" s="73"/>
      <c r="AS455" s="73"/>
      <c r="AT455" s="74"/>
      <c r="AU455" s="47"/>
      <c r="AV455" s="48"/>
    </row>
    <row r="456" spans="1:48" ht="12.75" customHeight="1" x14ac:dyDescent="0.25">
      <c r="A456" s="72" t="s">
        <v>20</v>
      </c>
      <c r="B456" s="43" t="s">
        <v>4043</v>
      </c>
      <c r="C456" s="44" t="s">
        <v>3784</v>
      </c>
      <c r="D456" s="45">
        <f>MROUND(MID($C456,6,3)/Basis!$E$3,0.5)</f>
        <v>22</v>
      </c>
      <c r="E456" s="45">
        <f>MROUND(MID($C456,9,3)/Basis!$E$3,0.5)</f>
        <v>63</v>
      </c>
      <c r="F456" s="229" t="str">
        <f t="shared" si="6"/>
        <v>11</v>
      </c>
      <c r="G456" s="45">
        <f>ROUND(5/Basis!$E$3,1)</f>
        <v>2</v>
      </c>
      <c r="H456" s="120">
        <f>ROUND($P456*Basis!$E$2*((TaH-TrH)/LN(1/µ)/Basis!$E$7)^$N456*Glycol,0)</f>
        <v>3074</v>
      </c>
      <c r="I456" s="83">
        <f>ROUND(H456/(MID($C456,9,3)/Basis!$E$3/Basis!$E$9)*Basis!$E$11,0)</f>
        <v>586</v>
      </c>
      <c r="J456" s="123">
        <f>IF(Basis!$E$1=1,ROUND(H456/((TaH-TrH)*1.163)/3600,3),ROUND(H456/(500*(TaH-TrH)),2))</f>
        <v>0.31</v>
      </c>
      <c r="K456" s="84"/>
      <c r="L456" s="177">
        <f>CHOOSE(Basis!$E$1,((AJ456*(J456*3600/Basis!$E$5)^AK456*(((MID(C456,9,3)*10)-144)/1000)*AL456+AM456*(J456*3600/Basis!$E$5)^2)*0.0098)/Basis!$E$10,((AJ456*(J456/Basis!$E$5)^AK456*(((MID(C456,9,3)*10)-144)/1000)*AL456+AM456*(J456/Basis!$E$5)^2)*0.0098)/Basis!$E$10)</f>
        <v>0</v>
      </c>
      <c r="M456" s="85"/>
      <c r="N456" s="109">
        <v>1.248</v>
      </c>
      <c r="O456" s="68"/>
      <c r="P456" s="67">
        <v>1360</v>
      </c>
      <c r="Q456" s="68"/>
      <c r="R456" s="69"/>
      <c r="S456" s="69"/>
      <c r="T456" s="69"/>
      <c r="U456" s="69"/>
      <c r="V456" s="69"/>
      <c r="W456" s="68"/>
      <c r="X456" s="70"/>
      <c r="Y456" s="70"/>
      <c r="Z456" s="70"/>
      <c r="AA456" s="70"/>
      <c r="AB456" s="70"/>
      <c r="AC456" s="68"/>
      <c r="AD456" s="71"/>
      <c r="AE456" s="71"/>
      <c r="AF456" s="71"/>
      <c r="AG456" s="71"/>
      <c r="AH456" s="71"/>
      <c r="AI456" s="68"/>
      <c r="AJ456" s="214"/>
      <c r="AK456" s="214"/>
      <c r="AL456" s="214"/>
      <c r="AM456" s="214"/>
      <c r="AN456" s="68"/>
      <c r="AO456" s="67"/>
      <c r="AP456" s="67"/>
      <c r="AQ456" s="67"/>
      <c r="AR456" s="67"/>
      <c r="AS456" s="67"/>
      <c r="AT456" s="68"/>
      <c r="AU456" s="49"/>
      <c r="AV456" s="50"/>
    </row>
    <row r="457" spans="1:48" ht="12.75" customHeight="1" x14ac:dyDescent="0.25">
      <c r="A457" s="72" t="s">
        <v>20</v>
      </c>
      <c r="B457" s="43" t="s">
        <v>4043</v>
      </c>
      <c r="C457" s="44" t="s">
        <v>3785</v>
      </c>
      <c r="D457" s="45">
        <f>MROUND(MID($C457,6,3)/Basis!$E$3,0.5)</f>
        <v>22</v>
      </c>
      <c r="E457" s="45">
        <f>MROUND(MID($C457,9,3)/Basis!$E$3,0.5)</f>
        <v>63</v>
      </c>
      <c r="F457" s="229" t="str">
        <f t="shared" si="6"/>
        <v>22</v>
      </c>
      <c r="G457" s="45">
        <f>ROUND(9/Basis!$E$3,1)</f>
        <v>3.5</v>
      </c>
      <c r="H457" s="120">
        <f>ROUND($P457*Basis!$E$2*((TaH-TrH)/LN(1/µ)/Basis!$E$7)^$N457*Glycol,0)</f>
        <v>5201</v>
      </c>
      <c r="I457" s="83">
        <f>ROUND(H457/(MID($C457,9,3)/Basis!$E$3/Basis!$E$9)*Basis!$E$11,0)</f>
        <v>991</v>
      </c>
      <c r="J457" s="123">
        <f>IF(Basis!$E$1=1,ROUND(H457/((TaH-TrH)*1.163)/3600,3),ROUND(H457/(500*(TaH-TrH)),2))</f>
        <v>0.52</v>
      </c>
      <c r="K457" s="84"/>
      <c r="L457" s="177">
        <f>CHOOSE(Basis!$E$1,((AJ457*(J457*3600/Basis!$E$5)^AK457*(((MID(C457,9,3)*10)-144)/1000)*AL457+AM457*(J457*3600/Basis!$E$5)^2)*0.0098)/Basis!$E$10,((AJ457*(J457/Basis!$E$5)^AK457*(((MID(C457,9,3)*10)-144)/1000)*AL457+AM457*(J457/Basis!$E$5)^2)*0.0098)/Basis!$E$10)</f>
        <v>0</v>
      </c>
      <c r="M457" s="85"/>
      <c r="N457" s="109">
        <v>1.349</v>
      </c>
      <c r="O457" s="68"/>
      <c r="P457" s="67">
        <v>2379</v>
      </c>
      <c r="Q457" s="68"/>
      <c r="R457" s="69"/>
      <c r="S457" s="69"/>
      <c r="T457" s="69"/>
      <c r="U457" s="69"/>
      <c r="V457" s="69"/>
      <c r="W457" s="68"/>
      <c r="X457" s="70"/>
      <c r="Y457" s="70"/>
      <c r="Z457" s="70"/>
      <c r="AA457" s="70"/>
      <c r="AB457" s="70"/>
      <c r="AC457" s="68"/>
      <c r="AD457" s="71"/>
      <c r="AE457" s="71"/>
      <c r="AF457" s="71"/>
      <c r="AG457" s="71"/>
      <c r="AH457" s="71"/>
      <c r="AI457" s="68"/>
      <c r="AJ457" s="214"/>
      <c r="AK457" s="214"/>
      <c r="AL457" s="214"/>
      <c r="AM457" s="214"/>
      <c r="AN457" s="68"/>
      <c r="AO457" s="67"/>
      <c r="AP457" s="67"/>
      <c r="AQ457" s="67"/>
      <c r="AR457" s="67"/>
      <c r="AS457" s="67"/>
      <c r="AT457" s="68"/>
      <c r="AU457" s="49"/>
      <c r="AV457" s="50"/>
    </row>
    <row r="458" spans="1:48" ht="12.75" customHeight="1" x14ac:dyDescent="0.25">
      <c r="A458" s="72" t="s">
        <v>20</v>
      </c>
      <c r="B458" s="43" t="s">
        <v>4043</v>
      </c>
      <c r="C458" s="44" t="s">
        <v>3786</v>
      </c>
      <c r="D458" s="45">
        <f>MROUND(MID($C458,6,3)/Basis!$E$3,0.5)</f>
        <v>22</v>
      </c>
      <c r="E458" s="45">
        <f>MROUND(MID($C458,9,3)/Basis!$E$3,0.5)</f>
        <v>71</v>
      </c>
      <c r="F458" s="229" t="str">
        <f t="shared" si="6"/>
        <v>11</v>
      </c>
      <c r="G458" s="45">
        <f>ROUND(5/Basis!$E$3,1)</f>
        <v>2</v>
      </c>
      <c r="H458" s="120">
        <f>ROUND($P458*Basis!$E$2*((TaH-TrH)/LN(1/µ)/Basis!$E$7)^$N458*Glycol,0)</f>
        <v>3458</v>
      </c>
      <c r="I458" s="83">
        <f>ROUND(H458/(MID($C458,9,3)/Basis!$E$3/Basis!$E$9)*Basis!$E$11,0)</f>
        <v>586</v>
      </c>
      <c r="J458" s="123">
        <f>IF(Basis!$E$1=1,ROUND(H458/((TaH-TrH)*1.163)/3600,3),ROUND(H458/(500*(TaH-TrH)),2))</f>
        <v>0.35</v>
      </c>
      <c r="K458" s="84"/>
      <c r="L458" s="177">
        <f>CHOOSE(Basis!$E$1,((AJ458*(J458*3600/Basis!$E$5)^AK458*(((MID(C458,9,3)*10)-144)/1000)*AL458+AM458*(J458*3600/Basis!$E$5)^2)*0.0098)/Basis!$E$10,((AJ458*(J458/Basis!$E$5)^AK458*(((MID(C458,9,3)*10)-144)/1000)*AL458+AM458*(J458/Basis!$E$5)^2)*0.0098)/Basis!$E$10)</f>
        <v>0</v>
      </c>
      <c r="M458" s="85"/>
      <c r="N458" s="110">
        <v>1.248</v>
      </c>
      <c r="O458" s="74"/>
      <c r="P458" s="73">
        <v>1530</v>
      </c>
      <c r="Q458" s="74"/>
      <c r="R458" s="75"/>
      <c r="S458" s="75"/>
      <c r="T458" s="75"/>
      <c r="U458" s="75"/>
      <c r="V458" s="75"/>
      <c r="W458" s="74"/>
      <c r="X458" s="76"/>
      <c r="Y458" s="76"/>
      <c r="Z458" s="76"/>
      <c r="AA458" s="76"/>
      <c r="AB458" s="76"/>
      <c r="AC458" s="74"/>
      <c r="AD458" s="77"/>
      <c r="AE458" s="77"/>
      <c r="AF458" s="77"/>
      <c r="AG458" s="77"/>
      <c r="AH458" s="77"/>
      <c r="AI458" s="68"/>
      <c r="AJ458" s="213"/>
      <c r="AK458" s="213"/>
      <c r="AL458" s="213"/>
      <c r="AM458" s="213"/>
      <c r="AN458" s="74"/>
      <c r="AO458" s="73"/>
      <c r="AP458" s="73"/>
      <c r="AQ458" s="73"/>
      <c r="AR458" s="73"/>
      <c r="AS458" s="73"/>
      <c r="AT458" s="74"/>
      <c r="AU458" s="47"/>
      <c r="AV458" s="48"/>
    </row>
    <row r="459" spans="1:48" ht="12.75" customHeight="1" x14ac:dyDescent="0.25">
      <c r="A459" s="72" t="s">
        <v>20</v>
      </c>
      <c r="B459" s="43" t="s">
        <v>4043</v>
      </c>
      <c r="C459" s="44" t="s">
        <v>3787</v>
      </c>
      <c r="D459" s="45">
        <f>MROUND(MID($C459,6,3)/Basis!$E$3,0.5)</f>
        <v>22</v>
      </c>
      <c r="E459" s="45">
        <f>MROUND(MID($C459,9,3)/Basis!$E$3,0.5)</f>
        <v>71</v>
      </c>
      <c r="F459" s="229" t="str">
        <f t="shared" ref="F459:F522" si="7">MID(C459,12,2)</f>
        <v>22</v>
      </c>
      <c r="G459" s="45">
        <f>ROUND(9/Basis!$E$3,1)</f>
        <v>3.5</v>
      </c>
      <c r="H459" s="120">
        <f>ROUND($P459*Basis!$E$2*((TaH-TrH)/LN(1/µ)/Basis!$E$7)^$N459*Glycol,0)</f>
        <v>5850</v>
      </c>
      <c r="I459" s="83">
        <f>ROUND(H459/(MID($C459,9,3)/Basis!$E$3/Basis!$E$9)*Basis!$E$11,0)</f>
        <v>991</v>
      </c>
      <c r="J459" s="123">
        <f>IF(Basis!$E$1=1,ROUND(H459/((TaH-TrH)*1.163)/3600,3),ROUND(H459/(500*(TaH-TrH)),2))</f>
        <v>0.59</v>
      </c>
      <c r="K459" s="84"/>
      <c r="L459" s="177">
        <f>CHOOSE(Basis!$E$1,((AJ459*(J459*3600/Basis!$E$5)^AK459*(((MID(C459,9,3)*10)-144)/1000)*AL459+AM459*(J459*3600/Basis!$E$5)^2)*0.0098)/Basis!$E$10,((AJ459*(J459/Basis!$E$5)^AK459*(((MID(C459,9,3)*10)-144)/1000)*AL459+AM459*(J459/Basis!$E$5)^2)*0.0098)/Basis!$E$10)</f>
        <v>0</v>
      </c>
      <c r="M459" s="85"/>
      <c r="N459" s="110">
        <v>1.349</v>
      </c>
      <c r="O459" s="74"/>
      <c r="P459" s="73">
        <v>2676</v>
      </c>
      <c r="Q459" s="74"/>
      <c r="R459" s="75"/>
      <c r="S459" s="75"/>
      <c r="T459" s="75"/>
      <c r="U459" s="75"/>
      <c r="V459" s="75"/>
      <c r="W459" s="74"/>
      <c r="X459" s="76"/>
      <c r="Y459" s="76"/>
      <c r="Z459" s="76"/>
      <c r="AA459" s="76"/>
      <c r="AB459" s="76"/>
      <c r="AC459" s="74"/>
      <c r="AD459" s="77"/>
      <c r="AE459" s="77"/>
      <c r="AF459" s="77"/>
      <c r="AG459" s="77"/>
      <c r="AH459" s="77"/>
      <c r="AI459" s="68"/>
      <c r="AJ459" s="213"/>
      <c r="AK459" s="213"/>
      <c r="AL459" s="213"/>
      <c r="AM459" s="213"/>
      <c r="AN459" s="74"/>
      <c r="AO459" s="73"/>
      <c r="AP459" s="73"/>
      <c r="AQ459" s="73"/>
      <c r="AR459" s="73"/>
      <c r="AS459" s="73"/>
      <c r="AT459" s="74"/>
      <c r="AU459" s="47"/>
      <c r="AV459" s="48"/>
    </row>
    <row r="460" spans="1:48" ht="12.75" customHeight="1" x14ac:dyDescent="0.25">
      <c r="A460" s="72" t="s">
        <v>20</v>
      </c>
      <c r="B460" s="43" t="s">
        <v>4043</v>
      </c>
      <c r="C460" s="44" t="s">
        <v>3788</v>
      </c>
      <c r="D460" s="45">
        <f>MROUND(MID($C460,6,3)/Basis!$E$3,0.5)</f>
        <v>22</v>
      </c>
      <c r="E460" s="45">
        <f>MROUND(MID($C460,9,3)/Basis!$E$3,0.5)</f>
        <v>78.5</v>
      </c>
      <c r="F460" s="229" t="str">
        <f t="shared" si="7"/>
        <v>11</v>
      </c>
      <c r="G460" s="45">
        <f>ROUND(5/Basis!$E$3,1)</f>
        <v>2</v>
      </c>
      <c r="H460" s="120">
        <f>ROUND($P460*Basis!$E$2*((TaH-TrH)/LN(1/µ)/Basis!$E$7)^$N460*Glycol,0)</f>
        <v>3842</v>
      </c>
      <c r="I460" s="83">
        <f>ROUND(H460/(MID($C460,9,3)/Basis!$E$3/Basis!$E$9)*Basis!$E$11,0)</f>
        <v>586</v>
      </c>
      <c r="J460" s="123">
        <f>IF(Basis!$E$1=1,ROUND(H460/((TaH-TrH)*1.163)/3600,3),ROUND(H460/(500*(TaH-TrH)),2))</f>
        <v>0.38</v>
      </c>
      <c r="K460" s="84"/>
      <c r="L460" s="177">
        <f>CHOOSE(Basis!$E$1,((AJ460*(J460*3600/Basis!$E$5)^AK460*(((MID(C460,9,3)*10)-144)/1000)*AL460+AM460*(J460*3600/Basis!$E$5)^2)*0.0098)/Basis!$E$10,((AJ460*(J460/Basis!$E$5)^AK460*(((MID(C460,9,3)*10)-144)/1000)*AL460+AM460*(J460/Basis!$E$5)^2)*0.0098)/Basis!$E$10)</f>
        <v>0</v>
      </c>
      <c r="M460" s="85"/>
      <c r="N460" s="109">
        <v>1.248</v>
      </c>
      <c r="O460" s="68"/>
      <c r="P460" s="67">
        <v>1700</v>
      </c>
      <c r="Q460" s="68"/>
      <c r="R460" s="69"/>
      <c r="S460" s="69"/>
      <c r="T460" s="69"/>
      <c r="U460" s="69"/>
      <c r="V460" s="69"/>
      <c r="W460" s="68"/>
      <c r="X460" s="70"/>
      <c r="Y460" s="70"/>
      <c r="Z460" s="70"/>
      <c r="AA460" s="70"/>
      <c r="AB460" s="70"/>
      <c r="AC460" s="68"/>
      <c r="AD460" s="71"/>
      <c r="AE460" s="71"/>
      <c r="AF460" s="71"/>
      <c r="AG460" s="71"/>
      <c r="AH460" s="71"/>
      <c r="AI460" s="68"/>
      <c r="AJ460" s="214"/>
      <c r="AK460" s="214"/>
      <c r="AL460" s="214"/>
      <c r="AM460" s="214"/>
      <c r="AN460" s="68"/>
      <c r="AO460" s="67"/>
      <c r="AP460" s="67"/>
      <c r="AQ460" s="67"/>
      <c r="AR460" s="67"/>
      <c r="AS460" s="67"/>
      <c r="AT460" s="68"/>
      <c r="AU460" s="49"/>
      <c r="AV460" s="50"/>
    </row>
    <row r="461" spans="1:48" ht="12.75" customHeight="1" x14ac:dyDescent="0.25">
      <c r="A461" s="72" t="s">
        <v>20</v>
      </c>
      <c r="B461" s="43" t="s">
        <v>4043</v>
      </c>
      <c r="C461" s="44" t="s">
        <v>3789</v>
      </c>
      <c r="D461" s="45">
        <f>MROUND(MID($C461,6,3)/Basis!$E$3,0.5)</f>
        <v>22</v>
      </c>
      <c r="E461" s="45">
        <f>MROUND(MID($C461,9,3)/Basis!$E$3,0.5)</f>
        <v>78.5</v>
      </c>
      <c r="F461" s="229" t="str">
        <f t="shared" si="7"/>
        <v>22</v>
      </c>
      <c r="G461" s="45">
        <f>ROUND(9/Basis!$E$3,1)</f>
        <v>3.5</v>
      </c>
      <c r="H461" s="120">
        <f>ROUND($P461*Basis!$E$2*((TaH-TrH)/LN(1/µ)/Basis!$E$7)^$N461*Glycol,0)</f>
        <v>6501</v>
      </c>
      <c r="I461" s="83">
        <f>ROUND(H461/(MID($C461,9,3)/Basis!$E$3/Basis!$E$9)*Basis!$E$11,0)</f>
        <v>991</v>
      </c>
      <c r="J461" s="123">
        <f>IF(Basis!$E$1=1,ROUND(H461/((TaH-TrH)*1.163)/3600,3),ROUND(H461/(500*(TaH-TrH)),2))</f>
        <v>0.65</v>
      </c>
      <c r="K461" s="84"/>
      <c r="L461" s="177">
        <f>CHOOSE(Basis!$E$1,((AJ461*(J461*3600/Basis!$E$5)^AK461*(((MID(C461,9,3)*10)-144)/1000)*AL461+AM461*(J461*3600/Basis!$E$5)^2)*0.0098)/Basis!$E$10,((AJ461*(J461/Basis!$E$5)^AK461*(((MID(C461,9,3)*10)-144)/1000)*AL461+AM461*(J461/Basis!$E$5)^2)*0.0098)/Basis!$E$10)</f>
        <v>0</v>
      </c>
      <c r="M461" s="85"/>
      <c r="N461" s="109">
        <v>1.349</v>
      </c>
      <c r="O461" s="68"/>
      <c r="P461" s="67">
        <v>2974</v>
      </c>
      <c r="Q461" s="68"/>
      <c r="R461" s="69"/>
      <c r="S461" s="69"/>
      <c r="T461" s="69"/>
      <c r="U461" s="69"/>
      <c r="V461" s="69"/>
      <c r="W461" s="68"/>
      <c r="X461" s="70"/>
      <c r="Y461" s="70"/>
      <c r="Z461" s="70"/>
      <c r="AA461" s="70"/>
      <c r="AB461" s="70"/>
      <c r="AC461" s="68"/>
      <c r="AD461" s="71"/>
      <c r="AE461" s="71"/>
      <c r="AF461" s="71"/>
      <c r="AG461" s="71"/>
      <c r="AH461" s="71"/>
      <c r="AI461" s="68"/>
      <c r="AJ461" s="214"/>
      <c r="AK461" s="214"/>
      <c r="AL461" s="214"/>
      <c r="AM461" s="214"/>
      <c r="AN461" s="68"/>
      <c r="AO461" s="67"/>
      <c r="AP461" s="67"/>
      <c r="AQ461" s="67"/>
      <c r="AR461" s="67"/>
      <c r="AS461" s="67"/>
      <c r="AT461" s="68"/>
      <c r="AU461" s="49"/>
      <c r="AV461" s="50"/>
    </row>
    <row r="462" spans="1:48" ht="12.75" customHeight="1" x14ac:dyDescent="0.25">
      <c r="A462" s="72" t="s">
        <v>20</v>
      </c>
      <c r="B462" s="43" t="s">
        <v>4043</v>
      </c>
      <c r="C462" s="44" t="s">
        <v>3790</v>
      </c>
      <c r="D462" s="45">
        <f>MROUND(MID($C462,6,3)/Basis!$E$3,0.5)</f>
        <v>22</v>
      </c>
      <c r="E462" s="45">
        <f>MROUND(MID($C462,9,3)/Basis!$E$3,0.5)</f>
        <v>86.5</v>
      </c>
      <c r="F462" s="229" t="str">
        <f t="shared" si="7"/>
        <v>11</v>
      </c>
      <c r="G462" s="45">
        <f>ROUND(5/Basis!$E$3,1)</f>
        <v>2</v>
      </c>
      <c r="H462" s="120">
        <f>ROUND($P462*Basis!$E$2*((TaH-TrH)/LN(1/µ)/Basis!$E$7)^$N462*Glycol,0)</f>
        <v>4227</v>
      </c>
      <c r="I462" s="83">
        <f>ROUND(H462/(MID($C462,9,3)/Basis!$E$3/Basis!$E$9)*Basis!$E$11,0)</f>
        <v>586</v>
      </c>
      <c r="J462" s="123">
        <f>IF(Basis!$E$1=1,ROUND(H462/((TaH-TrH)*1.163)/3600,3),ROUND(H462/(500*(TaH-TrH)),2))</f>
        <v>0.42</v>
      </c>
      <c r="K462" s="84"/>
      <c r="L462" s="177">
        <f>CHOOSE(Basis!$E$1,((AJ462*(J462*3600/Basis!$E$5)^AK462*(((MID(C462,9,3)*10)-144)/1000)*AL462+AM462*(J462*3600/Basis!$E$5)^2)*0.0098)/Basis!$E$10,((AJ462*(J462/Basis!$E$5)^AK462*(((MID(C462,9,3)*10)-144)/1000)*AL462+AM462*(J462/Basis!$E$5)^2)*0.0098)/Basis!$E$10)</f>
        <v>0</v>
      </c>
      <c r="M462" s="85"/>
      <c r="N462" s="110">
        <v>1.248</v>
      </c>
      <c r="O462" s="74"/>
      <c r="P462" s="73">
        <v>1870</v>
      </c>
      <c r="Q462" s="74"/>
      <c r="R462" s="75"/>
      <c r="S462" s="75"/>
      <c r="T462" s="75"/>
      <c r="U462" s="75"/>
      <c r="V462" s="75"/>
      <c r="W462" s="74"/>
      <c r="X462" s="76"/>
      <c r="Y462" s="76"/>
      <c r="Z462" s="76"/>
      <c r="AA462" s="76"/>
      <c r="AB462" s="76"/>
      <c r="AC462" s="74"/>
      <c r="AD462" s="77"/>
      <c r="AE462" s="77"/>
      <c r="AF462" s="77"/>
      <c r="AG462" s="77"/>
      <c r="AH462" s="77"/>
      <c r="AI462" s="68"/>
      <c r="AJ462" s="213"/>
      <c r="AK462" s="213"/>
      <c r="AL462" s="213"/>
      <c r="AM462" s="213"/>
      <c r="AN462" s="74"/>
      <c r="AO462" s="73"/>
      <c r="AP462" s="73"/>
      <c r="AQ462" s="73"/>
      <c r="AR462" s="73"/>
      <c r="AS462" s="73"/>
      <c r="AT462" s="74"/>
      <c r="AU462" s="47"/>
      <c r="AV462" s="48"/>
    </row>
    <row r="463" spans="1:48" ht="12.75" customHeight="1" x14ac:dyDescent="0.25">
      <c r="A463" s="72" t="s">
        <v>20</v>
      </c>
      <c r="B463" s="43" t="s">
        <v>4043</v>
      </c>
      <c r="C463" s="44" t="s">
        <v>3791</v>
      </c>
      <c r="D463" s="45">
        <f>MROUND(MID($C463,6,3)/Basis!$E$3,0.5)</f>
        <v>22</v>
      </c>
      <c r="E463" s="45">
        <f>MROUND(MID($C463,9,3)/Basis!$E$3,0.5)</f>
        <v>86.5</v>
      </c>
      <c r="F463" s="229" t="str">
        <f t="shared" si="7"/>
        <v>22</v>
      </c>
      <c r="G463" s="45">
        <f>ROUND(9/Basis!$E$3,1)</f>
        <v>3.5</v>
      </c>
      <c r="H463" s="120">
        <f>ROUND($P463*Basis!$E$2*((TaH-TrH)/LN(1/µ)/Basis!$E$7)^$N463*Glycol,0)</f>
        <v>7151</v>
      </c>
      <c r="I463" s="83">
        <f>ROUND(H463/(MID($C463,9,3)/Basis!$E$3/Basis!$E$9)*Basis!$E$11,0)</f>
        <v>991</v>
      </c>
      <c r="J463" s="123">
        <f>IF(Basis!$E$1=1,ROUND(H463/((TaH-TrH)*1.163)/3600,3),ROUND(H463/(500*(TaH-TrH)),2))</f>
        <v>0.72</v>
      </c>
      <c r="K463" s="84"/>
      <c r="L463" s="177">
        <f>CHOOSE(Basis!$E$1,((AJ463*(J463*3600/Basis!$E$5)^AK463*(((MID(C463,9,3)*10)-144)/1000)*AL463+AM463*(J463*3600/Basis!$E$5)^2)*0.0098)/Basis!$E$10,((AJ463*(J463/Basis!$E$5)^AK463*(((MID(C463,9,3)*10)-144)/1000)*AL463+AM463*(J463/Basis!$E$5)^2)*0.0098)/Basis!$E$10)</f>
        <v>0</v>
      </c>
      <c r="M463" s="85"/>
      <c r="N463" s="110">
        <v>1.349</v>
      </c>
      <c r="O463" s="74"/>
      <c r="P463" s="73">
        <v>3271</v>
      </c>
      <c r="Q463" s="74"/>
      <c r="R463" s="75"/>
      <c r="S463" s="75"/>
      <c r="T463" s="75"/>
      <c r="U463" s="75"/>
      <c r="V463" s="75"/>
      <c r="W463" s="74"/>
      <c r="X463" s="76"/>
      <c r="Y463" s="76"/>
      <c r="Z463" s="76"/>
      <c r="AA463" s="76"/>
      <c r="AB463" s="76"/>
      <c r="AC463" s="74"/>
      <c r="AD463" s="77"/>
      <c r="AE463" s="77"/>
      <c r="AF463" s="77"/>
      <c r="AG463" s="77"/>
      <c r="AH463" s="77"/>
      <c r="AI463" s="68"/>
      <c r="AJ463" s="213"/>
      <c r="AK463" s="213"/>
      <c r="AL463" s="213"/>
      <c r="AM463" s="213"/>
      <c r="AN463" s="74"/>
      <c r="AO463" s="73"/>
      <c r="AP463" s="73"/>
      <c r="AQ463" s="73"/>
      <c r="AR463" s="73"/>
      <c r="AS463" s="73"/>
      <c r="AT463" s="74"/>
      <c r="AU463" s="47"/>
      <c r="AV463" s="48"/>
    </row>
    <row r="464" spans="1:48" ht="12.75" customHeight="1" x14ac:dyDescent="0.25">
      <c r="A464" s="72" t="s">
        <v>20</v>
      </c>
      <c r="B464" s="43" t="s">
        <v>4043</v>
      </c>
      <c r="C464" s="44" t="s">
        <v>3792</v>
      </c>
      <c r="D464" s="45">
        <f>MROUND(MID($C464,6,3)/Basis!$E$3,0.5)</f>
        <v>22</v>
      </c>
      <c r="E464" s="45">
        <f>MROUND(MID($C464,9,3)/Basis!$E$3,0.5)</f>
        <v>94.5</v>
      </c>
      <c r="F464" s="229" t="str">
        <f t="shared" si="7"/>
        <v>11</v>
      </c>
      <c r="G464" s="45">
        <f>ROUND(5/Basis!$E$3,1)</f>
        <v>2</v>
      </c>
      <c r="H464" s="120">
        <f>ROUND($P464*Basis!$E$2*((TaH-TrH)/LN(1/µ)/Basis!$E$7)^$N464*Glycol,0)</f>
        <v>4611</v>
      </c>
      <c r="I464" s="83">
        <f>ROUND(H464/(MID($C464,9,3)/Basis!$E$3/Basis!$E$9)*Basis!$E$11,0)</f>
        <v>586</v>
      </c>
      <c r="J464" s="123">
        <f>IF(Basis!$E$1=1,ROUND(H464/((TaH-TrH)*1.163)/3600,3),ROUND(H464/(500*(TaH-TrH)),2))</f>
        <v>0.46</v>
      </c>
      <c r="K464" s="84"/>
      <c r="L464" s="177">
        <f>CHOOSE(Basis!$E$1,((AJ464*(J464*3600/Basis!$E$5)^AK464*(((MID(C464,9,3)*10)-144)/1000)*AL464+AM464*(J464*3600/Basis!$E$5)^2)*0.0098)/Basis!$E$10,((AJ464*(J464/Basis!$E$5)^AK464*(((MID(C464,9,3)*10)-144)/1000)*AL464+AM464*(J464/Basis!$E$5)^2)*0.0098)/Basis!$E$10)</f>
        <v>0</v>
      </c>
      <c r="M464" s="85"/>
      <c r="N464" s="109">
        <v>1.248</v>
      </c>
      <c r="O464" s="68"/>
      <c r="P464" s="67">
        <v>2040</v>
      </c>
      <c r="Q464" s="68"/>
      <c r="R464" s="69"/>
      <c r="S464" s="69"/>
      <c r="T464" s="69"/>
      <c r="U464" s="69"/>
      <c r="V464" s="69"/>
      <c r="W464" s="68"/>
      <c r="X464" s="70"/>
      <c r="Y464" s="70"/>
      <c r="Z464" s="70"/>
      <c r="AA464" s="70"/>
      <c r="AB464" s="70"/>
      <c r="AC464" s="68"/>
      <c r="AD464" s="71"/>
      <c r="AE464" s="71"/>
      <c r="AF464" s="71"/>
      <c r="AG464" s="71"/>
      <c r="AH464" s="71"/>
      <c r="AI464" s="68"/>
      <c r="AJ464" s="214"/>
      <c r="AK464" s="214"/>
      <c r="AL464" s="214"/>
      <c r="AM464" s="214"/>
      <c r="AN464" s="68"/>
      <c r="AO464" s="67"/>
      <c r="AP464" s="67"/>
      <c r="AQ464" s="67"/>
      <c r="AR464" s="67"/>
      <c r="AS464" s="67"/>
      <c r="AT464" s="68"/>
      <c r="AU464" s="49"/>
      <c r="AV464" s="50"/>
    </row>
    <row r="465" spans="1:48" ht="12.75" customHeight="1" x14ac:dyDescent="0.25">
      <c r="A465" s="72" t="s">
        <v>20</v>
      </c>
      <c r="B465" s="43" t="s">
        <v>4043</v>
      </c>
      <c r="C465" s="44" t="s">
        <v>3793</v>
      </c>
      <c r="D465" s="45">
        <f>MROUND(MID($C465,6,3)/Basis!$E$3,0.5)</f>
        <v>22</v>
      </c>
      <c r="E465" s="45">
        <f>MROUND(MID($C465,9,3)/Basis!$E$3,0.5)</f>
        <v>94.5</v>
      </c>
      <c r="F465" s="229" t="str">
        <f t="shared" si="7"/>
        <v>22</v>
      </c>
      <c r="G465" s="45">
        <f>ROUND(9/Basis!$E$3,1)</f>
        <v>3.5</v>
      </c>
      <c r="H465" s="120">
        <f>ROUND($P465*Basis!$E$2*((TaH-TrH)/LN(1/µ)/Basis!$E$7)^$N465*Glycol,0)</f>
        <v>7802</v>
      </c>
      <c r="I465" s="83">
        <f>ROUND(H465/(MID($C465,9,3)/Basis!$E$3/Basis!$E$9)*Basis!$E$11,0)</f>
        <v>991</v>
      </c>
      <c r="J465" s="123">
        <f>IF(Basis!$E$1=1,ROUND(H465/((TaH-TrH)*1.163)/3600,3),ROUND(H465/(500*(TaH-TrH)),2))</f>
        <v>0.78</v>
      </c>
      <c r="K465" s="84"/>
      <c r="L465" s="177">
        <f>CHOOSE(Basis!$E$1,((AJ465*(J465*3600/Basis!$E$5)^AK465*(((MID(C465,9,3)*10)-144)/1000)*AL465+AM465*(J465*3600/Basis!$E$5)^2)*0.0098)/Basis!$E$10,((AJ465*(J465/Basis!$E$5)^AK465*(((MID(C465,9,3)*10)-144)/1000)*AL465+AM465*(J465/Basis!$E$5)^2)*0.0098)/Basis!$E$10)</f>
        <v>0</v>
      </c>
      <c r="M465" s="85"/>
      <c r="N465" s="109">
        <v>1.349</v>
      </c>
      <c r="O465" s="68"/>
      <c r="P465" s="67">
        <v>3569</v>
      </c>
      <c r="Q465" s="68"/>
      <c r="R465" s="69"/>
      <c r="S465" s="69"/>
      <c r="T465" s="69"/>
      <c r="U465" s="69"/>
      <c r="V465" s="69"/>
      <c r="W465" s="68"/>
      <c r="X465" s="70"/>
      <c r="Y465" s="70"/>
      <c r="Z465" s="70"/>
      <c r="AA465" s="70"/>
      <c r="AB465" s="70"/>
      <c r="AC465" s="68"/>
      <c r="AD465" s="71"/>
      <c r="AE465" s="71"/>
      <c r="AF465" s="71"/>
      <c r="AG465" s="71"/>
      <c r="AH465" s="71"/>
      <c r="AI465" s="68"/>
      <c r="AJ465" s="214"/>
      <c r="AK465" s="214"/>
      <c r="AL465" s="214"/>
      <c r="AM465" s="214"/>
      <c r="AN465" s="68"/>
      <c r="AO465" s="67"/>
      <c r="AP465" s="67"/>
      <c r="AQ465" s="67"/>
      <c r="AR465" s="67"/>
      <c r="AS465" s="67"/>
      <c r="AT465" s="68"/>
      <c r="AU465" s="49"/>
      <c r="AV465" s="50"/>
    </row>
    <row r="466" spans="1:48" ht="12.75" customHeight="1" x14ac:dyDescent="0.25">
      <c r="A466" s="72" t="s">
        <v>20</v>
      </c>
      <c r="B466" s="43" t="s">
        <v>4043</v>
      </c>
      <c r="C466" s="44" t="s">
        <v>3794</v>
      </c>
      <c r="D466" s="45">
        <f>MROUND(MID($C466,6,3)/Basis!$E$3,0.5)</f>
        <v>22</v>
      </c>
      <c r="E466" s="45">
        <f>MROUND(MID($C466,9,3)/Basis!$E$3,0.5)</f>
        <v>102.5</v>
      </c>
      <c r="F466" s="229" t="str">
        <f t="shared" si="7"/>
        <v>11</v>
      </c>
      <c r="G466" s="45">
        <f>ROUND(5/Basis!$E$3,1)</f>
        <v>2</v>
      </c>
      <c r="H466" s="120">
        <f>ROUND($P466*Basis!$E$2*((TaH-TrH)/LN(1/µ)/Basis!$E$7)^$N466*Glycol,0)</f>
        <v>4995</v>
      </c>
      <c r="I466" s="83">
        <f>ROUND(H466/(MID($C466,9,3)/Basis!$E$3/Basis!$E$9)*Basis!$E$11,0)</f>
        <v>586</v>
      </c>
      <c r="J466" s="123">
        <f>IF(Basis!$E$1=1,ROUND(H466/((TaH-TrH)*1.163)/3600,3),ROUND(H466/(500*(TaH-TrH)),2))</f>
        <v>0.5</v>
      </c>
      <c r="K466" s="84"/>
      <c r="L466" s="177">
        <f>CHOOSE(Basis!$E$1,((AJ466*(J466*3600/Basis!$E$5)^AK466*(((MID(C466,9,3)*10)-144)/1000)*AL466+AM466*(J466*3600/Basis!$E$5)^2)*0.0098)/Basis!$E$10,((AJ466*(J466/Basis!$E$5)^AK466*(((MID(C466,9,3)*10)-144)/1000)*AL466+AM466*(J466/Basis!$E$5)^2)*0.0098)/Basis!$E$10)</f>
        <v>0</v>
      </c>
      <c r="M466" s="85"/>
      <c r="N466" s="110">
        <v>1.248</v>
      </c>
      <c r="O466" s="74"/>
      <c r="P466" s="73">
        <v>2210</v>
      </c>
      <c r="Q466" s="74"/>
      <c r="R466" s="75"/>
      <c r="S466" s="75"/>
      <c r="T466" s="75"/>
      <c r="U466" s="75"/>
      <c r="V466" s="75"/>
      <c r="W466" s="74"/>
      <c r="X466" s="76"/>
      <c r="Y466" s="76"/>
      <c r="Z466" s="76"/>
      <c r="AA466" s="76"/>
      <c r="AB466" s="76"/>
      <c r="AC466" s="74"/>
      <c r="AD466" s="77"/>
      <c r="AE466" s="77"/>
      <c r="AF466" s="77"/>
      <c r="AG466" s="77"/>
      <c r="AH466" s="77"/>
      <c r="AI466" s="68"/>
      <c r="AJ466" s="213"/>
      <c r="AK466" s="213"/>
      <c r="AL466" s="213"/>
      <c r="AM466" s="213"/>
      <c r="AN466" s="74"/>
      <c r="AO466" s="73"/>
      <c r="AP466" s="73"/>
      <c r="AQ466" s="73"/>
      <c r="AR466" s="73"/>
      <c r="AS466" s="73"/>
      <c r="AT466" s="74"/>
      <c r="AU466" s="47"/>
      <c r="AV466" s="48"/>
    </row>
    <row r="467" spans="1:48" ht="12.75" customHeight="1" x14ac:dyDescent="0.25">
      <c r="A467" s="72" t="s">
        <v>20</v>
      </c>
      <c r="B467" s="43" t="s">
        <v>4043</v>
      </c>
      <c r="C467" s="44" t="s">
        <v>3795</v>
      </c>
      <c r="D467" s="45">
        <f>MROUND(MID($C467,6,3)/Basis!$E$3,0.5)</f>
        <v>22</v>
      </c>
      <c r="E467" s="45">
        <f>MROUND(MID($C467,9,3)/Basis!$E$3,0.5)</f>
        <v>102.5</v>
      </c>
      <c r="F467" s="229" t="str">
        <f t="shared" si="7"/>
        <v>22</v>
      </c>
      <c r="G467" s="45">
        <f>ROUND(9/Basis!$E$3,1)</f>
        <v>3.5</v>
      </c>
      <c r="H467" s="120">
        <f>ROUND($P467*Basis!$E$2*((TaH-TrH)/LN(1/µ)/Basis!$E$7)^$N467*Glycol,0)</f>
        <v>8451</v>
      </c>
      <c r="I467" s="83">
        <f>ROUND(H467/(MID($C467,9,3)/Basis!$E$3/Basis!$E$9)*Basis!$E$11,0)</f>
        <v>991</v>
      </c>
      <c r="J467" s="123">
        <f>IF(Basis!$E$1=1,ROUND(H467/((TaH-TrH)*1.163)/3600,3),ROUND(H467/(500*(TaH-TrH)),2))</f>
        <v>0.85</v>
      </c>
      <c r="K467" s="84"/>
      <c r="L467" s="177">
        <f>CHOOSE(Basis!$E$1,((AJ467*(J467*3600/Basis!$E$5)^AK467*(((MID(C467,9,3)*10)-144)/1000)*AL467+AM467*(J467*3600/Basis!$E$5)^2)*0.0098)/Basis!$E$10,((AJ467*(J467/Basis!$E$5)^AK467*(((MID(C467,9,3)*10)-144)/1000)*AL467+AM467*(J467/Basis!$E$5)^2)*0.0098)/Basis!$E$10)</f>
        <v>0</v>
      </c>
      <c r="M467" s="85"/>
      <c r="N467" s="110">
        <v>1.349</v>
      </c>
      <c r="O467" s="74"/>
      <c r="P467" s="73">
        <v>3866</v>
      </c>
      <c r="Q467" s="74"/>
      <c r="R467" s="75"/>
      <c r="S467" s="75"/>
      <c r="T467" s="75"/>
      <c r="U467" s="75"/>
      <c r="V467" s="75"/>
      <c r="W467" s="74"/>
      <c r="X467" s="76"/>
      <c r="Y467" s="76"/>
      <c r="Z467" s="76"/>
      <c r="AA467" s="76"/>
      <c r="AB467" s="76"/>
      <c r="AC467" s="74"/>
      <c r="AD467" s="77"/>
      <c r="AE467" s="77"/>
      <c r="AF467" s="77"/>
      <c r="AG467" s="77"/>
      <c r="AH467" s="77"/>
      <c r="AI467" s="68"/>
      <c r="AJ467" s="213"/>
      <c r="AK467" s="213"/>
      <c r="AL467" s="213"/>
      <c r="AM467" s="213"/>
      <c r="AN467" s="74"/>
      <c r="AO467" s="73"/>
      <c r="AP467" s="73"/>
      <c r="AQ467" s="73"/>
      <c r="AR467" s="73"/>
      <c r="AS467" s="73"/>
      <c r="AT467" s="74"/>
      <c r="AU467" s="47"/>
      <c r="AV467" s="48"/>
    </row>
    <row r="468" spans="1:48" ht="12.75" customHeight="1" x14ac:dyDescent="0.25">
      <c r="A468" s="72" t="s">
        <v>20</v>
      </c>
      <c r="B468" s="43" t="s">
        <v>4043</v>
      </c>
      <c r="C468" s="44" t="s">
        <v>3796</v>
      </c>
      <c r="D468" s="45">
        <f>MROUND(MID($C468,6,3)/Basis!$E$3,0.5)</f>
        <v>22</v>
      </c>
      <c r="E468" s="45">
        <f>MROUND(MID($C468,9,3)/Basis!$E$3,0.5)</f>
        <v>110</v>
      </c>
      <c r="F468" s="229" t="str">
        <f t="shared" si="7"/>
        <v>11</v>
      </c>
      <c r="G468" s="45">
        <f>ROUND(5/Basis!$E$3,1)</f>
        <v>2</v>
      </c>
      <c r="H468" s="120">
        <f>ROUND($P468*Basis!$E$2*((TaH-TrH)/LN(1/µ)/Basis!$E$7)^$N468*Glycol,0)</f>
        <v>5379</v>
      </c>
      <c r="I468" s="83">
        <f>ROUND(H468/(MID($C468,9,3)/Basis!$E$3/Basis!$E$9)*Basis!$E$11,0)</f>
        <v>586</v>
      </c>
      <c r="J468" s="123">
        <f>IF(Basis!$E$1=1,ROUND(H468/((TaH-TrH)*1.163)/3600,3),ROUND(H468/(500*(TaH-TrH)),2))</f>
        <v>0.54</v>
      </c>
      <c r="K468" s="84"/>
      <c r="L468" s="177">
        <f>CHOOSE(Basis!$E$1,((AJ468*(J468*3600/Basis!$E$5)^AK468*(((MID(C468,9,3)*10)-144)/1000)*AL468+AM468*(J468*3600/Basis!$E$5)^2)*0.0098)/Basis!$E$10,((AJ468*(J468/Basis!$E$5)^AK468*(((MID(C468,9,3)*10)-144)/1000)*AL468+AM468*(J468/Basis!$E$5)^2)*0.0098)/Basis!$E$10)</f>
        <v>0</v>
      </c>
      <c r="M468" s="85"/>
      <c r="N468" s="109">
        <v>1.248</v>
      </c>
      <c r="O468" s="68"/>
      <c r="P468" s="67">
        <v>2380</v>
      </c>
      <c r="Q468" s="68"/>
      <c r="R468" s="69"/>
      <c r="S468" s="69"/>
      <c r="T468" s="69"/>
      <c r="U468" s="69"/>
      <c r="V468" s="69"/>
      <c r="W468" s="68"/>
      <c r="X468" s="70"/>
      <c r="Y468" s="70"/>
      <c r="Z468" s="70"/>
      <c r="AA468" s="70"/>
      <c r="AB468" s="70"/>
      <c r="AC468" s="68"/>
      <c r="AD468" s="71"/>
      <c r="AE468" s="71"/>
      <c r="AF468" s="71"/>
      <c r="AG468" s="71"/>
      <c r="AH468" s="71"/>
      <c r="AI468" s="68"/>
      <c r="AJ468" s="214"/>
      <c r="AK468" s="214"/>
      <c r="AL468" s="214"/>
      <c r="AM468" s="214"/>
      <c r="AN468" s="68"/>
      <c r="AO468" s="67"/>
      <c r="AP468" s="67"/>
      <c r="AQ468" s="67"/>
      <c r="AR468" s="67"/>
      <c r="AS468" s="67"/>
      <c r="AT468" s="68"/>
      <c r="AU468" s="49"/>
      <c r="AV468" s="50"/>
    </row>
    <row r="469" spans="1:48" ht="12.75" customHeight="1" x14ac:dyDescent="0.25">
      <c r="A469" s="72" t="s">
        <v>20</v>
      </c>
      <c r="B469" s="43" t="s">
        <v>4043</v>
      </c>
      <c r="C469" s="44" t="s">
        <v>3797</v>
      </c>
      <c r="D469" s="45">
        <f>MROUND(MID($C469,6,3)/Basis!$E$3,0.5)</f>
        <v>22</v>
      </c>
      <c r="E469" s="45">
        <f>MROUND(MID($C469,9,3)/Basis!$E$3,0.5)</f>
        <v>110</v>
      </c>
      <c r="F469" s="229" t="str">
        <f t="shared" si="7"/>
        <v>22</v>
      </c>
      <c r="G469" s="45">
        <f>ROUND(9/Basis!$E$3,1)</f>
        <v>3.5</v>
      </c>
      <c r="H469" s="120">
        <f>ROUND($P469*Basis!$E$2*((TaH-TrH)/LN(1/µ)/Basis!$E$7)^$N469*Glycol,0)</f>
        <v>9101</v>
      </c>
      <c r="I469" s="83">
        <f>ROUND(H469/(MID($C469,9,3)/Basis!$E$3/Basis!$E$9)*Basis!$E$11,0)</f>
        <v>991</v>
      </c>
      <c r="J469" s="123">
        <f>IF(Basis!$E$1=1,ROUND(H469/((TaH-TrH)*1.163)/3600,3),ROUND(H469/(500*(TaH-TrH)),2))</f>
        <v>0.91</v>
      </c>
      <c r="K469" s="84"/>
      <c r="L469" s="177">
        <f>CHOOSE(Basis!$E$1,((AJ469*(J469*3600/Basis!$E$5)^AK469*(((MID(C469,9,3)*10)-144)/1000)*AL469+AM469*(J469*3600/Basis!$E$5)^2)*0.0098)/Basis!$E$10,((AJ469*(J469/Basis!$E$5)^AK469*(((MID(C469,9,3)*10)-144)/1000)*AL469+AM469*(J469/Basis!$E$5)^2)*0.0098)/Basis!$E$10)</f>
        <v>0</v>
      </c>
      <c r="M469" s="85"/>
      <c r="N469" s="109">
        <v>1.349</v>
      </c>
      <c r="O469" s="68"/>
      <c r="P469" s="67">
        <v>4163</v>
      </c>
      <c r="Q469" s="68"/>
      <c r="R469" s="69"/>
      <c r="S469" s="69"/>
      <c r="T469" s="69"/>
      <c r="U469" s="69"/>
      <c r="V469" s="69"/>
      <c r="W469" s="68"/>
      <c r="X469" s="70"/>
      <c r="Y469" s="70"/>
      <c r="Z469" s="70"/>
      <c r="AA469" s="70"/>
      <c r="AB469" s="70"/>
      <c r="AC469" s="68"/>
      <c r="AD469" s="71"/>
      <c r="AE469" s="71"/>
      <c r="AF469" s="71"/>
      <c r="AG469" s="71"/>
      <c r="AH469" s="71"/>
      <c r="AI469" s="68"/>
      <c r="AJ469" s="214"/>
      <c r="AK469" s="214"/>
      <c r="AL469" s="214"/>
      <c r="AM469" s="214"/>
      <c r="AN469" s="68"/>
      <c r="AO469" s="67"/>
      <c r="AP469" s="67"/>
      <c r="AQ469" s="67"/>
      <c r="AR469" s="67"/>
      <c r="AS469" s="67"/>
      <c r="AT469" s="68"/>
      <c r="AU469" s="49"/>
      <c r="AV469" s="50"/>
    </row>
    <row r="470" spans="1:48" ht="12.75" customHeight="1" x14ac:dyDescent="0.25">
      <c r="A470" s="72" t="s">
        <v>20</v>
      </c>
      <c r="B470" s="43" t="s">
        <v>4043</v>
      </c>
      <c r="C470" s="44" t="s">
        <v>3798</v>
      </c>
      <c r="D470" s="45">
        <f>MROUND(MID($C470,6,3)/Basis!$E$3,0.5)</f>
        <v>22</v>
      </c>
      <c r="E470" s="45">
        <f>MROUND(MID($C470,9,3)/Basis!$E$3,0.5)</f>
        <v>118</v>
      </c>
      <c r="F470" s="229" t="str">
        <f t="shared" si="7"/>
        <v>11</v>
      </c>
      <c r="G470" s="45">
        <f>ROUND(5/Basis!$E$3,1)</f>
        <v>2</v>
      </c>
      <c r="H470" s="120">
        <f>ROUND($P470*Basis!$E$2*((TaH-TrH)/LN(1/µ)/Basis!$E$7)^$N470*Glycol,0)</f>
        <v>5761</v>
      </c>
      <c r="I470" s="83">
        <f>ROUND(H470/(MID($C470,9,3)/Basis!$E$3/Basis!$E$9)*Basis!$E$11,0)</f>
        <v>585</v>
      </c>
      <c r="J470" s="123">
        <f>IF(Basis!$E$1=1,ROUND(H470/((TaH-TrH)*1.163)/3600,3),ROUND(H470/(500*(TaH-TrH)),2))</f>
        <v>0.57999999999999996</v>
      </c>
      <c r="K470" s="84"/>
      <c r="L470" s="177">
        <f>CHOOSE(Basis!$E$1,((AJ470*(J470*3600/Basis!$E$5)^AK470*(((MID(C470,9,3)*10)-144)/1000)*AL470+AM470*(J470*3600/Basis!$E$5)^2)*0.0098)/Basis!$E$10,((AJ470*(J470/Basis!$E$5)^AK470*(((MID(C470,9,3)*10)-144)/1000)*AL470+AM470*(J470/Basis!$E$5)^2)*0.0098)/Basis!$E$10)</f>
        <v>0</v>
      </c>
      <c r="M470" s="85"/>
      <c r="N470" s="110">
        <v>1.248</v>
      </c>
      <c r="O470" s="74"/>
      <c r="P470" s="73">
        <v>2549</v>
      </c>
      <c r="Q470" s="74"/>
      <c r="R470" s="75"/>
      <c r="S470" s="75"/>
      <c r="T470" s="75"/>
      <c r="U470" s="75"/>
      <c r="V470" s="75"/>
      <c r="W470" s="74"/>
      <c r="X470" s="76"/>
      <c r="Y470" s="76"/>
      <c r="Z470" s="76"/>
      <c r="AA470" s="76"/>
      <c r="AB470" s="76"/>
      <c r="AC470" s="74"/>
      <c r="AD470" s="77"/>
      <c r="AE470" s="77"/>
      <c r="AF470" s="77"/>
      <c r="AG470" s="77"/>
      <c r="AH470" s="77"/>
      <c r="AI470" s="68"/>
      <c r="AJ470" s="213"/>
      <c r="AK470" s="213"/>
      <c r="AL470" s="213"/>
      <c r="AM470" s="213"/>
      <c r="AN470" s="74"/>
      <c r="AO470" s="73"/>
      <c r="AP470" s="73"/>
      <c r="AQ470" s="73"/>
      <c r="AR470" s="73"/>
      <c r="AS470" s="73"/>
      <c r="AT470" s="74"/>
      <c r="AU470" s="47"/>
      <c r="AV470" s="48"/>
    </row>
    <row r="471" spans="1:48" ht="12.75" customHeight="1" x14ac:dyDescent="0.25">
      <c r="A471" s="72" t="s">
        <v>20</v>
      </c>
      <c r="B471" s="43" t="s">
        <v>4043</v>
      </c>
      <c r="C471" s="44" t="s">
        <v>3799</v>
      </c>
      <c r="D471" s="45">
        <f>MROUND(MID($C471,6,3)/Basis!$E$3,0.5)</f>
        <v>22</v>
      </c>
      <c r="E471" s="45">
        <f>MROUND(MID($C471,9,3)/Basis!$E$3,0.5)</f>
        <v>118</v>
      </c>
      <c r="F471" s="229" t="str">
        <f t="shared" si="7"/>
        <v>22</v>
      </c>
      <c r="G471" s="45">
        <f>ROUND(9/Basis!$E$3,1)</f>
        <v>3.5</v>
      </c>
      <c r="H471" s="120">
        <f>ROUND($P471*Basis!$E$2*((TaH-TrH)/LN(1/µ)/Basis!$E$7)^$N471*Glycol,0)</f>
        <v>9752</v>
      </c>
      <c r="I471" s="83">
        <f>ROUND(H471/(MID($C471,9,3)/Basis!$E$3/Basis!$E$9)*Basis!$E$11,0)</f>
        <v>991</v>
      </c>
      <c r="J471" s="123">
        <f>IF(Basis!$E$1=1,ROUND(H471/((TaH-TrH)*1.163)/3600,3),ROUND(H471/(500*(TaH-TrH)),2))</f>
        <v>0.98</v>
      </c>
      <c r="K471" s="84"/>
      <c r="L471" s="177">
        <f>CHOOSE(Basis!$E$1,((AJ471*(J471*3600/Basis!$E$5)^AK471*(((MID(C471,9,3)*10)-144)/1000)*AL471+AM471*(J471*3600/Basis!$E$5)^2)*0.0098)/Basis!$E$10,((AJ471*(J471/Basis!$E$5)^AK471*(((MID(C471,9,3)*10)-144)/1000)*AL471+AM471*(J471/Basis!$E$5)^2)*0.0098)/Basis!$E$10)</f>
        <v>0</v>
      </c>
      <c r="M471" s="85"/>
      <c r="N471" s="110">
        <v>1.349</v>
      </c>
      <c r="O471" s="74"/>
      <c r="P471" s="73">
        <v>4461</v>
      </c>
      <c r="Q471" s="74"/>
      <c r="R471" s="75"/>
      <c r="S471" s="75"/>
      <c r="T471" s="75"/>
      <c r="U471" s="75"/>
      <c r="V471" s="75"/>
      <c r="W471" s="74"/>
      <c r="X471" s="76"/>
      <c r="Y471" s="76"/>
      <c r="Z471" s="76"/>
      <c r="AA471" s="76"/>
      <c r="AB471" s="76"/>
      <c r="AC471" s="74"/>
      <c r="AD471" s="77"/>
      <c r="AE471" s="77"/>
      <c r="AF471" s="77"/>
      <c r="AG471" s="77"/>
      <c r="AH471" s="77"/>
      <c r="AI471" s="68"/>
      <c r="AJ471" s="213"/>
      <c r="AK471" s="213"/>
      <c r="AL471" s="213"/>
      <c r="AM471" s="213"/>
      <c r="AN471" s="74"/>
      <c r="AO471" s="73"/>
      <c r="AP471" s="73"/>
      <c r="AQ471" s="73"/>
      <c r="AR471" s="73"/>
      <c r="AS471" s="73"/>
      <c r="AT471" s="74"/>
      <c r="AU471" s="47"/>
      <c r="AV471" s="48"/>
    </row>
    <row r="472" spans="1:48" ht="12.75" customHeight="1" x14ac:dyDescent="0.25">
      <c r="A472" s="72" t="s">
        <v>20</v>
      </c>
      <c r="B472" s="43" t="s">
        <v>4043</v>
      </c>
      <c r="C472" s="44" t="s">
        <v>3800</v>
      </c>
      <c r="D472" s="45">
        <f>MROUND(MID($C472,6,3)/Basis!$E$3,0.5)</f>
        <v>24.5</v>
      </c>
      <c r="E472" s="45">
        <f>MROUND(MID($C472,9,3)/Basis!$E$3,0.5)</f>
        <v>23.5</v>
      </c>
      <c r="F472" s="229" t="str">
        <f t="shared" si="7"/>
        <v>11</v>
      </c>
      <c r="G472" s="45">
        <f>ROUND(5/Basis!$E$3,1)</f>
        <v>2</v>
      </c>
      <c r="H472" s="120">
        <f>ROUND($P472*Basis!$E$2*((TaH-TrH)/LN(1/µ)/Basis!$E$7)^$N472*Glycol,0)</f>
        <v>1245</v>
      </c>
      <c r="I472" s="83">
        <f>ROUND(H472/(MID($C472,9,3)/Basis!$E$3/Basis!$E$9)*Basis!$E$11,0)</f>
        <v>632</v>
      </c>
      <c r="J472" s="123">
        <f>IF(Basis!$E$1=1,ROUND(H472/((TaH-TrH)*1.163)/3600,3),ROUND(H472/(500*(TaH-TrH)),2))</f>
        <v>0.12</v>
      </c>
      <c r="K472" s="84"/>
      <c r="L472" s="177">
        <f>CHOOSE(Basis!$E$1,((AJ472*(J472*3600/Basis!$E$5)^AK472*(((MID(C472,9,3)*10)-144)/1000)*AL472+AM472*(J472*3600/Basis!$E$5)^2)*0.0098)/Basis!$E$10,((AJ472*(J472/Basis!$E$5)^AK472*(((MID(C472,9,3)*10)-144)/1000)*AL472+AM472*(J472/Basis!$E$5)^2)*0.0098)/Basis!$E$10)</f>
        <v>0</v>
      </c>
      <c r="M472" s="85"/>
      <c r="N472" s="109">
        <v>1.248</v>
      </c>
      <c r="O472" s="68"/>
      <c r="P472" s="67">
        <v>551</v>
      </c>
      <c r="Q472" s="68"/>
      <c r="R472" s="69"/>
      <c r="S472" s="69"/>
      <c r="T472" s="69"/>
      <c r="U472" s="69"/>
      <c r="V472" s="69"/>
      <c r="W472" s="68"/>
      <c r="X472" s="70"/>
      <c r="Y472" s="70"/>
      <c r="Z472" s="70"/>
      <c r="AA472" s="70"/>
      <c r="AB472" s="70"/>
      <c r="AC472" s="68"/>
      <c r="AD472" s="71"/>
      <c r="AE472" s="71"/>
      <c r="AF472" s="71"/>
      <c r="AG472" s="71"/>
      <c r="AH472" s="71"/>
      <c r="AI472" s="68"/>
      <c r="AJ472" s="214"/>
      <c r="AK472" s="214"/>
      <c r="AL472" s="214"/>
      <c r="AM472" s="214"/>
      <c r="AN472" s="68"/>
      <c r="AO472" s="67"/>
      <c r="AP472" s="67"/>
      <c r="AQ472" s="67"/>
      <c r="AR472" s="67"/>
      <c r="AS472" s="67"/>
      <c r="AT472" s="68"/>
      <c r="AU472" s="49"/>
      <c r="AV472" s="50"/>
    </row>
    <row r="473" spans="1:48" ht="12.75" customHeight="1" x14ac:dyDescent="0.25">
      <c r="A473" s="72" t="s">
        <v>20</v>
      </c>
      <c r="B473" s="43" t="s">
        <v>4043</v>
      </c>
      <c r="C473" s="44" t="s">
        <v>3801</v>
      </c>
      <c r="D473" s="45">
        <f>MROUND(MID($C473,6,3)/Basis!$E$3,0.5)</f>
        <v>24.5</v>
      </c>
      <c r="E473" s="45">
        <f>MROUND(MID($C473,9,3)/Basis!$E$3,0.5)</f>
        <v>23.5</v>
      </c>
      <c r="F473" s="229" t="str">
        <f t="shared" si="7"/>
        <v>22</v>
      </c>
      <c r="G473" s="45">
        <f>ROUND(9/Basis!$E$3,1)</f>
        <v>3.5</v>
      </c>
      <c r="H473" s="120">
        <f>ROUND($P473*Basis!$E$2*((TaH-TrH)/LN(1/µ)/Basis!$E$7)^$N473*Glycol,0)</f>
        <v>2101</v>
      </c>
      <c r="I473" s="83">
        <f>ROUND(H473/(MID($C473,9,3)/Basis!$E$3/Basis!$E$9)*Basis!$E$11,0)</f>
        <v>1067</v>
      </c>
      <c r="J473" s="123">
        <f>IF(Basis!$E$1=1,ROUND(H473/((TaH-TrH)*1.163)/3600,3),ROUND(H473/(500*(TaH-TrH)),2))</f>
        <v>0.21</v>
      </c>
      <c r="K473" s="84"/>
      <c r="L473" s="177">
        <f>CHOOSE(Basis!$E$1,((AJ473*(J473*3600/Basis!$E$5)^AK473*(((MID(C473,9,3)*10)-144)/1000)*AL473+AM473*(J473*3600/Basis!$E$5)^2)*0.0098)/Basis!$E$10,((AJ473*(J473/Basis!$E$5)^AK473*(((MID(C473,9,3)*10)-144)/1000)*AL473+AM473*(J473/Basis!$E$5)^2)*0.0098)/Basis!$E$10)</f>
        <v>0</v>
      </c>
      <c r="M473" s="85"/>
      <c r="N473" s="109">
        <v>1.349</v>
      </c>
      <c r="O473" s="68"/>
      <c r="P473" s="67">
        <v>961</v>
      </c>
      <c r="Q473" s="68"/>
      <c r="R473" s="69"/>
      <c r="S473" s="69"/>
      <c r="T473" s="69"/>
      <c r="U473" s="69"/>
      <c r="V473" s="69"/>
      <c r="W473" s="68"/>
      <c r="X473" s="70"/>
      <c r="Y473" s="70"/>
      <c r="Z473" s="70"/>
      <c r="AA473" s="70"/>
      <c r="AB473" s="70"/>
      <c r="AC473" s="68"/>
      <c r="AD473" s="71"/>
      <c r="AE473" s="71"/>
      <c r="AF473" s="71"/>
      <c r="AG473" s="71"/>
      <c r="AH473" s="71"/>
      <c r="AI473" s="68"/>
      <c r="AJ473" s="214"/>
      <c r="AK473" s="214"/>
      <c r="AL473" s="214"/>
      <c r="AM473" s="214"/>
      <c r="AN473" s="68"/>
      <c r="AO473" s="67"/>
      <c r="AP473" s="67"/>
      <c r="AQ473" s="67"/>
      <c r="AR473" s="67"/>
      <c r="AS473" s="67"/>
      <c r="AT473" s="68"/>
      <c r="AU473" s="49"/>
      <c r="AV473" s="50"/>
    </row>
    <row r="474" spans="1:48" ht="12.75" customHeight="1" x14ac:dyDescent="0.25">
      <c r="A474" s="72" t="s">
        <v>20</v>
      </c>
      <c r="B474" s="43" t="s">
        <v>4043</v>
      </c>
      <c r="C474" s="44" t="s">
        <v>3802</v>
      </c>
      <c r="D474" s="45">
        <f>MROUND(MID($C474,6,3)/Basis!$E$3,0.5)</f>
        <v>24.5</v>
      </c>
      <c r="E474" s="45">
        <f>MROUND(MID($C474,9,3)/Basis!$E$3,0.5)</f>
        <v>31.5</v>
      </c>
      <c r="F474" s="229" t="str">
        <f t="shared" si="7"/>
        <v>11</v>
      </c>
      <c r="G474" s="45">
        <f>ROUND(5/Basis!$E$3,1)</f>
        <v>2</v>
      </c>
      <c r="H474" s="120">
        <f>ROUND($P474*Basis!$E$2*((TaH-TrH)/LN(1/µ)/Basis!$E$7)^$N474*Glycol,0)</f>
        <v>1661</v>
      </c>
      <c r="I474" s="83">
        <f>ROUND(H474/(MID($C474,9,3)/Basis!$E$3/Basis!$E$9)*Basis!$E$11,0)</f>
        <v>633</v>
      </c>
      <c r="J474" s="123">
        <f>IF(Basis!$E$1=1,ROUND(H474/((TaH-TrH)*1.163)/3600,3),ROUND(H474/(500*(TaH-TrH)),2))</f>
        <v>0.17</v>
      </c>
      <c r="K474" s="84"/>
      <c r="L474" s="177">
        <f>CHOOSE(Basis!$E$1,((AJ474*(J474*3600/Basis!$E$5)^AK474*(((MID(C474,9,3)*10)-144)/1000)*AL474+AM474*(J474*3600/Basis!$E$5)^2)*0.0098)/Basis!$E$10,((AJ474*(J474/Basis!$E$5)^AK474*(((MID(C474,9,3)*10)-144)/1000)*AL474+AM474*(J474/Basis!$E$5)^2)*0.0098)/Basis!$E$10)</f>
        <v>0</v>
      </c>
      <c r="M474" s="85"/>
      <c r="N474" s="110">
        <v>1.248</v>
      </c>
      <c r="O474" s="74"/>
      <c r="P474" s="73">
        <v>735</v>
      </c>
      <c r="Q474" s="74"/>
      <c r="R474" s="75"/>
      <c r="S474" s="75"/>
      <c r="T474" s="75"/>
      <c r="U474" s="75"/>
      <c r="V474" s="75"/>
      <c r="W474" s="74"/>
      <c r="X474" s="76"/>
      <c r="Y474" s="76"/>
      <c r="Z474" s="76"/>
      <c r="AA474" s="76"/>
      <c r="AB474" s="76"/>
      <c r="AC474" s="74"/>
      <c r="AD474" s="77"/>
      <c r="AE474" s="77"/>
      <c r="AF474" s="77"/>
      <c r="AG474" s="77"/>
      <c r="AH474" s="77"/>
      <c r="AI474" s="68"/>
      <c r="AJ474" s="213"/>
      <c r="AK474" s="213"/>
      <c r="AL474" s="213"/>
      <c r="AM474" s="213"/>
      <c r="AN474" s="74"/>
      <c r="AO474" s="73"/>
      <c r="AP474" s="73"/>
      <c r="AQ474" s="73"/>
      <c r="AR474" s="73"/>
      <c r="AS474" s="73"/>
      <c r="AT474" s="74"/>
      <c r="AU474" s="47"/>
      <c r="AV474" s="48"/>
    </row>
    <row r="475" spans="1:48" ht="12.75" customHeight="1" x14ac:dyDescent="0.25">
      <c r="A475" s="72" t="s">
        <v>20</v>
      </c>
      <c r="B475" s="43" t="s">
        <v>4043</v>
      </c>
      <c r="C475" s="44" t="s">
        <v>3803</v>
      </c>
      <c r="D475" s="45">
        <f>MROUND(MID($C475,6,3)/Basis!$E$3,0.5)</f>
        <v>24.5</v>
      </c>
      <c r="E475" s="45">
        <f>MROUND(MID($C475,9,3)/Basis!$E$3,0.5)</f>
        <v>31.5</v>
      </c>
      <c r="F475" s="229" t="str">
        <f t="shared" si="7"/>
        <v>22</v>
      </c>
      <c r="G475" s="45">
        <f>ROUND(9/Basis!$E$3,1)</f>
        <v>3.5</v>
      </c>
      <c r="H475" s="120">
        <f>ROUND($P475*Basis!$E$2*((TaH-TrH)/LN(1/µ)/Basis!$E$7)^$N475*Glycol,0)</f>
        <v>2800</v>
      </c>
      <c r="I475" s="83">
        <f>ROUND(H475/(MID($C475,9,3)/Basis!$E$3/Basis!$E$9)*Basis!$E$11,0)</f>
        <v>1067</v>
      </c>
      <c r="J475" s="123">
        <f>IF(Basis!$E$1=1,ROUND(H475/((TaH-TrH)*1.163)/3600,3),ROUND(H475/(500*(TaH-TrH)),2))</f>
        <v>0.28000000000000003</v>
      </c>
      <c r="K475" s="84"/>
      <c r="L475" s="177">
        <f>CHOOSE(Basis!$E$1,((AJ475*(J475*3600/Basis!$E$5)^AK475*(((MID(C475,9,3)*10)-144)/1000)*AL475+AM475*(J475*3600/Basis!$E$5)^2)*0.0098)/Basis!$E$10,((AJ475*(J475/Basis!$E$5)^AK475*(((MID(C475,9,3)*10)-144)/1000)*AL475+AM475*(J475/Basis!$E$5)^2)*0.0098)/Basis!$E$10)</f>
        <v>0</v>
      </c>
      <c r="M475" s="85"/>
      <c r="N475" s="110">
        <v>1.349</v>
      </c>
      <c r="O475" s="74"/>
      <c r="P475" s="73">
        <v>1281</v>
      </c>
      <c r="Q475" s="74"/>
      <c r="R475" s="75"/>
      <c r="S475" s="75"/>
      <c r="T475" s="75"/>
      <c r="U475" s="75"/>
      <c r="V475" s="75"/>
      <c r="W475" s="74"/>
      <c r="X475" s="76"/>
      <c r="Y475" s="76"/>
      <c r="Z475" s="76"/>
      <c r="AA475" s="76"/>
      <c r="AB475" s="76"/>
      <c r="AC475" s="74"/>
      <c r="AD475" s="77"/>
      <c r="AE475" s="77"/>
      <c r="AF475" s="77"/>
      <c r="AG475" s="77"/>
      <c r="AH475" s="77"/>
      <c r="AI475" s="68"/>
      <c r="AJ475" s="213"/>
      <c r="AK475" s="213"/>
      <c r="AL475" s="213"/>
      <c r="AM475" s="213"/>
      <c r="AN475" s="74"/>
      <c r="AO475" s="73"/>
      <c r="AP475" s="73"/>
      <c r="AQ475" s="73"/>
      <c r="AR475" s="73"/>
      <c r="AS475" s="73"/>
      <c r="AT475" s="74"/>
      <c r="AU475" s="47"/>
      <c r="AV475" s="48"/>
    </row>
    <row r="476" spans="1:48" ht="12.75" customHeight="1" x14ac:dyDescent="0.25">
      <c r="A476" s="72" t="s">
        <v>20</v>
      </c>
      <c r="B476" s="43" t="s">
        <v>4043</v>
      </c>
      <c r="C476" s="44" t="s">
        <v>3804</v>
      </c>
      <c r="D476" s="45">
        <f>MROUND(MID($C476,6,3)/Basis!$E$3,0.5)</f>
        <v>24.5</v>
      </c>
      <c r="E476" s="45">
        <f>MROUND(MID($C476,9,3)/Basis!$E$3,0.5)</f>
        <v>39.5</v>
      </c>
      <c r="F476" s="229" t="str">
        <f t="shared" si="7"/>
        <v>11</v>
      </c>
      <c r="G476" s="45">
        <f>ROUND(5/Basis!$E$3,1)</f>
        <v>2</v>
      </c>
      <c r="H476" s="120">
        <f>ROUND($P476*Basis!$E$2*((TaH-TrH)/LN(1/µ)/Basis!$E$7)^$N476*Glycol,0)</f>
        <v>2077</v>
      </c>
      <c r="I476" s="83">
        <f>ROUND(H476/(MID($C476,9,3)/Basis!$E$3/Basis!$E$9)*Basis!$E$11,0)</f>
        <v>633</v>
      </c>
      <c r="J476" s="123">
        <f>IF(Basis!$E$1=1,ROUND(H476/((TaH-TrH)*1.163)/3600,3),ROUND(H476/(500*(TaH-TrH)),2))</f>
        <v>0.21</v>
      </c>
      <c r="K476" s="84"/>
      <c r="L476" s="177">
        <f>CHOOSE(Basis!$E$1,((AJ476*(J476*3600/Basis!$E$5)^AK476*(((MID(C476,9,3)*10)-144)/1000)*AL476+AM476*(J476*3600/Basis!$E$5)^2)*0.0098)/Basis!$E$10,((AJ476*(J476/Basis!$E$5)^AK476*(((MID(C476,9,3)*10)-144)/1000)*AL476+AM476*(J476/Basis!$E$5)^2)*0.0098)/Basis!$E$10)</f>
        <v>0</v>
      </c>
      <c r="M476" s="85"/>
      <c r="N476" s="109">
        <v>1.248</v>
      </c>
      <c r="O476" s="68"/>
      <c r="P476" s="67">
        <v>919</v>
      </c>
      <c r="Q476" s="68"/>
      <c r="R476" s="69"/>
      <c r="S476" s="69"/>
      <c r="T476" s="69"/>
      <c r="U476" s="69"/>
      <c r="V476" s="69"/>
      <c r="W476" s="68"/>
      <c r="X476" s="70"/>
      <c r="Y476" s="70"/>
      <c r="Z476" s="70"/>
      <c r="AA476" s="70"/>
      <c r="AB476" s="70"/>
      <c r="AC476" s="68"/>
      <c r="AD476" s="71"/>
      <c r="AE476" s="71"/>
      <c r="AF476" s="71"/>
      <c r="AG476" s="71"/>
      <c r="AH476" s="71"/>
      <c r="AI476" s="68"/>
      <c r="AJ476" s="214"/>
      <c r="AK476" s="214"/>
      <c r="AL476" s="214"/>
      <c r="AM476" s="214"/>
      <c r="AN476" s="68"/>
      <c r="AO476" s="67"/>
      <c r="AP476" s="67"/>
      <c r="AQ476" s="67"/>
      <c r="AR476" s="67"/>
      <c r="AS476" s="67"/>
      <c r="AT476" s="68"/>
      <c r="AU476" s="49"/>
      <c r="AV476" s="50"/>
    </row>
    <row r="477" spans="1:48" ht="12.75" customHeight="1" x14ac:dyDescent="0.25">
      <c r="A477" s="72" t="s">
        <v>20</v>
      </c>
      <c r="B477" s="43" t="s">
        <v>4043</v>
      </c>
      <c r="C477" s="44" t="s">
        <v>3805</v>
      </c>
      <c r="D477" s="45">
        <f>MROUND(MID($C477,6,3)/Basis!$E$3,0.5)</f>
        <v>24.5</v>
      </c>
      <c r="E477" s="45">
        <f>MROUND(MID($C477,9,3)/Basis!$E$3,0.5)</f>
        <v>39.5</v>
      </c>
      <c r="F477" s="229" t="str">
        <f t="shared" si="7"/>
        <v>22</v>
      </c>
      <c r="G477" s="45">
        <f>ROUND(9/Basis!$E$3,1)</f>
        <v>3.5</v>
      </c>
      <c r="H477" s="120">
        <f>ROUND($P477*Basis!$E$2*((TaH-TrH)/LN(1/µ)/Basis!$E$7)^$N477*Glycol,0)</f>
        <v>3500</v>
      </c>
      <c r="I477" s="83">
        <f>ROUND(H477/(MID($C477,9,3)/Basis!$E$3/Basis!$E$9)*Basis!$E$11,0)</f>
        <v>1067</v>
      </c>
      <c r="J477" s="123">
        <f>IF(Basis!$E$1=1,ROUND(H477/((TaH-TrH)*1.163)/3600,3),ROUND(H477/(500*(TaH-TrH)),2))</f>
        <v>0.35</v>
      </c>
      <c r="K477" s="84"/>
      <c r="L477" s="177">
        <f>CHOOSE(Basis!$E$1,((AJ477*(J477*3600/Basis!$E$5)^AK477*(((MID(C477,9,3)*10)-144)/1000)*AL477+AM477*(J477*3600/Basis!$E$5)^2)*0.0098)/Basis!$E$10,((AJ477*(J477/Basis!$E$5)^AK477*(((MID(C477,9,3)*10)-144)/1000)*AL477+AM477*(J477/Basis!$E$5)^2)*0.0098)/Basis!$E$10)</f>
        <v>0</v>
      </c>
      <c r="M477" s="85"/>
      <c r="N477" s="109">
        <v>1.349</v>
      </c>
      <c r="O477" s="68"/>
      <c r="P477" s="67">
        <v>1601</v>
      </c>
      <c r="Q477" s="68"/>
      <c r="R477" s="69"/>
      <c r="S477" s="69"/>
      <c r="T477" s="69"/>
      <c r="U477" s="69"/>
      <c r="V477" s="69"/>
      <c r="W477" s="68"/>
      <c r="X477" s="70"/>
      <c r="Y477" s="70"/>
      <c r="Z477" s="70"/>
      <c r="AA477" s="70"/>
      <c r="AB477" s="70"/>
      <c r="AC477" s="68"/>
      <c r="AD477" s="71"/>
      <c r="AE477" s="71"/>
      <c r="AF477" s="71"/>
      <c r="AG477" s="71"/>
      <c r="AH477" s="71"/>
      <c r="AI477" s="68"/>
      <c r="AJ477" s="214"/>
      <c r="AK477" s="214"/>
      <c r="AL477" s="214"/>
      <c r="AM477" s="214"/>
      <c r="AN477" s="68"/>
      <c r="AO477" s="67"/>
      <c r="AP477" s="67"/>
      <c r="AQ477" s="67"/>
      <c r="AR477" s="67"/>
      <c r="AS477" s="67"/>
      <c r="AT477" s="68"/>
      <c r="AU477" s="49"/>
      <c r="AV477" s="50"/>
    </row>
    <row r="478" spans="1:48" ht="12.75" customHeight="1" x14ac:dyDescent="0.25">
      <c r="A478" s="72" t="s">
        <v>20</v>
      </c>
      <c r="B478" s="43" t="s">
        <v>4043</v>
      </c>
      <c r="C478" s="44" t="s">
        <v>3806</v>
      </c>
      <c r="D478" s="45">
        <f>MROUND(MID($C478,6,3)/Basis!$E$3,0.5)</f>
        <v>24.5</v>
      </c>
      <c r="E478" s="45">
        <f>MROUND(MID($C478,9,3)/Basis!$E$3,0.5)</f>
        <v>47</v>
      </c>
      <c r="F478" s="229" t="str">
        <f t="shared" si="7"/>
        <v>11</v>
      </c>
      <c r="G478" s="45">
        <f>ROUND(5/Basis!$E$3,1)</f>
        <v>2</v>
      </c>
      <c r="H478" s="120">
        <f>ROUND($P478*Basis!$E$2*((TaH-TrH)/LN(1/µ)/Basis!$E$7)^$N478*Glycol,0)</f>
        <v>2491</v>
      </c>
      <c r="I478" s="83">
        <f>ROUND(H478/(MID($C478,9,3)/Basis!$E$3/Basis!$E$9)*Basis!$E$11,0)</f>
        <v>633</v>
      </c>
      <c r="J478" s="123">
        <f>IF(Basis!$E$1=1,ROUND(H478/((TaH-TrH)*1.163)/3600,3),ROUND(H478/(500*(TaH-TrH)),2))</f>
        <v>0.25</v>
      </c>
      <c r="K478" s="84"/>
      <c r="L478" s="177">
        <f>CHOOSE(Basis!$E$1,((AJ478*(J478*3600/Basis!$E$5)^AK478*(((MID(C478,9,3)*10)-144)/1000)*AL478+AM478*(J478*3600/Basis!$E$5)^2)*0.0098)/Basis!$E$10,((AJ478*(J478/Basis!$E$5)^AK478*(((MID(C478,9,3)*10)-144)/1000)*AL478+AM478*(J478/Basis!$E$5)^2)*0.0098)/Basis!$E$10)</f>
        <v>0</v>
      </c>
      <c r="M478" s="85"/>
      <c r="N478" s="110">
        <v>1.248</v>
      </c>
      <c r="O478" s="74"/>
      <c r="P478" s="73">
        <v>1102</v>
      </c>
      <c r="Q478" s="74"/>
      <c r="R478" s="75"/>
      <c r="S478" s="75"/>
      <c r="T478" s="75"/>
      <c r="U478" s="75"/>
      <c r="V478" s="75"/>
      <c r="W478" s="74"/>
      <c r="X478" s="76"/>
      <c r="Y478" s="76"/>
      <c r="Z478" s="76"/>
      <c r="AA478" s="76"/>
      <c r="AB478" s="76"/>
      <c r="AC478" s="74"/>
      <c r="AD478" s="77"/>
      <c r="AE478" s="77"/>
      <c r="AF478" s="77"/>
      <c r="AG478" s="77"/>
      <c r="AH478" s="77"/>
      <c r="AI478" s="68"/>
      <c r="AJ478" s="213"/>
      <c r="AK478" s="213"/>
      <c r="AL478" s="213"/>
      <c r="AM478" s="213"/>
      <c r="AN478" s="74"/>
      <c r="AO478" s="73"/>
      <c r="AP478" s="73"/>
      <c r="AQ478" s="73"/>
      <c r="AR478" s="73"/>
      <c r="AS478" s="73"/>
      <c r="AT478" s="74"/>
      <c r="AU478" s="47"/>
      <c r="AV478" s="48"/>
    </row>
    <row r="479" spans="1:48" ht="12.75" customHeight="1" x14ac:dyDescent="0.25">
      <c r="A479" s="72" t="s">
        <v>20</v>
      </c>
      <c r="B479" s="43" t="s">
        <v>4043</v>
      </c>
      <c r="C479" s="44" t="s">
        <v>3807</v>
      </c>
      <c r="D479" s="45">
        <f>MROUND(MID($C479,6,3)/Basis!$E$3,0.5)</f>
        <v>24.5</v>
      </c>
      <c r="E479" s="45">
        <f>MROUND(MID($C479,9,3)/Basis!$E$3,0.5)</f>
        <v>47</v>
      </c>
      <c r="F479" s="229" t="str">
        <f t="shared" si="7"/>
        <v>22</v>
      </c>
      <c r="G479" s="45">
        <f>ROUND(9/Basis!$E$3,1)</f>
        <v>3.5</v>
      </c>
      <c r="H479" s="120">
        <f>ROUND($P479*Basis!$E$2*((TaH-TrH)/LN(1/µ)/Basis!$E$7)^$N479*Glycol,0)</f>
        <v>4202</v>
      </c>
      <c r="I479" s="83">
        <f>ROUND(H479/(MID($C479,9,3)/Basis!$E$3/Basis!$E$9)*Basis!$E$11,0)</f>
        <v>1067</v>
      </c>
      <c r="J479" s="123">
        <f>IF(Basis!$E$1=1,ROUND(H479/((TaH-TrH)*1.163)/3600,3),ROUND(H479/(500*(TaH-TrH)),2))</f>
        <v>0.42</v>
      </c>
      <c r="K479" s="84"/>
      <c r="L479" s="177">
        <f>CHOOSE(Basis!$E$1,((AJ479*(J479*3600/Basis!$E$5)^AK479*(((MID(C479,9,3)*10)-144)/1000)*AL479+AM479*(J479*3600/Basis!$E$5)^2)*0.0098)/Basis!$E$10,((AJ479*(J479/Basis!$E$5)^AK479*(((MID(C479,9,3)*10)-144)/1000)*AL479+AM479*(J479/Basis!$E$5)^2)*0.0098)/Basis!$E$10)</f>
        <v>0</v>
      </c>
      <c r="M479" s="85"/>
      <c r="N479" s="110">
        <v>1.349</v>
      </c>
      <c r="O479" s="74"/>
      <c r="P479" s="73">
        <v>1922</v>
      </c>
      <c r="Q479" s="74"/>
      <c r="R479" s="75"/>
      <c r="S479" s="75"/>
      <c r="T479" s="75"/>
      <c r="U479" s="75"/>
      <c r="V479" s="75"/>
      <c r="W479" s="74"/>
      <c r="X479" s="76"/>
      <c r="Y479" s="76"/>
      <c r="Z479" s="76"/>
      <c r="AA479" s="76"/>
      <c r="AB479" s="76"/>
      <c r="AC479" s="74"/>
      <c r="AD479" s="77"/>
      <c r="AE479" s="77"/>
      <c r="AF479" s="77"/>
      <c r="AG479" s="77"/>
      <c r="AH479" s="77"/>
      <c r="AI479" s="68"/>
      <c r="AJ479" s="213"/>
      <c r="AK479" s="213"/>
      <c r="AL479" s="213"/>
      <c r="AM479" s="213"/>
      <c r="AN479" s="74"/>
      <c r="AO479" s="73"/>
      <c r="AP479" s="73"/>
      <c r="AQ479" s="73"/>
      <c r="AR479" s="73"/>
      <c r="AS479" s="73"/>
      <c r="AT479" s="74"/>
      <c r="AU479" s="47"/>
      <c r="AV479" s="48"/>
    </row>
    <row r="480" spans="1:48" ht="12.75" customHeight="1" x14ac:dyDescent="0.25">
      <c r="A480" s="72" t="s">
        <v>20</v>
      </c>
      <c r="B480" s="43" t="s">
        <v>4043</v>
      </c>
      <c r="C480" s="44" t="s">
        <v>3808</v>
      </c>
      <c r="D480" s="45">
        <f>MROUND(MID($C480,6,3)/Basis!$E$3,0.5)</f>
        <v>24.5</v>
      </c>
      <c r="E480" s="45">
        <f>MROUND(MID($C480,9,3)/Basis!$E$3,0.5)</f>
        <v>55</v>
      </c>
      <c r="F480" s="229" t="str">
        <f t="shared" si="7"/>
        <v>11</v>
      </c>
      <c r="G480" s="45">
        <f>ROUND(5/Basis!$E$3,1)</f>
        <v>2</v>
      </c>
      <c r="H480" s="120">
        <f>ROUND($P480*Basis!$E$2*((TaH-TrH)/LN(1/µ)/Basis!$E$7)^$N480*Glycol,0)</f>
        <v>2907</v>
      </c>
      <c r="I480" s="83">
        <f>ROUND(H480/(MID($C480,9,3)/Basis!$E$3/Basis!$E$9)*Basis!$E$11,0)</f>
        <v>633</v>
      </c>
      <c r="J480" s="123">
        <f>IF(Basis!$E$1=1,ROUND(H480/((TaH-TrH)*1.163)/3600,3),ROUND(H480/(500*(TaH-TrH)),2))</f>
        <v>0.28999999999999998</v>
      </c>
      <c r="K480" s="84"/>
      <c r="L480" s="177">
        <f>CHOOSE(Basis!$E$1,((AJ480*(J480*3600/Basis!$E$5)^AK480*(((MID(C480,9,3)*10)-144)/1000)*AL480+AM480*(J480*3600/Basis!$E$5)^2)*0.0098)/Basis!$E$10,((AJ480*(J480/Basis!$E$5)^AK480*(((MID(C480,9,3)*10)-144)/1000)*AL480+AM480*(J480/Basis!$E$5)^2)*0.0098)/Basis!$E$10)</f>
        <v>0</v>
      </c>
      <c r="M480" s="85"/>
      <c r="N480" s="109">
        <v>1.248</v>
      </c>
      <c r="O480" s="68"/>
      <c r="P480" s="67">
        <v>1286</v>
      </c>
      <c r="Q480" s="68"/>
      <c r="R480" s="69"/>
      <c r="S480" s="69"/>
      <c r="T480" s="69"/>
      <c r="U480" s="69"/>
      <c r="V480" s="69"/>
      <c r="W480" s="68"/>
      <c r="X480" s="70"/>
      <c r="Y480" s="70"/>
      <c r="Z480" s="70"/>
      <c r="AA480" s="70"/>
      <c r="AB480" s="70"/>
      <c r="AC480" s="68"/>
      <c r="AD480" s="71"/>
      <c r="AE480" s="71"/>
      <c r="AF480" s="71"/>
      <c r="AG480" s="71"/>
      <c r="AH480" s="71"/>
      <c r="AI480" s="68"/>
      <c r="AJ480" s="214"/>
      <c r="AK480" s="214"/>
      <c r="AL480" s="214"/>
      <c r="AM480" s="214"/>
      <c r="AN480" s="68"/>
      <c r="AO480" s="67"/>
      <c r="AP480" s="67"/>
      <c r="AQ480" s="67"/>
      <c r="AR480" s="67"/>
      <c r="AS480" s="67"/>
      <c r="AT480" s="68"/>
      <c r="AU480" s="49"/>
      <c r="AV480" s="50"/>
    </row>
    <row r="481" spans="1:48" ht="12.75" customHeight="1" x14ac:dyDescent="0.25">
      <c r="A481" s="72" t="s">
        <v>20</v>
      </c>
      <c r="B481" s="43" t="s">
        <v>4043</v>
      </c>
      <c r="C481" s="44" t="s">
        <v>3809</v>
      </c>
      <c r="D481" s="45">
        <f>MROUND(MID($C481,6,3)/Basis!$E$3,0.5)</f>
        <v>24.5</v>
      </c>
      <c r="E481" s="45">
        <f>MROUND(MID($C481,9,3)/Basis!$E$3,0.5)</f>
        <v>55</v>
      </c>
      <c r="F481" s="229" t="str">
        <f t="shared" si="7"/>
        <v>22</v>
      </c>
      <c r="G481" s="45">
        <f>ROUND(9/Basis!$E$3,1)</f>
        <v>3.5</v>
      </c>
      <c r="H481" s="120">
        <f>ROUND($P481*Basis!$E$2*((TaH-TrH)/LN(1/µ)/Basis!$E$7)^$N481*Glycol,0)</f>
        <v>4901</v>
      </c>
      <c r="I481" s="83">
        <f>ROUND(H481/(MID($C481,9,3)/Basis!$E$3/Basis!$E$9)*Basis!$E$11,0)</f>
        <v>1067</v>
      </c>
      <c r="J481" s="123">
        <f>IF(Basis!$E$1=1,ROUND(H481/((TaH-TrH)*1.163)/3600,3),ROUND(H481/(500*(TaH-TrH)),2))</f>
        <v>0.49</v>
      </c>
      <c r="K481" s="84"/>
      <c r="L481" s="177">
        <f>CHOOSE(Basis!$E$1,((AJ481*(J481*3600/Basis!$E$5)^AK481*(((MID(C481,9,3)*10)-144)/1000)*AL481+AM481*(J481*3600/Basis!$E$5)^2)*0.0098)/Basis!$E$10,((AJ481*(J481/Basis!$E$5)^AK481*(((MID(C481,9,3)*10)-144)/1000)*AL481+AM481*(J481/Basis!$E$5)^2)*0.0098)/Basis!$E$10)</f>
        <v>0</v>
      </c>
      <c r="M481" s="85"/>
      <c r="N481" s="109">
        <v>1.349</v>
      </c>
      <c r="O481" s="68"/>
      <c r="P481" s="67">
        <v>2242</v>
      </c>
      <c r="Q481" s="68"/>
      <c r="R481" s="69"/>
      <c r="S481" s="69"/>
      <c r="T481" s="69"/>
      <c r="U481" s="69"/>
      <c r="V481" s="69"/>
      <c r="W481" s="68"/>
      <c r="X481" s="70"/>
      <c r="Y481" s="70"/>
      <c r="Z481" s="70"/>
      <c r="AA481" s="70"/>
      <c r="AB481" s="70"/>
      <c r="AC481" s="68"/>
      <c r="AD481" s="71"/>
      <c r="AE481" s="71"/>
      <c r="AF481" s="71"/>
      <c r="AG481" s="71"/>
      <c r="AH481" s="71"/>
      <c r="AI481" s="68"/>
      <c r="AJ481" s="214"/>
      <c r="AK481" s="214"/>
      <c r="AL481" s="214"/>
      <c r="AM481" s="214"/>
      <c r="AN481" s="68"/>
      <c r="AO481" s="67"/>
      <c r="AP481" s="67"/>
      <c r="AQ481" s="67"/>
      <c r="AR481" s="67"/>
      <c r="AS481" s="67"/>
      <c r="AT481" s="68"/>
      <c r="AU481" s="49"/>
      <c r="AV481" s="50"/>
    </row>
    <row r="482" spans="1:48" ht="12.75" customHeight="1" x14ac:dyDescent="0.25">
      <c r="A482" s="72" t="s">
        <v>20</v>
      </c>
      <c r="B482" s="43" t="s">
        <v>4043</v>
      </c>
      <c r="C482" s="44" t="s">
        <v>3810</v>
      </c>
      <c r="D482" s="45">
        <f>MROUND(MID($C482,6,3)/Basis!$E$3,0.5)</f>
        <v>24.5</v>
      </c>
      <c r="E482" s="45">
        <f>MROUND(MID($C482,9,3)/Basis!$E$3,0.5)</f>
        <v>63</v>
      </c>
      <c r="F482" s="229" t="str">
        <f t="shared" si="7"/>
        <v>11</v>
      </c>
      <c r="G482" s="45">
        <f>ROUND(5/Basis!$E$3,1)</f>
        <v>2</v>
      </c>
      <c r="H482" s="120">
        <f>ROUND($P482*Basis!$E$2*((TaH-TrH)/LN(1/µ)/Basis!$E$7)^$N482*Glycol,0)</f>
        <v>3322</v>
      </c>
      <c r="I482" s="83">
        <f>ROUND(H482/(MID($C482,9,3)/Basis!$E$3/Basis!$E$9)*Basis!$E$11,0)</f>
        <v>633</v>
      </c>
      <c r="J482" s="123">
        <f>IF(Basis!$E$1=1,ROUND(H482/((TaH-TrH)*1.163)/3600,3),ROUND(H482/(500*(TaH-TrH)),2))</f>
        <v>0.33</v>
      </c>
      <c r="K482" s="84"/>
      <c r="L482" s="177">
        <f>CHOOSE(Basis!$E$1,((AJ482*(J482*3600/Basis!$E$5)^AK482*(((MID(C482,9,3)*10)-144)/1000)*AL482+AM482*(J482*3600/Basis!$E$5)^2)*0.0098)/Basis!$E$10,((AJ482*(J482/Basis!$E$5)^AK482*(((MID(C482,9,3)*10)-144)/1000)*AL482+AM482*(J482/Basis!$E$5)^2)*0.0098)/Basis!$E$10)</f>
        <v>0</v>
      </c>
      <c r="M482" s="85"/>
      <c r="N482" s="110">
        <v>1.248</v>
      </c>
      <c r="O482" s="74"/>
      <c r="P482" s="73">
        <v>1470</v>
      </c>
      <c r="Q482" s="74"/>
      <c r="R482" s="75"/>
      <c r="S482" s="75"/>
      <c r="T482" s="75"/>
      <c r="U482" s="75"/>
      <c r="V482" s="75"/>
      <c r="W482" s="74"/>
      <c r="X482" s="76"/>
      <c r="Y482" s="76"/>
      <c r="Z482" s="76"/>
      <c r="AA482" s="76"/>
      <c r="AB482" s="76"/>
      <c r="AC482" s="74"/>
      <c r="AD482" s="77"/>
      <c r="AE482" s="77"/>
      <c r="AF482" s="77"/>
      <c r="AG482" s="77"/>
      <c r="AH482" s="77"/>
      <c r="AI482" s="68"/>
      <c r="AJ482" s="213"/>
      <c r="AK482" s="213"/>
      <c r="AL482" s="213"/>
      <c r="AM482" s="213"/>
      <c r="AN482" s="74"/>
      <c r="AO482" s="73"/>
      <c r="AP482" s="73"/>
      <c r="AQ482" s="73"/>
      <c r="AR482" s="73"/>
      <c r="AS482" s="73"/>
      <c r="AT482" s="74"/>
      <c r="AU482" s="47"/>
      <c r="AV482" s="48"/>
    </row>
    <row r="483" spans="1:48" ht="12.75" customHeight="1" x14ac:dyDescent="0.25">
      <c r="A483" s="72" t="s">
        <v>20</v>
      </c>
      <c r="B483" s="43" t="s">
        <v>4043</v>
      </c>
      <c r="C483" s="44" t="s">
        <v>3811</v>
      </c>
      <c r="D483" s="45">
        <f>MROUND(MID($C483,6,3)/Basis!$E$3,0.5)</f>
        <v>24.5</v>
      </c>
      <c r="E483" s="45">
        <f>MROUND(MID($C483,9,3)/Basis!$E$3,0.5)</f>
        <v>63</v>
      </c>
      <c r="F483" s="229" t="str">
        <f t="shared" si="7"/>
        <v>22</v>
      </c>
      <c r="G483" s="45">
        <f>ROUND(9/Basis!$E$3,1)</f>
        <v>3.5</v>
      </c>
      <c r="H483" s="120">
        <f>ROUND($P483*Basis!$E$2*((TaH-TrH)/LN(1/µ)/Basis!$E$7)^$N483*Glycol,0)</f>
        <v>5601</v>
      </c>
      <c r="I483" s="83">
        <f>ROUND(H483/(MID($C483,9,3)/Basis!$E$3/Basis!$E$9)*Basis!$E$11,0)</f>
        <v>1067</v>
      </c>
      <c r="J483" s="123">
        <f>IF(Basis!$E$1=1,ROUND(H483/((TaH-TrH)*1.163)/3600,3),ROUND(H483/(500*(TaH-TrH)),2))</f>
        <v>0.56000000000000005</v>
      </c>
      <c r="K483" s="84"/>
      <c r="L483" s="177">
        <f>CHOOSE(Basis!$E$1,((AJ483*(J483*3600/Basis!$E$5)^AK483*(((MID(C483,9,3)*10)-144)/1000)*AL483+AM483*(J483*3600/Basis!$E$5)^2)*0.0098)/Basis!$E$10,((AJ483*(J483/Basis!$E$5)^AK483*(((MID(C483,9,3)*10)-144)/1000)*AL483+AM483*(J483/Basis!$E$5)^2)*0.0098)/Basis!$E$10)</f>
        <v>0</v>
      </c>
      <c r="M483" s="85"/>
      <c r="N483" s="110">
        <v>1.349</v>
      </c>
      <c r="O483" s="74"/>
      <c r="P483" s="73">
        <v>2562</v>
      </c>
      <c r="Q483" s="74"/>
      <c r="R483" s="75"/>
      <c r="S483" s="75"/>
      <c r="T483" s="75"/>
      <c r="U483" s="75"/>
      <c r="V483" s="75"/>
      <c r="W483" s="74"/>
      <c r="X483" s="76"/>
      <c r="Y483" s="76"/>
      <c r="Z483" s="76"/>
      <c r="AA483" s="76"/>
      <c r="AB483" s="76"/>
      <c r="AC483" s="74"/>
      <c r="AD483" s="77"/>
      <c r="AE483" s="77"/>
      <c r="AF483" s="77"/>
      <c r="AG483" s="77"/>
      <c r="AH483" s="77"/>
      <c r="AI483" s="68"/>
      <c r="AJ483" s="213"/>
      <c r="AK483" s="213"/>
      <c r="AL483" s="213"/>
      <c r="AM483" s="213"/>
      <c r="AN483" s="74"/>
      <c r="AO483" s="73"/>
      <c r="AP483" s="73"/>
      <c r="AQ483" s="73"/>
      <c r="AR483" s="73"/>
      <c r="AS483" s="73"/>
      <c r="AT483" s="74"/>
      <c r="AU483" s="47"/>
      <c r="AV483" s="48"/>
    </row>
    <row r="484" spans="1:48" ht="12.75" customHeight="1" x14ac:dyDescent="0.25">
      <c r="A484" s="72" t="s">
        <v>20</v>
      </c>
      <c r="B484" s="43" t="s">
        <v>4043</v>
      </c>
      <c r="C484" s="44" t="s">
        <v>3812</v>
      </c>
      <c r="D484" s="45">
        <f>MROUND(MID($C484,6,3)/Basis!$E$3,0.5)</f>
        <v>24.5</v>
      </c>
      <c r="E484" s="45">
        <f>MROUND(MID($C484,9,3)/Basis!$E$3,0.5)</f>
        <v>71</v>
      </c>
      <c r="F484" s="229" t="str">
        <f t="shared" si="7"/>
        <v>11</v>
      </c>
      <c r="G484" s="45">
        <f>ROUND(5/Basis!$E$3,1)</f>
        <v>2</v>
      </c>
      <c r="H484" s="120">
        <f>ROUND($P484*Basis!$E$2*((TaH-TrH)/LN(1/µ)/Basis!$E$7)^$N484*Glycol,0)</f>
        <v>3736</v>
      </c>
      <c r="I484" s="83">
        <f>ROUND(H484/(MID($C484,9,3)/Basis!$E$3/Basis!$E$9)*Basis!$E$11,0)</f>
        <v>633</v>
      </c>
      <c r="J484" s="123">
        <f>IF(Basis!$E$1=1,ROUND(H484/((TaH-TrH)*1.163)/3600,3),ROUND(H484/(500*(TaH-TrH)),2))</f>
        <v>0.37</v>
      </c>
      <c r="K484" s="84"/>
      <c r="L484" s="177">
        <f>CHOOSE(Basis!$E$1,((AJ484*(J484*3600/Basis!$E$5)^AK484*(((MID(C484,9,3)*10)-144)/1000)*AL484+AM484*(J484*3600/Basis!$E$5)^2)*0.0098)/Basis!$E$10,((AJ484*(J484/Basis!$E$5)^AK484*(((MID(C484,9,3)*10)-144)/1000)*AL484+AM484*(J484/Basis!$E$5)^2)*0.0098)/Basis!$E$10)</f>
        <v>0</v>
      </c>
      <c r="M484" s="85"/>
      <c r="N484" s="109">
        <v>1.248</v>
      </c>
      <c r="O484" s="68"/>
      <c r="P484" s="67">
        <v>1653</v>
      </c>
      <c r="Q484" s="68"/>
      <c r="R484" s="69"/>
      <c r="S484" s="69"/>
      <c r="T484" s="69"/>
      <c r="U484" s="69"/>
      <c r="V484" s="69"/>
      <c r="W484" s="68"/>
      <c r="X484" s="70"/>
      <c r="Y484" s="70"/>
      <c r="Z484" s="70"/>
      <c r="AA484" s="70"/>
      <c r="AB484" s="70"/>
      <c r="AC484" s="68"/>
      <c r="AD484" s="71"/>
      <c r="AE484" s="71"/>
      <c r="AF484" s="71"/>
      <c r="AG484" s="71"/>
      <c r="AH484" s="71"/>
      <c r="AI484" s="68"/>
      <c r="AJ484" s="214"/>
      <c r="AK484" s="214"/>
      <c r="AL484" s="214"/>
      <c r="AM484" s="214"/>
      <c r="AN484" s="68"/>
      <c r="AO484" s="67"/>
      <c r="AP484" s="67"/>
      <c r="AQ484" s="67"/>
      <c r="AR484" s="67"/>
      <c r="AS484" s="67"/>
      <c r="AT484" s="68"/>
      <c r="AU484" s="49"/>
      <c r="AV484" s="50"/>
    </row>
    <row r="485" spans="1:48" ht="12.75" customHeight="1" x14ac:dyDescent="0.25">
      <c r="A485" s="72" t="s">
        <v>20</v>
      </c>
      <c r="B485" s="43" t="s">
        <v>4043</v>
      </c>
      <c r="C485" s="44" t="s">
        <v>3813</v>
      </c>
      <c r="D485" s="45">
        <f>MROUND(MID($C485,6,3)/Basis!$E$3,0.5)</f>
        <v>24.5</v>
      </c>
      <c r="E485" s="45">
        <f>MROUND(MID($C485,9,3)/Basis!$E$3,0.5)</f>
        <v>71</v>
      </c>
      <c r="F485" s="229" t="str">
        <f t="shared" si="7"/>
        <v>22</v>
      </c>
      <c r="G485" s="45">
        <f>ROUND(9/Basis!$E$3,1)</f>
        <v>3.5</v>
      </c>
      <c r="H485" s="120">
        <f>ROUND($P485*Basis!$E$2*((TaH-TrH)/LN(1/µ)/Basis!$E$7)^$N485*Glycol,0)</f>
        <v>6300</v>
      </c>
      <c r="I485" s="83">
        <f>ROUND(H485/(MID($C485,9,3)/Basis!$E$3/Basis!$E$9)*Basis!$E$11,0)</f>
        <v>1067</v>
      </c>
      <c r="J485" s="123">
        <f>IF(Basis!$E$1=1,ROUND(H485/((TaH-TrH)*1.163)/3600,3),ROUND(H485/(500*(TaH-TrH)),2))</f>
        <v>0.63</v>
      </c>
      <c r="K485" s="84"/>
      <c r="L485" s="177">
        <f>CHOOSE(Basis!$E$1,((AJ485*(J485*3600/Basis!$E$5)^AK485*(((MID(C485,9,3)*10)-144)/1000)*AL485+AM485*(J485*3600/Basis!$E$5)^2)*0.0098)/Basis!$E$10,((AJ485*(J485/Basis!$E$5)^AK485*(((MID(C485,9,3)*10)-144)/1000)*AL485+AM485*(J485/Basis!$E$5)^2)*0.0098)/Basis!$E$10)</f>
        <v>0</v>
      </c>
      <c r="M485" s="85"/>
      <c r="N485" s="109">
        <v>1.349</v>
      </c>
      <c r="O485" s="68"/>
      <c r="P485" s="67">
        <v>2882</v>
      </c>
      <c r="Q485" s="68"/>
      <c r="R485" s="69"/>
      <c r="S485" s="69"/>
      <c r="T485" s="69"/>
      <c r="U485" s="69"/>
      <c r="V485" s="69"/>
      <c r="W485" s="68"/>
      <c r="X485" s="70"/>
      <c r="Y485" s="70"/>
      <c r="Z485" s="70"/>
      <c r="AA485" s="70"/>
      <c r="AB485" s="70"/>
      <c r="AC485" s="68"/>
      <c r="AD485" s="71"/>
      <c r="AE485" s="71"/>
      <c r="AF485" s="71"/>
      <c r="AG485" s="71"/>
      <c r="AH485" s="71"/>
      <c r="AI485" s="68"/>
      <c r="AJ485" s="214"/>
      <c r="AK485" s="214"/>
      <c r="AL485" s="214"/>
      <c r="AM485" s="214"/>
      <c r="AN485" s="68"/>
      <c r="AO485" s="67"/>
      <c r="AP485" s="67"/>
      <c r="AQ485" s="67"/>
      <c r="AR485" s="67"/>
      <c r="AS485" s="67"/>
      <c r="AT485" s="68"/>
      <c r="AU485" s="49"/>
      <c r="AV485" s="50"/>
    </row>
    <row r="486" spans="1:48" ht="12.75" customHeight="1" x14ac:dyDescent="0.25">
      <c r="A486" s="72" t="s">
        <v>20</v>
      </c>
      <c r="B486" s="43" t="s">
        <v>4043</v>
      </c>
      <c r="C486" s="44" t="s">
        <v>3814</v>
      </c>
      <c r="D486" s="45">
        <f>MROUND(MID($C486,6,3)/Basis!$E$3,0.5)</f>
        <v>24.5</v>
      </c>
      <c r="E486" s="45">
        <f>MROUND(MID($C486,9,3)/Basis!$E$3,0.5)</f>
        <v>78.5</v>
      </c>
      <c r="F486" s="229" t="str">
        <f t="shared" si="7"/>
        <v>11</v>
      </c>
      <c r="G486" s="45">
        <f>ROUND(5/Basis!$E$3,1)</f>
        <v>2</v>
      </c>
      <c r="H486" s="120">
        <f>ROUND($P486*Basis!$E$2*((TaH-TrH)/LN(1/µ)/Basis!$E$7)^$N486*Glycol,0)</f>
        <v>4152</v>
      </c>
      <c r="I486" s="83">
        <f>ROUND(H486/(MID($C486,9,3)/Basis!$E$3/Basis!$E$9)*Basis!$E$11,0)</f>
        <v>633</v>
      </c>
      <c r="J486" s="123">
        <f>IF(Basis!$E$1=1,ROUND(H486/((TaH-TrH)*1.163)/3600,3),ROUND(H486/(500*(TaH-TrH)),2))</f>
        <v>0.42</v>
      </c>
      <c r="K486" s="84"/>
      <c r="L486" s="177">
        <f>CHOOSE(Basis!$E$1,((AJ486*(J486*3600/Basis!$E$5)^AK486*(((MID(C486,9,3)*10)-144)/1000)*AL486+AM486*(J486*3600/Basis!$E$5)^2)*0.0098)/Basis!$E$10,((AJ486*(J486/Basis!$E$5)^AK486*(((MID(C486,9,3)*10)-144)/1000)*AL486+AM486*(J486/Basis!$E$5)^2)*0.0098)/Basis!$E$10)</f>
        <v>0</v>
      </c>
      <c r="M486" s="85"/>
      <c r="N486" s="110">
        <v>1.248</v>
      </c>
      <c r="O486" s="74"/>
      <c r="P486" s="73">
        <v>1837</v>
      </c>
      <c r="Q486" s="74"/>
      <c r="R486" s="75"/>
      <c r="S486" s="75"/>
      <c r="T486" s="75"/>
      <c r="U486" s="75"/>
      <c r="V486" s="75"/>
      <c r="W486" s="74"/>
      <c r="X486" s="76"/>
      <c r="Y486" s="76"/>
      <c r="Z486" s="76"/>
      <c r="AA486" s="76"/>
      <c r="AB486" s="76"/>
      <c r="AC486" s="74"/>
      <c r="AD486" s="77"/>
      <c r="AE486" s="77"/>
      <c r="AF486" s="77"/>
      <c r="AG486" s="77"/>
      <c r="AH486" s="77"/>
      <c r="AI486" s="68"/>
      <c r="AJ486" s="213"/>
      <c r="AK486" s="213"/>
      <c r="AL486" s="213"/>
      <c r="AM486" s="213"/>
      <c r="AN486" s="74"/>
      <c r="AO486" s="73"/>
      <c r="AP486" s="73"/>
      <c r="AQ486" s="73"/>
      <c r="AR486" s="73"/>
      <c r="AS486" s="73"/>
      <c r="AT486" s="74"/>
      <c r="AU486" s="47"/>
      <c r="AV486" s="48"/>
    </row>
    <row r="487" spans="1:48" ht="12.75" customHeight="1" x14ac:dyDescent="0.25">
      <c r="A487" s="72" t="s">
        <v>20</v>
      </c>
      <c r="B487" s="43" t="s">
        <v>4043</v>
      </c>
      <c r="C487" s="44" t="s">
        <v>3815</v>
      </c>
      <c r="D487" s="45">
        <f>MROUND(MID($C487,6,3)/Basis!$E$3,0.5)</f>
        <v>24.5</v>
      </c>
      <c r="E487" s="45">
        <f>MROUND(MID($C487,9,3)/Basis!$E$3,0.5)</f>
        <v>78.5</v>
      </c>
      <c r="F487" s="229" t="str">
        <f t="shared" si="7"/>
        <v>22</v>
      </c>
      <c r="G487" s="45">
        <f>ROUND(9/Basis!$E$3,1)</f>
        <v>3.5</v>
      </c>
      <c r="H487" s="120">
        <f>ROUND($P487*Basis!$E$2*((TaH-TrH)/LN(1/µ)/Basis!$E$7)^$N487*Glycol,0)</f>
        <v>7002</v>
      </c>
      <c r="I487" s="83">
        <f>ROUND(H487/(MID($C487,9,3)/Basis!$E$3/Basis!$E$9)*Basis!$E$11,0)</f>
        <v>1067</v>
      </c>
      <c r="J487" s="123">
        <f>IF(Basis!$E$1=1,ROUND(H487/((TaH-TrH)*1.163)/3600,3),ROUND(H487/(500*(TaH-TrH)),2))</f>
        <v>0.7</v>
      </c>
      <c r="K487" s="84"/>
      <c r="L487" s="177">
        <f>CHOOSE(Basis!$E$1,((AJ487*(J487*3600/Basis!$E$5)^AK487*(((MID(C487,9,3)*10)-144)/1000)*AL487+AM487*(J487*3600/Basis!$E$5)^2)*0.0098)/Basis!$E$10,((AJ487*(J487/Basis!$E$5)^AK487*(((MID(C487,9,3)*10)-144)/1000)*AL487+AM487*(J487/Basis!$E$5)^2)*0.0098)/Basis!$E$10)</f>
        <v>0</v>
      </c>
      <c r="M487" s="85"/>
      <c r="N487" s="110">
        <v>1.349</v>
      </c>
      <c r="O487" s="74"/>
      <c r="P487" s="73">
        <v>3203</v>
      </c>
      <c r="Q487" s="74"/>
      <c r="R487" s="75"/>
      <c r="S487" s="75"/>
      <c r="T487" s="75"/>
      <c r="U487" s="75"/>
      <c r="V487" s="75"/>
      <c r="W487" s="74"/>
      <c r="X487" s="76"/>
      <c r="Y487" s="76"/>
      <c r="Z487" s="76"/>
      <c r="AA487" s="76"/>
      <c r="AB487" s="76"/>
      <c r="AC487" s="74"/>
      <c r="AD487" s="77"/>
      <c r="AE487" s="77"/>
      <c r="AF487" s="77"/>
      <c r="AG487" s="77"/>
      <c r="AH487" s="77"/>
      <c r="AI487" s="68"/>
      <c r="AJ487" s="213"/>
      <c r="AK487" s="213"/>
      <c r="AL487" s="213"/>
      <c r="AM487" s="213"/>
      <c r="AN487" s="74"/>
      <c r="AO487" s="73"/>
      <c r="AP487" s="73"/>
      <c r="AQ487" s="73"/>
      <c r="AR487" s="73"/>
      <c r="AS487" s="73"/>
      <c r="AT487" s="74"/>
      <c r="AU487" s="47"/>
      <c r="AV487" s="48"/>
    </row>
    <row r="488" spans="1:48" ht="12.75" customHeight="1" x14ac:dyDescent="0.25">
      <c r="A488" s="72" t="s">
        <v>20</v>
      </c>
      <c r="B488" s="43" t="s">
        <v>4043</v>
      </c>
      <c r="C488" s="44" t="s">
        <v>3816</v>
      </c>
      <c r="D488" s="45">
        <f>MROUND(MID($C488,6,3)/Basis!$E$3,0.5)</f>
        <v>24.5</v>
      </c>
      <c r="E488" s="45">
        <f>MROUND(MID($C488,9,3)/Basis!$E$3,0.5)</f>
        <v>86.5</v>
      </c>
      <c r="F488" s="229" t="str">
        <f t="shared" si="7"/>
        <v>11</v>
      </c>
      <c r="G488" s="45">
        <f>ROUND(5/Basis!$E$3,1)</f>
        <v>2</v>
      </c>
      <c r="H488" s="120">
        <f>ROUND($P488*Basis!$E$2*((TaH-TrH)/LN(1/µ)/Basis!$E$7)^$N488*Glycol,0)</f>
        <v>4568</v>
      </c>
      <c r="I488" s="83">
        <f>ROUND(H488/(MID($C488,9,3)/Basis!$E$3/Basis!$E$9)*Basis!$E$11,0)</f>
        <v>633</v>
      </c>
      <c r="J488" s="123">
        <f>IF(Basis!$E$1=1,ROUND(H488/((TaH-TrH)*1.163)/3600,3),ROUND(H488/(500*(TaH-TrH)),2))</f>
        <v>0.46</v>
      </c>
      <c r="K488" s="84"/>
      <c r="L488" s="177">
        <f>CHOOSE(Basis!$E$1,((AJ488*(J488*3600/Basis!$E$5)^AK488*(((MID(C488,9,3)*10)-144)/1000)*AL488+AM488*(J488*3600/Basis!$E$5)^2)*0.0098)/Basis!$E$10,((AJ488*(J488/Basis!$E$5)^AK488*(((MID(C488,9,3)*10)-144)/1000)*AL488+AM488*(J488/Basis!$E$5)^2)*0.0098)/Basis!$E$10)</f>
        <v>0</v>
      </c>
      <c r="M488" s="85"/>
      <c r="N488" s="109">
        <v>1.248</v>
      </c>
      <c r="O488" s="68"/>
      <c r="P488" s="67">
        <v>2021</v>
      </c>
      <c r="Q488" s="68"/>
      <c r="R488" s="69"/>
      <c r="S488" s="69"/>
      <c r="T488" s="69"/>
      <c r="U488" s="69"/>
      <c r="V488" s="69"/>
      <c r="W488" s="68"/>
      <c r="X488" s="70"/>
      <c r="Y488" s="70"/>
      <c r="Z488" s="70"/>
      <c r="AA488" s="70"/>
      <c r="AB488" s="70"/>
      <c r="AC488" s="68"/>
      <c r="AD488" s="71"/>
      <c r="AE488" s="71"/>
      <c r="AF488" s="71"/>
      <c r="AG488" s="71"/>
      <c r="AH488" s="71"/>
      <c r="AI488" s="68"/>
      <c r="AJ488" s="214"/>
      <c r="AK488" s="214"/>
      <c r="AL488" s="214"/>
      <c r="AM488" s="214"/>
      <c r="AN488" s="68"/>
      <c r="AO488" s="67"/>
      <c r="AP488" s="67"/>
      <c r="AQ488" s="67"/>
      <c r="AR488" s="67"/>
      <c r="AS488" s="67"/>
      <c r="AT488" s="68"/>
      <c r="AU488" s="49"/>
      <c r="AV488" s="50"/>
    </row>
    <row r="489" spans="1:48" ht="12.75" customHeight="1" x14ac:dyDescent="0.25">
      <c r="A489" s="72" t="s">
        <v>20</v>
      </c>
      <c r="B489" s="43" t="s">
        <v>4043</v>
      </c>
      <c r="C489" s="44" t="s">
        <v>3817</v>
      </c>
      <c r="D489" s="45">
        <f>MROUND(MID($C489,6,3)/Basis!$E$3,0.5)</f>
        <v>24.5</v>
      </c>
      <c r="E489" s="45">
        <f>MROUND(MID($C489,9,3)/Basis!$E$3,0.5)</f>
        <v>86.5</v>
      </c>
      <c r="F489" s="229" t="str">
        <f t="shared" si="7"/>
        <v>22</v>
      </c>
      <c r="G489" s="45">
        <f>ROUND(9/Basis!$E$3,1)</f>
        <v>3.5</v>
      </c>
      <c r="H489" s="120">
        <f>ROUND($P489*Basis!$E$2*((TaH-TrH)/LN(1/µ)/Basis!$E$7)^$N489*Glycol,0)</f>
        <v>7702</v>
      </c>
      <c r="I489" s="83">
        <f>ROUND(H489/(MID($C489,9,3)/Basis!$E$3/Basis!$E$9)*Basis!$E$11,0)</f>
        <v>1067</v>
      </c>
      <c r="J489" s="123">
        <f>IF(Basis!$E$1=1,ROUND(H489/((TaH-TrH)*1.163)/3600,3),ROUND(H489/(500*(TaH-TrH)),2))</f>
        <v>0.77</v>
      </c>
      <c r="K489" s="84"/>
      <c r="L489" s="177">
        <f>CHOOSE(Basis!$E$1,((AJ489*(J489*3600/Basis!$E$5)^AK489*(((MID(C489,9,3)*10)-144)/1000)*AL489+AM489*(J489*3600/Basis!$E$5)^2)*0.0098)/Basis!$E$10,((AJ489*(J489/Basis!$E$5)^AK489*(((MID(C489,9,3)*10)-144)/1000)*AL489+AM489*(J489/Basis!$E$5)^2)*0.0098)/Basis!$E$10)</f>
        <v>0</v>
      </c>
      <c r="M489" s="85"/>
      <c r="N489" s="109">
        <v>1.349</v>
      </c>
      <c r="O489" s="68"/>
      <c r="P489" s="67">
        <v>3523</v>
      </c>
      <c r="Q489" s="68"/>
      <c r="R489" s="69"/>
      <c r="S489" s="69"/>
      <c r="T489" s="69"/>
      <c r="U489" s="69"/>
      <c r="V489" s="69"/>
      <c r="W489" s="68"/>
      <c r="X489" s="70"/>
      <c r="Y489" s="70"/>
      <c r="Z489" s="70"/>
      <c r="AA489" s="70"/>
      <c r="AB489" s="70"/>
      <c r="AC489" s="68"/>
      <c r="AD489" s="71"/>
      <c r="AE489" s="71"/>
      <c r="AF489" s="71"/>
      <c r="AG489" s="71"/>
      <c r="AH489" s="71"/>
      <c r="AI489" s="68"/>
      <c r="AJ489" s="214"/>
      <c r="AK489" s="214"/>
      <c r="AL489" s="214"/>
      <c r="AM489" s="214"/>
      <c r="AN489" s="68"/>
      <c r="AO489" s="67"/>
      <c r="AP489" s="67"/>
      <c r="AQ489" s="67"/>
      <c r="AR489" s="67"/>
      <c r="AS489" s="67"/>
      <c r="AT489" s="68"/>
      <c r="AU489" s="49"/>
      <c r="AV489" s="50"/>
    </row>
    <row r="490" spans="1:48" ht="12.75" customHeight="1" x14ac:dyDescent="0.25">
      <c r="A490" s="72" t="s">
        <v>20</v>
      </c>
      <c r="B490" s="43" t="s">
        <v>4043</v>
      </c>
      <c r="C490" s="44" t="s">
        <v>3818</v>
      </c>
      <c r="D490" s="45">
        <f>MROUND(MID($C490,6,3)/Basis!$E$3,0.5)</f>
        <v>24.5</v>
      </c>
      <c r="E490" s="45">
        <f>MROUND(MID($C490,9,3)/Basis!$E$3,0.5)</f>
        <v>94.5</v>
      </c>
      <c r="F490" s="229" t="str">
        <f t="shared" si="7"/>
        <v>11</v>
      </c>
      <c r="G490" s="45">
        <f>ROUND(5/Basis!$E$3,1)</f>
        <v>2</v>
      </c>
      <c r="H490" s="120">
        <f>ROUND($P490*Basis!$E$2*((TaH-TrH)/LN(1/µ)/Basis!$E$7)^$N490*Glycol,0)</f>
        <v>4984</v>
      </c>
      <c r="I490" s="83">
        <f>ROUND(H490/(MID($C490,9,3)/Basis!$E$3/Basis!$E$9)*Basis!$E$11,0)</f>
        <v>633</v>
      </c>
      <c r="J490" s="123">
        <f>IF(Basis!$E$1=1,ROUND(H490/((TaH-TrH)*1.163)/3600,3),ROUND(H490/(500*(TaH-TrH)),2))</f>
        <v>0.5</v>
      </c>
      <c r="K490" s="84"/>
      <c r="L490" s="177">
        <f>CHOOSE(Basis!$E$1,((AJ490*(J490*3600/Basis!$E$5)^AK490*(((MID(C490,9,3)*10)-144)/1000)*AL490+AM490*(J490*3600/Basis!$E$5)^2)*0.0098)/Basis!$E$10,((AJ490*(J490/Basis!$E$5)^AK490*(((MID(C490,9,3)*10)-144)/1000)*AL490+AM490*(J490/Basis!$E$5)^2)*0.0098)/Basis!$E$10)</f>
        <v>0</v>
      </c>
      <c r="M490" s="85"/>
      <c r="N490" s="110">
        <v>1.248</v>
      </c>
      <c r="O490" s="74"/>
      <c r="P490" s="73">
        <v>2205</v>
      </c>
      <c r="Q490" s="74"/>
      <c r="R490" s="75"/>
      <c r="S490" s="75"/>
      <c r="T490" s="75"/>
      <c r="U490" s="75"/>
      <c r="V490" s="75"/>
      <c r="W490" s="74"/>
      <c r="X490" s="76"/>
      <c r="Y490" s="76"/>
      <c r="Z490" s="76"/>
      <c r="AA490" s="76"/>
      <c r="AB490" s="76"/>
      <c r="AC490" s="74"/>
      <c r="AD490" s="77"/>
      <c r="AE490" s="77"/>
      <c r="AF490" s="77"/>
      <c r="AG490" s="77"/>
      <c r="AH490" s="77"/>
      <c r="AI490" s="68"/>
      <c r="AJ490" s="213"/>
      <c r="AK490" s="213"/>
      <c r="AL490" s="213"/>
      <c r="AM490" s="213"/>
      <c r="AN490" s="74"/>
      <c r="AO490" s="73"/>
      <c r="AP490" s="73"/>
      <c r="AQ490" s="73"/>
      <c r="AR490" s="73"/>
      <c r="AS490" s="73"/>
      <c r="AT490" s="74"/>
      <c r="AU490" s="47"/>
      <c r="AV490" s="48"/>
    </row>
    <row r="491" spans="1:48" ht="12.75" customHeight="1" x14ac:dyDescent="0.25">
      <c r="A491" s="72" t="s">
        <v>20</v>
      </c>
      <c r="B491" s="43" t="s">
        <v>4043</v>
      </c>
      <c r="C491" s="44" t="s">
        <v>3819</v>
      </c>
      <c r="D491" s="45">
        <f>MROUND(MID($C491,6,3)/Basis!$E$3,0.5)</f>
        <v>24.5</v>
      </c>
      <c r="E491" s="45">
        <f>MROUND(MID($C491,9,3)/Basis!$E$3,0.5)</f>
        <v>94.5</v>
      </c>
      <c r="F491" s="229" t="str">
        <f t="shared" si="7"/>
        <v>22</v>
      </c>
      <c r="G491" s="45">
        <f>ROUND(9/Basis!$E$3,1)</f>
        <v>3.5</v>
      </c>
      <c r="H491" s="120">
        <f>ROUND($P491*Basis!$E$2*((TaH-TrH)/LN(1/µ)/Basis!$E$7)^$N491*Glycol,0)</f>
        <v>8401</v>
      </c>
      <c r="I491" s="83">
        <f>ROUND(H491/(MID($C491,9,3)/Basis!$E$3/Basis!$E$9)*Basis!$E$11,0)</f>
        <v>1067</v>
      </c>
      <c r="J491" s="123">
        <f>IF(Basis!$E$1=1,ROUND(H491/((TaH-TrH)*1.163)/3600,3),ROUND(H491/(500*(TaH-TrH)),2))</f>
        <v>0.84</v>
      </c>
      <c r="K491" s="84"/>
      <c r="L491" s="177">
        <f>CHOOSE(Basis!$E$1,((AJ491*(J491*3600/Basis!$E$5)^AK491*(((MID(C491,9,3)*10)-144)/1000)*AL491+AM491*(J491*3600/Basis!$E$5)^2)*0.0098)/Basis!$E$10,((AJ491*(J491/Basis!$E$5)^AK491*(((MID(C491,9,3)*10)-144)/1000)*AL491+AM491*(J491/Basis!$E$5)^2)*0.0098)/Basis!$E$10)</f>
        <v>0</v>
      </c>
      <c r="M491" s="85"/>
      <c r="N491" s="110">
        <v>1.349</v>
      </c>
      <c r="O491" s="74"/>
      <c r="P491" s="73">
        <v>3843</v>
      </c>
      <c r="Q491" s="74"/>
      <c r="R491" s="75"/>
      <c r="S491" s="75"/>
      <c r="T491" s="75"/>
      <c r="U491" s="75"/>
      <c r="V491" s="75"/>
      <c r="W491" s="74"/>
      <c r="X491" s="76"/>
      <c r="Y491" s="76"/>
      <c r="Z491" s="76"/>
      <c r="AA491" s="76"/>
      <c r="AB491" s="76"/>
      <c r="AC491" s="74"/>
      <c r="AD491" s="77"/>
      <c r="AE491" s="77"/>
      <c r="AF491" s="77"/>
      <c r="AG491" s="77"/>
      <c r="AH491" s="77"/>
      <c r="AI491" s="68"/>
      <c r="AJ491" s="213"/>
      <c r="AK491" s="213"/>
      <c r="AL491" s="213"/>
      <c r="AM491" s="213"/>
      <c r="AN491" s="74"/>
      <c r="AO491" s="73"/>
      <c r="AP491" s="73"/>
      <c r="AQ491" s="73"/>
      <c r="AR491" s="73"/>
      <c r="AS491" s="73"/>
      <c r="AT491" s="74"/>
      <c r="AU491" s="47"/>
      <c r="AV491" s="48"/>
    </row>
    <row r="492" spans="1:48" ht="12.75" customHeight="1" x14ac:dyDescent="0.25">
      <c r="A492" s="72" t="s">
        <v>20</v>
      </c>
      <c r="B492" s="43" t="s">
        <v>4043</v>
      </c>
      <c r="C492" s="44" t="s">
        <v>3820</v>
      </c>
      <c r="D492" s="45">
        <f>MROUND(MID($C492,6,3)/Basis!$E$3,0.5)</f>
        <v>24.5</v>
      </c>
      <c r="E492" s="45">
        <f>MROUND(MID($C492,9,3)/Basis!$E$3,0.5)</f>
        <v>102.5</v>
      </c>
      <c r="F492" s="229" t="str">
        <f t="shared" si="7"/>
        <v>11</v>
      </c>
      <c r="G492" s="45">
        <f>ROUND(5/Basis!$E$3,1)</f>
        <v>2</v>
      </c>
      <c r="H492" s="120">
        <f>ROUND($P492*Basis!$E$2*((TaH-TrH)/LN(1/µ)/Basis!$E$7)^$N492*Glycol,0)</f>
        <v>5397</v>
      </c>
      <c r="I492" s="83">
        <f>ROUND(H492/(MID($C492,9,3)/Basis!$E$3/Basis!$E$9)*Basis!$E$11,0)</f>
        <v>633</v>
      </c>
      <c r="J492" s="123">
        <f>IF(Basis!$E$1=1,ROUND(H492/((TaH-TrH)*1.163)/3600,3),ROUND(H492/(500*(TaH-TrH)),2))</f>
        <v>0.54</v>
      </c>
      <c r="K492" s="84"/>
      <c r="L492" s="177">
        <f>CHOOSE(Basis!$E$1,((AJ492*(J492*3600/Basis!$E$5)^AK492*(((MID(C492,9,3)*10)-144)/1000)*AL492+AM492*(J492*3600/Basis!$E$5)^2)*0.0098)/Basis!$E$10,((AJ492*(J492/Basis!$E$5)^AK492*(((MID(C492,9,3)*10)-144)/1000)*AL492+AM492*(J492/Basis!$E$5)^2)*0.0098)/Basis!$E$10)</f>
        <v>0</v>
      </c>
      <c r="M492" s="85"/>
      <c r="N492" s="109">
        <v>1.248</v>
      </c>
      <c r="O492" s="68"/>
      <c r="P492" s="67">
        <v>2388</v>
      </c>
      <c r="Q492" s="68"/>
      <c r="R492" s="69"/>
      <c r="S492" s="69"/>
      <c r="T492" s="69"/>
      <c r="U492" s="69"/>
      <c r="V492" s="69"/>
      <c r="W492" s="68"/>
      <c r="X492" s="70"/>
      <c r="Y492" s="70"/>
      <c r="Z492" s="70"/>
      <c r="AA492" s="70"/>
      <c r="AB492" s="70"/>
      <c r="AC492" s="68"/>
      <c r="AD492" s="71"/>
      <c r="AE492" s="71"/>
      <c r="AF492" s="71"/>
      <c r="AG492" s="71"/>
      <c r="AH492" s="71"/>
      <c r="AI492" s="68"/>
      <c r="AJ492" s="214"/>
      <c r="AK492" s="214"/>
      <c r="AL492" s="214"/>
      <c r="AM492" s="214"/>
      <c r="AN492" s="68"/>
      <c r="AO492" s="67"/>
      <c r="AP492" s="67"/>
      <c r="AQ492" s="67"/>
      <c r="AR492" s="67"/>
      <c r="AS492" s="67"/>
      <c r="AT492" s="68"/>
      <c r="AU492" s="49"/>
      <c r="AV492" s="50"/>
    </row>
    <row r="493" spans="1:48" ht="12.75" customHeight="1" x14ac:dyDescent="0.25">
      <c r="A493" s="72" t="s">
        <v>20</v>
      </c>
      <c r="B493" s="43" t="s">
        <v>4043</v>
      </c>
      <c r="C493" s="44" t="s">
        <v>3821</v>
      </c>
      <c r="D493" s="45">
        <f>MROUND(MID($C493,6,3)/Basis!$E$3,0.5)</f>
        <v>24.5</v>
      </c>
      <c r="E493" s="45">
        <f>MROUND(MID($C493,9,3)/Basis!$E$3,0.5)</f>
        <v>102.5</v>
      </c>
      <c r="F493" s="229" t="str">
        <f t="shared" si="7"/>
        <v>22</v>
      </c>
      <c r="G493" s="45">
        <f>ROUND(9/Basis!$E$3,1)</f>
        <v>3.5</v>
      </c>
      <c r="H493" s="120">
        <f>ROUND($P493*Basis!$E$2*((TaH-TrH)/LN(1/µ)/Basis!$E$7)^$N493*Glycol,0)</f>
        <v>9101</v>
      </c>
      <c r="I493" s="83">
        <f>ROUND(H493/(MID($C493,9,3)/Basis!$E$3/Basis!$E$9)*Basis!$E$11,0)</f>
        <v>1067</v>
      </c>
      <c r="J493" s="123">
        <f>IF(Basis!$E$1=1,ROUND(H493/((TaH-TrH)*1.163)/3600,3),ROUND(H493/(500*(TaH-TrH)),2))</f>
        <v>0.91</v>
      </c>
      <c r="K493" s="84"/>
      <c r="L493" s="177">
        <f>CHOOSE(Basis!$E$1,((AJ493*(J493*3600/Basis!$E$5)^AK493*(((MID(C493,9,3)*10)-144)/1000)*AL493+AM493*(J493*3600/Basis!$E$5)^2)*0.0098)/Basis!$E$10,((AJ493*(J493/Basis!$E$5)^AK493*(((MID(C493,9,3)*10)-144)/1000)*AL493+AM493*(J493/Basis!$E$5)^2)*0.0098)/Basis!$E$10)</f>
        <v>0</v>
      </c>
      <c r="M493" s="85"/>
      <c r="N493" s="110">
        <v>1.349</v>
      </c>
      <c r="O493" s="74"/>
      <c r="P493" s="73">
        <v>4163</v>
      </c>
      <c r="Q493" s="74"/>
      <c r="R493" s="75"/>
      <c r="S493" s="75"/>
      <c r="T493" s="75"/>
      <c r="U493" s="75"/>
      <c r="V493" s="75"/>
      <c r="W493" s="74"/>
      <c r="X493" s="76"/>
      <c r="Y493" s="76"/>
      <c r="Z493" s="76"/>
      <c r="AA493" s="76"/>
      <c r="AB493" s="76"/>
      <c r="AC493" s="74"/>
      <c r="AD493" s="77"/>
      <c r="AE493" s="77"/>
      <c r="AF493" s="77"/>
      <c r="AG493" s="77"/>
      <c r="AH493" s="77"/>
      <c r="AI493" s="68"/>
      <c r="AJ493" s="213"/>
      <c r="AK493" s="213"/>
      <c r="AL493" s="213"/>
      <c r="AM493" s="213"/>
      <c r="AN493" s="74"/>
      <c r="AO493" s="73"/>
      <c r="AP493" s="73"/>
      <c r="AQ493" s="73"/>
      <c r="AR493" s="73"/>
      <c r="AS493" s="73"/>
      <c r="AT493" s="74"/>
      <c r="AU493" s="47"/>
      <c r="AV493" s="48"/>
    </row>
    <row r="494" spans="1:48" ht="12.75" customHeight="1" x14ac:dyDescent="0.25">
      <c r="A494" s="72" t="s">
        <v>20</v>
      </c>
      <c r="B494" s="43" t="s">
        <v>4043</v>
      </c>
      <c r="C494" s="44" t="s">
        <v>3822</v>
      </c>
      <c r="D494" s="45">
        <f>MROUND(MID($C494,6,3)/Basis!$E$3,0.5)</f>
        <v>24.5</v>
      </c>
      <c r="E494" s="45">
        <f>MROUND(MID($C494,9,3)/Basis!$E$3,0.5)</f>
        <v>110</v>
      </c>
      <c r="F494" s="229" t="str">
        <f t="shared" si="7"/>
        <v>11</v>
      </c>
      <c r="G494" s="45">
        <f>ROUND(5/Basis!$E$3,1)</f>
        <v>2</v>
      </c>
      <c r="H494" s="120">
        <f>ROUND($P494*Basis!$E$2*((TaH-TrH)/LN(1/µ)/Basis!$E$7)^$N494*Glycol,0)</f>
        <v>5813</v>
      </c>
      <c r="I494" s="83">
        <f>ROUND(H494/(MID($C494,9,3)/Basis!$E$3/Basis!$E$9)*Basis!$E$11,0)</f>
        <v>633</v>
      </c>
      <c r="J494" s="123">
        <f>IF(Basis!$E$1=1,ROUND(H494/((TaH-TrH)*1.163)/3600,3),ROUND(H494/(500*(TaH-TrH)),2))</f>
        <v>0.57999999999999996</v>
      </c>
      <c r="K494" s="84"/>
      <c r="L494" s="177">
        <f>CHOOSE(Basis!$E$1,((AJ494*(J494*3600/Basis!$E$5)^AK494*(((MID(C494,9,3)*10)-144)/1000)*AL494+AM494*(J494*3600/Basis!$E$5)^2)*0.0098)/Basis!$E$10,((AJ494*(J494/Basis!$E$5)^AK494*(((MID(C494,9,3)*10)-144)/1000)*AL494+AM494*(J494/Basis!$E$5)^2)*0.0098)/Basis!$E$10)</f>
        <v>0</v>
      </c>
      <c r="M494" s="85"/>
      <c r="N494" s="109">
        <v>1.248</v>
      </c>
      <c r="O494" s="68"/>
      <c r="P494" s="67">
        <v>2572</v>
      </c>
      <c r="Q494" s="68"/>
      <c r="R494" s="69"/>
      <c r="S494" s="69"/>
      <c r="T494" s="69"/>
      <c r="U494" s="69"/>
      <c r="V494" s="69"/>
      <c r="W494" s="68"/>
      <c r="X494" s="70"/>
      <c r="Y494" s="70"/>
      <c r="Z494" s="70"/>
      <c r="AA494" s="70"/>
      <c r="AB494" s="70"/>
      <c r="AC494" s="68"/>
      <c r="AD494" s="71"/>
      <c r="AE494" s="71"/>
      <c r="AF494" s="71"/>
      <c r="AG494" s="71"/>
      <c r="AH494" s="71"/>
      <c r="AI494" s="68"/>
      <c r="AJ494" s="214"/>
      <c r="AK494" s="214"/>
      <c r="AL494" s="214"/>
      <c r="AM494" s="214"/>
      <c r="AN494" s="68"/>
      <c r="AO494" s="67"/>
      <c r="AP494" s="67"/>
      <c r="AQ494" s="67"/>
      <c r="AR494" s="67"/>
      <c r="AS494" s="67"/>
      <c r="AT494" s="68"/>
      <c r="AU494" s="49"/>
      <c r="AV494" s="50"/>
    </row>
    <row r="495" spans="1:48" ht="12.75" customHeight="1" x14ac:dyDescent="0.25">
      <c r="A495" s="72" t="s">
        <v>20</v>
      </c>
      <c r="B495" s="43" t="s">
        <v>4043</v>
      </c>
      <c r="C495" s="44" t="s">
        <v>3823</v>
      </c>
      <c r="D495" s="45">
        <f>MROUND(MID($C495,6,3)/Basis!$E$3,0.5)</f>
        <v>24.5</v>
      </c>
      <c r="E495" s="45">
        <f>MROUND(MID($C495,9,3)/Basis!$E$3,0.5)</f>
        <v>110</v>
      </c>
      <c r="F495" s="229" t="str">
        <f t="shared" si="7"/>
        <v>22</v>
      </c>
      <c r="G495" s="45">
        <f>ROUND(9/Basis!$E$3,1)</f>
        <v>3.5</v>
      </c>
      <c r="H495" s="120">
        <f>ROUND($P495*Basis!$E$2*((TaH-TrH)/LN(1/µ)/Basis!$E$7)^$N495*Glycol,0)</f>
        <v>9802</v>
      </c>
      <c r="I495" s="83">
        <f>ROUND(H495/(MID($C495,9,3)/Basis!$E$3/Basis!$E$9)*Basis!$E$11,0)</f>
        <v>1067</v>
      </c>
      <c r="J495" s="123">
        <f>IF(Basis!$E$1=1,ROUND(H495/((TaH-TrH)*1.163)/3600,3),ROUND(H495/(500*(TaH-TrH)),2))</f>
        <v>0.98</v>
      </c>
      <c r="K495" s="84"/>
      <c r="L495" s="177">
        <f>CHOOSE(Basis!$E$1,((AJ495*(J495*3600/Basis!$E$5)^AK495*(((MID(C495,9,3)*10)-144)/1000)*AL495+AM495*(J495*3600/Basis!$E$5)^2)*0.0098)/Basis!$E$10,((AJ495*(J495/Basis!$E$5)^AK495*(((MID(C495,9,3)*10)-144)/1000)*AL495+AM495*(J495/Basis!$E$5)^2)*0.0098)/Basis!$E$10)</f>
        <v>0</v>
      </c>
      <c r="M495" s="85"/>
      <c r="N495" s="110">
        <v>1.349</v>
      </c>
      <c r="O495" s="74"/>
      <c r="P495" s="73">
        <v>4484</v>
      </c>
      <c r="Q495" s="74"/>
      <c r="R495" s="75"/>
      <c r="S495" s="75"/>
      <c r="T495" s="75"/>
      <c r="U495" s="75"/>
      <c r="V495" s="75"/>
      <c r="W495" s="74"/>
      <c r="X495" s="76"/>
      <c r="Y495" s="76"/>
      <c r="Z495" s="76"/>
      <c r="AA495" s="76"/>
      <c r="AB495" s="76"/>
      <c r="AC495" s="74"/>
      <c r="AD495" s="77"/>
      <c r="AE495" s="77"/>
      <c r="AF495" s="77"/>
      <c r="AG495" s="77"/>
      <c r="AH495" s="77"/>
      <c r="AI495" s="68"/>
      <c r="AJ495" s="213"/>
      <c r="AK495" s="213"/>
      <c r="AL495" s="213"/>
      <c r="AM495" s="213"/>
      <c r="AN495" s="74"/>
      <c r="AO495" s="73"/>
      <c r="AP495" s="73"/>
      <c r="AQ495" s="73"/>
      <c r="AR495" s="73"/>
      <c r="AS495" s="73"/>
      <c r="AT495" s="74"/>
      <c r="AU495" s="47"/>
      <c r="AV495" s="48"/>
    </row>
    <row r="496" spans="1:48" ht="12.75" customHeight="1" x14ac:dyDescent="0.25">
      <c r="A496" s="72" t="s">
        <v>20</v>
      </c>
      <c r="B496" s="43" t="s">
        <v>4043</v>
      </c>
      <c r="C496" s="44" t="s">
        <v>3824</v>
      </c>
      <c r="D496" s="45">
        <f>MROUND(MID($C496,6,3)/Basis!$E$3,0.5)</f>
        <v>24.5</v>
      </c>
      <c r="E496" s="45">
        <f>MROUND(MID($C496,9,3)/Basis!$E$3,0.5)</f>
        <v>118</v>
      </c>
      <c r="F496" s="229" t="str">
        <f t="shared" si="7"/>
        <v>11</v>
      </c>
      <c r="G496" s="45">
        <f>ROUND(5/Basis!$E$3,1)</f>
        <v>2</v>
      </c>
      <c r="H496" s="120">
        <f>ROUND($P496*Basis!$E$2*((TaH-TrH)/LN(1/µ)/Basis!$E$7)^$N496*Glycol,0)</f>
        <v>6229</v>
      </c>
      <c r="I496" s="83">
        <f>ROUND(H496/(MID($C496,9,3)/Basis!$E$3/Basis!$E$9)*Basis!$E$11,0)</f>
        <v>633</v>
      </c>
      <c r="J496" s="123">
        <f>IF(Basis!$E$1=1,ROUND(H496/((TaH-TrH)*1.163)/3600,3),ROUND(H496/(500*(TaH-TrH)),2))</f>
        <v>0.62</v>
      </c>
      <c r="K496" s="84"/>
      <c r="L496" s="177">
        <f>CHOOSE(Basis!$E$1,((AJ496*(J496*3600/Basis!$E$5)^AK496*(((MID(C496,9,3)*10)-144)/1000)*AL496+AM496*(J496*3600/Basis!$E$5)^2)*0.0098)/Basis!$E$10,((AJ496*(J496/Basis!$E$5)^AK496*(((MID(C496,9,3)*10)-144)/1000)*AL496+AM496*(J496/Basis!$E$5)^2)*0.0098)/Basis!$E$10)</f>
        <v>0</v>
      </c>
      <c r="M496" s="85"/>
      <c r="N496" s="109">
        <v>1.248</v>
      </c>
      <c r="O496" s="68"/>
      <c r="P496" s="67">
        <v>2756</v>
      </c>
      <c r="Q496" s="68"/>
      <c r="R496" s="69"/>
      <c r="S496" s="69"/>
      <c r="T496" s="69"/>
      <c r="U496" s="69"/>
      <c r="V496" s="69"/>
      <c r="W496" s="68"/>
      <c r="X496" s="70"/>
      <c r="Y496" s="70"/>
      <c r="Z496" s="70"/>
      <c r="AA496" s="70"/>
      <c r="AB496" s="70"/>
      <c r="AC496" s="68"/>
      <c r="AD496" s="71"/>
      <c r="AE496" s="71"/>
      <c r="AF496" s="71"/>
      <c r="AG496" s="71"/>
      <c r="AH496" s="71"/>
      <c r="AI496" s="68"/>
      <c r="AJ496" s="214"/>
      <c r="AK496" s="214"/>
      <c r="AL496" s="214"/>
      <c r="AM496" s="214"/>
      <c r="AN496" s="68"/>
      <c r="AO496" s="67"/>
      <c r="AP496" s="67"/>
      <c r="AQ496" s="67"/>
      <c r="AR496" s="67"/>
      <c r="AS496" s="67"/>
      <c r="AT496" s="68"/>
      <c r="AU496" s="49"/>
      <c r="AV496" s="50"/>
    </row>
    <row r="497" spans="1:48" ht="12.75" customHeight="1" x14ac:dyDescent="0.25">
      <c r="A497" s="72" t="s">
        <v>20</v>
      </c>
      <c r="B497" s="43" t="s">
        <v>4043</v>
      </c>
      <c r="C497" s="44" t="s">
        <v>3825</v>
      </c>
      <c r="D497" s="45">
        <f>MROUND(MID($C497,6,3)/Basis!$E$3,0.5)</f>
        <v>24.5</v>
      </c>
      <c r="E497" s="45">
        <f>MROUND(MID($C497,9,3)/Basis!$E$3,0.5)</f>
        <v>118</v>
      </c>
      <c r="F497" s="229" t="str">
        <f t="shared" si="7"/>
        <v>22</v>
      </c>
      <c r="G497" s="45">
        <f>ROUND(9/Basis!$E$3,1)</f>
        <v>3.5</v>
      </c>
      <c r="H497" s="120">
        <f>ROUND($P497*Basis!$E$2*((TaH-TrH)/LN(1/µ)/Basis!$E$7)^$N497*Glycol,0)</f>
        <v>10502</v>
      </c>
      <c r="I497" s="83">
        <f>ROUND(H497/(MID($C497,9,3)/Basis!$E$3/Basis!$E$9)*Basis!$E$11,0)</f>
        <v>1067</v>
      </c>
      <c r="J497" s="123">
        <f>IF(Basis!$E$1=1,ROUND(H497/((TaH-TrH)*1.163)/3600,3),ROUND(H497/(500*(TaH-TrH)),2))</f>
        <v>1.05</v>
      </c>
      <c r="K497" s="84"/>
      <c r="L497" s="177">
        <f>CHOOSE(Basis!$E$1,((AJ497*(J497*3600/Basis!$E$5)^AK497*(((MID(C497,9,3)*10)-144)/1000)*AL497+AM497*(J497*3600/Basis!$E$5)^2)*0.0098)/Basis!$E$10,((AJ497*(J497/Basis!$E$5)^AK497*(((MID(C497,9,3)*10)-144)/1000)*AL497+AM497*(J497/Basis!$E$5)^2)*0.0098)/Basis!$E$10)</f>
        <v>0</v>
      </c>
      <c r="M497" s="85"/>
      <c r="N497" s="110">
        <v>1.349</v>
      </c>
      <c r="O497" s="74"/>
      <c r="P497" s="73">
        <v>4804</v>
      </c>
      <c r="Q497" s="74"/>
      <c r="R497" s="75"/>
      <c r="S497" s="75"/>
      <c r="T497" s="75"/>
      <c r="U497" s="75"/>
      <c r="V497" s="75"/>
      <c r="W497" s="74"/>
      <c r="X497" s="76"/>
      <c r="Y497" s="76"/>
      <c r="Z497" s="76"/>
      <c r="AA497" s="76"/>
      <c r="AB497" s="76"/>
      <c r="AC497" s="74"/>
      <c r="AD497" s="77"/>
      <c r="AE497" s="77"/>
      <c r="AF497" s="77"/>
      <c r="AG497" s="77"/>
      <c r="AH497" s="77"/>
      <c r="AI497" s="68"/>
      <c r="AJ497" s="213"/>
      <c r="AK497" s="213"/>
      <c r="AL497" s="213"/>
      <c r="AM497" s="213"/>
      <c r="AN497" s="74"/>
      <c r="AO497" s="73"/>
      <c r="AP497" s="73"/>
      <c r="AQ497" s="73"/>
      <c r="AR497" s="73"/>
      <c r="AS497" s="73"/>
      <c r="AT497" s="74"/>
      <c r="AU497" s="47"/>
      <c r="AV497" s="48"/>
    </row>
    <row r="498" spans="1:48" ht="12.75" customHeight="1" x14ac:dyDescent="0.25">
      <c r="A498" s="72" t="s">
        <v>20</v>
      </c>
      <c r="B498" s="43" t="s">
        <v>4043</v>
      </c>
      <c r="C498" s="44" t="s">
        <v>3826</v>
      </c>
      <c r="D498" s="45">
        <f>MROUND(MID($C498,6,3)/Basis!$E$3,0.5)</f>
        <v>27</v>
      </c>
      <c r="E498" s="45">
        <f>MROUND(MID($C498,9,3)/Basis!$E$3,0.5)</f>
        <v>23.5</v>
      </c>
      <c r="F498" s="229" t="str">
        <f t="shared" si="7"/>
        <v>11</v>
      </c>
      <c r="G498" s="45">
        <f>ROUND(5/Basis!$E$3,1)</f>
        <v>2</v>
      </c>
      <c r="H498" s="120">
        <f>ROUND($P498*Basis!$E$2*((TaH-TrH)/LN(1/µ)/Basis!$E$7)^$N498*Glycol,0)</f>
        <v>1338</v>
      </c>
      <c r="I498" s="83">
        <f>ROUND(H498/(MID($C498,9,3)/Basis!$E$3/Basis!$E$9)*Basis!$E$11,0)</f>
        <v>680</v>
      </c>
      <c r="J498" s="123">
        <f>IF(Basis!$E$1=1,ROUND(H498/((TaH-TrH)*1.163)/3600,3),ROUND(H498/(500*(TaH-TrH)),2))</f>
        <v>0.13</v>
      </c>
      <c r="K498" s="84"/>
      <c r="L498" s="177">
        <f>CHOOSE(Basis!$E$1,((AJ498*(J498*3600/Basis!$E$5)^AK498*(((MID(C498,9,3)*10)-144)/1000)*AL498+AM498*(J498*3600/Basis!$E$5)^2)*0.0098)/Basis!$E$10,((AJ498*(J498/Basis!$E$5)^AK498*(((MID(C498,9,3)*10)-144)/1000)*AL498+AM498*(J498/Basis!$E$5)^2)*0.0098)/Basis!$E$10)</f>
        <v>0</v>
      </c>
      <c r="M498" s="85"/>
      <c r="N498" s="109">
        <v>1.2490000000000001</v>
      </c>
      <c r="O498" s="68"/>
      <c r="P498" s="67">
        <v>592</v>
      </c>
      <c r="Q498" s="68"/>
      <c r="R498" s="69"/>
      <c r="S498" s="69"/>
      <c r="T498" s="69"/>
      <c r="U498" s="69"/>
      <c r="V498" s="69"/>
      <c r="W498" s="68"/>
      <c r="X498" s="70"/>
      <c r="Y498" s="70"/>
      <c r="Z498" s="70"/>
      <c r="AA498" s="70"/>
      <c r="AB498" s="70"/>
      <c r="AC498" s="68"/>
      <c r="AD498" s="71"/>
      <c r="AE498" s="71"/>
      <c r="AF498" s="71"/>
      <c r="AG498" s="71"/>
      <c r="AH498" s="71"/>
      <c r="AI498" s="68"/>
      <c r="AJ498" s="214"/>
      <c r="AK498" s="214"/>
      <c r="AL498" s="214"/>
      <c r="AM498" s="214"/>
      <c r="AN498" s="68"/>
      <c r="AO498" s="67"/>
      <c r="AP498" s="67"/>
      <c r="AQ498" s="67"/>
      <c r="AR498" s="67"/>
      <c r="AS498" s="67"/>
      <c r="AT498" s="68"/>
      <c r="AU498" s="49"/>
      <c r="AV498" s="50"/>
    </row>
    <row r="499" spans="1:48" ht="12.75" customHeight="1" x14ac:dyDescent="0.25">
      <c r="A499" s="72" t="s">
        <v>20</v>
      </c>
      <c r="B499" s="43" t="s">
        <v>4043</v>
      </c>
      <c r="C499" s="44" t="s">
        <v>3827</v>
      </c>
      <c r="D499" s="45">
        <f>MROUND(MID($C499,6,3)/Basis!$E$3,0.5)</f>
        <v>27</v>
      </c>
      <c r="E499" s="45">
        <f>MROUND(MID($C499,9,3)/Basis!$E$3,0.5)</f>
        <v>23.5</v>
      </c>
      <c r="F499" s="229" t="str">
        <f t="shared" si="7"/>
        <v>22</v>
      </c>
      <c r="G499" s="45">
        <f>ROUND(9/Basis!$E$3,1)</f>
        <v>3.5</v>
      </c>
      <c r="H499" s="120">
        <f>ROUND($P499*Basis!$E$2*((TaH-TrH)/LN(1/µ)/Basis!$E$7)^$N499*Glycol,0)</f>
        <v>2241</v>
      </c>
      <c r="I499" s="83">
        <f>ROUND(H499/(MID($C499,9,3)/Basis!$E$3/Basis!$E$9)*Basis!$E$11,0)</f>
        <v>1138</v>
      </c>
      <c r="J499" s="123">
        <f>IF(Basis!$E$1=1,ROUND(H499/((TaH-TrH)*1.163)/3600,3),ROUND(H499/(500*(TaH-TrH)),2))</f>
        <v>0.22</v>
      </c>
      <c r="K499" s="84"/>
      <c r="L499" s="177">
        <f>CHOOSE(Basis!$E$1,((AJ499*(J499*3600/Basis!$E$5)^AK499*(((MID(C499,9,3)*10)-144)/1000)*AL499+AM499*(J499*3600/Basis!$E$5)^2)*0.0098)/Basis!$E$10,((AJ499*(J499/Basis!$E$5)^AK499*(((MID(C499,9,3)*10)-144)/1000)*AL499+AM499*(J499/Basis!$E$5)^2)*0.0098)/Basis!$E$10)</f>
        <v>0</v>
      </c>
      <c r="M499" s="85"/>
      <c r="N499" s="110">
        <v>1.349</v>
      </c>
      <c r="O499" s="74"/>
      <c r="P499" s="73">
        <v>1025</v>
      </c>
      <c r="Q499" s="74"/>
      <c r="R499" s="75"/>
      <c r="S499" s="75"/>
      <c r="T499" s="75"/>
      <c r="U499" s="75"/>
      <c r="V499" s="75"/>
      <c r="W499" s="74"/>
      <c r="X499" s="76"/>
      <c r="Y499" s="76"/>
      <c r="Z499" s="76"/>
      <c r="AA499" s="76"/>
      <c r="AB499" s="76"/>
      <c r="AC499" s="74"/>
      <c r="AD499" s="77"/>
      <c r="AE499" s="77"/>
      <c r="AF499" s="77"/>
      <c r="AG499" s="77"/>
      <c r="AH499" s="77"/>
      <c r="AI499" s="68"/>
      <c r="AJ499" s="213"/>
      <c r="AK499" s="213"/>
      <c r="AL499" s="213"/>
      <c r="AM499" s="213"/>
      <c r="AN499" s="74"/>
      <c r="AO499" s="73"/>
      <c r="AP499" s="73"/>
      <c r="AQ499" s="73"/>
      <c r="AR499" s="73"/>
      <c r="AS499" s="73"/>
      <c r="AT499" s="74"/>
      <c r="AU499" s="47"/>
      <c r="AV499" s="48"/>
    </row>
    <row r="500" spans="1:48" ht="12.75" customHeight="1" x14ac:dyDescent="0.25">
      <c r="A500" s="72" t="s">
        <v>20</v>
      </c>
      <c r="B500" s="43" t="s">
        <v>4043</v>
      </c>
      <c r="C500" s="44" t="s">
        <v>3828</v>
      </c>
      <c r="D500" s="45">
        <f>MROUND(MID($C500,6,3)/Basis!$E$3,0.5)</f>
        <v>27</v>
      </c>
      <c r="E500" s="45">
        <f>MROUND(MID($C500,9,3)/Basis!$E$3,0.5)</f>
        <v>31.5</v>
      </c>
      <c r="F500" s="229" t="str">
        <f t="shared" si="7"/>
        <v>11</v>
      </c>
      <c r="G500" s="45">
        <f>ROUND(5/Basis!$E$3,1)</f>
        <v>2</v>
      </c>
      <c r="H500" s="120">
        <f>ROUND($P500*Basis!$E$2*((TaH-TrH)/LN(1/µ)/Basis!$E$7)^$N500*Glycol,0)</f>
        <v>1783</v>
      </c>
      <c r="I500" s="83">
        <f>ROUND(H500/(MID($C500,9,3)/Basis!$E$3/Basis!$E$9)*Basis!$E$11,0)</f>
        <v>679</v>
      </c>
      <c r="J500" s="123">
        <f>IF(Basis!$E$1=1,ROUND(H500/((TaH-TrH)*1.163)/3600,3),ROUND(H500/(500*(TaH-TrH)),2))</f>
        <v>0.18</v>
      </c>
      <c r="K500" s="84"/>
      <c r="L500" s="177">
        <f>CHOOSE(Basis!$E$1,((AJ500*(J500*3600/Basis!$E$5)^AK500*(((MID(C500,9,3)*10)-144)/1000)*AL500+AM500*(J500*3600/Basis!$E$5)^2)*0.0098)/Basis!$E$10,((AJ500*(J500/Basis!$E$5)^AK500*(((MID(C500,9,3)*10)-144)/1000)*AL500+AM500*(J500/Basis!$E$5)^2)*0.0098)/Basis!$E$10)</f>
        <v>0</v>
      </c>
      <c r="M500" s="85"/>
      <c r="N500" s="109">
        <v>1.2490000000000001</v>
      </c>
      <c r="O500" s="68"/>
      <c r="P500" s="67">
        <v>789</v>
      </c>
      <c r="Q500" s="68"/>
      <c r="R500" s="69"/>
      <c r="S500" s="69"/>
      <c r="T500" s="69"/>
      <c r="U500" s="69"/>
      <c r="V500" s="69"/>
      <c r="W500" s="68"/>
      <c r="X500" s="70"/>
      <c r="Y500" s="70"/>
      <c r="Z500" s="70"/>
      <c r="AA500" s="70"/>
      <c r="AB500" s="70"/>
      <c r="AC500" s="68"/>
      <c r="AD500" s="71"/>
      <c r="AE500" s="71"/>
      <c r="AF500" s="71"/>
      <c r="AG500" s="71"/>
      <c r="AH500" s="71"/>
      <c r="AI500" s="68"/>
      <c r="AJ500" s="214"/>
      <c r="AK500" s="214"/>
      <c r="AL500" s="214"/>
      <c r="AM500" s="214"/>
      <c r="AN500" s="68"/>
      <c r="AO500" s="67"/>
      <c r="AP500" s="67"/>
      <c r="AQ500" s="67"/>
      <c r="AR500" s="67"/>
      <c r="AS500" s="67"/>
      <c r="AT500" s="68"/>
      <c r="AU500" s="49"/>
      <c r="AV500" s="50"/>
    </row>
    <row r="501" spans="1:48" ht="12.75" customHeight="1" x14ac:dyDescent="0.25">
      <c r="A501" s="72" t="s">
        <v>20</v>
      </c>
      <c r="B501" s="43" t="s">
        <v>4043</v>
      </c>
      <c r="C501" s="44" t="s">
        <v>3829</v>
      </c>
      <c r="D501" s="45">
        <f>MROUND(MID($C501,6,3)/Basis!$E$3,0.5)</f>
        <v>27</v>
      </c>
      <c r="E501" s="45">
        <f>MROUND(MID($C501,9,3)/Basis!$E$3,0.5)</f>
        <v>31.5</v>
      </c>
      <c r="F501" s="229" t="str">
        <f t="shared" si="7"/>
        <v>22</v>
      </c>
      <c r="G501" s="45">
        <f>ROUND(9/Basis!$E$3,1)</f>
        <v>3.5</v>
      </c>
      <c r="H501" s="120">
        <f>ROUND($P501*Basis!$E$2*((TaH-TrH)/LN(1/µ)/Basis!$E$7)^$N501*Glycol,0)</f>
        <v>2988</v>
      </c>
      <c r="I501" s="83">
        <f>ROUND(H501/(MID($C501,9,3)/Basis!$E$3/Basis!$E$9)*Basis!$E$11,0)</f>
        <v>1138</v>
      </c>
      <c r="J501" s="123">
        <f>IF(Basis!$E$1=1,ROUND(H501/((TaH-TrH)*1.163)/3600,3),ROUND(H501/(500*(TaH-TrH)),2))</f>
        <v>0.3</v>
      </c>
      <c r="K501" s="84"/>
      <c r="L501" s="177">
        <f>CHOOSE(Basis!$E$1,((AJ501*(J501*3600/Basis!$E$5)^AK501*(((MID(C501,9,3)*10)-144)/1000)*AL501+AM501*(J501*3600/Basis!$E$5)^2)*0.0098)/Basis!$E$10,((AJ501*(J501/Basis!$E$5)^AK501*(((MID(C501,9,3)*10)-144)/1000)*AL501+AM501*(J501/Basis!$E$5)^2)*0.0098)/Basis!$E$10)</f>
        <v>0</v>
      </c>
      <c r="M501" s="85"/>
      <c r="N501" s="110">
        <v>1.349</v>
      </c>
      <c r="O501" s="74"/>
      <c r="P501" s="73">
        <v>1367</v>
      </c>
      <c r="Q501" s="74"/>
      <c r="R501" s="75"/>
      <c r="S501" s="75"/>
      <c r="T501" s="75"/>
      <c r="U501" s="75"/>
      <c r="V501" s="75"/>
      <c r="W501" s="74"/>
      <c r="X501" s="76"/>
      <c r="Y501" s="76"/>
      <c r="Z501" s="76"/>
      <c r="AA501" s="76"/>
      <c r="AB501" s="76"/>
      <c r="AC501" s="74"/>
      <c r="AD501" s="77"/>
      <c r="AE501" s="77"/>
      <c r="AF501" s="77"/>
      <c r="AG501" s="77"/>
      <c r="AH501" s="77"/>
      <c r="AI501" s="68"/>
      <c r="AJ501" s="213"/>
      <c r="AK501" s="213"/>
      <c r="AL501" s="213"/>
      <c r="AM501" s="213"/>
      <c r="AN501" s="74"/>
      <c r="AO501" s="73"/>
      <c r="AP501" s="73"/>
      <c r="AQ501" s="73"/>
      <c r="AR501" s="73"/>
      <c r="AS501" s="73"/>
      <c r="AT501" s="74"/>
      <c r="AU501" s="47"/>
      <c r="AV501" s="48"/>
    </row>
    <row r="502" spans="1:48" ht="12.75" customHeight="1" x14ac:dyDescent="0.25">
      <c r="A502" s="72" t="s">
        <v>20</v>
      </c>
      <c r="B502" s="43" t="s">
        <v>4043</v>
      </c>
      <c r="C502" s="44" t="s">
        <v>3830</v>
      </c>
      <c r="D502" s="45">
        <f>MROUND(MID($C502,6,3)/Basis!$E$3,0.5)</f>
        <v>27</v>
      </c>
      <c r="E502" s="45">
        <f>MROUND(MID($C502,9,3)/Basis!$E$3,0.5)</f>
        <v>39.5</v>
      </c>
      <c r="F502" s="229" t="str">
        <f t="shared" si="7"/>
        <v>11</v>
      </c>
      <c r="G502" s="45">
        <f>ROUND(5/Basis!$E$3,1)</f>
        <v>2</v>
      </c>
      <c r="H502" s="120">
        <f>ROUND($P502*Basis!$E$2*((TaH-TrH)/LN(1/µ)/Basis!$E$7)^$N502*Glycol,0)</f>
        <v>2228</v>
      </c>
      <c r="I502" s="83">
        <f>ROUND(H502/(MID($C502,9,3)/Basis!$E$3/Basis!$E$9)*Basis!$E$11,0)</f>
        <v>679</v>
      </c>
      <c r="J502" s="123">
        <f>IF(Basis!$E$1=1,ROUND(H502/((TaH-TrH)*1.163)/3600,3),ROUND(H502/(500*(TaH-TrH)),2))</f>
        <v>0.22</v>
      </c>
      <c r="K502" s="84"/>
      <c r="L502" s="177">
        <f>CHOOSE(Basis!$E$1,((AJ502*(J502*3600/Basis!$E$5)^AK502*(((MID(C502,9,3)*10)-144)/1000)*AL502+AM502*(J502*3600/Basis!$E$5)^2)*0.0098)/Basis!$E$10,((AJ502*(J502/Basis!$E$5)^AK502*(((MID(C502,9,3)*10)-144)/1000)*AL502+AM502*(J502/Basis!$E$5)^2)*0.0098)/Basis!$E$10)</f>
        <v>0</v>
      </c>
      <c r="M502" s="85"/>
      <c r="N502" s="109">
        <v>1.2490000000000001</v>
      </c>
      <c r="O502" s="68"/>
      <c r="P502" s="67">
        <v>986</v>
      </c>
      <c r="Q502" s="68"/>
      <c r="R502" s="69"/>
      <c r="S502" s="69"/>
      <c r="T502" s="69"/>
      <c r="U502" s="69"/>
      <c r="V502" s="69"/>
      <c r="W502" s="68"/>
      <c r="X502" s="70"/>
      <c r="Y502" s="70"/>
      <c r="Z502" s="70"/>
      <c r="AA502" s="70"/>
      <c r="AB502" s="70"/>
      <c r="AC502" s="68"/>
      <c r="AD502" s="71"/>
      <c r="AE502" s="71"/>
      <c r="AF502" s="71"/>
      <c r="AG502" s="71"/>
      <c r="AH502" s="71"/>
      <c r="AI502" s="68"/>
      <c r="AJ502" s="214"/>
      <c r="AK502" s="214"/>
      <c r="AL502" s="214"/>
      <c r="AM502" s="214"/>
      <c r="AN502" s="68"/>
      <c r="AO502" s="67"/>
      <c r="AP502" s="67"/>
      <c r="AQ502" s="67"/>
      <c r="AR502" s="67"/>
      <c r="AS502" s="67"/>
      <c r="AT502" s="68"/>
      <c r="AU502" s="49"/>
      <c r="AV502" s="50"/>
    </row>
    <row r="503" spans="1:48" ht="12.75" customHeight="1" x14ac:dyDescent="0.25">
      <c r="A503" s="72" t="s">
        <v>20</v>
      </c>
      <c r="B503" s="43" t="s">
        <v>4043</v>
      </c>
      <c r="C503" s="44" t="s">
        <v>3831</v>
      </c>
      <c r="D503" s="45">
        <f>MROUND(MID($C503,6,3)/Basis!$E$3,0.5)</f>
        <v>27</v>
      </c>
      <c r="E503" s="45">
        <f>MROUND(MID($C503,9,3)/Basis!$E$3,0.5)</f>
        <v>39.5</v>
      </c>
      <c r="F503" s="229" t="str">
        <f t="shared" si="7"/>
        <v>22</v>
      </c>
      <c r="G503" s="45">
        <f>ROUND(9/Basis!$E$3,1)</f>
        <v>3.5</v>
      </c>
      <c r="H503" s="120">
        <f>ROUND($P503*Basis!$E$2*((TaH-TrH)/LN(1/µ)/Basis!$E$7)^$N503*Glycol,0)</f>
        <v>3736</v>
      </c>
      <c r="I503" s="83">
        <f>ROUND(H503/(MID($C503,9,3)/Basis!$E$3/Basis!$E$9)*Basis!$E$11,0)</f>
        <v>1139</v>
      </c>
      <c r="J503" s="123">
        <f>IF(Basis!$E$1=1,ROUND(H503/((TaH-TrH)*1.163)/3600,3),ROUND(H503/(500*(TaH-TrH)),2))</f>
        <v>0.37</v>
      </c>
      <c r="K503" s="84"/>
      <c r="L503" s="177">
        <f>CHOOSE(Basis!$E$1,((AJ503*(J503*3600/Basis!$E$5)^AK503*(((MID(C503,9,3)*10)-144)/1000)*AL503+AM503*(J503*3600/Basis!$E$5)^2)*0.0098)/Basis!$E$10,((AJ503*(J503/Basis!$E$5)^AK503*(((MID(C503,9,3)*10)-144)/1000)*AL503+AM503*(J503/Basis!$E$5)^2)*0.0098)/Basis!$E$10)</f>
        <v>0</v>
      </c>
      <c r="M503" s="85"/>
      <c r="N503" s="110">
        <v>1.349</v>
      </c>
      <c r="O503" s="74"/>
      <c r="P503" s="73">
        <v>1709</v>
      </c>
      <c r="Q503" s="74"/>
      <c r="R503" s="75"/>
      <c r="S503" s="75"/>
      <c r="T503" s="75"/>
      <c r="U503" s="75"/>
      <c r="V503" s="75"/>
      <c r="W503" s="74"/>
      <c r="X503" s="76"/>
      <c r="Y503" s="76"/>
      <c r="Z503" s="76"/>
      <c r="AA503" s="76"/>
      <c r="AB503" s="76"/>
      <c r="AC503" s="74"/>
      <c r="AD503" s="77"/>
      <c r="AE503" s="77"/>
      <c r="AF503" s="77"/>
      <c r="AG503" s="77"/>
      <c r="AH503" s="77"/>
      <c r="AI503" s="68"/>
      <c r="AJ503" s="213"/>
      <c r="AK503" s="213"/>
      <c r="AL503" s="213"/>
      <c r="AM503" s="213"/>
      <c r="AN503" s="74"/>
      <c r="AO503" s="73"/>
      <c r="AP503" s="73"/>
      <c r="AQ503" s="73"/>
      <c r="AR503" s="73"/>
      <c r="AS503" s="73"/>
      <c r="AT503" s="74"/>
      <c r="AU503" s="47"/>
      <c r="AV503" s="48"/>
    </row>
    <row r="504" spans="1:48" ht="12.75" customHeight="1" x14ac:dyDescent="0.25">
      <c r="A504" s="72" t="s">
        <v>20</v>
      </c>
      <c r="B504" s="43" t="s">
        <v>4043</v>
      </c>
      <c r="C504" s="44" t="s">
        <v>3832</v>
      </c>
      <c r="D504" s="45">
        <f>MROUND(MID($C504,6,3)/Basis!$E$3,0.5)</f>
        <v>27</v>
      </c>
      <c r="E504" s="45">
        <f>MROUND(MID($C504,9,3)/Basis!$E$3,0.5)</f>
        <v>47</v>
      </c>
      <c r="F504" s="229" t="str">
        <f t="shared" si="7"/>
        <v>11</v>
      </c>
      <c r="G504" s="45">
        <f>ROUND(5/Basis!$E$3,1)</f>
        <v>2</v>
      </c>
      <c r="H504" s="120">
        <f>ROUND($P504*Basis!$E$2*((TaH-TrH)/LN(1/µ)/Basis!$E$7)^$N504*Glycol,0)</f>
        <v>2673</v>
      </c>
      <c r="I504" s="83">
        <f>ROUND(H504/(MID($C504,9,3)/Basis!$E$3/Basis!$E$9)*Basis!$E$11,0)</f>
        <v>679</v>
      </c>
      <c r="J504" s="123">
        <f>IF(Basis!$E$1=1,ROUND(H504/((TaH-TrH)*1.163)/3600,3),ROUND(H504/(500*(TaH-TrH)),2))</f>
        <v>0.27</v>
      </c>
      <c r="K504" s="84"/>
      <c r="L504" s="177">
        <f>CHOOSE(Basis!$E$1,((AJ504*(J504*3600/Basis!$E$5)^AK504*(((MID(C504,9,3)*10)-144)/1000)*AL504+AM504*(J504*3600/Basis!$E$5)^2)*0.0098)/Basis!$E$10,((AJ504*(J504/Basis!$E$5)^AK504*(((MID(C504,9,3)*10)-144)/1000)*AL504+AM504*(J504/Basis!$E$5)^2)*0.0098)/Basis!$E$10)</f>
        <v>0</v>
      </c>
      <c r="M504" s="85"/>
      <c r="N504" s="109">
        <v>1.2490000000000001</v>
      </c>
      <c r="O504" s="68"/>
      <c r="P504" s="67">
        <v>1183</v>
      </c>
      <c r="Q504" s="68"/>
      <c r="R504" s="69"/>
      <c r="S504" s="69"/>
      <c r="T504" s="69"/>
      <c r="U504" s="69"/>
      <c r="V504" s="69"/>
      <c r="W504" s="68"/>
      <c r="X504" s="70"/>
      <c r="Y504" s="70"/>
      <c r="Z504" s="70"/>
      <c r="AA504" s="70"/>
      <c r="AB504" s="70"/>
      <c r="AC504" s="68"/>
      <c r="AD504" s="71"/>
      <c r="AE504" s="71"/>
      <c r="AF504" s="71"/>
      <c r="AG504" s="71"/>
      <c r="AH504" s="71"/>
      <c r="AI504" s="68"/>
      <c r="AJ504" s="214"/>
      <c r="AK504" s="214"/>
      <c r="AL504" s="214"/>
      <c r="AM504" s="214"/>
      <c r="AN504" s="68"/>
      <c r="AO504" s="67"/>
      <c r="AP504" s="67"/>
      <c r="AQ504" s="67"/>
      <c r="AR504" s="67"/>
      <c r="AS504" s="67"/>
      <c r="AT504" s="68"/>
      <c r="AU504" s="49"/>
      <c r="AV504" s="50"/>
    </row>
    <row r="505" spans="1:48" ht="12.75" customHeight="1" x14ac:dyDescent="0.25">
      <c r="A505" s="72" t="s">
        <v>20</v>
      </c>
      <c r="B505" s="43" t="s">
        <v>4043</v>
      </c>
      <c r="C505" s="44" t="s">
        <v>3833</v>
      </c>
      <c r="D505" s="45">
        <f>MROUND(MID($C505,6,3)/Basis!$E$3,0.5)</f>
        <v>27</v>
      </c>
      <c r="E505" s="45">
        <f>MROUND(MID($C505,9,3)/Basis!$E$3,0.5)</f>
        <v>47</v>
      </c>
      <c r="F505" s="229" t="str">
        <f t="shared" si="7"/>
        <v>22</v>
      </c>
      <c r="G505" s="45">
        <f>ROUND(9/Basis!$E$3,1)</f>
        <v>3.5</v>
      </c>
      <c r="H505" s="120">
        <f>ROUND($P505*Basis!$E$2*((TaH-TrH)/LN(1/µ)/Basis!$E$7)^$N505*Glycol,0)</f>
        <v>4484</v>
      </c>
      <c r="I505" s="83">
        <f>ROUND(H505/(MID($C505,9,3)/Basis!$E$3/Basis!$E$9)*Basis!$E$11,0)</f>
        <v>1139</v>
      </c>
      <c r="J505" s="123">
        <f>IF(Basis!$E$1=1,ROUND(H505/((TaH-TrH)*1.163)/3600,3),ROUND(H505/(500*(TaH-TrH)),2))</f>
        <v>0.45</v>
      </c>
      <c r="K505" s="84"/>
      <c r="L505" s="177">
        <f>CHOOSE(Basis!$E$1,((AJ505*(J505*3600/Basis!$E$5)^AK505*(((MID(C505,9,3)*10)-144)/1000)*AL505+AM505*(J505*3600/Basis!$E$5)^2)*0.0098)/Basis!$E$10,((AJ505*(J505/Basis!$E$5)^AK505*(((MID(C505,9,3)*10)-144)/1000)*AL505+AM505*(J505/Basis!$E$5)^2)*0.0098)/Basis!$E$10)</f>
        <v>0</v>
      </c>
      <c r="M505" s="85"/>
      <c r="N505" s="109">
        <v>1.349</v>
      </c>
      <c r="O505" s="68"/>
      <c r="P505" s="67">
        <v>2051</v>
      </c>
      <c r="Q505" s="68"/>
      <c r="R505" s="69"/>
      <c r="S505" s="69"/>
      <c r="T505" s="69"/>
      <c r="U505" s="69"/>
      <c r="V505" s="69"/>
      <c r="W505" s="68"/>
      <c r="X505" s="70"/>
      <c r="Y505" s="70"/>
      <c r="Z505" s="70"/>
      <c r="AA505" s="70"/>
      <c r="AB505" s="70"/>
      <c r="AC505" s="68"/>
      <c r="AD505" s="71"/>
      <c r="AE505" s="71"/>
      <c r="AF505" s="71"/>
      <c r="AG505" s="71"/>
      <c r="AH505" s="71"/>
      <c r="AI505" s="68"/>
      <c r="AJ505" s="214"/>
      <c r="AK505" s="214"/>
      <c r="AL505" s="214"/>
      <c r="AM505" s="214"/>
      <c r="AN505" s="68"/>
      <c r="AO505" s="67"/>
      <c r="AP505" s="67"/>
      <c r="AQ505" s="67"/>
      <c r="AR505" s="67"/>
      <c r="AS505" s="67"/>
      <c r="AT505" s="68"/>
      <c r="AU505" s="49"/>
      <c r="AV505" s="50"/>
    </row>
    <row r="506" spans="1:48" ht="12.75" customHeight="1" x14ac:dyDescent="0.25">
      <c r="A506" s="72" t="s">
        <v>20</v>
      </c>
      <c r="B506" s="43" t="s">
        <v>4043</v>
      </c>
      <c r="C506" s="44" t="s">
        <v>3834</v>
      </c>
      <c r="D506" s="45">
        <f>MROUND(MID($C506,6,3)/Basis!$E$3,0.5)</f>
        <v>27</v>
      </c>
      <c r="E506" s="45">
        <f>MROUND(MID($C506,9,3)/Basis!$E$3,0.5)</f>
        <v>55</v>
      </c>
      <c r="F506" s="229" t="str">
        <f t="shared" si="7"/>
        <v>11</v>
      </c>
      <c r="G506" s="45">
        <f>ROUND(5/Basis!$E$3,1)</f>
        <v>2</v>
      </c>
      <c r="H506" s="120">
        <f>ROUND($P506*Basis!$E$2*((TaH-TrH)/LN(1/µ)/Basis!$E$7)^$N506*Glycol,0)</f>
        <v>3120</v>
      </c>
      <c r="I506" s="83">
        <f>ROUND(H506/(MID($C506,9,3)/Basis!$E$3/Basis!$E$9)*Basis!$E$11,0)</f>
        <v>679</v>
      </c>
      <c r="J506" s="123">
        <f>IF(Basis!$E$1=1,ROUND(H506/((TaH-TrH)*1.163)/3600,3),ROUND(H506/(500*(TaH-TrH)),2))</f>
        <v>0.31</v>
      </c>
      <c r="K506" s="84"/>
      <c r="L506" s="177">
        <f>CHOOSE(Basis!$E$1,((AJ506*(J506*3600/Basis!$E$5)^AK506*(((MID(C506,9,3)*10)-144)/1000)*AL506+AM506*(J506*3600/Basis!$E$5)^2)*0.0098)/Basis!$E$10,((AJ506*(J506/Basis!$E$5)^AK506*(((MID(C506,9,3)*10)-144)/1000)*AL506+AM506*(J506/Basis!$E$5)^2)*0.0098)/Basis!$E$10)</f>
        <v>0</v>
      </c>
      <c r="M506" s="85"/>
      <c r="N506" s="110">
        <v>1.2490000000000001</v>
      </c>
      <c r="O506" s="74"/>
      <c r="P506" s="73">
        <v>1381</v>
      </c>
      <c r="Q506" s="74"/>
      <c r="R506" s="75"/>
      <c r="S506" s="75"/>
      <c r="T506" s="75"/>
      <c r="U506" s="75"/>
      <c r="V506" s="75"/>
      <c r="W506" s="74"/>
      <c r="X506" s="76"/>
      <c r="Y506" s="76"/>
      <c r="Z506" s="76"/>
      <c r="AA506" s="76"/>
      <c r="AB506" s="76"/>
      <c r="AC506" s="74"/>
      <c r="AD506" s="77"/>
      <c r="AE506" s="77"/>
      <c r="AF506" s="77"/>
      <c r="AG506" s="77"/>
      <c r="AH506" s="77"/>
      <c r="AI506" s="68"/>
      <c r="AJ506" s="213"/>
      <c r="AK506" s="213"/>
      <c r="AL506" s="213"/>
      <c r="AM506" s="213"/>
      <c r="AN506" s="74"/>
      <c r="AO506" s="73"/>
      <c r="AP506" s="73"/>
      <c r="AQ506" s="73"/>
      <c r="AR506" s="73"/>
      <c r="AS506" s="73"/>
      <c r="AT506" s="74"/>
      <c r="AU506" s="47"/>
      <c r="AV506" s="48"/>
    </row>
    <row r="507" spans="1:48" ht="12.75" customHeight="1" x14ac:dyDescent="0.25">
      <c r="A507" s="72" t="s">
        <v>20</v>
      </c>
      <c r="B507" s="43" t="s">
        <v>4043</v>
      </c>
      <c r="C507" s="44" t="s">
        <v>3835</v>
      </c>
      <c r="D507" s="45">
        <f>MROUND(MID($C507,6,3)/Basis!$E$3,0.5)</f>
        <v>27</v>
      </c>
      <c r="E507" s="45">
        <f>MROUND(MID($C507,9,3)/Basis!$E$3,0.5)</f>
        <v>55</v>
      </c>
      <c r="F507" s="229" t="str">
        <f t="shared" si="7"/>
        <v>22</v>
      </c>
      <c r="G507" s="45">
        <f>ROUND(9/Basis!$E$3,1)</f>
        <v>3.5</v>
      </c>
      <c r="H507" s="120">
        <f>ROUND($P507*Basis!$E$2*((TaH-TrH)/LN(1/µ)/Basis!$E$7)^$N507*Glycol,0)</f>
        <v>5229</v>
      </c>
      <c r="I507" s="83">
        <f>ROUND(H507/(MID($C507,9,3)/Basis!$E$3/Basis!$E$9)*Basis!$E$11,0)</f>
        <v>1138</v>
      </c>
      <c r="J507" s="123">
        <f>IF(Basis!$E$1=1,ROUND(H507/((TaH-TrH)*1.163)/3600,3),ROUND(H507/(500*(TaH-TrH)),2))</f>
        <v>0.52</v>
      </c>
      <c r="K507" s="84"/>
      <c r="L507" s="177">
        <f>CHOOSE(Basis!$E$1,((AJ507*(J507*3600/Basis!$E$5)^AK507*(((MID(C507,9,3)*10)-144)/1000)*AL507+AM507*(J507*3600/Basis!$E$5)^2)*0.0098)/Basis!$E$10,((AJ507*(J507/Basis!$E$5)^AK507*(((MID(C507,9,3)*10)-144)/1000)*AL507+AM507*(J507/Basis!$E$5)^2)*0.0098)/Basis!$E$10)</f>
        <v>0</v>
      </c>
      <c r="M507" s="85"/>
      <c r="N507" s="110">
        <v>1.349</v>
      </c>
      <c r="O507" s="74"/>
      <c r="P507" s="73">
        <v>2392</v>
      </c>
      <c r="Q507" s="74"/>
      <c r="R507" s="75"/>
      <c r="S507" s="75"/>
      <c r="T507" s="75"/>
      <c r="U507" s="75"/>
      <c r="V507" s="75"/>
      <c r="W507" s="74"/>
      <c r="X507" s="76"/>
      <c r="Y507" s="76"/>
      <c r="Z507" s="76"/>
      <c r="AA507" s="76"/>
      <c r="AB507" s="76"/>
      <c r="AC507" s="74"/>
      <c r="AD507" s="77"/>
      <c r="AE507" s="77"/>
      <c r="AF507" s="77"/>
      <c r="AG507" s="77"/>
      <c r="AH507" s="77"/>
      <c r="AI507" s="68"/>
      <c r="AJ507" s="213"/>
      <c r="AK507" s="213"/>
      <c r="AL507" s="213"/>
      <c r="AM507" s="213"/>
      <c r="AN507" s="74"/>
      <c r="AO507" s="73"/>
      <c r="AP507" s="73"/>
      <c r="AQ507" s="73"/>
      <c r="AR507" s="73"/>
      <c r="AS507" s="73"/>
      <c r="AT507" s="74"/>
      <c r="AU507" s="47"/>
      <c r="AV507" s="48"/>
    </row>
    <row r="508" spans="1:48" ht="12.75" customHeight="1" x14ac:dyDescent="0.25">
      <c r="A508" s="72" t="s">
        <v>20</v>
      </c>
      <c r="B508" s="43" t="s">
        <v>4043</v>
      </c>
      <c r="C508" s="44" t="s">
        <v>3836</v>
      </c>
      <c r="D508" s="45">
        <f>MROUND(MID($C508,6,3)/Basis!$E$3,0.5)</f>
        <v>27</v>
      </c>
      <c r="E508" s="45">
        <f>MROUND(MID($C508,9,3)/Basis!$E$3,0.5)</f>
        <v>63</v>
      </c>
      <c r="F508" s="229" t="str">
        <f t="shared" si="7"/>
        <v>11</v>
      </c>
      <c r="G508" s="45">
        <f>ROUND(5/Basis!$E$3,1)</f>
        <v>2</v>
      </c>
      <c r="H508" s="120">
        <f>ROUND($P508*Basis!$E$2*((TaH-TrH)/LN(1/µ)/Basis!$E$7)^$N508*Glycol,0)</f>
        <v>3565</v>
      </c>
      <c r="I508" s="83">
        <f>ROUND(H508/(MID($C508,9,3)/Basis!$E$3/Basis!$E$9)*Basis!$E$11,0)</f>
        <v>679</v>
      </c>
      <c r="J508" s="123">
        <f>IF(Basis!$E$1=1,ROUND(H508/((TaH-TrH)*1.163)/3600,3),ROUND(H508/(500*(TaH-TrH)),2))</f>
        <v>0.36</v>
      </c>
      <c r="K508" s="84"/>
      <c r="L508" s="177">
        <f>CHOOSE(Basis!$E$1,((AJ508*(J508*3600/Basis!$E$5)^AK508*(((MID(C508,9,3)*10)-144)/1000)*AL508+AM508*(J508*3600/Basis!$E$5)^2)*0.0098)/Basis!$E$10,((AJ508*(J508/Basis!$E$5)^AK508*(((MID(C508,9,3)*10)-144)/1000)*AL508+AM508*(J508/Basis!$E$5)^2)*0.0098)/Basis!$E$10)</f>
        <v>0</v>
      </c>
      <c r="M508" s="85"/>
      <c r="N508" s="109">
        <v>1.2490000000000001</v>
      </c>
      <c r="O508" s="68"/>
      <c r="P508" s="67">
        <v>1578</v>
      </c>
      <c r="Q508" s="68"/>
      <c r="R508" s="69"/>
      <c r="S508" s="69"/>
      <c r="T508" s="69"/>
      <c r="U508" s="69"/>
      <c r="V508" s="69"/>
      <c r="W508" s="68"/>
      <c r="X508" s="70"/>
      <c r="Y508" s="70"/>
      <c r="Z508" s="70"/>
      <c r="AA508" s="70"/>
      <c r="AB508" s="70"/>
      <c r="AC508" s="68"/>
      <c r="AD508" s="71"/>
      <c r="AE508" s="71"/>
      <c r="AF508" s="71"/>
      <c r="AG508" s="71"/>
      <c r="AH508" s="71"/>
      <c r="AI508" s="68"/>
      <c r="AJ508" s="214"/>
      <c r="AK508" s="214"/>
      <c r="AL508" s="214"/>
      <c r="AM508" s="214"/>
      <c r="AN508" s="68"/>
      <c r="AO508" s="67"/>
      <c r="AP508" s="67"/>
      <c r="AQ508" s="67"/>
      <c r="AR508" s="67"/>
      <c r="AS508" s="67"/>
      <c r="AT508" s="68"/>
      <c r="AU508" s="49"/>
      <c r="AV508" s="50"/>
    </row>
    <row r="509" spans="1:48" ht="12.75" customHeight="1" x14ac:dyDescent="0.25">
      <c r="A509" s="72" t="s">
        <v>20</v>
      </c>
      <c r="B509" s="43" t="s">
        <v>4043</v>
      </c>
      <c r="C509" s="44" t="s">
        <v>3837</v>
      </c>
      <c r="D509" s="45">
        <f>MROUND(MID($C509,6,3)/Basis!$E$3,0.5)</f>
        <v>27</v>
      </c>
      <c r="E509" s="45">
        <f>MROUND(MID($C509,9,3)/Basis!$E$3,0.5)</f>
        <v>63</v>
      </c>
      <c r="F509" s="229" t="str">
        <f t="shared" si="7"/>
        <v>22</v>
      </c>
      <c r="G509" s="45">
        <f>ROUND(9/Basis!$E$3,1)</f>
        <v>3.5</v>
      </c>
      <c r="H509" s="120">
        <f>ROUND($P509*Basis!$E$2*((TaH-TrH)/LN(1/µ)/Basis!$E$7)^$N509*Glycol,0)</f>
        <v>5977</v>
      </c>
      <c r="I509" s="83">
        <f>ROUND(H509/(MID($C509,9,3)/Basis!$E$3/Basis!$E$9)*Basis!$E$11,0)</f>
        <v>1139</v>
      </c>
      <c r="J509" s="123">
        <f>IF(Basis!$E$1=1,ROUND(H509/((TaH-TrH)*1.163)/3600,3),ROUND(H509/(500*(TaH-TrH)),2))</f>
        <v>0.6</v>
      </c>
      <c r="K509" s="84"/>
      <c r="L509" s="177">
        <f>CHOOSE(Basis!$E$1,((AJ509*(J509*3600/Basis!$E$5)^AK509*(((MID(C509,9,3)*10)-144)/1000)*AL509+AM509*(J509*3600/Basis!$E$5)^2)*0.0098)/Basis!$E$10,((AJ509*(J509/Basis!$E$5)^AK509*(((MID(C509,9,3)*10)-144)/1000)*AL509+AM509*(J509/Basis!$E$5)^2)*0.0098)/Basis!$E$10)</f>
        <v>0</v>
      </c>
      <c r="M509" s="85"/>
      <c r="N509" s="109">
        <v>1.349</v>
      </c>
      <c r="O509" s="68"/>
      <c r="P509" s="67">
        <v>2734</v>
      </c>
      <c r="Q509" s="68"/>
      <c r="R509" s="69"/>
      <c r="S509" s="69"/>
      <c r="T509" s="69"/>
      <c r="U509" s="69"/>
      <c r="V509" s="69"/>
      <c r="W509" s="68"/>
      <c r="X509" s="70"/>
      <c r="Y509" s="70"/>
      <c r="Z509" s="70"/>
      <c r="AA509" s="70"/>
      <c r="AB509" s="70"/>
      <c r="AC509" s="68"/>
      <c r="AD509" s="71"/>
      <c r="AE509" s="71"/>
      <c r="AF509" s="71"/>
      <c r="AG509" s="71"/>
      <c r="AH509" s="71"/>
      <c r="AI509" s="68"/>
      <c r="AJ509" s="214"/>
      <c r="AK509" s="214"/>
      <c r="AL509" s="214"/>
      <c r="AM509" s="214"/>
      <c r="AN509" s="68"/>
      <c r="AO509" s="67"/>
      <c r="AP509" s="67"/>
      <c r="AQ509" s="67"/>
      <c r="AR509" s="67"/>
      <c r="AS509" s="67"/>
      <c r="AT509" s="68"/>
      <c r="AU509" s="49"/>
      <c r="AV509" s="50"/>
    </row>
    <row r="510" spans="1:48" ht="12.75" customHeight="1" x14ac:dyDescent="0.25">
      <c r="A510" s="72" t="s">
        <v>20</v>
      </c>
      <c r="B510" s="43" t="s">
        <v>4043</v>
      </c>
      <c r="C510" s="44" t="s">
        <v>3838</v>
      </c>
      <c r="D510" s="45">
        <f>MROUND(MID($C510,6,3)/Basis!$E$3,0.5)</f>
        <v>27</v>
      </c>
      <c r="E510" s="45">
        <f>MROUND(MID($C510,9,3)/Basis!$E$3,0.5)</f>
        <v>71</v>
      </c>
      <c r="F510" s="229" t="str">
        <f t="shared" si="7"/>
        <v>11</v>
      </c>
      <c r="G510" s="45">
        <f>ROUND(5/Basis!$E$3,1)</f>
        <v>2</v>
      </c>
      <c r="H510" s="120">
        <f>ROUND($P510*Basis!$E$2*((TaH-TrH)/LN(1/µ)/Basis!$E$7)^$N510*Glycol,0)</f>
        <v>4010</v>
      </c>
      <c r="I510" s="83">
        <f>ROUND(H510/(MID($C510,9,3)/Basis!$E$3/Basis!$E$9)*Basis!$E$11,0)</f>
        <v>679</v>
      </c>
      <c r="J510" s="123">
        <f>IF(Basis!$E$1=1,ROUND(H510/((TaH-TrH)*1.163)/3600,3),ROUND(H510/(500*(TaH-TrH)),2))</f>
        <v>0.4</v>
      </c>
      <c r="K510" s="84"/>
      <c r="L510" s="177">
        <f>CHOOSE(Basis!$E$1,((AJ510*(J510*3600/Basis!$E$5)^AK510*(((MID(C510,9,3)*10)-144)/1000)*AL510+AM510*(J510*3600/Basis!$E$5)^2)*0.0098)/Basis!$E$10,((AJ510*(J510/Basis!$E$5)^AK510*(((MID(C510,9,3)*10)-144)/1000)*AL510+AM510*(J510/Basis!$E$5)^2)*0.0098)/Basis!$E$10)</f>
        <v>0</v>
      </c>
      <c r="M510" s="85"/>
      <c r="N510" s="110">
        <v>1.2490000000000001</v>
      </c>
      <c r="O510" s="74"/>
      <c r="P510" s="73">
        <v>1775</v>
      </c>
      <c r="Q510" s="74"/>
      <c r="R510" s="75"/>
      <c r="S510" s="75"/>
      <c r="T510" s="75"/>
      <c r="U510" s="75"/>
      <c r="V510" s="75"/>
      <c r="W510" s="74"/>
      <c r="X510" s="76"/>
      <c r="Y510" s="76"/>
      <c r="Z510" s="76"/>
      <c r="AA510" s="76"/>
      <c r="AB510" s="76"/>
      <c r="AC510" s="74"/>
      <c r="AD510" s="77"/>
      <c r="AE510" s="77"/>
      <c r="AF510" s="77"/>
      <c r="AG510" s="77"/>
      <c r="AH510" s="77"/>
      <c r="AI510" s="68"/>
      <c r="AJ510" s="213"/>
      <c r="AK510" s="213"/>
      <c r="AL510" s="213"/>
      <c r="AM510" s="213"/>
      <c r="AN510" s="74"/>
      <c r="AO510" s="73"/>
      <c r="AP510" s="73"/>
      <c r="AQ510" s="73"/>
      <c r="AR510" s="73"/>
      <c r="AS510" s="73"/>
      <c r="AT510" s="74"/>
      <c r="AU510" s="47"/>
      <c r="AV510" s="48"/>
    </row>
    <row r="511" spans="1:48" ht="12.75" customHeight="1" x14ac:dyDescent="0.25">
      <c r="A511" s="72" t="s">
        <v>20</v>
      </c>
      <c r="B511" s="43" t="s">
        <v>4043</v>
      </c>
      <c r="C511" s="44" t="s">
        <v>3839</v>
      </c>
      <c r="D511" s="45">
        <f>MROUND(MID($C511,6,3)/Basis!$E$3,0.5)</f>
        <v>27</v>
      </c>
      <c r="E511" s="45">
        <f>MROUND(MID($C511,9,3)/Basis!$E$3,0.5)</f>
        <v>71</v>
      </c>
      <c r="F511" s="229" t="str">
        <f t="shared" si="7"/>
        <v>22</v>
      </c>
      <c r="G511" s="45">
        <f>ROUND(9/Basis!$E$3,1)</f>
        <v>3.5</v>
      </c>
      <c r="H511" s="120">
        <f>ROUND($P511*Basis!$E$2*((TaH-TrH)/LN(1/µ)/Basis!$E$7)^$N511*Glycol,0)</f>
        <v>6724</v>
      </c>
      <c r="I511" s="83">
        <f>ROUND(H511/(MID($C511,9,3)/Basis!$E$3/Basis!$E$9)*Basis!$E$11,0)</f>
        <v>1139</v>
      </c>
      <c r="J511" s="123">
        <f>IF(Basis!$E$1=1,ROUND(H511/((TaH-TrH)*1.163)/3600,3),ROUND(H511/(500*(TaH-TrH)),2))</f>
        <v>0.67</v>
      </c>
      <c r="K511" s="84"/>
      <c r="L511" s="177">
        <f>CHOOSE(Basis!$E$1,((AJ511*(J511*3600/Basis!$E$5)^AK511*(((MID(C511,9,3)*10)-144)/1000)*AL511+AM511*(J511*3600/Basis!$E$5)^2)*0.0098)/Basis!$E$10,((AJ511*(J511/Basis!$E$5)^AK511*(((MID(C511,9,3)*10)-144)/1000)*AL511+AM511*(J511/Basis!$E$5)^2)*0.0098)/Basis!$E$10)</f>
        <v>0</v>
      </c>
      <c r="M511" s="85"/>
      <c r="N511" s="110">
        <v>1.349</v>
      </c>
      <c r="O511" s="74"/>
      <c r="P511" s="73">
        <v>3076</v>
      </c>
      <c r="Q511" s="74"/>
      <c r="R511" s="75"/>
      <c r="S511" s="75"/>
      <c r="T511" s="75"/>
      <c r="U511" s="75"/>
      <c r="V511" s="75"/>
      <c r="W511" s="74"/>
      <c r="X511" s="76"/>
      <c r="Y511" s="76"/>
      <c r="Z511" s="76"/>
      <c r="AA511" s="76"/>
      <c r="AB511" s="76"/>
      <c r="AC511" s="74"/>
      <c r="AD511" s="77"/>
      <c r="AE511" s="77"/>
      <c r="AF511" s="77"/>
      <c r="AG511" s="77"/>
      <c r="AH511" s="77"/>
      <c r="AI511" s="68"/>
      <c r="AJ511" s="213"/>
      <c r="AK511" s="213"/>
      <c r="AL511" s="213"/>
      <c r="AM511" s="213"/>
      <c r="AN511" s="74"/>
      <c r="AO511" s="73"/>
      <c r="AP511" s="73"/>
      <c r="AQ511" s="73"/>
      <c r="AR511" s="73"/>
      <c r="AS511" s="73"/>
      <c r="AT511" s="74"/>
      <c r="AU511" s="47"/>
      <c r="AV511" s="48"/>
    </row>
    <row r="512" spans="1:48" ht="12.75" customHeight="1" x14ac:dyDescent="0.25">
      <c r="A512" s="72" t="s">
        <v>20</v>
      </c>
      <c r="B512" s="43" t="s">
        <v>4043</v>
      </c>
      <c r="C512" s="44" t="s">
        <v>3840</v>
      </c>
      <c r="D512" s="45">
        <f>MROUND(MID($C512,6,3)/Basis!$E$3,0.5)</f>
        <v>27</v>
      </c>
      <c r="E512" s="45">
        <f>MROUND(MID($C512,9,3)/Basis!$E$3,0.5)</f>
        <v>78.5</v>
      </c>
      <c r="F512" s="229" t="str">
        <f t="shared" si="7"/>
        <v>11</v>
      </c>
      <c r="G512" s="45">
        <f>ROUND(5/Basis!$E$3,1)</f>
        <v>2</v>
      </c>
      <c r="H512" s="120">
        <f>ROUND($P512*Basis!$E$2*((TaH-TrH)/LN(1/µ)/Basis!$E$7)^$N512*Glycol,0)</f>
        <v>4456</v>
      </c>
      <c r="I512" s="83">
        <f>ROUND(H512/(MID($C512,9,3)/Basis!$E$3/Basis!$E$9)*Basis!$E$11,0)</f>
        <v>679</v>
      </c>
      <c r="J512" s="123">
        <f>IF(Basis!$E$1=1,ROUND(H512/((TaH-TrH)*1.163)/3600,3),ROUND(H512/(500*(TaH-TrH)),2))</f>
        <v>0.45</v>
      </c>
      <c r="K512" s="84"/>
      <c r="L512" s="177">
        <f>CHOOSE(Basis!$E$1,((AJ512*(J512*3600/Basis!$E$5)^AK512*(((MID(C512,9,3)*10)-144)/1000)*AL512+AM512*(J512*3600/Basis!$E$5)^2)*0.0098)/Basis!$E$10,((AJ512*(J512/Basis!$E$5)^AK512*(((MID(C512,9,3)*10)-144)/1000)*AL512+AM512*(J512/Basis!$E$5)^2)*0.0098)/Basis!$E$10)</f>
        <v>0</v>
      </c>
      <c r="M512" s="85"/>
      <c r="N512" s="109">
        <v>1.2490000000000001</v>
      </c>
      <c r="O512" s="68"/>
      <c r="P512" s="67">
        <v>1972</v>
      </c>
      <c r="Q512" s="68"/>
      <c r="R512" s="69"/>
      <c r="S512" s="69"/>
      <c r="T512" s="69"/>
      <c r="U512" s="69"/>
      <c r="V512" s="69"/>
      <c r="W512" s="68"/>
      <c r="X512" s="70"/>
      <c r="Y512" s="70"/>
      <c r="Z512" s="70"/>
      <c r="AA512" s="70"/>
      <c r="AB512" s="70"/>
      <c r="AC512" s="68"/>
      <c r="AD512" s="71"/>
      <c r="AE512" s="71"/>
      <c r="AF512" s="71"/>
      <c r="AG512" s="71"/>
      <c r="AH512" s="71"/>
      <c r="AI512" s="68"/>
      <c r="AJ512" s="214"/>
      <c r="AK512" s="214"/>
      <c r="AL512" s="214"/>
      <c r="AM512" s="214"/>
      <c r="AN512" s="68"/>
      <c r="AO512" s="67"/>
      <c r="AP512" s="67"/>
      <c r="AQ512" s="67"/>
      <c r="AR512" s="67"/>
      <c r="AS512" s="67"/>
      <c r="AT512" s="68"/>
      <c r="AU512" s="49"/>
      <c r="AV512" s="50"/>
    </row>
    <row r="513" spans="1:48" ht="12.75" customHeight="1" x14ac:dyDescent="0.25">
      <c r="A513" s="72" t="s">
        <v>20</v>
      </c>
      <c r="B513" s="43" t="s">
        <v>4043</v>
      </c>
      <c r="C513" s="44" t="s">
        <v>3841</v>
      </c>
      <c r="D513" s="45">
        <f>MROUND(MID($C513,6,3)/Basis!$E$3,0.5)</f>
        <v>27</v>
      </c>
      <c r="E513" s="45">
        <f>MROUND(MID($C513,9,3)/Basis!$E$3,0.5)</f>
        <v>78.5</v>
      </c>
      <c r="F513" s="229" t="str">
        <f t="shared" si="7"/>
        <v>22</v>
      </c>
      <c r="G513" s="45">
        <f>ROUND(9/Basis!$E$3,1)</f>
        <v>3.5</v>
      </c>
      <c r="H513" s="120">
        <f>ROUND($P513*Basis!$E$2*((TaH-TrH)/LN(1/µ)/Basis!$E$7)^$N513*Glycol,0)</f>
        <v>7472</v>
      </c>
      <c r="I513" s="83">
        <f>ROUND(H513/(MID($C513,9,3)/Basis!$E$3/Basis!$E$9)*Basis!$E$11,0)</f>
        <v>1139</v>
      </c>
      <c r="J513" s="123">
        <f>IF(Basis!$E$1=1,ROUND(H513/((TaH-TrH)*1.163)/3600,3),ROUND(H513/(500*(TaH-TrH)),2))</f>
        <v>0.75</v>
      </c>
      <c r="K513" s="84"/>
      <c r="L513" s="177">
        <f>CHOOSE(Basis!$E$1,((AJ513*(J513*3600/Basis!$E$5)^AK513*(((MID(C513,9,3)*10)-144)/1000)*AL513+AM513*(J513*3600/Basis!$E$5)^2)*0.0098)/Basis!$E$10,((AJ513*(J513/Basis!$E$5)^AK513*(((MID(C513,9,3)*10)-144)/1000)*AL513+AM513*(J513/Basis!$E$5)^2)*0.0098)/Basis!$E$10)</f>
        <v>0</v>
      </c>
      <c r="M513" s="85"/>
      <c r="N513" s="109">
        <v>1.349</v>
      </c>
      <c r="O513" s="68"/>
      <c r="P513" s="67">
        <v>3418</v>
      </c>
      <c r="Q513" s="68"/>
      <c r="R513" s="69"/>
      <c r="S513" s="69"/>
      <c r="T513" s="69"/>
      <c r="U513" s="69"/>
      <c r="V513" s="69"/>
      <c r="W513" s="68"/>
      <c r="X513" s="70"/>
      <c r="Y513" s="70"/>
      <c r="Z513" s="70"/>
      <c r="AA513" s="70"/>
      <c r="AB513" s="70"/>
      <c r="AC513" s="68"/>
      <c r="AD513" s="71"/>
      <c r="AE513" s="71"/>
      <c r="AF513" s="71"/>
      <c r="AG513" s="71"/>
      <c r="AH513" s="71"/>
      <c r="AI513" s="68"/>
      <c r="AJ513" s="214"/>
      <c r="AK513" s="214"/>
      <c r="AL513" s="214"/>
      <c r="AM513" s="214"/>
      <c r="AN513" s="68"/>
      <c r="AO513" s="67"/>
      <c r="AP513" s="67"/>
      <c r="AQ513" s="67"/>
      <c r="AR513" s="67"/>
      <c r="AS513" s="67"/>
      <c r="AT513" s="68"/>
      <c r="AU513" s="49"/>
      <c r="AV513" s="50"/>
    </row>
    <row r="514" spans="1:48" ht="12.75" customHeight="1" x14ac:dyDescent="0.25">
      <c r="A514" s="72" t="s">
        <v>20</v>
      </c>
      <c r="B514" s="43" t="s">
        <v>4043</v>
      </c>
      <c r="C514" s="44" t="s">
        <v>3842</v>
      </c>
      <c r="D514" s="45">
        <f>MROUND(MID($C514,6,3)/Basis!$E$3,0.5)</f>
        <v>27</v>
      </c>
      <c r="E514" s="45">
        <f>MROUND(MID($C514,9,3)/Basis!$E$3,0.5)</f>
        <v>86.5</v>
      </c>
      <c r="F514" s="229" t="str">
        <f t="shared" si="7"/>
        <v>11</v>
      </c>
      <c r="G514" s="45">
        <f>ROUND(5/Basis!$E$3,1)</f>
        <v>2</v>
      </c>
      <c r="H514" s="120">
        <f>ROUND($P514*Basis!$E$2*((TaH-TrH)/LN(1/µ)/Basis!$E$7)^$N514*Glycol,0)</f>
        <v>4901</v>
      </c>
      <c r="I514" s="83">
        <f>ROUND(H514/(MID($C514,9,3)/Basis!$E$3/Basis!$E$9)*Basis!$E$11,0)</f>
        <v>679</v>
      </c>
      <c r="J514" s="123">
        <f>IF(Basis!$E$1=1,ROUND(H514/((TaH-TrH)*1.163)/3600,3),ROUND(H514/(500*(TaH-TrH)),2))</f>
        <v>0.49</v>
      </c>
      <c r="K514" s="84"/>
      <c r="L514" s="177">
        <f>CHOOSE(Basis!$E$1,((AJ514*(J514*3600/Basis!$E$5)^AK514*(((MID(C514,9,3)*10)-144)/1000)*AL514+AM514*(J514*3600/Basis!$E$5)^2)*0.0098)/Basis!$E$10,((AJ514*(J514/Basis!$E$5)^AK514*(((MID(C514,9,3)*10)-144)/1000)*AL514+AM514*(J514/Basis!$E$5)^2)*0.0098)/Basis!$E$10)</f>
        <v>0</v>
      </c>
      <c r="M514" s="85"/>
      <c r="N514" s="110">
        <v>1.2490000000000001</v>
      </c>
      <c r="O514" s="74"/>
      <c r="P514" s="73">
        <v>2169</v>
      </c>
      <c r="Q514" s="74"/>
      <c r="R514" s="75"/>
      <c r="S514" s="75"/>
      <c r="T514" s="75"/>
      <c r="U514" s="75"/>
      <c r="V514" s="75"/>
      <c r="W514" s="74"/>
      <c r="X514" s="76"/>
      <c r="Y514" s="76"/>
      <c r="Z514" s="76"/>
      <c r="AA514" s="76"/>
      <c r="AB514" s="76"/>
      <c r="AC514" s="74"/>
      <c r="AD514" s="77"/>
      <c r="AE514" s="77"/>
      <c r="AF514" s="77"/>
      <c r="AG514" s="77"/>
      <c r="AH514" s="77"/>
      <c r="AI514" s="68"/>
      <c r="AJ514" s="213"/>
      <c r="AK514" s="213"/>
      <c r="AL514" s="213"/>
      <c r="AM514" s="213"/>
      <c r="AN514" s="74"/>
      <c r="AO514" s="73"/>
      <c r="AP514" s="73"/>
      <c r="AQ514" s="73"/>
      <c r="AR514" s="73"/>
      <c r="AS514" s="73"/>
      <c r="AT514" s="74"/>
      <c r="AU514" s="47"/>
      <c r="AV514" s="48"/>
    </row>
    <row r="515" spans="1:48" ht="12.75" customHeight="1" x14ac:dyDescent="0.25">
      <c r="A515" s="72" t="s">
        <v>20</v>
      </c>
      <c r="B515" s="43" t="s">
        <v>4043</v>
      </c>
      <c r="C515" s="44" t="s">
        <v>3843</v>
      </c>
      <c r="D515" s="45">
        <f>MROUND(MID($C515,6,3)/Basis!$E$3,0.5)</f>
        <v>27</v>
      </c>
      <c r="E515" s="45">
        <f>MROUND(MID($C515,9,3)/Basis!$E$3,0.5)</f>
        <v>86.5</v>
      </c>
      <c r="F515" s="229" t="str">
        <f t="shared" si="7"/>
        <v>22</v>
      </c>
      <c r="G515" s="45">
        <f>ROUND(9/Basis!$E$3,1)</f>
        <v>3.5</v>
      </c>
      <c r="H515" s="120">
        <f>ROUND($P515*Basis!$E$2*((TaH-TrH)/LN(1/µ)/Basis!$E$7)^$N515*Glycol,0)</f>
        <v>8220</v>
      </c>
      <c r="I515" s="83">
        <f>ROUND(H515/(MID($C515,9,3)/Basis!$E$3/Basis!$E$9)*Basis!$E$11,0)</f>
        <v>1139</v>
      </c>
      <c r="J515" s="123">
        <f>IF(Basis!$E$1=1,ROUND(H515/((TaH-TrH)*1.163)/3600,3),ROUND(H515/(500*(TaH-TrH)),2))</f>
        <v>0.82</v>
      </c>
      <c r="K515" s="84"/>
      <c r="L515" s="177">
        <f>CHOOSE(Basis!$E$1,((AJ515*(J515*3600/Basis!$E$5)^AK515*(((MID(C515,9,3)*10)-144)/1000)*AL515+AM515*(J515*3600/Basis!$E$5)^2)*0.0098)/Basis!$E$10,((AJ515*(J515/Basis!$E$5)^AK515*(((MID(C515,9,3)*10)-144)/1000)*AL515+AM515*(J515/Basis!$E$5)^2)*0.0098)/Basis!$E$10)</f>
        <v>0</v>
      </c>
      <c r="M515" s="85"/>
      <c r="N515" s="110">
        <v>1.349</v>
      </c>
      <c r="O515" s="74"/>
      <c r="P515" s="73">
        <v>3760</v>
      </c>
      <c r="Q515" s="74"/>
      <c r="R515" s="75"/>
      <c r="S515" s="75"/>
      <c r="T515" s="75"/>
      <c r="U515" s="75"/>
      <c r="V515" s="75"/>
      <c r="W515" s="74"/>
      <c r="X515" s="76"/>
      <c r="Y515" s="76"/>
      <c r="Z515" s="76"/>
      <c r="AA515" s="76"/>
      <c r="AB515" s="76"/>
      <c r="AC515" s="74"/>
      <c r="AD515" s="77"/>
      <c r="AE515" s="77"/>
      <c r="AF515" s="77"/>
      <c r="AG515" s="77"/>
      <c r="AH515" s="77"/>
      <c r="AI515" s="68"/>
      <c r="AJ515" s="213"/>
      <c r="AK515" s="213"/>
      <c r="AL515" s="213"/>
      <c r="AM515" s="213"/>
      <c r="AN515" s="74"/>
      <c r="AO515" s="73"/>
      <c r="AP515" s="73"/>
      <c r="AQ515" s="73"/>
      <c r="AR515" s="73"/>
      <c r="AS515" s="73"/>
      <c r="AT515" s="74"/>
      <c r="AU515" s="47"/>
      <c r="AV515" s="48"/>
    </row>
    <row r="516" spans="1:48" ht="12.75" customHeight="1" x14ac:dyDescent="0.25">
      <c r="A516" s="72" t="s">
        <v>20</v>
      </c>
      <c r="B516" s="43" t="s">
        <v>4043</v>
      </c>
      <c r="C516" s="44" t="s">
        <v>3844</v>
      </c>
      <c r="D516" s="45">
        <f>MROUND(MID($C516,6,3)/Basis!$E$3,0.5)</f>
        <v>27</v>
      </c>
      <c r="E516" s="45">
        <f>MROUND(MID($C516,9,3)/Basis!$E$3,0.5)</f>
        <v>94.5</v>
      </c>
      <c r="F516" s="229" t="str">
        <f t="shared" si="7"/>
        <v>11</v>
      </c>
      <c r="G516" s="45">
        <f>ROUND(5/Basis!$E$3,1)</f>
        <v>2</v>
      </c>
      <c r="H516" s="120">
        <f>ROUND($P516*Basis!$E$2*((TaH-TrH)/LN(1/µ)/Basis!$E$7)^$N516*Glycol,0)</f>
        <v>5348</v>
      </c>
      <c r="I516" s="83">
        <f>ROUND(H516/(MID($C516,9,3)/Basis!$E$3/Basis!$E$9)*Basis!$E$11,0)</f>
        <v>679</v>
      </c>
      <c r="J516" s="123">
        <f>IF(Basis!$E$1=1,ROUND(H516/((TaH-TrH)*1.163)/3600,3),ROUND(H516/(500*(TaH-TrH)),2))</f>
        <v>0.53</v>
      </c>
      <c r="K516" s="84"/>
      <c r="L516" s="177">
        <f>CHOOSE(Basis!$E$1,((AJ516*(J516*3600/Basis!$E$5)^AK516*(((MID(C516,9,3)*10)-144)/1000)*AL516+AM516*(J516*3600/Basis!$E$5)^2)*0.0098)/Basis!$E$10,((AJ516*(J516/Basis!$E$5)^AK516*(((MID(C516,9,3)*10)-144)/1000)*AL516+AM516*(J516/Basis!$E$5)^2)*0.0098)/Basis!$E$10)</f>
        <v>0</v>
      </c>
      <c r="M516" s="85"/>
      <c r="N516" s="109">
        <v>1.2490000000000001</v>
      </c>
      <c r="O516" s="68"/>
      <c r="P516" s="67">
        <v>2367</v>
      </c>
      <c r="Q516" s="68"/>
      <c r="R516" s="69"/>
      <c r="S516" s="69"/>
      <c r="T516" s="69"/>
      <c r="U516" s="69"/>
      <c r="V516" s="69"/>
      <c r="W516" s="68"/>
      <c r="X516" s="70"/>
      <c r="Y516" s="70"/>
      <c r="Z516" s="70"/>
      <c r="AA516" s="70"/>
      <c r="AB516" s="70"/>
      <c r="AC516" s="68"/>
      <c r="AD516" s="71"/>
      <c r="AE516" s="71"/>
      <c r="AF516" s="71"/>
      <c r="AG516" s="71"/>
      <c r="AH516" s="71"/>
      <c r="AI516" s="68"/>
      <c r="AJ516" s="214"/>
      <c r="AK516" s="214"/>
      <c r="AL516" s="214"/>
      <c r="AM516" s="214"/>
      <c r="AN516" s="68"/>
      <c r="AO516" s="67"/>
      <c r="AP516" s="67"/>
      <c r="AQ516" s="67"/>
      <c r="AR516" s="67"/>
      <c r="AS516" s="67"/>
      <c r="AT516" s="68"/>
      <c r="AU516" s="49"/>
      <c r="AV516" s="50"/>
    </row>
    <row r="517" spans="1:48" ht="12.75" customHeight="1" x14ac:dyDescent="0.25">
      <c r="A517" s="72" t="s">
        <v>20</v>
      </c>
      <c r="B517" s="43" t="s">
        <v>4043</v>
      </c>
      <c r="C517" s="44" t="s">
        <v>3845</v>
      </c>
      <c r="D517" s="45">
        <f>MROUND(MID($C517,6,3)/Basis!$E$3,0.5)</f>
        <v>27</v>
      </c>
      <c r="E517" s="45">
        <f>MROUND(MID($C517,9,3)/Basis!$E$3,0.5)</f>
        <v>94.5</v>
      </c>
      <c r="F517" s="229" t="str">
        <f t="shared" si="7"/>
        <v>22</v>
      </c>
      <c r="G517" s="45">
        <f>ROUND(9/Basis!$E$3,1)</f>
        <v>3.5</v>
      </c>
      <c r="H517" s="120">
        <f>ROUND($P517*Basis!$E$2*((TaH-TrH)/LN(1/µ)/Basis!$E$7)^$N517*Glycol,0)</f>
        <v>8965</v>
      </c>
      <c r="I517" s="83">
        <f>ROUND(H517/(MID($C517,9,3)/Basis!$E$3/Basis!$E$9)*Basis!$E$11,0)</f>
        <v>1139</v>
      </c>
      <c r="J517" s="123">
        <f>IF(Basis!$E$1=1,ROUND(H517/((TaH-TrH)*1.163)/3600,3),ROUND(H517/(500*(TaH-TrH)),2))</f>
        <v>0.9</v>
      </c>
      <c r="K517" s="84"/>
      <c r="L517" s="177">
        <f>CHOOSE(Basis!$E$1,((AJ517*(J517*3600/Basis!$E$5)^AK517*(((MID(C517,9,3)*10)-144)/1000)*AL517+AM517*(J517*3600/Basis!$E$5)^2)*0.0098)/Basis!$E$10,((AJ517*(J517/Basis!$E$5)^AK517*(((MID(C517,9,3)*10)-144)/1000)*AL517+AM517*(J517/Basis!$E$5)^2)*0.0098)/Basis!$E$10)</f>
        <v>0</v>
      </c>
      <c r="M517" s="85"/>
      <c r="N517" s="109">
        <v>1.349</v>
      </c>
      <c r="O517" s="68"/>
      <c r="P517" s="67">
        <v>4101</v>
      </c>
      <c r="Q517" s="68"/>
      <c r="R517" s="69"/>
      <c r="S517" s="69"/>
      <c r="T517" s="69"/>
      <c r="U517" s="69"/>
      <c r="V517" s="69"/>
      <c r="W517" s="68"/>
      <c r="X517" s="70"/>
      <c r="Y517" s="70"/>
      <c r="Z517" s="70"/>
      <c r="AA517" s="70"/>
      <c r="AB517" s="70"/>
      <c r="AC517" s="68"/>
      <c r="AD517" s="71"/>
      <c r="AE517" s="71"/>
      <c r="AF517" s="71"/>
      <c r="AG517" s="71"/>
      <c r="AH517" s="71"/>
      <c r="AI517" s="68"/>
      <c r="AJ517" s="214"/>
      <c r="AK517" s="214"/>
      <c r="AL517" s="214"/>
      <c r="AM517" s="214"/>
      <c r="AN517" s="68"/>
      <c r="AO517" s="67"/>
      <c r="AP517" s="67"/>
      <c r="AQ517" s="67"/>
      <c r="AR517" s="67"/>
      <c r="AS517" s="67"/>
      <c r="AT517" s="68"/>
      <c r="AU517" s="49"/>
      <c r="AV517" s="50"/>
    </row>
    <row r="518" spans="1:48" ht="12.75" customHeight="1" x14ac:dyDescent="0.25">
      <c r="A518" s="72" t="s">
        <v>20</v>
      </c>
      <c r="B518" s="43" t="s">
        <v>4043</v>
      </c>
      <c r="C518" s="44" t="s">
        <v>3846</v>
      </c>
      <c r="D518" s="45">
        <f>MROUND(MID($C518,6,3)/Basis!$E$3,0.5)</f>
        <v>27</v>
      </c>
      <c r="E518" s="45">
        <f>MROUND(MID($C518,9,3)/Basis!$E$3,0.5)</f>
        <v>102.5</v>
      </c>
      <c r="F518" s="229" t="str">
        <f t="shared" si="7"/>
        <v>11</v>
      </c>
      <c r="G518" s="45">
        <f>ROUND(5/Basis!$E$3,1)</f>
        <v>2</v>
      </c>
      <c r="H518" s="120">
        <f>ROUND($P518*Basis!$E$2*((TaH-TrH)/LN(1/µ)/Basis!$E$7)^$N518*Glycol,0)</f>
        <v>5793</v>
      </c>
      <c r="I518" s="83">
        <f>ROUND(H518/(MID($C518,9,3)/Basis!$E$3/Basis!$E$9)*Basis!$E$11,0)</f>
        <v>679</v>
      </c>
      <c r="J518" s="123">
        <f>IF(Basis!$E$1=1,ROUND(H518/((TaH-TrH)*1.163)/3600,3),ROUND(H518/(500*(TaH-TrH)),2))</f>
        <v>0.57999999999999996</v>
      </c>
      <c r="K518" s="84"/>
      <c r="L518" s="177">
        <f>CHOOSE(Basis!$E$1,((AJ518*(J518*3600/Basis!$E$5)^AK518*(((MID(C518,9,3)*10)-144)/1000)*AL518+AM518*(J518*3600/Basis!$E$5)^2)*0.0098)/Basis!$E$10,((AJ518*(J518/Basis!$E$5)^AK518*(((MID(C518,9,3)*10)-144)/1000)*AL518+AM518*(J518/Basis!$E$5)^2)*0.0098)/Basis!$E$10)</f>
        <v>0</v>
      </c>
      <c r="M518" s="85"/>
      <c r="N518" s="110">
        <v>1.2490000000000001</v>
      </c>
      <c r="O518" s="74"/>
      <c r="P518" s="73">
        <v>2564</v>
      </c>
      <c r="Q518" s="74"/>
      <c r="R518" s="75"/>
      <c r="S518" s="75"/>
      <c r="T518" s="75"/>
      <c r="U518" s="75"/>
      <c r="V518" s="75"/>
      <c r="W518" s="74"/>
      <c r="X518" s="76"/>
      <c r="Y518" s="76"/>
      <c r="Z518" s="76"/>
      <c r="AA518" s="76"/>
      <c r="AB518" s="76"/>
      <c r="AC518" s="74"/>
      <c r="AD518" s="77"/>
      <c r="AE518" s="77"/>
      <c r="AF518" s="77"/>
      <c r="AG518" s="77"/>
      <c r="AH518" s="77"/>
      <c r="AI518" s="68"/>
      <c r="AJ518" s="213"/>
      <c r="AK518" s="213"/>
      <c r="AL518" s="213"/>
      <c r="AM518" s="213"/>
      <c r="AN518" s="74"/>
      <c r="AO518" s="73"/>
      <c r="AP518" s="73"/>
      <c r="AQ518" s="73"/>
      <c r="AR518" s="73"/>
      <c r="AS518" s="73"/>
      <c r="AT518" s="74"/>
      <c r="AU518" s="47"/>
      <c r="AV518" s="48"/>
    </row>
    <row r="519" spans="1:48" ht="12.75" customHeight="1" x14ac:dyDescent="0.25">
      <c r="A519" s="72" t="s">
        <v>20</v>
      </c>
      <c r="B519" s="43" t="s">
        <v>4043</v>
      </c>
      <c r="C519" s="44" t="s">
        <v>3847</v>
      </c>
      <c r="D519" s="45">
        <f>MROUND(MID($C519,6,3)/Basis!$E$3,0.5)</f>
        <v>27</v>
      </c>
      <c r="E519" s="45">
        <f>MROUND(MID($C519,9,3)/Basis!$E$3,0.5)</f>
        <v>102.5</v>
      </c>
      <c r="F519" s="229" t="str">
        <f t="shared" si="7"/>
        <v>22</v>
      </c>
      <c r="G519" s="45">
        <f>ROUND(9/Basis!$E$3,1)</f>
        <v>3.5</v>
      </c>
      <c r="H519" s="120">
        <f>ROUND($P519*Basis!$E$2*((TaH-TrH)/LN(1/µ)/Basis!$E$7)^$N519*Glycol,0)</f>
        <v>9713</v>
      </c>
      <c r="I519" s="83">
        <f>ROUND(H519/(MID($C519,9,3)/Basis!$E$3/Basis!$E$9)*Basis!$E$11,0)</f>
        <v>1139</v>
      </c>
      <c r="J519" s="123">
        <f>IF(Basis!$E$1=1,ROUND(H519/((TaH-TrH)*1.163)/3600,3),ROUND(H519/(500*(TaH-TrH)),2))</f>
        <v>0.97</v>
      </c>
      <c r="K519" s="84"/>
      <c r="L519" s="177">
        <f>CHOOSE(Basis!$E$1,((AJ519*(J519*3600/Basis!$E$5)^AK519*(((MID(C519,9,3)*10)-144)/1000)*AL519+AM519*(J519*3600/Basis!$E$5)^2)*0.0098)/Basis!$E$10,((AJ519*(J519/Basis!$E$5)^AK519*(((MID(C519,9,3)*10)-144)/1000)*AL519+AM519*(J519/Basis!$E$5)^2)*0.0098)/Basis!$E$10)</f>
        <v>0</v>
      </c>
      <c r="M519" s="85"/>
      <c r="N519" s="110">
        <v>1.349</v>
      </c>
      <c r="O519" s="74"/>
      <c r="P519" s="73">
        <v>4443</v>
      </c>
      <c r="Q519" s="74"/>
      <c r="R519" s="75"/>
      <c r="S519" s="75"/>
      <c r="T519" s="75"/>
      <c r="U519" s="75"/>
      <c r="V519" s="75"/>
      <c r="W519" s="74"/>
      <c r="X519" s="76"/>
      <c r="Y519" s="76"/>
      <c r="Z519" s="76"/>
      <c r="AA519" s="76"/>
      <c r="AB519" s="76"/>
      <c r="AC519" s="74"/>
      <c r="AD519" s="77"/>
      <c r="AE519" s="77"/>
      <c r="AF519" s="77"/>
      <c r="AG519" s="77"/>
      <c r="AH519" s="77"/>
      <c r="AI519" s="68"/>
      <c r="AJ519" s="213"/>
      <c r="AK519" s="213"/>
      <c r="AL519" s="213"/>
      <c r="AM519" s="213"/>
      <c r="AN519" s="74"/>
      <c r="AO519" s="73"/>
      <c r="AP519" s="73"/>
      <c r="AQ519" s="73"/>
      <c r="AR519" s="73"/>
      <c r="AS519" s="73"/>
      <c r="AT519" s="74"/>
      <c r="AU519" s="47"/>
      <c r="AV519" s="48"/>
    </row>
    <row r="520" spans="1:48" ht="12.75" customHeight="1" x14ac:dyDescent="0.25">
      <c r="A520" s="72" t="s">
        <v>20</v>
      </c>
      <c r="B520" s="43" t="s">
        <v>4043</v>
      </c>
      <c r="C520" s="44" t="s">
        <v>3848</v>
      </c>
      <c r="D520" s="45">
        <f>MROUND(MID($C520,6,3)/Basis!$E$3,0.5)</f>
        <v>27</v>
      </c>
      <c r="E520" s="45">
        <f>MROUND(MID($C520,9,3)/Basis!$E$3,0.5)</f>
        <v>110</v>
      </c>
      <c r="F520" s="229" t="str">
        <f t="shared" si="7"/>
        <v>11</v>
      </c>
      <c r="G520" s="45">
        <f>ROUND(5/Basis!$E$3,1)</f>
        <v>2</v>
      </c>
      <c r="H520" s="120">
        <f>ROUND($P520*Basis!$E$2*((TaH-TrH)/LN(1/µ)/Basis!$E$7)^$N520*Glycol,0)</f>
        <v>6238</v>
      </c>
      <c r="I520" s="83">
        <f>ROUND(H520/(MID($C520,9,3)/Basis!$E$3/Basis!$E$9)*Basis!$E$11,0)</f>
        <v>679</v>
      </c>
      <c r="J520" s="123">
        <f>IF(Basis!$E$1=1,ROUND(H520/((TaH-TrH)*1.163)/3600,3),ROUND(H520/(500*(TaH-TrH)),2))</f>
        <v>0.62</v>
      </c>
      <c r="K520" s="84"/>
      <c r="L520" s="177">
        <f>CHOOSE(Basis!$E$1,((AJ520*(J520*3600/Basis!$E$5)^AK520*(((MID(C520,9,3)*10)-144)/1000)*AL520+AM520*(J520*3600/Basis!$E$5)^2)*0.0098)/Basis!$E$10,((AJ520*(J520/Basis!$E$5)^AK520*(((MID(C520,9,3)*10)-144)/1000)*AL520+AM520*(J520/Basis!$E$5)^2)*0.0098)/Basis!$E$10)</f>
        <v>0</v>
      </c>
      <c r="M520" s="85"/>
      <c r="N520" s="109">
        <v>1.2490000000000001</v>
      </c>
      <c r="O520" s="68"/>
      <c r="P520" s="67">
        <v>2761</v>
      </c>
      <c r="Q520" s="68"/>
      <c r="R520" s="69"/>
      <c r="S520" s="69"/>
      <c r="T520" s="69"/>
      <c r="U520" s="69"/>
      <c r="V520" s="69"/>
      <c r="W520" s="68"/>
      <c r="X520" s="70"/>
      <c r="Y520" s="70"/>
      <c r="Z520" s="70"/>
      <c r="AA520" s="70"/>
      <c r="AB520" s="70"/>
      <c r="AC520" s="68"/>
      <c r="AD520" s="71"/>
      <c r="AE520" s="71"/>
      <c r="AF520" s="71"/>
      <c r="AG520" s="71"/>
      <c r="AH520" s="71"/>
      <c r="AI520" s="68"/>
      <c r="AJ520" s="214"/>
      <c r="AK520" s="214"/>
      <c r="AL520" s="214"/>
      <c r="AM520" s="214"/>
      <c r="AN520" s="68"/>
      <c r="AO520" s="67"/>
      <c r="AP520" s="67"/>
      <c r="AQ520" s="67"/>
      <c r="AR520" s="67"/>
      <c r="AS520" s="67"/>
      <c r="AT520" s="68"/>
      <c r="AU520" s="49"/>
      <c r="AV520" s="50"/>
    </row>
    <row r="521" spans="1:48" ht="12.75" customHeight="1" x14ac:dyDescent="0.25">
      <c r="A521" s="72" t="s">
        <v>20</v>
      </c>
      <c r="B521" s="43" t="s">
        <v>4043</v>
      </c>
      <c r="C521" s="44" t="s">
        <v>3849</v>
      </c>
      <c r="D521" s="45">
        <f>MROUND(MID($C521,6,3)/Basis!$E$3,0.5)</f>
        <v>27</v>
      </c>
      <c r="E521" s="45">
        <f>MROUND(MID($C521,9,3)/Basis!$E$3,0.5)</f>
        <v>110</v>
      </c>
      <c r="F521" s="229" t="str">
        <f t="shared" si="7"/>
        <v>22</v>
      </c>
      <c r="G521" s="45">
        <f>ROUND(9/Basis!$E$3,1)</f>
        <v>3.5</v>
      </c>
      <c r="H521" s="120">
        <f>ROUND($P521*Basis!$E$2*((TaH-TrH)/LN(1/µ)/Basis!$E$7)^$N521*Glycol,0)</f>
        <v>10460</v>
      </c>
      <c r="I521" s="83">
        <f>ROUND(H521/(MID($C521,9,3)/Basis!$E$3/Basis!$E$9)*Basis!$E$11,0)</f>
        <v>1139</v>
      </c>
      <c r="J521" s="123">
        <f>IF(Basis!$E$1=1,ROUND(H521/((TaH-TrH)*1.163)/3600,3),ROUND(H521/(500*(TaH-TrH)),2))</f>
        <v>1.05</v>
      </c>
      <c r="K521" s="84"/>
      <c r="L521" s="177">
        <f>CHOOSE(Basis!$E$1,((AJ521*(J521*3600/Basis!$E$5)^AK521*(((MID(C521,9,3)*10)-144)/1000)*AL521+AM521*(J521*3600/Basis!$E$5)^2)*0.0098)/Basis!$E$10,((AJ521*(J521/Basis!$E$5)^AK521*(((MID(C521,9,3)*10)-144)/1000)*AL521+AM521*(J521/Basis!$E$5)^2)*0.0098)/Basis!$E$10)</f>
        <v>0</v>
      </c>
      <c r="M521" s="85"/>
      <c r="N521" s="109">
        <v>1.349</v>
      </c>
      <c r="O521" s="68"/>
      <c r="P521" s="67">
        <v>4785</v>
      </c>
      <c r="Q521" s="68"/>
      <c r="R521" s="69"/>
      <c r="S521" s="69"/>
      <c r="T521" s="69"/>
      <c r="U521" s="69"/>
      <c r="V521" s="69"/>
      <c r="W521" s="68"/>
      <c r="X521" s="70"/>
      <c r="Y521" s="70"/>
      <c r="Z521" s="70"/>
      <c r="AA521" s="70"/>
      <c r="AB521" s="70"/>
      <c r="AC521" s="68"/>
      <c r="AD521" s="71"/>
      <c r="AE521" s="71"/>
      <c r="AF521" s="71"/>
      <c r="AG521" s="71"/>
      <c r="AH521" s="71"/>
      <c r="AI521" s="68"/>
      <c r="AJ521" s="214"/>
      <c r="AK521" s="214"/>
      <c r="AL521" s="214"/>
      <c r="AM521" s="214"/>
      <c r="AN521" s="68"/>
      <c r="AO521" s="67"/>
      <c r="AP521" s="67"/>
      <c r="AQ521" s="67"/>
      <c r="AR521" s="67"/>
      <c r="AS521" s="67"/>
      <c r="AT521" s="68"/>
      <c r="AU521" s="49"/>
      <c r="AV521" s="50"/>
    </row>
    <row r="522" spans="1:48" ht="12.75" customHeight="1" x14ac:dyDescent="0.25">
      <c r="A522" s="72" t="s">
        <v>20</v>
      </c>
      <c r="B522" s="43" t="s">
        <v>4043</v>
      </c>
      <c r="C522" s="44" t="s">
        <v>3850</v>
      </c>
      <c r="D522" s="45">
        <f>MROUND(MID($C522,6,3)/Basis!$E$3,0.5)</f>
        <v>27</v>
      </c>
      <c r="E522" s="45">
        <f>MROUND(MID($C522,9,3)/Basis!$E$3,0.5)</f>
        <v>118</v>
      </c>
      <c r="F522" s="229" t="str">
        <f t="shared" si="7"/>
        <v>11</v>
      </c>
      <c r="G522" s="45">
        <f>ROUND(5/Basis!$E$3,1)</f>
        <v>2</v>
      </c>
      <c r="H522" s="120">
        <f>ROUND($P522*Basis!$E$2*((TaH-TrH)/LN(1/µ)/Basis!$E$7)^$N522*Glycol,0)</f>
        <v>6683</v>
      </c>
      <c r="I522" s="83">
        <f>ROUND(H522/(MID($C522,9,3)/Basis!$E$3/Basis!$E$9)*Basis!$E$11,0)</f>
        <v>679</v>
      </c>
      <c r="J522" s="123">
        <f>IF(Basis!$E$1=1,ROUND(H522/((TaH-TrH)*1.163)/3600,3),ROUND(H522/(500*(TaH-TrH)),2))</f>
        <v>0.67</v>
      </c>
      <c r="K522" s="84"/>
      <c r="L522" s="177">
        <f>CHOOSE(Basis!$E$1,((AJ522*(J522*3600/Basis!$E$5)^AK522*(((MID(C522,9,3)*10)-144)/1000)*AL522+AM522*(J522*3600/Basis!$E$5)^2)*0.0098)/Basis!$E$10,((AJ522*(J522/Basis!$E$5)^AK522*(((MID(C522,9,3)*10)-144)/1000)*AL522+AM522*(J522/Basis!$E$5)^2)*0.0098)/Basis!$E$10)</f>
        <v>0</v>
      </c>
      <c r="M522" s="85"/>
      <c r="N522" s="110">
        <v>1.2490000000000001</v>
      </c>
      <c r="O522" s="74"/>
      <c r="P522" s="73">
        <v>2958</v>
      </c>
      <c r="Q522" s="74"/>
      <c r="R522" s="75"/>
      <c r="S522" s="75"/>
      <c r="T522" s="75"/>
      <c r="U522" s="75"/>
      <c r="V522" s="75"/>
      <c r="W522" s="74"/>
      <c r="X522" s="76"/>
      <c r="Y522" s="76"/>
      <c r="Z522" s="76"/>
      <c r="AA522" s="76"/>
      <c r="AB522" s="76"/>
      <c r="AC522" s="74"/>
      <c r="AD522" s="77"/>
      <c r="AE522" s="77"/>
      <c r="AF522" s="77"/>
      <c r="AG522" s="77"/>
      <c r="AH522" s="77"/>
      <c r="AI522" s="68"/>
      <c r="AJ522" s="213"/>
      <c r="AK522" s="213"/>
      <c r="AL522" s="213"/>
      <c r="AM522" s="213"/>
      <c r="AN522" s="74"/>
      <c r="AO522" s="73"/>
      <c r="AP522" s="73"/>
      <c r="AQ522" s="73"/>
      <c r="AR522" s="73"/>
      <c r="AS522" s="73"/>
      <c r="AT522" s="74"/>
      <c r="AU522" s="47"/>
      <c r="AV522" s="48"/>
    </row>
    <row r="523" spans="1:48" ht="12.75" customHeight="1" x14ac:dyDescent="0.25">
      <c r="A523" s="72" t="s">
        <v>20</v>
      </c>
      <c r="B523" s="43" t="s">
        <v>4043</v>
      </c>
      <c r="C523" s="44" t="s">
        <v>3851</v>
      </c>
      <c r="D523" s="45">
        <f>MROUND(MID($C523,6,3)/Basis!$E$3,0.5)</f>
        <v>27</v>
      </c>
      <c r="E523" s="45">
        <f>MROUND(MID($C523,9,3)/Basis!$E$3,0.5)</f>
        <v>118</v>
      </c>
      <c r="F523" s="229" t="str">
        <f t="shared" ref="F523:F586" si="8">MID(C523,12,2)</f>
        <v>22</v>
      </c>
      <c r="G523" s="45">
        <f>ROUND(9/Basis!$E$3,1)</f>
        <v>3.5</v>
      </c>
      <c r="H523" s="120">
        <f>ROUND($P523*Basis!$E$2*((TaH-TrH)/LN(1/µ)/Basis!$E$7)^$N523*Glycol,0)</f>
        <v>11208</v>
      </c>
      <c r="I523" s="83">
        <f>ROUND(H523/(MID($C523,9,3)/Basis!$E$3/Basis!$E$9)*Basis!$E$11,0)</f>
        <v>1139</v>
      </c>
      <c r="J523" s="123">
        <f>IF(Basis!$E$1=1,ROUND(H523/((TaH-TrH)*1.163)/3600,3),ROUND(H523/(500*(TaH-TrH)),2))</f>
        <v>1.1200000000000001</v>
      </c>
      <c r="K523" s="84"/>
      <c r="L523" s="177">
        <f>CHOOSE(Basis!$E$1,((AJ523*(J523*3600/Basis!$E$5)^AK523*(((MID(C523,9,3)*10)-144)/1000)*AL523+AM523*(J523*3600/Basis!$E$5)^2)*0.0098)/Basis!$E$10,((AJ523*(J523/Basis!$E$5)^AK523*(((MID(C523,9,3)*10)-144)/1000)*AL523+AM523*(J523/Basis!$E$5)^2)*0.0098)/Basis!$E$10)</f>
        <v>0</v>
      </c>
      <c r="M523" s="85"/>
      <c r="N523" s="110">
        <v>1.349</v>
      </c>
      <c r="O523" s="74"/>
      <c r="P523" s="73">
        <v>5127</v>
      </c>
      <c r="Q523" s="74"/>
      <c r="R523" s="75"/>
      <c r="S523" s="75"/>
      <c r="T523" s="75"/>
      <c r="U523" s="75"/>
      <c r="V523" s="75"/>
      <c r="W523" s="74"/>
      <c r="X523" s="76"/>
      <c r="Y523" s="76"/>
      <c r="Z523" s="76"/>
      <c r="AA523" s="76"/>
      <c r="AB523" s="76"/>
      <c r="AC523" s="74"/>
      <c r="AD523" s="77"/>
      <c r="AE523" s="77"/>
      <c r="AF523" s="77"/>
      <c r="AG523" s="77"/>
      <c r="AH523" s="77"/>
      <c r="AI523" s="68"/>
      <c r="AJ523" s="213"/>
      <c r="AK523" s="213"/>
      <c r="AL523" s="213"/>
      <c r="AM523" s="213"/>
      <c r="AN523" s="74"/>
      <c r="AO523" s="73"/>
      <c r="AP523" s="73"/>
      <c r="AQ523" s="73"/>
      <c r="AR523" s="73"/>
      <c r="AS523" s="73"/>
      <c r="AT523" s="74"/>
      <c r="AU523" s="47"/>
      <c r="AV523" s="48"/>
    </row>
    <row r="524" spans="1:48" ht="12.75" customHeight="1" x14ac:dyDescent="0.25">
      <c r="A524" s="72" t="s">
        <v>20</v>
      </c>
      <c r="B524" s="43" t="s">
        <v>4043</v>
      </c>
      <c r="C524" s="44" t="s">
        <v>3852</v>
      </c>
      <c r="D524" s="45">
        <f>MROUND(MID($C524,6,3)/Basis!$E$3,0.5)</f>
        <v>29.5</v>
      </c>
      <c r="E524" s="45">
        <f>MROUND(MID($C524,9,3)/Basis!$E$3,0.5)</f>
        <v>23.5</v>
      </c>
      <c r="F524" s="229" t="str">
        <f t="shared" si="8"/>
        <v>11</v>
      </c>
      <c r="G524" s="45">
        <f>ROUND(5/Basis!$E$3,1)</f>
        <v>2</v>
      </c>
      <c r="H524" s="120">
        <f>ROUND($P524*Basis!$E$2*((TaH-TrH)/LN(1/µ)/Basis!$E$7)^$N524*Glycol,0)</f>
        <v>1428</v>
      </c>
      <c r="I524" s="83">
        <f>ROUND(H524/(MID($C524,9,3)/Basis!$E$3/Basis!$E$9)*Basis!$E$11,0)</f>
        <v>725</v>
      </c>
      <c r="J524" s="123">
        <f>IF(Basis!$E$1=1,ROUND(H524/((TaH-TrH)*1.163)/3600,3),ROUND(H524/(500*(TaH-TrH)),2))</f>
        <v>0.14000000000000001</v>
      </c>
      <c r="K524" s="84"/>
      <c r="L524" s="177">
        <f>CHOOSE(Basis!$E$1,((AJ524*(J524*3600/Basis!$E$5)^AK524*(((MID(C524,9,3)*10)-144)/1000)*AL524+AM524*(J524*3600/Basis!$E$5)^2)*0.0098)/Basis!$E$10,((AJ524*(J524/Basis!$E$5)^AK524*(((MID(C524,9,3)*10)-144)/1000)*AL524+AM524*(J524/Basis!$E$5)^2)*0.0098)/Basis!$E$10)</f>
        <v>0</v>
      </c>
      <c r="M524" s="85"/>
      <c r="N524" s="109">
        <v>1.2490000000000001</v>
      </c>
      <c r="O524" s="68"/>
      <c r="P524" s="67">
        <v>632</v>
      </c>
      <c r="Q524" s="68"/>
      <c r="R524" s="69"/>
      <c r="S524" s="69"/>
      <c r="T524" s="69"/>
      <c r="U524" s="69"/>
      <c r="V524" s="69"/>
      <c r="W524" s="68"/>
      <c r="X524" s="70"/>
      <c r="Y524" s="70"/>
      <c r="Z524" s="70"/>
      <c r="AA524" s="70"/>
      <c r="AB524" s="70"/>
      <c r="AC524" s="68"/>
      <c r="AD524" s="71"/>
      <c r="AE524" s="71"/>
      <c r="AF524" s="71"/>
      <c r="AG524" s="71"/>
      <c r="AH524" s="71"/>
      <c r="AI524" s="68"/>
      <c r="AJ524" s="214"/>
      <c r="AK524" s="214"/>
      <c r="AL524" s="214"/>
      <c r="AM524" s="214"/>
      <c r="AN524" s="68"/>
      <c r="AO524" s="67"/>
      <c r="AP524" s="67"/>
      <c r="AQ524" s="67"/>
      <c r="AR524" s="67"/>
      <c r="AS524" s="67"/>
      <c r="AT524" s="68"/>
      <c r="AU524" s="49"/>
      <c r="AV524" s="50"/>
    </row>
    <row r="525" spans="1:48" ht="12.75" customHeight="1" x14ac:dyDescent="0.25">
      <c r="A525" s="72" t="s">
        <v>20</v>
      </c>
      <c r="B525" s="43" t="s">
        <v>4043</v>
      </c>
      <c r="C525" s="44" t="s">
        <v>3853</v>
      </c>
      <c r="D525" s="45">
        <f>MROUND(MID($C525,6,3)/Basis!$E$3,0.5)</f>
        <v>29.5</v>
      </c>
      <c r="E525" s="45">
        <f>MROUND(MID($C525,9,3)/Basis!$E$3,0.5)</f>
        <v>23.5</v>
      </c>
      <c r="F525" s="229" t="str">
        <f t="shared" si="8"/>
        <v>22</v>
      </c>
      <c r="G525" s="45">
        <f>ROUND(9/Basis!$E$3,1)</f>
        <v>3.5</v>
      </c>
      <c r="H525" s="120">
        <f>ROUND($P525*Basis!$E$2*((TaH-TrH)/LN(1/µ)/Basis!$E$7)^$N525*Glycol,0)</f>
        <v>2375</v>
      </c>
      <c r="I525" s="83">
        <f>ROUND(H525/(MID($C525,9,3)/Basis!$E$3/Basis!$E$9)*Basis!$E$11,0)</f>
        <v>1207</v>
      </c>
      <c r="J525" s="123">
        <f>IF(Basis!$E$1=1,ROUND(H525/((TaH-TrH)*1.163)/3600,3),ROUND(H525/(500*(TaH-TrH)),2))</f>
        <v>0.24</v>
      </c>
      <c r="K525" s="84"/>
      <c r="L525" s="177">
        <f>CHOOSE(Basis!$E$1,((AJ525*(J525*3600/Basis!$E$5)^AK525*(((MID(C525,9,3)*10)-144)/1000)*AL525+AM525*(J525*3600/Basis!$E$5)^2)*0.0098)/Basis!$E$10,((AJ525*(J525/Basis!$E$5)^AK525*(((MID(C525,9,3)*10)-144)/1000)*AL525+AM525*(J525/Basis!$E$5)^2)*0.0098)/Basis!$E$10)</f>
        <v>0</v>
      </c>
      <c r="M525" s="85"/>
      <c r="N525" s="109">
        <v>1.3480000000000001</v>
      </c>
      <c r="O525" s="68"/>
      <c r="P525" s="67">
        <v>1086</v>
      </c>
      <c r="Q525" s="68"/>
      <c r="R525" s="69"/>
      <c r="S525" s="69"/>
      <c r="T525" s="69"/>
      <c r="U525" s="69"/>
      <c r="V525" s="69"/>
      <c r="W525" s="68"/>
      <c r="X525" s="70"/>
      <c r="Y525" s="70"/>
      <c r="Z525" s="70"/>
      <c r="AA525" s="70"/>
      <c r="AB525" s="70"/>
      <c r="AC525" s="68"/>
      <c r="AD525" s="71"/>
      <c r="AE525" s="71"/>
      <c r="AF525" s="71"/>
      <c r="AG525" s="71"/>
      <c r="AH525" s="71"/>
      <c r="AI525" s="68"/>
      <c r="AJ525" s="214"/>
      <c r="AK525" s="214"/>
      <c r="AL525" s="214"/>
      <c r="AM525" s="214"/>
      <c r="AN525" s="68"/>
      <c r="AO525" s="67"/>
      <c r="AP525" s="67"/>
      <c r="AQ525" s="67"/>
      <c r="AR525" s="67"/>
      <c r="AS525" s="67"/>
      <c r="AT525" s="68"/>
      <c r="AU525" s="49"/>
      <c r="AV525" s="50"/>
    </row>
    <row r="526" spans="1:48" ht="12.75" customHeight="1" x14ac:dyDescent="0.25">
      <c r="A526" s="72" t="s">
        <v>20</v>
      </c>
      <c r="B526" s="43" t="s">
        <v>4043</v>
      </c>
      <c r="C526" s="44" t="s">
        <v>3854</v>
      </c>
      <c r="D526" s="45">
        <f>MROUND(MID($C526,6,3)/Basis!$E$3,0.5)</f>
        <v>29.5</v>
      </c>
      <c r="E526" s="45">
        <f>MROUND(MID($C526,9,3)/Basis!$E$3,0.5)</f>
        <v>31.5</v>
      </c>
      <c r="F526" s="229" t="str">
        <f t="shared" si="8"/>
        <v>11</v>
      </c>
      <c r="G526" s="45">
        <f>ROUND(5/Basis!$E$3,1)</f>
        <v>2</v>
      </c>
      <c r="H526" s="120">
        <f>ROUND($P526*Basis!$E$2*((TaH-TrH)/LN(1/µ)/Basis!$E$7)^$N526*Glycol,0)</f>
        <v>1902</v>
      </c>
      <c r="I526" s="83">
        <f>ROUND(H526/(MID($C526,9,3)/Basis!$E$3/Basis!$E$9)*Basis!$E$11,0)</f>
        <v>725</v>
      </c>
      <c r="J526" s="123">
        <f>IF(Basis!$E$1=1,ROUND(H526/((TaH-TrH)*1.163)/3600,3),ROUND(H526/(500*(TaH-TrH)),2))</f>
        <v>0.19</v>
      </c>
      <c r="K526" s="84"/>
      <c r="L526" s="177">
        <f>CHOOSE(Basis!$E$1,((AJ526*(J526*3600/Basis!$E$5)^AK526*(((MID(C526,9,3)*10)-144)/1000)*AL526+AM526*(J526*3600/Basis!$E$5)^2)*0.0098)/Basis!$E$10,((AJ526*(J526/Basis!$E$5)^AK526*(((MID(C526,9,3)*10)-144)/1000)*AL526+AM526*(J526/Basis!$E$5)^2)*0.0098)/Basis!$E$10)</f>
        <v>0</v>
      </c>
      <c r="M526" s="85"/>
      <c r="N526" s="110">
        <v>1.2490000000000001</v>
      </c>
      <c r="O526" s="74"/>
      <c r="P526" s="73">
        <v>842</v>
      </c>
      <c r="Q526" s="74"/>
      <c r="R526" s="75"/>
      <c r="S526" s="75"/>
      <c r="T526" s="75"/>
      <c r="U526" s="75"/>
      <c r="V526" s="75"/>
      <c r="W526" s="74"/>
      <c r="X526" s="76"/>
      <c r="Y526" s="76"/>
      <c r="Z526" s="76"/>
      <c r="AA526" s="76"/>
      <c r="AB526" s="76"/>
      <c r="AC526" s="74"/>
      <c r="AD526" s="77"/>
      <c r="AE526" s="77"/>
      <c r="AF526" s="77"/>
      <c r="AG526" s="77"/>
      <c r="AH526" s="77"/>
      <c r="AI526" s="68"/>
      <c r="AJ526" s="213"/>
      <c r="AK526" s="213"/>
      <c r="AL526" s="213"/>
      <c r="AM526" s="213"/>
      <c r="AN526" s="74"/>
      <c r="AO526" s="73"/>
      <c r="AP526" s="73"/>
      <c r="AQ526" s="73"/>
      <c r="AR526" s="73"/>
      <c r="AS526" s="73"/>
      <c r="AT526" s="74"/>
      <c r="AU526" s="47"/>
      <c r="AV526" s="48"/>
    </row>
    <row r="527" spans="1:48" ht="12.75" customHeight="1" x14ac:dyDescent="0.25">
      <c r="A527" s="72" t="s">
        <v>20</v>
      </c>
      <c r="B527" s="43" t="s">
        <v>4043</v>
      </c>
      <c r="C527" s="44" t="s">
        <v>3855</v>
      </c>
      <c r="D527" s="45">
        <f>MROUND(MID($C527,6,3)/Basis!$E$3,0.5)</f>
        <v>29.5</v>
      </c>
      <c r="E527" s="45">
        <f>MROUND(MID($C527,9,3)/Basis!$E$3,0.5)</f>
        <v>31.5</v>
      </c>
      <c r="F527" s="229" t="str">
        <f t="shared" si="8"/>
        <v>22</v>
      </c>
      <c r="G527" s="45">
        <f>ROUND(9/Basis!$E$3,1)</f>
        <v>3.5</v>
      </c>
      <c r="H527" s="120">
        <f>ROUND($P527*Basis!$E$2*((TaH-TrH)/LN(1/µ)/Basis!$E$7)^$N527*Glycol,0)</f>
        <v>3166</v>
      </c>
      <c r="I527" s="83">
        <f>ROUND(H527/(MID($C527,9,3)/Basis!$E$3/Basis!$E$9)*Basis!$E$11,0)</f>
        <v>1206</v>
      </c>
      <c r="J527" s="123">
        <f>IF(Basis!$E$1=1,ROUND(H527/((TaH-TrH)*1.163)/3600,3),ROUND(H527/(500*(TaH-TrH)),2))</f>
        <v>0.32</v>
      </c>
      <c r="K527" s="84"/>
      <c r="L527" s="177">
        <f>CHOOSE(Basis!$E$1,((AJ527*(J527*3600/Basis!$E$5)^AK527*(((MID(C527,9,3)*10)-144)/1000)*AL527+AM527*(J527*3600/Basis!$E$5)^2)*0.0098)/Basis!$E$10,((AJ527*(J527/Basis!$E$5)^AK527*(((MID(C527,9,3)*10)-144)/1000)*AL527+AM527*(J527/Basis!$E$5)^2)*0.0098)/Basis!$E$10)</f>
        <v>0</v>
      </c>
      <c r="M527" s="85"/>
      <c r="N527" s="110">
        <v>1.3480000000000001</v>
      </c>
      <c r="O527" s="74"/>
      <c r="P527" s="73">
        <v>1448</v>
      </c>
      <c r="Q527" s="74"/>
      <c r="R527" s="75"/>
      <c r="S527" s="75"/>
      <c r="T527" s="75"/>
      <c r="U527" s="75"/>
      <c r="V527" s="75"/>
      <c r="W527" s="74"/>
      <c r="X527" s="76"/>
      <c r="Y527" s="76"/>
      <c r="Z527" s="76"/>
      <c r="AA527" s="76"/>
      <c r="AB527" s="76"/>
      <c r="AC527" s="74"/>
      <c r="AD527" s="77"/>
      <c r="AE527" s="77"/>
      <c r="AF527" s="77"/>
      <c r="AG527" s="77"/>
      <c r="AH527" s="77"/>
      <c r="AI527" s="68"/>
      <c r="AJ527" s="213"/>
      <c r="AK527" s="213"/>
      <c r="AL527" s="213"/>
      <c r="AM527" s="213"/>
      <c r="AN527" s="74"/>
      <c r="AO527" s="73"/>
      <c r="AP527" s="73"/>
      <c r="AQ527" s="73"/>
      <c r="AR527" s="73"/>
      <c r="AS527" s="73"/>
      <c r="AT527" s="74"/>
      <c r="AU527" s="47"/>
      <c r="AV527" s="48"/>
    </row>
    <row r="528" spans="1:48" ht="12.75" customHeight="1" x14ac:dyDescent="0.25">
      <c r="A528" s="72" t="s">
        <v>20</v>
      </c>
      <c r="B528" s="43" t="s">
        <v>4043</v>
      </c>
      <c r="C528" s="44" t="s">
        <v>3856</v>
      </c>
      <c r="D528" s="45">
        <f>MROUND(MID($C528,6,3)/Basis!$E$3,0.5)</f>
        <v>29.5</v>
      </c>
      <c r="E528" s="45">
        <f>MROUND(MID($C528,9,3)/Basis!$E$3,0.5)</f>
        <v>39.5</v>
      </c>
      <c r="F528" s="229" t="str">
        <f t="shared" si="8"/>
        <v>11</v>
      </c>
      <c r="G528" s="45">
        <f>ROUND(5/Basis!$E$3,1)</f>
        <v>2</v>
      </c>
      <c r="H528" s="120">
        <f>ROUND($P528*Basis!$E$2*((TaH-TrH)/LN(1/µ)/Basis!$E$7)^$N528*Glycol,0)</f>
        <v>2379</v>
      </c>
      <c r="I528" s="83">
        <f>ROUND(H528/(MID($C528,9,3)/Basis!$E$3/Basis!$E$9)*Basis!$E$11,0)</f>
        <v>725</v>
      </c>
      <c r="J528" s="123">
        <f>IF(Basis!$E$1=1,ROUND(H528/((TaH-TrH)*1.163)/3600,3),ROUND(H528/(500*(TaH-TrH)),2))</f>
        <v>0.24</v>
      </c>
      <c r="K528" s="84"/>
      <c r="L528" s="177">
        <f>CHOOSE(Basis!$E$1,((AJ528*(J528*3600/Basis!$E$5)^AK528*(((MID(C528,9,3)*10)-144)/1000)*AL528+AM528*(J528*3600/Basis!$E$5)^2)*0.0098)/Basis!$E$10,((AJ528*(J528/Basis!$E$5)^AK528*(((MID(C528,9,3)*10)-144)/1000)*AL528+AM528*(J528/Basis!$E$5)^2)*0.0098)/Basis!$E$10)</f>
        <v>0</v>
      </c>
      <c r="M528" s="85"/>
      <c r="N528" s="109">
        <v>1.2490000000000001</v>
      </c>
      <c r="O528" s="68"/>
      <c r="P528" s="67">
        <v>1053</v>
      </c>
      <c r="Q528" s="68"/>
      <c r="R528" s="69"/>
      <c r="S528" s="69"/>
      <c r="T528" s="69"/>
      <c r="U528" s="69"/>
      <c r="V528" s="69"/>
      <c r="W528" s="68"/>
      <c r="X528" s="70"/>
      <c r="Y528" s="70"/>
      <c r="Z528" s="70"/>
      <c r="AA528" s="70"/>
      <c r="AB528" s="70"/>
      <c r="AC528" s="68"/>
      <c r="AD528" s="71"/>
      <c r="AE528" s="71"/>
      <c r="AF528" s="71"/>
      <c r="AG528" s="71"/>
      <c r="AH528" s="71"/>
      <c r="AI528" s="68"/>
      <c r="AJ528" s="214"/>
      <c r="AK528" s="214"/>
      <c r="AL528" s="214"/>
      <c r="AM528" s="214"/>
      <c r="AN528" s="68"/>
      <c r="AO528" s="67"/>
      <c r="AP528" s="67"/>
      <c r="AQ528" s="67"/>
      <c r="AR528" s="67"/>
      <c r="AS528" s="67"/>
      <c r="AT528" s="68"/>
      <c r="AU528" s="49"/>
      <c r="AV528" s="50"/>
    </row>
    <row r="529" spans="1:48" ht="12.75" customHeight="1" x14ac:dyDescent="0.25">
      <c r="A529" s="72" t="s">
        <v>20</v>
      </c>
      <c r="B529" s="43" t="s">
        <v>4043</v>
      </c>
      <c r="C529" s="44" t="s">
        <v>3857</v>
      </c>
      <c r="D529" s="45">
        <f>MROUND(MID($C529,6,3)/Basis!$E$3,0.5)</f>
        <v>29.5</v>
      </c>
      <c r="E529" s="45">
        <f>MROUND(MID($C529,9,3)/Basis!$E$3,0.5)</f>
        <v>39.5</v>
      </c>
      <c r="F529" s="229" t="str">
        <f t="shared" si="8"/>
        <v>22</v>
      </c>
      <c r="G529" s="45">
        <f>ROUND(9/Basis!$E$3,1)</f>
        <v>3.5</v>
      </c>
      <c r="H529" s="120">
        <f>ROUND($P529*Basis!$E$2*((TaH-TrH)/LN(1/µ)/Basis!$E$7)^$N529*Glycol,0)</f>
        <v>3958</v>
      </c>
      <c r="I529" s="83">
        <f>ROUND(H529/(MID($C529,9,3)/Basis!$E$3/Basis!$E$9)*Basis!$E$11,0)</f>
        <v>1206</v>
      </c>
      <c r="J529" s="123">
        <f>IF(Basis!$E$1=1,ROUND(H529/((TaH-TrH)*1.163)/3600,3),ROUND(H529/(500*(TaH-TrH)),2))</f>
        <v>0.4</v>
      </c>
      <c r="K529" s="84"/>
      <c r="L529" s="177">
        <f>CHOOSE(Basis!$E$1,((AJ529*(J529*3600/Basis!$E$5)^AK529*(((MID(C529,9,3)*10)-144)/1000)*AL529+AM529*(J529*3600/Basis!$E$5)^2)*0.0098)/Basis!$E$10,((AJ529*(J529/Basis!$E$5)^AK529*(((MID(C529,9,3)*10)-144)/1000)*AL529+AM529*(J529/Basis!$E$5)^2)*0.0098)/Basis!$E$10)</f>
        <v>0</v>
      </c>
      <c r="M529" s="85"/>
      <c r="N529" s="109">
        <v>1.3480000000000001</v>
      </c>
      <c r="O529" s="68"/>
      <c r="P529" s="67">
        <v>1810</v>
      </c>
      <c r="Q529" s="68"/>
      <c r="R529" s="69"/>
      <c r="S529" s="69"/>
      <c r="T529" s="69"/>
      <c r="U529" s="69"/>
      <c r="V529" s="69"/>
      <c r="W529" s="68"/>
      <c r="X529" s="70"/>
      <c r="Y529" s="70"/>
      <c r="Z529" s="70"/>
      <c r="AA529" s="70"/>
      <c r="AB529" s="70"/>
      <c r="AC529" s="68"/>
      <c r="AD529" s="71"/>
      <c r="AE529" s="71"/>
      <c r="AF529" s="71"/>
      <c r="AG529" s="71"/>
      <c r="AH529" s="71"/>
      <c r="AI529" s="68"/>
      <c r="AJ529" s="214"/>
      <c r="AK529" s="214"/>
      <c r="AL529" s="214"/>
      <c r="AM529" s="214"/>
      <c r="AN529" s="68"/>
      <c r="AO529" s="67"/>
      <c r="AP529" s="67"/>
      <c r="AQ529" s="67"/>
      <c r="AR529" s="67"/>
      <c r="AS529" s="67"/>
      <c r="AT529" s="68"/>
      <c r="AU529" s="49"/>
      <c r="AV529" s="50"/>
    </row>
    <row r="530" spans="1:48" ht="12.75" customHeight="1" x14ac:dyDescent="0.25">
      <c r="A530" s="72" t="s">
        <v>20</v>
      </c>
      <c r="B530" s="43" t="s">
        <v>4043</v>
      </c>
      <c r="C530" s="44" t="s">
        <v>3858</v>
      </c>
      <c r="D530" s="45">
        <f>MROUND(MID($C530,6,3)/Basis!$E$3,0.5)</f>
        <v>29.5</v>
      </c>
      <c r="E530" s="45">
        <f>MROUND(MID($C530,9,3)/Basis!$E$3,0.5)</f>
        <v>47</v>
      </c>
      <c r="F530" s="229" t="str">
        <f t="shared" si="8"/>
        <v>11</v>
      </c>
      <c r="G530" s="45">
        <f>ROUND(5/Basis!$E$3,1)</f>
        <v>2</v>
      </c>
      <c r="H530" s="120">
        <f>ROUND($P530*Basis!$E$2*((TaH-TrH)/LN(1/µ)/Basis!$E$7)^$N530*Glycol,0)</f>
        <v>2854</v>
      </c>
      <c r="I530" s="83">
        <f>ROUND(H530/(MID($C530,9,3)/Basis!$E$3/Basis!$E$9)*Basis!$E$11,0)</f>
        <v>725</v>
      </c>
      <c r="J530" s="123">
        <f>IF(Basis!$E$1=1,ROUND(H530/((TaH-TrH)*1.163)/3600,3),ROUND(H530/(500*(TaH-TrH)),2))</f>
        <v>0.28999999999999998</v>
      </c>
      <c r="K530" s="84"/>
      <c r="L530" s="177">
        <f>CHOOSE(Basis!$E$1,((AJ530*(J530*3600/Basis!$E$5)^AK530*(((MID(C530,9,3)*10)-144)/1000)*AL530+AM530*(J530*3600/Basis!$E$5)^2)*0.0098)/Basis!$E$10,((AJ530*(J530/Basis!$E$5)^AK530*(((MID(C530,9,3)*10)-144)/1000)*AL530+AM530*(J530/Basis!$E$5)^2)*0.0098)/Basis!$E$10)</f>
        <v>0</v>
      </c>
      <c r="M530" s="85"/>
      <c r="N530" s="110">
        <v>1.2490000000000001</v>
      </c>
      <c r="O530" s="74"/>
      <c r="P530" s="73">
        <v>1263</v>
      </c>
      <c r="Q530" s="74"/>
      <c r="R530" s="75"/>
      <c r="S530" s="75"/>
      <c r="T530" s="75"/>
      <c r="U530" s="75"/>
      <c r="V530" s="75"/>
      <c r="W530" s="74"/>
      <c r="X530" s="76"/>
      <c r="Y530" s="76"/>
      <c r="Z530" s="76"/>
      <c r="AA530" s="76"/>
      <c r="AB530" s="76"/>
      <c r="AC530" s="74"/>
      <c r="AD530" s="77"/>
      <c r="AE530" s="77"/>
      <c r="AF530" s="77"/>
      <c r="AG530" s="77"/>
      <c r="AH530" s="77"/>
      <c r="AI530" s="68"/>
      <c r="AJ530" s="213"/>
      <c r="AK530" s="213"/>
      <c r="AL530" s="213"/>
      <c r="AM530" s="213"/>
      <c r="AN530" s="74"/>
      <c r="AO530" s="73"/>
      <c r="AP530" s="73"/>
      <c r="AQ530" s="73"/>
      <c r="AR530" s="73"/>
      <c r="AS530" s="73"/>
      <c r="AT530" s="74"/>
      <c r="AU530" s="47"/>
      <c r="AV530" s="48"/>
    </row>
    <row r="531" spans="1:48" ht="12.75" customHeight="1" x14ac:dyDescent="0.25">
      <c r="A531" s="72" t="s">
        <v>20</v>
      </c>
      <c r="B531" s="43" t="s">
        <v>4043</v>
      </c>
      <c r="C531" s="44" t="s">
        <v>3859</v>
      </c>
      <c r="D531" s="45">
        <f>MROUND(MID($C531,6,3)/Basis!$E$3,0.5)</f>
        <v>29.5</v>
      </c>
      <c r="E531" s="45">
        <f>MROUND(MID($C531,9,3)/Basis!$E$3,0.5)</f>
        <v>47</v>
      </c>
      <c r="F531" s="229" t="str">
        <f t="shared" si="8"/>
        <v>22</v>
      </c>
      <c r="G531" s="45">
        <f>ROUND(9/Basis!$E$3,1)</f>
        <v>3.5</v>
      </c>
      <c r="H531" s="120">
        <f>ROUND($P531*Basis!$E$2*((TaH-TrH)/LN(1/µ)/Basis!$E$7)^$N531*Glycol,0)</f>
        <v>4750</v>
      </c>
      <c r="I531" s="83">
        <f>ROUND(H531/(MID($C531,9,3)/Basis!$E$3/Basis!$E$9)*Basis!$E$11,0)</f>
        <v>1207</v>
      </c>
      <c r="J531" s="123">
        <f>IF(Basis!$E$1=1,ROUND(H531/((TaH-TrH)*1.163)/3600,3),ROUND(H531/(500*(TaH-TrH)),2))</f>
        <v>0.48</v>
      </c>
      <c r="K531" s="84"/>
      <c r="L531" s="177">
        <f>CHOOSE(Basis!$E$1,((AJ531*(J531*3600/Basis!$E$5)^AK531*(((MID(C531,9,3)*10)-144)/1000)*AL531+AM531*(J531*3600/Basis!$E$5)^2)*0.0098)/Basis!$E$10,((AJ531*(J531/Basis!$E$5)^AK531*(((MID(C531,9,3)*10)-144)/1000)*AL531+AM531*(J531/Basis!$E$5)^2)*0.0098)/Basis!$E$10)</f>
        <v>0</v>
      </c>
      <c r="M531" s="85"/>
      <c r="N531" s="110">
        <v>1.3480000000000001</v>
      </c>
      <c r="O531" s="74"/>
      <c r="P531" s="73">
        <v>2172</v>
      </c>
      <c r="Q531" s="74"/>
      <c r="R531" s="75"/>
      <c r="S531" s="75"/>
      <c r="T531" s="75"/>
      <c r="U531" s="75"/>
      <c r="V531" s="75"/>
      <c r="W531" s="74"/>
      <c r="X531" s="76"/>
      <c r="Y531" s="76"/>
      <c r="Z531" s="76"/>
      <c r="AA531" s="76"/>
      <c r="AB531" s="76"/>
      <c r="AC531" s="74"/>
      <c r="AD531" s="77"/>
      <c r="AE531" s="77"/>
      <c r="AF531" s="77"/>
      <c r="AG531" s="77"/>
      <c r="AH531" s="77"/>
      <c r="AI531" s="68"/>
      <c r="AJ531" s="213"/>
      <c r="AK531" s="213"/>
      <c r="AL531" s="213"/>
      <c r="AM531" s="213"/>
      <c r="AN531" s="74"/>
      <c r="AO531" s="73"/>
      <c r="AP531" s="73"/>
      <c r="AQ531" s="73"/>
      <c r="AR531" s="73"/>
      <c r="AS531" s="73"/>
      <c r="AT531" s="74"/>
      <c r="AU531" s="47"/>
      <c r="AV531" s="48"/>
    </row>
    <row r="532" spans="1:48" ht="12.75" customHeight="1" x14ac:dyDescent="0.25">
      <c r="A532" s="72" t="s">
        <v>20</v>
      </c>
      <c r="B532" s="43" t="s">
        <v>4043</v>
      </c>
      <c r="C532" s="44" t="s">
        <v>3860</v>
      </c>
      <c r="D532" s="45">
        <f>MROUND(MID($C532,6,3)/Basis!$E$3,0.5)</f>
        <v>29.5</v>
      </c>
      <c r="E532" s="45">
        <f>MROUND(MID($C532,9,3)/Basis!$E$3,0.5)</f>
        <v>55</v>
      </c>
      <c r="F532" s="229" t="str">
        <f t="shared" si="8"/>
        <v>11</v>
      </c>
      <c r="G532" s="45">
        <f>ROUND(5/Basis!$E$3,1)</f>
        <v>2</v>
      </c>
      <c r="H532" s="120">
        <f>ROUND($P532*Basis!$E$2*((TaH-TrH)/LN(1/µ)/Basis!$E$7)^$N532*Glycol,0)</f>
        <v>3330</v>
      </c>
      <c r="I532" s="83">
        <f>ROUND(H532/(MID($C532,9,3)/Basis!$E$3/Basis!$E$9)*Basis!$E$11,0)</f>
        <v>725</v>
      </c>
      <c r="J532" s="123">
        <f>IF(Basis!$E$1=1,ROUND(H532/((TaH-TrH)*1.163)/3600,3),ROUND(H532/(500*(TaH-TrH)),2))</f>
        <v>0.33</v>
      </c>
      <c r="K532" s="84"/>
      <c r="L532" s="177">
        <f>CHOOSE(Basis!$E$1,((AJ532*(J532*3600/Basis!$E$5)^AK532*(((MID(C532,9,3)*10)-144)/1000)*AL532+AM532*(J532*3600/Basis!$E$5)^2)*0.0098)/Basis!$E$10,((AJ532*(J532/Basis!$E$5)^AK532*(((MID(C532,9,3)*10)-144)/1000)*AL532+AM532*(J532/Basis!$E$5)^2)*0.0098)/Basis!$E$10)</f>
        <v>0</v>
      </c>
      <c r="M532" s="85"/>
      <c r="N532" s="109">
        <v>1.2490000000000001</v>
      </c>
      <c r="O532" s="68"/>
      <c r="P532" s="67">
        <v>1474</v>
      </c>
      <c r="Q532" s="68"/>
      <c r="R532" s="69"/>
      <c r="S532" s="69"/>
      <c r="T532" s="69"/>
      <c r="U532" s="69"/>
      <c r="V532" s="69"/>
      <c r="W532" s="68"/>
      <c r="X532" s="70"/>
      <c r="Y532" s="70"/>
      <c r="Z532" s="70"/>
      <c r="AA532" s="70"/>
      <c r="AB532" s="70"/>
      <c r="AC532" s="68"/>
      <c r="AD532" s="71"/>
      <c r="AE532" s="71"/>
      <c r="AF532" s="71"/>
      <c r="AG532" s="71"/>
      <c r="AH532" s="71"/>
      <c r="AI532" s="68"/>
      <c r="AJ532" s="214"/>
      <c r="AK532" s="214"/>
      <c r="AL532" s="214"/>
      <c r="AM532" s="214"/>
      <c r="AN532" s="68"/>
      <c r="AO532" s="67"/>
      <c r="AP532" s="67"/>
      <c r="AQ532" s="67"/>
      <c r="AR532" s="67"/>
      <c r="AS532" s="67"/>
      <c r="AT532" s="68"/>
      <c r="AU532" s="49"/>
      <c r="AV532" s="50"/>
    </row>
    <row r="533" spans="1:48" ht="12.75" customHeight="1" x14ac:dyDescent="0.25">
      <c r="A533" s="72" t="s">
        <v>20</v>
      </c>
      <c r="B533" s="43" t="s">
        <v>4043</v>
      </c>
      <c r="C533" s="44" t="s">
        <v>3861</v>
      </c>
      <c r="D533" s="45">
        <f>MROUND(MID($C533,6,3)/Basis!$E$3,0.5)</f>
        <v>29.5</v>
      </c>
      <c r="E533" s="45">
        <f>MROUND(MID($C533,9,3)/Basis!$E$3,0.5)</f>
        <v>55</v>
      </c>
      <c r="F533" s="229" t="str">
        <f t="shared" si="8"/>
        <v>22</v>
      </c>
      <c r="G533" s="45">
        <f>ROUND(9/Basis!$E$3,1)</f>
        <v>3.5</v>
      </c>
      <c r="H533" s="120">
        <f>ROUND($P533*Basis!$E$2*((TaH-TrH)/LN(1/µ)/Basis!$E$7)^$N533*Glycol,0)</f>
        <v>5541</v>
      </c>
      <c r="I533" s="83">
        <f>ROUND(H533/(MID($C533,9,3)/Basis!$E$3/Basis!$E$9)*Basis!$E$11,0)</f>
        <v>1206</v>
      </c>
      <c r="J533" s="123">
        <f>IF(Basis!$E$1=1,ROUND(H533/((TaH-TrH)*1.163)/3600,3),ROUND(H533/(500*(TaH-TrH)),2))</f>
        <v>0.55000000000000004</v>
      </c>
      <c r="K533" s="84"/>
      <c r="L533" s="177">
        <f>CHOOSE(Basis!$E$1,((AJ533*(J533*3600/Basis!$E$5)^AK533*(((MID(C533,9,3)*10)-144)/1000)*AL533+AM533*(J533*3600/Basis!$E$5)^2)*0.0098)/Basis!$E$10,((AJ533*(J533/Basis!$E$5)^AK533*(((MID(C533,9,3)*10)-144)/1000)*AL533+AM533*(J533/Basis!$E$5)^2)*0.0098)/Basis!$E$10)</f>
        <v>0</v>
      </c>
      <c r="M533" s="85"/>
      <c r="N533" s="109">
        <v>1.3480000000000001</v>
      </c>
      <c r="O533" s="68"/>
      <c r="P533" s="67">
        <v>2534</v>
      </c>
      <c r="Q533" s="68"/>
      <c r="R533" s="69"/>
      <c r="S533" s="69"/>
      <c r="T533" s="69"/>
      <c r="U533" s="69"/>
      <c r="V533" s="69"/>
      <c r="W533" s="68"/>
      <c r="X533" s="70"/>
      <c r="Y533" s="70"/>
      <c r="Z533" s="70"/>
      <c r="AA533" s="70"/>
      <c r="AB533" s="70"/>
      <c r="AC533" s="68"/>
      <c r="AD533" s="71"/>
      <c r="AE533" s="71"/>
      <c r="AF533" s="71"/>
      <c r="AG533" s="71"/>
      <c r="AH533" s="71"/>
      <c r="AI533" s="68"/>
      <c r="AJ533" s="214"/>
      <c r="AK533" s="214"/>
      <c r="AL533" s="214"/>
      <c r="AM533" s="214"/>
      <c r="AN533" s="68"/>
      <c r="AO533" s="67"/>
      <c r="AP533" s="67"/>
      <c r="AQ533" s="67"/>
      <c r="AR533" s="67"/>
      <c r="AS533" s="67"/>
      <c r="AT533" s="68"/>
      <c r="AU533" s="49"/>
      <c r="AV533" s="50"/>
    </row>
    <row r="534" spans="1:48" ht="12.75" customHeight="1" x14ac:dyDescent="0.25">
      <c r="A534" s="72" t="s">
        <v>20</v>
      </c>
      <c r="B534" s="43" t="s">
        <v>4043</v>
      </c>
      <c r="C534" s="44" t="s">
        <v>3862</v>
      </c>
      <c r="D534" s="45">
        <f>MROUND(MID($C534,6,3)/Basis!$E$3,0.5)</f>
        <v>29.5</v>
      </c>
      <c r="E534" s="45">
        <f>MROUND(MID($C534,9,3)/Basis!$E$3,0.5)</f>
        <v>63</v>
      </c>
      <c r="F534" s="229" t="str">
        <f t="shared" si="8"/>
        <v>11</v>
      </c>
      <c r="G534" s="45">
        <f>ROUND(5/Basis!$E$3,1)</f>
        <v>2</v>
      </c>
      <c r="H534" s="120">
        <f>ROUND($P534*Basis!$E$2*((TaH-TrH)/LN(1/µ)/Basis!$E$7)^$N534*Glycol,0)</f>
        <v>3805</v>
      </c>
      <c r="I534" s="83">
        <f>ROUND(H534/(MID($C534,9,3)/Basis!$E$3/Basis!$E$9)*Basis!$E$11,0)</f>
        <v>725</v>
      </c>
      <c r="J534" s="123">
        <f>IF(Basis!$E$1=1,ROUND(H534/((TaH-TrH)*1.163)/3600,3),ROUND(H534/(500*(TaH-TrH)),2))</f>
        <v>0.38</v>
      </c>
      <c r="K534" s="84"/>
      <c r="L534" s="177">
        <f>CHOOSE(Basis!$E$1,((AJ534*(J534*3600/Basis!$E$5)^AK534*(((MID(C534,9,3)*10)-144)/1000)*AL534+AM534*(J534*3600/Basis!$E$5)^2)*0.0098)/Basis!$E$10,((AJ534*(J534/Basis!$E$5)^AK534*(((MID(C534,9,3)*10)-144)/1000)*AL534+AM534*(J534/Basis!$E$5)^2)*0.0098)/Basis!$E$10)</f>
        <v>0</v>
      </c>
      <c r="M534" s="85"/>
      <c r="N534" s="110">
        <v>1.2490000000000001</v>
      </c>
      <c r="O534" s="74"/>
      <c r="P534" s="73">
        <v>1684</v>
      </c>
      <c r="Q534" s="74"/>
      <c r="R534" s="75"/>
      <c r="S534" s="75"/>
      <c r="T534" s="75"/>
      <c r="U534" s="75"/>
      <c r="V534" s="75"/>
      <c r="W534" s="74"/>
      <c r="X534" s="76"/>
      <c r="Y534" s="76"/>
      <c r="Z534" s="76"/>
      <c r="AA534" s="76"/>
      <c r="AB534" s="76"/>
      <c r="AC534" s="74"/>
      <c r="AD534" s="77"/>
      <c r="AE534" s="77"/>
      <c r="AF534" s="77"/>
      <c r="AG534" s="77"/>
      <c r="AH534" s="77"/>
      <c r="AI534" s="68"/>
      <c r="AJ534" s="213"/>
      <c r="AK534" s="213"/>
      <c r="AL534" s="213"/>
      <c r="AM534" s="213"/>
      <c r="AN534" s="74"/>
      <c r="AO534" s="73"/>
      <c r="AP534" s="73"/>
      <c r="AQ534" s="73"/>
      <c r="AR534" s="73"/>
      <c r="AS534" s="73"/>
      <c r="AT534" s="74"/>
      <c r="AU534" s="47"/>
      <c r="AV534" s="48"/>
    </row>
    <row r="535" spans="1:48" ht="12.75" customHeight="1" x14ac:dyDescent="0.25">
      <c r="A535" s="72" t="s">
        <v>20</v>
      </c>
      <c r="B535" s="43" t="s">
        <v>4043</v>
      </c>
      <c r="C535" s="44" t="s">
        <v>3863</v>
      </c>
      <c r="D535" s="45">
        <f>MROUND(MID($C535,6,3)/Basis!$E$3,0.5)</f>
        <v>29.5</v>
      </c>
      <c r="E535" s="45">
        <f>MROUND(MID($C535,9,3)/Basis!$E$3,0.5)</f>
        <v>63</v>
      </c>
      <c r="F535" s="229" t="str">
        <f t="shared" si="8"/>
        <v>22</v>
      </c>
      <c r="G535" s="45">
        <f>ROUND(9/Basis!$E$3,1)</f>
        <v>3.5</v>
      </c>
      <c r="H535" s="120">
        <f>ROUND($P535*Basis!$E$2*((TaH-TrH)/LN(1/µ)/Basis!$E$7)^$N535*Glycol,0)</f>
        <v>6333</v>
      </c>
      <c r="I535" s="83">
        <f>ROUND(H535/(MID($C535,9,3)/Basis!$E$3/Basis!$E$9)*Basis!$E$11,0)</f>
        <v>1206</v>
      </c>
      <c r="J535" s="123">
        <f>IF(Basis!$E$1=1,ROUND(H535/((TaH-TrH)*1.163)/3600,3),ROUND(H535/(500*(TaH-TrH)),2))</f>
        <v>0.63</v>
      </c>
      <c r="K535" s="84"/>
      <c r="L535" s="177">
        <f>CHOOSE(Basis!$E$1,((AJ535*(J535*3600/Basis!$E$5)^AK535*(((MID(C535,9,3)*10)-144)/1000)*AL535+AM535*(J535*3600/Basis!$E$5)^2)*0.0098)/Basis!$E$10,((AJ535*(J535/Basis!$E$5)^AK535*(((MID(C535,9,3)*10)-144)/1000)*AL535+AM535*(J535/Basis!$E$5)^2)*0.0098)/Basis!$E$10)</f>
        <v>0</v>
      </c>
      <c r="M535" s="85"/>
      <c r="N535" s="110">
        <v>1.3480000000000001</v>
      </c>
      <c r="O535" s="74"/>
      <c r="P535" s="73">
        <v>2896</v>
      </c>
      <c r="Q535" s="74"/>
      <c r="R535" s="75"/>
      <c r="S535" s="75"/>
      <c r="T535" s="75"/>
      <c r="U535" s="75"/>
      <c r="V535" s="75"/>
      <c r="W535" s="74"/>
      <c r="X535" s="76"/>
      <c r="Y535" s="76"/>
      <c r="Z535" s="76"/>
      <c r="AA535" s="76"/>
      <c r="AB535" s="76"/>
      <c r="AC535" s="74"/>
      <c r="AD535" s="77"/>
      <c r="AE535" s="77"/>
      <c r="AF535" s="77"/>
      <c r="AG535" s="77"/>
      <c r="AH535" s="77"/>
      <c r="AI535" s="68"/>
      <c r="AJ535" s="213"/>
      <c r="AK535" s="213"/>
      <c r="AL535" s="213"/>
      <c r="AM535" s="213"/>
      <c r="AN535" s="74"/>
      <c r="AO535" s="73"/>
      <c r="AP535" s="73"/>
      <c r="AQ535" s="73"/>
      <c r="AR535" s="73"/>
      <c r="AS535" s="73"/>
      <c r="AT535" s="74"/>
      <c r="AU535" s="47"/>
      <c r="AV535" s="48"/>
    </row>
    <row r="536" spans="1:48" ht="12.75" customHeight="1" x14ac:dyDescent="0.25">
      <c r="A536" s="72" t="s">
        <v>20</v>
      </c>
      <c r="B536" s="43" t="s">
        <v>4043</v>
      </c>
      <c r="C536" s="44" t="s">
        <v>3864</v>
      </c>
      <c r="D536" s="45">
        <f>MROUND(MID($C536,6,3)/Basis!$E$3,0.5)</f>
        <v>29.5</v>
      </c>
      <c r="E536" s="45">
        <f>MROUND(MID($C536,9,3)/Basis!$E$3,0.5)</f>
        <v>71</v>
      </c>
      <c r="F536" s="229" t="str">
        <f t="shared" si="8"/>
        <v>11</v>
      </c>
      <c r="G536" s="45">
        <f>ROUND(5/Basis!$E$3,1)</f>
        <v>2</v>
      </c>
      <c r="H536" s="120">
        <f>ROUND($P536*Basis!$E$2*((TaH-TrH)/LN(1/µ)/Basis!$E$7)^$N536*Glycol,0)</f>
        <v>4282</v>
      </c>
      <c r="I536" s="83">
        <f>ROUND(H536/(MID($C536,9,3)/Basis!$E$3/Basis!$E$9)*Basis!$E$11,0)</f>
        <v>725</v>
      </c>
      <c r="J536" s="123">
        <f>IF(Basis!$E$1=1,ROUND(H536/((TaH-TrH)*1.163)/3600,3),ROUND(H536/(500*(TaH-TrH)),2))</f>
        <v>0.43</v>
      </c>
      <c r="K536" s="84"/>
      <c r="L536" s="177">
        <f>CHOOSE(Basis!$E$1,((AJ536*(J536*3600/Basis!$E$5)^AK536*(((MID(C536,9,3)*10)-144)/1000)*AL536+AM536*(J536*3600/Basis!$E$5)^2)*0.0098)/Basis!$E$10,((AJ536*(J536/Basis!$E$5)^AK536*(((MID(C536,9,3)*10)-144)/1000)*AL536+AM536*(J536/Basis!$E$5)^2)*0.0098)/Basis!$E$10)</f>
        <v>0</v>
      </c>
      <c r="M536" s="85"/>
      <c r="N536" s="109">
        <v>1.2490000000000001</v>
      </c>
      <c r="O536" s="68"/>
      <c r="P536" s="67">
        <v>1895</v>
      </c>
      <c r="Q536" s="68"/>
      <c r="R536" s="69"/>
      <c r="S536" s="69"/>
      <c r="T536" s="69"/>
      <c r="U536" s="69"/>
      <c r="V536" s="69"/>
      <c r="W536" s="68"/>
      <c r="X536" s="70"/>
      <c r="Y536" s="70"/>
      <c r="Z536" s="70"/>
      <c r="AA536" s="70"/>
      <c r="AB536" s="70"/>
      <c r="AC536" s="68"/>
      <c r="AD536" s="71"/>
      <c r="AE536" s="71"/>
      <c r="AF536" s="71"/>
      <c r="AG536" s="71"/>
      <c r="AH536" s="71"/>
      <c r="AI536" s="68"/>
      <c r="AJ536" s="214"/>
      <c r="AK536" s="214"/>
      <c r="AL536" s="214"/>
      <c r="AM536" s="214"/>
      <c r="AN536" s="68"/>
      <c r="AO536" s="67"/>
      <c r="AP536" s="67"/>
      <c r="AQ536" s="67"/>
      <c r="AR536" s="67"/>
      <c r="AS536" s="67"/>
      <c r="AT536" s="68"/>
      <c r="AU536" s="49"/>
      <c r="AV536" s="50"/>
    </row>
    <row r="537" spans="1:48" ht="12.75" customHeight="1" x14ac:dyDescent="0.25">
      <c r="A537" s="72" t="s">
        <v>20</v>
      </c>
      <c r="B537" s="43" t="s">
        <v>4043</v>
      </c>
      <c r="C537" s="44" t="s">
        <v>3865</v>
      </c>
      <c r="D537" s="45">
        <f>MROUND(MID($C537,6,3)/Basis!$E$3,0.5)</f>
        <v>29.5</v>
      </c>
      <c r="E537" s="45">
        <f>MROUND(MID($C537,9,3)/Basis!$E$3,0.5)</f>
        <v>71</v>
      </c>
      <c r="F537" s="229" t="str">
        <f t="shared" si="8"/>
        <v>22</v>
      </c>
      <c r="G537" s="45">
        <f>ROUND(9/Basis!$E$3,1)</f>
        <v>3.5</v>
      </c>
      <c r="H537" s="120">
        <f>ROUND($P537*Basis!$E$2*((TaH-TrH)/LN(1/µ)/Basis!$E$7)^$N537*Glycol,0)</f>
        <v>7125</v>
      </c>
      <c r="I537" s="83">
        <f>ROUND(H537/(MID($C537,9,3)/Basis!$E$3/Basis!$E$9)*Basis!$E$11,0)</f>
        <v>1207</v>
      </c>
      <c r="J537" s="123">
        <f>IF(Basis!$E$1=1,ROUND(H537/((TaH-TrH)*1.163)/3600,3),ROUND(H537/(500*(TaH-TrH)),2))</f>
        <v>0.71</v>
      </c>
      <c r="K537" s="84"/>
      <c r="L537" s="177">
        <f>CHOOSE(Basis!$E$1,((AJ537*(J537*3600/Basis!$E$5)^AK537*(((MID(C537,9,3)*10)-144)/1000)*AL537+AM537*(J537*3600/Basis!$E$5)^2)*0.0098)/Basis!$E$10,((AJ537*(J537/Basis!$E$5)^AK537*(((MID(C537,9,3)*10)-144)/1000)*AL537+AM537*(J537/Basis!$E$5)^2)*0.0098)/Basis!$E$10)</f>
        <v>0</v>
      </c>
      <c r="M537" s="85"/>
      <c r="N537" s="109">
        <v>1.3480000000000001</v>
      </c>
      <c r="O537" s="68"/>
      <c r="P537" s="67">
        <v>3258</v>
      </c>
      <c r="Q537" s="68"/>
      <c r="R537" s="69"/>
      <c r="S537" s="69"/>
      <c r="T537" s="69"/>
      <c r="U537" s="69"/>
      <c r="V537" s="69"/>
      <c r="W537" s="68"/>
      <c r="X537" s="70"/>
      <c r="Y537" s="70"/>
      <c r="Z537" s="70"/>
      <c r="AA537" s="70"/>
      <c r="AB537" s="70"/>
      <c r="AC537" s="68"/>
      <c r="AD537" s="71"/>
      <c r="AE537" s="71"/>
      <c r="AF537" s="71"/>
      <c r="AG537" s="71"/>
      <c r="AH537" s="71"/>
      <c r="AI537" s="68"/>
      <c r="AJ537" s="214"/>
      <c r="AK537" s="214"/>
      <c r="AL537" s="214"/>
      <c r="AM537" s="214"/>
      <c r="AN537" s="68"/>
      <c r="AO537" s="67"/>
      <c r="AP537" s="67"/>
      <c r="AQ537" s="67"/>
      <c r="AR537" s="67"/>
      <c r="AS537" s="67"/>
      <c r="AT537" s="68"/>
      <c r="AU537" s="49"/>
      <c r="AV537" s="50"/>
    </row>
    <row r="538" spans="1:48" ht="12.75" customHeight="1" x14ac:dyDescent="0.25">
      <c r="A538" s="72" t="s">
        <v>20</v>
      </c>
      <c r="B538" s="43" t="s">
        <v>4043</v>
      </c>
      <c r="C538" s="44" t="s">
        <v>3866</v>
      </c>
      <c r="D538" s="45">
        <f>MROUND(MID($C538,6,3)/Basis!$E$3,0.5)</f>
        <v>29.5</v>
      </c>
      <c r="E538" s="45">
        <f>MROUND(MID($C538,9,3)/Basis!$E$3,0.5)</f>
        <v>78.5</v>
      </c>
      <c r="F538" s="229" t="str">
        <f t="shared" si="8"/>
        <v>11</v>
      </c>
      <c r="G538" s="45">
        <f>ROUND(5/Basis!$E$3,1)</f>
        <v>2</v>
      </c>
      <c r="H538" s="120">
        <f>ROUND($P538*Basis!$E$2*((TaH-TrH)/LN(1/µ)/Basis!$E$7)^$N538*Glycol,0)</f>
        <v>4756</v>
      </c>
      <c r="I538" s="83">
        <f>ROUND(H538/(MID($C538,9,3)/Basis!$E$3/Basis!$E$9)*Basis!$E$11,0)</f>
        <v>725</v>
      </c>
      <c r="J538" s="123">
        <f>IF(Basis!$E$1=1,ROUND(H538/((TaH-TrH)*1.163)/3600,3),ROUND(H538/(500*(TaH-TrH)),2))</f>
        <v>0.48</v>
      </c>
      <c r="K538" s="84"/>
      <c r="L538" s="177">
        <f>CHOOSE(Basis!$E$1,((AJ538*(J538*3600/Basis!$E$5)^AK538*(((MID(C538,9,3)*10)-144)/1000)*AL538+AM538*(J538*3600/Basis!$E$5)^2)*0.0098)/Basis!$E$10,((AJ538*(J538/Basis!$E$5)^AK538*(((MID(C538,9,3)*10)-144)/1000)*AL538+AM538*(J538/Basis!$E$5)^2)*0.0098)/Basis!$E$10)</f>
        <v>0</v>
      </c>
      <c r="M538" s="85"/>
      <c r="N538" s="110">
        <v>1.2490000000000001</v>
      </c>
      <c r="O538" s="74"/>
      <c r="P538" s="73">
        <v>2105</v>
      </c>
      <c r="Q538" s="74"/>
      <c r="R538" s="75"/>
      <c r="S538" s="75"/>
      <c r="T538" s="75"/>
      <c r="U538" s="75"/>
      <c r="V538" s="75"/>
      <c r="W538" s="74"/>
      <c r="X538" s="76"/>
      <c r="Y538" s="76"/>
      <c r="Z538" s="76"/>
      <c r="AA538" s="76"/>
      <c r="AB538" s="76"/>
      <c r="AC538" s="74"/>
      <c r="AD538" s="77"/>
      <c r="AE538" s="77"/>
      <c r="AF538" s="77"/>
      <c r="AG538" s="77"/>
      <c r="AH538" s="77"/>
      <c r="AI538" s="68"/>
      <c r="AJ538" s="213"/>
      <c r="AK538" s="213"/>
      <c r="AL538" s="213"/>
      <c r="AM538" s="213"/>
      <c r="AN538" s="74"/>
      <c r="AO538" s="73"/>
      <c r="AP538" s="73"/>
      <c r="AQ538" s="73"/>
      <c r="AR538" s="73"/>
      <c r="AS538" s="73"/>
      <c r="AT538" s="74"/>
      <c r="AU538" s="47"/>
      <c r="AV538" s="48"/>
    </row>
    <row r="539" spans="1:48" ht="12.75" customHeight="1" x14ac:dyDescent="0.25">
      <c r="A539" s="72" t="s">
        <v>20</v>
      </c>
      <c r="B539" s="43" t="s">
        <v>4043</v>
      </c>
      <c r="C539" s="44" t="s">
        <v>3867</v>
      </c>
      <c r="D539" s="45">
        <f>MROUND(MID($C539,6,3)/Basis!$E$3,0.5)</f>
        <v>29.5</v>
      </c>
      <c r="E539" s="45">
        <f>MROUND(MID($C539,9,3)/Basis!$E$3,0.5)</f>
        <v>78.5</v>
      </c>
      <c r="F539" s="229" t="str">
        <f t="shared" si="8"/>
        <v>22</v>
      </c>
      <c r="G539" s="45">
        <f>ROUND(9/Basis!$E$3,1)</f>
        <v>3.5</v>
      </c>
      <c r="H539" s="120">
        <f>ROUND($P539*Basis!$E$2*((TaH-TrH)/LN(1/µ)/Basis!$E$7)^$N539*Glycol,0)</f>
        <v>7916</v>
      </c>
      <c r="I539" s="83">
        <f>ROUND(H539/(MID($C539,9,3)/Basis!$E$3/Basis!$E$9)*Basis!$E$11,0)</f>
        <v>1206</v>
      </c>
      <c r="J539" s="123">
        <f>IF(Basis!$E$1=1,ROUND(H539/((TaH-TrH)*1.163)/3600,3),ROUND(H539/(500*(TaH-TrH)),2))</f>
        <v>0.79</v>
      </c>
      <c r="K539" s="84"/>
      <c r="L539" s="177">
        <f>CHOOSE(Basis!$E$1,((AJ539*(J539*3600/Basis!$E$5)^AK539*(((MID(C539,9,3)*10)-144)/1000)*AL539+AM539*(J539*3600/Basis!$E$5)^2)*0.0098)/Basis!$E$10,((AJ539*(J539/Basis!$E$5)^AK539*(((MID(C539,9,3)*10)-144)/1000)*AL539+AM539*(J539/Basis!$E$5)^2)*0.0098)/Basis!$E$10)</f>
        <v>0</v>
      </c>
      <c r="M539" s="85"/>
      <c r="N539" s="110">
        <v>1.3480000000000001</v>
      </c>
      <c r="O539" s="74"/>
      <c r="P539" s="73">
        <v>3620</v>
      </c>
      <c r="Q539" s="74"/>
      <c r="R539" s="75"/>
      <c r="S539" s="75"/>
      <c r="T539" s="75"/>
      <c r="U539" s="75"/>
      <c r="V539" s="75"/>
      <c r="W539" s="74"/>
      <c r="X539" s="76"/>
      <c r="Y539" s="76"/>
      <c r="Z539" s="76"/>
      <c r="AA539" s="76"/>
      <c r="AB539" s="76"/>
      <c r="AC539" s="74"/>
      <c r="AD539" s="77"/>
      <c r="AE539" s="77"/>
      <c r="AF539" s="77"/>
      <c r="AG539" s="77"/>
      <c r="AH539" s="77"/>
      <c r="AI539" s="68"/>
      <c r="AJ539" s="213"/>
      <c r="AK539" s="213"/>
      <c r="AL539" s="213"/>
      <c r="AM539" s="213"/>
      <c r="AN539" s="74"/>
      <c r="AO539" s="73"/>
      <c r="AP539" s="73"/>
      <c r="AQ539" s="73"/>
      <c r="AR539" s="73"/>
      <c r="AS539" s="73"/>
      <c r="AT539" s="74"/>
      <c r="AU539" s="47"/>
      <c r="AV539" s="48"/>
    </row>
    <row r="540" spans="1:48" ht="12.75" customHeight="1" x14ac:dyDescent="0.25">
      <c r="A540" s="72" t="s">
        <v>20</v>
      </c>
      <c r="B540" s="43" t="s">
        <v>4043</v>
      </c>
      <c r="C540" s="44" t="s">
        <v>3868</v>
      </c>
      <c r="D540" s="45">
        <f>MROUND(MID($C540,6,3)/Basis!$E$3,0.5)</f>
        <v>29.5</v>
      </c>
      <c r="E540" s="45">
        <f>MROUND(MID($C540,9,3)/Basis!$E$3,0.5)</f>
        <v>86.5</v>
      </c>
      <c r="F540" s="229" t="str">
        <f t="shared" si="8"/>
        <v>11</v>
      </c>
      <c r="G540" s="45">
        <f>ROUND(5/Basis!$E$3,1)</f>
        <v>2</v>
      </c>
      <c r="H540" s="120">
        <f>ROUND($P540*Basis!$E$2*((TaH-TrH)/LN(1/µ)/Basis!$E$7)^$N540*Glycol,0)</f>
        <v>5233</v>
      </c>
      <c r="I540" s="83">
        <f>ROUND(H540/(MID($C540,9,3)/Basis!$E$3/Basis!$E$9)*Basis!$E$11,0)</f>
        <v>725</v>
      </c>
      <c r="J540" s="123">
        <f>IF(Basis!$E$1=1,ROUND(H540/((TaH-TrH)*1.163)/3600,3),ROUND(H540/(500*(TaH-TrH)),2))</f>
        <v>0.52</v>
      </c>
      <c r="K540" s="84"/>
      <c r="L540" s="177">
        <f>CHOOSE(Basis!$E$1,((AJ540*(J540*3600/Basis!$E$5)^AK540*(((MID(C540,9,3)*10)-144)/1000)*AL540+AM540*(J540*3600/Basis!$E$5)^2)*0.0098)/Basis!$E$10,((AJ540*(J540/Basis!$E$5)^AK540*(((MID(C540,9,3)*10)-144)/1000)*AL540+AM540*(J540/Basis!$E$5)^2)*0.0098)/Basis!$E$10)</f>
        <v>0</v>
      </c>
      <c r="M540" s="85"/>
      <c r="N540" s="109">
        <v>1.2490000000000001</v>
      </c>
      <c r="O540" s="68"/>
      <c r="P540" s="67">
        <v>2316</v>
      </c>
      <c r="Q540" s="68"/>
      <c r="R540" s="69"/>
      <c r="S540" s="69"/>
      <c r="T540" s="69"/>
      <c r="U540" s="69"/>
      <c r="V540" s="69"/>
      <c r="W540" s="68"/>
      <c r="X540" s="70"/>
      <c r="Y540" s="70"/>
      <c r="Z540" s="70"/>
      <c r="AA540" s="70"/>
      <c r="AB540" s="70"/>
      <c r="AC540" s="68"/>
      <c r="AD540" s="71"/>
      <c r="AE540" s="71"/>
      <c r="AF540" s="71"/>
      <c r="AG540" s="71"/>
      <c r="AH540" s="71"/>
      <c r="AI540" s="68"/>
      <c r="AJ540" s="214"/>
      <c r="AK540" s="214"/>
      <c r="AL540" s="214"/>
      <c r="AM540" s="214"/>
      <c r="AN540" s="68"/>
      <c r="AO540" s="67"/>
      <c r="AP540" s="67"/>
      <c r="AQ540" s="67"/>
      <c r="AR540" s="67"/>
      <c r="AS540" s="67"/>
      <c r="AT540" s="68"/>
      <c r="AU540" s="49"/>
      <c r="AV540" s="50"/>
    </row>
    <row r="541" spans="1:48" ht="12.75" customHeight="1" x14ac:dyDescent="0.25">
      <c r="A541" s="72" t="s">
        <v>20</v>
      </c>
      <c r="B541" s="43" t="s">
        <v>4043</v>
      </c>
      <c r="C541" s="44" t="s">
        <v>3869</v>
      </c>
      <c r="D541" s="45">
        <f>MROUND(MID($C541,6,3)/Basis!$E$3,0.5)</f>
        <v>29.5</v>
      </c>
      <c r="E541" s="45">
        <f>MROUND(MID($C541,9,3)/Basis!$E$3,0.5)</f>
        <v>86.5</v>
      </c>
      <c r="F541" s="229" t="str">
        <f t="shared" si="8"/>
        <v>22</v>
      </c>
      <c r="G541" s="45">
        <f>ROUND(9/Basis!$E$3,1)</f>
        <v>3.5</v>
      </c>
      <c r="H541" s="120">
        <f>ROUND($P541*Basis!$E$2*((TaH-TrH)/LN(1/µ)/Basis!$E$7)^$N541*Glycol,0)</f>
        <v>8708</v>
      </c>
      <c r="I541" s="83">
        <f>ROUND(H541/(MID($C541,9,3)/Basis!$E$3/Basis!$E$9)*Basis!$E$11,0)</f>
        <v>1206</v>
      </c>
      <c r="J541" s="123">
        <f>IF(Basis!$E$1=1,ROUND(H541/((TaH-TrH)*1.163)/3600,3),ROUND(H541/(500*(TaH-TrH)),2))</f>
        <v>0.87</v>
      </c>
      <c r="K541" s="84"/>
      <c r="L541" s="177">
        <f>CHOOSE(Basis!$E$1,((AJ541*(J541*3600/Basis!$E$5)^AK541*(((MID(C541,9,3)*10)-144)/1000)*AL541+AM541*(J541*3600/Basis!$E$5)^2)*0.0098)/Basis!$E$10,((AJ541*(J541/Basis!$E$5)^AK541*(((MID(C541,9,3)*10)-144)/1000)*AL541+AM541*(J541/Basis!$E$5)^2)*0.0098)/Basis!$E$10)</f>
        <v>0</v>
      </c>
      <c r="M541" s="85"/>
      <c r="N541" s="109">
        <v>1.3480000000000001</v>
      </c>
      <c r="O541" s="68"/>
      <c r="P541" s="67">
        <v>3982</v>
      </c>
      <c r="Q541" s="68"/>
      <c r="R541" s="69"/>
      <c r="S541" s="69"/>
      <c r="T541" s="69"/>
      <c r="U541" s="69"/>
      <c r="V541" s="69"/>
      <c r="W541" s="68"/>
      <c r="X541" s="70"/>
      <c r="Y541" s="70"/>
      <c r="Z541" s="70"/>
      <c r="AA541" s="70"/>
      <c r="AB541" s="70"/>
      <c r="AC541" s="68"/>
      <c r="AD541" s="71"/>
      <c r="AE541" s="71"/>
      <c r="AF541" s="71"/>
      <c r="AG541" s="71"/>
      <c r="AH541" s="71"/>
      <c r="AI541" s="68"/>
      <c r="AJ541" s="214"/>
      <c r="AK541" s="214"/>
      <c r="AL541" s="214"/>
      <c r="AM541" s="214"/>
      <c r="AN541" s="68"/>
      <c r="AO541" s="67"/>
      <c r="AP541" s="67"/>
      <c r="AQ541" s="67"/>
      <c r="AR541" s="67"/>
      <c r="AS541" s="67"/>
      <c r="AT541" s="68"/>
      <c r="AU541" s="49"/>
      <c r="AV541" s="50"/>
    </row>
    <row r="542" spans="1:48" ht="12.75" customHeight="1" x14ac:dyDescent="0.25">
      <c r="A542" s="72" t="s">
        <v>20</v>
      </c>
      <c r="B542" s="43" t="s">
        <v>4043</v>
      </c>
      <c r="C542" s="44" t="s">
        <v>3870</v>
      </c>
      <c r="D542" s="45">
        <f>MROUND(MID($C542,6,3)/Basis!$E$3,0.5)</f>
        <v>29.5</v>
      </c>
      <c r="E542" s="45">
        <f>MROUND(MID($C542,9,3)/Basis!$E$3,0.5)</f>
        <v>94.5</v>
      </c>
      <c r="F542" s="229" t="str">
        <f t="shared" si="8"/>
        <v>11</v>
      </c>
      <c r="G542" s="45">
        <f>ROUND(5/Basis!$E$3,1)</f>
        <v>2</v>
      </c>
      <c r="H542" s="120">
        <f>ROUND($P542*Basis!$E$2*((TaH-TrH)/LN(1/µ)/Basis!$E$7)^$N542*Glycol,0)</f>
        <v>5707</v>
      </c>
      <c r="I542" s="83">
        <f>ROUND(H542/(MID($C542,9,3)/Basis!$E$3/Basis!$E$9)*Basis!$E$11,0)</f>
        <v>725</v>
      </c>
      <c r="J542" s="123">
        <f>IF(Basis!$E$1=1,ROUND(H542/((TaH-TrH)*1.163)/3600,3),ROUND(H542/(500*(TaH-TrH)),2))</f>
        <v>0.56999999999999995</v>
      </c>
      <c r="K542" s="84"/>
      <c r="L542" s="177">
        <f>CHOOSE(Basis!$E$1,((AJ542*(J542*3600/Basis!$E$5)^AK542*(((MID(C542,9,3)*10)-144)/1000)*AL542+AM542*(J542*3600/Basis!$E$5)^2)*0.0098)/Basis!$E$10,((AJ542*(J542/Basis!$E$5)^AK542*(((MID(C542,9,3)*10)-144)/1000)*AL542+AM542*(J542/Basis!$E$5)^2)*0.0098)/Basis!$E$10)</f>
        <v>0</v>
      </c>
      <c r="M542" s="85"/>
      <c r="N542" s="110">
        <v>1.2490000000000001</v>
      </c>
      <c r="O542" s="74"/>
      <c r="P542" s="73">
        <v>2526</v>
      </c>
      <c r="Q542" s="74"/>
      <c r="R542" s="75"/>
      <c r="S542" s="75"/>
      <c r="T542" s="75"/>
      <c r="U542" s="75"/>
      <c r="V542" s="75"/>
      <c r="W542" s="74"/>
      <c r="X542" s="76"/>
      <c r="Y542" s="76"/>
      <c r="Z542" s="76"/>
      <c r="AA542" s="76"/>
      <c r="AB542" s="76"/>
      <c r="AC542" s="74"/>
      <c r="AD542" s="77"/>
      <c r="AE542" s="77"/>
      <c r="AF542" s="77"/>
      <c r="AG542" s="77"/>
      <c r="AH542" s="77"/>
      <c r="AI542" s="68"/>
      <c r="AJ542" s="213"/>
      <c r="AK542" s="213"/>
      <c r="AL542" s="213"/>
      <c r="AM542" s="213"/>
      <c r="AN542" s="74"/>
      <c r="AO542" s="73"/>
      <c r="AP542" s="73"/>
      <c r="AQ542" s="73"/>
      <c r="AR542" s="73"/>
      <c r="AS542" s="73"/>
      <c r="AT542" s="74"/>
      <c r="AU542" s="47"/>
      <c r="AV542" s="48"/>
    </row>
    <row r="543" spans="1:48" ht="12.75" customHeight="1" x14ac:dyDescent="0.25">
      <c r="A543" s="72" t="s">
        <v>20</v>
      </c>
      <c r="B543" s="43" t="s">
        <v>4043</v>
      </c>
      <c r="C543" s="44" t="s">
        <v>3871</v>
      </c>
      <c r="D543" s="45">
        <f>MROUND(MID($C543,6,3)/Basis!$E$3,0.5)</f>
        <v>29.5</v>
      </c>
      <c r="E543" s="45">
        <f>MROUND(MID($C543,9,3)/Basis!$E$3,0.5)</f>
        <v>94.5</v>
      </c>
      <c r="F543" s="229" t="str">
        <f t="shared" si="8"/>
        <v>22</v>
      </c>
      <c r="G543" s="45">
        <f>ROUND(9/Basis!$E$3,1)</f>
        <v>3.5</v>
      </c>
      <c r="H543" s="120">
        <f>ROUND($P543*Basis!$E$2*((TaH-TrH)/LN(1/µ)/Basis!$E$7)^$N543*Glycol,0)</f>
        <v>9499</v>
      </c>
      <c r="I543" s="83">
        <f>ROUND(H543/(MID($C543,9,3)/Basis!$E$3/Basis!$E$9)*Basis!$E$11,0)</f>
        <v>1206</v>
      </c>
      <c r="J543" s="123">
        <f>IF(Basis!$E$1=1,ROUND(H543/((TaH-TrH)*1.163)/3600,3),ROUND(H543/(500*(TaH-TrH)),2))</f>
        <v>0.95</v>
      </c>
      <c r="K543" s="84"/>
      <c r="L543" s="177">
        <f>CHOOSE(Basis!$E$1,((AJ543*(J543*3600/Basis!$E$5)^AK543*(((MID(C543,9,3)*10)-144)/1000)*AL543+AM543*(J543*3600/Basis!$E$5)^2)*0.0098)/Basis!$E$10,((AJ543*(J543/Basis!$E$5)^AK543*(((MID(C543,9,3)*10)-144)/1000)*AL543+AM543*(J543/Basis!$E$5)^2)*0.0098)/Basis!$E$10)</f>
        <v>0</v>
      </c>
      <c r="M543" s="85"/>
      <c r="N543" s="110">
        <v>1.3480000000000001</v>
      </c>
      <c r="O543" s="74"/>
      <c r="P543" s="73">
        <v>4344</v>
      </c>
      <c r="Q543" s="74"/>
      <c r="R543" s="75"/>
      <c r="S543" s="75"/>
      <c r="T543" s="75"/>
      <c r="U543" s="75"/>
      <c r="V543" s="75"/>
      <c r="W543" s="74"/>
      <c r="X543" s="76"/>
      <c r="Y543" s="76"/>
      <c r="Z543" s="76"/>
      <c r="AA543" s="76"/>
      <c r="AB543" s="76"/>
      <c r="AC543" s="74"/>
      <c r="AD543" s="77"/>
      <c r="AE543" s="77"/>
      <c r="AF543" s="77"/>
      <c r="AG543" s="77"/>
      <c r="AH543" s="77"/>
      <c r="AI543" s="68"/>
      <c r="AJ543" s="213"/>
      <c r="AK543" s="213"/>
      <c r="AL543" s="213"/>
      <c r="AM543" s="213"/>
      <c r="AN543" s="74"/>
      <c r="AO543" s="73"/>
      <c r="AP543" s="73"/>
      <c r="AQ543" s="73"/>
      <c r="AR543" s="73"/>
      <c r="AS543" s="73"/>
      <c r="AT543" s="74"/>
      <c r="AU543" s="47"/>
      <c r="AV543" s="48"/>
    </row>
    <row r="544" spans="1:48" ht="12.75" customHeight="1" x14ac:dyDescent="0.25">
      <c r="A544" s="72" t="s">
        <v>20</v>
      </c>
      <c r="B544" s="43" t="s">
        <v>4043</v>
      </c>
      <c r="C544" s="44" t="s">
        <v>3872</v>
      </c>
      <c r="D544" s="45">
        <f>MROUND(MID($C544,6,3)/Basis!$E$3,0.5)</f>
        <v>29.5</v>
      </c>
      <c r="E544" s="45">
        <f>MROUND(MID($C544,9,3)/Basis!$E$3,0.5)</f>
        <v>102.5</v>
      </c>
      <c r="F544" s="229" t="str">
        <f t="shared" si="8"/>
        <v>11</v>
      </c>
      <c r="G544" s="45">
        <f>ROUND(5/Basis!$E$3,1)</f>
        <v>2</v>
      </c>
      <c r="H544" s="120">
        <f>ROUND($P544*Basis!$E$2*((TaH-TrH)/LN(1/µ)/Basis!$E$7)^$N544*Glycol,0)</f>
        <v>6184</v>
      </c>
      <c r="I544" s="83">
        <f>ROUND(H544/(MID($C544,9,3)/Basis!$E$3/Basis!$E$9)*Basis!$E$11,0)</f>
        <v>725</v>
      </c>
      <c r="J544" s="123">
        <f>IF(Basis!$E$1=1,ROUND(H544/((TaH-TrH)*1.163)/3600,3),ROUND(H544/(500*(TaH-TrH)),2))</f>
        <v>0.62</v>
      </c>
      <c r="K544" s="84"/>
      <c r="L544" s="177">
        <f>CHOOSE(Basis!$E$1,((AJ544*(J544*3600/Basis!$E$5)^AK544*(((MID(C544,9,3)*10)-144)/1000)*AL544+AM544*(J544*3600/Basis!$E$5)^2)*0.0098)/Basis!$E$10,((AJ544*(J544/Basis!$E$5)^AK544*(((MID(C544,9,3)*10)-144)/1000)*AL544+AM544*(J544/Basis!$E$5)^2)*0.0098)/Basis!$E$10)</f>
        <v>0</v>
      </c>
      <c r="M544" s="85"/>
      <c r="N544" s="109">
        <v>1.2490000000000001</v>
      </c>
      <c r="O544" s="68"/>
      <c r="P544" s="67">
        <v>2737</v>
      </c>
      <c r="Q544" s="68"/>
      <c r="R544" s="69"/>
      <c r="S544" s="69"/>
      <c r="T544" s="69"/>
      <c r="U544" s="69"/>
      <c r="V544" s="69"/>
      <c r="W544" s="68"/>
      <c r="X544" s="70"/>
      <c r="Y544" s="70"/>
      <c r="Z544" s="70"/>
      <c r="AA544" s="70"/>
      <c r="AB544" s="70"/>
      <c r="AC544" s="68"/>
      <c r="AD544" s="71"/>
      <c r="AE544" s="71"/>
      <c r="AF544" s="71"/>
      <c r="AG544" s="71"/>
      <c r="AH544" s="71"/>
      <c r="AI544" s="68"/>
      <c r="AJ544" s="214"/>
      <c r="AK544" s="214"/>
      <c r="AL544" s="214"/>
      <c r="AM544" s="214"/>
      <c r="AN544" s="68"/>
      <c r="AO544" s="67"/>
      <c r="AP544" s="67"/>
      <c r="AQ544" s="67"/>
      <c r="AR544" s="67"/>
      <c r="AS544" s="67"/>
      <c r="AT544" s="68"/>
      <c r="AU544" s="49"/>
      <c r="AV544" s="50"/>
    </row>
    <row r="545" spans="1:48" ht="12.75" customHeight="1" x14ac:dyDescent="0.25">
      <c r="A545" s="72" t="s">
        <v>20</v>
      </c>
      <c r="B545" s="43" t="s">
        <v>4043</v>
      </c>
      <c r="C545" s="44" t="s">
        <v>3873</v>
      </c>
      <c r="D545" s="45">
        <f>MROUND(MID($C545,6,3)/Basis!$E$3,0.5)</f>
        <v>29.5</v>
      </c>
      <c r="E545" s="45">
        <f>MROUND(MID($C545,9,3)/Basis!$E$3,0.5)</f>
        <v>102.5</v>
      </c>
      <c r="F545" s="229" t="str">
        <f t="shared" si="8"/>
        <v>22</v>
      </c>
      <c r="G545" s="45">
        <f>ROUND(9/Basis!$E$3,1)</f>
        <v>3.5</v>
      </c>
      <c r="H545" s="120">
        <f>ROUND($P545*Basis!$E$2*((TaH-TrH)/LN(1/µ)/Basis!$E$7)^$N545*Glycol,0)</f>
        <v>10291</v>
      </c>
      <c r="I545" s="83">
        <f>ROUND(H545/(MID($C545,9,3)/Basis!$E$3/Basis!$E$9)*Basis!$E$11,0)</f>
        <v>1206</v>
      </c>
      <c r="J545" s="123">
        <f>IF(Basis!$E$1=1,ROUND(H545/((TaH-TrH)*1.163)/3600,3),ROUND(H545/(500*(TaH-TrH)),2))</f>
        <v>1.03</v>
      </c>
      <c r="K545" s="84"/>
      <c r="L545" s="177">
        <f>CHOOSE(Basis!$E$1,((AJ545*(J545*3600/Basis!$E$5)^AK545*(((MID(C545,9,3)*10)-144)/1000)*AL545+AM545*(J545*3600/Basis!$E$5)^2)*0.0098)/Basis!$E$10,((AJ545*(J545/Basis!$E$5)^AK545*(((MID(C545,9,3)*10)-144)/1000)*AL545+AM545*(J545/Basis!$E$5)^2)*0.0098)/Basis!$E$10)</f>
        <v>0</v>
      </c>
      <c r="M545" s="85"/>
      <c r="N545" s="109">
        <v>1.3480000000000001</v>
      </c>
      <c r="O545" s="68"/>
      <c r="P545" s="67">
        <v>4706</v>
      </c>
      <c r="Q545" s="68"/>
      <c r="R545" s="69"/>
      <c r="S545" s="69"/>
      <c r="T545" s="69"/>
      <c r="U545" s="69"/>
      <c r="V545" s="69"/>
      <c r="W545" s="68"/>
      <c r="X545" s="70"/>
      <c r="Y545" s="70"/>
      <c r="Z545" s="70"/>
      <c r="AA545" s="70"/>
      <c r="AB545" s="70"/>
      <c r="AC545" s="68"/>
      <c r="AD545" s="71"/>
      <c r="AE545" s="71"/>
      <c r="AF545" s="71"/>
      <c r="AG545" s="71"/>
      <c r="AH545" s="71"/>
      <c r="AI545" s="68"/>
      <c r="AJ545" s="214"/>
      <c r="AK545" s="214"/>
      <c r="AL545" s="214"/>
      <c r="AM545" s="214"/>
      <c r="AN545" s="68"/>
      <c r="AO545" s="67"/>
      <c r="AP545" s="67"/>
      <c r="AQ545" s="67"/>
      <c r="AR545" s="67"/>
      <c r="AS545" s="67"/>
      <c r="AT545" s="68"/>
      <c r="AU545" s="49"/>
      <c r="AV545" s="50"/>
    </row>
    <row r="546" spans="1:48" ht="12.75" customHeight="1" x14ac:dyDescent="0.25">
      <c r="A546" s="72" t="s">
        <v>20</v>
      </c>
      <c r="B546" s="43" t="s">
        <v>4043</v>
      </c>
      <c r="C546" s="44" t="s">
        <v>3874</v>
      </c>
      <c r="D546" s="45">
        <f>MROUND(MID($C546,6,3)/Basis!$E$3,0.5)</f>
        <v>29.5</v>
      </c>
      <c r="E546" s="45">
        <f>MROUND(MID($C546,9,3)/Basis!$E$3,0.5)</f>
        <v>110</v>
      </c>
      <c r="F546" s="229" t="str">
        <f t="shared" si="8"/>
        <v>11</v>
      </c>
      <c r="G546" s="45">
        <f>ROUND(5/Basis!$E$3,1)</f>
        <v>2</v>
      </c>
      <c r="H546" s="120">
        <f>ROUND($P546*Basis!$E$2*((TaH-TrH)/LN(1/µ)/Basis!$E$7)^$N546*Glycol,0)</f>
        <v>6661</v>
      </c>
      <c r="I546" s="83">
        <f>ROUND(H546/(MID($C546,9,3)/Basis!$E$3/Basis!$E$9)*Basis!$E$11,0)</f>
        <v>725</v>
      </c>
      <c r="J546" s="123">
        <f>IF(Basis!$E$1=1,ROUND(H546/((TaH-TrH)*1.163)/3600,3),ROUND(H546/(500*(TaH-TrH)),2))</f>
        <v>0.67</v>
      </c>
      <c r="K546" s="84"/>
      <c r="L546" s="177">
        <f>CHOOSE(Basis!$E$1,((AJ546*(J546*3600/Basis!$E$5)^AK546*(((MID(C546,9,3)*10)-144)/1000)*AL546+AM546*(J546*3600/Basis!$E$5)^2)*0.0098)/Basis!$E$10,((AJ546*(J546/Basis!$E$5)^AK546*(((MID(C546,9,3)*10)-144)/1000)*AL546+AM546*(J546/Basis!$E$5)^2)*0.0098)/Basis!$E$10)</f>
        <v>0</v>
      </c>
      <c r="M546" s="85"/>
      <c r="N546" s="110">
        <v>1.2490000000000001</v>
      </c>
      <c r="O546" s="74"/>
      <c r="P546" s="73">
        <v>2948</v>
      </c>
      <c r="Q546" s="74"/>
      <c r="R546" s="75"/>
      <c r="S546" s="75"/>
      <c r="T546" s="75"/>
      <c r="U546" s="75"/>
      <c r="V546" s="75"/>
      <c r="W546" s="74"/>
      <c r="X546" s="76"/>
      <c r="Y546" s="76"/>
      <c r="Z546" s="76"/>
      <c r="AA546" s="76"/>
      <c r="AB546" s="76"/>
      <c r="AC546" s="74"/>
      <c r="AD546" s="77"/>
      <c r="AE546" s="77"/>
      <c r="AF546" s="77"/>
      <c r="AG546" s="77"/>
      <c r="AH546" s="77"/>
      <c r="AI546" s="68"/>
      <c r="AJ546" s="213"/>
      <c r="AK546" s="213"/>
      <c r="AL546" s="213"/>
      <c r="AM546" s="213"/>
      <c r="AN546" s="74"/>
      <c r="AO546" s="73"/>
      <c r="AP546" s="73"/>
      <c r="AQ546" s="73"/>
      <c r="AR546" s="73"/>
      <c r="AS546" s="73"/>
      <c r="AT546" s="74"/>
      <c r="AU546" s="47"/>
      <c r="AV546" s="48"/>
    </row>
    <row r="547" spans="1:48" ht="12.75" customHeight="1" x14ac:dyDescent="0.25">
      <c r="A547" s="72" t="s">
        <v>20</v>
      </c>
      <c r="B547" s="43" t="s">
        <v>4043</v>
      </c>
      <c r="C547" s="44" t="s">
        <v>3875</v>
      </c>
      <c r="D547" s="45">
        <f>MROUND(MID($C547,6,3)/Basis!$E$3,0.5)</f>
        <v>29.5</v>
      </c>
      <c r="E547" s="45">
        <f>MROUND(MID($C547,9,3)/Basis!$E$3,0.5)</f>
        <v>110</v>
      </c>
      <c r="F547" s="229" t="str">
        <f t="shared" si="8"/>
        <v>22</v>
      </c>
      <c r="G547" s="45">
        <f>ROUND(9/Basis!$E$3,1)</f>
        <v>3.5</v>
      </c>
      <c r="H547" s="120">
        <f>ROUND($P547*Basis!$E$2*((TaH-TrH)/LN(1/µ)/Basis!$E$7)^$N547*Glycol,0)</f>
        <v>11083</v>
      </c>
      <c r="I547" s="83">
        <f>ROUND(H547/(MID($C547,9,3)/Basis!$E$3/Basis!$E$9)*Basis!$E$11,0)</f>
        <v>1206</v>
      </c>
      <c r="J547" s="123">
        <f>IF(Basis!$E$1=1,ROUND(H547/((TaH-TrH)*1.163)/3600,3),ROUND(H547/(500*(TaH-TrH)),2))</f>
        <v>1.1100000000000001</v>
      </c>
      <c r="K547" s="84"/>
      <c r="L547" s="177">
        <f>CHOOSE(Basis!$E$1,((AJ547*(J547*3600/Basis!$E$5)^AK547*(((MID(C547,9,3)*10)-144)/1000)*AL547+AM547*(J547*3600/Basis!$E$5)^2)*0.0098)/Basis!$E$10,((AJ547*(J547/Basis!$E$5)^AK547*(((MID(C547,9,3)*10)-144)/1000)*AL547+AM547*(J547/Basis!$E$5)^2)*0.0098)/Basis!$E$10)</f>
        <v>0</v>
      </c>
      <c r="M547" s="85"/>
      <c r="N547" s="110">
        <v>1.3480000000000001</v>
      </c>
      <c r="O547" s="74"/>
      <c r="P547" s="73">
        <v>5068</v>
      </c>
      <c r="Q547" s="74"/>
      <c r="R547" s="75"/>
      <c r="S547" s="75"/>
      <c r="T547" s="75"/>
      <c r="U547" s="75"/>
      <c r="V547" s="75"/>
      <c r="W547" s="74"/>
      <c r="X547" s="76"/>
      <c r="Y547" s="76"/>
      <c r="Z547" s="76"/>
      <c r="AA547" s="76"/>
      <c r="AB547" s="76"/>
      <c r="AC547" s="74"/>
      <c r="AD547" s="77"/>
      <c r="AE547" s="77"/>
      <c r="AF547" s="77"/>
      <c r="AG547" s="77"/>
      <c r="AH547" s="77"/>
      <c r="AI547" s="68"/>
      <c r="AJ547" s="213"/>
      <c r="AK547" s="213"/>
      <c r="AL547" s="213"/>
      <c r="AM547" s="213"/>
      <c r="AN547" s="74"/>
      <c r="AO547" s="73"/>
      <c r="AP547" s="73"/>
      <c r="AQ547" s="73"/>
      <c r="AR547" s="73"/>
      <c r="AS547" s="73"/>
      <c r="AT547" s="74"/>
      <c r="AU547" s="47"/>
      <c r="AV547" s="48"/>
    </row>
    <row r="548" spans="1:48" ht="12.75" customHeight="1" x14ac:dyDescent="0.25">
      <c r="A548" s="72" t="s">
        <v>20</v>
      </c>
      <c r="B548" s="43" t="s">
        <v>4043</v>
      </c>
      <c r="C548" s="44" t="s">
        <v>3876</v>
      </c>
      <c r="D548" s="45">
        <f>MROUND(MID($C548,6,3)/Basis!$E$3,0.5)</f>
        <v>29.5</v>
      </c>
      <c r="E548" s="45">
        <f>MROUND(MID($C548,9,3)/Basis!$E$3,0.5)</f>
        <v>118</v>
      </c>
      <c r="F548" s="229" t="str">
        <f t="shared" si="8"/>
        <v>11</v>
      </c>
      <c r="G548" s="45">
        <f>ROUND(5/Basis!$E$3,1)</f>
        <v>2</v>
      </c>
      <c r="H548" s="120">
        <f>ROUND($P548*Basis!$E$2*((TaH-TrH)/LN(1/µ)/Basis!$E$7)^$N548*Glycol,0)</f>
        <v>7135</v>
      </c>
      <c r="I548" s="83">
        <f>ROUND(H548/(MID($C548,9,3)/Basis!$E$3/Basis!$E$9)*Basis!$E$11,0)</f>
        <v>725</v>
      </c>
      <c r="J548" s="123">
        <f>IF(Basis!$E$1=1,ROUND(H548/((TaH-TrH)*1.163)/3600,3),ROUND(H548/(500*(TaH-TrH)),2))</f>
        <v>0.71</v>
      </c>
      <c r="K548" s="84"/>
      <c r="L548" s="177">
        <f>CHOOSE(Basis!$E$1,((AJ548*(J548*3600/Basis!$E$5)^AK548*(((MID(C548,9,3)*10)-144)/1000)*AL548+AM548*(J548*3600/Basis!$E$5)^2)*0.0098)/Basis!$E$10,((AJ548*(J548/Basis!$E$5)^AK548*(((MID(C548,9,3)*10)-144)/1000)*AL548+AM548*(J548/Basis!$E$5)^2)*0.0098)/Basis!$E$10)</f>
        <v>0</v>
      </c>
      <c r="M548" s="85"/>
      <c r="N548" s="109">
        <v>1.2490000000000001</v>
      </c>
      <c r="O548" s="68"/>
      <c r="P548" s="67">
        <v>3158</v>
      </c>
      <c r="Q548" s="68"/>
      <c r="R548" s="69"/>
      <c r="S548" s="69"/>
      <c r="T548" s="69"/>
      <c r="U548" s="69"/>
      <c r="V548" s="69"/>
      <c r="W548" s="68"/>
      <c r="X548" s="70"/>
      <c r="Y548" s="70"/>
      <c r="Z548" s="70"/>
      <c r="AA548" s="70"/>
      <c r="AB548" s="70"/>
      <c r="AC548" s="68"/>
      <c r="AD548" s="71"/>
      <c r="AE548" s="71"/>
      <c r="AF548" s="71"/>
      <c r="AG548" s="71"/>
      <c r="AH548" s="71"/>
      <c r="AI548" s="68"/>
      <c r="AJ548" s="214"/>
      <c r="AK548" s="214"/>
      <c r="AL548" s="214"/>
      <c r="AM548" s="214"/>
      <c r="AN548" s="68"/>
      <c r="AO548" s="67"/>
      <c r="AP548" s="67"/>
      <c r="AQ548" s="67"/>
      <c r="AR548" s="67"/>
      <c r="AS548" s="67"/>
      <c r="AT548" s="68"/>
      <c r="AU548" s="49"/>
      <c r="AV548" s="50"/>
    </row>
    <row r="549" spans="1:48" ht="12.75" customHeight="1" x14ac:dyDescent="0.25">
      <c r="A549" s="72" t="s">
        <v>20</v>
      </c>
      <c r="B549" s="43" t="s">
        <v>4043</v>
      </c>
      <c r="C549" s="44" t="s">
        <v>3877</v>
      </c>
      <c r="D549" s="45">
        <f>MROUND(MID($C549,6,3)/Basis!$E$3,0.5)</f>
        <v>29.5</v>
      </c>
      <c r="E549" s="45">
        <f>MROUND(MID($C549,9,3)/Basis!$E$3,0.5)</f>
        <v>118</v>
      </c>
      <c r="F549" s="229" t="str">
        <f t="shared" si="8"/>
        <v>22</v>
      </c>
      <c r="G549" s="45">
        <f>ROUND(9/Basis!$E$3,1)</f>
        <v>3.5</v>
      </c>
      <c r="H549" s="120">
        <f>ROUND($P549*Basis!$E$2*((TaH-TrH)/LN(1/µ)/Basis!$E$7)^$N549*Glycol,0)</f>
        <v>11874</v>
      </c>
      <c r="I549" s="83">
        <f>ROUND(H549/(MID($C549,9,3)/Basis!$E$3/Basis!$E$9)*Basis!$E$11,0)</f>
        <v>1206</v>
      </c>
      <c r="J549" s="123">
        <f>IF(Basis!$E$1=1,ROUND(H549/((TaH-TrH)*1.163)/3600,3),ROUND(H549/(500*(TaH-TrH)),2))</f>
        <v>1.19</v>
      </c>
      <c r="K549" s="84"/>
      <c r="L549" s="177">
        <f>CHOOSE(Basis!$E$1,((AJ549*(J549*3600/Basis!$E$5)^AK549*(((MID(C549,9,3)*10)-144)/1000)*AL549+AM549*(J549*3600/Basis!$E$5)^2)*0.0098)/Basis!$E$10,((AJ549*(J549/Basis!$E$5)^AK549*(((MID(C549,9,3)*10)-144)/1000)*AL549+AM549*(J549/Basis!$E$5)^2)*0.0098)/Basis!$E$10)</f>
        <v>0</v>
      </c>
      <c r="M549" s="85"/>
      <c r="N549" s="109">
        <v>1.3480000000000001</v>
      </c>
      <c r="O549" s="68"/>
      <c r="P549" s="67">
        <v>5430</v>
      </c>
      <c r="Q549" s="68"/>
      <c r="R549" s="69"/>
      <c r="S549" s="69"/>
      <c r="T549" s="69"/>
      <c r="U549" s="69"/>
      <c r="V549" s="69"/>
      <c r="W549" s="68"/>
      <c r="X549" s="70"/>
      <c r="Y549" s="70"/>
      <c r="Z549" s="70"/>
      <c r="AA549" s="70"/>
      <c r="AB549" s="70"/>
      <c r="AC549" s="68"/>
      <c r="AD549" s="71"/>
      <c r="AE549" s="71"/>
      <c r="AF549" s="71"/>
      <c r="AG549" s="71"/>
      <c r="AH549" s="71"/>
      <c r="AI549" s="68"/>
      <c r="AJ549" s="214"/>
      <c r="AK549" s="214"/>
      <c r="AL549" s="214"/>
      <c r="AM549" s="214"/>
      <c r="AN549" s="68"/>
      <c r="AO549" s="67"/>
      <c r="AP549" s="67"/>
      <c r="AQ549" s="67"/>
      <c r="AR549" s="67"/>
      <c r="AS549" s="67"/>
      <c r="AT549" s="68"/>
      <c r="AU549" s="49"/>
      <c r="AV549" s="50"/>
    </row>
    <row r="550" spans="1:48" ht="12.75" customHeight="1" x14ac:dyDescent="0.25">
      <c r="A550" s="72" t="s">
        <v>20</v>
      </c>
      <c r="B550" s="43" t="s">
        <v>4043</v>
      </c>
      <c r="C550" s="44" t="s">
        <v>3878</v>
      </c>
      <c r="D550" s="45">
        <f>MROUND(MID($C550,6,3)/Basis!$E$3,0.5)</f>
        <v>32</v>
      </c>
      <c r="E550" s="45">
        <f>MROUND(MID($C550,9,3)/Basis!$E$3,0.5)</f>
        <v>23.5</v>
      </c>
      <c r="F550" s="229" t="str">
        <f t="shared" si="8"/>
        <v>11</v>
      </c>
      <c r="G550" s="45">
        <f>ROUND(5/Basis!$E$3,1)</f>
        <v>2</v>
      </c>
      <c r="H550" s="120">
        <f>ROUND($P550*Basis!$E$2*((TaH-TrH)/LN(1/µ)/Basis!$E$7)^$N550*Glycol,0)</f>
        <v>1516</v>
      </c>
      <c r="I550" s="83">
        <f>ROUND(H550/(MID($C550,9,3)/Basis!$E$3/Basis!$E$9)*Basis!$E$11,0)</f>
        <v>770</v>
      </c>
      <c r="J550" s="123">
        <f>IF(Basis!$E$1=1,ROUND(H550/((TaH-TrH)*1.163)/3600,3),ROUND(H550/(500*(TaH-TrH)),2))</f>
        <v>0.15</v>
      </c>
      <c r="K550" s="84"/>
      <c r="L550" s="177">
        <f>CHOOSE(Basis!$E$1,((AJ550*(J550*3600/Basis!$E$5)^AK550*(((MID(C550,9,3)*10)-144)/1000)*AL550+AM550*(J550*3600/Basis!$E$5)^2)*0.0098)/Basis!$E$10,((AJ550*(J550/Basis!$E$5)^AK550*(((MID(C550,9,3)*10)-144)/1000)*AL550+AM550*(J550/Basis!$E$5)^2)*0.0098)/Basis!$E$10)</f>
        <v>0</v>
      </c>
      <c r="M550" s="85"/>
      <c r="N550" s="110">
        <v>1.2490000000000001</v>
      </c>
      <c r="O550" s="74"/>
      <c r="P550" s="73">
        <v>671</v>
      </c>
      <c r="Q550" s="74"/>
      <c r="R550" s="75"/>
      <c r="S550" s="75"/>
      <c r="T550" s="75"/>
      <c r="U550" s="75"/>
      <c r="V550" s="75"/>
      <c r="W550" s="74"/>
      <c r="X550" s="76"/>
      <c r="Y550" s="76"/>
      <c r="Z550" s="76"/>
      <c r="AA550" s="76"/>
      <c r="AB550" s="76"/>
      <c r="AC550" s="74"/>
      <c r="AD550" s="77"/>
      <c r="AE550" s="77"/>
      <c r="AF550" s="77"/>
      <c r="AG550" s="77"/>
      <c r="AH550" s="77"/>
      <c r="AI550" s="68"/>
      <c r="AJ550" s="213"/>
      <c r="AK550" s="213"/>
      <c r="AL550" s="213"/>
      <c r="AM550" s="213"/>
      <c r="AN550" s="74"/>
      <c r="AO550" s="73"/>
      <c r="AP550" s="73"/>
      <c r="AQ550" s="73"/>
      <c r="AR550" s="73"/>
      <c r="AS550" s="73"/>
      <c r="AT550" s="74"/>
      <c r="AU550" s="47"/>
      <c r="AV550" s="48"/>
    </row>
    <row r="551" spans="1:48" ht="12.75" customHeight="1" x14ac:dyDescent="0.25">
      <c r="A551" s="72" t="s">
        <v>20</v>
      </c>
      <c r="B551" s="43" t="s">
        <v>4043</v>
      </c>
      <c r="C551" s="44" t="s">
        <v>3879</v>
      </c>
      <c r="D551" s="45">
        <f>MROUND(MID($C551,6,3)/Basis!$E$3,0.5)</f>
        <v>32</v>
      </c>
      <c r="E551" s="45">
        <f>MROUND(MID($C551,9,3)/Basis!$E$3,0.5)</f>
        <v>23.5</v>
      </c>
      <c r="F551" s="229" t="str">
        <f t="shared" si="8"/>
        <v>22</v>
      </c>
      <c r="G551" s="45">
        <f>ROUND(9/Basis!$E$3,1)</f>
        <v>3.5</v>
      </c>
      <c r="H551" s="120">
        <f>ROUND($P551*Basis!$E$2*((TaH-TrH)/LN(1/µ)/Basis!$E$7)^$N551*Glycol,0)</f>
        <v>2500</v>
      </c>
      <c r="I551" s="83">
        <f>ROUND(H551/(MID($C551,9,3)/Basis!$E$3/Basis!$E$9)*Basis!$E$11,0)</f>
        <v>1270</v>
      </c>
      <c r="J551" s="123">
        <f>IF(Basis!$E$1=1,ROUND(H551/((TaH-TrH)*1.163)/3600,3),ROUND(H551/(500*(TaH-TrH)),2))</f>
        <v>0.25</v>
      </c>
      <c r="K551" s="84"/>
      <c r="L551" s="177">
        <f>CHOOSE(Basis!$E$1,((AJ551*(J551*3600/Basis!$E$5)^AK551*(((MID(C551,9,3)*10)-144)/1000)*AL551+AM551*(J551*3600/Basis!$E$5)^2)*0.0098)/Basis!$E$10,((AJ551*(J551/Basis!$E$5)^AK551*(((MID(C551,9,3)*10)-144)/1000)*AL551+AM551*(J551/Basis!$E$5)^2)*0.0098)/Basis!$E$10)</f>
        <v>0</v>
      </c>
      <c r="M551" s="85"/>
      <c r="N551" s="110">
        <v>1.3480000000000001</v>
      </c>
      <c r="O551" s="74"/>
      <c r="P551" s="73">
        <v>1143</v>
      </c>
      <c r="Q551" s="74"/>
      <c r="R551" s="75"/>
      <c r="S551" s="75"/>
      <c r="T551" s="75"/>
      <c r="U551" s="75"/>
      <c r="V551" s="75"/>
      <c r="W551" s="74"/>
      <c r="X551" s="76"/>
      <c r="Y551" s="76"/>
      <c r="Z551" s="76"/>
      <c r="AA551" s="76"/>
      <c r="AB551" s="76"/>
      <c r="AC551" s="74"/>
      <c r="AD551" s="77"/>
      <c r="AE551" s="77"/>
      <c r="AF551" s="77"/>
      <c r="AG551" s="77"/>
      <c r="AH551" s="77"/>
      <c r="AI551" s="68"/>
      <c r="AJ551" s="213"/>
      <c r="AK551" s="213"/>
      <c r="AL551" s="213"/>
      <c r="AM551" s="213"/>
      <c r="AN551" s="74"/>
      <c r="AO551" s="73"/>
      <c r="AP551" s="73"/>
      <c r="AQ551" s="73"/>
      <c r="AR551" s="73"/>
      <c r="AS551" s="73"/>
      <c r="AT551" s="74"/>
      <c r="AU551" s="47"/>
      <c r="AV551" s="48"/>
    </row>
    <row r="552" spans="1:48" ht="12.75" customHeight="1" x14ac:dyDescent="0.25">
      <c r="A552" s="72" t="s">
        <v>20</v>
      </c>
      <c r="B552" s="43" t="s">
        <v>4043</v>
      </c>
      <c r="C552" s="44" t="s">
        <v>3880</v>
      </c>
      <c r="D552" s="45">
        <f>MROUND(MID($C552,6,3)/Basis!$E$3,0.5)</f>
        <v>32</v>
      </c>
      <c r="E552" s="45">
        <f>MROUND(MID($C552,9,3)/Basis!$E$3,0.5)</f>
        <v>31.5</v>
      </c>
      <c r="F552" s="229" t="str">
        <f t="shared" si="8"/>
        <v>11</v>
      </c>
      <c r="G552" s="45">
        <f>ROUND(5/Basis!$E$3,1)</f>
        <v>2</v>
      </c>
      <c r="H552" s="120">
        <f>ROUND($P552*Basis!$E$2*((TaH-TrH)/LN(1/µ)/Basis!$E$7)^$N552*Glycol,0)</f>
        <v>2022</v>
      </c>
      <c r="I552" s="83">
        <f>ROUND(H552/(MID($C552,9,3)/Basis!$E$3/Basis!$E$9)*Basis!$E$11,0)</f>
        <v>770</v>
      </c>
      <c r="J552" s="123">
        <f>IF(Basis!$E$1=1,ROUND(H552/((TaH-TrH)*1.163)/3600,3),ROUND(H552/(500*(TaH-TrH)),2))</f>
        <v>0.2</v>
      </c>
      <c r="K552" s="84"/>
      <c r="L552" s="177">
        <f>CHOOSE(Basis!$E$1,((AJ552*(J552*3600/Basis!$E$5)^AK552*(((MID(C552,9,3)*10)-144)/1000)*AL552+AM552*(J552*3600/Basis!$E$5)^2)*0.0098)/Basis!$E$10,((AJ552*(J552/Basis!$E$5)^AK552*(((MID(C552,9,3)*10)-144)/1000)*AL552+AM552*(J552/Basis!$E$5)^2)*0.0098)/Basis!$E$10)</f>
        <v>0</v>
      </c>
      <c r="M552" s="85"/>
      <c r="N552" s="109">
        <v>1.2490000000000001</v>
      </c>
      <c r="O552" s="68"/>
      <c r="P552" s="67">
        <v>895</v>
      </c>
      <c r="Q552" s="68"/>
      <c r="R552" s="69"/>
      <c r="S552" s="69"/>
      <c r="T552" s="69"/>
      <c r="U552" s="69"/>
      <c r="V552" s="69"/>
      <c r="W552" s="68"/>
      <c r="X552" s="70"/>
      <c r="Y552" s="70"/>
      <c r="Z552" s="70"/>
      <c r="AA552" s="70"/>
      <c r="AB552" s="70"/>
      <c r="AC552" s="68"/>
      <c r="AD552" s="71"/>
      <c r="AE552" s="71"/>
      <c r="AF552" s="71"/>
      <c r="AG552" s="71"/>
      <c r="AH552" s="71"/>
      <c r="AI552" s="68"/>
      <c r="AJ552" s="214"/>
      <c r="AK552" s="214"/>
      <c r="AL552" s="214"/>
      <c r="AM552" s="214"/>
      <c r="AN552" s="68"/>
      <c r="AO552" s="67"/>
      <c r="AP552" s="67"/>
      <c r="AQ552" s="67"/>
      <c r="AR552" s="67"/>
      <c r="AS552" s="67"/>
      <c r="AT552" s="68"/>
      <c r="AU552" s="49"/>
      <c r="AV552" s="50"/>
    </row>
    <row r="553" spans="1:48" ht="12.75" customHeight="1" x14ac:dyDescent="0.25">
      <c r="A553" s="72" t="s">
        <v>20</v>
      </c>
      <c r="B553" s="43" t="s">
        <v>4043</v>
      </c>
      <c r="C553" s="44" t="s">
        <v>3881</v>
      </c>
      <c r="D553" s="45">
        <f>MROUND(MID($C553,6,3)/Basis!$E$3,0.5)</f>
        <v>32</v>
      </c>
      <c r="E553" s="45">
        <f>MROUND(MID($C553,9,3)/Basis!$E$3,0.5)</f>
        <v>31.5</v>
      </c>
      <c r="F553" s="229" t="str">
        <f t="shared" si="8"/>
        <v>22</v>
      </c>
      <c r="G553" s="45">
        <f>ROUND(9/Basis!$E$3,1)</f>
        <v>3.5</v>
      </c>
      <c r="H553" s="120">
        <f>ROUND($P553*Basis!$E$2*((TaH-TrH)/LN(1/µ)/Basis!$E$7)^$N553*Glycol,0)</f>
        <v>3333</v>
      </c>
      <c r="I553" s="83">
        <f>ROUND(H553/(MID($C553,9,3)/Basis!$E$3/Basis!$E$9)*Basis!$E$11,0)</f>
        <v>1270</v>
      </c>
      <c r="J553" s="123">
        <f>IF(Basis!$E$1=1,ROUND(H553/((TaH-TrH)*1.163)/3600,3),ROUND(H553/(500*(TaH-TrH)),2))</f>
        <v>0.33</v>
      </c>
      <c r="K553" s="84"/>
      <c r="L553" s="177">
        <f>CHOOSE(Basis!$E$1,((AJ553*(J553*3600/Basis!$E$5)^AK553*(((MID(C553,9,3)*10)-144)/1000)*AL553+AM553*(J553*3600/Basis!$E$5)^2)*0.0098)/Basis!$E$10,((AJ553*(J553/Basis!$E$5)^AK553*(((MID(C553,9,3)*10)-144)/1000)*AL553+AM553*(J553/Basis!$E$5)^2)*0.0098)/Basis!$E$10)</f>
        <v>0</v>
      </c>
      <c r="M553" s="85"/>
      <c r="N553" s="109">
        <v>1.3480000000000001</v>
      </c>
      <c r="O553" s="68"/>
      <c r="P553" s="67">
        <v>1524</v>
      </c>
      <c r="Q553" s="68"/>
      <c r="R553" s="69"/>
      <c r="S553" s="69"/>
      <c r="T553" s="69"/>
      <c r="U553" s="69"/>
      <c r="V553" s="69"/>
      <c r="W553" s="68"/>
      <c r="X553" s="70"/>
      <c r="Y553" s="70"/>
      <c r="Z553" s="70"/>
      <c r="AA553" s="70"/>
      <c r="AB553" s="70"/>
      <c r="AC553" s="68"/>
      <c r="AD553" s="71"/>
      <c r="AE553" s="71"/>
      <c r="AF553" s="71"/>
      <c r="AG553" s="71"/>
      <c r="AH553" s="71"/>
      <c r="AI553" s="68"/>
      <c r="AJ553" s="214"/>
      <c r="AK553" s="214"/>
      <c r="AL553" s="214"/>
      <c r="AM553" s="214"/>
      <c r="AN553" s="68"/>
      <c r="AO553" s="67"/>
      <c r="AP553" s="67"/>
      <c r="AQ553" s="67"/>
      <c r="AR553" s="67"/>
      <c r="AS553" s="67"/>
      <c r="AT553" s="68"/>
      <c r="AU553" s="49"/>
      <c r="AV553" s="50"/>
    </row>
    <row r="554" spans="1:48" ht="12.75" customHeight="1" x14ac:dyDescent="0.25">
      <c r="A554" s="72" t="s">
        <v>20</v>
      </c>
      <c r="B554" s="43" t="s">
        <v>4043</v>
      </c>
      <c r="C554" s="44" t="s">
        <v>3882</v>
      </c>
      <c r="D554" s="45">
        <f>MROUND(MID($C554,6,3)/Basis!$E$3,0.5)</f>
        <v>32</v>
      </c>
      <c r="E554" s="45">
        <f>MROUND(MID($C554,9,3)/Basis!$E$3,0.5)</f>
        <v>39.5</v>
      </c>
      <c r="F554" s="229" t="str">
        <f t="shared" si="8"/>
        <v>11</v>
      </c>
      <c r="G554" s="45">
        <f>ROUND(5/Basis!$E$3,1)</f>
        <v>2</v>
      </c>
      <c r="H554" s="120">
        <f>ROUND($P554*Basis!$E$2*((TaH-TrH)/LN(1/µ)/Basis!$E$7)^$N554*Glycol,0)</f>
        <v>2528</v>
      </c>
      <c r="I554" s="83">
        <f>ROUND(H554/(MID($C554,9,3)/Basis!$E$3/Basis!$E$9)*Basis!$E$11,0)</f>
        <v>771</v>
      </c>
      <c r="J554" s="123">
        <f>IF(Basis!$E$1=1,ROUND(H554/((TaH-TrH)*1.163)/3600,3),ROUND(H554/(500*(TaH-TrH)),2))</f>
        <v>0.25</v>
      </c>
      <c r="K554" s="84"/>
      <c r="L554" s="177">
        <f>CHOOSE(Basis!$E$1,((AJ554*(J554*3600/Basis!$E$5)^AK554*(((MID(C554,9,3)*10)-144)/1000)*AL554+AM554*(J554*3600/Basis!$E$5)^2)*0.0098)/Basis!$E$10,((AJ554*(J554/Basis!$E$5)^AK554*(((MID(C554,9,3)*10)-144)/1000)*AL554+AM554*(J554/Basis!$E$5)^2)*0.0098)/Basis!$E$10)</f>
        <v>0</v>
      </c>
      <c r="M554" s="85"/>
      <c r="N554" s="110">
        <v>1.2490000000000001</v>
      </c>
      <c r="O554" s="74"/>
      <c r="P554" s="73">
        <v>1119</v>
      </c>
      <c r="Q554" s="74"/>
      <c r="R554" s="75"/>
      <c r="S554" s="75"/>
      <c r="T554" s="75"/>
      <c r="U554" s="75"/>
      <c r="V554" s="75"/>
      <c r="W554" s="74"/>
      <c r="X554" s="76"/>
      <c r="Y554" s="76"/>
      <c r="Z554" s="76"/>
      <c r="AA554" s="76"/>
      <c r="AB554" s="76"/>
      <c r="AC554" s="74"/>
      <c r="AD554" s="77"/>
      <c r="AE554" s="77"/>
      <c r="AF554" s="77"/>
      <c r="AG554" s="77"/>
      <c r="AH554" s="77"/>
      <c r="AI554" s="68"/>
      <c r="AJ554" s="213"/>
      <c r="AK554" s="213"/>
      <c r="AL554" s="213"/>
      <c r="AM554" s="213"/>
      <c r="AN554" s="74"/>
      <c r="AO554" s="73"/>
      <c r="AP554" s="73"/>
      <c r="AQ554" s="73"/>
      <c r="AR554" s="73"/>
      <c r="AS554" s="73"/>
      <c r="AT554" s="74"/>
      <c r="AU554" s="47"/>
      <c r="AV554" s="48"/>
    </row>
    <row r="555" spans="1:48" ht="12.75" customHeight="1" x14ac:dyDescent="0.25">
      <c r="A555" s="72" t="s">
        <v>20</v>
      </c>
      <c r="B555" s="43" t="s">
        <v>4043</v>
      </c>
      <c r="C555" s="44" t="s">
        <v>3883</v>
      </c>
      <c r="D555" s="45">
        <f>MROUND(MID($C555,6,3)/Basis!$E$3,0.5)</f>
        <v>32</v>
      </c>
      <c r="E555" s="45">
        <f>MROUND(MID($C555,9,3)/Basis!$E$3,0.5)</f>
        <v>39.5</v>
      </c>
      <c r="F555" s="229" t="str">
        <f t="shared" si="8"/>
        <v>22</v>
      </c>
      <c r="G555" s="45">
        <f>ROUND(9/Basis!$E$3,1)</f>
        <v>3.5</v>
      </c>
      <c r="H555" s="120">
        <f>ROUND($P555*Basis!$E$2*((TaH-TrH)/LN(1/µ)/Basis!$E$7)^$N555*Glycol,0)</f>
        <v>4166</v>
      </c>
      <c r="I555" s="83">
        <f>ROUND(H555/(MID($C555,9,3)/Basis!$E$3/Basis!$E$9)*Basis!$E$11,0)</f>
        <v>1270</v>
      </c>
      <c r="J555" s="123">
        <f>IF(Basis!$E$1=1,ROUND(H555/((TaH-TrH)*1.163)/3600,3),ROUND(H555/(500*(TaH-TrH)),2))</f>
        <v>0.42</v>
      </c>
      <c r="K555" s="84"/>
      <c r="L555" s="177">
        <f>CHOOSE(Basis!$E$1,((AJ555*(J555*3600/Basis!$E$5)^AK555*(((MID(C555,9,3)*10)-144)/1000)*AL555+AM555*(J555*3600/Basis!$E$5)^2)*0.0098)/Basis!$E$10,((AJ555*(J555/Basis!$E$5)^AK555*(((MID(C555,9,3)*10)-144)/1000)*AL555+AM555*(J555/Basis!$E$5)^2)*0.0098)/Basis!$E$10)</f>
        <v>0</v>
      </c>
      <c r="M555" s="85"/>
      <c r="N555" s="110">
        <v>1.3480000000000001</v>
      </c>
      <c r="O555" s="74"/>
      <c r="P555" s="73">
        <v>1905</v>
      </c>
      <c r="Q555" s="74"/>
      <c r="R555" s="75"/>
      <c r="S555" s="75"/>
      <c r="T555" s="75"/>
      <c r="U555" s="75"/>
      <c r="V555" s="75"/>
      <c r="W555" s="74"/>
      <c r="X555" s="76"/>
      <c r="Y555" s="76"/>
      <c r="Z555" s="76"/>
      <c r="AA555" s="76"/>
      <c r="AB555" s="76"/>
      <c r="AC555" s="74"/>
      <c r="AD555" s="77"/>
      <c r="AE555" s="77"/>
      <c r="AF555" s="77"/>
      <c r="AG555" s="77"/>
      <c r="AH555" s="77"/>
      <c r="AI555" s="68"/>
      <c r="AJ555" s="213"/>
      <c r="AK555" s="213"/>
      <c r="AL555" s="213"/>
      <c r="AM555" s="213"/>
      <c r="AN555" s="74"/>
      <c r="AO555" s="73"/>
      <c r="AP555" s="73"/>
      <c r="AQ555" s="73"/>
      <c r="AR555" s="73"/>
      <c r="AS555" s="73"/>
      <c r="AT555" s="74"/>
      <c r="AU555" s="47"/>
      <c r="AV555" s="48"/>
    </row>
    <row r="556" spans="1:48" ht="12.75" customHeight="1" x14ac:dyDescent="0.25">
      <c r="A556" s="72" t="s">
        <v>20</v>
      </c>
      <c r="B556" s="43" t="s">
        <v>4043</v>
      </c>
      <c r="C556" s="44" t="s">
        <v>3884</v>
      </c>
      <c r="D556" s="45">
        <f>MROUND(MID($C556,6,3)/Basis!$E$3,0.5)</f>
        <v>32</v>
      </c>
      <c r="E556" s="45">
        <f>MROUND(MID($C556,9,3)/Basis!$E$3,0.5)</f>
        <v>47</v>
      </c>
      <c r="F556" s="229" t="str">
        <f t="shared" si="8"/>
        <v>11</v>
      </c>
      <c r="G556" s="45">
        <f>ROUND(5/Basis!$E$3,1)</f>
        <v>2</v>
      </c>
      <c r="H556" s="120">
        <f>ROUND($P556*Basis!$E$2*((TaH-TrH)/LN(1/µ)/Basis!$E$7)^$N556*Glycol,0)</f>
        <v>3032</v>
      </c>
      <c r="I556" s="83">
        <f>ROUND(H556/(MID($C556,9,3)/Basis!$E$3/Basis!$E$9)*Basis!$E$11,0)</f>
        <v>770</v>
      </c>
      <c r="J556" s="123">
        <f>IF(Basis!$E$1=1,ROUND(H556/((TaH-TrH)*1.163)/3600,3),ROUND(H556/(500*(TaH-TrH)),2))</f>
        <v>0.3</v>
      </c>
      <c r="K556" s="84"/>
      <c r="L556" s="177">
        <f>CHOOSE(Basis!$E$1,((AJ556*(J556*3600/Basis!$E$5)^AK556*(((MID(C556,9,3)*10)-144)/1000)*AL556+AM556*(J556*3600/Basis!$E$5)^2)*0.0098)/Basis!$E$10,((AJ556*(J556/Basis!$E$5)^AK556*(((MID(C556,9,3)*10)-144)/1000)*AL556+AM556*(J556/Basis!$E$5)^2)*0.0098)/Basis!$E$10)</f>
        <v>0</v>
      </c>
      <c r="M556" s="85"/>
      <c r="N556" s="109">
        <v>1.2490000000000001</v>
      </c>
      <c r="O556" s="68"/>
      <c r="P556" s="67">
        <v>1342</v>
      </c>
      <c r="Q556" s="68"/>
      <c r="R556" s="69"/>
      <c r="S556" s="69"/>
      <c r="T556" s="69"/>
      <c r="U556" s="69"/>
      <c r="V556" s="69"/>
      <c r="W556" s="68"/>
      <c r="X556" s="70"/>
      <c r="Y556" s="70"/>
      <c r="Z556" s="70"/>
      <c r="AA556" s="70"/>
      <c r="AB556" s="70"/>
      <c r="AC556" s="68"/>
      <c r="AD556" s="71"/>
      <c r="AE556" s="71"/>
      <c r="AF556" s="71"/>
      <c r="AG556" s="71"/>
      <c r="AH556" s="71"/>
      <c r="AI556" s="68"/>
      <c r="AJ556" s="214"/>
      <c r="AK556" s="214"/>
      <c r="AL556" s="214"/>
      <c r="AM556" s="214"/>
      <c r="AN556" s="68"/>
      <c r="AO556" s="67"/>
      <c r="AP556" s="67"/>
      <c r="AQ556" s="67"/>
      <c r="AR556" s="67"/>
      <c r="AS556" s="67"/>
      <c r="AT556" s="68"/>
      <c r="AU556" s="49"/>
      <c r="AV556" s="50"/>
    </row>
    <row r="557" spans="1:48" ht="12.75" customHeight="1" x14ac:dyDescent="0.25">
      <c r="A557" s="72" t="s">
        <v>20</v>
      </c>
      <c r="B557" s="43" t="s">
        <v>4043</v>
      </c>
      <c r="C557" s="44" t="s">
        <v>3885</v>
      </c>
      <c r="D557" s="45">
        <f>MROUND(MID($C557,6,3)/Basis!$E$3,0.5)</f>
        <v>32</v>
      </c>
      <c r="E557" s="45">
        <f>MROUND(MID($C557,9,3)/Basis!$E$3,0.5)</f>
        <v>47</v>
      </c>
      <c r="F557" s="229" t="str">
        <f t="shared" si="8"/>
        <v>22</v>
      </c>
      <c r="G557" s="45">
        <f>ROUND(9/Basis!$E$3,1)</f>
        <v>3.5</v>
      </c>
      <c r="H557" s="120">
        <f>ROUND($P557*Basis!$E$2*((TaH-TrH)/LN(1/µ)/Basis!$E$7)^$N557*Glycol,0)</f>
        <v>4999</v>
      </c>
      <c r="I557" s="83">
        <f>ROUND(H557/(MID($C557,9,3)/Basis!$E$3/Basis!$E$9)*Basis!$E$11,0)</f>
        <v>1270</v>
      </c>
      <c r="J557" s="123">
        <f>IF(Basis!$E$1=1,ROUND(H557/((TaH-TrH)*1.163)/3600,3),ROUND(H557/(500*(TaH-TrH)),2))</f>
        <v>0.5</v>
      </c>
      <c r="K557" s="84"/>
      <c r="L557" s="177">
        <f>CHOOSE(Basis!$E$1,((AJ557*(J557*3600/Basis!$E$5)^AK557*(((MID(C557,9,3)*10)-144)/1000)*AL557+AM557*(J557*3600/Basis!$E$5)^2)*0.0098)/Basis!$E$10,((AJ557*(J557/Basis!$E$5)^AK557*(((MID(C557,9,3)*10)-144)/1000)*AL557+AM557*(J557/Basis!$E$5)^2)*0.0098)/Basis!$E$10)</f>
        <v>0</v>
      </c>
      <c r="M557" s="85"/>
      <c r="N557" s="109">
        <v>1.3480000000000001</v>
      </c>
      <c r="O557" s="68"/>
      <c r="P557" s="67">
        <v>2286</v>
      </c>
      <c r="Q557" s="68"/>
      <c r="R557" s="69"/>
      <c r="S557" s="69"/>
      <c r="T557" s="69"/>
      <c r="U557" s="69"/>
      <c r="V557" s="69"/>
      <c r="W557" s="68"/>
      <c r="X557" s="70"/>
      <c r="Y557" s="70"/>
      <c r="Z557" s="70"/>
      <c r="AA557" s="70"/>
      <c r="AB557" s="70"/>
      <c r="AC557" s="68"/>
      <c r="AD557" s="71"/>
      <c r="AE557" s="71"/>
      <c r="AF557" s="71"/>
      <c r="AG557" s="71"/>
      <c r="AH557" s="71"/>
      <c r="AI557" s="68"/>
      <c r="AJ557" s="214"/>
      <c r="AK557" s="214"/>
      <c r="AL557" s="214"/>
      <c r="AM557" s="214"/>
      <c r="AN557" s="68"/>
      <c r="AO557" s="67"/>
      <c r="AP557" s="67"/>
      <c r="AQ557" s="67"/>
      <c r="AR557" s="67"/>
      <c r="AS557" s="67"/>
      <c r="AT557" s="68"/>
      <c r="AU557" s="49"/>
      <c r="AV557" s="50"/>
    </row>
    <row r="558" spans="1:48" ht="12.75" customHeight="1" x14ac:dyDescent="0.25">
      <c r="A558" s="72" t="s">
        <v>20</v>
      </c>
      <c r="B558" s="43" t="s">
        <v>4043</v>
      </c>
      <c r="C558" s="44" t="s">
        <v>3886</v>
      </c>
      <c r="D558" s="45">
        <f>MROUND(MID($C558,6,3)/Basis!$E$3,0.5)</f>
        <v>32</v>
      </c>
      <c r="E558" s="45">
        <f>MROUND(MID($C558,9,3)/Basis!$E$3,0.5)</f>
        <v>55</v>
      </c>
      <c r="F558" s="229" t="str">
        <f t="shared" si="8"/>
        <v>11</v>
      </c>
      <c r="G558" s="45">
        <f>ROUND(5/Basis!$E$3,1)</f>
        <v>2</v>
      </c>
      <c r="H558" s="120">
        <f>ROUND($P558*Basis!$E$2*((TaH-TrH)/LN(1/µ)/Basis!$E$7)^$N558*Glycol,0)</f>
        <v>3538</v>
      </c>
      <c r="I558" s="83">
        <f>ROUND(H558/(MID($C558,9,3)/Basis!$E$3/Basis!$E$9)*Basis!$E$11,0)</f>
        <v>770</v>
      </c>
      <c r="J558" s="123">
        <f>IF(Basis!$E$1=1,ROUND(H558/((TaH-TrH)*1.163)/3600,3),ROUND(H558/(500*(TaH-TrH)),2))</f>
        <v>0.35</v>
      </c>
      <c r="K558" s="84"/>
      <c r="L558" s="177">
        <f>CHOOSE(Basis!$E$1,((AJ558*(J558*3600/Basis!$E$5)^AK558*(((MID(C558,9,3)*10)-144)/1000)*AL558+AM558*(J558*3600/Basis!$E$5)^2)*0.0098)/Basis!$E$10,((AJ558*(J558/Basis!$E$5)^AK558*(((MID(C558,9,3)*10)-144)/1000)*AL558+AM558*(J558/Basis!$E$5)^2)*0.0098)/Basis!$E$10)</f>
        <v>0</v>
      </c>
      <c r="M558" s="85"/>
      <c r="N558" s="110">
        <v>1.2490000000000001</v>
      </c>
      <c r="O558" s="74"/>
      <c r="P558" s="73">
        <v>1566</v>
      </c>
      <c r="Q558" s="74"/>
      <c r="R558" s="75"/>
      <c r="S558" s="75"/>
      <c r="T558" s="75"/>
      <c r="U558" s="75"/>
      <c r="V558" s="75"/>
      <c r="W558" s="74"/>
      <c r="X558" s="76"/>
      <c r="Y558" s="76"/>
      <c r="Z558" s="76"/>
      <c r="AA558" s="76"/>
      <c r="AB558" s="76"/>
      <c r="AC558" s="74"/>
      <c r="AD558" s="77"/>
      <c r="AE558" s="77"/>
      <c r="AF558" s="77"/>
      <c r="AG558" s="77"/>
      <c r="AH558" s="77"/>
      <c r="AI558" s="68"/>
      <c r="AJ558" s="213"/>
      <c r="AK558" s="213"/>
      <c r="AL558" s="213"/>
      <c r="AM558" s="213"/>
      <c r="AN558" s="74"/>
      <c r="AO558" s="73"/>
      <c r="AP558" s="73"/>
      <c r="AQ558" s="73"/>
      <c r="AR558" s="73"/>
      <c r="AS558" s="73"/>
      <c r="AT558" s="74"/>
      <c r="AU558" s="47"/>
      <c r="AV558" s="48"/>
    </row>
    <row r="559" spans="1:48" ht="12.75" customHeight="1" x14ac:dyDescent="0.25">
      <c r="A559" s="72" t="s">
        <v>20</v>
      </c>
      <c r="B559" s="43" t="s">
        <v>4043</v>
      </c>
      <c r="C559" s="44" t="s">
        <v>3887</v>
      </c>
      <c r="D559" s="45">
        <f>MROUND(MID($C559,6,3)/Basis!$E$3,0.5)</f>
        <v>32</v>
      </c>
      <c r="E559" s="45">
        <f>MROUND(MID($C559,9,3)/Basis!$E$3,0.5)</f>
        <v>55</v>
      </c>
      <c r="F559" s="229" t="str">
        <f t="shared" si="8"/>
        <v>22</v>
      </c>
      <c r="G559" s="45">
        <f>ROUND(9/Basis!$E$3,1)</f>
        <v>3.5</v>
      </c>
      <c r="H559" s="120">
        <f>ROUND($P559*Basis!$E$2*((TaH-TrH)/LN(1/µ)/Basis!$E$7)^$N559*Glycol,0)</f>
        <v>5832</v>
      </c>
      <c r="I559" s="83">
        <f>ROUND(H559/(MID($C559,9,3)/Basis!$E$3/Basis!$E$9)*Basis!$E$11,0)</f>
        <v>1270</v>
      </c>
      <c r="J559" s="123">
        <f>IF(Basis!$E$1=1,ROUND(H559/((TaH-TrH)*1.163)/3600,3),ROUND(H559/(500*(TaH-TrH)),2))</f>
        <v>0.57999999999999996</v>
      </c>
      <c r="K559" s="84"/>
      <c r="L559" s="177">
        <f>CHOOSE(Basis!$E$1,((AJ559*(J559*3600/Basis!$E$5)^AK559*(((MID(C559,9,3)*10)-144)/1000)*AL559+AM559*(J559*3600/Basis!$E$5)^2)*0.0098)/Basis!$E$10,((AJ559*(J559/Basis!$E$5)^AK559*(((MID(C559,9,3)*10)-144)/1000)*AL559+AM559*(J559/Basis!$E$5)^2)*0.0098)/Basis!$E$10)</f>
        <v>0</v>
      </c>
      <c r="M559" s="85"/>
      <c r="N559" s="110">
        <v>1.3480000000000001</v>
      </c>
      <c r="O559" s="74"/>
      <c r="P559" s="73">
        <v>2667</v>
      </c>
      <c r="Q559" s="74"/>
      <c r="R559" s="75"/>
      <c r="S559" s="75"/>
      <c r="T559" s="75"/>
      <c r="U559" s="75"/>
      <c r="V559" s="75"/>
      <c r="W559" s="74"/>
      <c r="X559" s="76"/>
      <c r="Y559" s="76"/>
      <c r="Z559" s="76"/>
      <c r="AA559" s="76"/>
      <c r="AB559" s="76"/>
      <c r="AC559" s="74"/>
      <c r="AD559" s="77"/>
      <c r="AE559" s="77"/>
      <c r="AF559" s="77"/>
      <c r="AG559" s="77"/>
      <c r="AH559" s="77"/>
      <c r="AI559" s="68"/>
      <c r="AJ559" s="213"/>
      <c r="AK559" s="213"/>
      <c r="AL559" s="213"/>
      <c r="AM559" s="213"/>
      <c r="AN559" s="74"/>
      <c r="AO559" s="73"/>
      <c r="AP559" s="73"/>
      <c r="AQ559" s="73"/>
      <c r="AR559" s="73"/>
      <c r="AS559" s="73"/>
      <c r="AT559" s="74"/>
      <c r="AU559" s="47"/>
      <c r="AV559" s="48"/>
    </row>
    <row r="560" spans="1:48" ht="12.75" customHeight="1" x14ac:dyDescent="0.25">
      <c r="A560" s="72" t="s">
        <v>20</v>
      </c>
      <c r="B560" s="43" t="s">
        <v>4043</v>
      </c>
      <c r="C560" s="44" t="s">
        <v>3888</v>
      </c>
      <c r="D560" s="45">
        <f>MROUND(MID($C560,6,3)/Basis!$E$3,0.5)</f>
        <v>32</v>
      </c>
      <c r="E560" s="45">
        <f>MROUND(MID($C560,9,3)/Basis!$E$3,0.5)</f>
        <v>63</v>
      </c>
      <c r="F560" s="229" t="str">
        <f t="shared" si="8"/>
        <v>11</v>
      </c>
      <c r="G560" s="45">
        <f>ROUND(5/Basis!$E$3,1)</f>
        <v>2</v>
      </c>
      <c r="H560" s="120">
        <f>ROUND($P560*Basis!$E$2*((TaH-TrH)/LN(1/µ)/Basis!$E$7)^$N560*Glycol,0)</f>
        <v>4044</v>
      </c>
      <c r="I560" s="83">
        <f>ROUND(H560/(MID($C560,9,3)/Basis!$E$3/Basis!$E$9)*Basis!$E$11,0)</f>
        <v>770</v>
      </c>
      <c r="J560" s="123">
        <f>IF(Basis!$E$1=1,ROUND(H560/((TaH-TrH)*1.163)/3600,3),ROUND(H560/(500*(TaH-TrH)),2))</f>
        <v>0.4</v>
      </c>
      <c r="K560" s="84"/>
      <c r="L560" s="177">
        <f>CHOOSE(Basis!$E$1,((AJ560*(J560*3600/Basis!$E$5)^AK560*(((MID(C560,9,3)*10)-144)/1000)*AL560+AM560*(J560*3600/Basis!$E$5)^2)*0.0098)/Basis!$E$10,((AJ560*(J560/Basis!$E$5)^AK560*(((MID(C560,9,3)*10)-144)/1000)*AL560+AM560*(J560/Basis!$E$5)^2)*0.0098)/Basis!$E$10)</f>
        <v>0</v>
      </c>
      <c r="M560" s="85"/>
      <c r="N560" s="109">
        <v>1.2490000000000001</v>
      </c>
      <c r="O560" s="68"/>
      <c r="P560" s="67">
        <v>1790</v>
      </c>
      <c r="Q560" s="68"/>
      <c r="R560" s="69"/>
      <c r="S560" s="69"/>
      <c r="T560" s="69"/>
      <c r="U560" s="69"/>
      <c r="V560" s="69"/>
      <c r="W560" s="68"/>
      <c r="X560" s="70"/>
      <c r="Y560" s="70"/>
      <c r="Z560" s="70"/>
      <c r="AA560" s="70"/>
      <c r="AB560" s="70"/>
      <c r="AC560" s="68"/>
      <c r="AD560" s="71"/>
      <c r="AE560" s="71"/>
      <c r="AF560" s="71"/>
      <c r="AG560" s="71"/>
      <c r="AH560" s="71"/>
      <c r="AI560" s="68"/>
      <c r="AJ560" s="214"/>
      <c r="AK560" s="214"/>
      <c r="AL560" s="214"/>
      <c r="AM560" s="214"/>
      <c r="AN560" s="68"/>
      <c r="AO560" s="67"/>
      <c r="AP560" s="67"/>
      <c r="AQ560" s="67"/>
      <c r="AR560" s="67"/>
      <c r="AS560" s="67"/>
      <c r="AT560" s="68"/>
      <c r="AU560" s="49"/>
      <c r="AV560" s="50"/>
    </row>
    <row r="561" spans="1:48" ht="12.75" customHeight="1" x14ac:dyDescent="0.25">
      <c r="A561" s="72" t="s">
        <v>20</v>
      </c>
      <c r="B561" s="43" t="s">
        <v>4043</v>
      </c>
      <c r="C561" s="44" t="s">
        <v>3889</v>
      </c>
      <c r="D561" s="45">
        <f>MROUND(MID($C561,6,3)/Basis!$E$3,0.5)</f>
        <v>32</v>
      </c>
      <c r="E561" s="45">
        <f>MROUND(MID($C561,9,3)/Basis!$E$3,0.5)</f>
        <v>63</v>
      </c>
      <c r="F561" s="229" t="str">
        <f t="shared" si="8"/>
        <v>22</v>
      </c>
      <c r="G561" s="45">
        <f>ROUND(9/Basis!$E$3,1)</f>
        <v>3.5</v>
      </c>
      <c r="H561" s="120">
        <f>ROUND($P561*Basis!$E$2*((TaH-TrH)/LN(1/µ)/Basis!$E$7)^$N561*Glycol,0)</f>
        <v>6665</v>
      </c>
      <c r="I561" s="83">
        <f>ROUND(H561/(MID($C561,9,3)/Basis!$E$3/Basis!$E$9)*Basis!$E$11,0)</f>
        <v>1270</v>
      </c>
      <c r="J561" s="123">
        <f>IF(Basis!$E$1=1,ROUND(H561/((TaH-TrH)*1.163)/3600,3),ROUND(H561/(500*(TaH-TrH)),2))</f>
        <v>0.67</v>
      </c>
      <c r="K561" s="84"/>
      <c r="L561" s="177">
        <f>CHOOSE(Basis!$E$1,((AJ561*(J561*3600/Basis!$E$5)^AK561*(((MID(C561,9,3)*10)-144)/1000)*AL561+AM561*(J561*3600/Basis!$E$5)^2)*0.0098)/Basis!$E$10,((AJ561*(J561/Basis!$E$5)^AK561*(((MID(C561,9,3)*10)-144)/1000)*AL561+AM561*(J561/Basis!$E$5)^2)*0.0098)/Basis!$E$10)</f>
        <v>0</v>
      </c>
      <c r="M561" s="85"/>
      <c r="N561" s="109">
        <v>1.3480000000000001</v>
      </c>
      <c r="O561" s="68"/>
      <c r="P561" s="67">
        <v>3048</v>
      </c>
      <c r="Q561" s="68"/>
      <c r="R561" s="69"/>
      <c r="S561" s="69"/>
      <c r="T561" s="69"/>
      <c r="U561" s="69"/>
      <c r="V561" s="69"/>
      <c r="W561" s="68"/>
      <c r="X561" s="70"/>
      <c r="Y561" s="70"/>
      <c r="Z561" s="70"/>
      <c r="AA561" s="70"/>
      <c r="AB561" s="70"/>
      <c r="AC561" s="68"/>
      <c r="AD561" s="71"/>
      <c r="AE561" s="71"/>
      <c r="AF561" s="71"/>
      <c r="AG561" s="71"/>
      <c r="AH561" s="71"/>
      <c r="AI561" s="68"/>
      <c r="AJ561" s="214"/>
      <c r="AK561" s="214"/>
      <c r="AL561" s="214"/>
      <c r="AM561" s="214"/>
      <c r="AN561" s="68"/>
      <c r="AO561" s="67"/>
      <c r="AP561" s="67"/>
      <c r="AQ561" s="67"/>
      <c r="AR561" s="67"/>
      <c r="AS561" s="67"/>
      <c r="AT561" s="68"/>
      <c r="AU561" s="49"/>
      <c r="AV561" s="50"/>
    </row>
    <row r="562" spans="1:48" ht="12.75" customHeight="1" x14ac:dyDescent="0.25">
      <c r="A562" s="72" t="s">
        <v>20</v>
      </c>
      <c r="B562" s="43" t="s">
        <v>4043</v>
      </c>
      <c r="C562" s="44" t="s">
        <v>3890</v>
      </c>
      <c r="D562" s="45">
        <f>MROUND(MID($C562,6,3)/Basis!$E$3,0.5)</f>
        <v>32</v>
      </c>
      <c r="E562" s="45">
        <f>MROUND(MID($C562,9,3)/Basis!$E$3,0.5)</f>
        <v>71</v>
      </c>
      <c r="F562" s="229" t="str">
        <f t="shared" si="8"/>
        <v>11</v>
      </c>
      <c r="G562" s="45">
        <f>ROUND(5/Basis!$E$3,1)</f>
        <v>2</v>
      </c>
      <c r="H562" s="120">
        <f>ROUND($P562*Basis!$E$2*((TaH-TrH)/LN(1/µ)/Basis!$E$7)^$N562*Glycol,0)</f>
        <v>4548</v>
      </c>
      <c r="I562" s="83">
        <f>ROUND(H562/(MID($C562,9,3)/Basis!$E$3/Basis!$E$9)*Basis!$E$11,0)</f>
        <v>770</v>
      </c>
      <c r="J562" s="123">
        <f>IF(Basis!$E$1=1,ROUND(H562/((TaH-TrH)*1.163)/3600,3),ROUND(H562/(500*(TaH-TrH)),2))</f>
        <v>0.45</v>
      </c>
      <c r="K562" s="84"/>
      <c r="L562" s="177">
        <f>CHOOSE(Basis!$E$1,((AJ562*(J562*3600/Basis!$E$5)^AK562*(((MID(C562,9,3)*10)-144)/1000)*AL562+AM562*(J562*3600/Basis!$E$5)^2)*0.0098)/Basis!$E$10,((AJ562*(J562/Basis!$E$5)^AK562*(((MID(C562,9,3)*10)-144)/1000)*AL562+AM562*(J562/Basis!$E$5)^2)*0.0098)/Basis!$E$10)</f>
        <v>0</v>
      </c>
      <c r="M562" s="85"/>
      <c r="N562" s="110">
        <v>1.2490000000000001</v>
      </c>
      <c r="O562" s="74"/>
      <c r="P562" s="73">
        <v>2013</v>
      </c>
      <c r="Q562" s="74"/>
      <c r="R562" s="75"/>
      <c r="S562" s="75"/>
      <c r="T562" s="75"/>
      <c r="U562" s="75"/>
      <c r="V562" s="75"/>
      <c r="W562" s="74"/>
      <c r="X562" s="76"/>
      <c r="Y562" s="76"/>
      <c r="Z562" s="76"/>
      <c r="AA562" s="76"/>
      <c r="AB562" s="76"/>
      <c r="AC562" s="74"/>
      <c r="AD562" s="77"/>
      <c r="AE562" s="77"/>
      <c r="AF562" s="77"/>
      <c r="AG562" s="77"/>
      <c r="AH562" s="77"/>
      <c r="AI562" s="68"/>
      <c r="AJ562" s="213"/>
      <c r="AK562" s="213"/>
      <c r="AL562" s="213"/>
      <c r="AM562" s="213"/>
      <c r="AN562" s="74"/>
      <c r="AO562" s="73"/>
      <c r="AP562" s="73"/>
      <c r="AQ562" s="73"/>
      <c r="AR562" s="73"/>
      <c r="AS562" s="73"/>
      <c r="AT562" s="74"/>
      <c r="AU562" s="47"/>
      <c r="AV562" s="48"/>
    </row>
    <row r="563" spans="1:48" ht="12.75" customHeight="1" x14ac:dyDescent="0.25">
      <c r="A563" s="72" t="s">
        <v>20</v>
      </c>
      <c r="B563" s="43" t="s">
        <v>4043</v>
      </c>
      <c r="C563" s="44" t="s">
        <v>3891</v>
      </c>
      <c r="D563" s="45">
        <f>MROUND(MID($C563,6,3)/Basis!$E$3,0.5)</f>
        <v>32</v>
      </c>
      <c r="E563" s="45">
        <f>MROUND(MID($C563,9,3)/Basis!$E$3,0.5)</f>
        <v>71</v>
      </c>
      <c r="F563" s="229" t="str">
        <f t="shared" si="8"/>
        <v>22</v>
      </c>
      <c r="G563" s="45">
        <f>ROUND(9/Basis!$E$3,1)</f>
        <v>3.5</v>
      </c>
      <c r="H563" s="120">
        <f>ROUND($P563*Basis!$E$2*((TaH-TrH)/LN(1/µ)/Basis!$E$7)^$N563*Glycol,0)</f>
        <v>7501</v>
      </c>
      <c r="I563" s="83">
        <f>ROUND(H563/(MID($C563,9,3)/Basis!$E$3/Basis!$E$9)*Basis!$E$11,0)</f>
        <v>1270</v>
      </c>
      <c r="J563" s="123">
        <f>IF(Basis!$E$1=1,ROUND(H563/((TaH-TrH)*1.163)/3600,3),ROUND(H563/(500*(TaH-TrH)),2))</f>
        <v>0.75</v>
      </c>
      <c r="K563" s="84"/>
      <c r="L563" s="177">
        <f>CHOOSE(Basis!$E$1,((AJ563*(J563*3600/Basis!$E$5)^AK563*(((MID(C563,9,3)*10)-144)/1000)*AL563+AM563*(J563*3600/Basis!$E$5)^2)*0.0098)/Basis!$E$10,((AJ563*(J563/Basis!$E$5)^AK563*(((MID(C563,9,3)*10)-144)/1000)*AL563+AM563*(J563/Basis!$E$5)^2)*0.0098)/Basis!$E$10)</f>
        <v>0</v>
      </c>
      <c r="M563" s="85"/>
      <c r="N563" s="110">
        <v>1.3480000000000001</v>
      </c>
      <c r="O563" s="74"/>
      <c r="P563" s="73">
        <v>3430</v>
      </c>
      <c r="Q563" s="74"/>
      <c r="R563" s="75"/>
      <c r="S563" s="75"/>
      <c r="T563" s="75"/>
      <c r="U563" s="75"/>
      <c r="V563" s="75"/>
      <c r="W563" s="74"/>
      <c r="X563" s="76"/>
      <c r="Y563" s="76"/>
      <c r="Z563" s="76"/>
      <c r="AA563" s="76"/>
      <c r="AB563" s="76"/>
      <c r="AC563" s="74"/>
      <c r="AD563" s="77"/>
      <c r="AE563" s="77"/>
      <c r="AF563" s="77"/>
      <c r="AG563" s="77"/>
      <c r="AH563" s="77"/>
      <c r="AI563" s="68"/>
      <c r="AJ563" s="213"/>
      <c r="AK563" s="213"/>
      <c r="AL563" s="213"/>
      <c r="AM563" s="213"/>
      <c r="AN563" s="74"/>
      <c r="AO563" s="73"/>
      <c r="AP563" s="73"/>
      <c r="AQ563" s="73"/>
      <c r="AR563" s="73"/>
      <c r="AS563" s="73"/>
      <c r="AT563" s="74"/>
      <c r="AU563" s="47"/>
      <c r="AV563" s="48"/>
    </row>
    <row r="564" spans="1:48" ht="12.75" customHeight="1" x14ac:dyDescent="0.25">
      <c r="A564" s="72" t="s">
        <v>20</v>
      </c>
      <c r="B564" s="43" t="s">
        <v>4043</v>
      </c>
      <c r="C564" s="44" t="s">
        <v>3892</v>
      </c>
      <c r="D564" s="45">
        <f>MROUND(MID($C564,6,3)/Basis!$E$3,0.5)</f>
        <v>32</v>
      </c>
      <c r="E564" s="45">
        <f>MROUND(MID($C564,9,3)/Basis!$E$3,0.5)</f>
        <v>78.5</v>
      </c>
      <c r="F564" s="229" t="str">
        <f t="shared" si="8"/>
        <v>11</v>
      </c>
      <c r="G564" s="45">
        <f>ROUND(5/Basis!$E$3,1)</f>
        <v>2</v>
      </c>
      <c r="H564" s="120">
        <f>ROUND($P564*Basis!$E$2*((TaH-TrH)/LN(1/µ)/Basis!$E$7)^$N564*Glycol,0)</f>
        <v>5054</v>
      </c>
      <c r="I564" s="83">
        <f>ROUND(H564/(MID($C564,9,3)/Basis!$E$3/Basis!$E$9)*Basis!$E$11,0)</f>
        <v>770</v>
      </c>
      <c r="J564" s="123">
        <f>IF(Basis!$E$1=1,ROUND(H564/((TaH-TrH)*1.163)/3600,3),ROUND(H564/(500*(TaH-TrH)),2))</f>
        <v>0.51</v>
      </c>
      <c r="K564" s="84"/>
      <c r="L564" s="177">
        <f>CHOOSE(Basis!$E$1,((AJ564*(J564*3600/Basis!$E$5)^AK564*(((MID(C564,9,3)*10)-144)/1000)*AL564+AM564*(J564*3600/Basis!$E$5)^2)*0.0098)/Basis!$E$10,((AJ564*(J564/Basis!$E$5)^AK564*(((MID(C564,9,3)*10)-144)/1000)*AL564+AM564*(J564/Basis!$E$5)^2)*0.0098)/Basis!$E$10)</f>
        <v>0</v>
      </c>
      <c r="M564" s="85"/>
      <c r="N564" s="109">
        <v>1.2490000000000001</v>
      </c>
      <c r="O564" s="68"/>
      <c r="P564" s="67">
        <v>2237</v>
      </c>
      <c r="Q564" s="68"/>
      <c r="R564" s="69"/>
      <c r="S564" s="69"/>
      <c r="T564" s="69"/>
      <c r="U564" s="69"/>
      <c r="V564" s="69"/>
      <c r="W564" s="68"/>
      <c r="X564" s="70"/>
      <c r="Y564" s="70"/>
      <c r="Z564" s="70"/>
      <c r="AA564" s="70"/>
      <c r="AB564" s="70"/>
      <c r="AC564" s="68"/>
      <c r="AD564" s="71"/>
      <c r="AE564" s="71"/>
      <c r="AF564" s="71"/>
      <c r="AG564" s="71"/>
      <c r="AH564" s="71"/>
      <c r="AI564" s="68"/>
      <c r="AJ564" s="214"/>
      <c r="AK564" s="214"/>
      <c r="AL564" s="214"/>
      <c r="AM564" s="214"/>
      <c r="AN564" s="68"/>
      <c r="AO564" s="67"/>
      <c r="AP564" s="67"/>
      <c r="AQ564" s="67"/>
      <c r="AR564" s="67"/>
      <c r="AS564" s="67"/>
      <c r="AT564" s="68"/>
      <c r="AU564" s="49"/>
      <c r="AV564" s="50"/>
    </row>
    <row r="565" spans="1:48" ht="12.75" customHeight="1" x14ac:dyDescent="0.25">
      <c r="A565" s="72" t="s">
        <v>20</v>
      </c>
      <c r="B565" s="43" t="s">
        <v>4043</v>
      </c>
      <c r="C565" s="44" t="s">
        <v>3893</v>
      </c>
      <c r="D565" s="45">
        <f>MROUND(MID($C565,6,3)/Basis!$E$3,0.5)</f>
        <v>32</v>
      </c>
      <c r="E565" s="45">
        <f>MROUND(MID($C565,9,3)/Basis!$E$3,0.5)</f>
        <v>78.5</v>
      </c>
      <c r="F565" s="229" t="str">
        <f t="shared" si="8"/>
        <v>22</v>
      </c>
      <c r="G565" s="45">
        <f>ROUND(9/Basis!$E$3,1)</f>
        <v>3.5</v>
      </c>
      <c r="H565" s="120">
        <f>ROUND($P565*Basis!$E$2*((TaH-TrH)/LN(1/µ)/Basis!$E$7)^$N565*Glycol,0)</f>
        <v>8334</v>
      </c>
      <c r="I565" s="83">
        <f>ROUND(H565/(MID($C565,9,3)/Basis!$E$3/Basis!$E$9)*Basis!$E$11,0)</f>
        <v>1270</v>
      </c>
      <c r="J565" s="123">
        <f>IF(Basis!$E$1=1,ROUND(H565/((TaH-TrH)*1.163)/3600,3),ROUND(H565/(500*(TaH-TrH)),2))</f>
        <v>0.83</v>
      </c>
      <c r="K565" s="84"/>
      <c r="L565" s="177">
        <f>CHOOSE(Basis!$E$1,((AJ565*(J565*3600/Basis!$E$5)^AK565*(((MID(C565,9,3)*10)-144)/1000)*AL565+AM565*(J565*3600/Basis!$E$5)^2)*0.0098)/Basis!$E$10,((AJ565*(J565/Basis!$E$5)^AK565*(((MID(C565,9,3)*10)-144)/1000)*AL565+AM565*(J565/Basis!$E$5)^2)*0.0098)/Basis!$E$10)</f>
        <v>0</v>
      </c>
      <c r="M565" s="85"/>
      <c r="N565" s="109">
        <v>1.3480000000000001</v>
      </c>
      <c r="O565" s="68"/>
      <c r="P565" s="67">
        <v>3811</v>
      </c>
      <c r="Q565" s="68"/>
      <c r="R565" s="69"/>
      <c r="S565" s="69"/>
      <c r="T565" s="69"/>
      <c r="U565" s="69"/>
      <c r="V565" s="69"/>
      <c r="W565" s="68"/>
      <c r="X565" s="70"/>
      <c r="Y565" s="70"/>
      <c r="Z565" s="70"/>
      <c r="AA565" s="70"/>
      <c r="AB565" s="70"/>
      <c r="AC565" s="68"/>
      <c r="AD565" s="71"/>
      <c r="AE565" s="71"/>
      <c r="AF565" s="71"/>
      <c r="AG565" s="71"/>
      <c r="AH565" s="71"/>
      <c r="AI565" s="68"/>
      <c r="AJ565" s="214"/>
      <c r="AK565" s="214"/>
      <c r="AL565" s="214"/>
      <c r="AM565" s="214"/>
      <c r="AN565" s="68"/>
      <c r="AO565" s="67"/>
      <c r="AP565" s="67"/>
      <c r="AQ565" s="67"/>
      <c r="AR565" s="67"/>
      <c r="AS565" s="67"/>
      <c r="AT565" s="68"/>
      <c r="AU565" s="49"/>
      <c r="AV565" s="50"/>
    </row>
    <row r="566" spans="1:48" ht="12.75" customHeight="1" x14ac:dyDescent="0.25">
      <c r="A566" s="72" t="s">
        <v>20</v>
      </c>
      <c r="B566" s="43" t="s">
        <v>4043</v>
      </c>
      <c r="C566" s="44" t="s">
        <v>3894</v>
      </c>
      <c r="D566" s="45">
        <f>MROUND(MID($C566,6,3)/Basis!$E$3,0.5)</f>
        <v>32</v>
      </c>
      <c r="E566" s="45">
        <f>MROUND(MID($C566,9,3)/Basis!$E$3,0.5)</f>
        <v>86.5</v>
      </c>
      <c r="F566" s="229" t="str">
        <f t="shared" si="8"/>
        <v>11</v>
      </c>
      <c r="G566" s="45">
        <f>ROUND(5/Basis!$E$3,1)</f>
        <v>2</v>
      </c>
      <c r="H566" s="120">
        <f>ROUND($P566*Basis!$E$2*((TaH-TrH)/LN(1/µ)/Basis!$E$7)^$N566*Glycol,0)</f>
        <v>5560</v>
      </c>
      <c r="I566" s="83">
        <f>ROUND(H566/(MID($C566,9,3)/Basis!$E$3/Basis!$E$9)*Basis!$E$11,0)</f>
        <v>770</v>
      </c>
      <c r="J566" s="123">
        <f>IF(Basis!$E$1=1,ROUND(H566/((TaH-TrH)*1.163)/3600,3),ROUND(H566/(500*(TaH-TrH)),2))</f>
        <v>0.56000000000000005</v>
      </c>
      <c r="K566" s="84"/>
      <c r="L566" s="177">
        <f>CHOOSE(Basis!$E$1,((AJ566*(J566*3600/Basis!$E$5)^AK566*(((MID(C566,9,3)*10)-144)/1000)*AL566+AM566*(J566*3600/Basis!$E$5)^2)*0.0098)/Basis!$E$10,((AJ566*(J566/Basis!$E$5)^AK566*(((MID(C566,9,3)*10)-144)/1000)*AL566+AM566*(J566/Basis!$E$5)^2)*0.0098)/Basis!$E$10)</f>
        <v>0</v>
      </c>
      <c r="M566" s="85"/>
      <c r="N566" s="110">
        <v>1.2490000000000001</v>
      </c>
      <c r="O566" s="74"/>
      <c r="P566" s="73">
        <v>2461</v>
      </c>
      <c r="Q566" s="74"/>
      <c r="R566" s="75"/>
      <c r="S566" s="75"/>
      <c r="T566" s="75"/>
      <c r="U566" s="75"/>
      <c r="V566" s="75"/>
      <c r="W566" s="74"/>
      <c r="X566" s="76"/>
      <c r="Y566" s="76"/>
      <c r="Z566" s="76"/>
      <c r="AA566" s="76"/>
      <c r="AB566" s="76"/>
      <c r="AC566" s="74"/>
      <c r="AD566" s="77"/>
      <c r="AE566" s="77"/>
      <c r="AF566" s="77"/>
      <c r="AG566" s="77"/>
      <c r="AH566" s="77"/>
      <c r="AI566" s="68"/>
      <c r="AJ566" s="213"/>
      <c r="AK566" s="213"/>
      <c r="AL566" s="213"/>
      <c r="AM566" s="213"/>
      <c r="AN566" s="74"/>
      <c r="AO566" s="73"/>
      <c r="AP566" s="73"/>
      <c r="AQ566" s="73"/>
      <c r="AR566" s="73"/>
      <c r="AS566" s="73"/>
      <c r="AT566" s="74"/>
      <c r="AU566" s="47"/>
      <c r="AV566" s="48"/>
    </row>
    <row r="567" spans="1:48" ht="12.75" customHeight="1" x14ac:dyDescent="0.25">
      <c r="A567" s="72" t="s">
        <v>20</v>
      </c>
      <c r="B567" s="43" t="s">
        <v>4043</v>
      </c>
      <c r="C567" s="44" t="s">
        <v>3895</v>
      </c>
      <c r="D567" s="45">
        <f>MROUND(MID($C567,6,3)/Basis!$E$3,0.5)</f>
        <v>32</v>
      </c>
      <c r="E567" s="45">
        <f>MROUND(MID($C567,9,3)/Basis!$E$3,0.5)</f>
        <v>86.5</v>
      </c>
      <c r="F567" s="229" t="str">
        <f t="shared" si="8"/>
        <v>22</v>
      </c>
      <c r="G567" s="45">
        <f>ROUND(9/Basis!$E$3,1)</f>
        <v>3.5</v>
      </c>
      <c r="H567" s="120">
        <f>ROUND($P567*Basis!$E$2*((TaH-TrH)/LN(1/µ)/Basis!$E$7)^$N567*Glycol,0)</f>
        <v>9167</v>
      </c>
      <c r="I567" s="83">
        <f>ROUND(H567/(MID($C567,9,3)/Basis!$E$3/Basis!$E$9)*Basis!$E$11,0)</f>
        <v>1270</v>
      </c>
      <c r="J567" s="123">
        <f>IF(Basis!$E$1=1,ROUND(H567/((TaH-TrH)*1.163)/3600,3),ROUND(H567/(500*(TaH-TrH)),2))</f>
        <v>0.92</v>
      </c>
      <c r="K567" s="84"/>
      <c r="L567" s="177">
        <f>CHOOSE(Basis!$E$1,((AJ567*(J567*3600/Basis!$E$5)^AK567*(((MID(C567,9,3)*10)-144)/1000)*AL567+AM567*(J567*3600/Basis!$E$5)^2)*0.0098)/Basis!$E$10,((AJ567*(J567/Basis!$E$5)^AK567*(((MID(C567,9,3)*10)-144)/1000)*AL567+AM567*(J567/Basis!$E$5)^2)*0.0098)/Basis!$E$10)</f>
        <v>0</v>
      </c>
      <c r="M567" s="85"/>
      <c r="N567" s="110">
        <v>1.3480000000000001</v>
      </c>
      <c r="O567" s="74"/>
      <c r="P567" s="73">
        <v>4192</v>
      </c>
      <c r="Q567" s="74"/>
      <c r="R567" s="75"/>
      <c r="S567" s="75"/>
      <c r="T567" s="75"/>
      <c r="U567" s="75"/>
      <c r="V567" s="75"/>
      <c r="W567" s="74"/>
      <c r="X567" s="76"/>
      <c r="Y567" s="76"/>
      <c r="Z567" s="76"/>
      <c r="AA567" s="76"/>
      <c r="AB567" s="76"/>
      <c r="AC567" s="74"/>
      <c r="AD567" s="77"/>
      <c r="AE567" s="77"/>
      <c r="AF567" s="77"/>
      <c r="AG567" s="77"/>
      <c r="AH567" s="77"/>
      <c r="AI567" s="68"/>
      <c r="AJ567" s="213"/>
      <c r="AK567" s="213"/>
      <c r="AL567" s="213"/>
      <c r="AM567" s="213"/>
      <c r="AN567" s="74"/>
      <c r="AO567" s="73"/>
      <c r="AP567" s="73"/>
      <c r="AQ567" s="73"/>
      <c r="AR567" s="73"/>
      <c r="AS567" s="73"/>
      <c r="AT567" s="74"/>
      <c r="AU567" s="47"/>
      <c r="AV567" s="48"/>
    </row>
    <row r="568" spans="1:48" ht="12.75" customHeight="1" x14ac:dyDescent="0.25">
      <c r="A568" s="72" t="s">
        <v>20</v>
      </c>
      <c r="B568" s="43" t="s">
        <v>4043</v>
      </c>
      <c r="C568" s="44" t="s">
        <v>3896</v>
      </c>
      <c r="D568" s="45">
        <f>MROUND(MID($C568,6,3)/Basis!$E$3,0.5)</f>
        <v>32</v>
      </c>
      <c r="E568" s="45">
        <f>MROUND(MID($C568,9,3)/Basis!$E$3,0.5)</f>
        <v>94.5</v>
      </c>
      <c r="F568" s="229" t="str">
        <f t="shared" si="8"/>
        <v>11</v>
      </c>
      <c r="G568" s="45">
        <f>ROUND(5/Basis!$E$3,1)</f>
        <v>2</v>
      </c>
      <c r="H568" s="120">
        <f>ROUND($P568*Basis!$E$2*((TaH-TrH)/LN(1/µ)/Basis!$E$7)^$N568*Glycol,0)</f>
        <v>6064</v>
      </c>
      <c r="I568" s="83">
        <f>ROUND(H568/(MID($C568,9,3)/Basis!$E$3/Basis!$E$9)*Basis!$E$11,0)</f>
        <v>770</v>
      </c>
      <c r="J568" s="123">
        <f>IF(Basis!$E$1=1,ROUND(H568/((TaH-TrH)*1.163)/3600,3),ROUND(H568/(500*(TaH-TrH)),2))</f>
        <v>0.61</v>
      </c>
      <c r="K568" s="84"/>
      <c r="L568" s="177">
        <f>CHOOSE(Basis!$E$1,((AJ568*(J568*3600/Basis!$E$5)^AK568*(((MID(C568,9,3)*10)-144)/1000)*AL568+AM568*(J568*3600/Basis!$E$5)^2)*0.0098)/Basis!$E$10,((AJ568*(J568/Basis!$E$5)^AK568*(((MID(C568,9,3)*10)-144)/1000)*AL568+AM568*(J568/Basis!$E$5)^2)*0.0098)/Basis!$E$10)</f>
        <v>0</v>
      </c>
      <c r="M568" s="85"/>
      <c r="N568" s="109">
        <v>1.2490000000000001</v>
      </c>
      <c r="O568" s="68"/>
      <c r="P568" s="67">
        <v>2684</v>
      </c>
      <c r="Q568" s="68"/>
      <c r="R568" s="69"/>
      <c r="S568" s="69"/>
      <c r="T568" s="69"/>
      <c r="U568" s="69"/>
      <c r="V568" s="69"/>
      <c r="W568" s="68"/>
      <c r="X568" s="70"/>
      <c r="Y568" s="70"/>
      <c r="Z568" s="70"/>
      <c r="AA568" s="70"/>
      <c r="AB568" s="70"/>
      <c r="AC568" s="68"/>
      <c r="AD568" s="71"/>
      <c r="AE568" s="71"/>
      <c r="AF568" s="71"/>
      <c r="AG568" s="71"/>
      <c r="AH568" s="71"/>
      <c r="AI568" s="68"/>
      <c r="AJ568" s="214"/>
      <c r="AK568" s="214"/>
      <c r="AL568" s="214"/>
      <c r="AM568" s="214"/>
      <c r="AN568" s="68"/>
      <c r="AO568" s="67"/>
      <c r="AP568" s="67"/>
      <c r="AQ568" s="67"/>
      <c r="AR568" s="67"/>
      <c r="AS568" s="67"/>
      <c r="AT568" s="68"/>
      <c r="AU568" s="49"/>
      <c r="AV568" s="50"/>
    </row>
    <row r="569" spans="1:48" ht="12.75" customHeight="1" x14ac:dyDescent="0.25">
      <c r="A569" s="72" t="s">
        <v>20</v>
      </c>
      <c r="B569" s="43" t="s">
        <v>4043</v>
      </c>
      <c r="C569" s="44" t="s">
        <v>3897</v>
      </c>
      <c r="D569" s="45">
        <f>MROUND(MID($C569,6,3)/Basis!$E$3,0.5)</f>
        <v>32</v>
      </c>
      <c r="E569" s="45">
        <f>MROUND(MID($C569,9,3)/Basis!$E$3,0.5)</f>
        <v>94.5</v>
      </c>
      <c r="F569" s="229" t="str">
        <f t="shared" si="8"/>
        <v>22</v>
      </c>
      <c r="G569" s="45">
        <f>ROUND(9/Basis!$E$3,1)</f>
        <v>3.5</v>
      </c>
      <c r="H569" s="120">
        <f>ROUND($P569*Basis!$E$2*((TaH-TrH)/LN(1/µ)/Basis!$E$7)^$N569*Glycol,0)</f>
        <v>10000</v>
      </c>
      <c r="I569" s="83">
        <f>ROUND(H569/(MID($C569,9,3)/Basis!$E$3/Basis!$E$9)*Basis!$E$11,0)</f>
        <v>1270</v>
      </c>
      <c r="J569" s="123">
        <f>IF(Basis!$E$1=1,ROUND(H569/((TaH-TrH)*1.163)/3600,3),ROUND(H569/(500*(TaH-TrH)),2))</f>
        <v>1</v>
      </c>
      <c r="K569" s="84"/>
      <c r="L569" s="177">
        <f>CHOOSE(Basis!$E$1,((AJ569*(J569*3600/Basis!$E$5)^AK569*(((MID(C569,9,3)*10)-144)/1000)*AL569+AM569*(J569*3600/Basis!$E$5)^2)*0.0098)/Basis!$E$10,((AJ569*(J569/Basis!$E$5)^AK569*(((MID(C569,9,3)*10)-144)/1000)*AL569+AM569*(J569/Basis!$E$5)^2)*0.0098)/Basis!$E$10)</f>
        <v>0</v>
      </c>
      <c r="M569" s="85"/>
      <c r="N569" s="109">
        <v>1.3480000000000001</v>
      </c>
      <c r="O569" s="68"/>
      <c r="P569" s="67">
        <v>4573</v>
      </c>
      <c r="Q569" s="68"/>
      <c r="R569" s="69"/>
      <c r="S569" s="69"/>
      <c r="T569" s="69"/>
      <c r="U569" s="69"/>
      <c r="V569" s="69"/>
      <c r="W569" s="68"/>
      <c r="X569" s="70"/>
      <c r="Y569" s="70"/>
      <c r="Z569" s="70"/>
      <c r="AA569" s="70"/>
      <c r="AB569" s="70"/>
      <c r="AC569" s="68"/>
      <c r="AD569" s="71"/>
      <c r="AE569" s="71"/>
      <c r="AF569" s="71"/>
      <c r="AG569" s="71"/>
      <c r="AH569" s="71"/>
      <c r="AI569" s="68"/>
      <c r="AJ569" s="214"/>
      <c r="AK569" s="214"/>
      <c r="AL569" s="214"/>
      <c r="AM569" s="214"/>
      <c r="AN569" s="68"/>
      <c r="AO569" s="67"/>
      <c r="AP569" s="67"/>
      <c r="AQ569" s="67"/>
      <c r="AR569" s="67"/>
      <c r="AS569" s="67"/>
      <c r="AT569" s="68"/>
      <c r="AU569" s="49"/>
      <c r="AV569" s="50"/>
    </row>
    <row r="570" spans="1:48" ht="12.75" customHeight="1" x14ac:dyDescent="0.25">
      <c r="A570" s="72" t="s">
        <v>20</v>
      </c>
      <c r="B570" s="43" t="s">
        <v>4043</v>
      </c>
      <c r="C570" s="44" t="s">
        <v>3898</v>
      </c>
      <c r="D570" s="45">
        <f>MROUND(MID($C570,6,3)/Basis!$E$3,0.5)</f>
        <v>32</v>
      </c>
      <c r="E570" s="45">
        <f>MROUND(MID($C570,9,3)/Basis!$E$3,0.5)</f>
        <v>102.5</v>
      </c>
      <c r="F570" s="229" t="str">
        <f t="shared" si="8"/>
        <v>11</v>
      </c>
      <c r="G570" s="45">
        <f>ROUND(5/Basis!$E$3,1)</f>
        <v>2</v>
      </c>
      <c r="H570" s="120">
        <f>ROUND($P570*Basis!$E$2*((TaH-TrH)/LN(1/µ)/Basis!$E$7)^$N570*Glycol,0)</f>
        <v>6570</v>
      </c>
      <c r="I570" s="83">
        <f>ROUND(H570/(MID($C570,9,3)/Basis!$E$3/Basis!$E$9)*Basis!$E$11,0)</f>
        <v>770</v>
      </c>
      <c r="J570" s="123">
        <f>IF(Basis!$E$1=1,ROUND(H570/((TaH-TrH)*1.163)/3600,3),ROUND(H570/(500*(TaH-TrH)),2))</f>
        <v>0.66</v>
      </c>
      <c r="K570" s="84"/>
      <c r="L570" s="177">
        <f>CHOOSE(Basis!$E$1,((AJ570*(J570*3600/Basis!$E$5)^AK570*(((MID(C570,9,3)*10)-144)/1000)*AL570+AM570*(J570*3600/Basis!$E$5)^2)*0.0098)/Basis!$E$10,((AJ570*(J570/Basis!$E$5)^AK570*(((MID(C570,9,3)*10)-144)/1000)*AL570+AM570*(J570/Basis!$E$5)^2)*0.0098)/Basis!$E$10)</f>
        <v>0</v>
      </c>
      <c r="M570" s="85"/>
      <c r="N570" s="110">
        <v>1.2490000000000001</v>
      </c>
      <c r="O570" s="74"/>
      <c r="P570" s="73">
        <v>2908</v>
      </c>
      <c r="Q570" s="74"/>
      <c r="R570" s="75"/>
      <c r="S570" s="75"/>
      <c r="T570" s="75"/>
      <c r="U570" s="75"/>
      <c r="V570" s="75"/>
      <c r="W570" s="74"/>
      <c r="X570" s="76"/>
      <c r="Y570" s="76"/>
      <c r="Z570" s="76"/>
      <c r="AA570" s="76"/>
      <c r="AB570" s="76"/>
      <c r="AC570" s="74"/>
      <c r="AD570" s="77"/>
      <c r="AE570" s="77"/>
      <c r="AF570" s="77"/>
      <c r="AG570" s="77"/>
      <c r="AH570" s="77"/>
      <c r="AI570" s="68"/>
      <c r="AJ570" s="213"/>
      <c r="AK570" s="213"/>
      <c r="AL570" s="213"/>
      <c r="AM570" s="213"/>
      <c r="AN570" s="74"/>
      <c r="AO570" s="73"/>
      <c r="AP570" s="73"/>
      <c r="AQ570" s="73"/>
      <c r="AR570" s="73"/>
      <c r="AS570" s="73"/>
      <c r="AT570" s="74"/>
      <c r="AU570" s="47"/>
      <c r="AV570" s="48"/>
    </row>
    <row r="571" spans="1:48" ht="12.75" customHeight="1" x14ac:dyDescent="0.25">
      <c r="A571" s="72" t="s">
        <v>20</v>
      </c>
      <c r="B571" s="43" t="s">
        <v>4043</v>
      </c>
      <c r="C571" s="44" t="s">
        <v>3899</v>
      </c>
      <c r="D571" s="45">
        <f>MROUND(MID($C571,6,3)/Basis!$E$3,0.5)</f>
        <v>32</v>
      </c>
      <c r="E571" s="45">
        <f>MROUND(MID($C571,9,3)/Basis!$E$3,0.5)</f>
        <v>102.5</v>
      </c>
      <c r="F571" s="229" t="str">
        <f t="shared" si="8"/>
        <v>22</v>
      </c>
      <c r="G571" s="45">
        <f>ROUND(9/Basis!$E$3,1)</f>
        <v>3.5</v>
      </c>
      <c r="H571" s="120">
        <f>ROUND($P571*Basis!$E$2*((TaH-TrH)/LN(1/µ)/Basis!$E$7)^$N571*Glycol,0)</f>
        <v>10833</v>
      </c>
      <c r="I571" s="83">
        <f>ROUND(H571/(MID($C571,9,3)/Basis!$E$3/Basis!$E$9)*Basis!$E$11,0)</f>
        <v>1270</v>
      </c>
      <c r="J571" s="123">
        <f>IF(Basis!$E$1=1,ROUND(H571/((TaH-TrH)*1.163)/3600,3),ROUND(H571/(500*(TaH-TrH)),2))</f>
        <v>1.08</v>
      </c>
      <c r="K571" s="84"/>
      <c r="L571" s="177">
        <f>CHOOSE(Basis!$E$1,((AJ571*(J571*3600/Basis!$E$5)^AK571*(((MID(C571,9,3)*10)-144)/1000)*AL571+AM571*(J571*3600/Basis!$E$5)^2)*0.0098)/Basis!$E$10,((AJ571*(J571/Basis!$E$5)^AK571*(((MID(C571,9,3)*10)-144)/1000)*AL571+AM571*(J571/Basis!$E$5)^2)*0.0098)/Basis!$E$10)</f>
        <v>0</v>
      </c>
      <c r="M571" s="85"/>
      <c r="N571" s="110">
        <v>1.3480000000000001</v>
      </c>
      <c r="O571" s="74"/>
      <c r="P571" s="73">
        <v>4954</v>
      </c>
      <c r="Q571" s="74"/>
      <c r="R571" s="75"/>
      <c r="S571" s="75"/>
      <c r="T571" s="75"/>
      <c r="U571" s="75"/>
      <c r="V571" s="75"/>
      <c r="W571" s="74"/>
      <c r="X571" s="76"/>
      <c r="Y571" s="76"/>
      <c r="Z571" s="76"/>
      <c r="AA571" s="76"/>
      <c r="AB571" s="76"/>
      <c r="AC571" s="74"/>
      <c r="AD571" s="77"/>
      <c r="AE571" s="77"/>
      <c r="AF571" s="77"/>
      <c r="AG571" s="77"/>
      <c r="AH571" s="77"/>
      <c r="AI571" s="68"/>
      <c r="AJ571" s="213"/>
      <c r="AK571" s="213"/>
      <c r="AL571" s="213"/>
      <c r="AM571" s="213"/>
      <c r="AN571" s="74"/>
      <c r="AO571" s="73"/>
      <c r="AP571" s="73"/>
      <c r="AQ571" s="73"/>
      <c r="AR571" s="73"/>
      <c r="AS571" s="73"/>
      <c r="AT571" s="74"/>
      <c r="AU571" s="47"/>
      <c r="AV571" s="48"/>
    </row>
    <row r="572" spans="1:48" ht="12.75" customHeight="1" x14ac:dyDescent="0.25">
      <c r="A572" s="72" t="s">
        <v>20</v>
      </c>
      <c r="B572" s="43" t="s">
        <v>4043</v>
      </c>
      <c r="C572" s="44" t="s">
        <v>3900</v>
      </c>
      <c r="D572" s="45">
        <f>MROUND(MID($C572,6,3)/Basis!$E$3,0.5)</f>
        <v>32</v>
      </c>
      <c r="E572" s="45">
        <f>MROUND(MID($C572,9,3)/Basis!$E$3,0.5)</f>
        <v>110</v>
      </c>
      <c r="F572" s="229" t="str">
        <f t="shared" si="8"/>
        <v>11</v>
      </c>
      <c r="G572" s="45">
        <f>ROUND(5/Basis!$E$3,1)</f>
        <v>2</v>
      </c>
      <c r="H572" s="120">
        <f>ROUND($P572*Basis!$E$2*((TaH-TrH)/LN(1/µ)/Basis!$E$7)^$N572*Glycol,0)</f>
        <v>7077</v>
      </c>
      <c r="I572" s="83">
        <f>ROUND(H572/(MID($C572,9,3)/Basis!$E$3/Basis!$E$9)*Basis!$E$11,0)</f>
        <v>770</v>
      </c>
      <c r="J572" s="123">
        <f>IF(Basis!$E$1=1,ROUND(H572/((TaH-TrH)*1.163)/3600,3),ROUND(H572/(500*(TaH-TrH)),2))</f>
        <v>0.71</v>
      </c>
      <c r="K572" s="84"/>
      <c r="L572" s="177">
        <f>CHOOSE(Basis!$E$1,((AJ572*(J572*3600/Basis!$E$5)^AK572*(((MID(C572,9,3)*10)-144)/1000)*AL572+AM572*(J572*3600/Basis!$E$5)^2)*0.0098)/Basis!$E$10,((AJ572*(J572/Basis!$E$5)^AK572*(((MID(C572,9,3)*10)-144)/1000)*AL572+AM572*(J572/Basis!$E$5)^2)*0.0098)/Basis!$E$10)</f>
        <v>0</v>
      </c>
      <c r="M572" s="85"/>
      <c r="N572" s="109">
        <v>1.2490000000000001</v>
      </c>
      <c r="O572" s="68"/>
      <c r="P572" s="67">
        <v>3132</v>
      </c>
      <c r="Q572" s="68"/>
      <c r="R572" s="69"/>
      <c r="S572" s="69"/>
      <c r="T572" s="69"/>
      <c r="U572" s="69"/>
      <c r="V572" s="69"/>
      <c r="W572" s="68"/>
      <c r="X572" s="70"/>
      <c r="Y572" s="70"/>
      <c r="Z572" s="70"/>
      <c r="AA572" s="70"/>
      <c r="AB572" s="70"/>
      <c r="AC572" s="68"/>
      <c r="AD572" s="71"/>
      <c r="AE572" s="71"/>
      <c r="AF572" s="71"/>
      <c r="AG572" s="71"/>
      <c r="AH572" s="71"/>
      <c r="AI572" s="68"/>
      <c r="AJ572" s="214"/>
      <c r="AK572" s="214"/>
      <c r="AL572" s="214"/>
      <c r="AM572" s="214"/>
      <c r="AN572" s="68"/>
      <c r="AO572" s="67"/>
      <c r="AP572" s="67"/>
      <c r="AQ572" s="67"/>
      <c r="AR572" s="67"/>
      <c r="AS572" s="67"/>
      <c r="AT572" s="68"/>
      <c r="AU572" s="49"/>
      <c r="AV572" s="50"/>
    </row>
    <row r="573" spans="1:48" ht="12.75" customHeight="1" x14ac:dyDescent="0.25">
      <c r="A573" s="72" t="s">
        <v>20</v>
      </c>
      <c r="B573" s="43" t="s">
        <v>4043</v>
      </c>
      <c r="C573" s="44" t="s">
        <v>3901</v>
      </c>
      <c r="D573" s="45">
        <f>MROUND(MID($C573,6,3)/Basis!$E$3,0.5)</f>
        <v>32</v>
      </c>
      <c r="E573" s="45">
        <f>MROUND(MID($C573,9,3)/Basis!$E$3,0.5)</f>
        <v>110</v>
      </c>
      <c r="F573" s="229" t="str">
        <f t="shared" si="8"/>
        <v>22</v>
      </c>
      <c r="G573" s="45">
        <f>ROUND(9/Basis!$E$3,1)</f>
        <v>3.5</v>
      </c>
      <c r="H573" s="120">
        <f>ROUND($P573*Basis!$E$2*((TaH-TrH)/LN(1/µ)/Basis!$E$7)^$N573*Glycol,0)</f>
        <v>11667</v>
      </c>
      <c r="I573" s="83">
        <f>ROUND(H573/(MID($C573,9,3)/Basis!$E$3/Basis!$E$9)*Basis!$E$11,0)</f>
        <v>1270</v>
      </c>
      <c r="J573" s="123">
        <f>IF(Basis!$E$1=1,ROUND(H573/((TaH-TrH)*1.163)/3600,3),ROUND(H573/(500*(TaH-TrH)),2))</f>
        <v>1.17</v>
      </c>
      <c r="K573" s="84"/>
      <c r="L573" s="177">
        <f>CHOOSE(Basis!$E$1,((AJ573*(J573*3600/Basis!$E$5)^AK573*(((MID(C573,9,3)*10)-144)/1000)*AL573+AM573*(J573*3600/Basis!$E$5)^2)*0.0098)/Basis!$E$10,((AJ573*(J573/Basis!$E$5)^AK573*(((MID(C573,9,3)*10)-144)/1000)*AL573+AM573*(J573/Basis!$E$5)^2)*0.0098)/Basis!$E$10)</f>
        <v>0</v>
      </c>
      <c r="M573" s="85"/>
      <c r="N573" s="109">
        <v>1.3480000000000001</v>
      </c>
      <c r="O573" s="68"/>
      <c r="P573" s="67">
        <v>5335</v>
      </c>
      <c r="Q573" s="68"/>
      <c r="R573" s="69"/>
      <c r="S573" s="69"/>
      <c r="T573" s="69"/>
      <c r="U573" s="69"/>
      <c r="V573" s="69"/>
      <c r="W573" s="68"/>
      <c r="X573" s="70"/>
      <c r="Y573" s="70"/>
      <c r="Z573" s="70"/>
      <c r="AA573" s="70"/>
      <c r="AB573" s="70"/>
      <c r="AC573" s="68"/>
      <c r="AD573" s="71"/>
      <c r="AE573" s="71"/>
      <c r="AF573" s="71"/>
      <c r="AG573" s="71"/>
      <c r="AH573" s="71"/>
      <c r="AI573" s="68"/>
      <c r="AJ573" s="214"/>
      <c r="AK573" s="214"/>
      <c r="AL573" s="214"/>
      <c r="AM573" s="214"/>
      <c r="AN573" s="68"/>
      <c r="AO573" s="67"/>
      <c r="AP573" s="67"/>
      <c r="AQ573" s="67"/>
      <c r="AR573" s="67"/>
      <c r="AS573" s="67"/>
      <c r="AT573" s="68"/>
      <c r="AU573" s="49"/>
      <c r="AV573" s="50"/>
    </row>
    <row r="574" spans="1:48" ht="12.75" customHeight="1" x14ac:dyDescent="0.25">
      <c r="A574" s="72" t="s">
        <v>20</v>
      </c>
      <c r="B574" s="43" t="s">
        <v>4043</v>
      </c>
      <c r="C574" s="44" t="s">
        <v>3902</v>
      </c>
      <c r="D574" s="45">
        <f>MROUND(MID($C574,6,3)/Basis!$E$3,0.5)</f>
        <v>32</v>
      </c>
      <c r="E574" s="45">
        <f>MROUND(MID($C574,9,3)/Basis!$E$3,0.5)</f>
        <v>118</v>
      </c>
      <c r="F574" s="229" t="str">
        <f t="shared" si="8"/>
        <v>11</v>
      </c>
      <c r="G574" s="45">
        <f>ROUND(5/Basis!$E$3,1)</f>
        <v>2</v>
      </c>
      <c r="H574" s="120">
        <f>ROUND($P574*Basis!$E$2*((TaH-TrH)/LN(1/µ)/Basis!$E$7)^$N574*Glycol,0)</f>
        <v>7583</v>
      </c>
      <c r="I574" s="83">
        <f>ROUND(H574/(MID($C574,9,3)/Basis!$E$3/Basis!$E$9)*Basis!$E$11,0)</f>
        <v>770</v>
      </c>
      <c r="J574" s="123">
        <f>IF(Basis!$E$1=1,ROUND(H574/((TaH-TrH)*1.163)/3600,3),ROUND(H574/(500*(TaH-TrH)),2))</f>
        <v>0.76</v>
      </c>
      <c r="K574" s="84"/>
      <c r="L574" s="177">
        <f>CHOOSE(Basis!$E$1,((AJ574*(J574*3600/Basis!$E$5)^AK574*(((MID(C574,9,3)*10)-144)/1000)*AL574+AM574*(J574*3600/Basis!$E$5)^2)*0.0098)/Basis!$E$10,((AJ574*(J574/Basis!$E$5)^AK574*(((MID(C574,9,3)*10)-144)/1000)*AL574+AM574*(J574/Basis!$E$5)^2)*0.0098)/Basis!$E$10)</f>
        <v>0</v>
      </c>
      <c r="M574" s="85"/>
      <c r="N574" s="110">
        <v>1.2490000000000001</v>
      </c>
      <c r="O574" s="74"/>
      <c r="P574" s="73">
        <v>3356</v>
      </c>
      <c r="Q574" s="74"/>
      <c r="R574" s="75"/>
      <c r="S574" s="75"/>
      <c r="T574" s="75"/>
      <c r="U574" s="75"/>
      <c r="V574" s="75"/>
      <c r="W574" s="74"/>
      <c r="X574" s="76"/>
      <c r="Y574" s="76"/>
      <c r="Z574" s="76"/>
      <c r="AA574" s="76"/>
      <c r="AB574" s="76"/>
      <c r="AC574" s="74"/>
      <c r="AD574" s="77"/>
      <c r="AE574" s="77"/>
      <c r="AF574" s="77"/>
      <c r="AG574" s="77"/>
      <c r="AH574" s="77"/>
      <c r="AI574" s="68"/>
      <c r="AJ574" s="213"/>
      <c r="AK574" s="213"/>
      <c r="AL574" s="213"/>
      <c r="AM574" s="213"/>
      <c r="AN574" s="74"/>
      <c r="AO574" s="73"/>
      <c r="AP574" s="73"/>
      <c r="AQ574" s="73"/>
      <c r="AR574" s="73"/>
      <c r="AS574" s="73"/>
      <c r="AT574" s="74"/>
      <c r="AU574" s="47"/>
      <c r="AV574" s="48"/>
    </row>
    <row r="575" spans="1:48" ht="12.75" customHeight="1" x14ac:dyDescent="0.25">
      <c r="A575" s="72" t="s">
        <v>20</v>
      </c>
      <c r="B575" s="43" t="s">
        <v>4043</v>
      </c>
      <c r="C575" s="44" t="s">
        <v>3903</v>
      </c>
      <c r="D575" s="45">
        <f>MROUND(MID($C575,6,3)/Basis!$E$3,0.5)</f>
        <v>32</v>
      </c>
      <c r="E575" s="45">
        <f>MROUND(MID($C575,9,3)/Basis!$E$3,0.5)</f>
        <v>118</v>
      </c>
      <c r="F575" s="229" t="str">
        <f t="shared" si="8"/>
        <v>22</v>
      </c>
      <c r="G575" s="45">
        <f>ROUND(9/Basis!$E$3,1)</f>
        <v>3.5</v>
      </c>
      <c r="H575" s="120">
        <f>ROUND($P575*Basis!$E$2*((TaH-TrH)/LN(1/µ)/Basis!$E$7)^$N575*Glycol,0)</f>
        <v>12500</v>
      </c>
      <c r="I575" s="83">
        <f>ROUND(H575/(MID($C575,9,3)/Basis!$E$3/Basis!$E$9)*Basis!$E$11,0)</f>
        <v>1270</v>
      </c>
      <c r="J575" s="123">
        <f>IF(Basis!$E$1=1,ROUND(H575/((TaH-TrH)*1.163)/3600,3),ROUND(H575/(500*(TaH-TrH)),2))</f>
        <v>1.25</v>
      </c>
      <c r="K575" s="84"/>
      <c r="L575" s="177">
        <f>CHOOSE(Basis!$E$1,((AJ575*(J575*3600/Basis!$E$5)^AK575*(((MID(C575,9,3)*10)-144)/1000)*AL575+AM575*(J575*3600/Basis!$E$5)^2)*0.0098)/Basis!$E$10,((AJ575*(J575/Basis!$E$5)^AK575*(((MID(C575,9,3)*10)-144)/1000)*AL575+AM575*(J575/Basis!$E$5)^2)*0.0098)/Basis!$E$10)</f>
        <v>0</v>
      </c>
      <c r="M575" s="85"/>
      <c r="N575" s="110">
        <v>1.3480000000000001</v>
      </c>
      <c r="O575" s="74"/>
      <c r="P575" s="73">
        <v>5716</v>
      </c>
      <c r="Q575" s="74"/>
      <c r="R575" s="75"/>
      <c r="S575" s="75"/>
      <c r="T575" s="75"/>
      <c r="U575" s="75"/>
      <c r="V575" s="75"/>
      <c r="W575" s="74"/>
      <c r="X575" s="76"/>
      <c r="Y575" s="76"/>
      <c r="Z575" s="76"/>
      <c r="AA575" s="76"/>
      <c r="AB575" s="76"/>
      <c r="AC575" s="74"/>
      <c r="AD575" s="77"/>
      <c r="AE575" s="77"/>
      <c r="AF575" s="77"/>
      <c r="AG575" s="77"/>
      <c r="AH575" s="77"/>
      <c r="AI575" s="68"/>
      <c r="AJ575" s="213"/>
      <c r="AK575" s="213"/>
      <c r="AL575" s="213"/>
      <c r="AM575" s="213"/>
      <c r="AN575" s="74"/>
      <c r="AO575" s="73"/>
      <c r="AP575" s="73"/>
      <c r="AQ575" s="73"/>
      <c r="AR575" s="73"/>
      <c r="AS575" s="73"/>
      <c r="AT575" s="74"/>
      <c r="AU575" s="47"/>
      <c r="AV575" s="48"/>
    </row>
    <row r="576" spans="1:48" ht="12.75" customHeight="1" x14ac:dyDescent="0.25">
      <c r="A576" s="72" t="s">
        <v>20</v>
      </c>
      <c r="B576" s="43" t="s">
        <v>4043</v>
      </c>
      <c r="C576" s="44" t="s">
        <v>3904</v>
      </c>
      <c r="D576" s="45">
        <f>MROUND(MID($C576,6,3)/Basis!$E$3,0.5)</f>
        <v>34.5</v>
      </c>
      <c r="E576" s="45">
        <f>MROUND(MID($C576,9,3)/Basis!$E$3,0.5)</f>
        <v>23.5</v>
      </c>
      <c r="F576" s="229" t="str">
        <f t="shared" si="8"/>
        <v>11</v>
      </c>
      <c r="G576" s="45">
        <f>ROUND(5/Basis!$E$3,1)</f>
        <v>2</v>
      </c>
      <c r="H576" s="120">
        <f>ROUND($P576*Basis!$E$2*((TaH-TrH)/LN(1/µ)/Basis!$E$7)^$N576*Glycol,0)</f>
        <v>1604</v>
      </c>
      <c r="I576" s="83">
        <f>ROUND(H576/(MID($C576,9,3)/Basis!$E$3/Basis!$E$9)*Basis!$E$11,0)</f>
        <v>815</v>
      </c>
      <c r="J576" s="123">
        <f>IF(Basis!$E$1=1,ROUND(H576/((TaH-TrH)*1.163)/3600,3),ROUND(H576/(500*(TaH-TrH)),2))</f>
        <v>0.16</v>
      </c>
      <c r="K576" s="84"/>
      <c r="L576" s="177">
        <f>CHOOSE(Basis!$E$1,((AJ576*(J576*3600/Basis!$E$5)^AK576*(((MID(C576,9,3)*10)-144)/1000)*AL576+AM576*(J576*3600/Basis!$E$5)^2)*0.0098)/Basis!$E$10,((AJ576*(J576/Basis!$E$5)^AK576*(((MID(C576,9,3)*10)-144)/1000)*AL576+AM576*(J576/Basis!$E$5)^2)*0.0098)/Basis!$E$10)</f>
        <v>0</v>
      </c>
      <c r="M576" s="85"/>
      <c r="N576" s="109">
        <v>1.2490000000000001</v>
      </c>
      <c r="O576" s="68"/>
      <c r="P576" s="67">
        <v>710</v>
      </c>
      <c r="Q576" s="68"/>
      <c r="R576" s="69"/>
      <c r="S576" s="69"/>
      <c r="T576" s="69"/>
      <c r="U576" s="69"/>
      <c r="V576" s="69"/>
      <c r="W576" s="68"/>
      <c r="X576" s="70"/>
      <c r="Y576" s="70"/>
      <c r="Z576" s="70"/>
      <c r="AA576" s="70"/>
      <c r="AB576" s="70"/>
      <c r="AC576" s="68"/>
      <c r="AD576" s="71"/>
      <c r="AE576" s="71"/>
      <c r="AF576" s="71"/>
      <c r="AG576" s="71"/>
      <c r="AH576" s="71"/>
      <c r="AI576" s="68"/>
      <c r="AJ576" s="214"/>
      <c r="AK576" s="214"/>
      <c r="AL576" s="214"/>
      <c r="AM576" s="214"/>
      <c r="AN576" s="68"/>
      <c r="AO576" s="67"/>
      <c r="AP576" s="67"/>
      <c r="AQ576" s="67"/>
      <c r="AR576" s="67"/>
      <c r="AS576" s="67"/>
      <c r="AT576" s="68"/>
      <c r="AU576" s="49"/>
      <c r="AV576" s="50"/>
    </row>
    <row r="577" spans="1:48" ht="12.75" customHeight="1" x14ac:dyDescent="0.25">
      <c r="A577" s="72" t="s">
        <v>20</v>
      </c>
      <c r="B577" s="43" t="s">
        <v>4043</v>
      </c>
      <c r="C577" s="44" t="s">
        <v>3905</v>
      </c>
      <c r="D577" s="45">
        <f>MROUND(MID($C577,6,3)/Basis!$E$3,0.5)</f>
        <v>34.5</v>
      </c>
      <c r="E577" s="45">
        <f>MROUND(MID($C577,9,3)/Basis!$E$3,0.5)</f>
        <v>23.5</v>
      </c>
      <c r="F577" s="229" t="str">
        <f t="shared" si="8"/>
        <v>22</v>
      </c>
      <c r="G577" s="45">
        <f>ROUND(9/Basis!$E$3,1)</f>
        <v>3.5</v>
      </c>
      <c r="H577" s="120">
        <f>ROUND($P577*Basis!$E$2*((TaH-TrH)/LN(1/µ)/Basis!$E$7)^$N577*Glycol,0)</f>
        <v>2618</v>
      </c>
      <c r="I577" s="83">
        <f>ROUND(H577/(MID($C577,9,3)/Basis!$E$3/Basis!$E$9)*Basis!$E$11,0)</f>
        <v>1330</v>
      </c>
      <c r="J577" s="123">
        <f>IF(Basis!$E$1=1,ROUND(H577/((TaH-TrH)*1.163)/3600,3),ROUND(H577/(500*(TaH-TrH)),2))</f>
        <v>0.26</v>
      </c>
      <c r="K577" s="84"/>
      <c r="L577" s="177">
        <f>CHOOSE(Basis!$E$1,((AJ577*(J577*3600/Basis!$E$5)^AK577*(((MID(C577,9,3)*10)-144)/1000)*AL577+AM577*(J577*3600/Basis!$E$5)^2)*0.0098)/Basis!$E$10,((AJ577*(J577/Basis!$E$5)^AK577*(((MID(C577,9,3)*10)-144)/1000)*AL577+AM577*(J577/Basis!$E$5)^2)*0.0098)/Basis!$E$10)</f>
        <v>0</v>
      </c>
      <c r="M577" s="85"/>
      <c r="N577" s="109">
        <v>1.3480000000000001</v>
      </c>
      <c r="O577" s="68"/>
      <c r="P577" s="67">
        <v>1197</v>
      </c>
      <c r="Q577" s="68"/>
      <c r="R577" s="69"/>
      <c r="S577" s="69"/>
      <c r="T577" s="69"/>
      <c r="U577" s="69"/>
      <c r="V577" s="69"/>
      <c r="W577" s="68"/>
      <c r="X577" s="70"/>
      <c r="Y577" s="70"/>
      <c r="Z577" s="70"/>
      <c r="AA577" s="70"/>
      <c r="AB577" s="70"/>
      <c r="AC577" s="68"/>
      <c r="AD577" s="71"/>
      <c r="AE577" s="71"/>
      <c r="AF577" s="71"/>
      <c r="AG577" s="71"/>
      <c r="AH577" s="71"/>
      <c r="AI577" s="68"/>
      <c r="AJ577" s="214"/>
      <c r="AK577" s="214"/>
      <c r="AL577" s="214"/>
      <c r="AM577" s="214"/>
      <c r="AN577" s="68"/>
      <c r="AO577" s="67"/>
      <c r="AP577" s="67"/>
      <c r="AQ577" s="67"/>
      <c r="AR577" s="67"/>
      <c r="AS577" s="67"/>
      <c r="AT577" s="68"/>
      <c r="AU577" s="49"/>
      <c r="AV577" s="50"/>
    </row>
    <row r="578" spans="1:48" ht="12.75" customHeight="1" x14ac:dyDescent="0.25">
      <c r="A578" s="72" t="s">
        <v>20</v>
      </c>
      <c r="B578" s="43" t="s">
        <v>4043</v>
      </c>
      <c r="C578" s="44" t="s">
        <v>3906</v>
      </c>
      <c r="D578" s="45">
        <f>MROUND(MID($C578,6,3)/Basis!$E$3,0.5)</f>
        <v>34.5</v>
      </c>
      <c r="E578" s="45">
        <f>MROUND(MID($C578,9,3)/Basis!$E$3,0.5)</f>
        <v>31.5</v>
      </c>
      <c r="F578" s="229" t="str">
        <f t="shared" si="8"/>
        <v>11</v>
      </c>
      <c r="G578" s="45">
        <f>ROUND(5/Basis!$E$3,1)</f>
        <v>2</v>
      </c>
      <c r="H578" s="120">
        <f>ROUND($P578*Basis!$E$2*((TaH-TrH)/LN(1/µ)/Basis!$E$7)^$N578*Glycol,0)</f>
        <v>2140</v>
      </c>
      <c r="I578" s="83">
        <f>ROUND(H578/(MID($C578,9,3)/Basis!$E$3/Basis!$E$9)*Basis!$E$11,0)</f>
        <v>815</v>
      </c>
      <c r="J578" s="123">
        <f>IF(Basis!$E$1=1,ROUND(H578/((TaH-TrH)*1.163)/3600,3),ROUND(H578/(500*(TaH-TrH)),2))</f>
        <v>0.21</v>
      </c>
      <c r="K578" s="84"/>
      <c r="L578" s="177">
        <f>CHOOSE(Basis!$E$1,((AJ578*(J578*3600/Basis!$E$5)^AK578*(((MID(C578,9,3)*10)-144)/1000)*AL578+AM578*(J578*3600/Basis!$E$5)^2)*0.0098)/Basis!$E$10,((AJ578*(J578/Basis!$E$5)^AK578*(((MID(C578,9,3)*10)-144)/1000)*AL578+AM578*(J578/Basis!$E$5)^2)*0.0098)/Basis!$E$10)</f>
        <v>0</v>
      </c>
      <c r="M578" s="85"/>
      <c r="N578" s="110">
        <v>1.2490000000000001</v>
      </c>
      <c r="O578" s="74"/>
      <c r="P578" s="73">
        <v>947</v>
      </c>
      <c r="Q578" s="74"/>
      <c r="R578" s="75"/>
      <c r="S578" s="75"/>
      <c r="T578" s="75"/>
      <c r="U578" s="75"/>
      <c r="V578" s="75"/>
      <c r="W578" s="74"/>
      <c r="X578" s="76"/>
      <c r="Y578" s="76"/>
      <c r="Z578" s="76"/>
      <c r="AA578" s="76"/>
      <c r="AB578" s="76"/>
      <c r="AC578" s="74"/>
      <c r="AD578" s="77"/>
      <c r="AE578" s="77"/>
      <c r="AF578" s="77"/>
      <c r="AG578" s="77"/>
      <c r="AH578" s="77"/>
      <c r="AI578" s="68"/>
      <c r="AJ578" s="213"/>
      <c r="AK578" s="213"/>
      <c r="AL578" s="213"/>
      <c r="AM578" s="213"/>
      <c r="AN578" s="74"/>
      <c r="AO578" s="73"/>
      <c r="AP578" s="73"/>
      <c r="AQ578" s="73"/>
      <c r="AR578" s="73"/>
      <c r="AS578" s="73"/>
      <c r="AT578" s="74"/>
      <c r="AU578" s="47"/>
      <c r="AV578" s="48"/>
    </row>
    <row r="579" spans="1:48" ht="12.75" customHeight="1" x14ac:dyDescent="0.25">
      <c r="A579" s="72" t="s">
        <v>20</v>
      </c>
      <c r="B579" s="43" t="s">
        <v>4043</v>
      </c>
      <c r="C579" s="44" t="s">
        <v>3907</v>
      </c>
      <c r="D579" s="45">
        <f>MROUND(MID($C579,6,3)/Basis!$E$3,0.5)</f>
        <v>34.5</v>
      </c>
      <c r="E579" s="45">
        <f>MROUND(MID($C579,9,3)/Basis!$E$3,0.5)</f>
        <v>31.5</v>
      </c>
      <c r="F579" s="229" t="str">
        <f t="shared" si="8"/>
        <v>22</v>
      </c>
      <c r="G579" s="45">
        <f>ROUND(9/Basis!$E$3,1)</f>
        <v>3.5</v>
      </c>
      <c r="H579" s="120">
        <f>ROUND($P579*Basis!$E$2*((TaH-TrH)/LN(1/µ)/Basis!$E$7)^$N579*Glycol,0)</f>
        <v>3490</v>
      </c>
      <c r="I579" s="83">
        <f>ROUND(H579/(MID($C579,9,3)/Basis!$E$3/Basis!$E$9)*Basis!$E$11,0)</f>
        <v>1330</v>
      </c>
      <c r="J579" s="123">
        <f>IF(Basis!$E$1=1,ROUND(H579/((TaH-TrH)*1.163)/3600,3),ROUND(H579/(500*(TaH-TrH)),2))</f>
        <v>0.35</v>
      </c>
      <c r="K579" s="84"/>
      <c r="L579" s="177">
        <f>CHOOSE(Basis!$E$1,((AJ579*(J579*3600/Basis!$E$5)^AK579*(((MID(C579,9,3)*10)-144)/1000)*AL579+AM579*(J579*3600/Basis!$E$5)^2)*0.0098)/Basis!$E$10,((AJ579*(J579/Basis!$E$5)^AK579*(((MID(C579,9,3)*10)-144)/1000)*AL579+AM579*(J579/Basis!$E$5)^2)*0.0098)/Basis!$E$10)</f>
        <v>0</v>
      </c>
      <c r="M579" s="85"/>
      <c r="N579" s="110">
        <v>1.3480000000000001</v>
      </c>
      <c r="O579" s="74"/>
      <c r="P579" s="73">
        <v>1596</v>
      </c>
      <c r="Q579" s="74"/>
      <c r="R579" s="75"/>
      <c r="S579" s="75"/>
      <c r="T579" s="75"/>
      <c r="U579" s="75"/>
      <c r="V579" s="75"/>
      <c r="W579" s="74"/>
      <c r="X579" s="76"/>
      <c r="Y579" s="76"/>
      <c r="Z579" s="76"/>
      <c r="AA579" s="76"/>
      <c r="AB579" s="76"/>
      <c r="AC579" s="74"/>
      <c r="AD579" s="77"/>
      <c r="AE579" s="77"/>
      <c r="AF579" s="77"/>
      <c r="AG579" s="77"/>
      <c r="AH579" s="77"/>
      <c r="AI579" s="68"/>
      <c r="AJ579" s="213"/>
      <c r="AK579" s="213"/>
      <c r="AL579" s="213"/>
      <c r="AM579" s="213"/>
      <c r="AN579" s="74"/>
      <c r="AO579" s="73"/>
      <c r="AP579" s="73"/>
      <c r="AQ579" s="73"/>
      <c r="AR579" s="73"/>
      <c r="AS579" s="73"/>
      <c r="AT579" s="74"/>
      <c r="AU579" s="47"/>
      <c r="AV579" s="48"/>
    </row>
    <row r="580" spans="1:48" ht="12.75" customHeight="1" x14ac:dyDescent="0.25">
      <c r="A580" s="72" t="s">
        <v>20</v>
      </c>
      <c r="B580" s="43" t="s">
        <v>4043</v>
      </c>
      <c r="C580" s="44" t="s">
        <v>3908</v>
      </c>
      <c r="D580" s="45">
        <f>MROUND(MID($C580,6,3)/Basis!$E$3,0.5)</f>
        <v>34.5</v>
      </c>
      <c r="E580" s="45">
        <f>MROUND(MID($C580,9,3)/Basis!$E$3,0.5)</f>
        <v>39.5</v>
      </c>
      <c r="F580" s="229" t="str">
        <f t="shared" si="8"/>
        <v>11</v>
      </c>
      <c r="G580" s="45">
        <f>ROUND(5/Basis!$E$3,1)</f>
        <v>2</v>
      </c>
      <c r="H580" s="120">
        <f>ROUND($P580*Basis!$E$2*((TaH-TrH)/LN(1/µ)/Basis!$E$7)^$N580*Glycol,0)</f>
        <v>2675</v>
      </c>
      <c r="I580" s="83">
        <f>ROUND(H580/(MID($C580,9,3)/Basis!$E$3/Basis!$E$9)*Basis!$E$11,0)</f>
        <v>815</v>
      </c>
      <c r="J580" s="123">
        <f>IF(Basis!$E$1=1,ROUND(H580/((TaH-TrH)*1.163)/3600,3),ROUND(H580/(500*(TaH-TrH)),2))</f>
        <v>0.27</v>
      </c>
      <c r="K580" s="84"/>
      <c r="L580" s="177">
        <f>CHOOSE(Basis!$E$1,((AJ580*(J580*3600/Basis!$E$5)^AK580*(((MID(C580,9,3)*10)-144)/1000)*AL580+AM580*(J580*3600/Basis!$E$5)^2)*0.0098)/Basis!$E$10,((AJ580*(J580/Basis!$E$5)^AK580*(((MID(C580,9,3)*10)-144)/1000)*AL580+AM580*(J580/Basis!$E$5)^2)*0.0098)/Basis!$E$10)</f>
        <v>0</v>
      </c>
      <c r="M580" s="85"/>
      <c r="N580" s="109">
        <v>1.2490000000000001</v>
      </c>
      <c r="O580" s="68"/>
      <c r="P580" s="67">
        <v>1184</v>
      </c>
      <c r="Q580" s="68"/>
      <c r="R580" s="69"/>
      <c r="S580" s="69"/>
      <c r="T580" s="69"/>
      <c r="U580" s="69"/>
      <c r="V580" s="69"/>
      <c r="W580" s="68"/>
      <c r="X580" s="70"/>
      <c r="Y580" s="70"/>
      <c r="Z580" s="70"/>
      <c r="AA580" s="70"/>
      <c r="AB580" s="70"/>
      <c r="AC580" s="68"/>
      <c r="AD580" s="71"/>
      <c r="AE580" s="71"/>
      <c r="AF580" s="71"/>
      <c r="AG580" s="71"/>
      <c r="AH580" s="71"/>
      <c r="AI580" s="68"/>
      <c r="AJ580" s="214"/>
      <c r="AK580" s="214"/>
      <c r="AL580" s="214"/>
      <c r="AM580" s="214"/>
      <c r="AN580" s="68"/>
      <c r="AO580" s="67"/>
      <c r="AP580" s="67"/>
      <c r="AQ580" s="67"/>
      <c r="AR580" s="67"/>
      <c r="AS580" s="67"/>
      <c r="AT580" s="68"/>
      <c r="AU580" s="49"/>
      <c r="AV580" s="50"/>
    </row>
    <row r="581" spans="1:48" ht="12.75" customHeight="1" x14ac:dyDescent="0.25">
      <c r="A581" s="72" t="s">
        <v>20</v>
      </c>
      <c r="B581" s="43" t="s">
        <v>4043</v>
      </c>
      <c r="C581" s="44" t="s">
        <v>3909</v>
      </c>
      <c r="D581" s="45">
        <f>MROUND(MID($C581,6,3)/Basis!$E$3,0.5)</f>
        <v>34.5</v>
      </c>
      <c r="E581" s="45">
        <f>MROUND(MID($C581,9,3)/Basis!$E$3,0.5)</f>
        <v>39.5</v>
      </c>
      <c r="F581" s="229" t="str">
        <f t="shared" si="8"/>
        <v>22</v>
      </c>
      <c r="G581" s="45">
        <f>ROUND(9/Basis!$E$3,1)</f>
        <v>3.5</v>
      </c>
      <c r="H581" s="120">
        <f>ROUND($P581*Basis!$E$2*((TaH-TrH)/LN(1/µ)/Basis!$E$7)^$N581*Glycol,0)</f>
        <v>4363</v>
      </c>
      <c r="I581" s="83">
        <f>ROUND(H581/(MID($C581,9,3)/Basis!$E$3/Basis!$E$9)*Basis!$E$11,0)</f>
        <v>1330</v>
      </c>
      <c r="J581" s="123">
        <f>IF(Basis!$E$1=1,ROUND(H581/((TaH-TrH)*1.163)/3600,3),ROUND(H581/(500*(TaH-TrH)),2))</f>
        <v>0.44</v>
      </c>
      <c r="K581" s="84"/>
      <c r="L581" s="177">
        <f>CHOOSE(Basis!$E$1,((AJ581*(J581*3600/Basis!$E$5)^AK581*(((MID(C581,9,3)*10)-144)/1000)*AL581+AM581*(J581*3600/Basis!$E$5)^2)*0.0098)/Basis!$E$10,((AJ581*(J581/Basis!$E$5)^AK581*(((MID(C581,9,3)*10)-144)/1000)*AL581+AM581*(J581/Basis!$E$5)^2)*0.0098)/Basis!$E$10)</f>
        <v>0</v>
      </c>
      <c r="M581" s="85"/>
      <c r="N581" s="109">
        <v>1.3480000000000001</v>
      </c>
      <c r="O581" s="68"/>
      <c r="P581" s="67">
        <v>1995</v>
      </c>
      <c r="Q581" s="68"/>
      <c r="R581" s="69"/>
      <c r="S581" s="69"/>
      <c r="T581" s="69"/>
      <c r="U581" s="69"/>
      <c r="V581" s="69"/>
      <c r="W581" s="68"/>
      <c r="X581" s="70"/>
      <c r="Y581" s="70"/>
      <c r="Z581" s="70"/>
      <c r="AA581" s="70"/>
      <c r="AB581" s="70"/>
      <c r="AC581" s="68"/>
      <c r="AD581" s="71"/>
      <c r="AE581" s="71"/>
      <c r="AF581" s="71"/>
      <c r="AG581" s="71"/>
      <c r="AH581" s="71"/>
      <c r="AI581" s="68"/>
      <c r="AJ581" s="214"/>
      <c r="AK581" s="214"/>
      <c r="AL581" s="214"/>
      <c r="AM581" s="214"/>
      <c r="AN581" s="68"/>
      <c r="AO581" s="67"/>
      <c r="AP581" s="67"/>
      <c r="AQ581" s="67"/>
      <c r="AR581" s="67"/>
      <c r="AS581" s="67"/>
      <c r="AT581" s="68"/>
      <c r="AU581" s="49"/>
      <c r="AV581" s="50"/>
    </row>
    <row r="582" spans="1:48" ht="12.75" customHeight="1" x14ac:dyDescent="0.25">
      <c r="A582" s="72" t="s">
        <v>20</v>
      </c>
      <c r="B582" s="43" t="s">
        <v>4043</v>
      </c>
      <c r="C582" s="44" t="s">
        <v>3910</v>
      </c>
      <c r="D582" s="45">
        <f>MROUND(MID($C582,6,3)/Basis!$E$3,0.5)</f>
        <v>34.5</v>
      </c>
      <c r="E582" s="45">
        <f>MROUND(MID($C582,9,3)/Basis!$E$3,0.5)</f>
        <v>47</v>
      </c>
      <c r="F582" s="229" t="str">
        <f t="shared" si="8"/>
        <v>11</v>
      </c>
      <c r="G582" s="45">
        <f>ROUND(5/Basis!$E$3,1)</f>
        <v>2</v>
      </c>
      <c r="H582" s="120">
        <f>ROUND($P582*Basis!$E$2*((TaH-TrH)/LN(1/µ)/Basis!$E$7)^$N582*Glycol,0)</f>
        <v>3208</v>
      </c>
      <c r="I582" s="83">
        <f>ROUND(H582/(MID($C582,9,3)/Basis!$E$3/Basis!$E$9)*Basis!$E$11,0)</f>
        <v>815</v>
      </c>
      <c r="J582" s="123">
        <f>IF(Basis!$E$1=1,ROUND(H582/((TaH-TrH)*1.163)/3600,3),ROUND(H582/(500*(TaH-TrH)),2))</f>
        <v>0.32</v>
      </c>
      <c r="K582" s="84"/>
      <c r="L582" s="177">
        <f>CHOOSE(Basis!$E$1,((AJ582*(J582*3600/Basis!$E$5)^AK582*(((MID(C582,9,3)*10)-144)/1000)*AL582+AM582*(J582*3600/Basis!$E$5)^2)*0.0098)/Basis!$E$10,((AJ582*(J582/Basis!$E$5)^AK582*(((MID(C582,9,3)*10)-144)/1000)*AL582+AM582*(J582/Basis!$E$5)^2)*0.0098)/Basis!$E$10)</f>
        <v>0</v>
      </c>
      <c r="M582" s="85"/>
      <c r="N582" s="110">
        <v>1.2490000000000001</v>
      </c>
      <c r="O582" s="74"/>
      <c r="P582" s="73">
        <v>1420</v>
      </c>
      <c r="Q582" s="74"/>
      <c r="R582" s="75"/>
      <c r="S582" s="75"/>
      <c r="T582" s="75"/>
      <c r="U582" s="75"/>
      <c r="V582" s="75"/>
      <c r="W582" s="74"/>
      <c r="X582" s="76"/>
      <c r="Y582" s="76"/>
      <c r="Z582" s="76"/>
      <c r="AA582" s="76"/>
      <c r="AB582" s="76"/>
      <c r="AC582" s="74"/>
      <c r="AD582" s="77"/>
      <c r="AE582" s="77"/>
      <c r="AF582" s="77"/>
      <c r="AG582" s="77"/>
      <c r="AH582" s="77"/>
      <c r="AI582" s="68"/>
      <c r="AJ582" s="213"/>
      <c r="AK582" s="213"/>
      <c r="AL582" s="213"/>
      <c r="AM582" s="213"/>
      <c r="AN582" s="74"/>
      <c r="AO582" s="73"/>
      <c r="AP582" s="73"/>
      <c r="AQ582" s="73"/>
      <c r="AR582" s="73"/>
      <c r="AS582" s="73"/>
      <c r="AT582" s="74"/>
      <c r="AU582" s="47"/>
      <c r="AV582" s="48"/>
    </row>
    <row r="583" spans="1:48" ht="12.75" customHeight="1" x14ac:dyDescent="0.25">
      <c r="A583" s="72" t="s">
        <v>20</v>
      </c>
      <c r="B583" s="43" t="s">
        <v>4043</v>
      </c>
      <c r="C583" s="44" t="s">
        <v>3911</v>
      </c>
      <c r="D583" s="45">
        <f>MROUND(MID($C583,6,3)/Basis!$E$3,0.5)</f>
        <v>34.5</v>
      </c>
      <c r="E583" s="45">
        <f>MROUND(MID($C583,9,3)/Basis!$E$3,0.5)</f>
        <v>47</v>
      </c>
      <c r="F583" s="229" t="str">
        <f t="shared" si="8"/>
        <v>22</v>
      </c>
      <c r="G583" s="45">
        <f>ROUND(9/Basis!$E$3,1)</f>
        <v>3.5</v>
      </c>
      <c r="H583" s="120">
        <f>ROUND($P583*Basis!$E$2*((TaH-TrH)/LN(1/µ)/Basis!$E$7)^$N583*Glycol,0)</f>
        <v>5235</v>
      </c>
      <c r="I583" s="83">
        <f>ROUND(H583/(MID($C583,9,3)/Basis!$E$3/Basis!$E$9)*Basis!$E$11,0)</f>
        <v>1330</v>
      </c>
      <c r="J583" s="123">
        <f>IF(Basis!$E$1=1,ROUND(H583/((TaH-TrH)*1.163)/3600,3),ROUND(H583/(500*(TaH-TrH)),2))</f>
        <v>0.52</v>
      </c>
      <c r="K583" s="84"/>
      <c r="L583" s="177">
        <f>CHOOSE(Basis!$E$1,((AJ583*(J583*3600/Basis!$E$5)^AK583*(((MID(C583,9,3)*10)-144)/1000)*AL583+AM583*(J583*3600/Basis!$E$5)^2)*0.0098)/Basis!$E$10,((AJ583*(J583/Basis!$E$5)^AK583*(((MID(C583,9,3)*10)-144)/1000)*AL583+AM583*(J583/Basis!$E$5)^2)*0.0098)/Basis!$E$10)</f>
        <v>0</v>
      </c>
      <c r="M583" s="85"/>
      <c r="N583" s="110">
        <v>1.3480000000000001</v>
      </c>
      <c r="O583" s="74"/>
      <c r="P583" s="73">
        <v>2394</v>
      </c>
      <c r="Q583" s="74"/>
      <c r="R583" s="75"/>
      <c r="S583" s="75"/>
      <c r="T583" s="75"/>
      <c r="U583" s="75"/>
      <c r="V583" s="75"/>
      <c r="W583" s="74"/>
      <c r="X583" s="76"/>
      <c r="Y583" s="76"/>
      <c r="Z583" s="76"/>
      <c r="AA583" s="76"/>
      <c r="AB583" s="76"/>
      <c r="AC583" s="74"/>
      <c r="AD583" s="77"/>
      <c r="AE583" s="77"/>
      <c r="AF583" s="77"/>
      <c r="AG583" s="77"/>
      <c r="AH583" s="77"/>
      <c r="AI583" s="68"/>
      <c r="AJ583" s="213"/>
      <c r="AK583" s="213"/>
      <c r="AL583" s="213"/>
      <c r="AM583" s="213"/>
      <c r="AN583" s="74"/>
      <c r="AO583" s="73"/>
      <c r="AP583" s="73"/>
      <c r="AQ583" s="73"/>
      <c r="AR583" s="73"/>
      <c r="AS583" s="73"/>
      <c r="AT583" s="74"/>
      <c r="AU583" s="47"/>
      <c r="AV583" s="48"/>
    </row>
    <row r="584" spans="1:48" ht="12.75" customHeight="1" x14ac:dyDescent="0.25">
      <c r="A584" s="72" t="s">
        <v>20</v>
      </c>
      <c r="B584" s="43" t="s">
        <v>4043</v>
      </c>
      <c r="C584" s="44" t="s">
        <v>3912</v>
      </c>
      <c r="D584" s="45">
        <f>MROUND(MID($C584,6,3)/Basis!$E$3,0.5)</f>
        <v>34.5</v>
      </c>
      <c r="E584" s="45">
        <f>MROUND(MID($C584,9,3)/Basis!$E$3,0.5)</f>
        <v>55</v>
      </c>
      <c r="F584" s="229" t="str">
        <f t="shared" si="8"/>
        <v>11</v>
      </c>
      <c r="G584" s="45">
        <f>ROUND(5/Basis!$E$3,1)</f>
        <v>2</v>
      </c>
      <c r="H584" s="120">
        <f>ROUND($P584*Basis!$E$2*((TaH-TrH)/LN(1/µ)/Basis!$E$7)^$N584*Glycol,0)</f>
        <v>3744</v>
      </c>
      <c r="I584" s="83">
        <f>ROUND(H584/(MID($C584,9,3)/Basis!$E$3/Basis!$E$9)*Basis!$E$11,0)</f>
        <v>815</v>
      </c>
      <c r="J584" s="123">
        <f>IF(Basis!$E$1=1,ROUND(H584/((TaH-TrH)*1.163)/3600,3),ROUND(H584/(500*(TaH-TrH)),2))</f>
        <v>0.37</v>
      </c>
      <c r="K584" s="84"/>
      <c r="L584" s="177">
        <f>CHOOSE(Basis!$E$1,((AJ584*(J584*3600/Basis!$E$5)^AK584*(((MID(C584,9,3)*10)-144)/1000)*AL584+AM584*(J584*3600/Basis!$E$5)^2)*0.0098)/Basis!$E$10,((AJ584*(J584/Basis!$E$5)^AK584*(((MID(C584,9,3)*10)-144)/1000)*AL584+AM584*(J584/Basis!$E$5)^2)*0.0098)/Basis!$E$10)</f>
        <v>0</v>
      </c>
      <c r="M584" s="85"/>
      <c r="N584" s="109">
        <v>1.2490000000000001</v>
      </c>
      <c r="O584" s="68"/>
      <c r="P584" s="67">
        <v>1657</v>
      </c>
      <c r="Q584" s="68"/>
      <c r="R584" s="69"/>
      <c r="S584" s="69"/>
      <c r="T584" s="69"/>
      <c r="U584" s="69"/>
      <c r="V584" s="69"/>
      <c r="W584" s="68"/>
      <c r="X584" s="70"/>
      <c r="Y584" s="70"/>
      <c r="Z584" s="70"/>
      <c r="AA584" s="70"/>
      <c r="AB584" s="70"/>
      <c r="AC584" s="68"/>
      <c r="AD584" s="71"/>
      <c r="AE584" s="71"/>
      <c r="AF584" s="71"/>
      <c r="AG584" s="71"/>
      <c r="AH584" s="71"/>
      <c r="AI584" s="68"/>
      <c r="AJ584" s="214"/>
      <c r="AK584" s="214"/>
      <c r="AL584" s="214"/>
      <c r="AM584" s="214"/>
      <c r="AN584" s="68"/>
      <c r="AO584" s="67"/>
      <c r="AP584" s="67"/>
      <c r="AQ584" s="67"/>
      <c r="AR584" s="67"/>
      <c r="AS584" s="67"/>
      <c r="AT584" s="68"/>
      <c r="AU584" s="49"/>
      <c r="AV584" s="50"/>
    </row>
    <row r="585" spans="1:48" ht="12.75" customHeight="1" x14ac:dyDescent="0.25">
      <c r="A585" s="72" t="s">
        <v>20</v>
      </c>
      <c r="B585" s="43" t="s">
        <v>4043</v>
      </c>
      <c r="C585" s="44" t="s">
        <v>3913</v>
      </c>
      <c r="D585" s="45">
        <f>MROUND(MID($C585,6,3)/Basis!$E$3,0.5)</f>
        <v>34.5</v>
      </c>
      <c r="E585" s="45">
        <f>MROUND(MID($C585,9,3)/Basis!$E$3,0.5)</f>
        <v>55</v>
      </c>
      <c r="F585" s="229" t="str">
        <f t="shared" si="8"/>
        <v>22</v>
      </c>
      <c r="G585" s="45">
        <f>ROUND(9/Basis!$E$3,1)</f>
        <v>3.5</v>
      </c>
      <c r="H585" s="120">
        <f>ROUND($P585*Basis!$E$2*((TaH-TrH)/LN(1/µ)/Basis!$E$7)^$N585*Glycol,0)</f>
        <v>6108</v>
      </c>
      <c r="I585" s="83">
        <f>ROUND(H585/(MID($C585,9,3)/Basis!$E$3/Basis!$E$9)*Basis!$E$11,0)</f>
        <v>1330</v>
      </c>
      <c r="J585" s="123">
        <f>IF(Basis!$E$1=1,ROUND(H585/((TaH-TrH)*1.163)/3600,3),ROUND(H585/(500*(TaH-TrH)),2))</f>
        <v>0.61</v>
      </c>
      <c r="K585" s="84"/>
      <c r="L585" s="177">
        <f>CHOOSE(Basis!$E$1,((AJ585*(J585*3600/Basis!$E$5)^AK585*(((MID(C585,9,3)*10)-144)/1000)*AL585+AM585*(J585*3600/Basis!$E$5)^2)*0.0098)/Basis!$E$10,((AJ585*(J585/Basis!$E$5)^AK585*(((MID(C585,9,3)*10)-144)/1000)*AL585+AM585*(J585/Basis!$E$5)^2)*0.0098)/Basis!$E$10)</f>
        <v>0</v>
      </c>
      <c r="M585" s="85"/>
      <c r="N585" s="109">
        <v>1.3480000000000001</v>
      </c>
      <c r="O585" s="68"/>
      <c r="P585" s="67">
        <v>2793</v>
      </c>
      <c r="Q585" s="68"/>
      <c r="R585" s="69"/>
      <c r="S585" s="69"/>
      <c r="T585" s="69"/>
      <c r="U585" s="69"/>
      <c r="V585" s="69"/>
      <c r="W585" s="68"/>
      <c r="X585" s="70"/>
      <c r="Y585" s="70"/>
      <c r="Z585" s="70"/>
      <c r="AA585" s="70"/>
      <c r="AB585" s="70"/>
      <c r="AC585" s="68"/>
      <c r="AD585" s="71"/>
      <c r="AE585" s="71"/>
      <c r="AF585" s="71"/>
      <c r="AG585" s="71"/>
      <c r="AH585" s="71"/>
      <c r="AI585" s="68"/>
      <c r="AJ585" s="214"/>
      <c r="AK585" s="214"/>
      <c r="AL585" s="214"/>
      <c r="AM585" s="214"/>
      <c r="AN585" s="68"/>
      <c r="AO585" s="67"/>
      <c r="AP585" s="67"/>
      <c r="AQ585" s="67"/>
      <c r="AR585" s="67"/>
      <c r="AS585" s="67"/>
      <c r="AT585" s="68"/>
      <c r="AU585" s="49"/>
      <c r="AV585" s="50"/>
    </row>
    <row r="586" spans="1:48" ht="12.75" customHeight="1" x14ac:dyDescent="0.25">
      <c r="A586" s="72" t="s">
        <v>20</v>
      </c>
      <c r="B586" s="43" t="s">
        <v>4043</v>
      </c>
      <c r="C586" s="44" t="s">
        <v>3914</v>
      </c>
      <c r="D586" s="45">
        <f>MROUND(MID($C586,6,3)/Basis!$E$3,0.5)</f>
        <v>34.5</v>
      </c>
      <c r="E586" s="45">
        <f>MROUND(MID($C586,9,3)/Basis!$E$3,0.5)</f>
        <v>63</v>
      </c>
      <c r="F586" s="229" t="str">
        <f t="shared" si="8"/>
        <v>11</v>
      </c>
      <c r="G586" s="45">
        <f>ROUND(5/Basis!$E$3,1)</f>
        <v>2</v>
      </c>
      <c r="H586" s="120">
        <f>ROUND($P586*Basis!$E$2*((TaH-TrH)/LN(1/µ)/Basis!$E$7)^$N586*Glycol,0)</f>
        <v>4279</v>
      </c>
      <c r="I586" s="83">
        <f>ROUND(H586/(MID($C586,9,3)/Basis!$E$3/Basis!$E$9)*Basis!$E$11,0)</f>
        <v>815</v>
      </c>
      <c r="J586" s="123">
        <f>IF(Basis!$E$1=1,ROUND(H586/((TaH-TrH)*1.163)/3600,3),ROUND(H586/(500*(TaH-TrH)),2))</f>
        <v>0.43</v>
      </c>
      <c r="K586" s="84"/>
      <c r="L586" s="177">
        <f>CHOOSE(Basis!$E$1,((AJ586*(J586*3600/Basis!$E$5)^AK586*(((MID(C586,9,3)*10)-144)/1000)*AL586+AM586*(J586*3600/Basis!$E$5)^2)*0.0098)/Basis!$E$10,((AJ586*(J586/Basis!$E$5)^AK586*(((MID(C586,9,3)*10)-144)/1000)*AL586+AM586*(J586/Basis!$E$5)^2)*0.0098)/Basis!$E$10)</f>
        <v>0</v>
      </c>
      <c r="M586" s="85"/>
      <c r="N586" s="110">
        <v>1.2490000000000001</v>
      </c>
      <c r="O586" s="74"/>
      <c r="P586" s="73">
        <v>1894</v>
      </c>
      <c r="Q586" s="74"/>
      <c r="R586" s="75"/>
      <c r="S586" s="75"/>
      <c r="T586" s="75"/>
      <c r="U586" s="75"/>
      <c r="V586" s="75"/>
      <c r="W586" s="74"/>
      <c r="X586" s="76"/>
      <c r="Y586" s="76"/>
      <c r="Z586" s="76"/>
      <c r="AA586" s="76"/>
      <c r="AB586" s="76"/>
      <c r="AC586" s="74"/>
      <c r="AD586" s="77"/>
      <c r="AE586" s="77"/>
      <c r="AF586" s="77"/>
      <c r="AG586" s="77"/>
      <c r="AH586" s="77"/>
      <c r="AI586" s="68"/>
      <c r="AJ586" s="213"/>
      <c r="AK586" s="213"/>
      <c r="AL586" s="213"/>
      <c r="AM586" s="213"/>
      <c r="AN586" s="74"/>
      <c r="AO586" s="73"/>
      <c r="AP586" s="73"/>
      <c r="AQ586" s="73"/>
      <c r="AR586" s="73"/>
      <c r="AS586" s="73"/>
      <c r="AT586" s="74"/>
      <c r="AU586" s="47"/>
      <c r="AV586" s="48"/>
    </row>
    <row r="587" spans="1:48" ht="12.75" customHeight="1" x14ac:dyDescent="0.25">
      <c r="A587" s="72" t="s">
        <v>20</v>
      </c>
      <c r="B587" s="43" t="s">
        <v>4043</v>
      </c>
      <c r="C587" s="44" t="s">
        <v>3915</v>
      </c>
      <c r="D587" s="45">
        <f>MROUND(MID($C587,6,3)/Basis!$E$3,0.5)</f>
        <v>34.5</v>
      </c>
      <c r="E587" s="45">
        <f>MROUND(MID($C587,9,3)/Basis!$E$3,0.5)</f>
        <v>63</v>
      </c>
      <c r="F587" s="229" t="str">
        <f t="shared" ref="F587:F650" si="9">MID(C587,12,2)</f>
        <v>22</v>
      </c>
      <c r="G587" s="45">
        <f>ROUND(9/Basis!$E$3,1)</f>
        <v>3.5</v>
      </c>
      <c r="H587" s="120">
        <f>ROUND($P587*Basis!$E$2*((TaH-TrH)/LN(1/µ)/Basis!$E$7)^$N587*Glycol,0)</f>
        <v>6980</v>
      </c>
      <c r="I587" s="83">
        <f>ROUND(H587/(MID($C587,9,3)/Basis!$E$3/Basis!$E$9)*Basis!$E$11,0)</f>
        <v>1330</v>
      </c>
      <c r="J587" s="123">
        <f>IF(Basis!$E$1=1,ROUND(H587/((TaH-TrH)*1.163)/3600,3),ROUND(H587/(500*(TaH-TrH)),2))</f>
        <v>0.7</v>
      </c>
      <c r="K587" s="84"/>
      <c r="L587" s="177">
        <f>CHOOSE(Basis!$E$1,((AJ587*(J587*3600/Basis!$E$5)^AK587*(((MID(C587,9,3)*10)-144)/1000)*AL587+AM587*(J587*3600/Basis!$E$5)^2)*0.0098)/Basis!$E$10,((AJ587*(J587/Basis!$E$5)^AK587*(((MID(C587,9,3)*10)-144)/1000)*AL587+AM587*(J587/Basis!$E$5)^2)*0.0098)/Basis!$E$10)</f>
        <v>0</v>
      </c>
      <c r="M587" s="85"/>
      <c r="N587" s="110">
        <v>1.3480000000000001</v>
      </c>
      <c r="O587" s="74"/>
      <c r="P587" s="73">
        <v>3192</v>
      </c>
      <c r="Q587" s="74"/>
      <c r="R587" s="75"/>
      <c r="S587" s="75"/>
      <c r="T587" s="75"/>
      <c r="U587" s="75"/>
      <c r="V587" s="75"/>
      <c r="W587" s="74"/>
      <c r="X587" s="76"/>
      <c r="Y587" s="76"/>
      <c r="Z587" s="76"/>
      <c r="AA587" s="76"/>
      <c r="AB587" s="76"/>
      <c r="AC587" s="74"/>
      <c r="AD587" s="77"/>
      <c r="AE587" s="77"/>
      <c r="AF587" s="77"/>
      <c r="AG587" s="77"/>
      <c r="AH587" s="77"/>
      <c r="AI587" s="68"/>
      <c r="AJ587" s="213"/>
      <c r="AK587" s="213"/>
      <c r="AL587" s="213"/>
      <c r="AM587" s="213"/>
      <c r="AN587" s="74"/>
      <c r="AO587" s="73"/>
      <c r="AP587" s="73"/>
      <c r="AQ587" s="73"/>
      <c r="AR587" s="73"/>
      <c r="AS587" s="73"/>
      <c r="AT587" s="74"/>
      <c r="AU587" s="47"/>
      <c r="AV587" s="48"/>
    </row>
    <row r="588" spans="1:48" ht="12.75" customHeight="1" x14ac:dyDescent="0.25">
      <c r="A588" s="72" t="s">
        <v>20</v>
      </c>
      <c r="B588" s="43" t="s">
        <v>4043</v>
      </c>
      <c r="C588" s="44" t="s">
        <v>3916</v>
      </c>
      <c r="D588" s="45">
        <f>MROUND(MID($C588,6,3)/Basis!$E$3,0.5)</f>
        <v>34.5</v>
      </c>
      <c r="E588" s="45">
        <f>MROUND(MID($C588,9,3)/Basis!$E$3,0.5)</f>
        <v>71</v>
      </c>
      <c r="F588" s="229" t="str">
        <f t="shared" si="9"/>
        <v>11</v>
      </c>
      <c r="G588" s="45">
        <f>ROUND(5/Basis!$E$3,1)</f>
        <v>2</v>
      </c>
      <c r="H588" s="120">
        <f>ROUND($P588*Basis!$E$2*((TaH-TrH)/LN(1/µ)/Basis!$E$7)^$N588*Glycol,0)</f>
        <v>4815</v>
      </c>
      <c r="I588" s="83">
        <f>ROUND(H588/(MID($C588,9,3)/Basis!$E$3/Basis!$E$9)*Basis!$E$11,0)</f>
        <v>815</v>
      </c>
      <c r="J588" s="123">
        <f>IF(Basis!$E$1=1,ROUND(H588/((TaH-TrH)*1.163)/3600,3),ROUND(H588/(500*(TaH-TrH)),2))</f>
        <v>0.48</v>
      </c>
      <c r="K588" s="84"/>
      <c r="L588" s="177">
        <f>CHOOSE(Basis!$E$1,((AJ588*(J588*3600/Basis!$E$5)^AK588*(((MID(C588,9,3)*10)-144)/1000)*AL588+AM588*(J588*3600/Basis!$E$5)^2)*0.0098)/Basis!$E$10,((AJ588*(J588/Basis!$E$5)^AK588*(((MID(C588,9,3)*10)-144)/1000)*AL588+AM588*(J588/Basis!$E$5)^2)*0.0098)/Basis!$E$10)</f>
        <v>0</v>
      </c>
      <c r="M588" s="85"/>
      <c r="N588" s="109">
        <v>1.2490000000000001</v>
      </c>
      <c r="O588" s="68"/>
      <c r="P588" s="67">
        <v>2131</v>
      </c>
      <c r="Q588" s="68"/>
      <c r="R588" s="69"/>
      <c r="S588" s="69"/>
      <c r="T588" s="69"/>
      <c r="U588" s="69"/>
      <c r="V588" s="69"/>
      <c r="W588" s="68"/>
      <c r="X588" s="70"/>
      <c r="Y588" s="70"/>
      <c r="Z588" s="70"/>
      <c r="AA588" s="70"/>
      <c r="AB588" s="70"/>
      <c r="AC588" s="68"/>
      <c r="AD588" s="71"/>
      <c r="AE588" s="71"/>
      <c r="AF588" s="71"/>
      <c r="AG588" s="71"/>
      <c r="AH588" s="71"/>
      <c r="AI588" s="68"/>
      <c r="AJ588" s="214"/>
      <c r="AK588" s="214"/>
      <c r="AL588" s="214"/>
      <c r="AM588" s="214"/>
      <c r="AN588" s="68"/>
      <c r="AO588" s="67"/>
      <c r="AP588" s="67"/>
      <c r="AQ588" s="67"/>
      <c r="AR588" s="67"/>
      <c r="AS588" s="67"/>
      <c r="AT588" s="68"/>
      <c r="AU588" s="49"/>
      <c r="AV588" s="50"/>
    </row>
    <row r="589" spans="1:48" ht="12.75" customHeight="1" x14ac:dyDescent="0.25">
      <c r="A589" s="72" t="s">
        <v>20</v>
      </c>
      <c r="B589" s="43" t="s">
        <v>4043</v>
      </c>
      <c r="C589" s="44" t="s">
        <v>3917</v>
      </c>
      <c r="D589" s="45">
        <f>MROUND(MID($C589,6,3)/Basis!$E$3,0.5)</f>
        <v>34.5</v>
      </c>
      <c r="E589" s="45">
        <f>MROUND(MID($C589,9,3)/Basis!$E$3,0.5)</f>
        <v>71</v>
      </c>
      <c r="F589" s="229" t="str">
        <f t="shared" si="9"/>
        <v>22</v>
      </c>
      <c r="G589" s="45">
        <f>ROUND(9/Basis!$E$3,1)</f>
        <v>3.5</v>
      </c>
      <c r="H589" s="120">
        <f>ROUND($P589*Basis!$E$2*((TaH-TrH)/LN(1/µ)/Basis!$E$7)^$N589*Glycol,0)</f>
        <v>7853</v>
      </c>
      <c r="I589" s="83">
        <f>ROUND(H589/(MID($C589,9,3)/Basis!$E$3/Basis!$E$9)*Basis!$E$11,0)</f>
        <v>1330</v>
      </c>
      <c r="J589" s="123">
        <f>IF(Basis!$E$1=1,ROUND(H589/((TaH-TrH)*1.163)/3600,3),ROUND(H589/(500*(TaH-TrH)),2))</f>
        <v>0.79</v>
      </c>
      <c r="K589" s="84"/>
      <c r="L589" s="177">
        <f>CHOOSE(Basis!$E$1,((AJ589*(J589*3600/Basis!$E$5)^AK589*(((MID(C589,9,3)*10)-144)/1000)*AL589+AM589*(J589*3600/Basis!$E$5)^2)*0.0098)/Basis!$E$10,((AJ589*(J589/Basis!$E$5)^AK589*(((MID(C589,9,3)*10)-144)/1000)*AL589+AM589*(J589/Basis!$E$5)^2)*0.0098)/Basis!$E$10)</f>
        <v>0</v>
      </c>
      <c r="M589" s="85"/>
      <c r="N589" s="109">
        <v>1.3480000000000001</v>
      </c>
      <c r="O589" s="68"/>
      <c r="P589" s="67">
        <v>3591</v>
      </c>
      <c r="Q589" s="68"/>
      <c r="R589" s="69"/>
      <c r="S589" s="69"/>
      <c r="T589" s="69"/>
      <c r="U589" s="69"/>
      <c r="V589" s="69"/>
      <c r="W589" s="68"/>
      <c r="X589" s="70"/>
      <c r="Y589" s="70"/>
      <c r="Z589" s="70"/>
      <c r="AA589" s="70"/>
      <c r="AB589" s="70"/>
      <c r="AC589" s="68"/>
      <c r="AD589" s="71"/>
      <c r="AE589" s="71"/>
      <c r="AF589" s="71"/>
      <c r="AG589" s="71"/>
      <c r="AH589" s="71"/>
      <c r="AI589" s="68"/>
      <c r="AJ589" s="214"/>
      <c r="AK589" s="214"/>
      <c r="AL589" s="214"/>
      <c r="AM589" s="214"/>
      <c r="AN589" s="68"/>
      <c r="AO589" s="67"/>
      <c r="AP589" s="67"/>
      <c r="AQ589" s="67"/>
      <c r="AR589" s="67"/>
      <c r="AS589" s="67"/>
      <c r="AT589" s="68"/>
      <c r="AU589" s="49"/>
      <c r="AV589" s="50"/>
    </row>
    <row r="590" spans="1:48" ht="12.75" customHeight="1" x14ac:dyDescent="0.25">
      <c r="A590" s="72" t="s">
        <v>20</v>
      </c>
      <c r="B590" s="43" t="s">
        <v>4043</v>
      </c>
      <c r="C590" s="44" t="s">
        <v>3918</v>
      </c>
      <c r="D590" s="45">
        <f>MROUND(MID($C590,6,3)/Basis!$E$3,0.5)</f>
        <v>34.5</v>
      </c>
      <c r="E590" s="45">
        <f>MROUND(MID($C590,9,3)/Basis!$E$3,0.5)</f>
        <v>78.5</v>
      </c>
      <c r="F590" s="229" t="str">
        <f t="shared" si="9"/>
        <v>11</v>
      </c>
      <c r="G590" s="45">
        <f>ROUND(5/Basis!$E$3,1)</f>
        <v>2</v>
      </c>
      <c r="H590" s="120">
        <f>ROUND($P590*Basis!$E$2*((TaH-TrH)/LN(1/µ)/Basis!$E$7)^$N590*Glycol,0)</f>
        <v>5348</v>
      </c>
      <c r="I590" s="83">
        <f>ROUND(H590/(MID($C590,9,3)/Basis!$E$3/Basis!$E$9)*Basis!$E$11,0)</f>
        <v>815</v>
      </c>
      <c r="J590" s="123">
        <f>IF(Basis!$E$1=1,ROUND(H590/((TaH-TrH)*1.163)/3600,3),ROUND(H590/(500*(TaH-TrH)),2))</f>
        <v>0.53</v>
      </c>
      <c r="K590" s="84"/>
      <c r="L590" s="177">
        <f>CHOOSE(Basis!$E$1,((AJ590*(J590*3600/Basis!$E$5)^AK590*(((MID(C590,9,3)*10)-144)/1000)*AL590+AM590*(J590*3600/Basis!$E$5)^2)*0.0098)/Basis!$E$10,((AJ590*(J590/Basis!$E$5)^AK590*(((MID(C590,9,3)*10)-144)/1000)*AL590+AM590*(J590/Basis!$E$5)^2)*0.0098)/Basis!$E$10)</f>
        <v>0</v>
      </c>
      <c r="M590" s="85"/>
      <c r="N590" s="110">
        <v>1.2490000000000001</v>
      </c>
      <c r="O590" s="74"/>
      <c r="P590" s="73">
        <v>2367</v>
      </c>
      <c r="Q590" s="74"/>
      <c r="R590" s="75"/>
      <c r="S590" s="75"/>
      <c r="T590" s="75"/>
      <c r="U590" s="75"/>
      <c r="V590" s="75"/>
      <c r="W590" s="74"/>
      <c r="X590" s="76"/>
      <c r="Y590" s="76"/>
      <c r="Z590" s="76"/>
      <c r="AA590" s="76"/>
      <c r="AB590" s="76"/>
      <c r="AC590" s="74"/>
      <c r="AD590" s="77"/>
      <c r="AE590" s="77"/>
      <c r="AF590" s="77"/>
      <c r="AG590" s="77"/>
      <c r="AH590" s="77"/>
      <c r="AI590" s="68"/>
      <c r="AJ590" s="213"/>
      <c r="AK590" s="213"/>
      <c r="AL590" s="213"/>
      <c r="AM590" s="213"/>
      <c r="AN590" s="74"/>
      <c r="AO590" s="73"/>
      <c r="AP590" s="73"/>
      <c r="AQ590" s="73"/>
      <c r="AR590" s="73"/>
      <c r="AS590" s="73"/>
      <c r="AT590" s="74"/>
      <c r="AU590" s="47"/>
      <c r="AV590" s="48"/>
    </row>
    <row r="591" spans="1:48" ht="12.75" customHeight="1" x14ac:dyDescent="0.25">
      <c r="A591" s="72" t="s">
        <v>20</v>
      </c>
      <c r="B591" s="43" t="s">
        <v>4043</v>
      </c>
      <c r="C591" s="44" t="s">
        <v>3919</v>
      </c>
      <c r="D591" s="45">
        <f>MROUND(MID($C591,6,3)/Basis!$E$3,0.5)</f>
        <v>34.5</v>
      </c>
      <c r="E591" s="45">
        <f>MROUND(MID($C591,9,3)/Basis!$E$3,0.5)</f>
        <v>78.5</v>
      </c>
      <c r="F591" s="229" t="str">
        <f t="shared" si="9"/>
        <v>22</v>
      </c>
      <c r="G591" s="45">
        <f>ROUND(9/Basis!$E$3,1)</f>
        <v>3.5</v>
      </c>
      <c r="H591" s="120">
        <f>ROUND($P591*Basis!$E$2*((TaH-TrH)/LN(1/µ)/Basis!$E$7)^$N591*Glycol,0)</f>
        <v>8725</v>
      </c>
      <c r="I591" s="83">
        <f>ROUND(H591/(MID($C591,9,3)/Basis!$E$3/Basis!$E$9)*Basis!$E$11,0)</f>
        <v>1330</v>
      </c>
      <c r="J591" s="123">
        <f>IF(Basis!$E$1=1,ROUND(H591/((TaH-TrH)*1.163)/3600,3),ROUND(H591/(500*(TaH-TrH)),2))</f>
        <v>0.87</v>
      </c>
      <c r="K591" s="84"/>
      <c r="L591" s="177">
        <f>CHOOSE(Basis!$E$1,((AJ591*(J591*3600/Basis!$E$5)^AK591*(((MID(C591,9,3)*10)-144)/1000)*AL591+AM591*(J591*3600/Basis!$E$5)^2)*0.0098)/Basis!$E$10,((AJ591*(J591/Basis!$E$5)^AK591*(((MID(C591,9,3)*10)-144)/1000)*AL591+AM591*(J591/Basis!$E$5)^2)*0.0098)/Basis!$E$10)</f>
        <v>0</v>
      </c>
      <c r="M591" s="85"/>
      <c r="N591" s="110">
        <v>1.3480000000000001</v>
      </c>
      <c r="O591" s="74"/>
      <c r="P591" s="73">
        <v>3990</v>
      </c>
      <c r="Q591" s="74"/>
      <c r="R591" s="75"/>
      <c r="S591" s="75"/>
      <c r="T591" s="75"/>
      <c r="U591" s="75"/>
      <c r="V591" s="75"/>
      <c r="W591" s="74"/>
      <c r="X591" s="76"/>
      <c r="Y591" s="76"/>
      <c r="Z591" s="76"/>
      <c r="AA591" s="76"/>
      <c r="AB591" s="76"/>
      <c r="AC591" s="74"/>
      <c r="AD591" s="77"/>
      <c r="AE591" s="77"/>
      <c r="AF591" s="77"/>
      <c r="AG591" s="77"/>
      <c r="AH591" s="77"/>
      <c r="AI591" s="68"/>
      <c r="AJ591" s="213"/>
      <c r="AK591" s="213"/>
      <c r="AL591" s="213"/>
      <c r="AM591" s="213"/>
      <c r="AN591" s="74"/>
      <c r="AO591" s="73"/>
      <c r="AP591" s="73"/>
      <c r="AQ591" s="73"/>
      <c r="AR591" s="73"/>
      <c r="AS591" s="73"/>
      <c r="AT591" s="74"/>
      <c r="AU591" s="47"/>
      <c r="AV591" s="48"/>
    </row>
    <row r="592" spans="1:48" ht="12.75" customHeight="1" x14ac:dyDescent="0.25">
      <c r="A592" s="72" t="s">
        <v>20</v>
      </c>
      <c r="B592" s="43" t="s">
        <v>4043</v>
      </c>
      <c r="C592" s="44" t="s">
        <v>3920</v>
      </c>
      <c r="D592" s="45">
        <f>MROUND(MID($C592,6,3)/Basis!$E$3,0.5)</f>
        <v>34.5</v>
      </c>
      <c r="E592" s="45">
        <f>MROUND(MID($C592,9,3)/Basis!$E$3,0.5)</f>
        <v>86.5</v>
      </c>
      <c r="F592" s="229" t="str">
        <f t="shared" si="9"/>
        <v>11</v>
      </c>
      <c r="G592" s="45">
        <f>ROUND(5/Basis!$E$3,1)</f>
        <v>2</v>
      </c>
      <c r="H592" s="120">
        <f>ROUND($P592*Basis!$E$2*((TaH-TrH)/LN(1/µ)/Basis!$E$7)^$N592*Glycol,0)</f>
        <v>5884</v>
      </c>
      <c r="I592" s="83">
        <f>ROUND(H592/(MID($C592,9,3)/Basis!$E$3/Basis!$E$9)*Basis!$E$11,0)</f>
        <v>815</v>
      </c>
      <c r="J592" s="123">
        <f>IF(Basis!$E$1=1,ROUND(H592/((TaH-TrH)*1.163)/3600,3),ROUND(H592/(500*(TaH-TrH)),2))</f>
        <v>0.59</v>
      </c>
      <c r="K592" s="84"/>
      <c r="L592" s="177">
        <f>CHOOSE(Basis!$E$1,((AJ592*(J592*3600/Basis!$E$5)^AK592*(((MID(C592,9,3)*10)-144)/1000)*AL592+AM592*(J592*3600/Basis!$E$5)^2)*0.0098)/Basis!$E$10,((AJ592*(J592/Basis!$E$5)^AK592*(((MID(C592,9,3)*10)-144)/1000)*AL592+AM592*(J592/Basis!$E$5)^2)*0.0098)/Basis!$E$10)</f>
        <v>0</v>
      </c>
      <c r="M592" s="85"/>
      <c r="N592" s="109">
        <v>1.2490000000000001</v>
      </c>
      <c r="O592" s="68"/>
      <c r="P592" s="67">
        <v>2604</v>
      </c>
      <c r="Q592" s="68"/>
      <c r="R592" s="69"/>
      <c r="S592" s="69"/>
      <c r="T592" s="69"/>
      <c r="U592" s="69"/>
      <c r="V592" s="69"/>
      <c r="W592" s="68"/>
      <c r="X592" s="70"/>
      <c r="Y592" s="70"/>
      <c r="Z592" s="70"/>
      <c r="AA592" s="70"/>
      <c r="AB592" s="70"/>
      <c r="AC592" s="68"/>
      <c r="AD592" s="71"/>
      <c r="AE592" s="71"/>
      <c r="AF592" s="71"/>
      <c r="AG592" s="71"/>
      <c r="AH592" s="71"/>
      <c r="AI592" s="68"/>
      <c r="AJ592" s="214"/>
      <c r="AK592" s="214"/>
      <c r="AL592" s="214"/>
      <c r="AM592" s="214"/>
      <c r="AN592" s="68"/>
      <c r="AO592" s="67"/>
      <c r="AP592" s="67"/>
      <c r="AQ592" s="67"/>
      <c r="AR592" s="67"/>
      <c r="AS592" s="67"/>
      <c r="AT592" s="68"/>
      <c r="AU592" s="49"/>
      <c r="AV592" s="50"/>
    </row>
    <row r="593" spans="1:48" ht="12.75" customHeight="1" x14ac:dyDescent="0.25">
      <c r="A593" s="72" t="s">
        <v>20</v>
      </c>
      <c r="B593" s="43" t="s">
        <v>4043</v>
      </c>
      <c r="C593" s="44" t="s">
        <v>3921</v>
      </c>
      <c r="D593" s="45">
        <f>MROUND(MID($C593,6,3)/Basis!$E$3,0.5)</f>
        <v>34.5</v>
      </c>
      <c r="E593" s="45">
        <f>MROUND(MID($C593,9,3)/Basis!$E$3,0.5)</f>
        <v>86.5</v>
      </c>
      <c r="F593" s="229" t="str">
        <f t="shared" si="9"/>
        <v>22</v>
      </c>
      <c r="G593" s="45">
        <f>ROUND(9/Basis!$E$3,1)</f>
        <v>3.5</v>
      </c>
      <c r="H593" s="120">
        <f>ROUND($P593*Basis!$E$2*((TaH-TrH)/LN(1/µ)/Basis!$E$7)^$N593*Glycol,0)</f>
        <v>9598</v>
      </c>
      <c r="I593" s="83">
        <f>ROUND(H593/(MID($C593,9,3)/Basis!$E$3/Basis!$E$9)*Basis!$E$11,0)</f>
        <v>1330</v>
      </c>
      <c r="J593" s="123">
        <f>IF(Basis!$E$1=1,ROUND(H593/((TaH-TrH)*1.163)/3600,3),ROUND(H593/(500*(TaH-TrH)),2))</f>
        <v>0.96</v>
      </c>
      <c r="K593" s="84"/>
      <c r="L593" s="177">
        <f>CHOOSE(Basis!$E$1,((AJ593*(J593*3600/Basis!$E$5)^AK593*(((MID(C593,9,3)*10)-144)/1000)*AL593+AM593*(J593*3600/Basis!$E$5)^2)*0.0098)/Basis!$E$10,((AJ593*(J593/Basis!$E$5)^AK593*(((MID(C593,9,3)*10)-144)/1000)*AL593+AM593*(J593/Basis!$E$5)^2)*0.0098)/Basis!$E$10)</f>
        <v>0</v>
      </c>
      <c r="M593" s="85"/>
      <c r="N593" s="109">
        <v>1.3480000000000001</v>
      </c>
      <c r="O593" s="68"/>
      <c r="P593" s="67">
        <v>4389</v>
      </c>
      <c r="Q593" s="68"/>
      <c r="R593" s="69"/>
      <c r="S593" s="69"/>
      <c r="T593" s="69"/>
      <c r="U593" s="69"/>
      <c r="V593" s="69"/>
      <c r="W593" s="68"/>
      <c r="X593" s="70"/>
      <c r="Y593" s="70"/>
      <c r="Z593" s="70"/>
      <c r="AA593" s="70"/>
      <c r="AB593" s="70"/>
      <c r="AC593" s="68"/>
      <c r="AD593" s="71"/>
      <c r="AE593" s="71"/>
      <c r="AF593" s="71"/>
      <c r="AG593" s="71"/>
      <c r="AH593" s="71"/>
      <c r="AI593" s="68"/>
      <c r="AJ593" s="214"/>
      <c r="AK593" s="214"/>
      <c r="AL593" s="214"/>
      <c r="AM593" s="214"/>
      <c r="AN593" s="68"/>
      <c r="AO593" s="67"/>
      <c r="AP593" s="67"/>
      <c r="AQ593" s="67"/>
      <c r="AR593" s="67"/>
      <c r="AS593" s="67"/>
      <c r="AT593" s="68"/>
      <c r="AU593" s="49"/>
      <c r="AV593" s="50"/>
    </row>
    <row r="594" spans="1:48" ht="12.75" customHeight="1" x14ac:dyDescent="0.25">
      <c r="A594" s="72" t="s">
        <v>20</v>
      </c>
      <c r="B594" s="43" t="s">
        <v>4043</v>
      </c>
      <c r="C594" s="44" t="s">
        <v>3922</v>
      </c>
      <c r="D594" s="45">
        <f>MROUND(MID($C594,6,3)/Basis!$E$3,0.5)</f>
        <v>34.5</v>
      </c>
      <c r="E594" s="45">
        <f>MROUND(MID($C594,9,3)/Basis!$E$3,0.5)</f>
        <v>94.5</v>
      </c>
      <c r="F594" s="229" t="str">
        <f t="shared" si="9"/>
        <v>11</v>
      </c>
      <c r="G594" s="45">
        <f>ROUND(5/Basis!$E$3,1)</f>
        <v>2</v>
      </c>
      <c r="H594" s="120">
        <f>ROUND($P594*Basis!$E$2*((TaH-TrH)/LN(1/µ)/Basis!$E$7)^$N594*Glycol,0)</f>
        <v>6419</v>
      </c>
      <c r="I594" s="83">
        <f>ROUND(H594/(MID($C594,9,3)/Basis!$E$3/Basis!$E$9)*Basis!$E$11,0)</f>
        <v>815</v>
      </c>
      <c r="J594" s="123">
        <f>IF(Basis!$E$1=1,ROUND(H594/((TaH-TrH)*1.163)/3600,3),ROUND(H594/(500*(TaH-TrH)),2))</f>
        <v>0.64</v>
      </c>
      <c r="K594" s="84"/>
      <c r="L594" s="177">
        <f>CHOOSE(Basis!$E$1,((AJ594*(J594*3600/Basis!$E$5)^AK594*(((MID(C594,9,3)*10)-144)/1000)*AL594+AM594*(J594*3600/Basis!$E$5)^2)*0.0098)/Basis!$E$10,((AJ594*(J594/Basis!$E$5)^AK594*(((MID(C594,9,3)*10)-144)/1000)*AL594+AM594*(J594/Basis!$E$5)^2)*0.0098)/Basis!$E$10)</f>
        <v>0</v>
      </c>
      <c r="M594" s="85"/>
      <c r="N594" s="110">
        <v>1.2490000000000001</v>
      </c>
      <c r="O594" s="74"/>
      <c r="P594" s="73">
        <v>2841</v>
      </c>
      <c r="Q594" s="74"/>
      <c r="R594" s="75"/>
      <c r="S594" s="75"/>
      <c r="T594" s="75"/>
      <c r="U594" s="75"/>
      <c r="V594" s="75"/>
      <c r="W594" s="74"/>
      <c r="X594" s="76"/>
      <c r="Y594" s="76"/>
      <c r="Z594" s="76"/>
      <c r="AA594" s="76"/>
      <c r="AB594" s="76"/>
      <c r="AC594" s="74"/>
      <c r="AD594" s="77"/>
      <c r="AE594" s="77"/>
      <c r="AF594" s="77"/>
      <c r="AG594" s="77"/>
      <c r="AH594" s="77"/>
      <c r="AI594" s="68"/>
      <c r="AJ594" s="213"/>
      <c r="AK594" s="213"/>
      <c r="AL594" s="213"/>
      <c r="AM594" s="213"/>
      <c r="AN594" s="74"/>
      <c r="AO594" s="73"/>
      <c r="AP594" s="73"/>
      <c r="AQ594" s="73"/>
      <c r="AR594" s="73"/>
      <c r="AS594" s="73"/>
      <c r="AT594" s="74"/>
      <c r="AU594" s="47"/>
      <c r="AV594" s="48"/>
    </row>
    <row r="595" spans="1:48" ht="12.75" customHeight="1" x14ac:dyDescent="0.25">
      <c r="A595" s="72" t="s">
        <v>20</v>
      </c>
      <c r="B595" s="43" t="s">
        <v>4043</v>
      </c>
      <c r="C595" s="44" t="s">
        <v>3923</v>
      </c>
      <c r="D595" s="45">
        <f>MROUND(MID($C595,6,3)/Basis!$E$3,0.5)</f>
        <v>34.5</v>
      </c>
      <c r="E595" s="45">
        <f>MROUND(MID($C595,9,3)/Basis!$E$3,0.5)</f>
        <v>94.5</v>
      </c>
      <c r="F595" s="229" t="str">
        <f t="shared" si="9"/>
        <v>22</v>
      </c>
      <c r="G595" s="45">
        <f>ROUND(9/Basis!$E$3,1)</f>
        <v>3.5</v>
      </c>
      <c r="H595" s="120">
        <f>ROUND($P595*Basis!$E$2*((TaH-TrH)/LN(1/µ)/Basis!$E$7)^$N595*Glycol,0)</f>
        <v>10470</v>
      </c>
      <c r="I595" s="83">
        <f>ROUND(H595/(MID($C595,9,3)/Basis!$E$3/Basis!$E$9)*Basis!$E$11,0)</f>
        <v>1330</v>
      </c>
      <c r="J595" s="123">
        <f>IF(Basis!$E$1=1,ROUND(H595/((TaH-TrH)*1.163)/3600,3),ROUND(H595/(500*(TaH-TrH)),2))</f>
        <v>1.05</v>
      </c>
      <c r="K595" s="84"/>
      <c r="L595" s="177">
        <f>CHOOSE(Basis!$E$1,((AJ595*(J595*3600/Basis!$E$5)^AK595*(((MID(C595,9,3)*10)-144)/1000)*AL595+AM595*(J595*3600/Basis!$E$5)^2)*0.0098)/Basis!$E$10,((AJ595*(J595/Basis!$E$5)^AK595*(((MID(C595,9,3)*10)-144)/1000)*AL595+AM595*(J595/Basis!$E$5)^2)*0.0098)/Basis!$E$10)</f>
        <v>0</v>
      </c>
      <c r="M595" s="85"/>
      <c r="N595" s="110">
        <v>1.3480000000000001</v>
      </c>
      <c r="O595" s="74"/>
      <c r="P595" s="73">
        <v>4788</v>
      </c>
      <c r="Q595" s="74"/>
      <c r="R595" s="75"/>
      <c r="S595" s="75"/>
      <c r="T595" s="75"/>
      <c r="U595" s="75"/>
      <c r="V595" s="75"/>
      <c r="W595" s="74"/>
      <c r="X595" s="76"/>
      <c r="Y595" s="76"/>
      <c r="Z595" s="76"/>
      <c r="AA595" s="76"/>
      <c r="AB595" s="76"/>
      <c r="AC595" s="74"/>
      <c r="AD595" s="77"/>
      <c r="AE595" s="77"/>
      <c r="AF595" s="77"/>
      <c r="AG595" s="77"/>
      <c r="AH595" s="77"/>
      <c r="AI595" s="68"/>
      <c r="AJ595" s="213"/>
      <c r="AK595" s="213"/>
      <c r="AL595" s="213"/>
      <c r="AM595" s="213"/>
      <c r="AN595" s="74"/>
      <c r="AO595" s="73"/>
      <c r="AP595" s="73"/>
      <c r="AQ595" s="73"/>
      <c r="AR595" s="73"/>
      <c r="AS595" s="73"/>
      <c r="AT595" s="74"/>
      <c r="AU595" s="47"/>
      <c r="AV595" s="48"/>
    </row>
    <row r="596" spans="1:48" ht="12.75" customHeight="1" x14ac:dyDescent="0.25">
      <c r="A596" s="72" t="s">
        <v>20</v>
      </c>
      <c r="B596" s="43" t="s">
        <v>4043</v>
      </c>
      <c r="C596" s="44" t="s">
        <v>3924</v>
      </c>
      <c r="D596" s="45">
        <f>MROUND(MID($C596,6,3)/Basis!$E$3,0.5)</f>
        <v>34.5</v>
      </c>
      <c r="E596" s="45">
        <f>MROUND(MID($C596,9,3)/Basis!$E$3,0.5)</f>
        <v>102.5</v>
      </c>
      <c r="F596" s="229" t="str">
        <f t="shared" si="9"/>
        <v>11</v>
      </c>
      <c r="G596" s="45">
        <f>ROUND(5/Basis!$E$3,1)</f>
        <v>2</v>
      </c>
      <c r="H596" s="120">
        <f>ROUND($P596*Basis!$E$2*((TaH-TrH)/LN(1/µ)/Basis!$E$7)^$N596*Glycol,0)</f>
        <v>6952</v>
      </c>
      <c r="I596" s="83">
        <f>ROUND(H596/(MID($C596,9,3)/Basis!$E$3/Basis!$E$9)*Basis!$E$11,0)</f>
        <v>815</v>
      </c>
      <c r="J596" s="123">
        <f>IF(Basis!$E$1=1,ROUND(H596/((TaH-TrH)*1.163)/3600,3),ROUND(H596/(500*(TaH-TrH)),2))</f>
        <v>0.7</v>
      </c>
      <c r="K596" s="84"/>
      <c r="L596" s="177">
        <f>CHOOSE(Basis!$E$1,((AJ596*(J596*3600/Basis!$E$5)^AK596*(((MID(C596,9,3)*10)-144)/1000)*AL596+AM596*(J596*3600/Basis!$E$5)^2)*0.0098)/Basis!$E$10,((AJ596*(J596/Basis!$E$5)^AK596*(((MID(C596,9,3)*10)-144)/1000)*AL596+AM596*(J596/Basis!$E$5)^2)*0.0098)/Basis!$E$10)</f>
        <v>0</v>
      </c>
      <c r="M596" s="85"/>
      <c r="N596" s="109">
        <v>1.2490000000000001</v>
      </c>
      <c r="O596" s="68"/>
      <c r="P596" s="67">
        <v>3077</v>
      </c>
      <c r="Q596" s="68"/>
      <c r="R596" s="69"/>
      <c r="S596" s="69"/>
      <c r="T596" s="69"/>
      <c r="U596" s="69"/>
      <c r="V596" s="69"/>
      <c r="W596" s="68"/>
      <c r="X596" s="70"/>
      <c r="Y596" s="70"/>
      <c r="Z596" s="70"/>
      <c r="AA596" s="70"/>
      <c r="AB596" s="70"/>
      <c r="AC596" s="68"/>
      <c r="AD596" s="71"/>
      <c r="AE596" s="71"/>
      <c r="AF596" s="71"/>
      <c r="AG596" s="71"/>
      <c r="AH596" s="71"/>
      <c r="AI596" s="68"/>
      <c r="AJ596" s="214"/>
      <c r="AK596" s="214"/>
      <c r="AL596" s="214"/>
      <c r="AM596" s="214"/>
      <c r="AN596" s="68"/>
      <c r="AO596" s="67"/>
      <c r="AP596" s="67"/>
      <c r="AQ596" s="67"/>
      <c r="AR596" s="67"/>
      <c r="AS596" s="67"/>
      <c r="AT596" s="68"/>
      <c r="AU596" s="49"/>
      <c r="AV596" s="50"/>
    </row>
    <row r="597" spans="1:48" ht="12.75" customHeight="1" x14ac:dyDescent="0.25">
      <c r="A597" s="72" t="s">
        <v>20</v>
      </c>
      <c r="B597" s="43" t="s">
        <v>4043</v>
      </c>
      <c r="C597" s="44" t="s">
        <v>3925</v>
      </c>
      <c r="D597" s="45">
        <f>MROUND(MID($C597,6,3)/Basis!$E$3,0.5)</f>
        <v>34.5</v>
      </c>
      <c r="E597" s="45">
        <f>MROUND(MID($C597,9,3)/Basis!$E$3,0.5)</f>
        <v>102.5</v>
      </c>
      <c r="F597" s="229" t="str">
        <f t="shared" si="9"/>
        <v>22</v>
      </c>
      <c r="G597" s="45">
        <f>ROUND(9/Basis!$E$3,1)</f>
        <v>3.5</v>
      </c>
      <c r="H597" s="120">
        <f>ROUND($P597*Basis!$E$2*((TaH-TrH)/LN(1/µ)/Basis!$E$7)^$N597*Glycol,0)</f>
        <v>11341</v>
      </c>
      <c r="I597" s="83">
        <f>ROUND(H597/(MID($C597,9,3)/Basis!$E$3/Basis!$E$9)*Basis!$E$11,0)</f>
        <v>1330</v>
      </c>
      <c r="J597" s="123">
        <f>IF(Basis!$E$1=1,ROUND(H597/((TaH-TrH)*1.163)/3600,3),ROUND(H597/(500*(TaH-TrH)),2))</f>
        <v>1.1299999999999999</v>
      </c>
      <c r="K597" s="84"/>
      <c r="L597" s="177">
        <f>CHOOSE(Basis!$E$1,((AJ597*(J597*3600/Basis!$E$5)^AK597*(((MID(C597,9,3)*10)-144)/1000)*AL597+AM597*(J597*3600/Basis!$E$5)^2)*0.0098)/Basis!$E$10,((AJ597*(J597/Basis!$E$5)^AK597*(((MID(C597,9,3)*10)-144)/1000)*AL597+AM597*(J597/Basis!$E$5)^2)*0.0098)/Basis!$E$10)</f>
        <v>0</v>
      </c>
      <c r="M597" s="85"/>
      <c r="N597" s="109">
        <v>1.3480000000000001</v>
      </c>
      <c r="O597" s="68"/>
      <c r="P597" s="67">
        <v>5186</v>
      </c>
      <c r="Q597" s="68"/>
      <c r="R597" s="69"/>
      <c r="S597" s="69"/>
      <c r="T597" s="69"/>
      <c r="U597" s="69"/>
      <c r="V597" s="69"/>
      <c r="W597" s="68"/>
      <c r="X597" s="70"/>
      <c r="Y597" s="70"/>
      <c r="Z597" s="70"/>
      <c r="AA597" s="70"/>
      <c r="AB597" s="70"/>
      <c r="AC597" s="68"/>
      <c r="AD597" s="71"/>
      <c r="AE597" s="71"/>
      <c r="AF597" s="71"/>
      <c r="AG597" s="71"/>
      <c r="AH597" s="71"/>
      <c r="AI597" s="68"/>
      <c r="AJ597" s="214"/>
      <c r="AK597" s="214"/>
      <c r="AL597" s="214"/>
      <c r="AM597" s="214"/>
      <c r="AN597" s="68"/>
      <c r="AO597" s="67"/>
      <c r="AP597" s="67"/>
      <c r="AQ597" s="67"/>
      <c r="AR597" s="67"/>
      <c r="AS597" s="67"/>
      <c r="AT597" s="68"/>
      <c r="AU597" s="49"/>
      <c r="AV597" s="50"/>
    </row>
    <row r="598" spans="1:48" ht="12.75" customHeight="1" x14ac:dyDescent="0.25">
      <c r="A598" s="72" t="s">
        <v>20</v>
      </c>
      <c r="B598" s="43" t="s">
        <v>4043</v>
      </c>
      <c r="C598" s="44" t="s">
        <v>3926</v>
      </c>
      <c r="D598" s="45">
        <f>MROUND(MID($C598,6,3)/Basis!$E$3,0.5)</f>
        <v>34.5</v>
      </c>
      <c r="E598" s="45">
        <f>MROUND(MID($C598,9,3)/Basis!$E$3,0.5)</f>
        <v>110</v>
      </c>
      <c r="F598" s="229" t="str">
        <f t="shared" si="9"/>
        <v>11</v>
      </c>
      <c r="G598" s="45">
        <f>ROUND(5/Basis!$E$3,1)</f>
        <v>2</v>
      </c>
      <c r="H598" s="120">
        <f>ROUND($P598*Basis!$E$2*((TaH-TrH)/LN(1/µ)/Basis!$E$7)^$N598*Glycol,0)</f>
        <v>7488</v>
      </c>
      <c r="I598" s="83">
        <f>ROUND(H598/(MID($C598,9,3)/Basis!$E$3/Basis!$E$9)*Basis!$E$11,0)</f>
        <v>815</v>
      </c>
      <c r="J598" s="123">
        <f>IF(Basis!$E$1=1,ROUND(H598/((TaH-TrH)*1.163)/3600,3),ROUND(H598/(500*(TaH-TrH)),2))</f>
        <v>0.75</v>
      </c>
      <c r="K598" s="84"/>
      <c r="L598" s="177">
        <f>CHOOSE(Basis!$E$1,((AJ598*(J598*3600/Basis!$E$5)^AK598*(((MID(C598,9,3)*10)-144)/1000)*AL598+AM598*(J598*3600/Basis!$E$5)^2)*0.0098)/Basis!$E$10,((AJ598*(J598/Basis!$E$5)^AK598*(((MID(C598,9,3)*10)-144)/1000)*AL598+AM598*(J598/Basis!$E$5)^2)*0.0098)/Basis!$E$10)</f>
        <v>0</v>
      </c>
      <c r="M598" s="85"/>
      <c r="N598" s="110">
        <v>1.2490000000000001</v>
      </c>
      <c r="O598" s="74"/>
      <c r="P598" s="73">
        <v>3314</v>
      </c>
      <c r="Q598" s="74"/>
      <c r="R598" s="75"/>
      <c r="S598" s="75"/>
      <c r="T598" s="75"/>
      <c r="U598" s="75"/>
      <c r="V598" s="75"/>
      <c r="W598" s="74"/>
      <c r="X598" s="76"/>
      <c r="Y598" s="76"/>
      <c r="Z598" s="76"/>
      <c r="AA598" s="76"/>
      <c r="AB598" s="76"/>
      <c r="AC598" s="74"/>
      <c r="AD598" s="77"/>
      <c r="AE598" s="77"/>
      <c r="AF598" s="77"/>
      <c r="AG598" s="77"/>
      <c r="AH598" s="77"/>
      <c r="AI598" s="68"/>
      <c r="AJ598" s="213"/>
      <c r="AK598" s="213"/>
      <c r="AL598" s="213"/>
      <c r="AM598" s="213"/>
      <c r="AN598" s="74"/>
      <c r="AO598" s="73"/>
      <c r="AP598" s="73"/>
      <c r="AQ598" s="73"/>
      <c r="AR598" s="73"/>
      <c r="AS598" s="73"/>
      <c r="AT598" s="74"/>
      <c r="AU598" s="47"/>
      <c r="AV598" s="48"/>
    </row>
    <row r="599" spans="1:48" ht="12.75" customHeight="1" x14ac:dyDescent="0.25">
      <c r="A599" s="72" t="s">
        <v>20</v>
      </c>
      <c r="B599" s="43" t="s">
        <v>4043</v>
      </c>
      <c r="C599" s="44" t="s">
        <v>3927</v>
      </c>
      <c r="D599" s="45">
        <f>MROUND(MID($C599,6,3)/Basis!$E$3,0.5)</f>
        <v>34.5</v>
      </c>
      <c r="E599" s="45">
        <f>MROUND(MID($C599,9,3)/Basis!$E$3,0.5)</f>
        <v>110</v>
      </c>
      <c r="F599" s="229" t="str">
        <f t="shared" si="9"/>
        <v>22</v>
      </c>
      <c r="G599" s="45">
        <f>ROUND(9/Basis!$E$3,1)</f>
        <v>3.5</v>
      </c>
      <c r="H599" s="120">
        <f>ROUND($P599*Basis!$E$2*((TaH-TrH)/LN(1/µ)/Basis!$E$7)^$N599*Glycol,0)</f>
        <v>12213</v>
      </c>
      <c r="I599" s="83">
        <f>ROUND(H599/(MID($C599,9,3)/Basis!$E$3/Basis!$E$9)*Basis!$E$11,0)</f>
        <v>1329</v>
      </c>
      <c r="J599" s="123">
        <f>IF(Basis!$E$1=1,ROUND(H599/((TaH-TrH)*1.163)/3600,3),ROUND(H599/(500*(TaH-TrH)),2))</f>
        <v>1.22</v>
      </c>
      <c r="K599" s="84"/>
      <c r="L599" s="177">
        <f>CHOOSE(Basis!$E$1,((AJ599*(J599*3600/Basis!$E$5)^AK599*(((MID(C599,9,3)*10)-144)/1000)*AL599+AM599*(J599*3600/Basis!$E$5)^2)*0.0098)/Basis!$E$10,((AJ599*(J599/Basis!$E$5)^AK599*(((MID(C599,9,3)*10)-144)/1000)*AL599+AM599*(J599/Basis!$E$5)^2)*0.0098)/Basis!$E$10)</f>
        <v>0</v>
      </c>
      <c r="M599" s="85"/>
      <c r="N599" s="110">
        <v>1.3480000000000001</v>
      </c>
      <c r="O599" s="74"/>
      <c r="P599" s="73">
        <v>5585</v>
      </c>
      <c r="Q599" s="74"/>
      <c r="R599" s="75"/>
      <c r="S599" s="75"/>
      <c r="T599" s="75"/>
      <c r="U599" s="75"/>
      <c r="V599" s="75"/>
      <c r="W599" s="74"/>
      <c r="X599" s="76"/>
      <c r="Y599" s="76"/>
      <c r="Z599" s="76"/>
      <c r="AA599" s="76"/>
      <c r="AB599" s="76"/>
      <c r="AC599" s="74"/>
      <c r="AD599" s="77"/>
      <c r="AE599" s="77"/>
      <c r="AF599" s="77"/>
      <c r="AG599" s="77"/>
      <c r="AH599" s="77"/>
      <c r="AI599" s="68"/>
      <c r="AJ599" s="213"/>
      <c r="AK599" s="213"/>
      <c r="AL599" s="213"/>
      <c r="AM599" s="213"/>
      <c r="AN599" s="74"/>
      <c r="AO599" s="73"/>
      <c r="AP599" s="73"/>
      <c r="AQ599" s="73"/>
      <c r="AR599" s="73"/>
      <c r="AS599" s="73"/>
      <c r="AT599" s="74"/>
      <c r="AU599" s="47"/>
      <c r="AV599" s="48"/>
    </row>
    <row r="600" spans="1:48" ht="12.75" customHeight="1" x14ac:dyDescent="0.25">
      <c r="A600" s="72" t="s">
        <v>20</v>
      </c>
      <c r="B600" s="43" t="s">
        <v>4043</v>
      </c>
      <c r="C600" s="44" t="s">
        <v>3928</v>
      </c>
      <c r="D600" s="45">
        <f>MROUND(MID($C600,6,3)/Basis!$E$3,0.5)</f>
        <v>34.5</v>
      </c>
      <c r="E600" s="45">
        <f>MROUND(MID($C600,9,3)/Basis!$E$3,0.5)</f>
        <v>118</v>
      </c>
      <c r="F600" s="229" t="str">
        <f t="shared" si="9"/>
        <v>11</v>
      </c>
      <c r="G600" s="45">
        <f>ROUND(5/Basis!$E$3,1)</f>
        <v>2</v>
      </c>
      <c r="H600" s="120">
        <f>ROUND($P600*Basis!$E$2*((TaH-TrH)/LN(1/µ)/Basis!$E$7)^$N600*Glycol,0)</f>
        <v>8023</v>
      </c>
      <c r="I600" s="83">
        <f>ROUND(H600/(MID($C600,9,3)/Basis!$E$3/Basis!$E$9)*Basis!$E$11,0)</f>
        <v>815</v>
      </c>
      <c r="J600" s="123">
        <f>IF(Basis!$E$1=1,ROUND(H600/((TaH-TrH)*1.163)/3600,3),ROUND(H600/(500*(TaH-TrH)),2))</f>
        <v>0.8</v>
      </c>
      <c r="K600" s="84"/>
      <c r="L600" s="177">
        <f>CHOOSE(Basis!$E$1,((AJ600*(J600*3600/Basis!$E$5)^AK600*(((MID(C600,9,3)*10)-144)/1000)*AL600+AM600*(J600*3600/Basis!$E$5)^2)*0.0098)/Basis!$E$10,((AJ600*(J600/Basis!$E$5)^AK600*(((MID(C600,9,3)*10)-144)/1000)*AL600+AM600*(J600/Basis!$E$5)^2)*0.0098)/Basis!$E$10)</f>
        <v>0</v>
      </c>
      <c r="M600" s="85"/>
      <c r="N600" s="109">
        <v>1.2490000000000001</v>
      </c>
      <c r="O600" s="68"/>
      <c r="P600" s="67">
        <v>3551</v>
      </c>
      <c r="Q600" s="68"/>
      <c r="R600" s="69"/>
      <c r="S600" s="69"/>
      <c r="T600" s="69"/>
      <c r="U600" s="69"/>
      <c r="V600" s="69"/>
      <c r="W600" s="68"/>
      <c r="X600" s="70"/>
      <c r="Y600" s="70"/>
      <c r="Z600" s="70"/>
      <c r="AA600" s="70"/>
      <c r="AB600" s="70"/>
      <c r="AC600" s="68"/>
      <c r="AD600" s="71"/>
      <c r="AE600" s="71"/>
      <c r="AF600" s="71"/>
      <c r="AG600" s="71"/>
      <c r="AH600" s="71"/>
      <c r="AI600" s="68"/>
      <c r="AJ600" s="214"/>
      <c r="AK600" s="214"/>
      <c r="AL600" s="214"/>
      <c r="AM600" s="214"/>
      <c r="AN600" s="68"/>
      <c r="AO600" s="67"/>
      <c r="AP600" s="67"/>
      <c r="AQ600" s="67"/>
      <c r="AR600" s="67"/>
      <c r="AS600" s="67"/>
      <c r="AT600" s="68"/>
      <c r="AU600" s="49"/>
      <c r="AV600" s="50"/>
    </row>
    <row r="601" spans="1:48" ht="12.75" customHeight="1" x14ac:dyDescent="0.25">
      <c r="A601" s="72" t="s">
        <v>20</v>
      </c>
      <c r="B601" s="43" t="s">
        <v>4043</v>
      </c>
      <c r="C601" s="44" t="s">
        <v>3929</v>
      </c>
      <c r="D601" s="45">
        <f>MROUND(MID($C601,6,3)/Basis!$E$3,0.5)</f>
        <v>34.5</v>
      </c>
      <c r="E601" s="45">
        <f>MROUND(MID($C601,9,3)/Basis!$E$3,0.5)</f>
        <v>118</v>
      </c>
      <c r="F601" s="229" t="str">
        <f t="shared" si="9"/>
        <v>22</v>
      </c>
      <c r="G601" s="45">
        <f>ROUND(9/Basis!$E$3,1)</f>
        <v>3.5</v>
      </c>
      <c r="H601" s="120">
        <f>ROUND($P601*Basis!$E$2*((TaH-TrH)/LN(1/µ)/Basis!$E$7)^$N601*Glycol,0)</f>
        <v>13086</v>
      </c>
      <c r="I601" s="83">
        <f>ROUND(H601/(MID($C601,9,3)/Basis!$E$3/Basis!$E$9)*Basis!$E$11,0)</f>
        <v>1330</v>
      </c>
      <c r="J601" s="123">
        <f>IF(Basis!$E$1=1,ROUND(H601/((TaH-TrH)*1.163)/3600,3),ROUND(H601/(500*(TaH-TrH)),2))</f>
        <v>1.31</v>
      </c>
      <c r="K601" s="84"/>
      <c r="L601" s="177">
        <f>CHOOSE(Basis!$E$1,((AJ601*(J601*3600/Basis!$E$5)^AK601*(((MID(C601,9,3)*10)-144)/1000)*AL601+AM601*(J601*3600/Basis!$E$5)^2)*0.0098)/Basis!$E$10,((AJ601*(J601/Basis!$E$5)^AK601*(((MID(C601,9,3)*10)-144)/1000)*AL601+AM601*(J601/Basis!$E$5)^2)*0.0098)/Basis!$E$10)</f>
        <v>0</v>
      </c>
      <c r="M601" s="85"/>
      <c r="N601" s="110">
        <v>1.3480000000000001</v>
      </c>
      <c r="O601" s="74"/>
      <c r="P601" s="73">
        <v>5984</v>
      </c>
      <c r="Q601" s="74"/>
      <c r="R601" s="75"/>
      <c r="S601" s="75"/>
      <c r="T601" s="75"/>
      <c r="U601" s="75"/>
      <c r="V601" s="75"/>
      <c r="W601" s="74"/>
      <c r="X601" s="76"/>
      <c r="Y601" s="76"/>
      <c r="Z601" s="76"/>
      <c r="AA601" s="76"/>
      <c r="AB601" s="76"/>
      <c r="AC601" s="74"/>
      <c r="AD601" s="77"/>
      <c r="AE601" s="77"/>
      <c r="AF601" s="77"/>
      <c r="AG601" s="77"/>
      <c r="AH601" s="77"/>
      <c r="AI601" s="68"/>
      <c r="AJ601" s="213"/>
      <c r="AK601" s="213"/>
      <c r="AL601" s="213"/>
      <c r="AM601" s="213"/>
      <c r="AN601" s="74"/>
      <c r="AO601" s="73"/>
      <c r="AP601" s="73"/>
      <c r="AQ601" s="73"/>
      <c r="AR601" s="73"/>
      <c r="AS601" s="73"/>
      <c r="AT601" s="74"/>
      <c r="AU601" s="47"/>
      <c r="AV601" s="48"/>
    </row>
    <row r="602" spans="1:48" ht="12.75" customHeight="1" x14ac:dyDescent="0.25">
      <c r="A602" s="72" t="s">
        <v>20</v>
      </c>
      <c r="B602" s="43" t="s">
        <v>4043</v>
      </c>
      <c r="C602" s="44" t="s">
        <v>3930</v>
      </c>
      <c r="D602" s="45">
        <f>MROUND(MID($C602,6,3)/Basis!$E$3,0.5)</f>
        <v>37</v>
      </c>
      <c r="E602" s="45">
        <f>MROUND(MID($C602,9,3)/Basis!$E$3,0.5)</f>
        <v>23.5</v>
      </c>
      <c r="F602" s="229" t="str">
        <f t="shared" si="9"/>
        <v>11</v>
      </c>
      <c r="G602" s="45">
        <f>ROUND(5/Basis!$E$3,1)</f>
        <v>2</v>
      </c>
      <c r="H602" s="120">
        <f>ROUND($P602*Basis!$E$2*((TaH-TrH)/LN(1/µ)/Basis!$E$7)^$N602*Glycol,0)</f>
        <v>1692</v>
      </c>
      <c r="I602" s="83">
        <f>ROUND(H602/(MID($C602,9,3)/Basis!$E$3/Basis!$E$9)*Basis!$E$11,0)</f>
        <v>860</v>
      </c>
      <c r="J602" s="123">
        <f>IF(Basis!$E$1=1,ROUND(H602/((TaH-TrH)*1.163)/3600,3),ROUND(H602/(500*(TaH-TrH)),2))</f>
        <v>0.17</v>
      </c>
      <c r="K602" s="84"/>
      <c r="L602" s="177">
        <f>CHOOSE(Basis!$E$1,((AJ602*(J602*3600/Basis!$E$5)^AK602*(((MID(C602,9,3)*10)-144)/1000)*AL602+AM602*(J602*3600/Basis!$E$5)^2)*0.0098)/Basis!$E$10,((AJ602*(J602/Basis!$E$5)^AK602*(((MID(C602,9,3)*10)-144)/1000)*AL602+AM602*(J602/Basis!$E$5)^2)*0.0098)/Basis!$E$10)</f>
        <v>0</v>
      </c>
      <c r="M602" s="85"/>
      <c r="N602" s="109">
        <v>1.2490000000000001</v>
      </c>
      <c r="O602" s="68"/>
      <c r="P602" s="67">
        <v>749</v>
      </c>
      <c r="Q602" s="68"/>
      <c r="R602" s="69"/>
      <c r="S602" s="69"/>
      <c r="T602" s="69"/>
      <c r="U602" s="69"/>
      <c r="V602" s="69"/>
      <c r="W602" s="68"/>
      <c r="X602" s="70"/>
      <c r="Y602" s="70"/>
      <c r="Z602" s="70"/>
      <c r="AA602" s="70"/>
      <c r="AB602" s="70"/>
      <c r="AC602" s="68"/>
      <c r="AD602" s="71"/>
      <c r="AE602" s="71"/>
      <c r="AF602" s="71"/>
      <c r="AG602" s="71"/>
      <c r="AH602" s="71"/>
      <c r="AI602" s="68"/>
      <c r="AJ602" s="214"/>
      <c r="AK602" s="214"/>
      <c r="AL602" s="214"/>
      <c r="AM602" s="214"/>
      <c r="AN602" s="68"/>
      <c r="AO602" s="67"/>
      <c r="AP602" s="67"/>
      <c r="AQ602" s="67"/>
      <c r="AR602" s="67"/>
      <c r="AS602" s="67"/>
      <c r="AT602" s="68"/>
      <c r="AU602" s="49"/>
      <c r="AV602" s="50"/>
    </row>
    <row r="603" spans="1:48" ht="12.75" customHeight="1" x14ac:dyDescent="0.25">
      <c r="A603" s="72" t="s">
        <v>20</v>
      </c>
      <c r="B603" s="43" t="s">
        <v>4043</v>
      </c>
      <c r="C603" s="44" t="s">
        <v>3931</v>
      </c>
      <c r="D603" s="45">
        <f>MROUND(MID($C603,6,3)/Basis!$E$3,0.5)</f>
        <v>37</v>
      </c>
      <c r="E603" s="45">
        <f>MROUND(MID($C603,9,3)/Basis!$E$3,0.5)</f>
        <v>23.5</v>
      </c>
      <c r="F603" s="229" t="str">
        <f t="shared" si="9"/>
        <v>22</v>
      </c>
      <c r="G603" s="45">
        <f>ROUND(9/Basis!$E$3,1)</f>
        <v>3.5</v>
      </c>
      <c r="H603" s="120">
        <f>ROUND($P603*Basis!$E$2*((TaH-TrH)/LN(1/µ)/Basis!$E$7)^$N603*Glycol,0)</f>
        <v>2727</v>
      </c>
      <c r="I603" s="83">
        <f>ROUND(H603/(MID($C603,9,3)/Basis!$E$3/Basis!$E$9)*Basis!$E$11,0)</f>
        <v>1385</v>
      </c>
      <c r="J603" s="123">
        <f>IF(Basis!$E$1=1,ROUND(H603/((TaH-TrH)*1.163)/3600,3),ROUND(H603/(500*(TaH-TrH)),2))</f>
        <v>0.27</v>
      </c>
      <c r="K603" s="84"/>
      <c r="L603" s="177">
        <f>CHOOSE(Basis!$E$1,((AJ603*(J603*3600/Basis!$E$5)^AK603*(((MID(C603,9,3)*10)-144)/1000)*AL603+AM603*(J603*3600/Basis!$E$5)^2)*0.0098)/Basis!$E$10,((AJ603*(J603/Basis!$E$5)^AK603*(((MID(C603,9,3)*10)-144)/1000)*AL603+AM603*(J603/Basis!$E$5)^2)*0.0098)/Basis!$E$10)</f>
        <v>0</v>
      </c>
      <c r="M603" s="85"/>
      <c r="N603" s="110">
        <v>1.3480000000000001</v>
      </c>
      <c r="O603" s="74"/>
      <c r="P603" s="73">
        <v>1247</v>
      </c>
      <c r="Q603" s="74"/>
      <c r="R603" s="75"/>
      <c r="S603" s="75"/>
      <c r="T603" s="75"/>
      <c r="U603" s="75"/>
      <c r="V603" s="75"/>
      <c r="W603" s="74"/>
      <c r="X603" s="76"/>
      <c r="Y603" s="76"/>
      <c r="Z603" s="76"/>
      <c r="AA603" s="76"/>
      <c r="AB603" s="76"/>
      <c r="AC603" s="74"/>
      <c r="AD603" s="77"/>
      <c r="AE603" s="77"/>
      <c r="AF603" s="77"/>
      <c r="AG603" s="77"/>
      <c r="AH603" s="77"/>
      <c r="AI603" s="68"/>
      <c r="AJ603" s="213"/>
      <c r="AK603" s="213"/>
      <c r="AL603" s="213"/>
      <c r="AM603" s="213"/>
      <c r="AN603" s="74"/>
      <c r="AO603" s="73"/>
      <c r="AP603" s="73"/>
      <c r="AQ603" s="73"/>
      <c r="AR603" s="73"/>
      <c r="AS603" s="73"/>
      <c r="AT603" s="74"/>
      <c r="AU603" s="47"/>
      <c r="AV603" s="48"/>
    </row>
    <row r="604" spans="1:48" ht="12.75" customHeight="1" x14ac:dyDescent="0.25">
      <c r="A604" s="72" t="s">
        <v>20</v>
      </c>
      <c r="B604" s="43" t="s">
        <v>4043</v>
      </c>
      <c r="C604" s="44" t="s">
        <v>3932</v>
      </c>
      <c r="D604" s="45">
        <f>MROUND(MID($C604,6,3)/Basis!$E$3,0.5)</f>
        <v>37</v>
      </c>
      <c r="E604" s="45">
        <f>MROUND(MID($C604,9,3)/Basis!$E$3,0.5)</f>
        <v>31.5</v>
      </c>
      <c r="F604" s="229" t="str">
        <f t="shared" si="9"/>
        <v>11</v>
      </c>
      <c r="G604" s="45">
        <f>ROUND(5/Basis!$E$3,1)</f>
        <v>2</v>
      </c>
      <c r="H604" s="120">
        <f>ROUND($P604*Basis!$E$2*((TaH-TrH)/LN(1/µ)/Basis!$E$7)^$N604*Glycol,0)</f>
        <v>2257</v>
      </c>
      <c r="I604" s="83">
        <f>ROUND(H604/(MID($C604,9,3)/Basis!$E$3/Basis!$E$9)*Basis!$E$11,0)</f>
        <v>860</v>
      </c>
      <c r="J604" s="123">
        <f>IF(Basis!$E$1=1,ROUND(H604/((TaH-TrH)*1.163)/3600,3),ROUND(H604/(500*(TaH-TrH)),2))</f>
        <v>0.23</v>
      </c>
      <c r="K604" s="84"/>
      <c r="L604" s="177">
        <f>CHOOSE(Basis!$E$1,((AJ604*(J604*3600/Basis!$E$5)^AK604*(((MID(C604,9,3)*10)-144)/1000)*AL604+AM604*(J604*3600/Basis!$E$5)^2)*0.0098)/Basis!$E$10,((AJ604*(J604/Basis!$E$5)^AK604*(((MID(C604,9,3)*10)-144)/1000)*AL604+AM604*(J604/Basis!$E$5)^2)*0.0098)/Basis!$E$10)</f>
        <v>0</v>
      </c>
      <c r="M604" s="85"/>
      <c r="N604" s="109">
        <v>1.2490000000000001</v>
      </c>
      <c r="O604" s="68"/>
      <c r="P604" s="67">
        <v>999</v>
      </c>
      <c r="Q604" s="68"/>
      <c r="R604" s="69"/>
      <c r="S604" s="69"/>
      <c r="T604" s="69"/>
      <c r="U604" s="69"/>
      <c r="V604" s="69"/>
      <c r="W604" s="68"/>
      <c r="X604" s="70"/>
      <c r="Y604" s="70"/>
      <c r="Z604" s="70"/>
      <c r="AA604" s="70"/>
      <c r="AB604" s="70"/>
      <c r="AC604" s="68"/>
      <c r="AD604" s="71"/>
      <c r="AE604" s="71"/>
      <c r="AF604" s="71"/>
      <c r="AG604" s="71"/>
      <c r="AH604" s="71"/>
      <c r="AI604" s="68"/>
      <c r="AJ604" s="214"/>
      <c r="AK604" s="214"/>
      <c r="AL604" s="214"/>
      <c r="AM604" s="214"/>
      <c r="AN604" s="68"/>
      <c r="AO604" s="67"/>
      <c r="AP604" s="67"/>
      <c r="AQ604" s="67"/>
      <c r="AR604" s="67"/>
      <c r="AS604" s="67"/>
      <c r="AT604" s="68"/>
      <c r="AU604" s="49"/>
      <c r="AV604" s="50"/>
    </row>
    <row r="605" spans="1:48" ht="12.75" customHeight="1" x14ac:dyDescent="0.25">
      <c r="A605" s="72" t="s">
        <v>20</v>
      </c>
      <c r="B605" s="43" t="s">
        <v>4043</v>
      </c>
      <c r="C605" s="44" t="s">
        <v>3933</v>
      </c>
      <c r="D605" s="45">
        <f>MROUND(MID($C605,6,3)/Basis!$E$3,0.5)</f>
        <v>37</v>
      </c>
      <c r="E605" s="45">
        <f>MROUND(MID($C605,9,3)/Basis!$E$3,0.5)</f>
        <v>31.5</v>
      </c>
      <c r="F605" s="229" t="str">
        <f t="shared" si="9"/>
        <v>22</v>
      </c>
      <c r="G605" s="45">
        <f>ROUND(9/Basis!$E$3,1)</f>
        <v>3.5</v>
      </c>
      <c r="H605" s="120">
        <f>ROUND($P605*Basis!$E$2*((TaH-TrH)/LN(1/µ)/Basis!$E$7)^$N605*Glycol,0)</f>
        <v>3637</v>
      </c>
      <c r="I605" s="83">
        <f>ROUND(H605/(MID($C605,9,3)/Basis!$E$3/Basis!$E$9)*Basis!$E$11,0)</f>
        <v>1386</v>
      </c>
      <c r="J605" s="123">
        <f>IF(Basis!$E$1=1,ROUND(H605/((TaH-TrH)*1.163)/3600,3),ROUND(H605/(500*(TaH-TrH)),2))</f>
        <v>0.36</v>
      </c>
      <c r="K605" s="84"/>
      <c r="L605" s="177">
        <f>CHOOSE(Basis!$E$1,((AJ605*(J605*3600/Basis!$E$5)^AK605*(((MID(C605,9,3)*10)-144)/1000)*AL605+AM605*(J605*3600/Basis!$E$5)^2)*0.0098)/Basis!$E$10,((AJ605*(J605/Basis!$E$5)^AK605*(((MID(C605,9,3)*10)-144)/1000)*AL605+AM605*(J605/Basis!$E$5)^2)*0.0098)/Basis!$E$10)</f>
        <v>0</v>
      </c>
      <c r="M605" s="85"/>
      <c r="N605" s="110">
        <v>1.3480000000000001</v>
      </c>
      <c r="O605" s="74"/>
      <c r="P605" s="73">
        <v>1663</v>
      </c>
      <c r="Q605" s="74"/>
      <c r="R605" s="75"/>
      <c r="S605" s="75"/>
      <c r="T605" s="75"/>
      <c r="U605" s="75"/>
      <c r="V605" s="75"/>
      <c r="W605" s="74"/>
      <c r="X605" s="76"/>
      <c r="Y605" s="76"/>
      <c r="Z605" s="76"/>
      <c r="AA605" s="76"/>
      <c r="AB605" s="76"/>
      <c r="AC605" s="74"/>
      <c r="AD605" s="77"/>
      <c r="AE605" s="77"/>
      <c r="AF605" s="77"/>
      <c r="AG605" s="77"/>
      <c r="AH605" s="77"/>
      <c r="AI605" s="68"/>
      <c r="AJ605" s="213"/>
      <c r="AK605" s="213"/>
      <c r="AL605" s="213"/>
      <c r="AM605" s="213"/>
      <c r="AN605" s="74"/>
      <c r="AO605" s="73"/>
      <c r="AP605" s="73"/>
      <c r="AQ605" s="73"/>
      <c r="AR605" s="73"/>
      <c r="AS605" s="73"/>
      <c r="AT605" s="74"/>
      <c r="AU605" s="47"/>
      <c r="AV605" s="48"/>
    </row>
    <row r="606" spans="1:48" ht="12.75" customHeight="1" x14ac:dyDescent="0.25">
      <c r="A606" s="72" t="s">
        <v>20</v>
      </c>
      <c r="B606" s="43" t="s">
        <v>4043</v>
      </c>
      <c r="C606" s="44" t="s">
        <v>3934</v>
      </c>
      <c r="D606" s="45">
        <f>MROUND(MID($C606,6,3)/Basis!$E$3,0.5)</f>
        <v>37</v>
      </c>
      <c r="E606" s="45">
        <f>MROUND(MID($C606,9,3)/Basis!$E$3,0.5)</f>
        <v>39.5</v>
      </c>
      <c r="F606" s="229" t="str">
        <f t="shared" si="9"/>
        <v>11</v>
      </c>
      <c r="G606" s="45">
        <f>ROUND(5/Basis!$E$3,1)</f>
        <v>2</v>
      </c>
      <c r="H606" s="120">
        <f>ROUND($P606*Basis!$E$2*((TaH-TrH)/LN(1/µ)/Basis!$E$7)^$N606*Glycol,0)</f>
        <v>2820</v>
      </c>
      <c r="I606" s="83">
        <f>ROUND(H606/(MID($C606,9,3)/Basis!$E$3/Basis!$E$9)*Basis!$E$11,0)</f>
        <v>860</v>
      </c>
      <c r="J606" s="123">
        <f>IF(Basis!$E$1=1,ROUND(H606/((TaH-TrH)*1.163)/3600,3),ROUND(H606/(500*(TaH-TrH)),2))</f>
        <v>0.28000000000000003</v>
      </c>
      <c r="K606" s="84"/>
      <c r="L606" s="177">
        <f>CHOOSE(Basis!$E$1,((AJ606*(J606*3600/Basis!$E$5)^AK606*(((MID(C606,9,3)*10)-144)/1000)*AL606+AM606*(J606*3600/Basis!$E$5)^2)*0.0098)/Basis!$E$10,((AJ606*(J606/Basis!$E$5)^AK606*(((MID(C606,9,3)*10)-144)/1000)*AL606+AM606*(J606/Basis!$E$5)^2)*0.0098)/Basis!$E$10)</f>
        <v>0</v>
      </c>
      <c r="M606" s="85"/>
      <c r="N606" s="109">
        <v>1.2490000000000001</v>
      </c>
      <c r="O606" s="68"/>
      <c r="P606" s="67">
        <v>1248</v>
      </c>
      <c r="Q606" s="68"/>
      <c r="R606" s="69"/>
      <c r="S606" s="69"/>
      <c r="T606" s="69"/>
      <c r="U606" s="69"/>
      <c r="V606" s="69"/>
      <c r="W606" s="68"/>
      <c r="X606" s="70"/>
      <c r="Y606" s="70"/>
      <c r="Z606" s="70"/>
      <c r="AA606" s="70"/>
      <c r="AB606" s="70"/>
      <c r="AC606" s="68"/>
      <c r="AD606" s="71"/>
      <c r="AE606" s="71"/>
      <c r="AF606" s="71"/>
      <c r="AG606" s="71"/>
      <c r="AH606" s="71"/>
      <c r="AI606" s="68"/>
      <c r="AJ606" s="214"/>
      <c r="AK606" s="214"/>
      <c r="AL606" s="214"/>
      <c r="AM606" s="214"/>
      <c r="AN606" s="68"/>
      <c r="AO606" s="67"/>
      <c r="AP606" s="67"/>
      <c r="AQ606" s="67"/>
      <c r="AR606" s="67"/>
      <c r="AS606" s="67"/>
      <c r="AT606" s="68"/>
      <c r="AU606" s="49"/>
      <c r="AV606" s="50"/>
    </row>
    <row r="607" spans="1:48" ht="12.75" customHeight="1" x14ac:dyDescent="0.25">
      <c r="A607" s="72" t="s">
        <v>20</v>
      </c>
      <c r="B607" s="43" t="s">
        <v>4043</v>
      </c>
      <c r="C607" s="44" t="s">
        <v>3935</v>
      </c>
      <c r="D607" s="45">
        <f>MROUND(MID($C607,6,3)/Basis!$E$3,0.5)</f>
        <v>37</v>
      </c>
      <c r="E607" s="45">
        <f>MROUND(MID($C607,9,3)/Basis!$E$3,0.5)</f>
        <v>39.5</v>
      </c>
      <c r="F607" s="229" t="str">
        <f t="shared" si="9"/>
        <v>22</v>
      </c>
      <c r="G607" s="45">
        <f>ROUND(9/Basis!$E$3,1)</f>
        <v>3.5</v>
      </c>
      <c r="H607" s="120">
        <f>ROUND($P607*Basis!$E$2*((TaH-TrH)/LN(1/µ)/Basis!$E$7)^$N607*Glycol,0)</f>
        <v>4546</v>
      </c>
      <c r="I607" s="83">
        <f>ROUND(H607/(MID($C607,9,3)/Basis!$E$3/Basis!$E$9)*Basis!$E$11,0)</f>
        <v>1386</v>
      </c>
      <c r="J607" s="123">
        <f>IF(Basis!$E$1=1,ROUND(H607/((TaH-TrH)*1.163)/3600,3),ROUND(H607/(500*(TaH-TrH)),2))</f>
        <v>0.45</v>
      </c>
      <c r="K607" s="84"/>
      <c r="L607" s="177">
        <f>CHOOSE(Basis!$E$1,((AJ607*(J607*3600/Basis!$E$5)^AK607*(((MID(C607,9,3)*10)-144)/1000)*AL607+AM607*(J607*3600/Basis!$E$5)^2)*0.0098)/Basis!$E$10,((AJ607*(J607/Basis!$E$5)^AK607*(((MID(C607,9,3)*10)-144)/1000)*AL607+AM607*(J607/Basis!$E$5)^2)*0.0098)/Basis!$E$10)</f>
        <v>0</v>
      </c>
      <c r="M607" s="85"/>
      <c r="N607" s="110">
        <v>1.3480000000000001</v>
      </c>
      <c r="O607" s="74"/>
      <c r="P607" s="73">
        <v>2079</v>
      </c>
      <c r="Q607" s="74"/>
      <c r="R607" s="75"/>
      <c r="S607" s="75"/>
      <c r="T607" s="75"/>
      <c r="U607" s="75"/>
      <c r="V607" s="75"/>
      <c r="W607" s="74"/>
      <c r="X607" s="76"/>
      <c r="Y607" s="76"/>
      <c r="Z607" s="76"/>
      <c r="AA607" s="76"/>
      <c r="AB607" s="76"/>
      <c r="AC607" s="74"/>
      <c r="AD607" s="77"/>
      <c r="AE607" s="77"/>
      <c r="AF607" s="77"/>
      <c r="AG607" s="77"/>
      <c r="AH607" s="77"/>
      <c r="AI607" s="68"/>
      <c r="AJ607" s="213"/>
      <c r="AK607" s="213"/>
      <c r="AL607" s="213"/>
      <c r="AM607" s="213"/>
      <c r="AN607" s="74"/>
      <c r="AO607" s="73"/>
      <c r="AP607" s="73"/>
      <c r="AQ607" s="73"/>
      <c r="AR607" s="73"/>
      <c r="AS607" s="73"/>
      <c r="AT607" s="74"/>
      <c r="AU607" s="47"/>
      <c r="AV607" s="48"/>
    </row>
    <row r="608" spans="1:48" ht="12.75" customHeight="1" x14ac:dyDescent="0.25">
      <c r="A608" s="72" t="s">
        <v>20</v>
      </c>
      <c r="B608" s="43" t="s">
        <v>4043</v>
      </c>
      <c r="C608" s="44" t="s">
        <v>3936</v>
      </c>
      <c r="D608" s="45">
        <f>MROUND(MID($C608,6,3)/Basis!$E$3,0.5)</f>
        <v>37</v>
      </c>
      <c r="E608" s="45">
        <f>MROUND(MID($C608,9,3)/Basis!$E$3,0.5)</f>
        <v>47</v>
      </c>
      <c r="F608" s="229" t="str">
        <f t="shared" si="9"/>
        <v>11</v>
      </c>
      <c r="G608" s="45">
        <f>ROUND(5/Basis!$E$3,1)</f>
        <v>2</v>
      </c>
      <c r="H608" s="120">
        <f>ROUND($P608*Basis!$E$2*((TaH-TrH)/LN(1/µ)/Basis!$E$7)^$N608*Glycol,0)</f>
        <v>3385</v>
      </c>
      <c r="I608" s="83">
        <f>ROUND(H608/(MID($C608,9,3)/Basis!$E$3/Basis!$E$9)*Basis!$E$11,0)</f>
        <v>860</v>
      </c>
      <c r="J608" s="123">
        <f>IF(Basis!$E$1=1,ROUND(H608/((TaH-TrH)*1.163)/3600,3),ROUND(H608/(500*(TaH-TrH)),2))</f>
        <v>0.34</v>
      </c>
      <c r="K608" s="84"/>
      <c r="L608" s="177">
        <f>CHOOSE(Basis!$E$1,((AJ608*(J608*3600/Basis!$E$5)^AK608*(((MID(C608,9,3)*10)-144)/1000)*AL608+AM608*(J608*3600/Basis!$E$5)^2)*0.0098)/Basis!$E$10,((AJ608*(J608/Basis!$E$5)^AK608*(((MID(C608,9,3)*10)-144)/1000)*AL608+AM608*(J608/Basis!$E$5)^2)*0.0098)/Basis!$E$10)</f>
        <v>0</v>
      </c>
      <c r="M608" s="85"/>
      <c r="N608" s="109">
        <v>1.2490000000000001</v>
      </c>
      <c r="O608" s="68"/>
      <c r="P608" s="67">
        <v>1498</v>
      </c>
      <c r="Q608" s="68"/>
      <c r="R608" s="69"/>
      <c r="S608" s="69"/>
      <c r="T608" s="69"/>
      <c r="U608" s="69"/>
      <c r="V608" s="69"/>
      <c r="W608" s="68"/>
      <c r="X608" s="70"/>
      <c r="Y608" s="70"/>
      <c r="Z608" s="70"/>
      <c r="AA608" s="70"/>
      <c r="AB608" s="70"/>
      <c r="AC608" s="68"/>
      <c r="AD608" s="71"/>
      <c r="AE608" s="71"/>
      <c r="AF608" s="71"/>
      <c r="AG608" s="71"/>
      <c r="AH608" s="71"/>
      <c r="AI608" s="68"/>
      <c r="AJ608" s="214"/>
      <c r="AK608" s="214"/>
      <c r="AL608" s="214"/>
      <c r="AM608" s="214"/>
      <c r="AN608" s="68"/>
      <c r="AO608" s="67"/>
      <c r="AP608" s="67"/>
      <c r="AQ608" s="67"/>
      <c r="AR608" s="67"/>
      <c r="AS608" s="67"/>
      <c r="AT608" s="68"/>
      <c r="AU608" s="49"/>
      <c r="AV608" s="50"/>
    </row>
    <row r="609" spans="1:48" ht="12.75" customHeight="1" x14ac:dyDescent="0.25">
      <c r="A609" s="72" t="s">
        <v>20</v>
      </c>
      <c r="B609" s="43" t="s">
        <v>4043</v>
      </c>
      <c r="C609" s="44" t="s">
        <v>3937</v>
      </c>
      <c r="D609" s="45">
        <f>MROUND(MID($C609,6,3)/Basis!$E$3,0.5)</f>
        <v>37</v>
      </c>
      <c r="E609" s="45">
        <f>MROUND(MID($C609,9,3)/Basis!$E$3,0.5)</f>
        <v>47</v>
      </c>
      <c r="F609" s="229" t="str">
        <f t="shared" si="9"/>
        <v>22</v>
      </c>
      <c r="G609" s="45">
        <f>ROUND(9/Basis!$E$3,1)</f>
        <v>3.5</v>
      </c>
      <c r="H609" s="120">
        <f>ROUND($P609*Basis!$E$2*((TaH-TrH)/LN(1/µ)/Basis!$E$7)^$N609*Glycol,0)</f>
        <v>5456</v>
      </c>
      <c r="I609" s="83">
        <f>ROUND(H609/(MID($C609,9,3)/Basis!$E$3/Basis!$E$9)*Basis!$E$11,0)</f>
        <v>1386</v>
      </c>
      <c r="J609" s="123">
        <f>IF(Basis!$E$1=1,ROUND(H609/((TaH-TrH)*1.163)/3600,3),ROUND(H609/(500*(TaH-TrH)),2))</f>
        <v>0.55000000000000004</v>
      </c>
      <c r="K609" s="84"/>
      <c r="L609" s="177">
        <f>CHOOSE(Basis!$E$1,((AJ609*(J609*3600/Basis!$E$5)^AK609*(((MID(C609,9,3)*10)-144)/1000)*AL609+AM609*(J609*3600/Basis!$E$5)^2)*0.0098)/Basis!$E$10,((AJ609*(J609/Basis!$E$5)^AK609*(((MID(C609,9,3)*10)-144)/1000)*AL609+AM609*(J609/Basis!$E$5)^2)*0.0098)/Basis!$E$10)</f>
        <v>0</v>
      </c>
      <c r="M609" s="85"/>
      <c r="N609" s="110">
        <v>1.3480000000000001</v>
      </c>
      <c r="O609" s="74"/>
      <c r="P609" s="73">
        <v>2495</v>
      </c>
      <c r="Q609" s="74"/>
      <c r="R609" s="75"/>
      <c r="S609" s="75"/>
      <c r="T609" s="75"/>
      <c r="U609" s="75"/>
      <c r="V609" s="75"/>
      <c r="W609" s="74"/>
      <c r="X609" s="76"/>
      <c r="Y609" s="76"/>
      <c r="Z609" s="76"/>
      <c r="AA609" s="76"/>
      <c r="AB609" s="76"/>
      <c r="AC609" s="74"/>
      <c r="AD609" s="77"/>
      <c r="AE609" s="77"/>
      <c r="AF609" s="77"/>
      <c r="AG609" s="77"/>
      <c r="AH609" s="77"/>
      <c r="AI609" s="68"/>
      <c r="AJ609" s="213"/>
      <c r="AK609" s="213"/>
      <c r="AL609" s="213"/>
      <c r="AM609" s="213"/>
      <c r="AN609" s="74"/>
      <c r="AO609" s="73"/>
      <c r="AP609" s="73"/>
      <c r="AQ609" s="73"/>
      <c r="AR609" s="73"/>
      <c r="AS609" s="73"/>
      <c r="AT609" s="74"/>
      <c r="AU609" s="47"/>
      <c r="AV609" s="48"/>
    </row>
    <row r="610" spans="1:48" ht="12.75" customHeight="1" x14ac:dyDescent="0.25">
      <c r="A610" s="72" t="s">
        <v>20</v>
      </c>
      <c r="B610" s="43" t="s">
        <v>4043</v>
      </c>
      <c r="C610" s="44" t="s">
        <v>3938</v>
      </c>
      <c r="D610" s="45">
        <f>MROUND(MID($C610,6,3)/Basis!$E$3,0.5)</f>
        <v>37</v>
      </c>
      <c r="E610" s="45">
        <f>MROUND(MID($C610,9,3)/Basis!$E$3,0.5)</f>
        <v>55</v>
      </c>
      <c r="F610" s="229" t="str">
        <f t="shared" si="9"/>
        <v>11</v>
      </c>
      <c r="G610" s="45">
        <f>ROUND(5/Basis!$E$3,1)</f>
        <v>2</v>
      </c>
      <c r="H610" s="120">
        <f>ROUND($P610*Basis!$E$2*((TaH-TrH)/LN(1/µ)/Basis!$E$7)^$N610*Glycol,0)</f>
        <v>3949</v>
      </c>
      <c r="I610" s="83">
        <f>ROUND(H610/(MID($C610,9,3)/Basis!$E$3/Basis!$E$9)*Basis!$E$11,0)</f>
        <v>860</v>
      </c>
      <c r="J610" s="123">
        <f>IF(Basis!$E$1=1,ROUND(H610/((TaH-TrH)*1.163)/3600,3),ROUND(H610/(500*(TaH-TrH)),2))</f>
        <v>0.39</v>
      </c>
      <c r="K610" s="84"/>
      <c r="L610" s="177">
        <f>CHOOSE(Basis!$E$1,((AJ610*(J610*3600/Basis!$E$5)^AK610*(((MID(C610,9,3)*10)-144)/1000)*AL610+AM610*(J610*3600/Basis!$E$5)^2)*0.0098)/Basis!$E$10,((AJ610*(J610/Basis!$E$5)^AK610*(((MID(C610,9,3)*10)-144)/1000)*AL610+AM610*(J610/Basis!$E$5)^2)*0.0098)/Basis!$E$10)</f>
        <v>0</v>
      </c>
      <c r="M610" s="85"/>
      <c r="N610" s="109">
        <v>1.2490000000000001</v>
      </c>
      <c r="O610" s="68"/>
      <c r="P610" s="67">
        <v>1748</v>
      </c>
      <c r="Q610" s="68"/>
      <c r="R610" s="69"/>
      <c r="S610" s="69"/>
      <c r="T610" s="69"/>
      <c r="U610" s="69"/>
      <c r="V610" s="69"/>
      <c r="W610" s="68"/>
      <c r="X610" s="70"/>
      <c r="Y610" s="70"/>
      <c r="Z610" s="70"/>
      <c r="AA610" s="70"/>
      <c r="AB610" s="70"/>
      <c r="AC610" s="68"/>
      <c r="AD610" s="71"/>
      <c r="AE610" s="71"/>
      <c r="AF610" s="71"/>
      <c r="AG610" s="71"/>
      <c r="AH610" s="71"/>
      <c r="AI610" s="68"/>
      <c r="AJ610" s="214"/>
      <c r="AK610" s="214"/>
      <c r="AL610" s="214"/>
      <c r="AM610" s="214"/>
      <c r="AN610" s="68"/>
      <c r="AO610" s="67"/>
      <c r="AP610" s="67"/>
      <c r="AQ610" s="67"/>
      <c r="AR610" s="67"/>
      <c r="AS610" s="67"/>
      <c r="AT610" s="68"/>
      <c r="AU610" s="49"/>
      <c r="AV610" s="50"/>
    </row>
    <row r="611" spans="1:48" ht="12.75" customHeight="1" x14ac:dyDescent="0.25">
      <c r="A611" s="72" t="s">
        <v>20</v>
      </c>
      <c r="B611" s="43" t="s">
        <v>4043</v>
      </c>
      <c r="C611" s="44" t="s">
        <v>3939</v>
      </c>
      <c r="D611" s="45">
        <f>MROUND(MID($C611,6,3)/Basis!$E$3,0.5)</f>
        <v>37</v>
      </c>
      <c r="E611" s="45">
        <f>MROUND(MID($C611,9,3)/Basis!$E$3,0.5)</f>
        <v>55</v>
      </c>
      <c r="F611" s="229" t="str">
        <f t="shared" si="9"/>
        <v>22</v>
      </c>
      <c r="G611" s="45">
        <f>ROUND(9/Basis!$E$3,1)</f>
        <v>3.5</v>
      </c>
      <c r="H611" s="120">
        <f>ROUND($P611*Basis!$E$2*((TaH-TrH)/LN(1/µ)/Basis!$E$7)^$N611*Glycol,0)</f>
        <v>6364</v>
      </c>
      <c r="I611" s="83">
        <f>ROUND(H611/(MID($C611,9,3)/Basis!$E$3/Basis!$E$9)*Basis!$E$11,0)</f>
        <v>1386</v>
      </c>
      <c r="J611" s="123">
        <f>IF(Basis!$E$1=1,ROUND(H611/((TaH-TrH)*1.163)/3600,3),ROUND(H611/(500*(TaH-TrH)),2))</f>
        <v>0.64</v>
      </c>
      <c r="K611" s="84"/>
      <c r="L611" s="177">
        <f>CHOOSE(Basis!$E$1,((AJ611*(J611*3600/Basis!$E$5)^AK611*(((MID(C611,9,3)*10)-144)/1000)*AL611+AM611*(J611*3600/Basis!$E$5)^2)*0.0098)/Basis!$E$10,((AJ611*(J611/Basis!$E$5)^AK611*(((MID(C611,9,3)*10)-144)/1000)*AL611+AM611*(J611/Basis!$E$5)^2)*0.0098)/Basis!$E$10)</f>
        <v>0</v>
      </c>
      <c r="M611" s="85"/>
      <c r="N611" s="110">
        <v>1.3480000000000001</v>
      </c>
      <c r="O611" s="74"/>
      <c r="P611" s="73">
        <v>2910</v>
      </c>
      <c r="Q611" s="74"/>
      <c r="R611" s="75"/>
      <c r="S611" s="75"/>
      <c r="T611" s="75"/>
      <c r="U611" s="75"/>
      <c r="V611" s="75"/>
      <c r="W611" s="74"/>
      <c r="X611" s="76"/>
      <c r="Y611" s="76"/>
      <c r="Z611" s="76"/>
      <c r="AA611" s="76"/>
      <c r="AB611" s="76"/>
      <c r="AC611" s="74"/>
      <c r="AD611" s="77"/>
      <c r="AE611" s="77"/>
      <c r="AF611" s="77"/>
      <c r="AG611" s="77"/>
      <c r="AH611" s="77"/>
      <c r="AI611" s="68"/>
      <c r="AJ611" s="213"/>
      <c r="AK611" s="213"/>
      <c r="AL611" s="213"/>
      <c r="AM611" s="213"/>
      <c r="AN611" s="74"/>
      <c r="AO611" s="73"/>
      <c r="AP611" s="73"/>
      <c r="AQ611" s="73"/>
      <c r="AR611" s="73"/>
      <c r="AS611" s="73"/>
      <c r="AT611" s="74"/>
      <c r="AU611" s="47"/>
      <c r="AV611" s="48"/>
    </row>
    <row r="612" spans="1:48" ht="12.75" customHeight="1" x14ac:dyDescent="0.25">
      <c r="A612" s="72" t="s">
        <v>20</v>
      </c>
      <c r="B612" s="43" t="s">
        <v>4043</v>
      </c>
      <c r="C612" s="44" t="s">
        <v>3940</v>
      </c>
      <c r="D612" s="45">
        <f>MROUND(MID($C612,6,3)/Basis!$E$3,0.5)</f>
        <v>37</v>
      </c>
      <c r="E612" s="45">
        <f>MROUND(MID($C612,9,3)/Basis!$E$3,0.5)</f>
        <v>63</v>
      </c>
      <c r="F612" s="229" t="str">
        <f t="shared" si="9"/>
        <v>11</v>
      </c>
      <c r="G612" s="45">
        <f>ROUND(5/Basis!$E$3,1)</f>
        <v>2</v>
      </c>
      <c r="H612" s="120">
        <f>ROUND($P612*Basis!$E$2*((TaH-TrH)/LN(1/µ)/Basis!$E$7)^$N612*Glycol,0)</f>
        <v>4512</v>
      </c>
      <c r="I612" s="83">
        <f>ROUND(H612/(MID($C612,9,3)/Basis!$E$3/Basis!$E$9)*Basis!$E$11,0)</f>
        <v>860</v>
      </c>
      <c r="J612" s="123">
        <f>IF(Basis!$E$1=1,ROUND(H612/((TaH-TrH)*1.163)/3600,3),ROUND(H612/(500*(TaH-TrH)),2))</f>
        <v>0.45</v>
      </c>
      <c r="K612" s="84"/>
      <c r="L612" s="177">
        <f>CHOOSE(Basis!$E$1,((AJ612*(J612*3600/Basis!$E$5)^AK612*(((MID(C612,9,3)*10)-144)/1000)*AL612+AM612*(J612*3600/Basis!$E$5)^2)*0.0098)/Basis!$E$10,((AJ612*(J612/Basis!$E$5)^AK612*(((MID(C612,9,3)*10)-144)/1000)*AL612+AM612*(J612/Basis!$E$5)^2)*0.0098)/Basis!$E$10)</f>
        <v>0</v>
      </c>
      <c r="M612" s="85"/>
      <c r="N612" s="109">
        <v>1.2490000000000001</v>
      </c>
      <c r="O612" s="68"/>
      <c r="P612" s="67">
        <v>1997</v>
      </c>
      <c r="Q612" s="68"/>
      <c r="R612" s="69"/>
      <c r="S612" s="69"/>
      <c r="T612" s="69"/>
      <c r="U612" s="69"/>
      <c r="V612" s="69"/>
      <c r="W612" s="68"/>
      <c r="X612" s="70"/>
      <c r="Y612" s="70"/>
      <c r="Z612" s="70"/>
      <c r="AA612" s="70"/>
      <c r="AB612" s="70"/>
      <c r="AC612" s="68"/>
      <c r="AD612" s="71"/>
      <c r="AE612" s="71"/>
      <c r="AF612" s="71"/>
      <c r="AG612" s="71"/>
      <c r="AH612" s="71"/>
      <c r="AI612" s="68"/>
      <c r="AJ612" s="214"/>
      <c r="AK612" s="214"/>
      <c r="AL612" s="214"/>
      <c r="AM612" s="214"/>
      <c r="AN612" s="68"/>
      <c r="AO612" s="67"/>
      <c r="AP612" s="67"/>
      <c r="AQ612" s="67"/>
      <c r="AR612" s="67"/>
      <c r="AS612" s="67"/>
      <c r="AT612" s="68"/>
      <c r="AU612" s="49"/>
      <c r="AV612" s="50"/>
    </row>
    <row r="613" spans="1:48" ht="12.75" customHeight="1" x14ac:dyDescent="0.25">
      <c r="A613" s="72" t="s">
        <v>20</v>
      </c>
      <c r="B613" s="43" t="s">
        <v>4043</v>
      </c>
      <c r="C613" s="44" t="s">
        <v>3941</v>
      </c>
      <c r="D613" s="45">
        <f>MROUND(MID($C613,6,3)/Basis!$E$3,0.5)</f>
        <v>37</v>
      </c>
      <c r="E613" s="45">
        <f>MROUND(MID($C613,9,3)/Basis!$E$3,0.5)</f>
        <v>63</v>
      </c>
      <c r="F613" s="229" t="str">
        <f t="shared" si="9"/>
        <v>22</v>
      </c>
      <c r="G613" s="45">
        <f>ROUND(9/Basis!$E$3,1)</f>
        <v>3.5</v>
      </c>
      <c r="H613" s="120">
        <f>ROUND($P613*Basis!$E$2*((TaH-TrH)/LN(1/µ)/Basis!$E$7)^$N613*Glycol,0)</f>
        <v>7273</v>
      </c>
      <c r="I613" s="83">
        <f>ROUND(H613/(MID($C613,9,3)/Basis!$E$3/Basis!$E$9)*Basis!$E$11,0)</f>
        <v>1386</v>
      </c>
      <c r="J613" s="123">
        <f>IF(Basis!$E$1=1,ROUND(H613/((TaH-TrH)*1.163)/3600,3),ROUND(H613/(500*(TaH-TrH)),2))</f>
        <v>0.73</v>
      </c>
      <c r="K613" s="84"/>
      <c r="L613" s="177">
        <f>CHOOSE(Basis!$E$1,((AJ613*(J613*3600/Basis!$E$5)^AK613*(((MID(C613,9,3)*10)-144)/1000)*AL613+AM613*(J613*3600/Basis!$E$5)^2)*0.0098)/Basis!$E$10,((AJ613*(J613/Basis!$E$5)^AK613*(((MID(C613,9,3)*10)-144)/1000)*AL613+AM613*(J613/Basis!$E$5)^2)*0.0098)/Basis!$E$10)</f>
        <v>0</v>
      </c>
      <c r="M613" s="85"/>
      <c r="N613" s="109">
        <v>1.3480000000000001</v>
      </c>
      <c r="O613" s="68"/>
      <c r="P613" s="67">
        <v>3326</v>
      </c>
      <c r="Q613" s="68"/>
      <c r="R613" s="69"/>
      <c r="S613" s="69"/>
      <c r="T613" s="69"/>
      <c r="U613" s="69"/>
      <c r="V613" s="69"/>
      <c r="W613" s="68"/>
      <c r="X613" s="70"/>
      <c r="Y613" s="70"/>
      <c r="Z613" s="70"/>
      <c r="AA613" s="70"/>
      <c r="AB613" s="70"/>
      <c r="AC613" s="68"/>
      <c r="AD613" s="71"/>
      <c r="AE613" s="71"/>
      <c r="AF613" s="71"/>
      <c r="AG613" s="71"/>
      <c r="AH613" s="71"/>
      <c r="AI613" s="68"/>
      <c r="AJ613" s="214"/>
      <c r="AK613" s="214"/>
      <c r="AL613" s="214"/>
      <c r="AM613" s="214"/>
      <c r="AN613" s="68"/>
      <c r="AO613" s="67"/>
      <c r="AP613" s="67"/>
      <c r="AQ613" s="67"/>
      <c r="AR613" s="67"/>
      <c r="AS613" s="67"/>
      <c r="AT613" s="68"/>
      <c r="AU613" s="49"/>
      <c r="AV613" s="50"/>
    </row>
    <row r="614" spans="1:48" ht="12.75" customHeight="1" x14ac:dyDescent="0.25">
      <c r="A614" s="72" t="s">
        <v>20</v>
      </c>
      <c r="B614" s="43" t="s">
        <v>4043</v>
      </c>
      <c r="C614" s="44" t="s">
        <v>3942</v>
      </c>
      <c r="D614" s="45">
        <f>MROUND(MID($C614,6,3)/Basis!$E$3,0.5)</f>
        <v>37</v>
      </c>
      <c r="E614" s="45">
        <f>MROUND(MID($C614,9,3)/Basis!$E$3,0.5)</f>
        <v>71</v>
      </c>
      <c r="F614" s="229" t="str">
        <f t="shared" si="9"/>
        <v>11</v>
      </c>
      <c r="G614" s="45">
        <f>ROUND(5/Basis!$E$3,1)</f>
        <v>2</v>
      </c>
      <c r="H614" s="120">
        <f>ROUND($P614*Basis!$E$2*((TaH-TrH)/LN(1/µ)/Basis!$E$7)^$N614*Glycol,0)</f>
        <v>5077</v>
      </c>
      <c r="I614" s="83">
        <f>ROUND(H614/(MID($C614,9,3)/Basis!$E$3/Basis!$E$9)*Basis!$E$11,0)</f>
        <v>860</v>
      </c>
      <c r="J614" s="123">
        <f>IF(Basis!$E$1=1,ROUND(H614/((TaH-TrH)*1.163)/3600,3),ROUND(H614/(500*(TaH-TrH)),2))</f>
        <v>0.51</v>
      </c>
      <c r="K614" s="84"/>
      <c r="L614" s="177">
        <f>CHOOSE(Basis!$E$1,((AJ614*(J614*3600/Basis!$E$5)^AK614*(((MID(C614,9,3)*10)-144)/1000)*AL614+AM614*(J614*3600/Basis!$E$5)^2)*0.0098)/Basis!$E$10,((AJ614*(J614/Basis!$E$5)^AK614*(((MID(C614,9,3)*10)-144)/1000)*AL614+AM614*(J614/Basis!$E$5)^2)*0.0098)/Basis!$E$10)</f>
        <v>0</v>
      </c>
      <c r="M614" s="85"/>
      <c r="N614" s="110">
        <v>1.2490000000000001</v>
      </c>
      <c r="O614" s="74"/>
      <c r="P614" s="73">
        <v>2247</v>
      </c>
      <c r="Q614" s="74"/>
      <c r="R614" s="75"/>
      <c r="S614" s="75"/>
      <c r="T614" s="75"/>
      <c r="U614" s="75"/>
      <c r="V614" s="75"/>
      <c r="W614" s="74"/>
      <c r="X614" s="76"/>
      <c r="Y614" s="76"/>
      <c r="Z614" s="76"/>
      <c r="AA614" s="76"/>
      <c r="AB614" s="76"/>
      <c r="AC614" s="74"/>
      <c r="AD614" s="77"/>
      <c r="AE614" s="77"/>
      <c r="AF614" s="77"/>
      <c r="AG614" s="77"/>
      <c r="AH614" s="77"/>
      <c r="AI614" s="68"/>
      <c r="AJ614" s="213"/>
      <c r="AK614" s="213"/>
      <c r="AL614" s="213"/>
      <c r="AM614" s="213"/>
      <c r="AN614" s="74"/>
      <c r="AO614" s="73"/>
      <c r="AP614" s="73"/>
      <c r="AQ614" s="73"/>
      <c r="AR614" s="73"/>
      <c r="AS614" s="73"/>
      <c r="AT614" s="74"/>
      <c r="AU614" s="47"/>
      <c r="AV614" s="48"/>
    </row>
    <row r="615" spans="1:48" ht="12.75" customHeight="1" x14ac:dyDescent="0.25">
      <c r="A615" s="72" t="s">
        <v>20</v>
      </c>
      <c r="B615" s="43" t="s">
        <v>4043</v>
      </c>
      <c r="C615" s="44" t="s">
        <v>3943</v>
      </c>
      <c r="D615" s="45">
        <f>MROUND(MID($C615,6,3)/Basis!$E$3,0.5)</f>
        <v>37</v>
      </c>
      <c r="E615" s="45">
        <f>MROUND(MID($C615,9,3)/Basis!$E$3,0.5)</f>
        <v>71</v>
      </c>
      <c r="F615" s="229" t="str">
        <f t="shared" si="9"/>
        <v>22</v>
      </c>
      <c r="G615" s="45">
        <f>ROUND(9/Basis!$E$3,1)</f>
        <v>3.5</v>
      </c>
      <c r="H615" s="120">
        <f>ROUND($P615*Basis!$E$2*((TaH-TrH)/LN(1/µ)/Basis!$E$7)^$N615*Glycol,0)</f>
        <v>8183</v>
      </c>
      <c r="I615" s="83">
        <f>ROUND(H615/(MID($C615,9,3)/Basis!$E$3/Basis!$E$9)*Basis!$E$11,0)</f>
        <v>1386</v>
      </c>
      <c r="J615" s="123">
        <f>IF(Basis!$E$1=1,ROUND(H615/((TaH-TrH)*1.163)/3600,3),ROUND(H615/(500*(TaH-TrH)),2))</f>
        <v>0.82</v>
      </c>
      <c r="K615" s="84"/>
      <c r="L615" s="177">
        <f>CHOOSE(Basis!$E$1,((AJ615*(J615*3600/Basis!$E$5)^AK615*(((MID(C615,9,3)*10)-144)/1000)*AL615+AM615*(J615*3600/Basis!$E$5)^2)*0.0098)/Basis!$E$10,((AJ615*(J615/Basis!$E$5)^AK615*(((MID(C615,9,3)*10)-144)/1000)*AL615+AM615*(J615/Basis!$E$5)^2)*0.0098)/Basis!$E$10)</f>
        <v>0</v>
      </c>
      <c r="M615" s="85"/>
      <c r="N615" s="110">
        <v>1.3480000000000001</v>
      </c>
      <c r="O615" s="74"/>
      <c r="P615" s="73">
        <v>3742</v>
      </c>
      <c r="Q615" s="74"/>
      <c r="R615" s="75"/>
      <c r="S615" s="75"/>
      <c r="T615" s="75"/>
      <c r="U615" s="75"/>
      <c r="V615" s="75"/>
      <c r="W615" s="74"/>
      <c r="X615" s="76"/>
      <c r="Y615" s="76"/>
      <c r="Z615" s="76"/>
      <c r="AA615" s="76"/>
      <c r="AB615" s="76"/>
      <c r="AC615" s="74"/>
      <c r="AD615" s="77"/>
      <c r="AE615" s="77"/>
      <c r="AF615" s="77"/>
      <c r="AG615" s="77"/>
      <c r="AH615" s="77"/>
      <c r="AI615" s="68"/>
      <c r="AJ615" s="213"/>
      <c r="AK615" s="213"/>
      <c r="AL615" s="213"/>
      <c r="AM615" s="213"/>
      <c r="AN615" s="74"/>
      <c r="AO615" s="73"/>
      <c r="AP615" s="73"/>
      <c r="AQ615" s="73"/>
      <c r="AR615" s="73"/>
      <c r="AS615" s="73"/>
      <c r="AT615" s="74"/>
      <c r="AU615" s="47"/>
      <c r="AV615" s="48"/>
    </row>
    <row r="616" spans="1:48" ht="12.75" customHeight="1" x14ac:dyDescent="0.25">
      <c r="A616" s="72" t="s">
        <v>20</v>
      </c>
      <c r="B616" s="43" t="s">
        <v>4043</v>
      </c>
      <c r="C616" s="44" t="s">
        <v>3944</v>
      </c>
      <c r="D616" s="45">
        <f>MROUND(MID($C616,6,3)/Basis!$E$3,0.5)</f>
        <v>37</v>
      </c>
      <c r="E616" s="45">
        <f>MROUND(MID($C616,9,3)/Basis!$E$3,0.5)</f>
        <v>78.5</v>
      </c>
      <c r="F616" s="229" t="str">
        <f t="shared" si="9"/>
        <v>11</v>
      </c>
      <c r="G616" s="45">
        <f>ROUND(5/Basis!$E$3,1)</f>
        <v>2</v>
      </c>
      <c r="H616" s="120">
        <f>ROUND($P616*Basis!$E$2*((TaH-TrH)/LN(1/µ)/Basis!$E$7)^$N616*Glycol,0)</f>
        <v>5640</v>
      </c>
      <c r="I616" s="83">
        <f>ROUND(H616/(MID($C616,9,3)/Basis!$E$3/Basis!$E$9)*Basis!$E$11,0)</f>
        <v>860</v>
      </c>
      <c r="J616" s="123">
        <f>IF(Basis!$E$1=1,ROUND(H616/((TaH-TrH)*1.163)/3600,3),ROUND(H616/(500*(TaH-TrH)),2))</f>
        <v>0.56000000000000005</v>
      </c>
      <c r="K616" s="84"/>
      <c r="L616" s="177">
        <f>CHOOSE(Basis!$E$1,((AJ616*(J616*3600/Basis!$E$5)^AK616*(((MID(C616,9,3)*10)-144)/1000)*AL616+AM616*(J616*3600/Basis!$E$5)^2)*0.0098)/Basis!$E$10,((AJ616*(J616/Basis!$E$5)^AK616*(((MID(C616,9,3)*10)-144)/1000)*AL616+AM616*(J616/Basis!$E$5)^2)*0.0098)/Basis!$E$10)</f>
        <v>0</v>
      </c>
      <c r="M616" s="85"/>
      <c r="N616" s="109">
        <v>1.2490000000000001</v>
      </c>
      <c r="O616" s="68"/>
      <c r="P616" s="67">
        <v>2496</v>
      </c>
      <c r="Q616" s="68"/>
      <c r="R616" s="69"/>
      <c r="S616" s="69"/>
      <c r="T616" s="69"/>
      <c r="U616" s="69"/>
      <c r="V616" s="69"/>
      <c r="W616" s="68"/>
      <c r="X616" s="70"/>
      <c r="Y616" s="70"/>
      <c r="Z616" s="70"/>
      <c r="AA616" s="70"/>
      <c r="AB616" s="70"/>
      <c r="AC616" s="68"/>
      <c r="AD616" s="71"/>
      <c r="AE616" s="71"/>
      <c r="AF616" s="71"/>
      <c r="AG616" s="71"/>
      <c r="AH616" s="71"/>
      <c r="AI616" s="68"/>
      <c r="AJ616" s="214"/>
      <c r="AK616" s="214"/>
      <c r="AL616" s="214"/>
      <c r="AM616" s="214"/>
      <c r="AN616" s="68"/>
      <c r="AO616" s="67"/>
      <c r="AP616" s="67"/>
      <c r="AQ616" s="67"/>
      <c r="AR616" s="67"/>
      <c r="AS616" s="67"/>
      <c r="AT616" s="68"/>
      <c r="AU616" s="49"/>
      <c r="AV616" s="50"/>
    </row>
    <row r="617" spans="1:48" ht="12.75" customHeight="1" x14ac:dyDescent="0.25">
      <c r="A617" s="72" t="s">
        <v>20</v>
      </c>
      <c r="B617" s="43" t="s">
        <v>4043</v>
      </c>
      <c r="C617" s="44" t="s">
        <v>3945</v>
      </c>
      <c r="D617" s="45">
        <f>MROUND(MID($C617,6,3)/Basis!$E$3,0.5)</f>
        <v>37</v>
      </c>
      <c r="E617" s="45">
        <f>MROUND(MID($C617,9,3)/Basis!$E$3,0.5)</f>
        <v>78.5</v>
      </c>
      <c r="F617" s="229" t="str">
        <f t="shared" si="9"/>
        <v>22</v>
      </c>
      <c r="G617" s="45">
        <f>ROUND(9/Basis!$E$3,1)</f>
        <v>3.5</v>
      </c>
      <c r="H617" s="120">
        <f>ROUND($P617*Basis!$E$2*((TaH-TrH)/LN(1/µ)/Basis!$E$7)^$N617*Glycol,0)</f>
        <v>9093</v>
      </c>
      <c r="I617" s="83">
        <f>ROUND(H617/(MID($C617,9,3)/Basis!$E$3/Basis!$E$9)*Basis!$E$11,0)</f>
        <v>1386</v>
      </c>
      <c r="J617" s="123">
        <f>IF(Basis!$E$1=1,ROUND(H617/((TaH-TrH)*1.163)/3600,3),ROUND(H617/(500*(TaH-TrH)),2))</f>
        <v>0.91</v>
      </c>
      <c r="K617" s="84"/>
      <c r="L617" s="177">
        <f>CHOOSE(Basis!$E$1,((AJ617*(J617*3600/Basis!$E$5)^AK617*(((MID(C617,9,3)*10)-144)/1000)*AL617+AM617*(J617*3600/Basis!$E$5)^2)*0.0098)/Basis!$E$10,((AJ617*(J617/Basis!$E$5)^AK617*(((MID(C617,9,3)*10)-144)/1000)*AL617+AM617*(J617/Basis!$E$5)^2)*0.0098)/Basis!$E$10)</f>
        <v>0</v>
      </c>
      <c r="M617" s="85"/>
      <c r="N617" s="109">
        <v>1.3480000000000001</v>
      </c>
      <c r="O617" s="68"/>
      <c r="P617" s="67">
        <v>4158</v>
      </c>
      <c r="Q617" s="68"/>
      <c r="R617" s="69"/>
      <c r="S617" s="69"/>
      <c r="T617" s="69"/>
      <c r="U617" s="69"/>
      <c r="V617" s="69"/>
      <c r="W617" s="68"/>
      <c r="X617" s="70"/>
      <c r="Y617" s="70"/>
      <c r="Z617" s="70"/>
      <c r="AA617" s="70"/>
      <c r="AB617" s="70"/>
      <c r="AC617" s="68"/>
      <c r="AD617" s="71"/>
      <c r="AE617" s="71"/>
      <c r="AF617" s="71"/>
      <c r="AG617" s="71"/>
      <c r="AH617" s="71"/>
      <c r="AI617" s="68"/>
      <c r="AJ617" s="214"/>
      <c r="AK617" s="214"/>
      <c r="AL617" s="214"/>
      <c r="AM617" s="214"/>
      <c r="AN617" s="68"/>
      <c r="AO617" s="67"/>
      <c r="AP617" s="67"/>
      <c r="AQ617" s="67"/>
      <c r="AR617" s="67"/>
      <c r="AS617" s="67"/>
      <c r="AT617" s="68"/>
      <c r="AU617" s="49"/>
      <c r="AV617" s="50"/>
    </row>
    <row r="618" spans="1:48" ht="12.75" customHeight="1" x14ac:dyDescent="0.25">
      <c r="A618" s="72" t="s">
        <v>20</v>
      </c>
      <c r="B618" s="43" t="s">
        <v>4043</v>
      </c>
      <c r="C618" s="44" t="s">
        <v>3946</v>
      </c>
      <c r="D618" s="45">
        <f>MROUND(MID($C618,6,3)/Basis!$E$3,0.5)</f>
        <v>37</v>
      </c>
      <c r="E618" s="45">
        <f>MROUND(MID($C618,9,3)/Basis!$E$3,0.5)</f>
        <v>86.5</v>
      </c>
      <c r="F618" s="229" t="str">
        <f t="shared" si="9"/>
        <v>11</v>
      </c>
      <c r="G618" s="45">
        <f>ROUND(5/Basis!$E$3,1)</f>
        <v>2</v>
      </c>
      <c r="H618" s="120">
        <f>ROUND($P618*Basis!$E$2*((TaH-TrH)/LN(1/µ)/Basis!$E$7)^$N618*Glycol,0)</f>
        <v>6204</v>
      </c>
      <c r="I618" s="83">
        <f>ROUND(H618/(MID($C618,9,3)/Basis!$E$3/Basis!$E$9)*Basis!$E$11,0)</f>
        <v>860</v>
      </c>
      <c r="J618" s="123">
        <f>IF(Basis!$E$1=1,ROUND(H618/((TaH-TrH)*1.163)/3600,3),ROUND(H618/(500*(TaH-TrH)),2))</f>
        <v>0.62</v>
      </c>
      <c r="K618" s="84"/>
      <c r="L618" s="177">
        <f>CHOOSE(Basis!$E$1,((AJ618*(J618*3600/Basis!$E$5)^AK618*(((MID(C618,9,3)*10)-144)/1000)*AL618+AM618*(J618*3600/Basis!$E$5)^2)*0.0098)/Basis!$E$10,((AJ618*(J618/Basis!$E$5)^AK618*(((MID(C618,9,3)*10)-144)/1000)*AL618+AM618*(J618/Basis!$E$5)^2)*0.0098)/Basis!$E$10)</f>
        <v>0</v>
      </c>
      <c r="M618" s="85"/>
      <c r="N618" s="110">
        <v>1.2490000000000001</v>
      </c>
      <c r="O618" s="74"/>
      <c r="P618" s="73">
        <v>2746</v>
      </c>
      <c r="Q618" s="74"/>
      <c r="R618" s="75"/>
      <c r="S618" s="75"/>
      <c r="T618" s="75"/>
      <c r="U618" s="75"/>
      <c r="V618" s="75"/>
      <c r="W618" s="74"/>
      <c r="X618" s="76"/>
      <c r="Y618" s="76"/>
      <c r="Z618" s="76"/>
      <c r="AA618" s="76"/>
      <c r="AB618" s="76"/>
      <c r="AC618" s="74"/>
      <c r="AD618" s="77"/>
      <c r="AE618" s="77"/>
      <c r="AF618" s="77"/>
      <c r="AG618" s="77"/>
      <c r="AH618" s="77"/>
      <c r="AI618" s="68"/>
      <c r="AJ618" s="213"/>
      <c r="AK618" s="213"/>
      <c r="AL618" s="213"/>
      <c r="AM618" s="213"/>
      <c r="AN618" s="74"/>
      <c r="AO618" s="73"/>
      <c r="AP618" s="73"/>
      <c r="AQ618" s="73"/>
      <c r="AR618" s="73"/>
      <c r="AS618" s="73"/>
      <c r="AT618" s="74"/>
      <c r="AU618" s="47"/>
      <c r="AV618" s="48"/>
    </row>
    <row r="619" spans="1:48" ht="12.75" customHeight="1" x14ac:dyDescent="0.25">
      <c r="A619" s="72" t="s">
        <v>20</v>
      </c>
      <c r="B619" s="43" t="s">
        <v>4043</v>
      </c>
      <c r="C619" s="44" t="s">
        <v>3947</v>
      </c>
      <c r="D619" s="45">
        <f>MROUND(MID($C619,6,3)/Basis!$E$3,0.5)</f>
        <v>37</v>
      </c>
      <c r="E619" s="45">
        <f>MROUND(MID($C619,9,3)/Basis!$E$3,0.5)</f>
        <v>86.5</v>
      </c>
      <c r="F619" s="229" t="str">
        <f t="shared" si="9"/>
        <v>22</v>
      </c>
      <c r="G619" s="45">
        <f>ROUND(9/Basis!$E$3,1)</f>
        <v>3.5</v>
      </c>
      <c r="H619" s="120">
        <f>ROUND($P619*Basis!$E$2*((TaH-TrH)/LN(1/µ)/Basis!$E$7)^$N619*Glycol,0)</f>
        <v>10002</v>
      </c>
      <c r="I619" s="83">
        <f>ROUND(H619/(MID($C619,9,3)/Basis!$E$3/Basis!$E$9)*Basis!$E$11,0)</f>
        <v>1386</v>
      </c>
      <c r="J619" s="123">
        <f>IF(Basis!$E$1=1,ROUND(H619/((TaH-TrH)*1.163)/3600,3),ROUND(H619/(500*(TaH-TrH)),2))</f>
        <v>1</v>
      </c>
      <c r="K619" s="84"/>
      <c r="L619" s="177">
        <f>CHOOSE(Basis!$E$1,((AJ619*(J619*3600/Basis!$E$5)^AK619*(((MID(C619,9,3)*10)-144)/1000)*AL619+AM619*(J619*3600/Basis!$E$5)^2)*0.0098)/Basis!$E$10,((AJ619*(J619/Basis!$E$5)^AK619*(((MID(C619,9,3)*10)-144)/1000)*AL619+AM619*(J619/Basis!$E$5)^2)*0.0098)/Basis!$E$10)</f>
        <v>0</v>
      </c>
      <c r="M619" s="85"/>
      <c r="N619" s="110">
        <v>1.3480000000000001</v>
      </c>
      <c r="O619" s="74"/>
      <c r="P619" s="73">
        <v>4574</v>
      </c>
      <c r="Q619" s="74"/>
      <c r="R619" s="75"/>
      <c r="S619" s="75"/>
      <c r="T619" s="75"/>
      <c r="U619" s="75"/>
      <c r="V619" s="75"/>
      <c r="W619" s="74"/>
      <c r="X619" s="76"/>
      <c r="Y619" s="76"/>
      <c r="Z619" s="76"/>
      <c r="AA619" s="76"/>
      <c r="AB619" s="76"/>
      <c r="AC619" s="74"/>
      <c r="AD619" s="77"/>
      <c r="AE619" s="77"/>
      <c r="AF619" s="77"/>
      <c r="AG619" s="77"/>
      <c r="AH619" s="77"/>
      <c r="AI619" s="68"/>
      <c r="AJ619" s="213"/>
      <c r="AK619" s="213"/>
      <c r="AL619" s="213"/>
      <c r="AM619" s="213"/>
      <c r="AN619" s="74"/>
      <c r="AO619" s="73"/>
      <c r="AP619" s="73"/>
      <c r="AQ619" s="73"/>
      <c r="AR619" s="73"/>
      <c r="AS619" s="73"/>
      <c r="AT619" s="74"/>
      <c r="AU619" s="47"/>
      <c r="AV619" s="48"/>
    </row>
    <row r="620" spans="1:48" ht="12.75" customHeight="1" x14ac:dyDescent="0.25">
      <c r="A620" s="72" t="s">
        <v>20</v>
      </c>
      <c r="B620" s="43" t="s">
        <v>4043</v>
      </c>
      <c r="C620" s="44" t="s">
        <v>3948</v>
      </c>
      <c r="D620" s="45">
        <f>MROUND(MID($C620,6,3)/Basis!$E$3,0.5)</f>
        <v>37</v>
      </c>
      <c r="E620" s="45">
        <f>MROUND(MID($C620,9,3)/Basis!$E$3,0.5)</f>
        <v>94.5</v>
      </c>
      <c r="F620" s="229" t="str">
        <f t="shared" si="9"/>
        <v>11</v>
      </c>
      <c r="G620" s="45">
        <f>ROUND(5/Basis!$E$3,1)</f>
        <v>2</v>
      </c>
      <c r="H620" s="120">
        <f>ROUND($P620*Basis!$E$2*((TaH-TrH)/LN(1/µ)/Basis!$E$7)^$N620*Glycol,0)</f>
        <v>6769</v>
      </c>
      <c r="I620" s="83">
        <f>ROUND(H620/(MID($C620,9,3)/Basis!$E$3/Basis!$E$9)*Basis!$E$11,0)</f>
        <v>860</v>
      </c>
      <c r="J620" s="123">
        <f>IF(Basis!$E$1=1,ROUND(H620/((TaH-TrH)*1.163)/3600,3),ROUND(H620/(500*(TaH-TrH)),2))</f>
        <v>0.68</v>
      </c>
      <c r="K620" s="84"/>
      <c r="L620" s="177">
        <f>CHOOSE(Basis!$E$1,((AJ620*(J620*3600/Basis!$E$5)^AK620*(((MID(C620,9,3)*10)-144)/1000)*AL620+AM620*(J620*3600/Basis!$E$5)^2)*0.0098)/Basis!$E$10,((AJ620*(J620/Basis!$E$5)^AK620*(((MID(C620,9,3)*10)-144)/1000)*AL620+AM620*(J620/Basis!$E$5)^2)*0.0098)/Basis!$E$10)</f>
        <v>0</v>
      </c>
      <c r="M620" s="85"/>
      <c r="N620" s="109">
        <v>1.2490000000000001</v>
      </c>
      <c r="O620" s="68"/>
      <c r="P620" s="67">
        <v>2996</v>
      </c>
      <c r="Q620" s="68"/>
      <c r="R620" s="69"/>
      <c r="S620" s="69"/>
      <c r="T620" s="69"/>
      <c r="U620" s="69"/>
      <c r="V620" s="69"/>
      <c r="W620" s="68"/>
      <c r="X620" s="70"/>
      <c r="Y620" s="70"/>
      <c r="Z620" s="70"/>
      <c r="AA620" s="70"/>
      <c r="AB620" s="70"/>
      <c r="AC620" s="68"/>
      <c r="AD620" s="71"/>
      <c r="AE620" s="71"/>
      <c r="AF620" s="71"/>
      <c r="AG620" s="71"/>
      <c r="AH620" s="71"/>
      <c r="AI620" s="68"/>
      <c r="AJ620" s="214"/>
      <c r="AK620" s="214"/>
      <c r="AL620" s="214"/>
      <c r="AM620" s="214"/>
      <c r="AN620" s="68"/>
      <c r="AO620" s="67"/>
      <c r="AP620" s="67"/>
      <c r="AQ620" s="67"/>
      <c r="AR620" s="67"/>
      <c r="AS620" s="67"/>
      <c r="AT620" s="68"/>
      <c r="AU620" s="49"/>
      <c r="AV620" s="50"/>
    </row>
    <row r="621" spans="1:48" ht="12.75" customHeight="1" x14ac:dyDescent="0.25">
      <c r="A621" s="72" t="s">
        <v>20</v>
      </c>
      <c r="B621" s="43" t="s">
        <v>4043</v>
      </c>
      <c r="C621" s="44" t="s">
        <v>3949</v>
      </c>
      <c r="D621" s="45">
        <f>MROUND(MID($C621,6,3)/Basis!$E$3,0.5)</f>
        <v>37</v>
      </c>
      <c r="E621" s="45">
        <f>MROUND(MID($C621,9,3)/Basis!$E$3,0.5)</f>
        <v>94.5</v>
      </c>
      <c r="F621" s="229" t="str">
        <f t="shared" si="9"/>
        <v>22</v>
      </c>
      <c r="G621" s="45">
        <f>ROUND(9/Basis!$E$3,1)</f>
        <v>3.5</v>
      </c>
      <c r="H621" s="120">
        <f>ROUND($P621*Basis!$E$2*((TaH-TrH)/LN(1/µ)/Basis!$E$7)^$N621*Glycol,0)</f>
        <v>10910</v>
      </c>
      <c r="I621" s="83">
        <f>ROUND(H621/(MID($C621,9,3)/Basis!$E$3/Basis!$E$9)*Basis!$E$11,0)</f>
        <v>1386</v>
      </c>
      <c r="J621" s="123">
        <f>IF(Basis!$E$1=1,ROUND(H621/((TaH-TrH)*1.163)/3600,3),ROUND(H621/(500*(TaH-TrH)),2))</f>
        <v>1.0900000000000001</v>
      </c>
      <c r="K621" s="84"/>
      <c r="L621" s="177">
        <f>CHOOSE(Basis!$E$1,((AJ621*(J621*3600/Basis!$E$5)^AK621*(((MID(C621,9,3)*10)-144)/1000)*AL621+AM621*(J621*3600/Basis!$E$5)^2)*0.0098)/Basis!$E$10,((AJ621*(J621/Basis!$E$5)^AK621*(((MID(C621,9,3)*10)-144)/1000)*AL621+AM621*(J621/Basis!$E$5)^2)*0.0098)/Basis!$E$10)</f>
        <v>0</v>
      </c>
      <c r="M621" s="85"/>
      <c r="N621" s="109">
        <v>1.3480000000000001</v>
      </c>
      <c r="O621" s="68"/>
      <c r="P621" s="67">
        <v>4989</v>
      </c>
      <c r="Q621" s="68"/>
      <c r="R621" s="69"/>
      <c r="S621" s="69"/>
      <c r="T621" s="69"/>
      <c r="U621" s="69"/>
      <c r="V621" s="69"/>
      <c r="W621" s="68"/>
      <c r="X621" s="70"/>
      <c r="Y621" s="70"/>
      <c r="Z621" s="70"/>
      <c r="AA621" s="70"/>
      <c r="AB621" s="70"/>
      <c r="AC621" s="68"/>
      <c r="AD621" s="71"/>
      <c r="AE621" s="71"/>
      <c r="AF621" s="71"/>
      <c r="AG621" s="71"/>
      <c r="AH621" s="71"/>
      <c r="AI621" s="68"/>
      <c r="AJ621" s="214"/>
      <c r="AK621" s="214"/>
      <c r="AL621" s="214"/>
      <c r="AM621" s="214"/>
      <c r="AN621" s="68"/>
      <c r="AO621" s="67"/>
      <c r="AP621" s="67"/>
      <c r="AQ621" s="67"/>
      <c r="AR621" s="67"/>
      <c r="AS621" s="67"/>
      <c r="AT621" s="68"/>
      <c r="AU621" s="49"/>
      <c r="AV621" s="50"/>
    </row>
    <row r="622" spans="1:48" ht="12.75" customHeight="1" x14ac:dyDescent="0.25">
      <c r="A622" s="72" t="s">
        <v>20</v>
      </c>
      <c r="B622" s="43" t="s">
        <v>4043</v>
      </c>
      <c r="C622" s="44" t="s">
        <v>3950</v>
      </c>
      <c r="D622" s="45">
        <f>MROUND(MID($C622,6,3)/Basis!$E$3,0.5)</f>
        <v>37</v>
      </c>
      <c r="E622" s="45">
        <f>MROUND(MID($C622,9,3)/Basis!$E$3,0.5)</f>
        <v>102.5</v>
      </c>
      <c r="F622" s="229" t="str">
        <f t="shared" si="9"/>
        <v>11</v>
      </c>
      <c r="G622" s="45">
        <f>ROUND(5/Basis!$E$3,1)</f>
        <v>2</v>
      </c>
      <c r="H622" s="120">
        <f>ROUND($P622*Basis!$E$2*((TaH-TrH)/LN(1/µ)/Basis!$E$7)^$N622*Glycol,0)</f>
        <v>7332</v>
      </c>
      <c r="I622" s="83">
        <f>ROUND(H622/(MID($C622,9,3)/Basis!$E$3/Basis!$E$9)*Basis!$E$11,0)</f>
        <v>860</v>
      </c>
      <c r="J622" s="123">
        <f>IF(Basis!$E$1=1,ROUND(H622/((TaH-TrH)*1.163)/3600,3),ROUND(H622/(500*(TaH-TrH)),2))</f>
        <v>0.73</v>
      </c>
      <c r="K622" s="84"/>
      <c r="L622" s="177">
        <f>CHOOSE(Basis!$E$1,((AJ622*(J622*3600/Basis!$E$5)^AK622*(((MID(C622,9,3)*10)-144)/1000)*AL622+AM622*(J622*3600/Basis!$E$5)^2)*0.0098)/Basis!$E$10,((AJ622*(J622/Basis!$E$5)^AK622*(((MID(C622,9,3)*10)-144)/1000)*AL622+AM622*(J622/Basis!$E$5)^2)*0.0098)/Basis!$E$10)</f>
        <v>0</v>
      </c>
      <c r="M622" s="85"/>
      <c r="N622" s="110">
        <v>1.2490000000000001</v>
      </c>
      <c r="O622" s="74"/>
      <c r="P622" s="73">
        <v>3245</v>
      </c>
      <c r="Q622" s="74"/>
      <c r="R622" s="75"/>
      <c r="S622" s="75"/>
      <c r="T622" s="75"/>
      <c r="U622" s="75"/>
      <c r="V622" s="75"/>
      <c r="W622" s="74"/>
      <c r="X622" s="76"/>
      <c r="Y622" s="76"/>
      <c r="Z622" s="76"/>
      <c r="AA622" s="76"/>
      <c r="AB622" s="76"/>
      <c r="AC622" s="74"/>
      <c r="AD622" s="77"/>
      <c r="AE622" s="77"/>
      <c r="AF622" s="77"/>
      <c r="AG622" s="77"/>
      <c r="AH622" s="77"/>
      <c r="AI622" s="68"/>
      <c r="AJ622" s="213"/>
      <c r="AK622" s="213"/>
      <c r="AL622" s="213"/>
      <c r="AM622" s="213"/>
      <c r="AN622" s="74"/>
      <c r="AO622" s="73"/>
      <c r="AP622" s="73"/>
      <c r="AQ622" s="73"/>
      <c r="AR622" s="73"/>
      <c r="AS622" s="73"/>
      <c r="AT622" s="74"/>
      <c r="AU622" s="47"/>
      <c r="AV622" s="48"/>
    </row>
    <row r="623" spans="1:48" ht="12.75" customHeight="1" x14ac:dyDescent="0.25">
      <c r="A623" s="72" t="s">
        <v>20</v>
      </c>
      <c r="B623" s="43" t="s">
        <v>4043</v>
      </c>
      <c r="C623" s="44" t="s">
        <v>3951</v>
      </c>
      <c r="D623" s="45">
        <f>MROUND(MID($C623,6,3)/Basis!$E$3,0.5)</f>
        <v>37</v>
      </c>
      <c r="E623" s="45">
        <f>MROUND(MID($C623,9,3)/Basis!$E$3,0.5)</f>
        <v>102.5</v>
      </c>
      <c r="F623" s="229" t="str">
        <f t="shared" si="9"/>
        <v>22</v>
      </c>
      <c r="G623" s="45">
        <f>ROUND(9/Basis!$E$3,1)</f>
        <v>3.5</v>
      </c>
      <c r="H623" s="120">
        <f>ROUND($P623*Basis!$E$2*((TaH-TrH)/LN(1/µ)/Basis!$E$7)^$N623*Glycol,0)</f>
        <v>11820</v>
      </c>
      <c r="I623" s="83">
        <f>ROUND(H623/(MID($C623,9,3)/Basis!$E$3/Basis!$E$9)*Basis!$E$11,0)</f>
        <v>1386</v>
      </c>
      <c r="J623" s="123">
        <f>IF(Basis!$E$1=1,ROUND(H623/((TaH-TrH)*1.163)/3600,3),ROUND(H623/(500*(TaH-TrH)),2))</f>
        <v>1.18</v>
      </c>
      <c r="K623" s="84"/>
      <c r="L623" s="177">
        <f>CHOOSE(Basis!$E$1,((AJ623*(J623*3600/Basis!$E$5)^AK623*(((MID(C623,9,3)*10)-144)/1000)*AL623+AM623*(J623*3600/Basis!$E$5)^2)*0.0098)/Basis!$E$10,((AJ623*(J623/Basis!$E$5)^AK623*(((MID(C623,9,3)*10)-144)/1000)*AL623+AM623*(J623/Basis!$E$5)^2)*0.0098)/Basis!$E$10)</f>
        <v>0</v>
      </c>
      <c r="M623" s="85"/>
      <c r="N623" s="110">
        <v>1.3480000000000001</v>
      </c>
      <c r="O623" s="74"/>
      <c r="P623" s="73">
        <v>5405</v>
      </c>
      <c r="Q623" s="74"/>
      <c r="R623" s="75"/>
      <c r="S623" s="75"/>
      <c r="T623" s="75"/>
      <c r="U623" s="75"/>
      <c r="V623" s="75"/>
      <c r="W623" s="74"/>
      <c r="X623" s="76"/>
      <c r="Y623" s="76"/>
      <c r="Z623" s="76"/>
      <c r="AA623" s="76"/>
      <c r="AB623" s="76"/>
      <c r="AC623" s="74"/>
      <c r="AD623" s="77"/>
      <c r="AE623" s="77"/>
      <c r="AF623" s="77"/>
      <c r="AG623" s="77"/>
      <c r="AH623" s="77"/>
      <c r="AI623" s="68"/>
      <c r="AJ623" s="213"/>
      <c r="AK623" s="213"/>
      <c r="AL623" s="213"/>
      <c r="AM623" s="213"/>
      <c r="AN623" s="74"/>
      <c r="AO623" s="73"/>
      <c r="AP623" s="73"/>
      <c r="AQ623" s="73"/>
      <c r="AR623" s="73"/>
      <c r="AS623" s="73"/>
      <c r="AT623" s="74"/>
      <c r="AU623" s="47"/>
      <c r="AV623" s="48"/>
    </row>
    <row r="624" spans="1:48" ht="12.75" customHeight="1" x14ac:dyDescent="0.25">
      <c r="A624" s="72" t="s">
        <v>20</v>
      </c>
      <c r="B624" s="43" t="s">
        <v>4043</v>
      </c>
      <c r="C624" s="44" t="s">
        <v>3952</v>
      </c>
      <c r="D624" s="45">
        <f>MROUND(MID($C624,6,3)/Basis!$E$3,0.5)</f>
        <v>37</v>
      </c>
      <c r="E624" s="45">
        <f>MROUND(MID($C624,9,3)/Basis!$E$3,0.5)</f>
        <v>110</v>
      </c>
      <c r="F624" s="229" t="str">
        <f t="shared" si="9"/>
        <v>11</v>
      </c>
      <c r="G624" s="45">
        <f>ROUND(5/Basis!$E$3,1)</f>
        <v>2</v>
      </c>
      <c r="H624" s="120">
        <f>ROUND($P624*Basis!$E$2*((TaH-TrH)/LN(1/µ)/Basis!$E$7)^$N624*Glycol,0)</f>
        <v>7897</v>
      </c>
      <c r="I624" s="83">
        <f>ROUND(H624/(MID($C624,9,3)/Basis!$E$3/Basis!$E$9)*Basis!$E$11,0)</f>
        <v>860</v>
      </c>
      <c r="J624" s="123">
        <f>IF(Basis!$E$1=1,ROUND(H624/((TaH-TrH)*1.163)/3600,3),ROUND(H624/(500*(TaH-TrH)),2))</f>
        <v>0.79</v>
      </c>
      <c r="K624" s="84"/>
      <c r="L624" s="177">
        <f>CHOOSE(Basis!$E$1,((AJ624*(J624*3600/Basis!$E$5)^AK624*(((MID(C624,9,3)*10)-144)/1000)*AL624+AM624*(J624*3600/Basis!$E$5)^2)*0.0098)/Basis!$E$10,((AJ624*(J624/Basis!$E$5)^AK624*(((MID(C624,9,3)*10)-144)/1000)*AL624+AM624*(J624/Basis!$E$5)^2)*0.0098)/Basis!$E$10)</f>
        <v>0</v>
      </c>
      <c r="M624" s="85"/>
      <c r="N624" s="109">
        <v>1.2490000000000001</v>
      </c>
      <c r="O624" s="68"/>
      <c r="P624" s="67">
        <v>3495</v>
      </c>
      <c r="Q624" s="68"/>
      <c r="R624" s="69"/>
      <c r="S624" s="69"/>
      <c r="T624" s="69"/>
      <c r="U624" s="69"/>
      <c r="V624" s="69"/>
      <c r="W624" s="68"/>
      <c r="X624" s="70"/>
      <c r="Y624" s="70"/>
      <c r="Z624" s="70"/>
      <c r="AA624" s="70"/>
      <c r="AB624" s="70"/>
      <c r="AC624" s="68"/>
      <c r="AD624" s="71"/>
      <c r="AE624" s="71"/>
      <c r="AF624" s="71"/>
      <c r="AG624" s="71"/>
      <c r="AH624" s="71"/>
      <c r="AI624" s="68"/>
      <c r="AJ624" s="214"/>
      <c r="AK624" s="214"/>
      <c r="AL624" s="214"/>
      <c r="AM624" s="214"/>
      <c r="AN624" s="68"/>
      <c r="AO624" s="67"/>
      <c r="AP624" s="67"/>
      <c r="AQ624" s="67"/>
      <c r="AR624" s="67"/>
      <c r="AS624" s="67"/>
      <c r="AT624" s="68"/>
      <c r="AU624" s="49"/>
      <c r="AV624" s="50"/>
    </row>
    <row r="625" spans="1:48" ht="12.75" customHeight="1" x14ac:dyDescent="0.25">
      <c r="A625" s="72" t="s">
        <v>20</v>
      </c>
      <c r="B625" s="43" t="s">
        <v>4043</v>
      </c>
      <c r="C625" s="44" t="s">
        <v>3953</v>
      </c>
      <c r="D625" s="45">
        <f>MROUND(MID($C625,6,3)/Basis!$E$3,0.5)</f>
        <v>37</v>
      </c>
      <c r="E625" s="45">
        <f>MROUND(MID($C625,9,3)/Basis!$E$3,0.5)</f>
        <v>110</v>
      </c>
      <c r="F625" s="229" t="str">
        <f t="shared" si="9"/>
        <v>22</v>
      </c>
      <c r="G625" s="45">
        <f>ROUND(9/Basis!$E$3,1)</f>
        <v>3.5</v>
      </c>
      <c r="H625" s="120">
        <f>ROUND($P625*Basis!$E$2*((TaH-TrH)/LN(1/µ)/Basis!$E$7)^$N625*Glycol,0)</f>
        <v>12729</v>
      </c>
      <c r="I625" s="83">
        <f>ROUND(H625/(MID($C625,9,3)/Basis!$E$3/Basis!$E$9)*Basis!$E$11,0)</f>
        <v>1386</v>
      </c>
      <c r="J625" s="123">
        <f>IF(Basis!$E$1=1,ROUND(H625/((TaH-TrH)*1.163)/3600,3),ROUND(H625/(500*(TaH-TrH)),2))</f>
        <v>1.27</v>
      </c>
      <c r="K625" s="84"/>
      <c r="L625" s="177">
        <f>CHOOSE(Basis!$E$1,((AJ625*(J625*3600/Basis!$E$5)^AK625*(((MID(C625,9,3)*10)-144)/1000)*AL625+AM625*(J625*3600/Basis!$E$5)^2)*0.0098)/Basis!$E$10,((AJ625*(J625/Basis!$E$5)^AK625*(((MID(C625,9,3)*10)-144)/1000)*AL625+AM625*(J625/Basis!$E$5)^2)*0.0098)/Basis!$E$10)</f>
        <v>0</v>
      </c>
      <c r="M625" s="85"/>
      <c r="N625" s="109">
        <v>1.3480000000000001</v>
      </c>
      <c r="O625" s="68"/>
      <c r="P625" s="67">
        <v>5821</v>
      </c>
      <c r="Q625" s="68"/>
      <c r="R625" s="69"/>
      <c r="S625" s="69"/>
      <c r="T625" s="69"/>
      <c r="U625" s="69"/>
      <c r="V625" s="69"/>
      <c r="W625" s="68"/>
      <c r="X625" s="70"/>
      <c r="Y625" s="70"/>
      <c r="Z625" s="70"/>
      <c r="AA625" s="70"/>
      <c r="AB625" s="70"/>
      <c r="AC625" s="68"/>
      <c r="AD625" s="71"/>
      <c r="AE625" s="71"/>
      <c r="AF625" s="71"/>
      <c r="AG625" s="71"/>
      <c r="AH625" s="71"/>
      <c r="AI625" s="68"/>
      <c r="AJ625" s="214"/>
      <c r="AK625" s="214"/>
      <c r="AL625" s="214"/>
      <c r="AM625" s="214"/>
      <c r="AN625" s="68"/>
      <c r="AO625" s="67"/>
      <c r="AP625" s="67"/>
      <c r="AQ625" s="67"/>
      <c r="AR625" s="67"/>
      <c r="AS625" s="67"/>
      <c r="AT625" s="68"/>
      <c r="AU625" s="49"/>
      <c r="AV625" s="50"/>
    </row>
    <row r="626" spans="1:48" ht="12.75" customHeight="1" x14ac:dyDescent="0.25">
      <c r="A626" s="72" t="s">
        <v>20</v>
      </c>
      <c r="B626" s="43" t="s">
        <v>4043</v>
      </c>
      <c r="C626" s="44" t="s">
        <v>3954</v>
      </c>
      <c r="D626" s="45">
        <f>MROUND(MID($C626,6,3)/Basis!$E$3,0.5)</f>
        <v>37</v>
      </c>
      <c r="E626" s="45">
        <f>MROUND(MID($C626,9,3)/Basis!$E$3,0.5)</f>
        <v>118</v>
      </c>
      <c r="F626" s="229" t="str">
        <f t="shared" si="9"/>
        <v>11</v>
      </c>
      <c r="G626" s="45">
        <f>ROUND(5/Basis!$E$3,1)</f>
        <v>2</v>
      </c>
      <c r="H626" s="120">
        <f>ROUND($P626*Basis!$E$2*((TaH-TrH)/LN(1/µ)/Basis!$E$7)^$N626*Glycol,0)</f>
        <v>8462</v>
      </c>
      <c r="I626" s="83">
        <f>ROUND(H626/(MID($C626,9,3)/Basis!$E$3/Basis!$E$9)*Basis!$E$11,0)</f>
        <v>860</v>
      </c>
      <c r="J626" s="123">
        <f>IF(Basis!$E$1=1,ROUND(H626/((TaH-TrH)*1.163)/3600,3),ROUND(H626/(500*(TaH-TrH)),2))</f>
        <v>0.85</v>
      </c>
      <c r="K626" s="84"/>
      <c r="L626" s="177">
        <f>CHOOSE(Basis!$E$1,((AJ626*(J626*3600/Basis!$E$5)^AK626*(((MID(C626,9,3)*10)-144)/1000)*AL626+AM626*(J626*3600/Basis!$E$5)^2)*0.0098)/Basis!$E$10,((AJ626*(J626/Basis!$E$5)^AK626*(((MID(C626,9,3)*10)-144)/1000)*AL626+AM626*(J626/Basis!$E$5)^2)*0.0098)/Basis!$E$10)</f>
        <v>0</v>
      </c>
      <c r="M626" s="85"/>
      <c r="N626" s="110">
        <v>1.2490000000000001</v>
      </c>
      <c r="O626" s="74"/>
      <c r="P626" s="73">
        <v>3745</v>
      </c>
      <c r="Q626" s="74"/>
      <c r="R626" s="75"/>
      <c r="S626" s="75"/>
      <c r="T626" s="75"/>
      <c r="U626" s="75"/>
      <c r="V626" s="75"/>
      <c r="W626" s="74"/>
      <c r="X626" s="76"/>
      <c r="Y626" s="76"/>
      <c r="Z626" s="76"/>
      <c r="AA626" s="76"/>
      <c r="AB626" s="76"/>
      <c r="AC626" s="74"/>
      <c r="AD626" s="77"/>
      <c r="AE626" s="77"/>
      <c r="AF626" s="77"/>
      <c r="AG626" s="77"/>
      <c r="AH626" s="77"/>
      <c r="AI626" s="68"/>
      <c r="AJ626" s="213"/>
      <c r="AK626" s="213"/>
      <c r="AL626" s="213"/>
      <c r="AM626" s="213"/>
      <c r="AN626" s="74"/>
      <c r="AO626" s="73"/>
      <c r="AP626" s="73"/>
      <c r="AQ626" s="73"/>
      <c r="AR626" s="73"/>
      <c r="AS626" s="73"/>
      <c r="AT626" s="74"/>
      <c r="AU626" s="47"/>
      <c r="AV626" s="48"/>
    </row>
    <row r="627" spans="1:48" ht="12.75" customHeight="1" x14ac:dyDescent="0.25">
      <c r="A627" s="72" t="s">
        <v>20</v>
      </c>
      <c r="B627" s="43" t="s">
        <v>4043</v>
      </c>
      <c r="C627" s="44" t="s">
        <v>3955</v>
      </c>
      <c r="D627" s="45">
        <f>MROUND(MID($C627,6,3)/Basis!$E$3,0.5)</f>
        <v>37</v>
      </c>
      <c r="E627" s="45">
        <f>MROUND(MID($C627,9,3)/Basis!$E$3,0.5)</f>
        <v>118</v>
      </c>
      <c r="F627" s="229" t="str">
        <f t="shared" si="9"/>
        <v>22</v>
      </c>
      <c r="G627" s="45">
        <f>ROUND(9/Basis!$E$3,1)</f>
        <v>3.5</v>
      </c>
      <c r="H627" s="120">
        <f>ROUND($P627*Basis!$E$2*((TaH-TrH)/LN(1/µ)/Basis!$E$7)^$N627*Glycol,0)</f>
        <v>13639</v>
      </c>
      <c r="I627" s="83">
        <f>ROUND(H627/(MID($C627,9,3)/Basis!$E$3/Basis!$E$9)*Basis!$E$11,0)</f>
        <v>1386</v>
      </c>
      <c r="J627" s="123">
        <f>IF(Basis!$E$1=1,ROUND(H627/((TaH-TrH)*1.163)/3600,3),ROUND(H627/(500*(TaH-TrH)),2))</f>
        <v>1.36</v>
      </c>
      <c r="K627" s="84"/>
      <c r="L627" s="177">
        <f>CHOOSE(Basis!$E$1,((AJ627*(J627*3600/Basis!$E$5)^AK627*(((MID(C627,9,3)*10)-144)/1000)*AL627+AM627*(J627*3600/Basis!$E$5)^2)*0.0098)/Basis!$E$10,((AJ627*(J627/Basis!$E$5)^AK627*(((MID(C627,9,3)*10)-144)/1000)*AL627+AM627*(J627/Basis!$E$5)^2)*0.0098)/Basis!$E$10)</f>
        <v>0</v>
      </c>
      <c r="M627" s="85"/>
      <c r="N627" s="110">
        <v>1.3480000000000001</v>
      </c>
      <c r="O627" s="74"/>
      <c r="P627" s="73">
        <v>6237</v>
      </c>
      <c r="Q627" s="74"/>
      <c r="R627" s="75"/>
      <c r="S627" s="75"/>
      <c r="T627" s="75"/>
      <c r="U627" s="75"/>
      <c r="V627" s="75"/>
      <c r="W627" s="74"/>
      <c r="X627" s="76"/>
      <c r="Y627" s="76"/>
      <c r="Z627" s="76"/>
      <c r="AA627" s="76"/>
      <c r="AB627" s="76"/>
      <c r="AC627" s="74"/>
      <c r="AD627" s="77"/>
      <c r="AE627" s="77"/>
      <c r="AF627" s="77"/>
      <c r="AG627" s="77"/>
      <c r="AH627" s="77"/>
      <c r="AI627" s="68"/>
      <c r="AJ627" s="213"/>
      <c r="AK627" s="213"/>
      <c r="AL627" s="213"/>
      <c r="AM627" s="213"/>
      <c r="AN627" s="74"/>
      <c r="AO627" s="73"/>
      <c r="AP627" s="73"/>
      <c r="AQ627" s="73"/>
      <c r="AR627" s="73"/>
      <c r="AS627" s="73"/>
      <c r="AT627" s="74"/>
      <c r="AU627" s="47"/>
      <c r="AV627" s="48"/>
    </row>
    <row r="628" spans="1:48" ht="12.75" customHeight="1" x14ac:dyDescent="0.25">
      <c r="A628" s="72" t="s">
        <v>4041</v>
      </c>
      <c r="B628" s="43" t="s">
        <v>4042</v>
      </c>
      <c r="C628" s="44" t="s">
        <v>3956</v>
      </c>
      <c r="D628" s="45">
        <f>MROUND(MID($C628,6,3)/Basis!$E$3,0.5)</f>
        <v>71</v>
      </c>
      <c r="E628" s="45">
        <f>MROUND(MID($C628,9,3)/Basis!$E$3,0.5)</f>
        <v>9.5</v>
      </c>
      <c r="F628" s="229" t="str">
        <f t="shared" si="9"/>
        <v>11</v>
      </c>
      <c r="G628" s="45">
        <f>ROUND(5/Basis!$E$3,1)</f>
        <v>2</v>
      </c>
      <c r="H628" s="120">
        <f>ROUND($P628*Basis!$E$2*((TaH-TrH)/LN(1/µ)/Basis!$E$7)^$N628*Glycol,0)</f>
        <v>1286</v>
      </c>
      <c r="I628" s="83">
        <f>ROUND(H628/(MID($C628,9,3)/Basis!$E$3/Basis!$E$9)*Basis!$E$11,0)</f>
        <v>1633</v>
      </c>
      <c r="J628" s="123">
        <f>IF(Basis!$E$1=1,ROUND(H628/((TaH-TrH)*1.163)/3600,3),ROUND(H628/(500*(TaH-TrH)),2))</f>
        <v>0.13</v>
      </c>
      <c r="K628" s="84"/>
      <c r="L628" s="177">
        <f>CHOOSE(Basis!$E$1,((AJ628*(J628*3600/Basis!$E$5)^AK628*(((MID(C628,9,3)*10)-144)/1000)*AL628+AM628*(J628*3600/Basis!$E$5)^2)*0.0098)/Basis!$E$10,((AJ628*(J628/Basis!$E$5)^AK628*(((MID(C628,9,3)*10)-144)/1000)*AL628+AM628*(J628/Basis!$E$5)^2)*0.0098)/Basis!$E$10)</f>
        <v>0</v>
      </c>
      <c r="M628" s="85"/>
      <c r="N628" s="109">
        <v>1.3260000000000001</v>
      </c>
      <c r="O628" s="68"/>
      <c r="P628" s="67">
        <v>584</v>
      </c>
      <c r="Q628" s="68"/>
      <c r="R628" s="69"/>
      <c r="S628" s="69"/>
      <c r="T628" s="69"/>
      <c r="U628" s="69"/>
      <c r="V628" s="69"/>
      <c r="W628" s="68"/>
      <c r="X628" s="70"/>
      <c r="Y628" s="70"/>
      <c r="Z628" s="70"/>
      <c r="AA628" s="70"/>
      <c r="AB628" s="70"/>
      <c r="AC628" s="68"/>
      <c r="AD628" s="71"/>
      <c r="AE628" s="71"/>
      <c r="AF628" s="71"/>
      <c r="AG628" s="71"/>
      <c r="AH628" s="71"/>
      <c r="AI628" s="68"/>
      <c r="AJ628" s="214"/>
      <c r="AK628" s="214"/>
      <c r="AL628" s="214"/>
      <c r="AM628" s="214"/>
      <c r="AN628" s="68"/>
      <c r="AO628" s="67"/>
      <c r="AP628" s="67"/>
      <c r="AQ628" s="67"/>
      <c r="AR628" s="67"/>
      <c r="AS628" s="67"/>
      <c r="AT628" s="68"/>
      <c r="AU628" s="49"/>
      <c r="AV628" s="50"/>
    </row>
    <row r="629" spans="1:48" ht="12.75" customHeight="1" x14ac:dyDescent="0.25">
      <c r="A629" s="72" t="s">
        <v>4041</v>
      </c>
      <c r="B629" s="43" t="s">
        <v>4042</v>
      </c>
      <c r="C629" s="44" t="s">
        <v>3957</v>
      </c>
      <c r="D629" s="45">
        <f>MROUND(MID($C629,6,3)/Basis!$E$3,0.5)</f>
        <v>71</v>
      </c>
      <c r="E629" s="45">
        <f>MROUND(MID($C629,9,3)/Basis!$E$3,0.5)</f>
        <v>12</v>
      </c>
      <c r="F629" s="229" t="str">
        <f t="shared" si="9"/>
        <v>11</v>
      </c>
      <c r="G629" s="45">
        <f>ROUND(5/Basis!$E$3,1)</f>
        <v>2</v>
      </c>
      <c r="H629" s="120">
        <f>ROUND($P629*Basis!$E$2*((TaH-TrH)/LN(1/µ)/Basis!$E$7)^$N629*Glycol,0)</f>
        <v>1608</v>
      </c>
      <c r="I629" s="83">
        <f>ROUND(H629/(MID($C629,9,3)/Basis!$E$3/Basis!$E$9)*Basis!$E$11,0)</f>
        <v>1581</v>
      </c>
      <c r="J629" s="123">
        <f>IF(Basis!$E$1=1,ROUND(H629/((TaH-TrH)*1.163)/3600,3),ROUND(H629/(500*(TaH-TrH)),2))</f>
        <v>0.16</v>
      </c>
      <c r="K629" s="84"/>
      <c r="L629" s="177">
        <f>CHOOSE(Basis!$E$1,((AJ629*(J629*3600/Basis!$E$5)^AK629*(((MID(C629,9,3)*10)-144)/1000)*AL629+AM629*(J629*3600/Basis!$E$5)^2)*0.0098)/Basis!$E$10,((AJ629*(J629/Basis!$E$5)^AK629*(((MID(C629,9,3)*10)-144)/1000)*AL629+AM629*(J629/Basis!$E$5)^2)*0.0098)/Basis!$E$10)</f>
        <v>0</v>
      </c>
      <c r="M629" s="85"/>
      <c r="N629" s="109">
        <v>1.3260000000000001</v>
      </c>
      <c r="O629" s="68"/>
      <c r="P629" s="67">
        <v>730</v>
      </c>
      <c r="Q629" s="68"/>
      <c r="R629" s="69"/>
      <c r="S629" s="69"/>
      <c r="T629" s="69"/>
      <c r="U629" s="69"/>
      <c r="V629" s="69"/>
      <c r="W629" s="68"/>
      <c r="X629" s="70"/>
      <c r="Y629" s="70"/>
      <c r="Z629" s="70"/>
      <c r="AA629" s="70"/>
      <c r="AB629" s="70"/>
      <c r="AC629" s="68"/>
      <c r="AD629" s="71"/>
      <c r="AE629" s="71"/>
      <c r="AF629" s="71"/>
      <c r="AG629" s="71"/>
      <c r="AH629" s="71"/>
      <c r="AI629" s="68"/>
      <c r="AJ629" s="214"/>
      <c r="AK629" s="214"/>
      <c r="AL629" s="214"/>
      <c r="AM629" s="214"/>
      <c r="AN629" s="68"/>
      <c r="AO629" s="67"/>
      <c r="AP629" s="67"/>
      <c r="AQ629" s="67"/>
      <c r="AR629" s="67"/>
      <c r="AS629" s="67"/>
      <c r="AT629" s="68"/>
      <c r="AU629" s="49"/>
      <c r="AV629" s="50"/>
    </row>
    <row r="630" spans="1:48" ht="12.75" customHeight="1" x14ac:dyDescent="0.25">
      <c r="A630" s="72" t="s">
        <v>4041</v>
      </c>
      <c r="B630" s="43" t="s">
        <v>4042</v>
      </c>
      <c r="C630" s="44" t="s">
        <v>3958</v>
      </c>
      <c r="D630" s="45">
        <f>MROUND(MID($C630,6,3)/Basis!$E$3,0.5)</f>
        <v>71</v>
      </c>
      <c r="E630" s="45">
        <f>MROUND(MID($C630,9,3)/Basis!$E$3,0.5)</f>
        <v>14.5</v>
      </c>
      <c r="F630" s="229" t="str">
        <f t="shared" si="9"/>
        <v>11</v>
      </c>
      <c r="G630" s="45">
        <f>ROUND(5/Basis!$E$3,1)</f>
        <v>2</v>
      </c>
      <c r="H630" s="120">
        <f>ROUND($P630*Basis!$E$2*((TaH-TrH)/LN(1/µ)/Basis!$E$7)^$N630*Glycol,0)</f>
        <v>1927</v>
      </c>
      <c r="I630" s="83">
        <f>ROUND(H630/(MID($C630,9,3)/Basis!$E$3/Basis!$E$9)*Basis!$E$11,0)</f>
        <v>1587</v>
      </c>
      <c r="J630" s="123">
        <f>IF(Basis!$E$1=1,ROUND(H630/((TaH-TrH)*1.163)/3600,3),ROUND(H630/(500*(TaH-TrH)),2))</f>
        <v>0.19</v>
      </c>
      <c r="K630" s="84"/>
      <c r="L630" s="177">
        <f>CHOOSE(Basis!$E$1,((AJ630*(J630*3600/Basis!$E$5)^AK630*(((MID(C630,9,3)*10)-144)/1000)*AL630+AM630*(J630*3600/Basis!$E$5)^2)*0.0098)/Basis!$E$10,((AJ630*(J630/Basis!$E$5)^AK630*(((MID(C630,9,3)*10)-144)/1000)*AL630+AM630*(J630/Basis!$E$5)^2)*0.0098)/Basis!$E$10)</f>
        <v>0</v>
      </c>
      <c r="M630" s="85"/>
      <c r="N630" s="110">
        <v>1.3260000000000001</v>
      </c>
      <c r="O630" s="74"/>
      <c r="P630" s="73">
        <v>875</v>
      </c>
      <c r="Q630" s="74"/>
      <c r="R630" s="75"/>
      <c r="S630" s="75"/>
      <c r="T630" s="75"/>
      <c r="U630" s="75"/>
      <c r="V630" s="75"/>
      <c r="W630" s="74"/>
      <c r="X630" s="76"/>
      <c r="Y630" s="76"/>
      <c r="Z630" s="76"/>
      <c r="AA630" s="76"/>
      <c r="AB630" s="76"/>
      <c r="AC630" s="74"/>
      <c r="AD630" s="77"/>
      <c r="AE630" s="77"/>
      <c r="AF630" s="77"/>
      <c r="AG630" s="77"/>
      <c r="AH630" s="77"/>
      <c r="AI630" s="68"/>
      <c r="AJ630" s="213"/>
      <c r="AK630" s="213"/>
      <c r="AL630" s="213"/>
      <c r="AM630" s="213"/>
      <c r="AN630" s="74"/>
      <c r="AO630" s="73"/>
      <c r="AP630" s="73"/>
      <c r="AQ630" s="73"/>
      <c r="AR630" s="73"/>
      <c r="AS630" s="73"/>
      <c r="AT630" s="74"/>
      <c r="AU630" s="47"/>
      <c r="AV630" s="48"/>
    </row>
    <row r="631" spans="1:48" ht="12.75" customHeight="1" x14ac:dyDescent="0.25">
      <c r="A631" s="72" t="s">
        <v>4041</v>
      </c>
      <c r="B631" s="43" t="s">
        <v>4042</v>
      </c>
      <c r="C631" s="44" t="s">
        <v>3959</v>
      </c>
      <c r="D631" s="45">
        <f>MROUND(MID($C631,6,3)/Basis!$E$3,0.5)</f>
        <v>71</v>
      </c>
      <c r="E631" s="45">
        <f>MROUND(MID($C631,9,3)/Basis!$E$3,0.5)</f>
        <v>17</v>
      </c>
      <c r="F631" s="229" t="str">
        <f t="shared" si="9"/>
        <v>11</v>
      </c>
      <c r="G631" s="45">
        <f>ROUND(5/Basis!$E$3,1)</f>
        <v>2</v>
      </c>
      <c r="H631" s="120">
        <f>ROUND($P631*Basis!$E$2*((TaH-TrH)/LN(1/µ)/Basis!$E$7)^$N631*Glycol,0)</f>
        <v>2249</v>
      </c>
      <c r="I631" s="83">
        <f>ROUND(H631/(MID($C631,9,3)/Basis!$E$3/Basis!$E$9)*Basis!$E$11,0)</f>
        <v>1594</v>
      </c>
      <c r="J631" s="123">
        <f>IF(Basis!$E$1=1,ROUND(H631/((TaH-TrH)*1.163)/3600,3),ROUND(H631/(500*(TaH-TrH)),2))</f>
        <v>0.22</v>
      </c>
      <c r="K631" s="84"/>
      <c r="L631" s="177">
        <f>CHOOSE(Basis!$E$1,((AJ631*(J631*3600/Basis!$E$5)^AK631*(((MID(C631,9,3)*10)-144)/1000)*AL631+AM631*(J631*3600/Basis!$E$5)^2)*0.0098)/Basis!$E$10,((AJ631*(J631/Basis!$E$5)^AK631*(((MID(C631,9,3)*10)-144)/1000)*AL631+AM631*(J631/Basis!$E$5)^2)*0.0098)/Basis!$E$10)</f>
        <v>0</v>
      </c>
      <c r="M631" s="85"/>
      <c r="N631" s="110">
        <v>1.3260000000000001</v>
      </c>
      <c r="O631" s="74"/>
      <c r="P631" s="73">
        <v>1021</v>
      </c>
      <c r="Q631" s="74"/>
      <c r="R631" s="75"/>
      <c r="S631" s="75"/>
      <c r="T631" s="75"/>
      <c r="U631" s="75"/>
      <c r="V631" s="75"/>
      <c r="W631" s="74"/>
      <c r="X631" s="76"/>
      <c r="Y631" s="76"/>
      <c r="Z631" s="76"/>
      <c r="AA631" s="76"/>
      <c r="AB631" s="76"/>
      <c r="AC631" s="74"/>
      <c r="AD631" s="77"/>
      <c r="AE631" s="77"/>
      <c r="AF631" s="77"/>
      <c r="AG631" s="77"/>
      <c r="AH631" s="77"/>
      <c r="AI631" s="68"/>
      <c r="AJ631" s="213"/>
      <c r="AK631" s="213"/>
      <c r="AL631" s="213"/>
      <c r="AM631" s="213"/>
      <c r="AN631" s="74"/>
      <c r="AO631" s="73"/>
      <c r="AP631" s="73"/>
      <c r="AQ631" s="73"/>
      <c r="AR631" s="73"/>
      <c r="AS631" s="73"/>
      <c r="AT631" s="74"/>
      <c r="AU631" s="47"/>
      <c r="AV631" s="48"/>
    </row>
    <row r="632" spans="1:48" ht="12.75" customHeight="1" x14ac:dyDescent="0.25">
      <c r="A632" s="72" t="s">
        <v>4041</v>
      </c>
      <c r="B632" s="43" t="s">
        <v>4042</v>
      </c>
      <c r="C632" s="44" t="s">
        <v>3960</v>
      </c>
      <c r="D632" s="45">
        <f>MROUND(MID($C632,6,3)/Basis!$E$3,0.5)</f>
        <v>71</v>
      </c>
      <c r="E632" s="45">
        <f>MROUND(MID($C632,9,3)/Basis!$E$3,0.5)</f>
        <v>19.5</v>
      </c>
      <c r="F632" s="229" t="str">
        <f t="shared" si="9"/>
        <v>11</v>
      </c>
      <c r="G632" s="45">
        <f>ROUND(5/Basis!$E$3,1)</f>
        <v>2</v>
      </c>
      <c r="H632" s="120">
        <f>ROUND($P632*Basis!$E$2*((TaH-TrH)/LN(1/µ)/Basis!$E$7)^$N632*Glycol,0)</f>
        <v>2571</v>
      </c>
      <c r="I632" s="83">
        <f>ROUND(H632/(MID($C632,9,3)/Basis!$E$3/Basis!$E$9)*Basis!$E$11,0)</f>
        <v>1567</v>
      </c>
      <c r="J632" s="123">
        <f>IF(Basis!$E$1=1,ROUND(H632/((TaH-TrH)*1.163)/3600,3),ROUND(H632/(500*(TaH-TrH)),2))</f>
        <v>0.26</v>
      </c>
      <c r="K632" s="84"/>
      <c r="L632" s="177">
        <f>CHOOSE(Basis!$E$1,((AJ632*(J632*3600/Basis!$E$5)^AK632*(((MID(C632,9,3)*10)-144)/1000)*AL632+AM632*(J632*3600/Basis!$E$5)^2)*0.0098)/Basis!$E$10,((AJ632*(J632/Basis!$E$5)^AK632*(((MID(C632,9,3)*10)-144)/1000)*AL632+AM632*(J632/Basis!$E$5)^2)*0.0098)/Basis!$E$10)</f>
        <v>0</v>
      </c>
      <c r="M632" s="85"/>
      <c r="N632" s="109">
        <v>1.3260000000000001</v>
      </c>
      <c r="O632" s="68"/>
      <c r="P632" s="67">
        <v>1167</v>
      </c>
      <c r="Q632" s="68"/>
      <c r="R632" s="69"/>
      <c r="S632" s="69"/>
      <c r="T632" s="69"/>
      <c r="U632" s="69"/>
      <c r="V632" s="69"/>
      <c r="W632" s="68"/>
      <c r="X632" s="70"/>
      <c r="Y632" s="70"/>
      <c r="Z632" s="70"/>
      <c r="AA632" s="70"/>
      <c r="AB632" s="70"/>
      <c r="AC632" s="68"/>
      <c r="AD632" s="71"/>
      <c r="AE632" s="71"/>
      <c r="AF632" s="71"/>
      <c r="AG632" s="71"/>
      <c r="AH632" s="71"/>
      <c r="AI632" s="68"/>
      <c r="AJ632" s="214"/>
      <c r="AK632" s="214"/>
      <c r="AL632" s="214"/>
      <c r="AM632" s="214"/>
      <c r="AN632" s="68"/>
      <c r="AO632" s="67"/>
      <c r="AP632" s="67"/>
      <c r="AQ632" s="67"/>
      <c r="AR632" s="67"/>
      <c r="AS632" s="67"/>
      <c r="AT632" s="68"/>
      <c r="AU632" s="49"/>
      <c r="AV632" s="50"/>
    </row>
    <row r="633" spans="1:48" ht="12.75" customHeight="1" x14ac:dyDescent="0.25">
      <c r="A633" s="72" t="s">
        <v>4041</v>
      </c>
      <c r="B633" s="43" t="s">
        <v>4042</v>
      </c>
      <c r="C633" s="44" t="s">
        <v>3961</v>
      </c>
      <c r="D633" s="45">
        <f>MROUND(MID($C633,6,3)/Basis!$E$3,0.5)</f>
        <v>71</v>
      </c>
      <c r="E633" s="45">
        <f>MROUND(MID($C633,9,3)/Basis!$E$3,0.5)</f>
        <v>22</v>
      </c>
      <c r="F633" s="229" t="str">
        <f t="shared" si="9"/>
        <v>11</v>
      </c>
      <c r="G633" s="45">
        <f>ROUND(5/Basis!$E$3,1)</f>
        <v>2</v>
      </c>
      <c r="H633" s="120">
        <f>ROUND($P633*Basis!$E$2*((TaH-TrH)/LN(1/µ)/Basis!$E$7)^$N633*Glycol,0)</f>
        <v>2892</v>
      </c>
      <c r="I633" s="83">
        <f>ROUND(H633/(MID($C633,9,3)/Basis!$E$3/Basis!$E$9)*Basis!$E$11,0)</f>
        <v>1574</v>
      </c>
      <c r="J633" s="123">
        <f>IF(Basis!$E$1=1,ROUND(H633/((TaH-TrH)*1.163)/3600,3),ROUND(H633/(500*(TaH-TrH)),2))</f>
        <v>0.28999999999999998</v>
      </c>
      <c r="K633" s="84"/>
      <c r="L633" s="177">
        <f>CHOOSE(Basis!$E$1,((AJ633*(J633*3600/Basis!$E$5)^AK633*(((MID(C633,9,3)*10)-144)/1000)*AL633+AM633*(J633*3600/Basis!$E$5)^2)*0.0098)/Basis!$E$10,((AJ633*(J633/Basis!$E$5)^AK633*(((MID(C633,9,3)*10)-144)/1000)*AL633+AM633*(J633/Basis!$E$5)^2)*0.0098)/Basis!$E$10)</f>
        <v>0</v>
      </c>
      <c r="M633" s="85"/>
      <c r="N633" s="109">
        <v>1.3260000000000001</v>
      </c>
      <c r="O633" s="68"/>
      <c r="P633" s="67">
        <v>1313</v>
      </c>
      <c r="Q633" s="68"/>
      <c r="R633" s="69"/>
      <c r="S633" s="69"/>
      <c r="T633" s="69"/>
      <c r="U633" s="69"/>
      <c r="V633" s="69"/>
      <c r="W633" s="68"/>
      <c r="X633" s="70"/>
      <c r="Y633" s="70"/>
      <c r="Z633" s="70"/>
      <c r="AA633" s="70"/>
      <c r="AB633" s="70"/>
      <c r="AC633" s="68"/>
      <c r="AD633" s="71"/>
      <c r="AE633" s="71"/>
      <c r="AF633" s="71"/>
      <c r="AG633" s="71"/>
      <c r="AH633" s="71"/>
      <c r="AI633" s="68"/>
      <c r="AJ633" s="214"/>
      <c r="AK633" s="214"/>
      <c r="AL633" s="214"/>
      <c r="AM633" s="214"/>
      <c r="AN633" s="68"/>
      <c r="AO633" s="67"/>
      <c r="AP633" s="67"/>
      <c r="AQ633" s="67"/>
      <c r="AR633" s="67"/>
      <c r="AS633" s="67"/>
      <c r="AT633" s="68"/>
      <c r="AU633" s="49"/>
      <c r="AV633" s="50"/>
    </row>
    <row r="634" spans="1:48" ht="12.75" customHeight="1" x14ac:dyDescent="0.25">
      <c r="A634" s="72" t="s">
        <v>4041</v>
      </c>
      <c r="B634" s="43" t="s">
        <v>4042</v>
      </c>
      <c r="C634" s="44" t="s">
        <v>3962</v>
      </c>
      <c r="D634" s="45">
        <f>MROUND(MID($C634,6,3)/Basis!$E$3,0.5)</f>
        <v>71</v>
      </c>
      <c r="E634" s="45">
        <f>MROUND(MID($C634,9,3)/Basis!$E$3,0.5)</f>
        <v>24.5</v>
      </c>
      <c r="F634" s="229" t="str">
        <f t="shared" si="9"/>
        <v>11</v>
      </c>
      <c r="G634" s="45">
        <f>ROUND(5/Basis!$E$3,1)</f>
        <v>2</v>
      </c>
      <c r="H634" s="120">
        <f>ROUND($P634*Basis!$E$2*((TaH-TrH)/LN(1/µ)/Basis!$E$7)^$N634*Glycol,0)</f>
        <v>3214</v>
      </c>
      <c r="I634" s="83">
        <f>ROUND(H634/(MID($C634,9,3)/Basis!$E$3/Basis!$E$9)*Basis!$E$11,0)</f>
        <v>1580</v>
      </c>
      <c r="J634" s="123">
        <f>IF(Basis!$E$1=1,ROUND(H634/((TaH-TrH)*1.163)/3600,3),ROUND(H634/(500*(TaH-TrH)),2))</f>
        <v>0.32</v>
      </c>
      <c r="K634" s="84"/>
      <c r="L634" s="177">
        <f>CHOOSE(Basis!$E$1,((AJ634*(J634*3600/Basis!$E$5)^AK634*(((MID(C634,9,3)*10)-144)/1000)*AL634+AM634*(J634*3600/Basis!$E$5)^2)*0.0098)/Basis!$E$10,((AJ634*(J634/Basis!$E$5)^AK634*(((MID(C634,9,3)*10)-144)/1000)*AL634+AM634*(J634/Basis!$E$5)^2)*0.0098)/Basis!$E$10)</f>
        <v>0</v>
      </c>
      <c r="M634" s="85"/>
      <c r="N634" s="110">
        <v>1.3260000000000001</v>
      </c>
      <c r="O634" s="74"/>
      <c r="P634" s="73">
        <v>1459</v>
      </c>
      <c r="Q634" s="74"/>
      <c r="R634" s="75"/>
      <c r="S634" s="75"/>
      <c r="T634" s="75"/>
      <c r="U634" s="75"/>
      <c r="V634" s="75"/>
      <c r="W634" s="74"/>
      <c r="X634" s="76"/>
      <c r="Y634" s="76"/>
      <c r="Z634" s="76"/>
      <c r="AA634" s="76"/>
      <c r="AB634" s="76"/>
      <c r="AC634" s="74"/>
      <c r="AD634" s="77"/>
      <c r="AE634" s="77"/>
      <c r="AF634" s="77"/>
      <c r="AG634" s="77"/>
      <c r="AH634" s="77"/>
      <c r="AI634" s="68"/>
      <c r="AJ634" s="213"/>
      <c r="AK634" s="213"/>
      <c r="AL634" s="213"/>
      <c r="AM634" s="213"/>
      <c r="AN634" s="74"/>
      <c r="AO634" s="73"/>
      <c r="AP634" s="73"/>
      <c r="AQ634" s="73"/>
      <c r="AR634" s="73"/>
      <c r="AS634" s="73"/>
      <c r="AT634" s="74"/>
      <c r="AU634" s="47"/>
      <c r="AV634" s="48"/>
    </row>
    <row r="635" spans="1:48" ht="12.75" customHeight="1" x14ac:dyDescent="0.25">
      <c r="A635" s="72" t="s">
        <v>4041</v>
      </c>
      <c r="B635" s="43" t="s">
        <v>4042</v>
      </c>
      <c r="C635" s="44" t="s">
        <v>3963</v>
      </c>
      <c r="D635" s="45">
        <f>MROUND(MID($C635,6,3)/Basis!$E$3,0.5)</f>
        <v>71</v>
      </c>
      <c r="E635" s="45">
        <f>MROUND(MID($C635,9,3)/Basis!$E$3,0.5)</f>
        <v>27</v>
      </c>
      <c r="F635" s="229" t="str">
        <f t="shared" si="9"/>
        <v>11</v>
      </c>
      <c r="G635" s="45">
        <f>ROUND(5/Basis!$E$3,1)</f>
        <v>2</v>
      </c>
      <c r="H635" s="120">
        <f>ROUND($P635*Basis!$E$2*((TaH-TrH)/LN(1/µ)/Basis!$E$7)^$N635*Glycol,0)</f>
        <v>3535</v>
      </c>
      <c r="I635" s="83">
        <f>ROUND(H635/(MID($C635,9,3)/Basis!$E$3/Basis!$E$9)*Basis!$E$11,0)</f>
        <v>1562</v>
      </c>
      <c r="J635" s="123">
        <f>IF(Basis!$E$1=1,ROUND(H635/((TaH-TrH)*1.163)/3600,3),ROUND(H635/(500*(TaH-TrH)),2))</f>
        <v>0.35</v>
      </c>
      <c r="K635" s="84"/>
      <c r="L635" s="177">
        <f>CHOOSE(Basis!$E$1,((AJ635*(J635*3600/Basis!$E$5)^AK635*(((MID(C635,9,3)*10)-144)/1000)*AL635+AM635*(J635*3600/Basis!$E$5)^2)*0.0098)/Basis!$E$10,((AJ635*(J635/Basis!$E$5)^AK635*(((MID(C635,9,3)*10)-144)/1000)*AL635+AM635*(J635/Basis!$E$5)^2)*0.0098)/Basis!$E$10)</f>
        <v>0</v>
      </c>
      <c r="M635" s="85"/>
      <c r="N635" s="110">
        <v>1.3260000000000001</v>
      </c>
      <c r="O635" s="74"/>
      <c r="P635" s="73">
        <v>1605</v>
      </c>
      <c r="Q635" s="74"/>
      <c r="R635" s="75"/>
      <c r="S635" s="75"/>
      <c r="T635" s="75"/>
      <c r="U635" s="75"/>
      <c r="V635" s="75"/>
      <c r="W635" s="74"/>
      <c r="X635" s="76"/>
      <c r="Y635" s="76"/>
      <c r="Z635" s="76"/>
      <c r="AA635" s="76"/>
      <c r="AB635" s="76"/>
      <c r="AC635" s="74"/>
      <c r="AD635" s="77"/>
      <c r="AE635" s="77"/>
      <c r="AF635" s="77"/>
      <c r="AG635" s="77"/>
      <c r="AH635" s="77"/>
      <c r="AI635" s="68"/>
      <c r="AJ635" s="213"/>
      <c r="AK635" s="213"/>
      <c r="AL635" s="213"/>
      <c r="AM635" s="213"/>
      <c r="AN635" s="74"/>
      <c r="AO635" s="73"/>
      <c r="AP635" s="73"/>
      <c r="AQ635" s="73"/>
      <c r="AR635" s="73"/>
      <c r="AS635" s="73"/>
      <c r="AT635" s="74"/>
      <c r="AU635" s="47"/>
      <c r="AV635" s="48"/>
    </row>
    <row r="636" spans="1:48" ht="12.75" customHeight="1" x14ac:dyDescent="0.25">
      <c r="A636" s="72" t="s">
        <v>4041</v>
      </c>
      <c r="B636" s="43" t="s">
        <v>4042</v>
      </c>
      <c r="C636" s="44" t="s">
        <v>3964</v>
      </c>
      <c r="D636" s="45">
        <f>MROUND(MID($C636,6,3)/Basis!$E$3,0.5)</f>
        <v>71</v>
      </c>
      <c r="E636" s="45">
        <f>MROUND(MID($C636,9,3)/Basis!$E$3,0.5)</f>
        <v>29.5</v>
      </c>
      <c r="F636" s="229" t="str">
        <f t="shared" si="9"/>
        <v>11</v>
      </c>
      <c r="G636" s="45">
        <f>ROUND(5/Basis!$E$3,1)</f>
        <v>2</v>
      </c>
      <c r="H636" s="120">
        <f>ROUND($P636*Basis!$E$2*((TaH-TrH)/LN(1/µ)/Basis!$E$7)^$N636*Glycol,0)</f>
        <v>3857</v>
      </c>
      <c r="I636" s="83">
        <f>ROUND(H636/(MID($C636,9,3)/Basis!$E$3/Basis!$E$9)*Basis!$E$11,0)</f>
        <v>1567</v>
      </c>
      <c r="J636" s="123">
        <f>IF(Basis!$E$1=1,ROUND(H636/((TaH-TrH)*1.163)/3600,3),ROUND(H636/(500*(TaH-TrH)),2))</f>
        <v>0.39</v>
      </c>
      <c r="K636" s="84"/>
      <c r="L636" s="177">
        <f>CHOOSE(Basis!$E$1,((AJ636*(J636*3600/Basis!$E$5)^AK636*(((MID(C636,9,3)*10)-144)/1000)*AL636+AM636*(J636*3600/Basis!$E$5)^2)*0.0098)/Basis!$E$10,((AJ636*(J636/Basis!$E$5)^AK636*(((MID(C636,9,3)*10)-144)/1000)*AL636+AM636*(J636/Basis!$E$5)^2)*0.0098)/Basis!$E$10)</f>
        <v>0</v>
      </c>
      <c r="M636" s="85"/>
      <c r="N636" s="109">
        <v>1.3260000000000001</v>
      </c>
      <c r="O636" s="68"/>
      <c r="P636" s="67">
        <v>1751</v>
      </c>
      <c r="Q636" s="68"/>
      <c r="R636" s="69"/>
      <c r="S636" s="69"/>
      <c r="T636" s="69"/>
      <c r="U636" s="69"/>
      <c r="V636" s="69"/>
      <c r="W636" s="68"/>
      <c r="X636" s="70"/>
      <c r="Y636" s="70"/>
      <c r="Z636" s="70"/>
      <c r="AA636" s="70"/>
      <c r="AB636" s="70"/>
      <c r="AC636" s="68"/>
      <c r="AD636" s="71"/>
      <c r="AE636" s="71"/>
      <c r="AF636" s="71"/>
      <c r="AG636" s="71"/>
      <c r="AH636" s="71"/>
      <c r="AI636" s="68"/>
      <c r="AJ636" s="214"/>
      <c r="AK636" s="214"/>
      <c r="AL636" s="214"/>
      <c r="AM636" s="214"/>
      <c r="AN636" s="68"/>
      <c r="AO636" s="67"/>
      <c r="AP636" s="67"/>
      <c r="AQ636" s="67"/>
      <c r="AR636" s="67"/>
      <c r="AS636" s="67"/>
      <c r="AT636" s="68"/>
      <c r="AU636" s="49"/>
      <c r="AV636" s="50"/>
    </row>
    <row r="637" spans="1:48" ht="12.75" customHeight="1" x14ac:dyDescent="0.25">
      <c r="A637" s="72" t="s">
        <v>4041</v>
      </c>
      <c r="B637" s="43" t="s">
        <v>4042</v>
      </c>
      <c r="C637" s="44" t="s">
        <v>3965</v>
      </c>
      <c r="D637" s="45">
        <f>MROUND(MID($C637,6,3)/Basis!$E$3,0.5)</f>
        <v>71</v>
      </c>
      <c r="E637" s="45">
        <f>MROUND(MID($C637,9,3)/Basis!$E$3,0.5)</f>
        <v>32</v>
      </c>
      <c r="F637" s="229" t="str">
        <f t="shared" si="9"/>
        <v>11</v>
      </c>
      <c r="G637" s="45">
        <f>ROUND(5/Basis!$E$3,1)</f>
        <v>2</v>
      </c>
      <c r="H637" s="120">
        <f>ROUND($P637*Basis!$E$2*((TaH-TrH)/LN(1/µ)/Basis!$E$7)^$N637*Glycol,0)</f>
        <v>4179</v>
      </c>
      <c r="I637" s="83">
        <f>ROUND(H637/(MID($C637,9,3)/Basis!$E$3/Basis!$E$9)*Basis!$E$11,0)</f>
        <v>1573</v>
      </c>
      <c r="J637" s="123">
        <f>IF(Basis!$E$1=1,ROUND(H637/((TaH-TrH)*1.163)/3600,3),ROUND(H637/(500*(TaH-TrH)),2))</f>
        <v>0.42</v>
      </c>
      <c r="K637" s="84"/>
      <c r="L637" s="177">
        <f>CHOOSE(Basis!$E$1,((AJ637*(J637*3600/Basis!$E$5)^AK637*(((MID(C637,9,3)*10)-144)/1000)*AL637+AM637*(J637*3600/Basis!$E$5)^2)*0.0098)/Basis!$E$10,((AJ637*(J637/Basis!$E$5)^AK637*(((MID(C637,9,3)*10)-144)/1000)*AL637+AM637*(J637/Basis!$E$5)^2)*0.0098)/Basis!$E$10)</f>
        <v>0</v>
      </c>
      <c r="M637" s="85"/>
      <c r="N637" s="109">
        <v>1.3260000000000001</v>
      </c>
      <c r="O637" s="68"/>
      <c r="P637" s="67">
        <v>1897</v>
      </c>
      <c r="Q637" s="68"/>
      <c r="R637" s="69"/>
      <c r="S637" s="69"/>
      <c r="T637" s="69"/>
      <c r="U637" s="69"/>
      <c r="V637" s="69"/>
      <c r="W637" s="68"/>
      <c r="X637" s="70"/>
      <c r="Y637" s="70"/>
      <c r="Z637" s="70"/>
      <c r="AA637" s="70"/>
      <c r="AB637" s="70"/>
      <c r="AC637" s="68"/>
      <c r="AD637" s="71"/>
      <c r="AE637" s="71"/>
      <c r="AF637" s="71"/>
      <c r="AG637" s="71"/>
      <c r="AH637" s="71"/>
      <c r="AI637" s="68"/>
      <c r="AJ637" s="214"/>
      <c r="AK637" s="214"/>
      <c r="AL637" s="214"/>
      <c r="AM637" s="214"/>
      <c r="AN637" s="68"/>
      <c r="AO637" s="67"/>
      <c r="AP637" s="67"/>
      <c r="AQ637" s="67"/>
      <c r="AR637" s="67"/>
      <c r="AS637" s="67"/>
      <c r="AT637" s="68"/>
      <c r="AU637" s="49"/>
      <c r="AV637" s="50"/>
    </row>
    <row r="638" spans="1:48" ht="12.75" customHeight="1" x14ac:dyDescent="0.25">
      <c r="A638" s="72" t="s">
        <v>4041</v>
      </c>
      <c r="B638" s="43" t="s">
        <v>4042</v>
      </c>
      <c r="C638" s="44" t="s">
        <v>3966</v>
      </c>
      <c r="D638" s="45">
        <f>MROUND(MID($C638,6,3)/Basis!$E$3,0.5)</f>
        <v>71</v>
      </c>
      <c r="E638" s="45">
        <f>MROUND(MID($C638,9,3)/Basis!$E$3,0.5)</f>
        <v>34.5</v>
      </c>
      <c r="F638" s="229" t="str">
        <f t="shared" si="9"/>
        <v>11</v>
      </c>
      <c r="G638" s="45">
        <f>ROUND(5/Basis!$E$3,1)</f>
        <v>2</v>
      </c>
      <c r="H638" s="120">
        <f>ROUND($P638*Basis!$E$2*((TaH-TrH)/LN(1/µ)/Basis!$E$7)^$N638*Glycol,0)</f>
        <v>4500</v>
      </c>
      <c r="I638" s="83">
        <f>ROUND(H638/(MID($C638,9,3)/Basis!$E$3/Basis!$E$9)*Basis!$E$11,0)</f>
        <v>1577</v>
      </c>
      <c r="J638" s="123">
        <f>IF(Basis!$E$1=1,ROUND(H638/((TaH-TrH)*1.163)/3600,3),ROUND(H638/(500*(TaH-TrH)),2))</f>
        <v>0.45</v>
      </c>
      <c r="K638" s="84"/>
      <c r="L638" s="177">
        <f>CHOOSE(Basis!$E$1,((AJ638*(J638*3600/Basis!$E$5)^AK638*(((MID(C638,9,3)*10)-144)/1000)*AL638+AM638*(J638*3600/Basis!$E$5)^2)*0.0098)/Basis!$E$10,((AJ638*(J638/Basis!$E$5)^AK638*(((MID(C638,9,3)*10)-144)/1000)*AL638+AM638*(J638/Basis!$E$5)^2)*0.0098)/Basis!$E$10)</f>
        <v>0</v>
      </c>
      <c r="M638" s="85"/>
      <c r="N638" s="110">
        <v>1.3260000000000001</v>
      </c>
      <c r="O638" s="74"/>
      <c r="P638" s="73">
        <v>2043</v>
      </c>
      <c r="Q638" s="74"/>
      <c r="R638" s="75"/>
      <c r="S638" s="75"/>
      <c r="T638" s="75"/>
      <c r="U638" s="75"/>
      <c r="V638" s="75"/>
      <c r="W638" s="74"/>
      <c r="X638" s="76"/>
      <c r="Y638" s="76"/>
      <c r="Z638" s="76"/>
      <c r="AA638" s="76"/>
      <c r="AB638" s="76"/>
      <c r="AC638" s="74"/>
      <c r="AD638" s="77"/>
      <c r="AE638" s="77"/>
      <c r="AF638" s="77"/>
      <c r="AG638" s="77"/>
      <c r="AH638" s="77"/>
      <c r="AI638" s="68"/>
      <c r="AJ638" s="213"/>
      <c r="AK638" s="213"/>
      <c r="AL638" s="213"/>
      <c r="AM638" s="213"/>
      <c r="AN638" s="74"/>
      <c r="AO638" s="73"/>
      <c r="AP638" s="73"/>
      <c r="AQ638" s="73"/>
      <c r="AR638" s="73"/>
      <c r="AS638" s="73"/>
      <c r="AT638" s="74"/>
      <c r="AU638" s="47"/>
      <c r="AV638" s="48"/>
    </row>
    <row r="639" spans="1:48" ht="12.75" customHeight="1" x14ac:dyDescent="0.25">
      <c r="A639" s="72" t="s">
        <v>4041</v>
      </c>
      <c r="B639" s="43" t="s">
        <v>4042</v>
      </c>
      <c r="C639" s="44" t="s">
        <v>3967</v>
      </c>
      <c r="D639" s="45">
        <f>MROUND(MID($C639,6,3)/Basis!$E$3,0.5)</f>
        <v>71</v>
      </c>
      <c r="E639" s="45">
        <f>MROUND(MID($C639,9,3)/Basis!$E$3,0.5)</f>
        <v>37</v>
      </c>
      <c r="F639" s="229" t="str">
        <f t="shared" si="9"/>
        <v>11</v>
      </c>
      <c r="G639" s="45">
        <f>ROUND(5/Basis!$E$3,1)</f>
        <v>2</v>
      </c>
      <c r="H639" s="120">
        <f>ROUND($P639*Basis!$E$2*((TaH-TrH)/LN(1/µ)/Basis!$E$7)^$N639*Glycol,0)</f>
        <v>4822</v>
      </c>
      <c r="I639" s="83">
        <f>ROUND(H639/(MID($C639,9,3)/Basis!$E$3/Basis!$E$9)*Basis!$E$11,0)</f>
        <v>1564</v>
      </c>
      <c r="J639" s="123">
        <f>IF(Basis!$E$1=1,ROUND(H639/((TaH-TrH)*1.163)/3600,3),ROUND(H639/(500*(TaH-TrH)),2))</f>
        <v>0.48</v>
      </c>
      <c r="K639" s="84"/>
      <c r="L639" s="177">
        <f>CHOOSE(Basis!$E$1,((AJ639*(J639*3600/Basis!$E$5)^AK639*(((MID(C639,9,3)*10)-144)/1000)*AL639+AM639*(J639*3600/Basis!$E$5)^2)*0.0098)/Basis!$E$10,((AJ639*(J639/Basis!$E$5)^AK639*(((MID(C639,9,3)*10)-144)/1000)*AL639+AM639*(J639/Basis!$E$5)^2)*0.0098)/Basis!$E$10)</f>
        <v>0</v>
      </c>
      <c r="M639" s="85"/>
      <c r="N639" s="110">
        <v>1.3260000000000001</v>
      </c>
      <c r="O639" s="74"/>
      <c r="P639" s="73">
        <v>2189</v>
      </c>
      <c r="Q639" s="74"/>
      <c r="R639" s="75"/>
      <c r="S639" s="75"/>
      <c r="T639" s="75"/>
      <c r="U639" s="75"/>
      <c r="V639" s="75"/>
      <c r="W639" s="74"/>
      <c r="X639" s="76"/>
      <c r="Y639" s="76"/>
      <c r="Z639" s="76"/>
      <c r="AA639" s="76"/>
      <c r="AB639" s="76"/>
      <c r="AC639" s="74"/>
      <c r="AD639" s="77"/>
      <c r="AE639" s="77"/>
      <c r="AF639" s="77"/>
      <c r="AG639" s="77"/>
      <c r="AH639" s="77"/>
      <c r="AI639" s="68"/>
      <c r="AJ639" s="213"/>
      <c r="AK639" s="213"/>
      <c r="AL639" s="213"/>
      <c r="AM639" s="213"/>
      <c r="AN639" s="74"/>
      <c r="AO639" s="73"/>
      <c r="AP639" s="73"/>
      <c r="AQ639" s="73"/>
      <c r="AR639" s="73"/>
      <c r="AS639" s="73"/>
      <c r="AT639" s="74"/>
      <c r="AU639" s="47"/>
      <c r="AV639" s="48"/>
    </row>
    <row r="640" spans="1:48" ht="12.75" customHeight="1" x14ac:dyDescent="0.25">
      <c r="A640" s="72" t="s">
        <v>4041</v>
      </c>
      <c r="B640" s="43" t="s">
        <v>4042</v>
      </c>
      <c r="C640" s="44" t="s">
        <v>3968</v>
      </c>
      <c r="D640" s="45">
        <f>MROUND(MID($C640,6,3)/Basis!$E$3,0.5)</f>
        <v>78.5</v>
      </c>
      <c r="E640" s="45">
        <f>MROUND(MID($C640,9,3)/Basis!$E$3,0.5)</f>
        <v>9.5</v>
      </c>
      <c r="F640" s="229" t="str">
        <f t="shared" si="9"/>
        <v>11</v>
      </c>
      <c r="G640" s="45">
        <f>ROUND(5/Basis!$E$3,1)</f>
        <v>2</v>
      </c>
      <c r="H640" s="120">
        <f>ROUND($P640*Basis!$E$2*((TaH-TrH)/LN(1/µ)/Basis!$E$7)^$N640*Glycol,0)</f>
        <v>1423</v>
      </c>
      <c r="I640" s="83">
        <f>ROUND(H640/(MID($C640,9,3)/Basis!$E$3/Basis!$E$9)*Basis!$E$11,0)</f>
        <v>1807</v>
      </c>
      <c r="J640" s="123">
        <f>IF(Basis!$E$1=1,ROUND(H640/((TaH-TrH)*1.163)/3600,3),ROUND(H640/(500*(TaH-TrH)),2))</f>
        <v>0.14000000000000001</v>
      </c>
      <c r="K640" s="84"/>
      <c r="L640" s="177">
        <f>CHOOSE(Basis!$E$1,((AJ640*(J640*3600/Basis!$E$5)^AK640*(((MID(C640,9,3)*10)-144)/1000)*AL640+AM640*(J640*3600/Basis!$E$5)^2)*0.0098)/Basis!$E$10,((AJ640*(J640/Basis!$E$5)^AK640*(((MID(C640,9,3)*10)-144)/1000)*AL640+AM640*(J640/Basis!$E$5)^2)*0.0098)/Basis!$E$10)</f>
        <v>0</v>
      </c>
      <c r="M640" s="85"/>
      <c r="N640" s="109">
        <v>1.3160000000000001</v>
      </c>
      <c r="O640" s="68"/>
      <c r="P640" s="67">
        <v>644</v>
      </c>
      <c r="Q640" s="68"/>
      <c r="R640" s="69"/>
      <c r="S640" s="69"/>
      <c r="T640" s="69"/>
      <c r="U640" s="69"/>
      <c r="V640" s="69"/>
      <c r="W640" s="68"/>
      <c r="X640" s="70"/>
      <c r="Y640" s="70"/>
      <c r="Z640" s="70"/>
      <c r="AA640" s="70"/>
      <c r="AB640" s="70"/>
      <c r="AC640" s="68"/>
      <c r="AD640" s="71"/>
      <c r="AE640" s="71"/>
      <c r="AF640" s="71"/>
      <c r="AG640" s="71"/>
      <c r="AH640" s="71"/>
      <c r="AI640" s="68"/>
      <c r="AJ640" s="214"/>
      <c r="AK640" s="214"/>
      <c r="AL640" s="214"/>
      <c r="AM640" s="214"/>
      <c r="AN640" s="68"/>
      <c r="AO640" s="67"/>
      <c r="AP640" s="67"/>
      <c r="AQ640" s="67"/>
      <c r="AR640" s="67"/>
      <c r="AS640" s="67"/>
      <c r="AT640" s="68"/>
      <c r="AU640" s="49"/>
      <c r="AV640" s="50"/>
    </row>
    <row r="641" spans="1:48" ht="12.75" customHeight="1" x14ac:dyDescent="0.25">
      <c r="A641" s="72" t="s">
        <v>4041</v>
      </c>
      <c r="B641" s="43" t="s">
        <v>4042</v>
      </c>
      <c r="C641" s="44" t="s">
        <v>3969</v>
      </c>
      <c r="D641" s="45">
        <f>MROUND(MID($C641,6,3)/Basis!$E$3,0.5)</f>
        <v>78.5</v>
      </c>
      <c r="E641" s="45">
        <f>MROUND(MID($C641,9,3)/Basis!$E$3,0.5)</f>
        <v>12</v>
      </c>
      <c r="F641" s="229" t="str">
        <f t="shared" si="9"/>
        <v>11</v>
      </c>
      <c r="G641" s="45">
        <f>ROUND(5/Basis!$E$3,1)</f>
        <v>2</v>
      </c>
      <c r="H641" s="120">
        <f>ROUND($P641*Basis!$E$2*((TaH-TrH)/LN(1/µ)/Basis!$E$7)^$N641*Glycol,0)</f>
        <v>1779</v>
      </c>
      <c r="I641" s="83">
        <f>ROUND(H641/(MID($C641,9,3)/Basis!$E$3/Basis!$E$9)*Basis!$E$11,0)</f>
        <v>1749</v>
      </c>
      <c r="J641" s="123">
        <f>IF(Basis!$E$1=1,ROUND(H641/((TaH-TrH)*1.163)/3600,3),ROUND(H641/(500*(TaH-TrH)),2))</f>
        <v>0.18</v>
      </c>
      <c r="K641" s="84"/>
      <c r="L641" s="177">
        <f>CHOOSE(Basis!$E$1,((AJ641*(J641*3600/Basis!$E$5)^AK641*(((MID(C641,9,3)*10)-144)/1000)*AL641+AM641*(J641*3600/Basis!$E$5)^2)*0.0098)/Basis!$E$10,((AJ641*(J641/Basis!$E$5)^AK641*(((MID(C641,9,3)*10)-144)/1000)*AL641+AM641*(J641/Basis!$E$5)^2)*0.0098)/Basis!$E$10)</f>
        <v>0</v>
      </c>
      <c r="M641" s="85"/>
      <c r="N641" s="109">
        <v>1.3160000000000001</v>
      </c>
      <c r="O641" s="68"/>
      <c r="P641" s="67">
        <v>805</v>
      </c>
      <c r="Q641" s="68"/>
      <c r="R641" s="69"/>
      <c r="S641" s="69"/>
      <c r="T641" s="69"/>
      <c r="U641" s="69"/>
      <c r="V641" s="69"/>
      <c r="W641" s="68"/>
      <c r="X641" s="70"/>
      <c r="Y641" s="70"/>
      <c r="Z641" s="70"/>
      <c r="AA641" s="70"/>
      <c r="AB641" s="70"/>
      <c r="AC641" s="68"/>
      <c r="AD641" s="71"/>
      <c r="AE641" s="71"/>
      <c r="AF641" s="71"/>
      <c r="AG641" s="71"/>
      <c r="AH641" s="71"/>
      <c r="AI641" s="68"/>
      <c r="AJ641" s="214"/>
      <c r="AK641" s="214"/>
      <c r="AL641" s="214"/>
      <c r="AM641" s="214"/>
      <c r="AN641" s="68"/>
      <c r="AO641" s="67"/>
      <c r="AP641" s="67"/>
      <c r="AQ641" s="67"/>
      <c r="AR641" s="67"/>
      <c r="AS641" s="67"/>
      <c r="AT641" s="68"/>
      <c r="AU641" s="49"/>
      <c r="AV641" s="50"/>
    </row>
    <row r="642" spans="1:48" ht="12.75" customHeight="1" x14ac:dyDescent="0.25">
      <c r="A642" s="72" t="s">
        <v>4041</v>
      </c>
      <c r="B642" s="43" t="s">
        <v>4042</v>
      </c>
      <c r="C642" s="44" t="s">
        <v>3970</v>
      </c>
      <c r="D642" s="45">
        <f>MROUND(MID($C642,6,3)/Basis!$E$3,0.5)</f>
        <v>78.5</v>
      </c>
      <c r="E642" s="45">
        <f>MROUND(MID($C642,9,3)/Basis!$E$3,0.5)</f>
        <v>14.5</v>
      </c>
      <c r="F642" s="229" t="str">
        <f t="shared" si="9"/>
        <v>11</v>
      </c>
      <c r="G642" s="45">
        <f>ROUND(5/Basis!$E$3,1)</f>
        <v>2</v>
      </c>
      <c r="H642" s="120">
        <f>ROUND($P642*Basis!$E$2*((TaH-TrH)/LN(1/µ)/Basis!$E$7)^$N642*Glycol,0)</f>
        <v>2133</v>
      </c>
      <c r="I642" s="83">
        <f>ROUND(H642/(MID($C642,9,3)/Basis!$E$3/Basis!$E$9)*Basis!$E$11,0)</f>
        <v>1757</v>
      </c>
      <c r="J642" s="123">
        <f>IF(Basis!$E$1=1,ROUND(H642/((TaH-TrH)*1.163)/3600,3),ROUND(H642/(500*(TaH-TrH)),2))</f>
        <v>0.21</v>
      </c>
      <c r="K642" s="84"/>
      <c r="L642" s="177">
        <f>CHOOSE(Basis!$E$1,((AJ642*(J642*3600/Basis!$E$5)^AK642*(((MID(C642,9,3)*10)-144)/1000)*AL642+AM642*(J642*3600/Basis!$E$5)^2)*0.0098)/Basis!$E$10,((AJ642*(J642/Basis!$E$5)^AK642*(((MID(C642,9,3)*10)-144)/1000)*AL642+AM642*(J642/Basis!$E$5)^2)*0.0098)/Basis!$E$10)</f>
        <v>0</v>
      </c>
      <c r="M642" s="85"/>
      <c r="N642" s="110">
        <v>1.3160000000000001</v>
      </c>
      <c r="O642" s="74"/>
      <c r="P642" s="73">
        <v>965</v>
      </c>
      <c r="Q642" s="74"/>
      <c r="R642" s="75"/>
      <c r="S642" s="75"/>
      <c r="T642" s="75"/>
      <c r="U642" s="75"/>
      <c r="V642" s="75"/>
      <c r="W642" s="74"/>
      <c r="X642" s="76"/>
      <c r="Y642" s="76"/>
      <c r="Z642" s="76"/>
      <c r="AA642" s="76"/>
      <c r="AB642" s="76"/>
      <c r="AC642" s="74"/>
      <c r="AD642" s="77"/>
      <c r="AE642" s="77"/>
      <c r="AF642" s="77"/>
      <c r="AG642" s="77"/>
      <c r="AH642" s="77"/>
      <c r="AI642" s="68"/>
      <c r="AJ642" s="213"/>
      <c r="AK642" s="213"/>
      <c r="AL642" s="213"/>
      <c r="AM642" s="213"/>
      <c r="AN642" s="74"/>
      <c r="AO642" s="73"/>
      <c r="AP642" s="73"/>
      <c r="AQ642" s="73"/>
      <c r="AR642" s="73"/>
      <c r="AS642" s="73"/>
      <c r="AT642" s="74"/>
      <c r="AU642" s="47"/>
      <c r="AV642" s="48"/>
    </row>
    <row r="643" spans="1:48" ht="12.75" customHeight="1" x14ac:dyDescent="0.25">
      <c r="A643" s="72" t="s">
        <v>4041</v>
      </c>
      <c r="B643" s="43" t="s">
        <v>4042</v>
      </c>
      <c r="C643" s="44" t="s">
        <v>3971</v>
      </c>
      <c r="D643" s="45">
        <f>MROUND(MID($C643,6,3)/Basis!$E$3,0.5)</f>
        <v>78.5</v>
      </c>
      <c r="E643" s="45">
        <f>MROUND(MID($C643,9,3)/Basis!$E$3,0.5)</f>
        <v>17</v>
      </c>
      <c r="F643" s="229" t="str">
        <f t="shared" si="9"/>
        <v>11</v>
      </c>
      <c r="G643" s="45">
        <f>ROUND(5/Basis!$E$3,1)</f>
        <v>2</v>
      </c>
      <c r="H643" s="120">
        <f>ROUND($P643*Basis!$E$2*((TaH-TrH)/LN(1/µ)/Basis!$E$7)^$N643*Glycol,0)</f>
        <v>2488</v>
      </c>
      <c r="I643" s="83">
        <f>ROUND(H643/(MID($C643,9,3)/Basis!$E$3/Basis!$E$9)*Basis!$E$11,0)</f>
        <v>1764</v>
      </c>
      <c r="J643" s="123">
        <f>IF(Basis!$E$1=1,ROUND(H643/((TaH-TrH)*1.163)/3600,3),ROUND(H643/(500*(TaH-TrH)),2))</f>
        <v>0.25</v>
      </c>
      <c r="K643" s="84"/>
      <c r="L643" s="177">
        <f>CHOOSE(Basis!$E$1,((AJ643*(J643*3600/Basis!$E$5)^AK643*(((MID(C643,9,3)*10)-144)/1000)*AL643+AM643*(J643*3600/Basis!$E$5)^2)*0.0098)/Basis!$E$10,((AJ643*(J643/Basis!$E$5)^AK643*(((MID(C643,9,3)*10)-144)/1000)*AL643+AM643*(J643/Basis!$E$5)^2)*0.0098)/Basis!$E$10)</f>
        <v>0</v>
      </c>
      <c r="M643" s="85"/>
      <c r="N643" s="110">
        <v>1.3160000000000001</v>
      </c>
      <c r="O643" s="74"/>
      <c r="P643" s="73">
        <v>1126</v>
      </c>
      <c r="Q643" s="74"/>
      <c r="R643" s="75"/>
      <c r="S643" s="75"/>
      <c r="T643" s="75"/>
      <c r="U643" s="75"/>
      <c r="V643" s="75"/>
      <c r="W643" s="74"/>
      <c r="X643" s="76"/>
      <c r="Y643" s="76"/>
      <c r="Z643" s="76"/>
      <c r="AA643" s="76"/>
      <c r="AB643" s="76"/>
      <c r="AC643" s="74"/>
      <c r="AD643" s="77"/>
      <c r="AE643" s="77"/>
      <c r="AF643" s="77"/>
      <c r="AG643" s="77"/>
      <c r="AH643" s="77"/>
      <c r="AI643" s="68"/>
      <c r="AJ643" s="213"/>
      <c r="AK643" s="213"/>
      <c r="AL643" s="213"/>
      <c r="AM643" s="213"/>
      <c r="AN643" s="74"/>
      <c r="AO643" s="73"/>
      <c r="AP643" s="73"/>
      <c r="AQ643" s="73"/>
      <c r="AR643" s="73"/>
      <c r="AS643" s="73"/>
      <c r="AT643" s="74"/>
      <c r="AU643" s="47"/>
      <c r="AV643" s="48"/>
    </row>
    <row r="644" spans="1:48" ht="12.75" customHeight="1" x14ac:dyDescent="0.25">
      <c r="A644" s="72" t="s">
        <v>4041</v>
      </c>
      <c r="B644" s="43" t="s">
        <v>4042</v>
      </c>
      <c r="C644" s="44" t="s">
        <v>3972</v>
      </c>
      <c r="D644" s="45">
        <f>MROUND(MID($C644,6,3)/Basis!$E$3,0.5)</f>
        <v>78.5</v>
      </c>
      <c r="E644" s="45">
        <f>MROUND(MID($C644,9,3)/Basis!$E$3,0.5)</f>
        <v>19.5</v>
      </c>
      <c r="F644" s="229" t="str">
        <f t="shared" si="9"/>
        <v>11</v>
      </c>
      <c r="G644" s="45">
        <f>ROUND(5/Basis!$E$3,1)</f>
        <v>2</v>
      </c>
      <c r="H644" s="120">
        <f>ROUND($P644*Basis!$E$2*((TaH-TrH)/LN(1/µ)/Basis!$E$7)^$N644*Glycol,0)</f>
        <v>2844</v>
      </c>
      <c r="I644" s="83">
        <f>ROUND(H644/(MID($C644,9,3)/Basis!$E$3/Basis!$E$9)*Basis!$E$11,0)</f>
        <v>1734</v>
      </c>
      <c r="J644" s="123">
        <f>IF(Basis!$E$1=1,ROUND(H644/((TaH-TrH)*1.163)/3600,3),ROUND(H644/(500*(TaH-TrH)),2))</f>
        <v>0.28000000000000003</v>
      </c>
      <c r="K644" s="84"/>
      <c r="L644" s="177">
        <f>CHOOSE(Basis!$E$1,((AJ644*(J644*3600/Basis!$E$5)^AK644*(((MID(C644,9,3)*10)-144)/1000)*AL644+AM644*(J644*3600/Basis!$E$5)^2)*0.0098)/Basis!$E$10,((AJ644*(J644/Basis!$E$5)^AK644*(((MID(C644,9,3)*10)-144)/1000)*AL644+AM644*(J644/Basis!$E$5)^2)*0.0098)/Basis!$E$10)</f>
        <v>0</v>
      </c>
      <c r="M644" s="85"/>
      <c r="N644" s="109">
        <v>1.3160000000000001</v>
      </c>
      <c r="O644" s="68"/>
      <c r="P644" s="67">
        <v>1287</v>
      </c>
      <c r="Q644" s="68"/>
      <c r="R644" s="69"/>
      <c r="S644" s="69"/>
      <c r="T644" s="69"/>
      <c r="U644" s="69"/>
      <c r="V644" s="69"/>
      <c r="W644" s="68"/>
      <c r="X644" s="70"/>
      <c r="Y644" s="70"/>
      <c r="Z644" s="70"/>
      <c r="AA644" s="70"/>
      <c r="AB644" s="70"/>
      <c r="AC644" s="68"/>
      <c r="AD644" s="71"/>
      <c r="AE644" s="71"/>
      <c r="AF644" s="71"/>
      <c r="AG644" s="71"/>
      <c r="AH644" s="71"/>
      <c r="AI644" s="68"/>
      <c r="AJ644" s="214"/>
      <c r="AK644" s="214"/>
      <c r="AL644" s="214"/>
      <c r="AM644" s="214"/>
      <c r="AN644" s="68"/>
      <c r="AO644" s="67"/>
      <c r="AP644" s="67"/>
      <c r="AQ644" s="67"/>
      <c r="AR644" s="67"/>
      <c r="AS644" s="67"/>
      <c r="AT644" s="68"/>
      <c r="AU644" s="49"/>
      <c r="AV644" s="50"/>
    </row>
    <row r="645" spans="1:48" ht="12.75" customHeight="1" x14ac:dyDescent="0.25">
      <c r="A645" s="72" t="s">
        <v>4041</v>
      </c>
      <c r="B645" s="43" t="s">
        <v>4042</v>
      </c>
      <c r="C645" s="44" t="s">
        <v>3973</v>
      </c>
      <c r="D645" s="45">
        <f>MROUND(MID($C645,6,3)/Basis!$E$3,0.5)</f>
        <v>78.5</v>
      </c>
      <c r="E645" s="45">
        <f>MROUND(MID($C645,9,3)/Basis!$E$3,0.5)</f>
        <v>22</v>
      </c>
      <c r="F645" s="229" t="str">
        <f t="shared" si="9"/>
        <v>11</v>
      </c>
      <c r="G645" s="45">
        <f>ROUND(5/Basis!$E$3,1)</f>
        <v>2</v>
      </c>
      <c r="H645" s="120">
        <f>ROUND($P645*Basis!$E$2*((TaH-TrH)/LN(1/µ)/Basis!$E$7)^$N645*Glycol,0)</f>
        <v>3200</v>
      </c>
      <c r="I645" s="83">
        <f>ROUND(H645/(MID($C645,9,3)/Basis!$E$3/Basis!$E$9)*Basis!$E$11,0)</f>
        <v>1742</v>
      </c>
      <c r="J645" s="123">
        <f>IF(Basis!$E$1=1,ROUND(H645/((TaH-TrH)*1.163)/3600,3),ROUND(H645/(500*(TaH-TrH)),2))</f>
        <v>0.32</v>
      </c>
      <c r="K645" s="84"/>
      <c r="L645" s="177">
        <f>CHOOSE(Basis!$E$1,((AJ645*(J645*3600/Basis!$E$5)^AK645*(((MID(C645,9,3)*10)-144)/1000)*AL645+AM645*(J645*3600/Basis!$E$5)^2)*0.0098)/Basis!$E$10,((AJ645*(J645/Basis!$E$5)^AK645*(((MID(C645,9,3)*10)-144)/1000)*AL645+AM645*(J645/Basis!$E$5)^2)*0.0098)/Basis!$E$10)</f>
        <v>0</v>
      </c>
      <c r="M645" s="85"/>
      <c r="N645" s="109">
        <v>1.3160000000000001</v>
      </c>
      <c r="O645" s="68"/>
      <c r="P645" s="67">
        <v>1448</v>
      </c>
      <c r="Q645" s="68"/>
      <c r="R645" s="69"/>
      <c r="S645" s="69"/>
      <c r="T645" s="69"/>
      <c r="U645" s="69"/>
      <c r="V645" s="69"/>
      <c r="W645" s="68"/>
      <c r="X645" s="70"/>
      <c r="Y645" s="70"/>
      <c r="Z645" s="70"/>
      <c r="AA645" s="70"/>
      <c r="AB645" s="70"/>
      <c r="AC645" s="68"/>
      <c r="AD645" s="71"/>
      <c r="AE645" s="71"/>
      <c r="AF645" s="71"/>
      <c r="AG645" s="71"/>
      <c r="AH645" s="71"/>
      <c r="AI645" s="68"/>
      <c r="AJ645" s="214"/>
      <c r="AK645" s="214"/>
      <c r="AL645" s="214"/>
      <c r="AM645" s="214"/>
      <c r="AN645" s="68"/>
      <c r="AO645" s="67"/>
      <c r="AP645" s="67"/>
      <c r="AQ645" s="67"/>
      <c r="AR645" s="67"/>
      <c r="AS645" s="67"/>
      <c r="AT645" s="68"/>
      <c r="AU645" s="49"/>
      <c r="AV645" s="50"/>
    </row>
    <row r="646" spans="1:48" ht="12.75" customHeight="1" x14ac:dyDescent="0.25">
      <c r="A646" s="72" t="s">
        <v>4041</v>
      </c>
      <c r="B646" s="43" t="s">
        <v>4042</v>
      </c>
      <c r="C646" s="44" t="s">
        <v>3974</v>
      </c>
      <c r="D646" s="45">
        <f>MROUND(MID($C646,6,3)/Basis!$E$3,0.5)</f>
        <v>78.5</v>
      </c>
      <c r="E646" s="45">
        <f>MROUND(MID($C646,9,3)/Basis!$E$3,0.5)</f>
        <v>24.5</v>
      </c>
      <c r="F646" s="229" t="str">
        <f t="shared" si="9"/>
        <v>11</v>
      </c>
      <c r="G646" s="45">
        <f>ROUND(5/Basis!$E$3,1)</f>
        <v>2</v>
      </c>
      <c r="H646" s="120">
        <f>ROUND($P646*Basis!$E$2*((TaH-TrH)/LN(1/µ)/Basis!$E$7)^$N646*Glycol,0)</f>
        <v>3556</v>
      </c>
      <c r="I646" s="83">
        <f>ROUND(H646/(MID($C646,9,3)/Basis!$E$3/Basis!$E$9)*Basis!$E$11,0)</f>
        <v>1748</v>
      </c>
      <c r="J646" s="123">
        <f>IF(Basis!$E$1=1,ROUND(H646/((TaH-TrH)*1.163)/3600,3),ROUND(H646/(500*(TaH-TrH)),2))</f>
        <v>0.36</v>
      </c>
      <c r="K646" s="84"/>
      <c r="L646" s="177">
        <f>CHOOSE(Basis!$E$1,((AJ646*(J646*3600/Basis!$E$5)^AK646*(((MID(C646,9,3)*10)-144)/1000)*AL646+AM646*(J646*3600/Basis!$E$5)^2)*0.0098)/Basis!$E$10,((AJ646*(J646/Basis!$E$5)^AK646*(((MID(C646,9,3)*10)-144)/1000)*AL646+AM646*(J646/Basis!$E$5)^2)*0.0098)/Basis!$E$10)</f>
        <v>0</v>
      </c>
      <c r="M646" s="85"/>
      <c r="N646" s="110">
        <v>1.3160000000000001</v>
      </c>
      <c r="O646" s="74"/>
      <c r="P646" s="73">
        <v>1609</v>
      </c>
      <c r="Q646" s="74"/>
      <c r="R646" s="75"/>
      <c r="S646" s="75"/>
      <c r="T646" s="75"/>
      <c r="U646" s="75"/>
      <c r="V646" s="75"/>
      <c r="W646" s="74"/>
      <c r="X646" s="76"/>
      <c r="Y646" s="76"/>
      <c r="Z646" s="76"/>
      <c r="AA646" s="76"/>
      <c r="AB646" s="76"/>
      <c r="AC646" s="74"/>
      <c r="AD646" s="77"/>
      <c r="AE646" s="77"/>
      <c r="AF646" s="77"/>
      <c r="AG646" s="77"/>
      <c r="AH646" s="77"/>
      <c r="AI646" s="68"/>
      <c r="AJ646" s="213"/>
      <c r="AK646" s="213"/>
      <c r="AL646" s="213"/>
      <c r="AM646" s="213"/>
      <c r="AN646" s="74"/>
      <c r="AO646" s="73"/>
      <c r="AP646" s="73"/>
      <c r="AQ646" s="73"/>
      <c r="AR646" s="73"/>
      <c r="AS646" s="73"/>
      <c r="AT646" s="74"/>
      <c r="AU646" s="47"/>
      <c r="AV646" s="48"/>
    </row>
    <row r="647" spans="1:48" ht="12.75" customHeight="1" x14ac:dyDescent="0.25">
      <c r="A647" s="72" t="s">
        <v>4041</v>
      </c>
      <c r="B647" s="43" t="s">
        <v>4042</v>
      </c>
      <c r="C647" s="44" t="s">
        <v>3975</v>
      </c>
      <c r="D647" s="45">
        <f>MROUND(MID($C647,6,3)/Basis!$E$3,0.5)</f>
        <v>78.5</v>
      </c>
      <c r="E647" s="45">
        <f>MROUND(MID($C647,9,3)/Basis!$E$3,0.5)</f>
        <v>27</v>
      </c>
      <c r="F647" s="229" t="str">
        <f t="shared" si="9"/>
        <v>11</v>
      </c>
      <c r="G647" s="45">
        <f>ROUND(5/Basis!$E$3,1)</f>
        <v>2</v>
      </c>
      <c r="H647" s="120">
        <f>ROUND($P647*Basis!$E$2*((TaH-TrH)/LN(1/µ)/Basis!$E$7)^$N647*Glycol,0)</f>
        <v>3912</v>
      </c>
      <c r="I647" s="83">
        <f>ROUND(H647/(MID($C647,9,3)/Basis!$E$3/Basis!$E$9)*Basis!$E$11,0)</f>
        <v>1728</v>
      </c>
      <c r="J647" s="123">
        <f>IF(Basis!$E$1=1,ROUND(H647/((TaH-TrH)*1.163)/3600,3),ROUND(H647/(500*(TaH-TrH)),2))</f>
        <v>0.39</v>
      </c>
      <c r="K647" s="84"/>
      <c r="L647" s="177">
        <f>CHOOSE(Basis!$E$1,((AJ647*(J647*3600/Basis!$E$5)^AK647*(((MID(C647,9,3)*10)-144)/1000)*AL647+AM647*(J647*3600/Basis!$E$5)^2)*0.0098)/Basis!$E$10,((AJ647*(J647/Basis!$E$5)^AK647*(((MID(C647,9,3)*10)-144)/1000)*AL647+AM647*(J647/Basis!$E$5)^2)*0.0098)/Basis!$E$10)</f>
        <v>0</v>
      </c>
      <c r="M647" s="85"/>
      <c r="N647" s="110">
        <v>1.3160000000000001</v>
      </c>
      <c r="O647" s="74"/>
      <c r="P647" s="73">
        <v>1770</v>
      </c>
      <c r="Q647" s="74"/>
      <c r="R647" s="75"/>
      <c r="S647" s="75"/>
      <c r="T647" s="75"/>
      <c r="U647" s="75"/>
      <c r="V647" s="75"/>
      <c r="W647" s="74"/>
      <c r="X647" s="76"/>
      <c r="Y647" s="76"/>
      <c r="Z647" s="76"/>
      <c r="AA647" s="76"/>
      <c r="AB647" s="76"/>
      <c r="AC647" s="74"/>
      <c r="AD647" s="77"/>
      <c r="AE647" s="77"/>
      <c r="AF647" s="77"/>
      <c r="AG647" s="77"/>
      <c r="AH647" s="77"/>
      <c r="AI647" s="68"/>
      <c r="AJ647" s="213"/>
      <c r="AK647" s="213"/>
      <c r="AL647" s="213"/>
      <c r="AM647" s="213"/>
      <c r="AN647" s="74"/>
      <c r="AO647" s="73"/>
      <c r="AP647" s="73"/>
      <c r="AQ647" s="73"/>
      <c r="AR647" s="73"/>
      <c r="AS647" s="73"/>
      <c r="AT647" s="74"/>
      <c r="AU647" s="47"/>
      <c r="AV647" s="48"/>
    </row>
    <row r="648" spans="1:48" ht="12.75" customHeight="1" x14ac:dyDescent="0.25">
      <c r="A648" s="72" t="s">
        <v>4041</v>
      </c>
      <c r="B648" s="43" t="s">
        <v>4042</v>
      </c>
      <c r="C648" s="44" t="s">
        <v>3976</v>
      </c>
      <c r="D648" s="45">
        <f>MROUND(MID($C648,6,3)/Basis!$E$3,0.5)</f>
        <v>78.5</v>
      </c>
      <c r="E648" s="45">
        <f>MROUND(MID($C648,9,3)/Basis!$E$3,0.5)</f>
        <v>29.5</v>
      </c>
      <c r="F648" s="229" t="str">
        <f t="shared" si="9"/>
        <v>11</v>
      </c>
      <c r="G648" s="45">
        <f>ROUND(5/Basis!$E$3,1)</f>
        <v>2</v>
      </c>
      <c r="H648" s="120">
        <f>ROUND($P648*Basis!$E$2*((TaH-TrH)/LN(1/µ)/Basis!$E$7)^$N648*Glycol,0)</f>
        <v>4268</v>
      </c>
      <c r="I648" s="83">
        <f>ROUND(H648/(MID($C648,9,3)/Basis!$E$3/Basis!$E$9)*Basis!$E$11,0)</f>
        <v>1735</v>
      </c>
      <c r="J648" s="123">
        <f>IF(Basis!$E$1=1,ROUND(H648/((TaH-TrH)*1.163)/3600,3),ROUND(H648/(500*(TaH-TrH)),2))</f>
        <v>0.43</v>
      </c>
      <c r="K648" s="84"/>
      <c r="L648" s="177">
        <f>CHOOSE(Basis!$E$1,((AJ648*(J648*3600/Basis!$E$5)^AK648*(((MID(C648,9,3)*10)-144)/1000)*AL648+AM648*(J648*3600/Basis!$E$5)^2)*0.0098)/Basis!$E$10,((AJ648*(J648/Basis!$E$5)^AK648*(((MID(C648,9,3)*10)-144)/1000)*AL648+AM648*(J648/Basis!$E$5)^2)*0.0098)/Basis!$E$10)</f>
        <v>0</v>
      </c>
      <c r="M648" s="85"/>
      <c r="N648" s="109">
        <v>1.3160000000000001</v>
      </c>
      <c r="O648" s="68"/>
      <c r="P648" s="67">
        <v>1931</v>
      </c>
      <c r="Q648" s="68"/>
      <c r="R648" s="69"/>
      <c r="S648" s="69"/>
      <c r="T648" s="69"/>
      <c r="U648" s="69"/>
      <c r="V648" s="69"/>
      <c r="W648" s="68"/>
      <c r="X648" s="70"/>
      <c r="Y648" s="70"/>
      <c r="Z648" s="70"/>
      <c r="AA648" s="70"/>
      <c r="AB648" s="70"/>
      <c r="AC648" s="68"/>
      <c r="AD648" s="71"/>
      <c r="AE648" s="71"/>
      <c r="AF648" s="71"/>
      <c r="AG648" s="71"/>
      <c r="AH648" s="71"/>
      <c r="AI648" s="68"/>
      <c r="AJ648" s="214"/>
      <c r="AK648" s="214"/>
      <c r="AL648" s="214"/>
      <c r="AM648" s="214"/>
      <c r="AN648" s="68"/>
      <c r="AO648" s="67"/>
      <c r="AP648" s="67"/>
      <c r="AQ648" s="67"/>
      <c r="AR648" s="67"/>
      <c r="AS648" s="67"/>
      <c r="AT648" s="68"/>
      <c r="AU648" s="49"/>
      <c r="AV648" s="50"/>
    </row>
    <row r="649" spans="1:48" ht="12.75" customHeight="1" x14ac:dyDescent="0.25">
      <c r="A649" s="72" t="s">
        <v>4041</v>
      </c>
      <c r="B649" s="43" t="s">
        <v>4042</v>
      </c>
      <c r="C649" s="44" t="s">
        <v>3977</v>
      </c>
      <c r="D649" s="45">
        <f>MROUND(MID($C649,6,3)/Basis!$E$3,0.5)</f>
        <v>78.5</v>
      </c>
      <c r="E649" s="45">
        <f>MROUND(MID($C649,9,3)/Basis!$E$3,0.5)</f>
        <v>32</v>
      </c>
      <c r="F649" s="229" t="str">
        <f t="shared" si="9"/>
        <v>11</v>
      </c>
      <c r="G649" s="45">
        <f>ROUND(5/Basis!$E$3,1)</f>
        <v>2</v>
      </c>
      <c r="H649" s="120">
        <f>ROUND($P649*Basis!$E$2*((TaH-TrH)/LN(1/µ)/Basis!$E$7)^$N649*Glycol,0)</f>
        <v>4623</v>
      </c>
      <c r="I649" s="83">
        <f>ROUND(H649/(MID($C649,9,3)/Basis!$E$3/Basis!$E$9)*Basis!$E$11,0)</f>
        <v>1740</v>
      </c>
      <c r="J649" s="123">
        <f>IF(Basis!$E$1=1,ROUND(H649/((TaH-TrH)*1.163)/3600,3),ROUND(H649/(500*(TaH-TrH)),2))</f>
        <v>0.46</v>
      </c>
      <c r="K649" s="84"/>
      <c r="L649" s="177">
        <f>CHOOSE(Basis!$E$1,((AJ649*(J649*3600/Basis!$E$5)^AK649*(((MID(C649,9,3)*10)-144)/1000)*AL649+AM649*(J649*3600/Basis!$E$5)^2)*0.0098)/Basis!$E$10,((AJ649*(J649/Basis!$E$5)^AK649*(((MID(C649,9,3)*10)-144)/1000)*AL649+AM649*(J649/Basis!$E$5)^2)*0.0098)/Basis!$E$10)</f>
        <v>0</v>
      </c>
      <c r="M649" s="85"/>
      <c r="N649" s="109">
        <v>1.3160000000000001</v>
      </c>
      <c r="O649" s="68"/>
      <c r="P649" s="67">
        <v>2092</v>
      </c>
      <c r="Q649" s="68"/>
      <c r="R649" s="69"/>
      <c r="S649" s="69"/>
      <c r="T649" s="69"/>
      <c r="U649" s="69"/>
      <c r="V649" s="69"/>
      <c r="W649" s="68"/>
      <c r="X649" s="70"/>
      <c r="Y649" s="70"/>
      <c r="Z649" s="70"/>
      <c r="AA649" s="70"/>
      <c r="AB649" s="70"/>
      <c r="AC649" s="68"/>
      <c r="AD649" s="71"/>
      <c r="AE649" s="71"/>
      <c r="AF649" s="71"/>
      <c r="AG649" s="71"/>
      <c r="AH649" s="71"/>
      <c r="AI649" s="68"/>
      <c r="AJ649" s="214"/>
      <c r="AK649" s="214"/>
      <c r="AL649" s="214"/>
      <c r="AM649" s="214"/>
      <c r="AN649" s="68"/>
      <c r="AO649" s="67"/>
      <c r="AP649" s="67"/>
      <c r="AQ649" s="67"/>
      <c r="AR649" s="67"/>
      <c r="AS649" s="67"/>
      <c r="AT649" s="68"/>
      <c r="AU649" s="49"/>
      <c r="AV649" s="50"/>
    </row>
    <row r="650" spans="1:48" ht="12.75" customHeight="1" x14ac:dyDescent="0.25">
      <c r="A650" s="72" t="s">
        <v>4041</v>
      </c>
      <c r="B650" s="43" t="s">
        <v>4042</v>
      </c>
      <c r="C650" s="44" t="s">
        <v>3978</v>
      </c>
      <c r="D650" s="45">
        <f>MROUND(MID($C650,6,3)/Basis!$E$3,0.5)</f>
        <v>78.5</v>
      </c>
      <c r="E650" s="45">
        <f>MROUND(MID($C650,9,3)/Basis!$E$3,0.5)</f>
        <v>34.5</v>
      </c>
      <c r="F650" s="229" t="str">
        <f t="shared" si="9"/>
        <v>11</v>
      </c>
      <c r="G650" s="45">
        <f>ROUND(5/Basis!$E$3,1)</f>
        <v>2</v>
      </c>
      <c r="H650" s="120">
        <f>ROUND($P650*Basis!$E$2*((TaH-TrH)/LN(1/µ)/Basis!$E$7)^$N650*Glycol,0)</f>
        <v>4979</v>
      </c>
      <c r="I650" s="83">
        <f>ROUND(H650/(MID($C650,9,3)/Basis!$E$3/Basis!$E$9)*Basis!$E$11,0)</f>
        <v>1744</v>
      </c>
      <c r="J650" s="123">
        <f>IF(Basis!$E$1=1,ROUND(H650/((TaH-TrH)*1.163)/3600,3),ROUND(H650/(500*(TaH-TrH)),2))</f>
        <v>0.5</v>
      </c>
      <c r="K650" s="84"/>
      <c r="L650" s="177">
        <f>CHOOSE(Basis!$E$1,((AJ650*(J650*3600/Basis!$E$5)^AK650*(((MID(C650,9,3)*10)-144)/1000)*AL650+AM650*(J650*3600/Basis!$E$5)^2)*0.0098)/Basis!$E$10,((AJ650*(J650/Basis!$E$5)^AK650*(((MID(C650,9,3)*10)-144)/1000)*AL650+AM650*(J650/Basis!$E$5)^2)*0.0098)/Basis!$E$10)</f>
        <v>0</v>
      </c>
      <c r="M650" s="85"/>
      <c r="N650" s="110">
        <v>1.3160000000000001</v>
      </c>
      <c r="O650" s="74"/>
      <c r="P650" s="73">
        <v>2253</v>
      </c>
      <c r="Q650" s="74"/>
      <c r="R650" s="75"/>
      <c r="S650" s="75"/>
      <c r="T650" s="75"/>
      <c r="U650" s="75"/>
      <c r="V650" s="75"/>
      <c r="W650" s="74"/>
      <c r="X650" s="76"/>
      <c r="Y650" s="76"/>
      <c r="Z650" s="76"/>
      <c r="AA650" s="76"/>
      <c r="AB650" s="76"/>
      <c r="AC650" s="74"/>
      <c r="AD650" s="77"/>
      <c r="AE650" s="77"/>
      <c r="AF650" s="77"/>
      <c r="AG650" s="77"/>
      <c r="AH650" s="77"/>
      <c r="AI650" s="68"/>
      <c r="AJ650" s="213"/>
      <c r="AK650" s="213"/>
      <c r="AL650" s="213"/>
      <c r="AM650" s="213"/>
      <c r="AN650" s="74"/>
      <c r="AO650" s="73"/>
      <c r="AP650" s="73"/>
      <c r="AQ650" s="73"/>
      <c r="AR650" s="73"/>
      <c r="AS650" s="73"/>
      <c r="AT650" s="74"/>
      <c r="AU650" s="47"/>
      <c r="AV650" s="48"/>
    </row>
    <row r="651" spans="1:48" ht="12.75" customHeight="1" x14ac:dyDescent="0.25">
      <c r="A651" s="72" t="s">
        <v>4041</v>
      </c>
      <c r="B651" s="43" t="s">
        <v>4042</v>
      </c>
      <c r="C651" s="44" t="s">
        <v>3979</v>
      </c>
      <c r="D651" s="45">
        <f>MROUND(MID($C651,6,3)/Basis!$E$3,0.5)</f>
        <v>78.5</v>
      </c>
      <c r="E651" s="45">
        <f>MROUND(MID($C651,9,3)/Basis!$E$3,0.5)</f>
        <v>37</v>
      </c>
      <c r="F651" s="229" t="str">
        <f t="shared" ref="F651:F711" si="10">MID(C651,12,2)</f>
        <v>11</v>
      </c>
      <c r="G651" s="45">
        <f>ROUND(5/Basis!$E$3,1)</f>
        <v>2</v>
      </c>
      <c r="H651" s="120">
        <f>ROUND($P651*Basis!$E$2*((TaH-TrH)/LN(1/µ)/Basis!$E$7)^$N651*Glycol,0)</f>
        <v>5335</v>
      </c>
      <c r="I651" s="83">
        <f>ROUND(H651/(MID($C651,9,3)/Basis!$E$3/Basis!$E$9)*Basis!$E$11,0)</f>
        <v>1730</v>
      </c>
      <c r="J651" s="123">
        <f>IF(Basis!$E$1=1,ROUND(H651/((TaH-TrH)*1.163)/3600,3),ROUND(H651/(500*(TaH-TrH)),2))</f>
        <v>0.53</v>
      </c>
      <c r="K651" s="84"/>
      <c r="L651" s="177">
        <f>CHOOSE(Basis!$E$1,((AJ651*(J651*3600/Basis!$E$5)^AK651*(((MID(C651,9,3)*10)-144)/1000)*AL651+AM651*(J651*3600/Basis!$E$5)^2)*0.0098)/Basis!$E$10,((AJ651*(J651/Basis!$E$5)^AK651*(((MID(C651,9,3)*10)-144)/1000)*AL651+AM651*(J651/Basis!$E$5)^2)*0.0098)/Basis!$E$10)</f>
        <v>0</v>
      </c>
      <c r="M651" s="85"/>
      <c r="N651" s="110">
        <v>1.3160000000000001</v>
      </c>
      <c r="O651" s="74"/>
      <c r="P651" s="73">
        <v>2414</v>
      </c>
      <c r="Q651" s="74"/>
      <c r="R651" s="75"/>
      <c r="S651" s="75"/>
      <c r="T651" s="75"/>
      <c r="U651" s="75"/>
      <c r="V651" s="75"/>
      <c r="W651" s="74"/>
      <c r="X651" s="76"/>
      <c r="Y651" s="76"/>
      <c r="Z651" s="76"/>
      <c r="AA651" s="76"/>
      <c r="AB651" s="76"/>
      <c r="AC651" s="74"/>
      <c r="AD651" s="77"/>
      <c r="AE651" s="77"/>
      <c r="AF651" s="77"/>
      <c r="AG651" s="77"/>
      <c r="AH651" s="77"/>
      <c r="AI651" s="68"/>
      <c r="AJ651" s="213"/>
      <c r="AK651" s="213"/>
      <c r="AL651" s="213"/>
      <c r="AM651" s="213"/>
      <c r="AN651" s="74"/>
      <c r="AO651" s="73"/>
      <c r="AP651" s="73"/>
      <c r="AQ651" s="73"/>
      <c r="AR651" s="73"/>
      <c r="AS651" s="73"/>
      <c r="AT651" s="74"/>
      <c r="AU651" s="47"/>
      <c r="AV651" s="48"/>
    </row>
    <row r="652" spans="1:48" ht="12.75" customHeight="1" x14ac:dyDescent="0.25">
      <c r="A652" s="72" t="s">
        <v>4041</v>
      </c>
      <c r="B652" s="43" t="s">
        <v>4042</v>
      </c>
      <c r="C652" s="44" t="s">
        <v>3980</v>
      </c>
      <c r="D652" s="45">
        <f>MROUND(MID($C652,6,3)/Basis!$E$3,0.5)</f>
        <v>86.5</v>
      </c>
      <c r="E652" s="45">
        <f>MROUND(MID($C652,9,3)/Basis!$E$3,0.5)</f>
        <v>9.5</v>
      </c>
      <c r="F652" s="229" t="str">
        <f t="shared" si="10"/>
        <v>11</v>
      </c>
      <c r="G652" s="45">
        <f>ROUND(5/Basis!$E$3,1)</f>
        <v>2</v>
      </c>
      <c r="H652" s="120">
        <f>ROUND($P652*Basis!$E$2*((TaH-TrH)/LN(1/µ)/Basis!$E$7)^$N652*Glycol,0)</f>
        <v>1552</v>
      </c>
      <c r="I652" s="83">
        <f>ROUND(H652/(MID($C652,9,3)/Basis!$E$3/Basis!$E$9)*Basis!$E$11,0)</f>
        <v>1971</v>
      </c>
      <c r="J652" s="123">
        <f>IF(Basis!$E$1=1,ROUND(H652/((TaH-TrH)*1.163)/3600,3),ROUND(H652/(500*(TaH-TrH)),2))</f>
        <v>0.16</v>
      </c>
      <c r="K652" s="84"/>
      <c r="L652" s="177">
        <f>CHOOSE(Basis!$E$1,((AJ652*(J652*3600/Basis!$E$5)^AK652*(((MID(C652,9,3)*10)-144)/1000)*AL652+AM652*(J652*3600/Basis!$E$5)^2)*0.0098)/Basis!$E$10,((AJ652*(J652/Basis!$E$5)^AK652*(((MID(C652,9,3)*10)-144)/1000)*AL652+AM652*(J652/Basis!$E$5)^2)*0.0098)/Basis!$E$10)</f>
        <v>0</v>
      </c>
      <c r="M652" s="85"/>
      <c r="N652" s="109">
        <v>1.306</v>
      </c>
      <c r="O652" s="68"/>
      <c r="P652" s="67">
        <v>700</v>
      </c>
      <c r="Q652" s="68"/>
      <c r="R652" s="69"/>
      <c r="S652" s="69"/>
      <c r="T652" s="69"/>
      <c r="U652" s="69"/>
      <c r="V652" s="69"/>
      <c r="W652" s="68"/>
      <c r="X652" s="70"/>
      <c r="Y652" s="70"/>
      <c r="Z652" s="70"/>
      <c r="AA652" s="70"/>
      <c r="AB652" s="70"/>
      <c r="AC652" s="68"/>
      <c r="AD652" s="71"/>
      <c r="AE652" s="71"/>
      <c r="AF652" s="71"/>
      <c r="AG652" s="71"/>
      <c r="AH652" s="71"/>
      <c r="AI652" s="68"/>
      <c r="AJ652" s="214"/>
      <c r="AK652" s="214"/>
      <c r="AL652" s="214"/>
      <c r="AM652" s="214"/>
      <c r="AN652" s="68"/>
      <c r="AO652" s="67"/>
      <c r="AP652" s="67"/>
      <c r="AQ652" s="67"/>
      <c r="AR652" s="67"/>
      <c r="AS652" s="67"/>
      <c r="AT652" s="68"/>
      <c r="AU652" s="49"/>
      <c r="AV652" s="50"/>
    </row>
    <row r="653" spans="1:48" ht="12.75" customHeight="1" x14ac:dyDescent="0.25">
      <c r="A653" s="72" t="s">
        <v>4041</v>
      </c>
      <c r="B653" s="43" t="s">
        <v>4042</v>
      </c>
      <c r="C653" s="44" t="s">
        <v>3981</v>
      </c>
      <c r="D653" s="45">
        <f>MROUND(MID($C653,6,3)/Basis!$E$3,0.5)</f>
        <v>86.5</v>
      </c>
      <c r="E653" s="45">
        <f>MROUND(MID($C653,9,3)/Basis!$E$3,0.5)</f>
        <v>12</v>
      </c>
      <c r="F653" s="229" t="str">
        <f t="shared" si="10"/>
        <v>11</v>
      </c>
      <c r="G653" s="45">
        <f>ROUND(5/Basis!$E$3,1)</f>
        <v>2</v>
      </c>
      <c r="H653" s="120">
        <f>ROUND($P653*Basis!$E$2*((TaH-TrH)/LN(1/µ)/Basis!$E$7)^$N653*Glycol,0)</f>
        <v>1942</v>
      </c>
      <c r="I653" s="83">
        <f>ROUND(H653/(MID($C653,9,3)/Basis!$E$3/Basis!$E$9)*Basis!$E$11,0)</f>
        <v>1909</v>
      </c>
      <c r="J653" s="123">
        <f>IF(Basis!$E$1=1,ROUND(H653/((TaH-TrH)*1.163)/3600,3),ROUND(H653/(500*(TaH-TrH)),2))</f>
        <v>0.19</v>
      </c>
      <c r="K653" s="84"/>
      <c r="L653" s="177">
        <f>CHOOSE(Basis!$E$1,((AJ653*(J653*3600/Basis!$E$5)^AK653*(((MID(C653,9,3)*10)-144)/1000)*AL653+AM653*(J653*3600/Basis!$E$5)^2)*0.0098)/Basis!$E$10,((AJ653*(J653/Basis!$E$5)^AK653*(((MID(C653,9,3)*10)-144)/1000)*AL653+AM653*(J653/Basis!$E$5)^2)*0.0098)/Basis!$E$10)</f>
        <v>0</v>
      </c>
      <c r="M653" s="85"/>
      <c r="N653" s="109">
        <v>1.306</v>
      </c>
      <c r="O653" s="68"/>
      <c r="P653" s="67">
        <v>876</v>
      </c>
      <c r="Q653" s="68"/>
      <c r="R653" s="69"/>
      <c r="S653" s="69"/>
      <c r="T653" s="69"/>
      <c r="U653" s="69"/>
      <c r="V653" s="69"/>
      <c r="W653" s="68"/>
      <c r="X653" s="70"/>
      <c r="Y653" s="70"/>
      <c r="Z653" s="70"/>
      <c r="AA653" s="70"/>
      <c r="AB653" s="70"/>
      <c r="AC653" s="68"/>
      <c r="AD653" s="71"/>
      <c r="AE653" s="71"/>
      <c r="AF653" s="71"/>
      <c r="AG653" s="71"/>
      <c r="AH653" s="71"/>
      <c r="AI653" s="68"/>
      <c r="AJ653" s="214"/>
      <c r="AK653" s="214"/>
      <c r="AL653" s="214"/>
      <c r="AM653" s="214"/>
      <c r="AN653" s="68"/>
      <c r="AO653" s="67"/>
      <c r="AP653" s="67"/>
      <c r="AQ653" s="67"/>
      <c r="AR653" s="67"/>
      <c r="AS653" s="67"/>
      <c r="AT653" s="68"/>
      <c r="AU653" s="49"/>
      <c r="AV653" s="50"/>
    </row>
    <row r="654" spans="1:48" ht="12.75" customHeight="1" x14ac:dyDescent="0.25">
      <c r="A654" s="72" t="s">
        <v>4041</v>
      </c>
      <c r="B654" s="43" t="s">
        <v>4042</v>
      </c>
      <c r="C654" s="44" t="s">
        <v>3982</v>
      </c>
      <c r="D654" s="45">
        <f>MROUND(MID($C654,6,3)/Basis!$E$3,0.5)</f>
        <v>86.5</v>
      </c>
      <c r="E654" s="45">
        <f>MROUND(MID($C654,9,3)/Basis!$E$3,0.5)</f>
        <v>14.5</v>
      </c>
      <c r="F654" s="229" t="str">
        <f t="shared" si="10"/>
        <v>11</v>
      </c>
      <c r="G654" s="45">
        <f>ROUND(5/Basis!$E$3,1)</f>
        <v>2</v>
      </c>
      <c r="H654" s="120">
        <f>ROUND($P654*Basis!$E$2*((TaH-TrH)/LN(1/µ)/Basis!$E$7)^$N654*Glycol,0)</f>
        <v>2330</v>
      </c>
      <c r="I654" s="83">
        <f>ROUND(H654/(MID($C654,9,3)/Basis!$E$3/Basis!$E$9)*Basis!$E$11,0)</f>
        <v>1919</v>
      </c>
      <c r="J654" s="123">
        <f>IF(Basis!$E$1=1,ROUND(H654/((TaH-TrH)*1.163)/3600,3),ROUND(H654/(500*(TaH-TrH)),2))</f>
        <v>0.23</v>
      </c>
      <c r="K654" s="84"/>
      <c r="L654" s="177">
        <f>CHOOSE(Basis!$E$1,((AJ654*(J654*3600/Basis!$E$5)^AK654*(((MID(C654,9,3)*10)-144)/1000)*AL654+AM654*(J654*3600/Basis!$E$5)^2)*0.0098)/Basis!$E$10,((AJ654*(J654/Basis!$E$5)^AK654*(((MID(C654,9,3)*10)-144)/1000)*AL654+AM654*(J654/Basis!$E$5)^2)*0.0098)/Basis!$E$10)</f>
        <v>0</v>
      </c>
      <c r="M654" s="85"/>
      <c r="N654" s="110">
        <v>1.306</v>
      </c>
      <c r="O654" s="74"/>
      <c r="P654" s="73">
        <v>1051</v>
      </c>
      <c r="Q654" s="74"/>
      <c r="R654" s="75"/>
      <c r="S654" s="75"/>
      <c r="T654" s="75"/>
      <c r="U654" s="75"/>
      <c r="V654" s="75"/>
      <c r="W654" s="74"/>
      <c r="X654" s="76"/>
      <c r="Y654" s="76"/>
      <c r="Z654" s="76"/>
      <c r="AA654" s="76"/>
      <c r="AB654" s="76"/>
      <c r="AC654" s="74"/>
      <c r="AD654" s="77"/>
      <c r="AE654" s="77"/>
      <c r="AF654" s="77"/>
      <c r="AG654" s="77"/>
      <c r="AH654" s="77"/>
      <c r="AI654" s="68"/>
      <c r="AJ654" s="213"/>
      <c r="AK654" s="213"/>
      <c r="AL654" s="213"/>
      <c r="AM654" s="213"/>
      <c r="AN654" s="74"/>
      <c r="AO654" s="73"/>
      <c r="AP654" s="73"/>
      <c r="AQ654" s="73"/>
      <c r="AR654" s="73"/>
      <c r="AS654" s="73"/>
      <c r="AT654" s="74"/>
      <c r="AU654" s="47"/>
      <c r="AV654" s="48"/>
    </row>
    <row r="655" spans="1:48" ht="12.75" customHeight="1" x14ac:dyDescent="0.25">
      <c r="A655" s="72" t="s">
        <v>4041</v>
      </c>
      <c r="B655" s="43" t="s">
        <v>4042</v>
      </c>
      <c r="C655" s="44" t="s">
        <v>3983</v>
      </c>
      <c r="D655" s="45">
        <f>MROUND(MID($C655,6,3)/Basis!$E$3,0.5)</f>
        <v>86.5</v>
      </c>
      <c r="E655" s="45">
        <f>MROUND(MID($C655,9,3)/Basis!$E$3,0.5)</f>
        <v>17</v>
      </c>
      <c r="F655" s="229" t="str">
        <f t="shared" si="10"/>
        <v>11</v>
      </c>
      <c r="G655" s="45">
        <f>ROUND(5/Basis!$E$3,1)</f>
        <v>2</v>
      </c>
      <c r="H655" s="120">
        <f>ROUND($P655*Basis!$E$2*((TaH-TrH)/LN(1/µ)/Basis!$E$7)^$N655*Glycol,0)</f>
        <v>2718</v>
      </c>
      <c r="I655" s="83">
        <f>ROUND(H655/(MID($C655,9,3)/Basis!$E$3/Basis!$E$9)*Basis!$E$11,0)</f>
        <v>1927</v>
      </c>
      <c r="J655" s="123">
        <f>IF(Basis!$E$1=1,ROUND(H655/((TaH-TrH)*1.163)/3600,3),ROUND(H655/(500*(TaH-TrH)),2))</f>
        <v>0.27</v>
      </c>
      <c r="K655" s="84"/>
      <c r="L655" s="177">
        <f>CHOOSE(Basis!$E$1,((AJ655*(J655*3600/Basis!$E$5)^AK655*(((MID(C655,9,3)*10)-144)/1000)*AL655+AM655*(J655*3600/Basis!$E$5)^2)*0.0098)/Basis!$E$10,((AJ655*(J655/Basis!$E$5)^AK655*(((MID(C655,9,3)*10)-144)/1000)*AL655+AM655*(J655/Basis!$E$5)^2)*0.0098)/Basis!$E$10)</f>
        <v>0</v>
      </c>
      <c r="M655" s="85"/>
      <c r="N655" s="110">
        <v>1.306</v>
      </c>
      <c r="O655" s="74"/>
      <c r="P655" s="73">
        <v>1226</v>
      </c>
      <c r="Q655" s="74"/>
      <c r="R655" s="75"/>
      <c r="S655" s="75"/>
      <c r="T655" s="75"/>
      <c r="U655" s="75"/>
      <c r="V655" s="75"/>
      <c r="W655" s="74"/>
      <c r="X655" s="76"/>
      <c r="Y655" s="76"/>
      <c r="Z655" s="76"/>
      <c r="AA655" s="76"/>
      <c r="AB655" s="76"/>
      <c r="AC655" s="74"/>
      <c r="AD655" s="77"/>
      <c r="AE655" s="77"/>
      <c r="AF655" s="77"/>
      <c r="AG655" s="77"/>
      <c r="AH655" s="77"/>
      <c r="AI655" s="68"/>
      <c r="AJ655" s="213"/>
      <c r="AK655" s="213"/>
      <c r="AL655" s="213"/>
      <c r="AM655" s="213"/>
      <c r="AN655" s="74"/>
      <c r="AO655" s="73"/>
      <c r="AP655" s="73"/>
      <c r="AQ655" s="73"/>
      <c r="AR655" s="73"/>
      <c r="AS655" s="73"/>
      <c r="AT655" s="74"/>
      <c r="AU655" s="47"/>
      <c r="AV655" s="48"/>
    </row>
    <row r="656" spans="1:48" ht="12.75" customHeight="1" x14ac:dyDescent="0.25">
      <c r="A656" s="72" t="s">
        <v>4041</v>
      </c>
      <c r="B656" s="43" t="s">
        <v>4042</v>
      </c>
      <c r="C656" s="44" t="s">
        <v>3984</v>
      </c>
      <c r="D656" s="45">
        <f>MROUND(MID($C656,6,3)/Basis!$E$3,0.5)</f>
        <v>86.5</v>
      </c>
      <c r="E656" s="45">
        <f>MROUND(MID($C656,9,3)/Basis!$E$3,0.5)</f>
        <v>19.5</v>
      </c>
      <c r="F656" s="229" t="str">
        <f t="shared" si="10"/>
        <v>11</v>
      </c>
      <c r="G656" s="45">
        <f>ROUND(5/Basis!$E$3,1)</f>
        <v>2</v>
      </c>
      <c r="H656" s="120">
        <f>ROUND($P656*Basis!$E$2*((TaH-TrH)/LN(1/µ)/Basis!$E$7)^$N656*Glycol,0)</f>
        <v>3106</v>
      </c>
      <c r="I656" s="83">
        <f>ROUND(H656/(MID($C656,9,3)/Basis!$E$3/Basis!$E$9)*Basis!$E$11,0)</f>
        <v>1893</v>
      </c>
      <c r="J656" s="123">
        <f>IF(Basis!$E$1=1,ROUND(H656/((TaH-TrH)*1.163)/3600,3),ROUND(H656/(500*(TaH-TrH)),2))</f>
        <v>0.31</v>
      </c>
      <c r="K656" s="84"/>
      <c r="L656" s="177">
        <f>CHOOSE(Basis!$E$1,((AJ656*(J656*3600/Basis!$E$5)^AK656*(((MID(C656,9,3)*10)-144)/1000)*AL656+AM656*(J656*3600/Basis!$E$5)^2)*0.0098)/Basis!$E$10,((AJ656*(J656/Basis!$E$5)^AK656*(((MID(C656,9,3)*10)-144)/1000)*AL656+AM656*(J656/Basis!$E$5)^2)*0.0098)/Basis!$E$10)</f>
        <v>0</v>
      </c>
      <c r="M656" s="85"/>
      <c r="N656" s="109">
        <v>1.306</v>
      </c>
      <c r="O656" s="68"/>
      <c r="P656" s="67">
        <v>1401</v>
      </c>
      <c r="Q656" s="68"/>
      <c r="R656" s="69"/>
      <c r="S656" s="69"/>
      <c r="T656" s="69"/>
      <c r="U656" s="69"/>
      <c r="V656" s="69"/>
      <c r="W656" s="68"/>
      <c r="X656" s="70"/>
      <c r="Y656" s="70"/>
      <c r="Z656" s="70"/>
      <c r="AA656" s="70"/>
      <c r="AB656" s="70"/>
      <c r="AC656" s="68"/>
      <c r="AD656" s="71"/>
      <c r="AE656" s="71"/>
      <c r="AF656" s="71"/>
      <c r="AG656" s="71"/>
      <c r="AH656" s="71"/>
      <c r="AI656" s="68"/>
      <c r="AJ656" s="214"/>
      <c r="AK656" s="214"/>
      <c r="AL656" s="214"/>
      <c r="AM656" s="214"/>
      <c r="AN656" s="68"/>
      <c r="AO656" s="67"/>
      <c r="AP656" s="67"/>
      <c r="AQ656" s="67"/>
      <c r="AR656" s="67"/>
      <c r="AS656" s="67"/>
      <c r="AT656" s="68"/>
      <c r="AU656" s="49"/>
      <c r="AV656" s="50"/>
    </row>
    <row r="657" spans="1:48" ht="12.75" customHeight="1" x14ac:dyDescent="0.25">
      <c r="A657" s="72" t="s">
        <v>4041</v>
      </c>
      <c r="B657" s="43" t="s">
        <v>4042</v>
      </c>
      <c r="C657" s="44" t="s">
        <v>3985</v>
      </c>
      <c r="D657" s="45">
        <f>MROUND(MID($C657,6,3)/Basis!$E$3,0.5)</f>
        <v>86.5</v>
      </c>
      <c r="E657" s="45">
        <f>MROUND(MID($C657,9,3)/Basis!$E$3,0.5)</f>
        <v>22</v>
      </c>
      <c r="F657" s="229" t="str">
        <f t="shared" si="10"/>
        <v>11</v>
      </c>
      <c r="G657" s="45">
        <f>ROUND(5/Basis!$E$3,1)</f>
        <v>2</v>
      </c>
      <c r="H657" s="120">
        <f>ROUND($P657*Basis!$E$2*((TaH-TrH)/LN(1/µ)/Basis!$E$7)^$N657*Glycol,0)</f>
        <v>3494</v>
      </c>
      <c r="I657" s="83">
        <f>ROUND(H657/(MID($C657,9,3)/Basis!$E$3/Basis!$E$9)*Basis!$E$11,0)</f>
        <v>1902</v>
      </c>
      <c r="J657" s="123">
        <f>IF(Basis!$E$1=1,ROUND(H657/((TaH-TrH)*1.163)/3600,3),ROUND(H657/(500*(TaH-TrH)),2))</f>
        <v>0.35</v>
      </c>
      <c r="K657" s="84"/>
      <c r="L657" s="177">
        <f>CHOOSE(Basis!$E$1,((AJ657*(J657*3600/Basis!$E$5)^AK657*(((MID(C657,9,3)*10)-144)/1000)*AL657+AM657*(J657*3600/Basis!$E$5)^2)*0.0098)/Basis!$E$10,((AJ657*(J657/Basis!$E$5)^AK657*(((MID(C657,9,3)*10)-144)/1000)*AL657+AM657*(J657/Basis!$E$5)^2)*0.0098)/Basis!$E$10)</f>
        <v>0</v>
      </c>
      <c r="M657" s="85"/>
      <c r="N657" s="109">
        <v>1.306</v>
      </c>
      <c r="O657" s="68"/>
      <c r="P657" s="67">
        <v>1576</v>
      </c>
      <c r="Q657" s="68"/>
      <c r="R657" s="69"/>
      <c r="S657" s="69"/>
      <c r="T657" s="69"/>
      <c r="U657" s="69"/>
      <c r="V657" s="69"/>
      <c r="W657" s="68"/>
      <c r="X657" s="70"/>
      <c r="Y657" s="70"/>
      <c r="Z657" s="70"/>
      <c r="AA657" s="70"/>
      <c r="AB657" s="70"/>
      <c r="AC657" s="68"/>
      <c r="AD657" s="71"/>
      <c r="AE657" s="71"/>
      <c r="AF657" s="71"/>
      <c r="AG657" s="71"/>
      <c r="AH657" s="71"/>
      <c r="AI657" s="68"/>
      <c r="AJ657" s="214"/>
      <c r="AK657" s="214"/>
      <c r="AL657" s="214"/>
      <c r="AM657" s="214"/>
      <c r="AN657" s="68"/>
      <c r="AO657" s="67"/>
      <c r="AP657" s="67"/>
      <c r="AQ657" s="67"/>
      <c r="AR657" s="67"/>
      <c r="AS657" s="67"/>
      <c r="AT657" s="68"/>
      <c r="AU657" s="49"/>
      <c r="AV657" s="50"/>
    </row>
    <row r="658" spans="1:48" ht="12.75" customHeight="1" x14ac:dyDescent="0.25">
      <c r="A658" s="72" t="s">
        <v>4041</v>
      </c>
      <c r="B658" s="43" t="s">
        <v>4042</v>
      </c>
      <c r="C658" s="44" t="s">
        <v>3986</v>
      </c>
      <c r="D658" s="45">
        <f>MROUND(MID($C658,6,3)/Basis!$E$3,0.5)</f>
        <v>86.5</v>
      </c>
      <c r="E658" s="45">
        <f>MROUND(MID($C658,9,3)/Basis!$E$3,0.5)</f>
        <v>24.5</v>
      </c>
      <c r="F658" s="229" t="str">
        <f t="shared" si="10"/>
        <v>11</v>
      </c>
      <c r="G658" s="45">
        <f>ROUND(5/Basis!$E$3,1)</f>
        <v>2</v>
      </c>
      <c r="H658" s="120">
        <f>ROUND($P658*Basis!$E$2*((TaH-TrH)/LN(1/µ)/Basis!$E$7)^$N658*Glycol,0)</f>
        <v>3883</v>
      </c>
      <c r="I658" s="83">
        <f>ROUND(H658/(MID($C658,9,3)/Basis!$E$3/Basis!$E$9)*Basis!$E$11,0)</f>
        <v>1909</v>
      </c>
      <c r="J658" s="123">
        <f>IF(Basis!$E$1=1,ROUND(H658/((TaH-TrH)*1.163)/3600,3),ROUND(H658/(500*(TaH-TrH)),2))</f>
        <v>0.39</v>
      </c>
      <c r="K658" s="84"/>
      <c r="L658" s="177">
        <f>CHOOSE(Basis!$E$1,((AJ658*(J658*3600/Basis!$E$5)^AK658*(((MID(C658,9,3)*10)-144)/1000)*AL658+AM658*(J658*3600/Basis!$E$5)^2)*0.0098)/Basis!$E$10,((AJ658*(J658/Basis!$E$5)^AK658*(((MID(C658,9,3)*10)-144)/1000)*AL658+AM658*(J658/Basis!$E$5)^2)*0.0098)/Basis!$E$10)</f>
        <v>0</v>
      </c>
      <c r="M658" s="85"/>
      <c r="N658" s="110">
        <v>1.306</v>
      </c>
      <c r="O658" s="74"/>
      <c r="P658" s="73">
        <v>1751</v>
      </c>
      <c r="Q658" s="74"/>
      <c r="R658" s="75"/>
      <c r="S658" s="75"/>
      <c r="T658" s="75"/>
      <c r="U658" s="75"/>
      <c r="V658" s="75"/>
      <c r="W658" s="74"/>
      <c r="X658" s="76"/>
      <c r="Y658" s="76"/>
      <c r="Z658" s="76"/>
      <c r="AA658" s="76"/>
      <c r="AB658" s="76"/>
      <c r="AC658" s="74"/>
      <c r="AD658" s="77"/>
      <c r="AE658" s="77"/>
      <c r="AF658" s="77"/>
      <c r="AG658" s="77"/>
      <c r="AH658" s="77"/>
      <c r="AI658" s="68"/>
      <c r="AJ658" s="213"/>
      <c r="AK658" s="213"/>
      <c r="AL658" s="213"/>
      <c r="AM658" s="213"/>
      <c r="AN658" s="74"/>
      <c r="AO658" s="73"/>
      <c r="AP658" s="73"/>
      <c r="AQ658" s="73"/>
      <c r="AR658" s="73"/>
      <c r="AS658" s="73"/>
      <c r="AT658" s="74"/>
      <c r="AU658" s="47"/>
      <c r="AV658" s="48"/>
    </row>
    <row r="659" spans="1:48" ht="12.75" customHeight="1" x14ac:dyDescent="0.25">
      <c r="A659" s="72" t="s">
        <v>4041</v>
      </c>
      <c r="B659" s="43" t="s">
        <v>4042</v>
      </c>
      <c r="C659" s="44" t="s">
        <v>3987</v>
      </c>
      <c r="D659" s="45">
        <f>MROUND(MID($C659,6,3)/Basis!$E$3,0.5)</f>
        <v>86.5</v>
      </c>
      <c r="E659" s="45">
        <f>MROUND(MID($C659,9,3)/Basis!$E$3,0.5)</f>
        <v>27</v>
      </c>
      <c r="F659" s="229" t="str">
        <f t="shared" si="10"/>
        <v>11</v>
      </c>
      <c r="G659" s="45">
        <f>ROUND(5/Basis!$E$3,1)</f>
        <v>2</v>
      </c>
      <c r="H659" s="120">
        <f>ROUND($P659*Basis!$E$2*((TaH-TrH)/LN(1/µ)/Basis!$E$7)^$N659*Glycol,0)</f>
        <v>4271</v>
      </c>
      <c r="I659" s="83">
        <f>ROUND(H659/(MID($C659,9,3)/Basis!$E$3/Basis!$E$9)*Basis!$E$11,0)</f>
        <v>1887</v>
      </c>
      <c r="J659" s="123">
        <f>IF(Basis!$E$1=1,ROUND(H659/((TaH-TrH)*1.163)/3600,3),ROUND(H659/(500*(TaH-TrH)),2))</f>
        <v>0.43</v>
      </c>
      <c r="K659" s="84"/>
      <c r="L659" s="177">
        <f>CHOOSE(Basis!$E$1,((AJ659*(J659*3600/Basis!$E$5)^AK659*(((MID(C659,9,3)*10)-144)/1000)*AL659+AM659*(J659*3600/Basis!$E$5)^2)*0.0098)/Basis!$E$10,((AJ659*(J659/Basis!$E$5)^AK659*(((MID(C659,9,3)*10)-144)/1000)*AL659+AM659*(J659/Basis!$E$5)^2)*0.0098)/Basis!$E$10)</f>
        <v>0</v>
      </c>
      <c r="M659" s="85"/>
      <c r="N659" s="110">
        <v>1.306</v>
      </c>
      <c r="O659" s="74"/>
      <c r="P659" s="73">
        <v>1926</v>
      </c>
      <c r="Q659" s="74"/>
      <c r="R659" s="75"/>
      <c r="S659" s="75"/>
      <c r="T659" s="75"/>
      <c r="U659" s="75"/>
      <c r="V659" s="75"/>
      <c r="W659" s="74"/>
      <c r="X659" s="76"/>
      <c r="Y659" s="76"/>
      <c r="Z659" s="76"/>
      <c r="AA659" s="76"/>
      <c r="AB659" s="76"/>
      <c r="AC659" s="74"/>
      <c r="AD659" s="77"/>
      <c r="AE659" s="77"/>
      <c r="AF659" s="77"/>
      <c r="AG659" s="77"/>
      <c r="AH659" s="77"/>
      <c r="AI659" s="68"/>
      <c r="AJ659" s="213"/>
      <c r="AK659" s="213"/>
      <c r="AL659" s="213"/>
      <c r="AM659" s="213"/>
      <c r="AN659" s="74"/>
      <c r="AO659" s="73"/>
      <c r="AP659" s="73"/>
      <c r="AQ659" s="73"/>
      <c r="AR659" s="73"/>
      <c r="AS659" s="73"/>
      <c r="AT659" s="74"/>
      <c r="AU659" s="47"/>
      <c r="AV659" s="48"/>
    </row>
    <row r="660" spans="1:48" ht="12.75" customHeight="1" x14ac:dyDescent="0.25">
      <c r="A660" s="72" t="s">
        <v>4041</v>
      </c>
      <c r="B660" s="43" t="s">
        <v>4042</v>
      </c>
      <c r="C660" s="44" t="s">
        <v>3988</v>
      </c>
      <c r="D660" s="45">
        <f>MROUND(MID($C660,6,3)/Basis!$E$3,0.5)</f>
        <v>86.5</v>
      </c>
      <c r="E660" s="45">
        <f>MROUND(MID($C660,9,3)/Basis!$E$3,0.5)</f>
        <v>29.5</v>
      </c>
      <c r="F660" s="229" t="str">
        <f t="shared" si="10"/>
        <v>11</v>
      </c>
      <c r="G660" s="45">
        <f>ROUND(5/Basis!$E$3,1)</f>
        <v>2</v>
      </c>
      <c r="H660" s="120">
        <f>ROUND($P660*Basis!$E$2*((TaH-TrH)/LN(1/µ)/Basis!$E$7)^$N660*Glycol,0)</f>
        <v>4659</v>
      </c>
      <c r="I660" s="83">
        <f>ROUND(H660/(MID($C660,9,3)/Basis!$E$3/Basis!$E$9)*Basis!$E$11,0)</f>
        <v>1893</v>
      </c>
      <c r="J660" s="123">
        <f>IF(Basis!$E$1=1,ROUND(H660/((TaH-TrH)*1.163)/3600,3),ROUND(H660/(500*(TaH-TrH)),2))</f>
        <v>0.47</v>
      </c>
      <c r="K660" s="84"/>
      <c r="L660" s="177">
        <f>CHOOSE(Basis!$E$1,((AJ660*(J660*3600/Basis!$E$5)^AK660*(((MID(C660,9,3)*10)-144)/1000)*AL660+AM660*(J660*3600/Basis!$E$5)^2)*0.0098)/Basis!$E$10,((AJ660*(J660/Basis!$E$5)^AK660*(((MID(C660,9,3)*10)-144)/1000)*AL660+AM660*(J660/Basis!$E$5)^2)*0.0098)/Basis!$E$10)</f>
        <v>0</v>
      </c>
      <c r="M660" s="85"/>
      <c r="N660" s="109">
        <v>1.306</v>
      </c>
      <c r="O660" s="68"/>
      <c r="P660" s="67">
        <v>2101</v>
      </c>
      <c r="Q660" s="68"/>
      <c r="R660" s="69"/>
      <c r="S660" s="69"/>
      <c r="T660" s="69"/>
      <c r="U660" s="69"/>
      <c r="V660" s="69"/>
      <c r="W660" s="68"/>
      <c r="X660" s="70"/>
      <c r="Y660" s="70"/>
      <c r="Z660" s="70"/>
      <c r="AA660" s="70"/>
      <c r="AB660" s="70"/>
      <c r="AC660" s="68"/>
      <c r="AD660" s="71"/>
      <c r="AE660" s="71"/>
      <c r="AF660" s="71"/>
      <c r="AG660" s="71"/>
      <c r="AH660" s="71"/>
      <c r="AI660" s="68"/>
      <c r="AJ660" s="214"/>
      <c r="AK660" s="214"/>
      <c r="AL660" s="214"/>
      <c r="AM660" s="214"/>
      <c r="AN660" s="68"/>
      <c r="AO660" s="67"/>
      <c r="AP660" s="67"/>
      <c r="AQ660" s="67"/>
      <c r="AR660" s="67"/>
      <c r="AS660" s="67"/>
      <c r="AT660" s="68"/>
      <c r="AU660" s="49"/>
      <c r="AV660" s="50"/>
    </row>
    <row r="661" spans="1:48" ht="12.75" customHeight="1" x14ac:dyDescent="0.25">
      <c r="A661" s="72" t="s">
        <v>4041</v>
      </c>
      <c r="B661" s="43" t="s">
        <v>4042</v>
      </c>
      <c r="C661" s="44" t="s">
        <v>3989</v>
      </c>
      <c r="D661" s="45">
        <f>MROUND(MID($C661,6,3)/Basis!$E$3,0.5)</f>
        <v>86.5</v>
      </c>
      <c r="E661" s="45">
        <f>MROUND(MID($C661,9,3)/Basis!$E$3,0.5)</f>
        <v>32</v>
      </c>
      <c r="F661" s="229" t="str">
        <f t="shared" si="10"/>
        <v>11</v>
      </c>
      <c r="G661" s="45">
        <f>ROUND(5/Basis!$E$3,1)</f>
        <v>2</v>
      </c>
      <c r="H661" s="120">
        <f>ROUND($P661*Basis!$E$2*((TaH-TrH)/LN(1/µ)/Basis!$E$7)^$N661*Glycol,0)</f>
        <v>5047</v>
      </c>
      <c r="I661" s="83">
        <f>ROUND(H661/(MID($C661,9,3)/Basis!$E$3/Basis!$E$9)*Basis!$E$11,0)</f>
        <v>1899</v>
      </c>
      <c r="J661" s="123">
        <f>IF(Basis!$E$1=1,ROUND(H661/((TaH-TrH)*1.163)/3600,3),ROUND(H661/(500*(TaH-TrH)),2))</f>
        <v>0.5</v>
      </c>
      <c r="K661" s="84"/>
      <c r="L661" s="177">
        <f>CHOOSE(Basis!$E$1,((AJ661*(J661*3600/Basis!$E$5)^AK661*(((MID(C661,9,3)*10)-144)/1000)*AL661+AM661*(J661*3600/Basis!$E$5)^2)*0.0098)/Basis!$E$10,((AJ661*(J661/Basis!$E$5)^AK661*(((MID(C661,9,3)*10)-144)/1000)*AL661+AM661*(J661/Basis!$E$5)^2)*0.0098)/Basis!$E$10)</f>
        <v>0</v>
      </c>
      <c r="M661" s="85"/>
      <c r="N661" s="109">
        <v>1.306</v>
      </c>
      <c r="O661" s="68"/>
      <c r="P661" s="67">
        <v>2276</v>
      </c>
      <c r="Q661" s="68"/>
      <c r="R661" s="69"/>
      <c r="S661" s="69"/>
      <c r="T661" s="69"/>
      <c r="U661" s="69"/>
      <c r="V661" s="69"/>
      <c r="W661" s="68"/>
      <c r="X661" s="70"/>
      <c r="Y661" s="70"/>
      <c r="Z661" s="70"/>
      <c r="AA661" s="70"/>
      <c r="AB661" s="70"/>
      <c r="AC661" s="68"/>
      <c r="AD661" s="71"/>
      <c r="AE661" s="71"/>
      <c r="AF661" s="71"/>
      <c r="AG661" s="71"/>
      <c r="AH661" s="71"/>
      <c r="AI661" s="68"/>
      <c r="AJ661" s="214"/>
      <c r="AK661" s="214"/>
      <c r="AL661" s="214"/>
      <c r="AM661" s="214"/>
      <c r="AN661" s="68"/>
      <c r="AO661" s="67"/>
      <c r="AP661" s="67"/>
      <c r="AQ661" s="67"/>
      <c r="AR661" s="67"/>
      <c r="AS661" s="67"/>
      <c r="AT661" s="68"/>
      <c r="AU661" s="49"/>
      <c r="AV661" s="50"/>
    </row>
    <row r="662" spans="1:48" ht="12.75" customHeight="1" x14ac:dyDescent="0.25">
      <c r="A662" s="72" t="s">
        <v>4041</v>
      </c>
      <c r="B662" s="43" t="s">
        <v>4042</v>
      </c>
      <c r="C662" s="44" t="s">
        <v>3990</v>
      </c>
      <c r="D662" s="45">
        <f>MROUND(MID($C662,6,3)/Basis!$E$3,0.5)</f>
        <v>86.5</v>
      </c>
      <c r="E662" s="45">
        <f>MROUND(MID($C662,9,3)/Basis!$E$3,0.5)</f>
        <v>34.5</v>
      </c>
      <c r="F662" s="229" t="str">
        <f t="shared" si="10"/>
        <v>11</v>
      </c>
      <c r="G662" s="45">
        <f>ROUND(5/Basis!$E$3,1)</f>
        <v>2</v>
      </c>
      <c r="H662" s="120">
        <f>ROUND($P662*Basis!$E$2*((TaH-TrH)/LN(1/µ)/Basis!$E$7)^$N662*Glycol,0)</f>
        <v>5435</v>
      </c>
      <c r="I662" s="83">
        <f>ROUND(H662/(MID($C662,9,3)/Basis!$E$3/Basis!$E$9)*Basis!$E$11,0)</f>
        <v>1904</v>
      </c>
      <c r="J662" s="123">
        <f>IF(Basis!$E$1=1,ROUND(H662/((TaH-TrH)*1.163)/3600,3),ROUND(H662/(500*(TaH-TrH)),2))</f>
        <v>0.54</v>
      </c>
      <c r="K662" s="84"/>
      <c r="L662" s="177">
        <f>CHOOSE(Basis!$E$1,((AJ662*(J662*3600/Basis!$E$5)^AK662*(((MID(C662,9,3)*10)-144)/1000)*AL662+AM662*(J662*3600/Basis!$E$5)^2)*0.0098)/Basis!$E$10,((AJ662*(J662/Basis!$E$5)^AK662*(((MID(C662,9,3)*10)-144)/1000)*AL662+AM662*(J662/Basis!$E$5)^2)*0.0098)/Basis!$E$10)</f>
        <v>0</v>
      </c>
      <c r="M662" s="85"/>
      <c r="N662" s="110">
        <v>1.306</v>
      </c>
      <c r="O662" s="74"/>
      <c r="P662" s="73">
        <v>2451</v>
      </c>
      <c r="Q662" s="74"/>
      <c r="R662" s="75"/>
      <c r="S662" s="75"/>
      <c r="T662" s="75"/>
      <c r="U662" s="75"/>
      <c r="V662" s="75"/>
      <c r="W662" s="74"/>
      <c r="X662" s="76"/>
      <c r="Y662" s="76"/>
      <c r="Z662" s="76"/>
      <c r="AA662" s="76"/>
      <c r="AB662" s="76"/>
      <c r="AC662" s="74"/>
      <c r="AD662" s="77"/>
      <c r="AE662" s="77"/>
      <c r="AF662" s="77"/>
      <c r="AG662" s="77"/>
      <c r="AH662" s="77"/>
      <c r="AI662" s="68"/>
      <c r="AJ662" s="213"/>
      <c r="AK662" s="213"/>
      <c r="AL662" s="213"/>
      <c r="AM662" s="213"/>
      <c r="AN662" s="74"/>
      <c r="AO662" s="73"/>
      <c r="AP662" s="73"/>
      <c r="AQ662" s="73"/>
      <c r="AR662" s="73"/>
      <c r="AS662" s="73"/>
      <c r="AT662" s="74"/>
      <c r="AU662" s="47"/>
      <c r="AV662" s="48"/>
    </row>
    <row r="663" spans="1:48" ht="12.75" customHeight="1" x14ac:dyDescent="0.25">
      <c r="A663" s="72" t="s">
        <v>4041</v>
      </c>
      <c r="B663" s="43" t="s">
        <v>4042</v>
      </c>
      <c r="C663" s="44" t="s">
        <v>3991</v>
      </c>
      <c r="D663" s="45">
        <f>MROUND(MID($C663,6,3)/Basis!$E$3,0.5)</f>
        <v>86.5</v>
      </c>
      <c r="E663" s="45">
        <f>MROUND(MID($C663,9,3)/Basis!$E$3,0.5)</f>
        <v>37</v>
      </c>
      <c r="F663" s="229" t="str">
        <f t="shared" si="10"/>
        <v>11</v>
      </c>
      <c r="G663" s="45">
        <f>ROUND(5/Basis!$E$3,1)</f>
        <v>2</v>
      </c>
      <c r="H663" s="120">
        <f>ROUND($P663*Basis!$E$2*((TaH-TrH)/LN(1/µ)/Basis!$E$7)^$N663*Glycol,0)</f>
        <v>5825</v>
      </c>
      <c r="I663" s="83">
        <f>ROUND(H663/(MID($C663,9,3)/Basis!$E$3/Basis!$E$9)*Basis!$E$11,0)</f>
        <v>1889</v>
      </c>
      <c r="J663" s="123">
        <f>IF(Basis!$E$1=1,ROUND(H663/((TaH-TrH)*1.163)/3600,3),ROUND(H663/(500*(TaH-TrH)),2))</f>
        <v>0.57999999999999996</v>
      </c>
      <c r="K663" s="84"/>
      <c r="L663" s="177">
        <f>CHOOSE(Basis!$E$1,((AJ663*(J663*3600/Basis!$E$5)^AK663*(((MID(C663,9,3)*10)-144)/1000)*AL663+AM663*(J663*3600/Basis!$E$5)^2)*0.0098)/Basis!$E$10,((AJ663*(J663/Basis!$E$5)^AK663*(((MID(C663,9,3)*10)-144)/1000)*AL663+AM663*(J663/Basis!$E$5)^2)*0.0098)/Basis!$E$10)</f>
        <v>0</v>
      </c>
      <c r="M663" s="85"/>
      <c r="N663" s="110">
        <v>1.306</v>
      </c>
      <c r="O663" s="74"/>
      <c r="P663" s="73">
        <v>2627</v>
      </c>
      <c r="Q663" s="74"/>
      <c r="R663" s="75"/>
      <c r="S663" s="75"/>
      <c r="T663" s="75"/>
      <c r="U663" s="75"/>
      <c r="V663" s="75"/>
      <c r="W663" s="74"/>
      <c r="X663" s="76"/>
      <c r="Y663" s="76"/>
      <c r="Z663" s="76"/>
      <c r="AA663" s="76"/>
      <c r="AB663" s="76"/>
      <c r="AC663" s="74"/>
      <c r="AD663" s="77"/>
      <c r="AE663" s="77"/>
      <c r="AF663" s="77"/>
      <c r="AG663" s="77"/>
      <c r="AH663" s="77"/>
      <c r="AI663" s="68"/>
      <c r="AJ663" s="213"/>
      <c r="AK663" s="213"/>
      <c r="AL663" s="213"/>
      <c r="AM663" s="213"/>
      <c r="AN663" s="74"/>
      <c r="AO663" s="73"/>
      <c r="AP663" s="73"/>
      <c r="AQ663" s="73"/>
      <c r="AR663" s="73"/>
      <c r="AS663" s="73"/>
      <c r="AT663" s="74"/>
      <c r="AU663" s="47"/>
      <c r="AV663" s="48"/>
    </row>
    <row r="664" spans="1:48" ht="12.75" customHeight="1" x14ac:dyDescent="0.25">
      <c r="A664" s="72" t="s">
        <v>4041</v>
      </c>
      <c r="B664" s="43" t="s">
        <v>4042</v>
      </c>
      <c r="C664" s="44" t="s">
        <v>3992</v>
      </c>
      <c r="D664" s="45">
        <f>MROUND(MID($C664,6,3)/Basis!$E$3,0.5)</f>
        <v>94.5</v>
      </c>
      <c r="E664" s="45">
        <f>MROUND(MID($C664,9,3)/Basis!$E$3,0.5)</f>
        <v>9.5</v>
      </c>
      <c r="F664" s="229" t="str">
        <f t="shared" si="10"/>
        <v>11</v>
      </c>
      <c r="G664" s="45">
        <f>ROUND(5/Basis!$E$3,1)</f>
        <v>2</v>
      </c>
      <c r="H664" s="120">
        <f>ROUND($P664*Basis!$E$2*((TaH-TrH)/LN(1/µ)/Basis!$E$7)^$N664*Glycol,0)</f>
        <v>1677</v>
      </c>
      <c r="I664" s="83">
        <f>ROUND(H664/(MID($C664,9,3)/Basis!$E$3/Basis!$E$9)*Basis!$E$11,0)</f>
        <v>2130</v>
      </c>
      <c r="J664" s="123">
        <f>IF(Basis!$E$1=1,ROUND(H664/((TaH-TrH)*1.163)/3600,3),ROUND(H664/(500*(TaH-TrH)),2))</f>
        <v>0.17</v>
      </c>
      <c r="K664" s="84"/>
      <c r="L664" s="177">
        <f>CHOOSE(Basis!$E$1,((AJ664*(J664*3600/Basis!$E$5)^AK664*(((MID(C664,9,3)*10)-144)/1000)*AL664+AM664*(J664*3600/Basis!$E$5)^2)*0.0098)/Basis!$E$10,((AJ664*(J664/Basis!$E$5)^AK664*(((MID(C664,9,3)*10)-144)/1000)*AL664+AM664*(J664/Basis!$E$5)^2)*0.0098)/Basis!$E$10)</f>
        <v>0</v>
      </c>
      <c r="M664" s="85"/>
      <c r="N664" s="109">
        <v>1.2969999999999999</v>
      </c>
      <c r="O664" s="68"/>
      <c r="P664" s="67">
        <v>754</v>
      </c>
      <c r="Q664" s="68"/>
      <c r="R664" s="69"/>
      <c r="S664" s="69"/>
      <c r="T664" s="69"/>
      <c r="U664" s="69"/>
      <c r="V664" s="69"/>
      <c r="W664" s="68"/>
      <c r="X664" s="70"/>
      <c r="Y664" s="70"/>
      <c r="Z664" s="70"/>
      <c r="AA664" s="70"/>
      <c r="AB664" s="70"/>
      <c r="AC664" s="68"/>
      <c r="AD664" s="71"/>
      <c r="AE664" s="71"/>
      <c r="AF664" s="71"/>
      <c r="AG664" s="71"/>
      <c r="AH664" s="71"/>
      <c r="AI664" s="68"/>
      <c r="AJ664" s="214"/>
      <c r="AK664" s="214"/>
      <c r="AL664" s="214"/>
      <c r="AM664" s="214"/>
      <c r="AN664" s="68"/>
      <c r="AO664" s="67"/>
      <c r="AP664" s="67"/>
      <c r="AQ664" s="67"/>
      <c r="AR664" s="67"/>
      <c r="AS664" s="67"/>
      <c r="AT664" s="68"/>
      <c r="AU664" s="49"/>
      <c r="AV664" s="50"/>
    </row>
    <row r="665" spans="1:48" ht="12.75" customHeight="1" x14ac:dyDescent="0.25">
      <c r="A665" s="72" t="s">
        <v>4041</v>
      </c>
      <c r="B665" s="43" t="s">
        <v>4042</v>
      </c>
      <c r="C665" s="44" t="s">
        <v>3993</v>
      </c>
      <c r="D665" s="45">
        <f>MROUND(MID($C665,6,3)/Basis!$E$3,0.5)</f>
        <v>94.5</v>
      </c>
      <c r="E665" s="45">
        <f>MROUND(MID($C665,9,3)/Basis!$E$3,0.5)</f>
        <v>12</v>
      </c>
      <c r="F665" s="229" t="str">
        <f t="shared" si="10"/>
        <v>11</v>
      </c>
      <c r="G665" s="45">
        <f>ROUND(5/Basis!$E$3,1)</f>
        <v>2</v>
      </c>
      <c r="H665" s="120">
        <f>ROUND($P665*Basis!$E$2*((TaH-TrH)/LN(1/µ)/Basis!$E$7)^$N665*Glycol,0)</f>
        <v>2097</v>
      </c>
      <c r="I665" s="83">
        <f>ROUND(H665/(MID($C665,9,3)/Basis!$E$3/Basis!$E$9)*Basis!$E$11,0)</f>
        <v>2062</v>
      </c>
      <c r="J665" s="123">
        <f>IF(Basis!$E$1=1,ROUND(H665/((TaH-TrH)*1.163)/3600,3),ROUND(H665/(500*(TaH-TrH)),2))</f>
        <v>0.21</v>
      </c>
      <c r="K665" s="84"/>
      <c r="L665" s="177">
        <f>CHOOSE(Basis!$E$1,((AJ665*(J665*3600/Basis!$E$5)^AK665*(((MID(C665,9,3)*10)-144)/1000)*AL665+AM665*(J665*3600/Basis!$E$5)^2)*0.0098)/Basis!$E$10,((AJ665*(J665/Basis!$E$5)^AK665*(((MID(C665,9,3)*10)-144)/1000)*AL665+AM665*(J665/Basis!$E$5)^2)*0.0098)/Basis!$E$10)</f>
        <v>0</v>
      </c>
      <c r="M665" s="85"/>
      <c r="N665" s="109">
        <v>1.2969999999999999</v>
      </c>
      <c r="O665" s="68"/>
      <c r="P665" s="67">
        <v>943</v>
      </c>
      <c r="Q665" s="68"/>
      <c r="R665" s="69"/>
      <c r="S665" s="69"/>
      <c r="T665" s="69"/>
      <c r="U665" s="69"/>
      <c r="V665" s="69"/>
      <c r="W665" s="68"/>
      <c r="X665" s="70"/>
      <c r="Y665" s="70"/>
      <c r="Z665" s="70"/>
      <c r="AA665" s="70"/>
      <c r="AB665" s="70"/>
      <c r="AC665" s="68"/>
      <c r="AD665" s="71"/>
      <c r="AE665" s="71"/>
      <c r="AF665" s="71"/>
      <c r="AG665" s="71"/>
      <c r="AH665" s="71"/>
      <c r="AI665" s="68"/>
      <c r="AJ665" s="214"/>
      <c r="AK665" s="214"/>
      <c r="AL665" s="214"/>
      <c r="AM665" s="214"/>
      <c r="AN665" s="68"/>
      <c r="AO665" s="67"/>
      <c r="AP665" s="67"/>
      <c r="AQ665" s="67"/>
      <c r="AR665" s="67"/>
      <c r="AS665" s="67"/>
      <c r="AT665" s="68"/>
      <c r="AU665" s="49"/>
      <c r="AV665" s="50"/>
    </row>
    <row r="666" spans="1:48" ht="12.75" customHeight="1" x14ac:dyDescent="0.25">
      <c r="A666" s="72" t="s">
        <v>4041</v>
      </c>
      <c r="B666" s="43" t="s">
        <v>4042</v>
      </c>
      <c r="C666" s="44" t="s">
        <v>3994</v>
      </c>
      <c r="D666" s="45">
        <f>MROUND(MID($C666,6,3)/Basis!$E$3,0.5)</f>
        <v>94.5</v>
      </c>
      <c r="E666" s="45">
        <f>MROUND(MID($C666,9,3)/Basis!$E$3,0.5)</f>
        <v>14.5</v>
      </c>
      <c r="F666" s="229" t="str">
        <f t="shared" si="10"/>
        <v>11</v>
      </c>
      <c r="G666" s="45">
        <f>ROUND(5/Basis!$E$3,1)</f>
        <v>2</v>
      </c>
      <c r="H666" s="120">
        <f>ROUND($P666*Basis!$E$2*((TaH-TrH)/LN(1/µ)/Basis!$E$7)^$N666*Glycol,0)</f>
        <v>2515</v>
      </c>
      <c r="I666" s="83">
        <f>ROUND(H666/(MID($C666,9,3)/Basis!$E$3/Basis!$E$9)*Basis!$E$11,0)</f>
        <v>2072</v>
      </c>
      <c r="J666" s="123">
        <f>IF(Basis!$E$1=1,ROUND(H666/((TaH-TrH)*1.163)/3600,3),ROUND(H666/(500*(TaH-TrH)),2))</f>
        <v>0.25</v>
      </c>
      <c r="K666" s="84"/>
      <c r="L666" s="177">
        <f>CHOOSE(Basis!$E$1,((AJ666*(J666*3600/Basis!$E$5)^AK666*(((MID(C666,9,3)*10)-144)/1000)*AL666+AM666*(J666*3600/Basis!$E$5)^2)*0.0098)/Basis!$E$10,((AJ666*(J666/Basis!$E$5)^AK666*(((MID(C666,9,3)*10)-144)/1000)*AL666+AM666*(J666/Basis!$E$5)^2)*0.0098)/Basis!$E$10)</f>
        <v>0</v>
      </c>
      <c r="M666" s="85"/>
      <c r="N666" s="110">
        <v>1.2969999999999999</v>
      </c>
      <c r="O666" s="74"/>
      <c r="P666" s="73">
        <v>1131</v>
      </c>
      <c r="Q666" s="74"/>
      <c r="R666" s="75"/>
      <c r="S666" s="75"/>
      <c r="T666" s="75"/>
      <c r="U666" s="75"/>
      <c r="V666" s="75"/>
      <c r="W666" s="74"/>
      <c r="X666" s="76"/>
      <c r="Y666" s="76"/>
      <c r="Z666" s="76"/>
      <c r="AA666" s="76"/>
      <c r="AB666" s="76"/>
      <c r="AC666" s="74"/>
      <c r="AD666" s="77"/>
      <c r="AE666" s="77"/>
      <c r="AF666" s="77"/>
      <c r="AG666" s="77"/>
      <c r="AH666" s="77"/>
      <c r="AI666" s="68"/>
      <c r="AJ666" s="213"/>
      <c r="AK666" s="213"/>
      <c r="AL666" s="213"/>
      <c r="AM666" s="213"/>
      <c r="AN666" s="74"/>
      <c r="AO666" s="73"/>
      <c r="AP666" s="73"/>
      <c r="AQ666" s="73"/>
      <c r="AR666" s="73"/>
      <c r="AS666" s="73"/>
      <c r="AT666" s="74"/>
      <c r="AU666" s="47"/>
      <c r="AV666" s="48"/>
    </row>
    <row r="667" spans="1:48" ht="12.75" customHeight="1" x14ac:dyDescent="0.25">
      <c r="A667" s="72" t="s">
        <v>4041</v>
      </c>
      <c r="B667" s="43" t="s">
        <v>4042</v>
      </c>
      <c r="C667" s="44" t="s">
        <v>3995</v>
      </c>
      <c r="D667" s="45">
        <f>MROUND(MID($C667,6,3)/Basis!$E$3,0.5)</f>
        <v>94.5</v>
      </c>
      <c r="E667" s="45">
        <f>MROUND(MID($C667,9,3)/Basis!$E$3,0.5)</f>
        <v>17</v>
      </c>
      <c r="F667" s="229" t="str">
        <f t="shared" si="10"/>
        <v>11</v>
      </c>
      <c r="G667" s="45">
        <f>ROUND(5/Basis!$E$3,1)</f>
        <v>2</v>
      </c>
      <c r="H667" s="120">
        <f>ROUND($P667*Basis!$E$2*((TaH-TrH)/LN(1/µ)/Basis!$E$7)^$N667*Glycol,0)</f>
        <v>2936</v>
      </c>
      <c r="I667" s="83">
        <f>ROUND(H667/(MID($C667,9,3)/Basis!$E$3/Basis!$E$9)*Basis!$E$11,0)</f>
        <v>2081</v>
      </c>
      <c r="J667" s="123">
        <f>IF(Basis!$E$1=1,ROUND(H667/((TaH-TrH)*1.163)/3600,3),ROUND(H667/(500*(TaH-TrH)),2))</f>
        <v>0.28999999999999998</v>
      </c>
      <c r="K667" s="84"/>
      <c r="L667" s="177">
        <f>CHOOSE(Basis!$E$1,((AJ667*(J667*3600/Basis!$E$5)^AK667*(((MID(C667,9,3)*10)-144)/1000)*AL667+AM667*(J667*3600/Basis!$E$5)^2)*0.0098)/Basis!$E$10,((AJ667*(J667/Basis!$E$5)^AK667*(((MID(C667,9,3)*10)-144)/1000)*AL667+AM667*(J667/Basis!$E$5)^2)*0.0098)/Basis!$E$10)</f>
        <v>0</v>
      </c>
      <c r="M667" s="85"/>
      <c r="N667" s="110">
        <v>1.2969999999999999</v>
      </c>
      <c r="O667" s="74"/>
      <c r="P667" s="73">
        <v>1320</v>
      </c>
      <c r="Q667" s="74"/>
      <c r="R667" s="75"/>
      <c r="S667" s="75"/>
      <c r="T667" s="75"/>
      <c r="U667" s="75"/>
      <c r="V667" s="75"/>
      <c r="W667" s="74"/>
      <c r="X667" s="76"/>
      <c r="Y667" s="76"/>
      <c r="Z667" s="76"/>
      <c r="AA667" s="76"/>
      <c r="AB667" s="76"/>
      <c r="AC667" s="74"/>
      <c r="AD667" s="77"/>
      <c r="AE667" s="77"/>
      <c r="AF667" s="77"/>
      <c r="AG667" s="77"/>
      <c r="AH667" s="77"/>
      <c r="AI667" s="68"/>
      <c r="AJ667" s="213"/>
      <c r="AK667" s="213"/>
      <c r="AL667" s="213"/>
      <c r="AM667" s="213"/>
      <c r="AN667" s="74"/>
      <c r="AO667" s="73"/>
      <c r="AP667" s="73"/>
      <c r="AQ667" s="73"/>
      <c r="AR667" s="73"/>
      <c r="AS667" s="73"/>
      <c r="AT667" s="74"/>
      <c r="AU667" s="47"/>
      <c r="AV667" s="48"/>
    </row>
    <row r="668" spans="1:48" ht="12.75" customHeight="1" x14ac:dyDescent="0.25">
      <c r="A668" s="72" t="s">
        <v>4041</v>
      </c>
      <c r="B668" s="43" t="s">
        <v>4042</v>
      </c>
      <c r="C668" s="44" t="s">
        <v>3996</v>
      </c>
      <c r="D668" s="45">
        <f>MROUND(MID($C668,6,3)/Basis!$E$3,0.5)</f>
        <v>94.5</v>
      </c>
      <c r="E668" s="45">
        <f>MROUND(MID($C668,9,3)/Basis!$E$3,0.5)</f>
        <v>19.5</v>
      </c>
      <c r="F668" s="229" t="str">
        <f t="shared" si="10"/>
        <v>11</v>
      </c>
      <c r="G668" s="45">
        <f>ROUND(5/Basis!$E$3,1)</f>
        <v>2</v>
      </c>
      <c r="H668" s="120">
        <f>ROUND($P668*Basis!$E$2*((TaH-TrH)/LN(1/µ)/Basis!$E$7)^$N668*Glycol,0)</f>
        <v>3354</v>
      </c>
      <c r="I668" s="83">
        <f>ROUND(H668/(MID($C668,9,3)/Basis!$E$3/Basis!$E$9)*Basis!$E$11,0)</f>
        <v>2045</v>
      </c>
      <c r="J668" s="123">
        <f>IF(Basis!$E$1=1,ROUND(H668/((TaH-TrH)*1.163)/3600,3),ROUND(H668/(500*(TaH-TrH)),2))</f>
        <v>0.34</v>
      </c>
      <c r="K668" s="84"/>
      <c r="L668" s="177">
        <f>CHOOSE(Basis!$E$1,((AJ668*(J668*3600/Basis!$E$5)^AK668*(((MID(C668,9,3)*10)-144)/1000)*AL668+AM668*(J668*3600/Basis!$E$5)^2)*0.0098)/Basis!$E$10,((AJ668*(J668/Basis!$E$5)^AK668*(((MID(C668,9,3)*10)-144)/1000)*AL668+AM668*(J668/Basis!$E$5)^2)*0.0098)/Basis!$E$10)</f>
        <v>0</v>
      </c>
      <c r="M668" s="85"/>
      <c r="N668" s="109">
        <v>1.2969999999999999</v>
      </c>
      <c r="O668" s="68"/>
      <c r="P668" s="67">
        <v>1508</v>
      </c>
      <c r="Q668" s="68"/>
      <c r="R668" s="69"/>
      <c r="S668" s="69"/>
      <c r="T668" s="69"/>
      <c r="U668" s="69"/>
      <c r="V668" s="69"/>
      <c r="W668" s="68"/>
      <c r="X668" s="70"/>
      <c r="Y668" s="70"/>
      <c r="Z668" s="70"/>
      <c r="AA668" s="70"/>
      <c r="AB668" s="70"/>
      <c r="AC668" s="68"/>
      <c r="AD668" s="71"/>
      <c r="AE668" s="71"/>
      <c r="AF668" s="71"/>
      <c r="AG668" s="71"/>
      <c r="AH668" s="71"/>
      <c r="AI668" s="68"/>
      <c r="AJ668" s="214"/>
      <c r="AK668" s="214"/>
      <c r="AL668" s="214"/>
      <c r="AM668" s="214"/>
      <c r="AN668" s="68"/>
      <c r="AO668" s="67"/>
      <c r="AP668" s="67"/>
      <c r="AQ668" s="67"/>
      <c r="AR668" s="67"/>
      <c r="AS668" s="67"/>
      <c r="AT668" s="68"/>
      <c r="AU668" s="49"/>
      <c r="AV668" s="50"/>
    </row>
    <row r="669" spans="1:48" ht="12.75" customHeight="1" x14ac:dyDescent="0.25">
      <c r="A669" s="72" t="s">
        <v>4041</v>
      </c>
      <c r="B669" s="43" t="s">
        <v>4042</v>
      </c>
      <c r="C669" s="44" t="s">
        <v>3997</v>
      </c>
      <c r="D669" s="45">
        <f>MROUND(MID($C669,6,3)/Basis!$E$3,0.5)</f>
        <v>94.5</v>
      </c>
      <c r="E669" s="45">
        <f>MROUND(MID($C669,9,3)/Basis!$E$3,0.5)</f>
        <v>22</v>
      </c>
      <c r="F669" s="229" t="str">
        <f t="shared" si="10"/>
        <v>11</v>
      </c>
      <c r="G669" s="45">
        <f>ROUND(5/Basis!$E$3,1)</f>
        <v>2</v>
      </c>
      <c r="H669" s="120">
        <f>ROUND($P669*Basis!$E$2*((TaH-TrH)/LN(1/µ)/Basis!$E$7)^$N669*Glycol,0)</f>
        <v>3774</v>
      </c>
      <c r="I669" s="83">
        <f>ROUND(H669/(MID($C669,9,3)/Basis!$E$3/Basis!$E$9)*Basis!$E$11,0)</f>
        <v>2054</v>
      </c>
      <c r="J669" s="123">
        <f>IF(Basis!$E$1=1,ROUND(H669/((TaH-TrH)*1.163)/3600,3),ROUND(H669/(500*(TaH-TrH)),2))</f>
        <v>0.38</v>
      </c>
      <c r="K669" s="84"/>
      <c r="L669" s="177">
        <f>CHOOSE(Basis!$E$1,((AJ669*(J669*3600/Basis!$E$5)^AK669*(((MID(C669,9,3)*10)-144)/1000)*AL669+AM669*(J669*3600/Basis!$E$5)^2)*0.0098)/Basis!$E$10,((AJ669*(J669/Basis!$E$5)^AK669*(((MID(C669,9,3)*10)-144)/1000)*AL669+AM669*(J669/Basis!$E$5)^2)*0.0098)/Basis!$E$10)</f>
        <v>0</v>
      </c>
      <c r="M669" s="85"/>
      <c r="N669" s="109">
        <v>1.2969999999999999</v>
      </c>
      <c r="O669" s="68"/>
      <c r="P669" s="67">
        <v>1697</v>
      </c>
      <c r="Q669" s="68"/>
      <c r="R669" s="69"/>
      <c r="S669" s="69"/>
      <c r="T669" s="69"/>
      <c r="U669" s="69"/>
      <c r="V669" s="69"/>
      <c r="W669" s="68"/>
      <c r="X669" s="70"/>
      <c r="Y669" s="70"/>
      <c r="Z669" s="70"/>
      <c r="AA669" s="70"/>
      <c r="AB669" s="70"/>
      <c r="AC669" s="68"/>
      <c r="AD669" s="71"/>
      <c r="AE669" s="71"/>
      <c r="AF669" s="71"/>
      <c r="AG669" s="71"/>
      <c r="AH669" s="71"/>
      <c r="AI669" s="68"/>
      <c r="AJ669" s="214"/>
      <c r="AK669" s="214"/>
      <c r="AL669" s="214"/>
      <c r="AM669" s="214"/>
      <c r="AN669" s="68"/>
      <c r="AO669" s="67"/>
      <c r="AP669" s="67"/>
      <c r="AQ669" s="67"/>
      <c r="AR669" s="67"/>
      <c r="AS669" s="67"/>
      <c r="AT669" s="68"/>
      <c r="AU669" s="49"/>
      <c r="AV669" s="50"/>
    </row>
    <row r="670" spans="1:48" ht="12.75" customHeight="1" x14ac:dyDescent="0.25">
      <c r="A670" s="72" t="s">
        <v>4041</v>
      </c>
      <c r="B670" s="43" t="s">
        <v>4042</v>
      </c>
      <c r="C670" s="44" t="s">
        <v>3998</v>
      </c>
      <c r="D670" s="45">
        <f>MROUND(MID($C670,6,3)/Basis!$E$3,0.5)</f>
        <v>94.5</v>
      </c>
      <c r="E670" s="45">
        <f>MROUND(MID($C670,9,3)/Basis!$E$3,0.5)</f>
        <v>24.5</v>
      </c>
      <c r="F670" s="229" t="str">
        <f t="shared" si="10"/>
        <v>11</v>
      </c>
      <c r="G670" s="45">
        <f>ROUND(5/Basis!$E$3,1)</f>
        <v>2</v>
      </c>
      <c r="H670" s="120">
        <f>ROUND($P670*Basis!$E$2*((TaH-TrH)/LN(1/µ)/Basis!$E$7)^$N670*Glycol,0)</f>
        <v>4192</v>
      </c>
      <c r="I670" s="83">
        <f>ROUND(H670/(MID($C670,9,3)/Basis!$E$3/Basis!$E$9)*Basis!$E$11,0)</f>
        <v>2061</v>
      </c>
      <c r="J670" s="123">
        <f>IF(Basis!$E$1=1,ROUND(H670/((TaH-TrH)*1.163)/3600,3),ROUND(H670/(500*(TaH-TrH)),2))</f>
        <v>0.42</v>
      </c>
      <c r="K670" s="84"/>
      <c r="L670" s="177">
        <f>CHOOSE(Basis!$E$1,((AJ670*(J670*3600/Basis!$E$5)^AK670*(((MID(C670,9,3)*10)-144)/1000)*AL670+AM670*(J670*3600/Basis!$E$5)^2)*0.0098)/Basis!$E$10,((AJ670*(J670/Basis!$E$5)^AK670*(((MID(C670,9,3)*10)-144)/1000)*AL670+AM670*(J670/Basis!$E$5)^2)*0.0098)/Basis!$E$10)</f>
        <v>0</v>
      </c>
      <c r="M670" s="85"/>
      <c r="N670" s="110">
        <v>1.2969999999999999</v>
      </c>
      <c r="O670" s="74"/>
      <c r="P670" s="73">
        <v>1885</v>
      </c>
      <c r="Q670" s="74"/>
      <c r="R670" s="75"/>
      <c r="S670" s="75"/>
      <c r="T670" s="75"/>
      <c r="U670" s="75"/>
      <c r="V670" s="75"/>
      <c r="W670" s="74"/>
      <c r="X670" s="76"/>
      <c r="Y670" s="76"/>
      <c r="Z670" s="76"/>
      <c r="AA670" s="76"/>
      <c r="AB670" s="76"/>
      <c r="AC670" s="74"/>
      <c r="AD670" s="77"/>
      <c r="AE670" s="77"/>
      <c r="AF670" s="77"/>
      <c r="AG670" s="77"/>
      <c r="AH670" s="77"/>
      <c r="AI670" s="68"/>
      <c r="AJ670" s="213"/>
      <c r="AK670" s="213"/>
      <c r="AL670" s="213"/>
      <c r="AM670" s="213"/>
      <c r="AN670" s="74"/>
      <c r="AO670" s="73"/>
      <c r="AP670" s="73"/>
      <c r="AQ670" s="73"/>
      <c r="AR670" s="73"/>
      <c r="AS670" s="73"/>
      <c r="AT670" s="74"/>
      <c r="AU670" s="47"/>
      <c r="AV670" s="48"/>
    </row>
    <row r="671" spans="1:48" ht="12.75" customHeight="1" x14ac:dyDescent="0.25">
      <c r="A671" s="72" t="s">
        <v>4041</v>
      </c>
      <c r="B671" s="43" t="s">
        <v>4042</v>
      </c>
      <c r="C671" s="44" t="s">
        <v>3999</v>
      </c>
      <c r="D671" s="45">
        <f>MROUND(MID($C671,6,3)/Basis!$E$3,0.5)</f>
        <v>94.5</v>
      </c>
      <c r="E671" s="45">
        <f>MROUND(MID($C671,9,3)/Basis!$E$3,0.5)</f>
        <v>27</v>
      </c>
      <c r="F671" s="229" t="str">
        <f t="shared" si="10"/>
        <v>11</v>
      </c>
      <c r="G671" s="45">
        <f>ROUND(5/Basis!$E$3,1)</f>
        <v>2</v>
      </c>
      <c r="H671" s="120">
        <f>ROUND($P671*Basis!$E$2*((TaH-TrH)/LN(1/µ)/Basis!$E$7)^$N671*Glycol,0)</f>
        <v>4612</v>
      </c>
      <c r="I671" s="83">
        <f>ROUND(H671/(MID($C671,9,3)/Basis!$E$3/Basis!$E$9)*Basis!$E$11,0)</f>
        <v>2037</v>
      </c>
      <c r="J671" s="123">
        <f>IF(Basis!$E$1=1,ROUND(H671/((TaH-TrH)*1.163)/3600,3),ROUND(H671/(500*(TaH-TrH)),2))</f>
        <v>0.46</v>
      </c>
      <c r="K671" s="84"/>
      <c r="L671" s="177">
        <f>CHOOSE(Basis!$E$1,((AJ671*(J671*3600/Basis!$E$5)^AK671*(((MID(C671,9,3)*10)-144)/1000)*AL671+AM671*(J671*3600/Basis!$E$5)^2)*0.0098)/Basis!$E$10,((AJ671*(J671/Basis!$E$5)^AK671*(((MID(C671,9,3)*10)-144)/1000)*AL671+AM671*(J671/Basis!$E$5)^2)*0.0098)/Basis!$E$10)</f>
        <v>0</v>
      </c>
      <c r="M671" s="85"/>
      <c r="N671" s="110">
        <v>1.2969999999999999</v>
      </c>
      <c r="O671" s="74"/>
      <c r="P671" s="73">
        <v>2074</v>
      </c>
      <c r="Q671" s="74"/>
      <c r="R671" s="75"/>
      <c r="S671" s="75"/>
      <c r="T671" s="75"/>
      <c r="U671" s="75"/>
      <c r="V671" s="75"/>
      <c r="W671" s="74"/>
      <c r="X671" s="76"/>
      <c r="Y671" s="76"/>
      <c r="Z671" s="76"/>
      <c r="AA671" s="76"/>
      <c r="AB671" s="76"/>
      <c r="AC671" s="74"/>
      <c r="AD671" s="77"/>
      <c r="AE671" s="77"/>
      <c r="AF671" s="77"/>
      <c r="AG671" s="77"/>
      <c r="AH671" s="77"/>
      <c r="AI671" s="68"/>
      <c r="AJ671" s="213"/>
      <c r="AK671" s="213"/>
      <c r="AL671" s="213"/>
      <c r="AM671" s="213"/>
      <c r="AN671" s="74"/>
      <c r="AO671" s="73"/>
      <c r="AP671" s="73"/>
      <c r="AQ671" s="73"/>
      <c r="AR671" s="73"/>
      <c r="AS671" s="73"/>
      <c r="AT671" s="74"/>
      <c r="AU671" s="47"/>
      <c r="AV671" s="48"/>
    </row>
    <row r="672" spans="1:48" ht="12.75" customHeight="1" x14ac:dyDescent="0.25">
      <c r="A672" s="72" t="s">
        <v>4041</v>
      </c>
      <c r="B672" s="43" t="s">
        <v>4042</v>
      </c>
      <c r="C672" s="44" t="s">
        <v>4000</v>
      </c>
      <c r="D672" s="45">
        <f>MROUND(MID($C672,6,3)/Basis!$E$3,0.5)</f>
        <v>94.5</v>
      </c>
      <c r="E672" s="45">
        <f>MROUND(MID($C672,9,3)/Basis!$E$3,0.5)</f>
        <v>29.5</v>
      </c>
      <c r="F672" s="229" t="str">
        <f t="shared" si="10"/>
        <v>11</v>
      </c>
      <c r="G672" s="45">
        <f>ROUND(5/Basis!$E$3,1)</f>
        <v>2</v>
      </c>
      <c r="H672" s="120">
        <f>ROUND($P672*Basis!$E$2*((TaH-TrH)/LN(1/µ)/Basis!$E$7)^$N672*Glycol,0)</f>
        <v>5031</v>
      </c>
      <c r="I672" s="83">
        <f>ROUND(H672/(MID($C672,9,3)/Basis!$E$3/Basis!$E$9)*Basis!$E$11,0)</f>
        <v>2045</v>
      </c>
      <c r="J672" s="123">
        <f>IF(Basis!$E$1=1,ROUND(H672/((TaH-TrH)*1.163)/3600,3),ROUND(H672/(500*(TaH-TrH)),2))</f>
        <v>0.5</v>
      </c>
      <c r="K672" s="84"/>
      <c r="L672" s="177">
        <f>CHOOSE(Basis!$E$1,((AJ672*(J672*3600/Basis!$E$5)^AK672*(((MID(C672,9,3)*10)-144)/1000)*AL672+AM672*(J672*3600/Basis!$E$5)^2)*0.0098)/Basis!$E$10,((AJ672*(J672/Basis!$E$5)^AK672*(((MID(C672,9,3)*10)-144)/1000)*AL672+AM672*(J672/Basis!$E$5)^2)*0.0098)/Basis!$E$10)</f>
        <v>0</v>
      </c>
      <c r="M672" s="85"/>
      <c r="N672" s="109">
        <v>1.2969999999999999</v>
      </c>
      <c r="O672" s="68"/>
      <c r="P672" s="67">
        <v>2262</v>
      </c>
      <c r="Q672" s="68"/>
      <c r="R672" s="69"/>
      <c r="S672" s="69"/>
      <c r="T672" s="69"/>
      <c r="U672" s="69"/>
      <c r="V672" s="69"/>
      <c r="W672" s="68"/>
      <c r="X672" s="70"/>
      <c r="Y672" s="70"/>
      <c r="Z672" s="70"/>
      <c r="AA672" s="70"/>
      <c r="AB672" s="70"/>
      <c r="AC672" s="68"/>
      <c r="AD672" s="71"/>
      <c r="AE672" s="71"/>
      <c r="AF672" s="71"/>
      <c r="AG672" s="71"/>
      <c r="AH672" s="71"/>
      <c r="AI672" s="68"/>
      <c r="AJ672" s="214"/>
      <c r="AK672" s="214"/>
      <c r="AL672" s="214"/>
      <c r="AM672" s="214"/>
      <c r="AN672" s="68"/>
      <c r="AO672" s="67"/>
      <c r="AP672" s="67"/>
      <c r="AQ672" s="67"/>
      <c r="AR672" s="67"/>
      <c r="AS672" s="67"/>
      <c r="AT672" s="68"/>
      <c r="AU672" s="49"/>
      <c r="AV672" s="50"/>
    </row>
    <row r="673" spans="1:48" ht="12.75" customHeight="1" x14ac:dyDescent="0.25">
      <c r="A673" s="72" t="s">
        <v>4041</v>
      </c>
      <c r="B673" s="43" t="s">
        <v>4042</v>
      </c>
      <c r="C673" s="44" t="s">
        <v>4001</v>
      </c>
      <c r="D673" s="45">
        <f>MROUND(MID($C673,6,3)/Basis!$E$3,0.5)</f>
        <v>94.5</v>
      </c>
      <c r="E673" s="45">
        <f>MROUND(MID($C673,9,3)/Basis!$E$3,0.5)</f>
        <v>32</v>
      </c>
      <c r="F673" s="229" t="str">
        <f t="shared" si="10"/>
        <v>11</v>
      </c>
      <c r="G673" s="45">
        <f>ROUND(5/Basis!$E$3,1)</f>
        <v>2</v>
      </c>
      <c r="H673" s="120">
        <f>ROUND($P673*Basis!$E$2*((TaH-TrH)/LN(1/µ)/Basis!$E$7)^$N673*Glycol,0)</f>
        <v>5451</v>
      </c>
      <c r="I673" s="83">
        <f>ROUND(H673/(MID($C673,9,3)/Basis!$E$3/Basis!$E$9)*Basis!$E$11,0)</f>
        <v>2051</v>
      </c>
      <c r="J673" s="123">
        <f>IF(Basis!$E$1=1,ROUND(H673/((TaH-TrH)*1.163)/3600,3),ROUND(H673/(500*(TaH-TrH)),2))</f>
        <v>0.55000000000000004</v>
      </c>
      <c r="K673" s="84"/>
      <c r="L673" s="177">
        <f>CHOOSE(Basis!$E$1,((AJ673*(J673*3600/Basis!$E$5)^AK673*(((MID(C673,9,3)*10)-144)/1000)*AL673+AM673*(J673*3600/Basis!$E$5)^2)*0.0098)/Basis!$E$10,((AJ673*(J673/Basis!$E$5)^AK673*(((MID(C673,9,3)*10)-144)/1000)*AL673+AM673*(J673/Basis!$E$5)^2)*0.0098)/Basis!$E$10)</f>
        <v>0</v>
      </c>
      <c r="M673" s="85"/>
      <c r="N673" s="109">
        <v>1.2969999999999999</v>
      </c>
      <c r="O673" s="68"/>
      <c r="P673" s="67">
        <v>2451</v>
      </c>
      <c r="Q673" s="68"/>
      <c r="R673" s="69"/>
      <c r="S673" s="69"/>
      <c r="T673" s="69"/>
      <c r="U673" s="69"/>
      <c r="V673" s="69"/>
      <c r="W673" s="68"/>
      <c r="X673" s="70"/>
      <c r="Y673" s="70"/>
      <c r="Z673" s="70"/>
      <c r="AA673" s="70"/>
      <c r="AB673" s="70"/>
      <c r="AC673" s="68"/>
      <c r="AD673" s="71"/>
      <c r="AE673" s="71"/>
      <c r="AF673" s="71"/>
      <c r="AG673" s="71"/>
      <c r="AH673" s="71"/>
      <c r="AI673" s="68"/>
      <c r="AJ673" s="214"/>
      <c r="AK673" s="214"/>
      <c r="AL673" s="214"/>
      <c r="AM673" s="214"/>
      <c r="AN673" s="68"/>
      <c r="AO673" s="67"/>
      <c r="AP673" s="67"/>
      <c r="AQ673" s="67"/>
      <c r="AR673" s="67"/>
      <c r="AS673" s="67"/>
      <c r="AT673" s="68"/>
      <c r="AU673" s="49"/>
      <c r="AV673" s="50"/>
    </row>
    <row r="674" spans="1:48" ht="12.75" customHeight="1" x14ac:dyDescent="0.25">
      <c r="A674" s="72" t="s">
        <v>4041</v>
      </c>
      <c r="B674" s="43" t="s">
        <v>4042</v>
      </c>
      <c r="C674" s="44" t="s">
        <v>4002</v>
      </c>
      <c r="D674" s="45">
        <f>MROUND(MID($C674,6,3)/Basis!$E$3,0.5)</f>
        <v>94.5</v>
      </c>
      <c r="E674" s="45">
        <f>MROUND(MID($C674,9,3)/Basis!$E$3,0.5)</f>
        <v>34.5</v>
      </c>
      <c r="F674" s="229" t="str">
        <f t="shared" si="10"/>
        <v>11</v>
      </c>
      <c r="G674" s="45">
        <f>ROUND(5/Basis!$E$3,1)</f>
        <v>2</v>
      </c>
      <c r="H674" s="120">
        <f>ROUND($P674*Basis!$E$2*((TaH-TrH)/LN(1/µ)/Basis!$E$7)^$N674*Glycol,0)</f>
        <v>5869</v>
      </c>
      <c r="I674" s="83">
        <f>ROUND(H674/(MID($C674,9,3)/Basis!$E$3/Basis!$E$9)*Basis!$E$11,0)</f>
        <v>2056</v>
      </c>
      <c r="J674" s="123">
        <f>IF(Basis!$E$1=1,ROUND(H674/((TaH-TrH)*1.163)/3600,3),ROUND(H674/(500*(TaH-TrH)),2))</f>
        <v>0.59</v>
      </c>
      <c r="K674" s="84"/>
      <c r="L674" s="177">
        <f>CHOOSE(Basis!$E$1,((AJ674*(J674*3600/Basis!$E$5)^AK674*(((MID(C674,9,3)*10)-144)/1000)*AL674+AM674*(J674*3600/Basis!$E$5)^2)*0.0098)/Basis!$E$10,((AJ674*(J674/Basis!$E$5)^AK674*(((MID(C674,9,3)*10)-144)/1000)*AL674+AM674*(J674/Basis!$E$5)^2)*0.0098)/Basis!$E$10)</f>
        <v>0</v>
      </c>
      <c r="M674" s="85"/>
      <c r="N674" s="110">
        <v>1.2969999999999999</v>
      </c>
      <c r="O674" s="74"/>
      <c r="P674" s="73">
        <v>2639</v>
      </c>
      <c r="Q674" s="74"/>
      <c r="R674" s="75"/>
      <c r="S674" s="75"/>
      <c r="T674" s="75"/>
      <c r="U674" s="75"/>
      <c r="V674" s="75"/>
      <c r="W674" s="74"/>
      <c r="X674" s="76"/>
      <c r="Y674" s="76"/>
      <c r="Z674" s="76"/>
      <c r="AA674" s="76"/>
      <c r="AB674" s="76"/>
      <c r="AC674" s="74"/>
      <c r="AD674" s="77"/>
      <c r="AE674" s="77"/>
      <c r="AF674" s="77"/>
      <c r="AG674" s="77"/>
      <c r="AH674" s="77"/>
      <c r="AI674" s="68"/>
      <c r="AJ674" s="213"/>
      <c r="AK674" s="213"/>
      <c r="AL674" s="213"/>
      <c r="AM674" s="213"/>
      <c r="AN674" s="74"/>
      <c r="AO674" s="73"/>
      <c r="AP674" s="73"/>
      <c r="AQ674" s="73"/>
      <c r="AR674" s="73"/>
      <c r="AS674" s="73"/>
      <c r="AT674" s="74"/>
      <c r="AU674" s="47"/>
      <c r="AV674" s="48"/>
    </row>
    <row r="675" spans="1:48" ht="12.75" customHeight="1" x14ac:dyDescent="0.25">
      <c r="A675" s="72" t="s">
        <v>4041</v>
      </c>
      <c r="B675" s="43" t="s">
        <v>4042</v>
      </c>
      <c r="C675" s="44" t="s">
        <v>4003</v>
      </c>
      <c r="D675" s="45">
        <f>MROUND(MID($C675,6,3)/Basis!$E$3,0.5)</f>
        <v>94.5</v>
      </c>
      <c r="E675" s="45">
        <f>MROUND(MID($C675,9,3)/Basis!$E$3,0.5)</f>
        <v>37</v>
      </c>
      <c r="F675" s="229" t="str">
        <f t="shared" si="10"/>
        <v>11</v>
      </c>
      <c r="G675" s="45">
        <f>ROUND(5/Basis!$E$3,1)</f>
        <v>2</v>
      </c>
      <c r="H675" s="120">
        <f>ROUND($P675*Basis!$E$2*((TaH-TrH)/LN(1/µ)/Basis!$E$7)^$N675*Glycol,0)</f>
        <v>6289</v>
      </c>
      <c r="I675" s="83">
        <f>ROUND(H675/(MID($C675,9,3)/Basis!$E$3/Basis!$E$9)*Basis!$E$11,0)</f>
        <v>2039</v>
      </c>
      <c r="J675" s="123">
        <f>IF(Basis!$E$1=1,ROUND(H675/((TaH-TrH)*1.163)/3600,3),ROUND(H675/(500*(TaH-TrH)),2))</f>
        <v>0.63</v>
      </c>
      <c r="K675" s="84"/>
      <c r="L675" s="177">
        <f>CHOOSE(Basis!$E$1,((AJ675*(J675*3600/Basis!$E$5)^AK675*(((MID(C675,9,3)*10)-144)/1000)*AL675+AM675*(J675*3600/Basis!$E$5)^2)*0.0098)/Basis!$E$10,((AJ675*(J675/Basis!$E$5)^AK675*(((MID(C675,9,3)*10)-144)/1000)*AL675+AM675*(J675/Basis!$E$5)^2)*0.0098)/Basis!$E$10)</f>
        <v>0</v>
      </c>
      <c r="M675" s="85"/>
      <c r="N675" s="110">
        <v>1.2969999999999999</v>
      </c>
      <c r="O675" s="74"/>
      <c r="P675" s="73">
        <v>2828</v>
      </c>
      <c r="Q675" s="74"/>
      <c r="R675" s="75"/>
      <c r="S675" s="75"/>
      <c r="T675" s="75"/>
      <c r="U675" s="75"/>
      <c r="V675" s="75"/>
      <c r="W675" s="74"/>
      <c r="X675" s="76"/>
      <c r="Y675" s="76"/>
      <c r="Z675" s="76"/>
      <c r="AA675" s="76"/>
      <c r="AB675" s="76"/>
      <c r="AC675" s="74"/>
      <c r="AD675" s="77"/>
      <c r="AE675" s="77"/>
      <c r="AF675" s="77"/>
      <c r="AG675" s="77"/>
      <c r="AH675" s="77"/>
      <c r="AI675" s="68"/>
      <c r="AJ675" s="213"/>
      <c r="AK675" s="213"/>
      <c r="AL675" s="213"/>
      <c r="AM675" s="213"/>
      <c r="AN675" s="74"/>
      <c r="AO675" s="73"/>
      <c r="AP675" s="73"/>
      <c r="AQ675" s="73"/>
      <c r="AR675" s="73"/>
      <c r="AS675" s="73"/>
      <c r="AT675" s="74"/>
      <c r="AU675" s="47"/>
      <c r="AV675" s="48"/>
    </row>
    <row r="676" spans="1:48" ht="12.75" customHeight="1" x14ac:dyDescent="0.25">
      <c r="A676" s="72" t="s">
        <v>4041</v>
      </c>
      <c r="B676" s="43" t="s">
        <v>4042</v>
      </c>
      <c r="C676" s="44" t="s">
        <v>4004</v>
      </c>
      <c r="D676" s="45">
        <f>MROUND(MID($C676,6,3)/Basis!$E$3,0.5)</f>
        <v>102.5</v>
      </c>
      <c r="E676" s="45">
        <f>MROUND(MID($C676,9,3)/Basis!$E$3,0.5)</f>
        <v>9.5</v>
      </c>
      <c r="F676" s="229" t="str">
        <f t="shared" si="10"/>
        <v>11</v>
      </c>
      <c r="G676" s="45">
        <f>ROUND(5/Basis!$E$3,1)</f>
        <v>2</v>
      </c>
      <c r="H676" s="120">
        <f>ROUND($P676*Basis!$E$2*((TaH-TrH)/LN(1/µ)/Basis!$E$7)^$N676*Glycol,0)</f>
        <v>1796</v>
      </c>
      <c r="I676" s="83">
        <f>ROUND(H676/(MID($C676,9,3)/Basis!$E$3/Basis!$E$9)*Basis!$E$11,0)</f>
        <v>2281</v>
      </c>
      <c r="J676" s="123">
        <f>IF(Basis!$E$1=1,ROUND(H676/((TaH-TrH)*1.163)/3600,3),ROUND(H676/(500*(TaH-TrH)),2))</f>
        <v>0.18</v>
      </c>
      <c r="K676" s="84"/>
      <c r="L676" s="177">
        <f>CHOOSE(Basis!$E$1,((AJ676*(J676*3600/Basis!$E$5)^AK676*(((MID(C676,9,3)*10)-144)/1000)*AL676+AM676*(J676*3600/Basis!$E$5)^2)*0.0098)/Basis!$E$10,((AJ676*(J676/Basis!$E$5)^AK676*(((MID(C676,9,3)*10)-144)/1000)*AL676+AM676*(J676/Basis!$E$5)^2)*0.0098)/Basis!$E$10)</f>
        <v>0</v>
      </c>
      <c r="M676" s="85"/>
      <c r="N676" s="109">
        <v>1.2869999999999999</v>
      </c>
      <c r="O676" s="68"/>
      <c r="P676" s="67">
        <v>805</v>
      </c>
      <c r="Q676" s="68"/>
      <c r="R676" s="69"/>
      <c r="S676" s="69"/>
      <c r="T676" s="69"/>
      <c r="U676" s="69"/>
      <c r="V676" s="69"/>
      <c r="W676" s="68"/>
      <c r="X676" s="70"/>
      <c r="Y676" s="70"/>
      <c r="Z676" s="70"/>
      <c r="AA676" s="70"/>
      <c r="AB676" s="70"/>
      <c r="AC676" s="68"/>
      <c r="AD676" s="71"/>
      <c r="AE676" s="71"/>
      <c r="AF676" s="71"/>
      <c r="AG676" s="71"/>
      <c r="AH676" s="71"/>
      <c r="AI676" s="68"/>
      <c r="AJ676" s="214"/>
      <c r="AK676" s="214"/>
      <c r="AL676" s="214"/>
      <c r="AM676" s="214"/>
      <c r="AN676" s="68"/>
      <c r="AO676" s="67"/>
      <c r="AP676" s="67"/>
      <c r="AQ676" s="67"/>
      <c r="AR676" s="67"/>
      <c r="AS676" s="67"/>
      <c r="AT676" s="68"/>
      <c r="AU676" s="49"/>
      <c r="AV676" s="50"/>
    </row>
    <row r="677" spans="1:48" ht="12.75" customHeight="1" x14ac:dyDescent="0.25">
      <c r="A677" s="72" t="s">
        <v>4041</v>
      </c>
      <c r="B677" s="43" t="s">
        <v>4042</v>
      </c>
      <c r="C677" s="44" t="s">
        <v>4005</v>
      </c>
      <c r="D677" s="45">
        <f>MROUND(MID($C677,6,3)/Basis!$E$3,0.5)</f>
        <v>102.5</v>
      </c>
      <c r="E677" s="45">
        <f>MROUND(MID($C677,9,3)/Basis!$E$3,0.5)</f>
        <v>12</v>
      </c>
      <c r="F677" s="229" t="str">
        <f t="shared" si="10"/>
        <v>11</v>
      </c>
      <c r="G677" s="45">
        <f>ROUND(5/Basis!$E$3,1)</f>
        <v>2</v>
      </c>
      <c r="H677" s="120">
        <f>ROUND($P677*Basis!$E$2*((TaH-TrH)/LN(1/µ)/Basis!$E$7)^$N677*Glycol,0)</f>
        <v>2245</v>
      </c>
      <c r="I677" s="83">
        <f>ROUND(H677/(MID($C677,9,3)/Basis!$E$3/Basis!$E$9)*Basis!$E$11,0)</f>
        <v>2207</v>
      </c>
      <c r="J677" s="123">
        <f>IF(Basis!$E$1=1,ROUND(H677/((TaH-TrH)*1.163)/3600,3),ROUND(H677/(500*(TaH-TrH)),2))</f>
        <v>0.22</v>
      </c>
      <c r="K677" s="84"/>
      <c r="L677" s="177">
        <f>CHOOSE(Basis!$E$1,((AJ677*(J677*3600/Basis!$E$5)^AK677*(((MID(C677,9,3)*10)-144)/1000)*AL677+AM677*(J677*3600/Basis!$E$5)^2)*0.0098)/Basis!$E$10,((AJ677*(J677/Basis!$E$5)^AK677*(((MID(C677,9,3)*10)-144)/1000)*AL677+AM677*(J677/Basis!$E$5)^2)*0.0098)/Basis!$E$10)</f>
        <v>0</v>
      </c>
      <c r="M677" s="85"/>
      <c r="N677" s="109">
        <v>1.2869999999999999</v>
      </c>
      <c r="O677" s="68"/>
      <c r="P677" s="67">
        <v>1006</v>
      </c>
      <c r="Q677" s="68"/>
      <c r="R677" s="69"/>
      <c r="S677" s="69"/>
      <c r="T677" s="69"/>
      <c r="U677" s="69"/>
      <c r="V677" s="69"/>
      <c r="W677" s="68"/>
      <c r="X677" s="70"/>
      <c r="Y677" s="70"/>
      <c r="Z677" s="70"/>
      <c r="AA677" s="70"/>
      <c r="AB677" s="70"/>
      <c r="AC677" s="68"/>
      <c r="AD677" s="71"/>
      <c r="AE677" s="71"/>
      <c r="AF677" s="71"/>
      <c r="AG677" s="71"/>
      <c r="AH677" s="71"/>
      <c r="AI677" s="68"/>
      <c r="AJ677" s="214"/>
      <c r="AK677" s="214"/>
      <c r="AL677" s="214"/>
      <c r="AM677" s="214"/>
      <c r="AN677" s="68"/>
      <c r="AO677" s="67"/>
      <c r="AP677" s="67"/>
      <c r="AQ677" s="67"/>
      <c r="AR677" s="67"/>
      <c r="AS677" s="67"/>
      <c r="AT677" s="68"/>
      <c r="AU677" s="49"/>
      <c r="AV677" s="50"/>
    </row>
    <row r="678" spans="1:48" ht="12.75" customHeight="1" x14ac:dyDescent="0.25">
      <c r="A678" s="72" t="s">
        <v>4041</v>
      </c>
      <c r="B678" s="43" t="s">
        <v>4042</v>
      </c>
      <c r="C678" s="44" t="s">
        <v>4006</v>
      </c>
      <c r="D678" s="45">
        <f>MROUND(MID($C678,6,3)/Basis!$E$3,0.5)</f>
        <v>102.5</v>
      </c>
      <c r="E678" s="45">
        <f>MROUND(MID($C678,9,3)/Basis!$E$3,0.5)</f>
        <v>14.5</v>
      </c>
      <c r="F678" s="229" t="str">
        <f t="shared" si="10"/>
        <v>11</v>
      </c>
      <c r="G678" s="45">
        <f>ROUND(5/Basis!$E$3,1)</f>
        <v>2</v>
      </c>
      <c r="H678" s="120">
        <f>ROUND($P678*Basis!$E$2*((TaH-TrH)/LN(1/µ)/Basis!$E$7)^$N678*Glycol,0)</f>
        <v>2693</v>
      </c>
      <c r="I678" s="83">
        <f>ROUND(H678/(MID($C678,9,3)/Basis!$E$3/Basis!$E$9)*Basis!$E$11,0)</f>
        <v>2218</v>
      </c>
      <c r="J678" s="123">
        <f>IF(Basis!$E$1=1,ROUND(H678/((TaH-TrH)*1.163)/3600,3),ROUND(H678/(500*(TaH-TrH)),2))</f>
        <v>0.27</v>
      </c>
      <c r="K678" s="84"/>
      <c r="L678" s="177">
        <f>CHOOSE(Basis!$E$1,((AJ678*(J678*3600/Basis!$E$5)^AK678*(((MID(C678,9,3)*10)-144)/1000)*AL678+AM678*(J678*3600/Basis!$E$5)^2)*0.0098)/Basis!$E$10,((AJ678*(J678/Basis!$E$5)^AK678*(((MID(C678,9,3)*10)-144)/1000)*AL678+AM678*(J678/Basis!$E$5)^2)*0.0098)/Basis!$E$10)</f>
        <v>0</v>
      </c>
      <c r="M678" s="85"/>
      <c r="N678" s="110">
        <v>1.2869999999999999</v>
      </c>
      <c r="O678" s="74"/>
      <c r="P678" s="73">
        <v>1207</v>
      </c>
      <c r="Q678" s="74"/>
      <c r="R678" s="75"/>
      <c r="S678" s="75"/>
      <c r="T678" s="75"/>
      <c r="U678" s="75"/>
      <c r="V678" s="75"/>
      <c r="W678" s="74"/>
      <c r="X678" s="76"/>
      <c r="Y678" s="76"/>
      <c r="Z678" s="76"/>
      <c r="AA678" s="76"/>
      <c r="AB678" s="76"/>
      <c r="AC678" s="74"/>
      <c r="AD678" s="77"/>
      <c r="AE678" s="77"/>
      <c r="AF678" s="77"/>
      <c r="AG678" s="77"/>
      <c r="AH678" s="77"/>
      <c r="AI678" s="68"/>
      <c r="AJ678" s="213"/>
      <c r="AK678" s="213"/>
      <c r="AL678" s="213"/>
      <c r="AM678" s="213"/>
      <c r="AN678" s="74"/>
      <c r="AO678" s="73"/>
      <c r="AP678" s="73"/>
      <c r="AQ678" s="73"/>
      <c r="AR678" s="73"/>
      <c r="AS678" s="73"/>
      <c r="AT678" s="74"/>
      <c r="AU678" s="47"/>
      <c r="AV678" s="48"/>
    </row>
    <row r="679" spans="1:48" ht="12.75" customHeight="1" x14ac:dyDescent="0.25">
      <c r="A679" s="72" t="s">
        <v>4041</v>
      </c>
      <c r="B679" s="43" t="s">
        <v>4042</v>
      </c>
      <c r="C679" s="44" t="s">
        <v>4007</v>
      </c>
      <c r="D679" s="45">
        <f>MROUND(MID($C679,6,3)/Basis!$E$3,0.5)</f>
        <v>102.5</v>
      </c>
      <c r="E679" s="45">
        <f>MROUND(MID($C679,9,3)/Basis!$E$3,0.5)</f>
        <v>17</v>
      </c>
      <c r="F679" s="229" t="str">
        <f t="shared" si="10"/>
        <v>11</v>
      </c>
      <c r="G679" s="45">
        <f>ROUND(5/Basis!$E$3,1)</f>
        <v>2</v>
      </c>
      <c r="H679" s="120">
        <f>ROUND($P679*Basis!$E$2*((TaH-TrH)/LN(1/µ)/Basis!$E$7)^$N679*Glycol,0)</f>
        <v>3142</v>
      </c>
      <c r="I679" s="83">
        <f>ROUND(H679/(MID($C679,9,3)/Basis!$E$3/Basis!$E$9)*Basis!$E$11,0)</f>
        <v>2227</v>
      </c>
      <c r="J679" s="123">
        <f>IF(Basis!$E$1=1,ROUND(H679/((TaH-TrH)*1.163)/3600,3),ROUND(H679/(500*(TaH-TrH)),2))</f>
        <v>0.31</v>
      </c>
      <c r="K679" s="84"/>
      <c r="L679" s="177">
        <f>CHOOSE(Basis!$E$1,((AJ679*(J679*3600/Basis!$E$5)^AK679*(((MID(C679,9,3)*10)-144)/1000)*AL679+AM679*(J679*3600/Basis!$E$5)^2)*0.0098)/Basis!$E$10,((AJ679*(J679/Basis!$E$5)^AK679*(((MID(C679,9,3)*10)-144)/1000)*AL679+AM679*(J679/Basis!$E$5)^2)*0.0098)/Basis!$E$10)</f>
        <v>0</v>
      </c>
      <c r="M679" s="85"/>
      <c r="N679" s="110">
        <v>1.2869999999999999</v>
      </c>
      <c r="O679" s="74"/>
      <c r="P679" s="73">
        <v>1408</v>
      </c>
      <c r="Q679" s="74"/>
      <c r="R679" s="75"/>
      <c r="S679" s="75"/>
      <c r="T679" s="75"/>
      <c r="U679" s="75"/>
      <c r="V679" s="75"/>
      <c r="W679" s="74"/>
      <c r="X679" s="76"/>
      <c r="Y679" s="76"/>
      <c r="Z679" s="76"/>
      <c r="AA679" s="76"/>
      <c r="AB679" s="76"/>
      <c r="AC679" s="74"/>
      <c r="AD679" s="77"/>
      <c r="AE679" s="77"/>
      <c r="AF679" s="77"/>
      <c r="AG679" s="77"/>
      <c r="AH679" s="77"/>
      <c r="AI679" s="68"/>
      <c r="AJ679" s="213"/>
      <c r="AK679" s="213"/>
      <c r="AL679" s="213"/>
      <c r="AM679" s="213"/>
      <c r="AN679" s="74"/>
      <c r="AO679" s="73"/>
      <c r="AP679" s="73"/>
      <c r="AQ679" s="73"/>
      <c r="AR679" s="73"/>
      <c r="AS679" s="73"/>
      <c r="AT679" s="74"/>
      <c r="AU679" s="47"/>
      <c r="AV679" s="48"/>
    </row>
    <row r="680" spans="1:48" ht="12.75" customHeight="1" x14ac:dyDescent="0.25">
      <c r="A680" s="72" t="s">
        <v>4041</v>
      </c>
      <c r="B680" s="43" t="s">
        <v>4042</v>
      </c>
      <c r="C680" s="44" t="s">
        <v>4008</v>
      </c>
      <c r="D680" s="45">
        <f>MROUND(MID($C680,6,3)/Basis!$E$3,0.5)</f>
        <v>102.5</v>
      </c>
      <c r="E680" s="45">
        <f>MROUND(MID($C680,9,3)/Basis!$E$3,0.5)</f>
        <v>19.5</v>
      </c>
      <c r="F680" s="229" t="str">
        <f t="shared" si="10"/>
        <v>11</v>
      </c>
      <c r="G680" s="45">
        <f>ROUND(5/Basis!$E$3,1)</f>
        <v>2</v>
      </c>
      <c r="H680" s="120">
        <f>ROUND($P680*Basis!$E$2*((TaH-TrH)/LN(1/µ)/Basis!$E$7)^$N680*Glycol,0)</f>
        <v>3592</v>
      </c>
      <c r="I680" s="83">
        <f>ROUND(H680/(MID($C680,9,3)/Basis!$E$3/Basis!$E$9)*Basis!$E$11,0)</f>
        <v>2190</v>
      </c>
      <c r="J680" s="123">
        <f>IF(Basis!$E$1=1,ROUND(H680/((TaH-TrH)*1.163)/3600,3),ROUND(H680/(500*(TaH-TrH)),2))</f>
        <v>0.36</v>
      </c>
      <c r="K680" s="84"/>
      <c r="L680" s="177">
        <f>CHOOSE(Basis!$E$1,((AJ680*(J680*3600/Basis!$E$5)^AK680*(((MID(C680,9,3)*10)-144)/1000)*AL680+AM680*(J680*3600/Basis!$E$5)^2)*0.0098)/Basis!$E$10,((AJ680*(J680/Basis!$E$5)^AK680*(((MID(C680,9,3)*10)-144)/1000)*AL680+AM680*(J680/Basis!$E$5)^2)*0.0098)/Basis!$E$10)</f>
        <v>0</v>
      </c>
      <c r="M680" s="85"/>
      <c r="N680" s="109">
        <v>1.2869999999999999</v>
      </c>
      <c r="O680" s="68"/>
      <c r="P680" s="67">
        <v>1610</v>
      </c>
      <c r="Q680" s="68"/>
      <c r="R680" s="69"/>
      <c r="S680" s="69"/>
      <c r="T680" s="69"/>
      <c r="U680" s="69"/>
      <c r="V680" s="69"/>
      <c r="W680" s="68"/>
      <c r="X680" s="70"/>
      <c r="Y680" s="70"/>
      <c r="Z680" s="70"/>
      <c r="AA680" s="70"/>
      <c r="AB680" s="70"/>
      <c r="AC680" s="68"/>
      <c r="AD680" s="71"/>
      <c r="AE680" s="71"/>
      <c r="AF680" s="71"/>
      <c r="AG680" s="71"/>
      <c r="AH680" s="71"/>
      <c r="AI680" s="68"/>
      <c r="AJ680" s="214"/>
      <c r="AK680" s="214"/>
      <c r="AL680" s="214"/>
      <c r="AM680" s="214"/>
      <c r="AN680" s="68"/>
      <c r="AO680" s="67"/>
      <c r="AP680" s="67"/>
      <c r="AQ680" s="67"/>
      <c r="AR680" s="67"/>
      <c r="AS680" s="67"/>
      <c r="AT680" s="68"/>
      <c r="AU680" s="49"/>
      <c r="AV680" s="50"/>
    </row>
    <row r="681" spans="1:48" ht="12.75" customHeight="1" x14ac:dyDescent="0.25">
      <c r="A681" s="72" t="s">
        <v>4041</v>
      </c>
      <c r="B681" s="43" t="s">
        <v>4042</v>
      </c>
      <c r="C681" s="44" t="s">
        <v>4009</v>
      </c>
      <c r="D681" s="45">
        <f>MROUND(MID($C681,6,3)/Basis!$E$3,0.5)</f>
        <v>102.5</v>
      </c>
      <c r="E681" s="45">
        <f>MROUND(MID($C681,9,3)/Basis!$E$3,0.5)</f>
        <v>22</v>
      </c>
      <c r="F681" s="229" t="str">
        <f t="shared" si="10"/>
        <v>11</v>
      </c>
      <c r="G681" s="45">
        <f>ROUND(5/Basis!$E$3,1)</f>
        <v>2</v>
      </c>
      <c r="H681" s="120">
        <f>ROUND($P681*Basis!$E$2*((TaH-TrH)/LN(1/µ)/Basis!$E$7)^$N681*Glycol,0)</f>
        <v>4041</v>
      </c>
      <c r="I681" s="83">
        <f>ROUND(H681/(MID($C681,9,3)/Basis!$E$3/Basis!$E$9)*Basis!$E$11,0)</f>
        <v>2199</v>
      </c>
      <c r="J681" s="123">
        <f>IF(Basis!$E$1=1,ROUND(H681/((TaH-TrH)*1.163)/3600,3),ROUND(H681/(500*(TaH-TrH)),2))</f>
        <v>0.4</v>
      </c>
      <c r="K681" s="84"/>
      <c r="L681" s="177">
        <f>CHOOSE(Basis!$E$1,((AJ681*(J681*3600/Basis!$E$5)^AK681*(((MID(C681,9,3)*10)-144)/1000)*AL681+AM681*(J681*3600/Basis!$E$5)^2)*0.0098)/Basis!$E$10,((AJ681*(J681/Basis!$E$5)^AK681*(((MID(C681,9,3)*10)-144)/1000)*AL681+AM681*(J681/Basis!$E$5)^2)*0.0098)/Basis!$E$10)</f>
        <v>0</v>
      </c>
      <c r="M681" s="85"/>
      <c r="N681" s="109">
        <v>1.2869999999999999</v>
      </c>
      <c r="O681" s="68"/>
      <c r="P681" s="67">
        <v>1811</v>
      </c>
      <c r="Q681" s="68"/>
      <c r="R681" s="69"/>
      <c r="S681" s="69"/>
      <c r="T681" s="69"/>
      <c r="U681" s="69"/>
      <c r="V681" s="69"/>
      <c r="W681" s="68"/>
      <c r="X681" s="70"/>
      <c r="Y681" s="70"/>
      <c r="Z681" s="70"/>
      <c r="AA681" s="70"/>
      <c r="AB681" s="70"/>
      <c r="AC681" s="68"/>
      <c r="AD681" s="71"/>
      <c r="AE681" s="71"/>
      <c r="AF681" s="71"/>
      <c r="AG681" s="71"/>
      <c r="AH681" s="71"/>
      <c r="AI681" s="68"/>
      <c r="AJ681" s="214"/>
      <c r="AK681" s="214"/>
      <c r="AL681" s="214"/>
      <c r="AM681" s="214"/>
      <c r="AN681" s="68"/>
      <c r="AO681" s="67"/>
      <c r="AP681" s="67"/>
      <c r="AQ681" s="67"/>
      <c r="AR681" s="67"/>
      <c r="AS681" s="67"/>
      <c r="AT681" s="68"/>
      <c r="AU681" s="49"/>
      <c r="AV681" s="50"/>
    </row>
    <row r="682" spans="1:48" ht="12.75" customHeight="1" x14ac:dyDescent="0.25">
      <c r="A682" s="72" t="s">
        <v>4041</v>
      </c>
      <c r="B682" s="43" t="s">
        <v>4042</v>
      </c>
      <c r="C682" s="44" t="s">
        <v>4010</v>
      </c>
      <c r="D682" s="45">
        <f>MROUND(MID($C682,6,3)/Basis!$E$3,0.5)</f>
        <v>102.5</v>
      </c>
      <c r="E682" s="45">
        <f>MROUND(MID($C682,9,3)/Basis!$E$3,0.5)</f>
        <v>24.5</v>
      </c>
      <c r="F682" s="229" t="str">
        <f t="shared" si="10"/>
        <v>11</v>
      </c>
      <c r="G682" s="45">
        <f>ROUND(5/Basis!$E$3,1)</f>
        <v>2</v>
      </c>
      <c r="H682" s="120">
        <f>ROUND($P682*Basis!$E$2*((TaH-TrH)/LN(1/µ)/Basis!$E$7)^$N682*Glycol,0)</f>
        <v>4489</v>
      </c>
      <c r="I682" s="83">
        <f>ROUND(H682/(MID($C682,9,3)/Basis!$E$3/Basis!$E$9)*Basis!$E$11,0)</f>
        <v>2207</v>
      </c>
      <c r="J682" s="123">
        <f>IF(Basis!$E$1=1,ROUND(H682/((TaH-TrH)*1.163)/3600,3),ROUND(H682/(500*(TaH-TrH)),2))</f>
        <v>0.45</v>
      </c>
      <c r="K682" s="84"/>
      <c r="L682" s="177">
        <f>CHOOSE(Basis!$E$1,((AJ682*(J682*3600/Basis!$E$5)^AK682*(((MID(C682,9,3)*10)-144)/1000)*AL682+AM682*(J682*3600/Basis!$E$5)^2)*0.0098)/Basis!$E$10,((AJ682*(J682/Basis!$E$5)^AK682*(((MID(C682,9,3)*10)-144)/1000)*AL682+AM682*(J682/Basis!$E$5)^2)*0.0098)/Basis!$E$10)</f>
        <v>0</v>
      </c>
      <c r="M682" s="85"/>
      <c r="N682" s="110">
        <v>1.2869999999999999</v>
      </c>
      <c r="O682" s="74"/>
      <c r="P682" s="73">
        <v>2012</v>
      </c>
      <c r="Q682" s="74"/>
      <c r="R682" s="75"/>
      <c r="S682" s="75"/>
      <c r="T682" s="75"/>
      <c r="U682" s="75"/>
      <c r="V682" s="75"/>
      <c r="W682" s="74"/>
      <c r="X682" s="76"/>
      <c r="Y682" s="76"/>
      <c r="Z682" s="76"/>
      <c r="AA682" s="76"/>
      <c r="AB682" s="76"/>
      <c r="AC682" s="74"/>
      <c r="AD682" s="77"/>
      <c r="AE682" s="77"/>
      <c r="AF682" s="77"/>
      <c r="AG682" s="77"/>
      <c r="AH682" s="77"/>
      <c r="AI682" s="68"/>
      <c r="AJ682" s="213"/>
      <c r="AK682" s="213"/>
      <c r="AL682" s="213"/>
      <c r="AM682" s="213"/>
      <c r="AN682" s="74"/>
      <c r="AO682" s="73"/>
      <c r="AP682" s="73"/>
      <c r="AQ682" s="73"/>
      <c r="AR682" s="73"/>
      <c r="AS682" s="73"/>
      <c r="AT682" s="74"/>
      <c r="AU682" s="47"/>
      <c r="AV682" s="48"/>
    </row>
    <row r="683" spans="1:48" ht="12.75" customHeight="1" x14ac:dyDescent="0.25">
      <c r="A683" s="72" t="s">
        <v>4041</v>
      </c>
      <c r="B683" s="43" t="s">
        <v>4042</v>
      </c>
      <c r="C683" s="44" t="s">
        <v>4011</v>
      </c>
      <c r="D683" s="45">
        <f>MROUND(MID($C683,6,3)/Basis!$E$3,0.5)</f>
        <v>102.5</v>
      </c>
      <c r="E683" s="45">
        <f>MROUND(MID($C683,9,3)/Basis!$E$3,0.5)</f>
        <v>27</v>
      </c>
      <c r="F683" s="229" t="str">
        <f t="shared" si="10"/>
        <v>11</v>
      </c>
      <c r="G683" s="45">
        <f>ROUND(5/Basis!$E$3,1)</f>
        <v>2</v>
      </c>
      <c r="H683" s="120">
        <f>ROUND($P683*Basis!$E$2*((TaH-TrH)/LN(1/µ)/Basis!$E$7)^$N683*Glycol,0)</f>
        <v>4938</v>
      </c>
      <c r="I683" s="83">
        <f>ROUND(H683/(MID($C683,9,3)/Basis!$E$3/Basis!$E$9)*Basis!$E$11,0)</f>
        <v>2181</v>
      </c>
      <c r="J683" s="123">
        <f>IF(Basis!$E$1=1,ROUND(H683/((TaH-TrH)*1.163)/3600,3),ROUND(H683/(500*(TaH-TrH)),2))</f>
        <v>0.49</v>
      </c>
      <c r="K683" s="84"/>
      <c r="L683" s="177">
        <f>CHOOSE(Basis!$E$1,((AJ683*(J683*3600/Basis!$E$5)^AK683*(((MID(C683,9,3)*10)-144)/1000)*AL683+AM683*(J683*3600/Basis!$E$5)^2)*0.0098)/Basis!$E$10,((AJ683*(J683/Basis!$E$5)^AK683*(((MID(C683,9,3)*10)-144)/1000)*AL683+AM683*(J683/Basis!$E$5)^2)*0.0098)/Basis!$E$10)</f>
        <v>0</v>
      </c>
      <c r="M683" s="85"/>
      <c r="N683" s="110">
        <v>1.2869999999999999</v>
      </c>
      <c r="O683" s="74"/>
      <c r="P683" s="73">
        <v>2213</v>
      </c>
      <c r="Q683" s="74"/>
      <c r="R683" s="75"/>
      <c r="S683" s="75"/>
      <c r="T683" s="75"/>
      <c r="U683" s="75"/>
      <c r="V683" s="75"/>
      <c r="W683" s="74"/>
      <c r="X683" s="76"/>
      <c r="Y683" s="76"/>
      <c r="Z683" s="76"/>
      <c r="AA683" s="76"/>
      <c r="AB683" s="76"/>
      <c r="AC683" s="74"/>
      <c r="AD683" s="77"/>
      <c r="AE683" s="77"/>
      <c r="AF683" s="77"/>
      <c r="AG683" s="77"/>
      <c r="AH683" s="77"/>
      <c r="AI683" s="68"/>
      <c r="AJ683" s="213"/>
      <c r="AK683" s="213"/>
      <c r="AL683" s="213"/>
      <c r="AM683" s="213"/>
      <c r="AN683" s="74"/>
      <c r="AO683" s="73"/>
      <c r="AP683" s="73"/>
      <c r="AQ683" s="73"/>
      <c r="AR683" s="73"/>
      <c r="AS683" s="73"/>
      <c r="AT683" s="74"/>
      <c r="AU683" s="47"/>
      <c r="AV683" s="48"/>
    </row>
    <row r="684" spans="1:48" ht="12.75" customHeight="1" x14ac:dyDescent="0.25">
      <c r="A684" s="72" t="s">
        <v>4041</v>
      </c>
      <c r="B684" s="43" t="s">
        <v>4042</v>
      </c>
      <c r="C684" s="44" t="s">
        <v>4012</v>
      </c>
      <c r="D684" s="45">
        <f>MROUND(MID($C684,6,3)/Basis!$E$3,0.5)</f>
        <v>102.5</v>
      </c>
      <c r="E684" s="45">
        <f>MROUND(MID($C684,9,3)/Basis!$E$3,0.5)</f>
        <v>29.5</v>
      </c>
      <c r="F684" s="229" t="str">
        <f t="shared" si="10"/>
        <v>11</v>
      </c>
      <c r="G684" s="45">
        <f>ROUND(5/Basis!$E$3,1)</f>
        <v>2</v>
      </c>
      <c r="H684" s="120">
        <f>ROUND($P684*Basis!$E$2*((TaH-TrH)/LN(1/µ)/Basis!$E$7)^$N684*Glycol,0)</f>
        <v>5386</v>
      </c>
      <c r="I684" s="83">
        <f>ROUND(H684/(MID($C684,9,3)/Basis!$E$3/Basis!$E$9)*Basis!$E$11,0)</f>
        <v>2189</v>
      </c>
      <c r="J684" s="123">
        <f>IF(Basis!$E$1=1,ROUND(H684/((TaH-TrH)*1.163)/3600,3),ROUND(H684/(500*(TaH-TrH)),2))</f>
        <v>0.54</v>
      </c>
      <c r="K684" s="84"/>
      <c r="L684" s="177">
        <f>CHOOSE(Basis!$E$1,((AJ684*(J684*3600/Basis!$E$5)^AK684*(((MID(C684,9,3)*10)-144)/1000)*AL684+AM684*(J684*3600/Basis!$E$5)^2)*0.0098)/Basis!$E$10,((AJ684*(J684/Basis!$E$5)^AK684*(((MID(C684,9,3)*10)-144)/1000)*AL684+AM684*(J684/Basis!$E$5)^2)*0.0098)/Basis!$E$10)</f>
        <v>0</v>
      </c>
      <c r="M684" s="85"/>
      <c r="N684" s="109">
        <v>1.2869999999999999</v>
      </c>
      <c r="O684" s="68"/>
      <c r="P684" s="67">
        <v>2414</v>
      </c>
      <c r="Q684" s="68"/>
      <c r="R684" s="69"/>
      <c r="S684" s="69"/>
      <c r="T684" s="69"/>
      <c r="U684" s="69"/>
      <c r="V684" s="69"/>
      <c r="W684" s="68"/>
      <c r="X684" s="70"/>
      <c r="Y684" s="70"/>
      <c r="Z684" s="70"/>
      <c r="AA684" s="70"/>
      <c r="AB684" s="70"/>
      <c r="AC684" s="68"/>
      <c r="AD684" s="71"/>
      <c r="AE684" s="71"/>
      <c r="AF684" s="71"/>
      <c r="AG684" s="71"/>
      <c r="AH684" s="71"/>
      <c r="AI684" s="68"/>
      <c r="AJ684" s="214"/>
      <c r="AK684" s="214"/>
      <c r="AL684" s="214"/>
      <c r="AM684" s="214"/>
      <c r="AN684" s="68"/>
      <c r="AO684" s="67"/>
      <c r="AP684" s="67"/>
      <c r="AQ684" s="67"/>
      <c r="AR684" s="67"/>
      <c r="AS684" s="67"/>
      <c r="AT684" s="68"/>
      <c r="AU684" s="49"/>
      <c r="AV684" s="50"/>
    </row>
    <row r="685" spans="1:48" ht="12.75" customHeight="1" x14ac:dyDescent="0.25">
      <c r="A685" s="72" t="s">
        <v>4041</v>
      </c>
      <c r="B685" s="43" t="s">
        <v>4042</v>
      </c>
      <c r="C685" s="44" t="s">
        <v>4013</v>
      </c>
      <c r="D685" s="45">
        <f>MROUND(MID($C685,6,3)/Basis!$E$3,0.5)</f>
        <v>102.5</v>
      </c>
      <c r="E685" s="45">
        <f>MROUND(MID($C685,9,3)/Basis!$E$3,0.5)</f>
        <v>32</v>
      </c>
      <c r="F685" s="229" t="str">
        <f t="shared" si="10"/>
        <v>11</v>
      </c>
      <c r="G685" s="45">
        <f>ROUND(5/Basis!$E$3,1)</f>
        <v>2</v>
      </c>
      <c r="H685" s="120">
        <f>ROUND($P685*Basis!$E$2*((TaH-TrH)/LN(1/µ)/Basis!$E$7)^$N685*Glycol,0)</f>
        <v>5837</v>
      </c>
      <c r="I685" s="83">
        <f>ROUND(H685/(MID($C685,9,3)/Basis!$E$3/Basis!$E$9)*Basis!$E$11,0)</f>
        <v>2196</v>
      </c>
      <c r="J685" s="123">
        <f>IF(Basis!$E$1=1,ROUND(H685/((TaH-TrH)*1.163)/3600,3),ROUND(H685/(500*(TaH-TrH)),2))</f>
        <v>0.57999999999999996</v>
      </c>
      <c r="K685" s="84"/>
      <c r="L685" s="177">
        <f>CHOOSE(Basis!$E$1,((AJ685*(J685*3600/Basis!$E$5)^AK685*(((MID(C685,9,3)*10)-144)/1000)*AL685+AM685*(J685*3600/Basis!$E$5)^2)*0.0098)/Basis!$E$10,((AJ685*(J685/Basis!$E$5)^AK685*(((MID(C685,9,3)*10)-144)/1000)*AL685+AM685*(J685/Basis!$E$5)^2)*0.0098)/Basis!$E$10)</f>
        <v>0</v>
      </c>
      <c r="M685" s="85"/>
      <c r="N685" s="109">
        <v>1.2869999999999999</v>
      </c>
      <c r="O685" s="68"/>
      <c r="P685" s="67">
        <v>2616</v>
      </c>
      <c r="Q685" s="68"/>
      <c r="R685" s="69"/>
      <c r="S685" s="69"/>
      <c r="T685" s="69"/>
      <c r="U685" s="69"/>
      <c r="V685" s="69"/>
      <c r="W685" s="68"/>
      <c r="X685" s="70"/>
      <c r="Y685" s="70"/>
      <c r="Z685" s="70"/>
      <c r="AA685" s="70"/>
      <c r="AB685" s="70"/>
      <c r="AC685" s="68"/>
      <c r="AD685" s="71"/>
      <c r="AE685" s="71"/>
      <c r="AF685" s="71"/>
      <c r="AG685" s="71"/>
      <c r="AH685" s="71"/>
      <c r="AI685" s="68"/>
      <c r="AJ685" s="214"/>
      <c r="AK685" s="214"/>
      <c r="AL685" s="214"/>
      <c r="AM685" s="214"/>
      <c r="AN685" s="68"/>
      <c r="AO685" s="67"/>
      <c r="AP685" s="67"/>
      <c r="AQ685" s="67"/>
      <c r="AR685" s="67"/>
      <c r="AS685" s="67"/>
      <c r="AT685" s="68"/>
      <c r="AU685" s="49"/>
      <c r="AV685" s="50"/>
    </row>
    <row r="686" spans="1:48" ht="12.75" customHeight="1" x14ac:dyDescent="0.25">
      <c r="A686" s="72" t="s">
        <v>4041</v>
      </c>
      <c r="B686" s="43" t="s">
        <v>4042</v>
      </c>
      <c r="C686" s="44" t="s">
        <v>4014</v>
      </c>
      <c r="D686" s="45">
        <f>MROUND(MID($C686,6,3)/Basis!$E$3,0.5)</f>
        <v>102.5</v>
      </c>
      <c r="E686" s="45">
        <f>MROUND(MID($C686,9,3)/Basis!$E$3,0.5)</f>
        <v>34.5</v>
      </c>
      <c r="F686" s="229" t="str">
        <f t="shared" si="10"/>
        <v>11</v>
      </c>
      <c r="G686" s="45">
        <f>ROUND(5/Basis!$E$3,1)</f>
        <v>2</v>
      </c>
      <c r="H686" s="120">
        <f>ROUND($P686*Basis!$E$2*((TaH-TrH)/LN(1/µ)/Basis!$E$7)^$N686*Glycol,0)</f>
        <v>6285</v>
      </c>
      <c r="I686" s="83">
        <f>ROUND(H686/(MID($C686,9,3)/Basis!$E$3/Basis!$E$9)*Basis!$E$11,0)</f>
        <v>2202</v>
      </c>
      <c r="J686" s="123">
        <f>IF(Basis!$E$1=1,ROUND(H686/((TaH-TrH)*1.163)/3600,3),ROUND(H686/(500*(TaH-TrH)),2))</f>
        <v>0.63</v>
      </c>
      <c r="K686" s="84"/>
      <c r="L686" s="177">
        <f>CHOOSE(Basis!$E$1,((AJ686*(J686*3600/Basis!$E$5)^AK686*(((MID(C686,9,3)*10)-144)/1000)*AL686+AM686*(J686*3600/Basis!$E$5)^2)*0.0098)/Basis!$E$10,((AJ686*(J686/Basis!$E$5)^AK686*(((MID(C686,9,3)*10)-144)/1000)*AL686+AM686*(J686/Basis!$E$5)^2)*0.0098)/Basis!$E$10)</f>
        <v>0</v>
      </c>
      <c r="M686" s="85"/>
      <c r="N686" s="110">
        <v>1.2869999999999999</v>
      </c>
      <c r="O686" s="74"/>
      <c r="P686" s="73">
        <v>2817</v>
      </c>
      <c r="Q686" s="74"/>
      <c r="R686" s="75"/>
      <c r="S686" s="75"/>
      <c r="T686" s="75"/>
      <c r="U686" s="75"/>
      <c r="V686" s="75"/>
      <c r="W686" s="74"/>
      <c r="X686" s="76"/>
      <c r="Y686" s="76"/>
      <c r="Z686" s="76"/>
      <c r="AA686" s="76"/>
      <c r="AB686" s="76"/>
      <c r="AC686" s="74"/>
      <c r="AD686" s="77"/>
      <c r="AE686" s="77"/>
      <c r="AF686" s="77"/>
      <c r="AG686" s="77"/>
      <c r="AH686" s="77"/>
      <c r="AI686" s="68"/>
      <c r="AJ686" s="213"/>
      <c r="AK686" s="213"/>
      <c r="AL686" s="213"/>
      <c r="AM686" s="213"/>
      <c r="AN686" s="74"/>
      <c r="AO686" s="73"/>
      <c r="AP686" s="73"/>
      <c r="AQ686" s="73"/>
      <c r="AR686" s="73"/>
      <c r="AS686" s="73"/>
      <c r="AT686" s="74"/>
      <c r="AU686" s="47"/>
      <c r="AV686" s="48"/>
    </row>
    <row r="687" spans="1:48" ht="12.75" customHeight="1" x14ac:dyDescent="0.25">
      <c r="A687" s="72" t="s">
        <v>4041</v>
      </c>
      <c r="B687" s="43" t="s">
        <v>4042</v>
      </c>
      <c r="C687" s="44" t="s">
        <v>4015</v>
      </c>
      <c r="D687" s="45">
        <f>MROUND(MID($C687,6,3)/Basis!$E$3,0.5)</f>
        <v>102.5</v>
      </c>
      <c r="E687" s="45">
        <f>MROUND(MID($C687,9,3)/Basis!$E$3,0.5)</f>
        <v>37</v>
      </c>
      <c r="F687" s="229" t="str">
        <f t="shared" si="10"/>
        <v>11</v>
      </c>
      <c r="G687" s="45">
        <f>ROUND(5/Basis!$E$3,1)</f>
        <v>2</v>
      </c>
      <c r="H687" s="120">
        <f>ROUND($P687*Basis!$E$2*((TaH-TrH)/LN(1/µ)/Basis!$E$7)^$N687*Glycol,0)</f>
        <v>6734</v>
      </c>
      <c r="I687" s="83">
        <f>ROUND(H687/(MID($C687,9,3)/Basis!$E$3/Basis!$E$9)*Basis!$E$11,0)</f>
        <v>2184</v>
      </c>
      <c r="J687" s="123">
        <f>IF(Basis!$E$1=1,ROUND(H687/((TaH-TrH)*1.163)/3600,3),ROUND(H687/(500*(TaH-TrH)),2))</f>
        <v>0.67</v>
      </c>
      <c r="K687" s="84"/>
      <c r="L687" s="177">
        <f>CHOOSE(Basis!$E$1,((AJ687*(J687*3600/Basis!$E$5)^AK687*(((MID(C687,9,3)*10)-144)/1000)*AL687+AM687*(J687*3600/Basis!$E$5)^2)*0.0098)/Basis!$E$10,((AJ687*(J687/Basis!$E$5)^AK687*(((MID(C687,9,3)*10)-144)/1000)*AL687+AM687*(J687/Basis!$E$5)^2)*0.0098)/Basis!$E$10)</f>
        <v>0</v>
      </c>
      <c r="M687" s="85"/>
      <c r="N687" s="110">
        <v>1.2869999999999999</v>
      </c>
      <c r="O687" s="74"/>
      <c r="P687" s="73">
        <v>3018</v>
      </c>
      <c r="Q687" s="74"/>
      <c r="R687" s="75"/>
      <c r="S687" s="75"/>
      <c r="T687" s="75"/>
      <c r="U687" s="75"/>
      <c r="V687" s="75"/>
      <c r="W687" s="74"/>
      <c r="X687" s="76"/>
      <c r="Y687" s="76"/>
      <c r="Z687" s="76"/>
      <c r="AA687" s="76"/>
      <c r="AB687" s="76"/>
      <c r="AC687" s="74"/>
      <c r="AD687" s="77"/>
      <c r="AE687" s="77"/>
      <c r="AF687" s="77"/>
      <c r="AG687" s="77"/>
      <c r="AH687" s="77"/>
      <c r="AI687" s="68"/>
      <c r="AJ687" s="213"/>
      <c r="AK687" s="213"/>
      <c r="AL687" s="213"/>
      <c r="AM687" s="213"/>
      <c r="AN687" s="74"/>
      <c r="AO687" s="73"/>
      <c r="AP687" s="73"/>
      <c r="AQ687" s="73"/>
      <c r="AR687" s="73"/>
      <c r="AS687" s="73"/>
      <c r="AT687" s="74"/>
      <c r="AU687" s="47"/>
      <c r="AV687" s="48"/>
    </row>
    <row r="688" spans="1:48" ht="12.75" customHeight="1" x14ac:dyDescent="0.25">
      <c r="A688" s="72" t="s">
        <v>4041</v>
      </c>
      <c r="B688" s="43" t="s">
        <v>4042</v>
      </c>
      <c r="C688" s="44" t="s">
        <v>4016</v>
      </c>
      <c r="D688" s="45">
        <f>MROUND(MID($C688,6,3)/Basis!$E$3,0.5)</f>
        <v>110</v>
      </c>
      <c r="E688" s="45">
        <f>MROUND(MID($C688,9,3)/Basis!$E$3,0.5)</f>
        <v>9.5</v>
      </c>
      <c r="F688" s="229" t="str">
        <f t="shared" si="10"/>
        <v>11</v>
      </c>
      <c r="G688" s="45">
        <f>ROUND(5/Basis!$E$3,1)</f>
        <v>2</v>
      </c>
      <c r="H688" s="120">
        <f>ROUND($P688*Basis!$E$2*((TaH-TrH)/LN(1/µ)/Basis!$E$7)^$N688*Glycol,0)</f>
        <v>1907</v>
      </c>
      <c r="I688" s="83">
        <f>ROUND(H688/(MID($C688,9,3)/Basis!$E$3/Basis!$E$9)*Basis!$E$11,0)</f>
        <v>2422</v>
      </c>
      <c r="J688" s="123">
        <f>IF(Basis!$E$1=1,ROUND(H688/((TaH-TrH)*1.163)/3600,3),ROUND(H688/(500*(TaH-TrH)),2))</f>
        <v>0.19</v>
      </c>
      <c r="K688" s="84"/>
      <c r="L688" s="177">
        <f>CHOOSE(Basis!$E$1,((AJ688*(J688*3600/Basis!$E$5)^AK688*(((MID(C688,9,3)*10)-144)/1000)*AL688+AM688*(J688*3600/Basis!$E$5)^2)*0.0098)/Basis!$E$10,((AJ688*(J688/Basis!$E$5)^AK688*(((MID(C688,9,3)*10)-144)/1000)*AL688+AM688*(J688/Basis!$E$5)^2)*0.0098)/Basis!$E$10)</f>
        <v>0</v>
      </c>
      <c r="M688" s="85"/>
      <c r="N688" s="109">
        <v>1.2769999999999999</v>
      </c>
      <c r="O688" s="68"/>
      <c r="P688" s="67">
        <v>852</v>
      </c>
      <c r="Q688" s="68"/>
      <c r="R688" s="69"/>
      <c r="S688" s="69"/>
      <c r="T688" s="69"/>
      <c r="U688" s="69"/>
      <c r="V688" s="69"/>
      <c r="W688" s="68"/>
      <c r="X688" s="70"/>
      <c r="Y688" s="70"/>
      <c r="Z688" s="70"/>
      <c r="AA688" s="70"/>
      <c r="AB688" s="70"/>
      <c r="AC688" s="68"/>
      <c r="AD688" s="71"/>
      <c r="AE688" s="71"/>
      <c r="AF688" s="71"/>
      <c r="AG688" s="71"/>
      <c r="AH688" s="71"/>
      <c r="AI688" s="68"/>
      <c r="AJ688" s="214"/>
      <c r="AK688" s="214"/>
      <c r="AL688" s="214"/>
      <c r="AM688" s="214"/>
      <c r="AN688" s="68"/>
      <c r="AO688" s="67"/>
      <c r="AP688" s="67"/>
      <c r="AQ688" s="67"/>
      <c r="AR688" s="67"/>
      <c r="AS688" s="67"/>
      <c r="AT688" s="68"/>
      <c r="AU688" s="49"/>
      <c r="AV688" s="50"/>
    </row>
    <row r="689" spans="1:48" ht="12.75" customHeight="1" x14ac:dyDescent="0.25">
      <c r="A689" s="72" t="s">
        <v>4041</v>
      </c>
      <c r="B689" s="43" t="s">
        <v>4042</v>
      </c>
      <c r="C689" s="44" t="s">
        <v>4017</v>
      </c>
      <c r="D689" s="45">
        <f>MROUND(MID($C689,6,3)/Basis!$E$3,0.5)</f>
        <v>110</v>
      </c>
      <c r="E689" s="45">
        <f>MROUND(MID($C689,9,3)/Basis!$E$3,0.5)</f>
        <v>12</v>
      </c>
      <c r="F689" s="229" t="str">
        <f t="shared" si="10"/>
        <v>11</v>
      </c>
      <c r="G689" s="45">
        <f>ROUND(5/Basis!$E$3,1)</f>
        <v>2</v>
      </c>
      <c r="H689" s="120">
        <f>ROUND($P689*Basis!$E$2*((TaH-TrH)/LN(1/µ)/Basis!$E$7)^$N689*Glycol,0)</f>
        <v>2386</v>
      </c>
      <c r="I689" s="83">
        <f>ROUND(H689/(MID($C689,9,3)/Basis!$E$3/Basis!$E$9)*Basis!$E$11,0)</f>
        <v>2346</v>
      </c>
      <c r="J689" s="123">
        <f>IF(Basis!$E$1=1,ROUND(H689/((TaH-TrH)*1.163)/3600,3),ROUND(H689/(500*(TaH-TrH)),2))</f>
        <v>0.24</v>
      </c>
      <c r="K689" s="84"/>
      <c r="L689" s="177">
        <f>CHOOSE(Basis!$E$1,((AJ689*(J689*3600/Basis!$E$5)^AK689*(((MID(C689,9,3)*10)-144)/1000)*AL689+AM689*(J689*3600/Basis!$E$5)^2)*0.0098)/Basis!$E$10,((AJ689*(J689/Basis!$E$5)^AK689*(((MID(C689,9,3)*10)-144)/1000)*AL689+AM689*(J689/Basis!$E$5)^2)*0.0098)/Basis!$E$10)</f>
        <v>0</v>
      </c>
      <c r="M689" s="85"/>
      <c r="N689" s="109">
        <v>1.2769999999999999</v>
      </c>
      <c r="O689" s="68"/>
      <c r="P689" s="67">
        <v>1066</v>
      </c>
      <c r="Q689" s="68"/>
      <c r="R689" s="69"/>
      <c r="S689" s="69"/>
      <c r="T689" s="69"/>
      <c r="U689" s="69"/>
      <c r="V689" s="69"/>
      <c r="W689" s="68"/>
      <c r="X689" s="70"/>
      <c r="Y689" s="70"/>
      <c r="Z689" s="70"/>
      <c r="AA689" s="70"/>
      <c r="AB689" s="70"/>
      <c r="AC689" s="68"/>
      <c r="AD689" s="71"/>
      <c r="AE689" s="71"/>
      <c r="AF689" s="71"/>
      <c r="AG689" s="71"/>
      <c r="AH689" s="71"/>
      <c r="AI689" s="68"/>
      <c r="AJ689" s="214"/>
      <c r="AK689" s="214"/>
      <c r="AL689" s="214"/>
      <c r="AM689" s="214"/>
      <c r="AN689" s="68"/>
      <c r="AO689" s="67"/>
      <c r="AP689" s="67"/>
      <c r="AQ689" s="67"/>
      <c r="AR689" s="67"/>
      <c r="AS689" s="67"/>
      <c r="AT689" s="68"/>
      <c r="AU689" s="49"/>
      <c r="AV689" s="50"/>
    </row>
    <row r="690" spans="1:48" ht="12.75" customHeight="1" x14ac:dyDescent="0.25">
      <c r="A690" s="72" t="s">
        <v>4041</v>
      </c>
      <c r="B690" s="43" t="s">
        <v>4042</v>
      </c>
      <c r="C690" s="44" t="s">
        <v>4018</v>
      </c>
      <c r="D690" s="45">
        <f>MROUND(MID($C690,6,3)/Basis!$E$3,0.5)</f>
        <v>110</v>
      </c>
      <c r="E690" s="45">
        <f>MROUND(MID($C690,9,3)/Basis!$E$3,0.5)</f>
        <v>14.5</v>
      </c>
      <c r="F690" s="229" t="str">
        <f t="shared" si="10"/>
        <v>11</v>
      </c>
      <c r="G690" s="45">
        <f>ROUND(5/Basis!$E$3,1)</f>
        <v>2</v>
      </c>
      <c r="H690" s="120">
        <f>ROUND($P690*Basis!$E$2*((TaH-TrH)/LN(1/µ)/Basis!$E$7)^$N690*Glycol,0)</f>
        <v>2863</v>
      </c>
      <c r="I690" s="83">
        <f>ROUND(H690/(MID($C690,9,3)/Basis!$E$3/Basis!$E$9)*Basis!$E$11,0)</f>
        <v>2358</v>
      </c>
      <c r="J690" s="123">
        <f>IF(Basis!$E$1=1,ROUND(H690/((TaH-TrH)*1.163)/3600,3),ROUND(H690/(500*(TaH-TrH)),2))</f>
        <v>0.28999999999999998</v>
      </c>
      <c r="K690" s="84"/>
      <c r="L690" s="177">
        <f>CHOOSE(Basis!$E$1,((AJ690*(J690*3600/Basis!$E$5)^AK690*(((MID(C690,9,3)*10)-144)/1000)*AL690+AM690*(J690*3600/Basis!$E$5)^2)*0.0098)/Basis!$E$10,((AJ690*(J690/Basis!$E$5)^AK690*(((MID(C690,9,3)*10)-144)/1000)*AL690+AM690*(J690/Basis!$E$5)^2)*0.0098)/Basis!$E$10)</f>
        <v>0</v>
      </c>
      <c r="M690" s="85"/>
      <c r="N690" s="110">
        <v>1.2769999999999999</v>
      </c>
      <c r="O690" s="74"/>
      <c r="P690" s="73">
        <v>1279</v>
      </c>
      <c r="Q690" s="74"/>
      <c r="R690" s="75"/>
      <c r="S690" s="75"/>
      <c r="T690" s="75"/>
      <c r="U690" s="75"/>
      <c r="V690" s="75"/>
      <c r="W690" s="74"/>
      <c r="X690" s="76"/>
      <c r="Y690" s="76"/>
      <c r="Z690" s="76"/>
      <c r="AA690" s="76"/>
      <c r="AB690" s="76"/>
      <c r="AC690" s="74"/>
      <c r="AD690" s="77"/>
      <c r="AE690" s="77"/>
      <c r="AF690" s="77"/>
      <c r="AG690" s="77"/>
      <c r="AH690" s="77"/>
      <c r="AI690" s="68"/>
      <c r="AJ690" s="213"/>
      <c r="AK690" s="213"/>
      <c r="AL690" s="213"/>
      <c r="AM690" s="213"/>
      <c r="AN690" s="74"/>
      <c r="AO690" s="73"/>
      <c r="AP690" s="73"/>
      <c r="AQ690" s="73"/>
      <c r="AR690" s="73"/>
      <c r="AS690" s="73"/>
      <c r="AT690" s="74"/>
      <c r="AU690" s="47"/>
      <c r="AV690" s="48"/>
    </row>
    <row r="691" spans="1:48" ht="12.75" customHeight="1" x14ac:dyDescent="0.25">
      <c r="A691" s="72" t="s">
        <v>4041</v>
      </c>
      <c r="B691" s="43" t="s">
        <v>4042</v>
      </c>
      <c r="C691" s="44" t="s">
        <v>4019</v>
      </c>
      <c r="D691" s="45">
        <f>MROUND(MID($C691,6,3)/Basis!$E$3,0.5)</f>
        <v>110</v>
      </c>
      <c r="E691" s="45">
        <f>MROUND(MID($C691,9,3)/Basis!$E$3,0.5)</f>
        <v>17</v>
      </c>
      <c r="F691" s="229" t="str">
        <f t="shared" si="10"/>
        <v>11</v>
      </c>
      <c r="G691" s="45">
        <f>ROUND(5/Basis!$E$3,1)</f>
        <v>2</v>
      </c>
      <c r="H691" s="120">
        <f>ROUND($P691*Basis!$E$2*((TaH-TrH)/LN(1/µ)/Basis!$E$7)^$N691*Glycol,0)</f>
        <v>3340</v>
      </c>
      <c r="I691" s="83">
        <f>ROUND(H691/(MID($C691,9,3)/Basis!$E$3/Basis!$E$9)*Basis!$E$11,0)</f>
        <v>2368</v>
      </c>
      <c r="J691" s="123">
        <f>IF(Basis!$E$1=1,ROUND(H691/((TaH-TrH)*1.163)/3600,3),ROUND(H691/(500*(TaH-TrH)),2))</f>
        <v>0.33</v>
      </c>
      <c r="K691" s="84"/>
      <c r="L691" s="177">
        <f>CHOOSE(Basis!$E$1,((AJ691*(J691*3600/Basis!$E$5)^AK691*(((MID(C691,9,3)*10)-144)/1000)*AL691+AM691*(J691*3600/Basis!$E$5)^2)*0.0098)/Basis!$E$10,((AJ691*(J691/Basis!$E$5)^AK691*(((MID(C691,9,3)*10)-144)/1000)*AL691+AM691*(J691/Basis!$E$5)^2)*0.0098)/Basis!$E$10)</f>
        <v>0</v>
      </c>
      <c r="M691" s="85"/>
      <c r="N691" s="110">
        <v>1.2769999999999999</v>
      </c>
      <c r="O691" s="74"/>
      <c r="P691" s="73">
        <v>1492</v>
      </c>
      <c r="Q691" s="74"/>
      <c r="R691" s="75"/>
      <c r="S691" s="75"/>
      <c r="T691" s="75"/>
      <c r="U691" s="75"/>
      <c r="V691" s="75"/>
      <c r="W691" s="74"/>
      <c r="X691" s="76"/>
      <c r="Y691" s="76"/>
      <c r="Z691" s="76"/>
      <c r="AA691" s="76"/>
      <c r="AB691" s="76"/>
      <c r="AC691" s="74"/>
      <c r="AD691" s="77"/>
      <c r="AE691" s="77"/>
      <c r="AF691" s="77"/>
      <c r="AG691" s="77"/>
      <c r="AH691" s="77"/>
      <c r="AI691" s="68"/>
      <c r="AJ691" s="213"/>
      <c r="AK691" s="213"/>
      <c r="AL691" s="213"/>
      <c r="AM691" s="213"/>
      <c r="AN691" s="74"/>
      <c r="AO691" s="73"/>
      <c r="AP691" s="73"/>
      <c r="AQ691" s="73"/>
      <c r="AR691" s="73"/>
      <c r="AS691" s="73"/>
      <c r="AT691" s="74"/>
      <c r="AU691" s="47"/>
      <c r="AV691" s="48"/>
    </row>
    <row r="692" spans="1:48" ht="12.75" customHeight="1" x14ac:dyDescent="0.25">
      <c r="A692" s="72" t="s">
        <v>4041</v>
      </c>
      <c r="B692" s="43" t="s">
        <v>4042</v>
      </c>
      <c r="C692" s="44" t="s">
        <v>4020</v>
      </c>
      <c r="D692" s="45">
        <f>MROUND(MID($C692,6,3)/Basis!$E$3,0.5)</f>
        <v>110</v>
      </c>
      <c r="E692" s="45">
        <f>MROUND(MID($C692,9,3)/Basis!$E$3,0.5)</f>
        <v>19.5</v>
      </c>
      <c r="F692" s="229" t="str">
        <f t="shared" si="10"/>
        <v>11</v>
      </c>
      <c r="G692" s="45">
        <f>ROUND(5/Basis!$E$3,1)</f>
        <v>2</v>
      </c>
      <c r="H692" s="120">
        <f>ROUND($P692*Basis!$E$2*((TaH-TrH)/LN(1/µ)/Basis!$E$7)^$N692*Glycol,0)</f>
        <v>3817</v>
      </c>
      <c r="I692" s="83">
        <f>ROUND(H692/(MID($C692,9,3)/Basis!$E$3/Basis!$E$9)*Basis!$E$11,0)</f>
        <v>2327</v>
      </c>
      <c r="J692" s="123">
        <f>IF(Basis!$E$1=1,ROUND(H692/((TaH-TrH)*1.163)/3600,3),ROUND(H692/(500*(TaH-TrH)),2))</f>
        <v>0.38</v>
      </c>
      <c r="K692" s="84"/>
      <c r="L692" s="177">
        <f>CHOOSE(Basis!$E$1,((AJ692*(J692*3600/Basis!$E$5)^AK692*(((MID(C692,9,3)*10)-144)/1000)*AL692+AM692*(J692*3600/Basis!$E$5)^2)*0.0098)/Basis!$E$10,((AJ692*(J692/Basis!$E$5)^AK692*(((MID(C692,9,3)*10)-144)/1000)*AL692+AM692*(J692/Basis!$E$5)^2)*0.0098)/Basis!$E$10)</f>
        <v>0</v>
      </c>
      <c r="M692" s="85"/>
      <c r="N692" s="109">
        <v>1.2769999999999999</v>
      </c>
      <c r="O692" s="68"/>
      <c r="P692" s="67">
        <v>1705</v>
      </c>
      <c r="Q692" s="68"/>
      <c r="R692" s="69"/>
      <c r="S692" s="69"/>
      <c r="T692" s="69"/>
      <c r="U692" s="69"/>
      <c r="V692" s="69"/>
      <c r="W692" s="68"/>
      <c r="X692" s="70"/>
      <c r="Y692" s="70"/>
      <c r="Z692" s="70"/>
      <c r="AA692" s="70"/>
      <c r="AB692" s="70"/>
      <c r="AC692" s="68"/>
      <c r="AD692" s="71"/>
      <c r="AE692" s="71"/>
      <c r="AF692" s="71"/>
      <c r="AG692" s="71"/>
      <c r="AH692" s="71"/>
      <c r="AI692" s="68"/>
      <c r="AJ692" s="214"/>
      <c r="AK692" s="214"/>
      <c r="AL692" s="214"/>
      <c r="AM692" s="214"/>
      <c r="AN692" s="68"/>
      <c r="AO692" s="67"/>
      <c r="AP692" s="67"/>
      <c r="AQ692" s="67"/>
      <c r="AR692" s="67"/>
      <c r="AS692" s="67"/>
      <c r="AT692" s="68"/>
      <c r="AU692" s="49"/>
      <c r="AV692" s="50"/>
    </row>
    <row r="693" spans="1:48" ht="12.75" customHeight="1" x14ac:dyDescent="0.25">
      <c r="A693" s="72" t="s">
        <v>4041</v>
      </c>
      <c r="B693" s="43" t="s">
        <v>4042</v>
      </c>
      <c r="C693" s="44" t="s">
        <v>4021</v>
      </c>
      <c r="D693" s="45">
        <f>MROUND(MID($C693,6,3)/Basis!$E$3,0.5)</f>
        <v>110</v>
      </c>
      <c r="E693" s="45">
        <f>MROUND(MID($C693,9,3)/Basis!$E$3,0.5)</f>
        <v>22</v>
      </c>
      <c r="F693" s="229" t="str">
        <f t="shared" si="10"/>
        <v>11</v>
      </c>
      <c r="G693" s="45">
        <f>ROUND(5/Basis!$E$3,1)</f>
        <v>2</v>
      </c>
      <c r="H693" s="120">
        <f>ROUND($P693*Basis!$E$2*((TaH-TrH)/LN(1/µ)/Basis!$E$7)^$N693*Glycol,0)</f>
        <v>4294</v>
      </c>
      <c r="I693" s="83">
        <f>ROUND(H693/(MID($C693,9,3)/Basis!$E$3/Basis!$E$9)*Basis!$E$11,0)</f>
        <v>2337</v>
      </c>
      <c r="J693" s="123">
        <f>IF(Basis!$E$1=1,ROUND(H693/((TaH-TrH)*1.163)/3600,3),ROUND(H693/(500*(TaH-TrH)),2))</f>
        <v>0.43</v>
      </c>
      <c r="K693" s="84"/>
      <c r="L693" s="177">
        <f>CHOOSE(Basis!$E$1,((AJ693*(J693*3600/Basis!$E$5)^AK693*(((MID(C693,9,3)*10)-144)/1000)*AL693+AM693*(J693*3600/Basis!$E$5)^2)*0.0098)/Basis!$E$10,((AJ693*(J693/Basis!$E$5)^AK693*(((MID(C693,9,3)*10)-144)/1000)*AL693+AM693*(J693/Basis!$E$5)^2)*0.0098)/Basis!$E$10)</f>
        <v>0</v>
      </c>
      <c r="M693" s="85"/>
      <c r="N693" s="109">
        <v>1.2769999999999999</v>
      </c>
      <c r="O693" s="68"/>
      <c r="P693" s="67">
        <v>1918</v>
      </c>
      <c r="Q693" s="68"/>
      <c r="R693" s="69"/>
      <c r="S693" s="69"/>
      <c r="T693" s="69"/>
      <c r="U693" s="69"/>
      <c r="V693" s="69"/>
      <c r="W693" s="68"/>
      <c r="X693" s="70"/>
      <c r="Y693" s="70"/>
      <c r="Z693" s="70"/>
      <c r="AA693" s="70"/>
      <c r="AB693" s="70"/>
      <c r="AC693" s="68"/>
      <c r="AD693" s="71"/>
      <c r="AE693" s="71"/>
      <c r="AF693" s="71"/>
      <c r="AG693" s="71"/>
      <c r="AH693" s="71"/>
      <c r="AI693" s="68"/>
      <c r="AJ693" s="214"/>
      <c r="AK693" s="214"/>
      <c r="AL693" s="214"/>
      <c r="AM693" s="214"/>
      <c r="AN693" s="68"/>
      <c r="AO693" s="67"/>
      <c r="AP693" s="67"/>
      <c r="AQ693" s="67"/>
      <c r="AR693" s="67"/>
      <c r="AS693" s="67"/>
      <c r="AT693" s="68"/>
      <c r="AU693" s="49"/>
      <c r="AV693" s="50"/>
    </row>
    <row r="694" spans="1:48" ht="12.75" customHeight="1" x14ac:dyDescent="0.25">
      <c r="A694" s="72" t="s">
        <v>4041</v>
      </c>
      <c r="B694" s="43" t="s">
        <v>4042</v>
      </c>
      <c r="C694" s="44" t="s">
        <v>4022</v>
      </c>
      <c r="D694" s="45">
        <f>MROUND(MID($C694,6,3)/Basis!$E$3,0.5)</f>
        <v>110</v>
      </c>
      <c r="E694" s="45">
        <f>MROUND(MID($C694,9,3)/Basis!$E$3,0.5)</f>
        <v>24.5</v>
      </c>
      <c r="F694" s="229" t="str">
        <f t="shared" si="10"/>
        <v>11</v>
      </c>
      <c r="G694" s="45">
        <f>ROUND(5/Basis!$E$3,1)</f>
        <v>2</v>
      </c>
      <c r="H694" s="120">
        <f>ROUND($P694*Basis!$E$2*((TaH-TrH)/LN(1/µ)/Basis!$E$7)^$N694*Glycol,0)</f>
        <v>4771</v>
      </c>
      <c r="I694" s="83">
        <f>ROUND(H694/(MID($C694,9,3)/Basis!$E$3/Basis!$E$9)*Basis!$E$11,0)</f>
        <v>2345</v>
      </c>
      <c r="J694" s="123">
        <f>IF(Basis!$E$1=1,ROUND(H694/((TaH-TrH)*1.163)/3600,3),ROUND(H694/(500*(TaH-TrH)),2))</f>
        <v>0.48</v>
      </c>
      <c r="K694" s="84"/>
      <c r="L694" s="177">
        <f>CHOOSE(Basis!$E$1,((AJ694*(J694*3600/Basis!$E$5)^AK694*(((MID(C694,9,3)*10)-144)/1000)*AL694+AM694*(J694*3600/Basis!$E$5)^2)*0.0098)/Basis!$E$10,((AJ694*(J694/Basis!$E$5)^AK694*(((MID(C694,9,3)*10)-144)/1000)*AL694+AM694*(J694/Basis!$E$5)^2)*0.0098)/Basis!$E$10)</f>
        <v>0</v>
      </c>
      <c r="M694" s="85"/>
      <c r="N694" s="110">
        <v>1.2769999999999999</v>
      </c>
      <c r="O694" s="74"/>
      <c r="P694" s="73">
        <v>2131</v>
      </c>
      <c r="Q694" s="74"/>
      <c r="R694" s="75"/>
      <c r="S694" s="75"/>
      <c r="T694" s="75"/>
      <c r="U694" s="75"/>
      <c r="V694" s="75"/>
      <c r="W694" s="74"/>
      <c r="X694" s="76"/>
      <c r="Y694" s="76"/>
      <c r="Z694" s="76"/>
      <c r="AA694" s="76"/>
      <c r="AB694" s="76"/>
      <c r="AC694" s="74"/>
      <c r="AD694" s="77"/>
      <c r="AE694" s="77"/>
      <c r="AF694" s="77"/>
      <c r="AG694" s="77"/>
      <c r="AH694" s="77"/>
      <c r="AI694" s="68"/>
      <c r="AJ694" s="213"/>
      <c r="AK694" s="213"/>
      <c r="AL694" s="213"/>
      <c r="AM694" s="213"/>
      <c r="AN694" s="74"/>
      <c r="AO694" s="73"/>
      <c r="AP694" s="73"/>
      <c r="AQ694" s="73"/>
      <c r="AR694" s="73"/>
      <c r="AS694" s="73"/>
      <c r="AT694" s="74"/>
      <c r="AU694" s="47"/>
      <c r="AV694" s="48"/>
    </row>
    <row r="695" spans="1:48" ht="12.75" customHeight="1" x14ac:dyDescent="0.25">
      <c r="A695" s="72" t="s">
        <v>4041</v>
      </c>
      <c r="B695" s="43" t="s">
        <v>4042</v>
      </c>
      <c r="C695" s="44" t="s">
        <v>4023</v>
      </c>
      <c r="D695" s="45">
        <f>MROUND(MID($C695,6,3)/Basis!$E$3,0.5)</f>
        <v>110</v>
      </c>
      <c r="E695" s="45">
        <f>MROUND(MID($C695,9,3)/Basis!$E$3,0.5)</f>
        <v>27</v>
      </c>
      <c r="F695" s="229" t="str">
        <f t="shared" si="10"/>
        <v>11</v>
      </c>
      <c r="G695" s="45">
        <f>ROUND(5/Basis!$E$3,1)</f>
        <v>2</v>
      </c>
      <c r="H695" s="120">
        <f>ROUND($P695*Basis!$E$2*((TaH-TrH)/LN(1/µ)/Basis!$E$7)^$N695*Glycol,0)</f>
        <v>5247</v>
      </c>
      <c r="I695" s="83">
        <f>ROUND(H695/(MID($C695,9,3)/Basis!$E$3/Basis!$E$9)*Basis!$E$11,0)</f>
        <v>2318</v>
      </c>
      <c r="J695" s="123">
        <f>IF(Basis!$E$1=1,ROUND(H695/((TaH-TrH)*1.163)/3600,3),ROUND(H695/(500*(TaH-TrH)),2))</f>
        <v>0.52</v>
      </c>
      <c r="K695" s="84"/>
      <c r="L695" s="177">
        <f>CHOOSE(Basis!$E$1,((AJ695*(J695*3600/Basis!$E$5)^AK695*(((MID(C695,9,3)*10)-144)/1000)*AL695+AM695*(J695*3600/Basis!$E$5)^2)*0.0098)/Basis!$E$10,((AJ695*(J695/Basis!$E$5)^AK695*(((MID(C695,9,3)*10)-144)/1000)*AL695+AM695*(J695/Basis!$E$5)^2)*0.0098)/Basis!$E$10)</f>
        <v>0</v>
      </c>
      <c r="M695" s="85"/>
      <c r="N695" s="110">
        <v>1.2769999999999999</v>
      </c>
      <c r="O695" s="74"/>
      <c r="P695" s="73">
        <v>2344</v>
      </c>
      <c r="Q695" s="74"/>
      <c r="R695" s="75"/>
      <c r="S695" s="75"/>
      <c r="T695" s="75"/>
      <c r="U695" s="75"/>
      <c r="V695" s="75"/>
      <c r="W695" s="74"/>
      <c r="X695" s="76"/>
      <c r="Y695" s="76"/>
      <c r="Z695" s="76"/>
      <c r="AA695" s="76"/>
      <c r="AB695" s="76"/>
      <c r="AC695" s="74"/>
      <c r="AD695" s="77"/>
      <c r="AE695" s="77"/>
      <c r="AF695" s="77"/>
      <c r="AG695" s="77"/>
      <c r="AH695" s="77"/>
      <c r="AI695" s="68"/>
      <c r="AJ695" s="213"/>
      <c r="AK695" s="213"/>
      <c r="AL695" s="213"/>
      <c r="AM695" s="213"/>
      <c r="AN695" s="74"/>
      <c r="AO695" s="73"/>
      <c r="AP695" s="73"/>
      <c r="AQ695" s="73"/>
      <c r="AR695" s="73"/>
      <c r="AS695" s="73"/>
      <c r="AT695" s="74"/>
      <c r="AU695" s="47"/>
      <c r="AV695" s="48"/>
    </row>
    <row r="696" spans="1:48" ht="12.75" customHeight="1" x14ac:dyDescent="0.25">
      <c r="A696" s="72" t="s">
        <v>4041</v>
      </c>
      <c r="B696" s="43" t="s">
        <v>4042</v>
      </c>
      <c r="C696" s="44" t="s">
        <v>4024</v>
      </c>
      <c r="D696" s="45">
        <f>MROUND(MID($C696,6,3)/Basis!$E$3,0.5)</f>
        <v>110</v>
      </c>
      <c r="E696" s="45">
        <f>MROUND(MID($C696,9,3)/Basis!$E$3,0.5)</f>
        <v>29.5</v>
      </c>
      <c r="F696" s="229" t="str">
        <f t="shared" si="10"/>
        <v>11</v>
      </c>
      <c r="G696" s="45">
        <f>ROUND(5/Basis!$E$3,1)</f>
        <v>2</v>
      </c>
      <c r="H696" s="120">
        <f>ROUND($P696*Basis!$E$2*((TaH-TrH)/LN(1/µ)/Basis!$E$7)^$N696*Glycol,0)</f>
        <v>5724</v>
      </c>
      <c r="I696" s="83">
        <f>ROUND(H696/(MID($C696,9,3)/Basis!$E$3/Basis!$E$9)*Basis!$E$11,0)</f>
        <v>2326</v>
      </c>
      <c r="J696" s="123">
        <f>IF(Basis!$E$1=1,ROUND(H696/((TaH-TrH)*1.163)/3600,3),ROUND(H696/(500*(TaH-TrH)),2))</f>
        <v>0.56999999999999995</v>
      </c>
      <c r="K696" s="84"/>
      <c r="L696" s="177">
        <f>CHOOSE(Basis!$E$1,((AJ696*(J696*3600/Basis!$E$5)^AK696*(((MID(C696,9,3)*10)-144)/1000)*AL696+AM696*(J696*3600/Basis!$E$5)^2)*0.0098)/Basis!$E$10,((AJ696*(J696/Basis!$E$5)^AK696*(((MID(C696,9,3)*10)-144)/1000)*AL696+AM696*(J696/Basis!$E$5)^2)*0.0098)/Basis!$E$10)</f>
        <v>0</v>
      </c>
      <c r="M696" s="85"/>
      <c r="N696" s="109">
        <v>1.2769999999999999</v>
      </c>
      <c r="O696" s="68"/>
      <c r="P696" s="67">
        <v>2557</v>
      </c>
      <c r="Q696" s="68"/>
      <c r="R696" s="69"/>
      <c r="S696" s="69"/>
      <c r="T696" s="69"/>
      <c r="U696" s="69"/>
      <c r="V696" s="69"/>
      <c r="W696" s="68"/>
      <c r="X696" s="70"/>
      <c r="Y696" s="70"/>
      <c r="Z696" s="70"/>
      <c r="AA696" s="70"/>
      <c r="AB696" s="70"/>
      <c r="AC696" s="68"/>
      <c r="AD696" s="71"/>
      <c r="AE696" s="71"/>
      <c r="AF696" s="71"/>
      <c r="AG696" s="71"/>
      <c r="AH696" s="71"/>
      <c r="AI696" s="68"/>
      <c r="AJ696" s="214"/>
      <c r="AK696" s="214"/>
      <c r="AL696" s="214"/>
      <c r="AM696" s="214"/>
      <c r="AN696" s="68"/>
      <c r="AO696" s="67"/>
      <c r="AP696" s="67"/>
      <c r="AQ696" s="67"/>
      <c r="AR696" s="67"/>
      <c r="AS696" s="67"/>
      <c r="AT696" s="68"/>
      <c r="AU696" s="49"/>
      <c r="AV696" s="50"/>
    </row>
    <row r="697" spans="1:48" ht="12.75" customHeight="1" x14ac:dyDescent="0.25">
      <c r="A697" s="72" t="s">
        <v>4041</v>
      </c>
      <c r="B697" s="43" t="s">
        <v>4042</v>
      </c>
      <c r="C697" s="44" t="s">
        <v>4025</v>
      </c>
      <c r="D697" s="45">
        <f>MROUND(MID($C697,6,3)/Basis!$E$3,0.5)</f>
        <v>110</v>
      </c>
      <c r="E697" s="45">
        <f>MROUND(MID($C697,9,3)/Basis!$E$3,0.5)</f>
        <v>32</v>
      </c>
      <c r="F697" s="229" t="str">
        <f t="shared" si="10"/>
        <v>11</v>
      </c>
      <c r="G697" s="45">
        <f>ROUND(5/Basis!$E$3,1)</f>
        <v>2</v>
      </c>
      <c r="H697" s="120">
        <f>ROUND($P697*Basis!$E$2*((TaH-TrH)/LN(1/µ)/Basis!$E$7)^$N697*Glycol,0)</f>
        <v>6201</v>
      </c>
      <c r="I697" s="83">
        <f>ROUND(H697/(MID($C697,9,3)/Basis!$E$3/Basis!$E$9)*Basis!$E$11,0)</f>
        <v>2333</v>
      </c>
      <c r="J697" s="123">
        <f>IF(Basis!$E$1=1,ROUND(H697/((TaH-TrH)*1.163)/3600,3),ROUND(H697/(500*(TaH-TrH)),2))</f>
        <v>0.62</v>
      </c>
      <c r="K697" s="84"/>
      <c r="L697" s="177">
        <f>CHOOSE(Basis!$E$1,((AJ697*(J697*3600/Basis!$E$5)^AK697*(((MID(C697,9,3)*10)-144)/1000)*AL697+AM697*(J697*3600/Basis!$E$5)^2)*0.0098)/Basis!$E$10,((AJ697*(J697/Basis!$E$5)^AK697*(((MID(C697,9,3)*10)-144)/1000)*AL697+AM697*(J697/Basis!$E$5)^2)*0.0098)/Basis!$E$10)</f>
        <v>0</v>
      </c>
      <c r="M697" s="85"/>
      <c r="N697" s="109">
        <v>1.2769999999999999</v>
      </c>
      <c r="O697" s="68"/>
      <c r="P697" s="67">
        <v>2770</v>
      </c>
      <c r="Q697" s="68"/>
      <c r="R697" s="69"/>
      <c r="S697" s="69"/>
      <c r="T697" s="69"/>
      <c r="U697" s="69"/>
      <c r="V697" s="69"/>
      <c r="W697" s="68"/>
      <c r="X697" s="70"/>
      <c r="Y697" s="70"/>
      <c r="Z697" s="70"/>
      <c r="AA697" s="70"/>
      <c r="AB697" s="70"/>
      <c r="AC697" s="68"/>
      <c r="AD697" s="71"/>
      <c r="AE697" s="71"/>
      <c r="AF697" s="71"/>
      <c r="AG697" s="71"/>
      <c r="AH697" s="71"/>
      <c r="AI697" s="68"/>
      <c r="AJ697" s="214"/>
      <c r="AK697" s="214"/>
      <c r="AL697" s="214"/>
      <c r="AM697" s="214"/>
      <c r="AN697" s="68"/>
      <c r="AO697" s="67"/>
      <c r="AP697" s="67"/>
      <c r="AQ697" s="67"/>
      <c r="AR697" s="67"/>
      <c r="AS697" s="67"/>
      <c r="AT697" s="68"/>
      <c r="AU697" s="49"/>
      <c r="AV697" s="50"/>
    </row>
    <row r="698" spans="1:48" ht="12.75" customHeight="1" x14ac:dyDescent="0.25">
      <c r="A698" s="72" t="s">
        <v>4041</v>
      </c>
      <c r="B698" s="43" t="s">
        <v>4042</v>
      </c>
      <c r="C698" s="44" t="s">
        <v>4026</v>
      </c>
      <c r="D698" s="45">
        <f>MROUND(MID($C698,6,3)/Basis!$E$3,0.5)</f>
        <v>110</v>
      </c>
      <c r="E698" s="45">
        <f>MROUND(MID($C698,9,3)/Basis!$E$3,0.5)</f>
        <v>34.5</v>
      </c>
      <c r="F698" s="229" t="str">
        <f t="shared" si="10"/>
        <v>11</v>
      </c>
      <c r="G698" s="45">
        <f>ROUND(5/Basis!$E$3,1)</f>
        <v>2</v>
      </c>
      <c r="H698" s="120">
        <f>ROUND($P698*Basis!$E$2*((TaH-TrH)/LN(1/µ)/Basis!$E$7)^$N698*Glycol,0)</f>
        <v>6678</v>
      </c>
      <c r="I698" s="83">
        <f>ROUND(H698/(MID($C698,9,3)/Basis!$E$3/Basis!$E$9)*Basis!$E$11,0)</f>
        <v>2340</v>
      </c>
      <c r="J698" s="123">
        <f>IF(Basis!$E$1=1,ROUND(H698/((TaH-TrH)*1.163)/3600,3),ROUND(H698/(500*(TaH-TrH)),2))</f>
        <v>0.67</v>
      </c>
      <c r="K698" s="84"/>
      <c r="L698" s="177">
        <f>CHOOSE(Basis!$E$1,((AJ698*(J698*3600/Basis!$E$5)^AK698*(((MID(C698,9,3)*10)-144)/1000)*AL698+AM698*(J698*3600/Basis!$E$5)^2)*0.0098)/Basis!$E$10,((AJ698*(J698/Basis!$E$5)^AK698*(((MID(C698,9,3)*10)-144)/1000)*AL698+AM698*(J698/Basis!$E$5)^2)*0.0098)/Basis!$E$10)</f>
        <v>0</v>
      </c>
      <c r="M698" s="85"/>
      <c r="N698" s="110">
        <v>1.2769999999999999</v>
      </c>
      <c r="O698" s="74"/>
      <c r="P698" s="73">
        <v>2983</v>
      </c>
      <c r="Q698" s="74"/>
      <c r="R698" s="75"/>
      <c r="S698" s="75"/>
      <c r="T698" s="75"/>
      <c r="U698" s="75"/>
      <c r="V698" s="75"/>
      <c r="W698" s="74"/>
      <c r="X698" s="76"/>
      <c r="Y698" s="76"/>
      <c r="Z698" s="76"/>
      <c r="AA698" s="76"/>
      <c r="AB698" s="76"/>
      <c r="AC698" s="74"/>
      <c r="AD698" s="77"/>
      <c r="AE698" s="77"/>
      <c r="AF698" s="77"/>
      <c r="AG698" s="77"/>
      <c r="AH698" s="77"/>
      <c r="AI698" s="68"/>
      <c r="AJ698" s="213"/>
      <c r="AK698" s="213"/>
      <c r="AL698" s="213"/>
      <c r="AM698" s="213"/>
      <c r="AN698" s="74"/>
      <c r="AO698" s="73"/>
      <c r="AP698" s="73"/>
      <c r="AQ698" s="73"/>
      <c r="AR698" s="73"/>
      <c r="AS698" s="73"/>
      <c r="AT698" s="74"/>
      <c r="AU698" s="47"/>
      <c r="AV698" s="48"/>
    </row>
    <row r="699" spans="1:48" ht="12.75" customHeight="1" x14ac:dyDescent="0.25">
      <c r="A699" s="72" t="s">
        <v>4041</v>
      </c>
      <c r="B699" s="43" t="s">
        <v>4042</v>
      </c>
      <c r="C699" s="44" t="s">
        <v>4027</v>
      </c>
      <c r="D699" s="45">
        <f>MROUND(MID($C699,6,3)/Basis!$E$3,0.5)</f>
        <v>110</v>
      </c>
      <c r="E699" s="45">
        <f>MROUND(MID($C699,9,3)/Basis!$E$3,0.5)</f>
        <v>37</v>
      </c>
      <c r="F699" s="229" t="str">
        <f t="shared" si="10"/>
        <v>11</v>
      </c>
      <c r="G699" s="45">
        <f>ROUND(5/Basis!$E$3,1)</f>
        <v>2</v>
      </c>
      <c r="H699" s="120">
        <f>ROUND($P699*Basis!$E$2*((TaH-TrH)/LN(1/µ)/Basis!$E$7)^$N699*Glycol,0)</f>
        <v>7157</v>
      </c>
      <c r="I699" s="83">
        <f>ROUND(H699/(MID($C699,9,3)/Basis!$E$3/Basis!$E$9)*Basis!$E$11,0)</f>
        <v>2321</v>
      </c>
      <c r="J699" s="123">
        <f>IF(Basis!$E$1=1,ROUND(H699/((TaH-TrH)*1.163)/3600,3),ROUND(H699/(500*(TaH-TrH)),2))</f>
        <v>0.72</v>
      </c>
      <c r="K699" s="84"/>
      <c r="L699" s="177">
        <f>CHOOSE(Basis!$E$1,((AJ699*(J699*3600/Basis!$E$5)^AK699*(((MID(C699,9,3)*10)-144)/1000)*AL699+AM699*(J699*3600/Basis!$E$5)^2)*0.0098)/Basis!$E$10,((AJ699*(J699/Basis!$E$5)^AK699*(((MID(C699,9,3)*10)-144)/1000)*AL699+AM699*(J699/Basis!$E$5)^2)*0.0098)/Basis!$E$10)</f>
        <v>0</v>
      </c>
      <c r="M699" s="85"/>
      <c r="N699" s="110">
        <v>1.2769999999999999</v>
      </c>
      <c r="O699" s="74"/>
      <c r="P699" s="73">
        <v>3197</v>
      </c>
      <c r="Q699" s="74"/>
      <c r="R699" s="75"/>
      <c r="S699" s="75"/>
      <c r="T699" s="75"/>
      <c r="U699" s="75"/>
      <c r="V699" s="75"/>
      <c r="W699" s="74"/>
      <c r="X699" s="76"/>
      <c r="Y699" s="76"/>
      <c r="Z699" s="76"/>
      <c r="AA699" s="76"/>
      <c r="AB699" s="76"/>
      <c r="AC699" s="74"/>
      <c r="AD699" s="77"/>
      <c r="AE699" s="77"/>
      <c r="AF699" s="77"/>
      <c r="AG699" s="77"/>
      <c r="AH699" s="77"/>
      <c r="AI699" s="68"/>
      <c r="AJ699" s="213"/>
      <c r="AK699" s="213"/>
      <c r="AL699" s="213"/>
      <c r="AM699" s="213"/>
      <c r="AN699" s="74"/>
      <c r="AO699" s="73"/>
      <c r="AP699" s="73"/>
      <c r="AQ699" s="73"/>
      <c r="AR699" s="73"/>
      <c r="AS699" s="73"/>
      <c r="AT699" s="74"/>
      <c r="AU699" s="47"/>
      <c r="AV699" s="48"/>
    </row>
    <row r="700" spans="1:48" ht="12.75" customHeight="1" x14ac:dyDescent="0.25">
      <c r="A700" s="72" t="s">
        <v>4041</v>
      </c>
      <c r="B700" s="43" t="s">
        <v>4042</v>
      </c>
      <c r="C700" s="44" t="s">
        <v>4028</v>
      </c>
      <c r="D700" s="45">
        <f>MROUND(MID($C700,6,3)/Basis!$E$3,0.5)</f>
        <v>118</v>
      </c>
      <c r="E700" s="45">
        <f>MROUND(MID($C700,9,3)/Basis!$E$3,0.5)</f>
        <v>9.5</v>
      </c>
      <c r="F700" s="229" t="str">
        <f t="shared" si="10"/>
        <v>11</v>
      </c>
      <c r="G700" s="45">
        <f>ROUND(5/Basis!$E$3,1)</f>
        <v>2</v>
      </c>
      <c r="H700" s="120">
        <f>ROUND($P700*Basis!$E$2*((TaH-TrH)/LN(1/µ)/Basis!$E$7)^$N700*Glycol,0)</f>
        <v>2015</v>
      </c>
      <c r="I700" s="83">
        <f>ROUND(H700/(MID($C700,9,3)/Basis!$E$3/Basis!$E$9)*Basis!$E$11,0)</f>
        <v>2559</v>
      </c>
      <c r="J700" s="123">
        <f>IF(Basis!$E$1=1,ROUND(H700/((TaH-TrH)*1.163)/3600,3),ROUND(H700/(500*(TaH-TrH)),2))</f>
        <v>0.2</v>
      </c>
      <c r="K700" s="84"/>
      <c r="L700" s="177">
        <f>CHOOSE(Basis!$E$1,((AJ700*(J700*3600/Basis!$E$5)^AK700*(((MID(C700,9,3)*10)-144)/1000)*AL700+AM700*(J700*3600/Basis!$E$5)^2)*0.0098)/Basis!$E$10,((AJ700*(J700/Basis!$E$5)^AK700*(((MID(C700,9,3)*10)-144)/1000)*AL700+AM700*(J700/Basis!$E$5)^2)*0.0098)/Basis!$E$10)</f>
        <v>0</v>
      </c>
      <c r="M700" s="85"/>
      <c r="N700" s="109">
        <v>1.2669999999999999</v>
      </c>
      <c r="O700" s="68"/>
      <c r="P700" s="67">
        <v>897</v>
      </c>
      <c r="Q700" s="68"/>
      <c r="R700" s="69"/>
      <c r="S700" s="69"/>
      <c r="T700" s="69"/>
      <c r="U700" s="69"/>
      <c r="V700" s="69"/>
      <c r="W700" s="68"/>
      <c r="X700" s="70"/>
      <c r="Y700" s="70"/>
      <c r="Z700" s="70"/>
      <c r="AA700" s="70"/>
      <c r="AB700" s="70"/>
      <c r="AC700" s="68"/>
      <c r="AD700" s="71"/>
      <c r="AE700" s="71"/>
      <c r="AF700" s="71"/>
      <c r="AG700" s="71"/>
      <c r="AH700" s="71"/>
      <c r="AI700" s="68"/>
      <c r="AJ700" s="214"/>
      <c r="AK700" s="214"/>
      <c r="AL700" s="214"/>
      <c r="AM700" s="214"/>
      <c r="AN700" s="68"/>
      <c r="AO700" s="67"/>
      <c r="AP700" s="67"/>
      <c r="AQ700" s="67"/>
      <c r="AR700" s="67"/>
      <c r="AS700" s="67"/>
      <c r="AT700" s="68"/>
      <c r="AU700" s="49"/>
      <c r="AV700" s="50"/>
    </row>
    <row r="701" spans="1:48" ht="12.75" customHeight="1" x14ac:dyDescent="0.25">
      <c r="A701" s="72" t="s">
        <v>4041</v>
      </c>
      <c r="B701" s="43" t="s">
        <v>4042</v>
      </c>
      <c r="C701" s="44" t="s">
        <v>4029</v>
      </c>
      <c r="D701" s="45">
        <f>MROUND(MID($C701,6,3)/Basis!$E$3,0.5)</f>
        <v>118</v>
      </c>
      <c r="E701" s="45">
        <f>MROUND(MID($C701,9,3)/Basis!$E$3,0.5)</f>
        <v>12</v>
      </c>
      <c r="F701" s="229" t="str">
        <f t="shared" si="10"/>
        <v>11</v>
      </c>
      <c r="G701" s="45">
        <f>ROUND(5/Basis!$E$3,1)</f>
        <v>2</v>
      </c>
      <c r="H701" s="120">
        <f>ROUND($P701*Basis!$E$2*((TaH-TrH)/LN(1/µ)/Basis!$E$7)^$N701*Glycol,0)</f>
        <v>2518</v>
      </c>
      <c r="I701" s="83">
        <f>ROUND(H701/(MID($C701,9,3)/Basis!$E$3/Basis!$E$9)*Basis!$E$11,0)</f>
        <v>2476</v>
      </c>
      <c r="J701" s="123">
        <f>IF(Basis!$E$1=1,ROUND(H701/((TaH-TrH)*1.163)/3600,3),ROUND(H701/(500*(TaH-TrH)),2))</f>
        <v>0.25</v>
      </c>
      <c r="K701" s="84"/>
      <c r="L701" s="177">
        <f>CHOOSE(Basis!$E$1,((AJ701*(J701*3600/Basis!$E$5)^AK701*(((MID(C701,9,3)*10)-144)/1000)*AL701+AM701*(J701*3600/Basis!$E$5)^2)*0.0098)/Basis!$E$10,((AJ701*(J701/Basis!$E$5)^AK701*(((MID(C701,9,3)*10)-144)/1000)*AL701+AM701*(J701/Basis!$E$5)^2)*0.0098)/Basis!$E$10)</f>
        <v>0</v>
      </c>
      <c r="M701" s="85"/>
      <c r="N701" s="109">
        <v>1.2669999999999999</v>
      </c>
      <c r="O701" s="68"/>
      <c r="P701" s="67">
        <v>1121</v>
      </c>
      <c r="Q701" s="68"/>
      <c r="R701" s="69"/>
      <c r="S701" s="69"/>
      <c r="T701" s="69"/>
      <c r="U701" s="69"/>
      <c r="V701" s="69"/>
      <c r="W701" s="68"/>
      <c r="X701" s="70"/>
      <c r="Y701" s="70"/>
      <c r="Z701" s="70"/>
      <c r="AA701" s="70"/>
      <c r="AB701" s="70"/>
      <c r="AC701" s="68"/>
      <c r="AD701" s="71"/>
      <c r="AE701" s="71"/>
      <c r="AF701" s="71"/>
      <c r="AG701" s="71"/>
      <c r="AH701" s="71"/>
      <c r="AI701" s="68"/>
      <c r="AJ701" s="214"/>
      <c r="AK701" s="214"/>
      <c r="AL701" s="214"/>
      <c r="AM701" s="214"/>
      <c r="AN701" s="68"/>
      <c r="AO701" s="67"/>
      <c r="AP701" s="67"/>
      <c r="AQ701" s="67"/>
      <c r="AR701" s="67"/>
      <c r="AS701" s="67"/>
      <c r="AT701" s="68"/>
      <c r="AU701" s="49"/>
      <c r="AV701" s="50"/>
    </row>
    <row r="702" spans="1:48" ht="12.75" customHeight="1" x14ac:dyDescent="0.25">
      <c r="A702" s="72" t="s">
        <v>4041</v>
      </c>
      <c r="B702" s="43" t="s">
        <v>4042</v>
      </c>
      <c r="C702" s="44" t="s">
        <v>4030</v>
      </c>
      <c r="D702" s="45">
        <f>MROUND(MID($C702,6,3)/Basis!$E$3,0.5)</f>
        <v>118</v>
      </c>
      <c r="E702" s="45">
        <f>MROUND(MID($C702,9,3)/Basis!$E$3,0.5)</f>
        <v>14.5</v>
      </c>
      <c r="F702" s="229" t="str">
        <f t="shared" si="10"/>
        <v>11</v>
      </c>
      <c r="G702" s="45">
        <f>ROUND(5/Basis!$E$3,1)</f>
        <v>2</v>
      </c>
      <c r="H702" s="120">
        <f>ROUND($P702*Basis!$E$2*((TaH-TrH)/LN(1/µ)/Basis!$E$7)^$N702*Glycol,0)</f>
        <v>3021</v>
      </c>
      <c r="I702" s="83">
        <f>ROUND(H702/(MID($C702,9,3)/Basis!$E$3/Basis!$E$9)*Basis!$E$11,0)</f>
        <v>2489</v>
      </c>
      <c r="J702" s="123">
        <f>IF(Basis!$E$1=1,ROUND(H702/((TaH-TrH)*1.163)/3600,3),ROUND(H702/(500*(TaH-TrH)),2))</f>
        <v>0.3</v>
      </c>
      <c r="K702" s="84"/>
      <c r="L702" s="177">
        <f>CHOOSE(Basis!$E$1,((AJ702*(J702*3600/Basis!$E$5)^AK702*(((MID(C702,9,3)*10)-144)/1000)*AL702+AM702*(J702*3600/Basis!$E$5)^2)*0.0098)/Basis!$E$10,((AJ702*(J702/Basis!$E$5)^AK702*(((MID(C702,9,3)*10)-144)/1000)*AL702+AM702*(J702/Basis!$E$5)^2)*0.0098)/Basis!$E$10)</f>
        <v>0</v>
      </c>
      <c r="M702" s="85"/>
      <c r="N702" s="110">
        <v>1.2669999999999999</v>
      </c>
      <c r="O702" s="74"/>
      <c r="P702" s="73">
        <v>1345</v>
      </c>
      <c r="Q702" s="74"/>
      <c r="R702" s="75"/>
      <c r="S702" s="75"/>
      <c r="T702" s="75"/>
      <c r="U702" s="75"/>
      <c r="V702" s="75"/>
      <c r="W702" s="74"/>
      <c r="X702" s="76"/>
      <c r="Y702" s="76"/>
      <c r="Z702" s="76"/>
      <c r="AA702" s="76"/>
      <c r="AB702" s="76"/>
      <c r="AC702" s="74"/>
      <c r="AD702" s="77"/>
      <c r="AE702" s="77"/>
      <c r="AF702" s="77"/>
      <c r="AG702" s="77"/>
      <c r="AH702" s="77"/>
      <c r="AI702" s="68"/>
      <c r="AJ702" s="213"/>
      <c r="AK702" s="213"/>
      <c r="AL702" s="213"/>
      <c r="AM702" s="213"/>
      <c r="AN702" s="74"/>
      <c r="AO702" s="73"/>
      <c r="AP702" s="73"/>
      <c r="AQ702" s="73"/>
      <c r="AR702" s="73"/>
      <c r="AS702" s="73"/>
      <c r="AT702" s="74"/>
      <c r="AU702" s="47"/>
      <c r="AV702" s="48"/>
    </row>
    <row r="703" spans="1:48" ht="12.75" customHeight="1" x14ac:dyDescent="0.25">
      <c r="A703" s="72" t="s">
        <v>4041</v>
      </c>
      <c r="B703" s="43" t="s">
        <v>4042</v>
      </c>
      <c r="C703" s="44" t="s">
        <v>4031</v>
      </c>
      <c r="D703" s="45">
        <f>MROUND(MID($C703,6,3)/Basis!$E$3,0.5)</f>
        <v>118</v>
      </c>
      <c r="E703" s="45">
        <f>MROUND(MID($C703,9,3)/Basis!$E$3,0.5)</f>
        <v>17</v>
      </c>
      <c r="F703" s="229" t="str">
        <f t="shared" si="10"/>
        <v>11</v>
      </c>
      <c r="G703" s="45">
        <f>ROUND(5/Basis!$E$3,1)</f>
        <v>2</v>
      </c>
      <c r="H703" s="120">
        <f>ROUND($P703*Basis!$E$2*((TaH-TrH)/LN(1/µ)/Basis!$E$7)^$N703*Glycol,0)</f>
        <v>3524</v>
      </c>
      <c r="I703" s="83">
        <f>ROUND(H703/(MID($C703,9,3)/Basis!$E$3/Basis!$E$9)*Basis!$E$11,0)</f>
        <v>2498</v>
      </c>
      <c r="J703" s="123">
        <f>IF(Basis!$E$1=1,ROUND(H703/((TaH-TrH)*1.163)/3600,3),ROUND(H703/(500*(TaH-TrH)),2))</f>
        <v>0.35</v>
      </c>
      <c r="K703" s="84"/>
      <c r="L703" s="177">
        <f>CHOOSE(Basis!$E$1,((AJ703*(J703*3600/Basis!$E$5)^AK703*(((MID(C703,9,3)*10)-144)/1000)*AL703+AM703*(J703*3600/Basis!$E$5)^2)*0.0098)/Basis!$E$10,((AJ703*(J703/Basis!$E$5)^AK703*(((MID(C703,9,3)*10)-144)/1000)*AL703+AM703*(J703/Basis!$E$5)^2)*0.0098)/Basis!$E$10)</f>
        <v>0</v>
      </c>
      <c r="M703" s="85"/>
      <c r="N703" s="110">
        <v>1.2669999999999999</v>
      </c>
      <c r="O703" s="74"/>
      <c r="P703" s="73">
        <v>1569</v>
      </c>
      <c r="Q703" s="74"/>
      <c r="R703" s="75"/>
      <c r="S703" s="75"/>
      <c r="T703" s="75"/>
      <c r="U703" s="75"/>
      <c r="V703" s="75"/>
      <c r="W703" s="74"/>
      <c r="X703" s="76"/>
      <c r="Y703" s="76"/>
      <c r="Z703" s="76"/>
      <c r="AA703" s="76"/>
      <c r="AB703" s="76"/>
      <c r="AC703" s="74"/>
      <c r="AD703" s="77"/>
      <c r="AE703" s="77"/>
      <c r="AF703" s="77"/>
      <c r="AG703" s="77"/>
      <c r="AH703" s="77"/>
      <c r="AI703" s="68"/>
      <c r="AJ703" s="213"/>
      <c r="AK703" s="213"/>
      <c r="AL703" s="213"/>
      <c r="AM703" s="213"/>
      <c r="AN703" s="74"/>
      <c r="AO703" s="73"/>
      <c r="AP703" s="73"/>
      <c r="AQ703" s="73"/>
      <c r="AR703" s="73"/>
      <c r="AS703" s="73"/>
      <c r="AT703" s="74"/>
      <c r="AU703" s="47"/>
      <c r="AV703" s="48"/>
    </row>
    <row r="704" spans="1:48" ht="12.75" customHeight="1" x14ac:dyDescent="0.25">
      <c r="A704" s="72" t="s">
        <v>4041</v>
      </c>
      <c r="B704" s="43" t="s">
        <v>4042</v>
      </c>
      <c r="C704" s="44" t="s">
        <v>4032</v>
      </c>
      <c r="D704" s="45">
        <f>MROUND(MID($C704,6,3)/Basis!$E$3,0.5)</f>
        <v>118</v>
      </c>
      <c r="E704" s="45">
        <f>MROUND(MID($C704,9,3)/Basis!$E$3,0.5)</f>
        <v>19.5</v>
      </c>
      <c r="F704" s="229" t="str">
        <f t="shared" si="10"/>
        <v>11</v>
      </c>
      <c r="G704" s="45">
        <f>ROUND(5/Basis!$E$3,1)</f>
        <v>2</v>
      </c>
      <c r="H704" s="120">
        <f>ROUND($P704*Basis!$E$2*((TaH-TrH)/LN(1/µ)/Basis!$E$7)^$N704*Glycol,0)</f>
        <v>4029</v>
      </c>
      <c r="I704" s="83">
        <f>ROUND(H704/(MID($C704,9,3)/Basis!$E$3/Basis!$E$9)*Basis!$E$11,0)</f>
        <v>2456</v>
      </c>
      <c r="J704" s="123">
        <f>IF(Basis!$E$1=1,ROUND(H704/((TaH-TrH)*1.163)/3600,3),ROUND(H704/(500*(TaH-TrH)),2))</f>
        <v>0.4</v>
      </c>
      <c r="K704" s="84"/>
      <c r="L704" s="177">
        <f>CHOOSE(Basis!$E$1,((AJ704*(J704*3600/Basis!$E$5)^AK704*(((MID(C704,9,3)*10)-144)/1000)*AL704+AM704*(J704*3600/Basis!$E$5)^2)*0.0098)/Basis!$E$10,((AJ704*(J704/Basis!$E$5)^AK704*(((MID(C704,9,3)*10)-144)/1000)*AL704+AM704*(J704/Basis!$E$5)^2)*0.0098)/Basis!$E$10)</f>
        <v>0</v>
      </c>
      <c r="M704" s="85"/>
      <c r="N704" s="109">
        <v>1.2669999999999999</v>
      </c>
      <c r="O704" s="68"/>
      <c r="P704" s="67">
        <v>1794</v>
      </c>
      <c r="Q704" s="68"/>
      <c r="R704" s="69"/>
      <c r="S704" s="69"/>
      <c r="T704" s="69"/>
      <c r="U704" s="69"/>
      <c r="V704" s="69"/>
      <c r="W704" s="68"/>
      <c r="X704" s="70"/>
      <c r="Y704" s="70"/>
      <c r="Z704" s="70"/>
      <c r="AA704" s="70"/>
      <c r="AB704" s="70"/>
      <c r="AC704" s="68"/>
      <c r="AD704" s="71"/>
      <c r="AE704" s="71"/>
      <c r="AF704" s="71"/>
      <c r="AG704" s="71"/>
      <c r="AH704" s="71"/>
      <c r="AI704" s="68"/>
      <c r="AJ704" s="214"/>
      <c r="AK704" s="214"/>
      <c r="AL704" s="214"/>
      <c r="AM704" s="214"/>
      <c r="AN704" s="68"/>
      <c r="AO704" s="67"/>
      <c r="AP704" s="67"/>
      <c r="AQ704" s="67"/>
      <c r="AR704" s="67"/>
      <c r="AS704" s="67"/>
      <c r="AT704" s="68"/>
      <c r="AU704" s="49"/>
      <c r="AV704" s="50"/>
    </row>
    <row r="705" spans="1:73" ht="12.75" customHeight="1" x14ac:dyDescent="0.25">
      <c r="A705" s="72" t="s">
        <v>4041</v>
      </c>
      <c r="B705" s="43" t="s">
        <v>4042</v>
      </c>
      <c r="C705" s="44" t="s">
        <v>4033</v>
      </c>
      <c r="D705" s="45">
        <f>MROUND(MID($C705,6,3)/Basis!$E$3,0.5)</f>
        <v>118</v>
      </c>
      <c r="E705" s="45">
        <f>MROUND(MID($C705,9,3)/Basis!$E$3,0.5)</f>
        <v>22</v>
      </c>
      <c r="F705" s="229" t="str">
        <f t="shared" si="10"/>
        <v>11</v>
      </c>
      <c r="G705" s="45">
        <f>ROUND(5/Basis!$E$3,1)</f>
        <v>2</v>
      </c>
      <c r="H705" s="120">
        <f>ROUND($P705*Basis!$E$2*((TaH-TrH)/LN(1/µ)/Basis!$E$7)^$N705*Glycol,0)</f>
        <v>4533</v>
      </c>
      <c r="I705" s="83">
        <f>ROUND(H705/(MID($C705,9,3)/Basis!$E$3/Basis!$E$9)*Basis!$E$11,0)</f>
        <v>2467</v>
      </c>
      <c r="J705" s="123">
        <f>IF(Basis!$E$1=1,ROUND(H705/((TaH-TrH)*1.163)/3600,3),ROUND(H705/(500*(TaH-TrH)),2))</f>
        <v>0.45</v>
      </c>
      <c r="K705" s="84"/>
      <c r="L705" s="177">
        <f>CHOOSE(Basis!$E$1,((AJ705*(J705*3600/Basis!$E$5)^AK705*(((MID(C705,9,3)*10)-144)/1000)*AL705+AM705*(J705*3600/Basis!$E$5)^2)*0.0098)/Basis!$E$10,((AJ705*(J705/Basis!$E$5)^AK705*(((MID(C705,9,3)*10)-144)/1000)*AL705+AM705*(J705/Basis!$E$5)^2)*0.0098)/Basis!$E$10)</f>
        <v>0</v>
      </c>
      <c r="M705" s="85"/>
      <c r="N705" s="109">
        <v>1.2669999999999999</v>
      </c>
      <c r="O705" s="68"/>
      <c r="P705" s="67">
        <v>2018</v>
      </c>
      <c r="Q705" s="68"/>
      <c r="R705" s="69"/>
      <c r="S705" s="69"/>
      <c r="T705" s="69"/>
      <c r="U705" s="69"/>
      <c r="V705" s="69"/>
      <c r="W705" s="68"/>
      <c r="X705" s="70"/>
      <c r="Y705" s="70"/>
      <c r="Z705" s="70"/>
      <c r="AA705" s="70"/>
      <c r="AB705" s="70"/>
      <c r="AC705" s="68"/>
      <c r="AD705" s="71"/>
      <c r="AE705" s="71"/>
      <c r="AF705" s="71"/>
      <c r="AG705" s="71"/>
      <c r="AH705" s="71"/>
      <c r="AI705" s="68"/>
      <c r="AJ705" s="214"/>
      <c r="AK705" s="214"/>
      <c r="AL705" s="214"/>
      <c r="AM705" s="214"/>
      <c r="AN705" s="68"/>
      <c r="AO705" s="67"/>
      <c r="AP705" s="67"/>
      <c r="AQ705" s="67"/>
      <c r="AR705" s="67"/>
      <c r="AS705" s="67"/>
      <c r="AT705" s="68"/>
      <c r="AU705" s="49"/>
      <c r="AV705" s="50"/>
    </row>
    <row r="706" spans="1:73" ht="12.75" customHeight="1" x14ac:dyDescent="0.25">
      <c r="A706" s="72" t="s">
        <v>4041</v>
      </c>
      <c r="B706" s="43" t="s">
        <v>4042</v>
      </c>
      <c r="C706" s="44" t="s">
        <v>4034</v>
      </c>
      <c r="D706" s="45">
        <f>MROUND(MID($C706,6,3)/Basis!$E$3,0.5)</f>
        <v>118</v>
      </c>
      <c r="E706" s="45">
        <f>MROUND(MID($C706,9,3)/Basis!$E$3,0.5)</f>
        <v>24.5</v>
      </c>
      <c r="F706" s="229" t="str">
        <f t="shared" si="10"/>
        <v>11</v>
      </c>
      <c r="G706" s="45">
        <f>ROUND(5/Basis!$E$3,1)</f>
        <v>2</v>
      </c>
      <c r="H706" s="120">
        <f>ROUND($P706*Basis!$E$2*((TaH-TrH)/LN(1/µ)/Basis!$E$7)^$N706*Glycol,0)</f>
        <v>5036</v>
      </c>
      <c r="I706" s="83">
        <f>ROUND(H706/(MID($C706,9,3)/Basis!$E$3/Basis!$E$9)*Basis!$E$11,0)</f>
        <v>2476</v>
      </c>
      <c r="J706" s="123">
        <f>IF(Basis!$E$1=1,ROUND(H706/((TaH-TrH)*1.163)/3600,3),ROUND(H706/(500*(TaH-TrH)),2))</f>
        <v>0.5</v>
      </c>
      <c r="K706" s="84"/>
      <c r="L706" s="177">
        <f>CHOOSE(Basis!$E$1,((AJ706*(J706*3600/Basis!$E$5)^AK706*(((MID(C706,9,3)*10)-144)/1000)*AL706+AM706*(J706*3600/Basis!$E$5)^2)*0.0098)/Basis!$E$10,((AJ706*(J706/Basis!$E$5)^AK706*(((MID(C706,9,3)*10)-144)/1000)*AL706+AM706*(J706/Basis!$E$5)^2)*0.0098)/Basis!$E$10)</f>
        <v>0</v>
      </c>
      <c r="M706" s="85"/>
      <c r="N706" s="110">
        <v>1.2669999999999999</v>
      </c>
      <c r="O706" s="74"/>
      <c r="P706" s="73">
        <v>2242</v>
      </c>
      <c r="Q706" s="74"/>
      <c r="R706" s="75"/>
      <c r="S706" s="75"/>
      <c r="T706" s="75"/>
      <c r="U706" s="75"/>
      <c r="V706" s="75"/>
      <c r="W706" s="74"/>
      <c r="X706" s="76"/>
      <c r="Y706" s="76"/>
      <c r="Z706" s="76"/>
      <c r="AA706" s="76"/>
      <c r="AB706" s="76"/>
      <c r="AC706" s="74"/>
      <c r="AD706" s="77"/>
      <c r="AE706" s="77"/>
      <c r="AF706" s="77"/>
      <c r="AG706" s="77"/>
      <c r="AH706" s="77"/>
      <c r="AI706" s="68"/>
      <c r="AJ706" s="213"/>
      <c r="AK706" s="213"/>
      <c r="AL706" s="213"/>
      <c r="AM706" s="213"/>
      <c r="AN706" s="74"/>
      <c r="AO706" s="73"/>
      <c r="AP706" s="73"/>
      <c r="AQ706" s="73"/>
      <c r="AR706" s="73"/>
      <c r="AS706" s="73"/>
      <c r="AT706" s="74"/>
      <c r="AU706" s="47"/>
      <c r="AV706" s="48"/>
    </row>
    <row r="707" spans="1:73" ht="12.75" customHeight="1" x14ac:dyDescent="0.25">
      <c r="A707" s="72" t="s">
        <v>4041</v>
      </c>
      <c r="B707" s="43" t="s">
        <v>4042</v>
      </c>
      <c r="C707" s="44" t="s">
        <v>4035</v>
      </c>
      <c r="D707" s="45">
        <f>MROUND(MID($C707,6,3)/Basis!$E$3,0.5)</f>
        <v>118</v>
      </c>
      <c r="E707" s="45">
        <f>MROUND(MID($C707,9,3)/Basis!$E$3,0.5)</f>
        <v>27</v>
      </c>
      <c r="F707" s="229" t="str">
        <f t="shared" si="10"/>
        <v>11</v>
      </c>
      <c r="G707" s="45">
        <f>ROUND(5/Basis!$E$3,1)</f>
        <v>2</v>
      </c>
      <c r="H707" s="120">
        <f>ROUND($P707*Basis!$E$2*((TaH-TrH)/LN(1/µ)/Basis!$E$7)^$N707*Glycol,0)</f>
        <v>5539</v>
      </c>
      <c r="I707" s="83">
        <f>ROUND(H707/(MID($C707,9,3)/Basis!$E$3/Basis!$E$9)*Basis!$E$11,0)</f>
        <v>2447</v>
      </c>
      <c r="J707" s="123">
        <f>IF(Basis!$E$1=1,ROUND(H707/((TaH-TrH)*1.163)/3600,3),ROUND(H707/(500*(TaH-TrH)),2))</f>
        <v>0.55000000000000004</v>
      </c>
      <c r="K707" s="84"/>
      <c r="L707" s="177">
        <f>CHOOSE(Basis!$E$1,((AJ707*(J707*3600/Basis!$E$5)^AK707*(((MID(C707,9,3)*10)-144)/1000)*AL707+AM707*(J707*3600/Basis!$E$5)^2)*0.0098)/Basis!$E$10,((AJ707*(J707/Basis!$E$5)^AK707*(((MID(C707,9,3)*10)-144)/1000)*AL707+AM707*(J707/Basis!$E$5)^2)*0.0098)/Basis!$E$10)</f>
        <v>0</v>
      </c>
      <c r="M707" s="85"/>
      <c r="N707" s="110">
        <v>1.2669999999999999</v>
      </c>
      <c r="O707" s="74"/>
      <c r="P707" s="73">
        <v>2466</v>
      </c>
      <c r="Q707" s="74"/>
      <c r="R707" s="75"/>
      <c r="S707" s="75"/>
      <c r="T707" s="75"/>
      <c r="U707" s="75"/>
      <c r="V707" s="75"/>
      <c r="W707" s="74"/>
      <c r="X707" s="76"/>
      <c r="Y707" s="76"/>
      <c r="Z707" s="76"/>
      <c r="AA707" s="76"/>
      <c r="AB707" s="76"/>
      <c r="AC707" s="74"/>
      <c r="AD707" s="77"/>
      <c r="AE707" s="77"/>
      <c r="AF707" s="77"/>
      <c r="AG707" s="77"/>
      <c r="AH707" s="77"/>
      <c r="AI707" s="68"/>
      <c r="AJ707" s="213"/>
      <c r="AK707" s="213"/>
      <c r="AL707" s="213"/>
      <c r="AM707" s="213"/>
      <c r="AN707" s="74"/>
      <c r="AO707" s="73"/>
      <c r="AP707" s="73"/>
      <c r="AQ707" s="73"/>
      <c r="AR707" s="73"/>
      <c r="AS707" s="73"/>
      <c r="AT707" s="74"/>
      <c r="AU707" s="47"/>
      <c r="AV707" s="48"/>
    </row>
    <row r="708" spans="1:73" ht="12.75" customHeight="1" x14ac:dyDescent="0.25">
      <c r="A708" s="72" t="s">
        <v>4041</v>
      </c>
      <c r="B708" s="43" t="s">
        <v>4042</v>
      </c>
      <c r="C708" s="44" t="s">
        <v>4036</v>
      </c>
      <c r="D708" s="45">
        <f>MROUND(MID($C708,6,3)/Basis!$E$3,0.5)</f>
        <v>118</v>
      </c>
      <c r="E708" s="45">
        <f>MROUND(MID($C708,9,3)/Basis!$E$3,0.5)</f>
        <v>29.5</v>
      </c>
      <c r="F708" s="229" t="str">
        <f t="shared" si="10"/>
        <v>11</v>
      </c>
      <c r="G708" s="45">
        <f>ROUND(5/Basis!$E$3,1)</f>
        <v>2</v>
      </c>
      <c r="H708" s="120">
        <f>ROUND($P708*Basis!$E$2*((TaH-TrH)/LN(1/µ)/Basis!$E$7)^$N708*Glycol,0)</f>
        <v>6042</v>
      </c>
      <c r="I708" s="83">
        <f>ROUND(H708/(MID($C708,9,3)/Basis!$E$3/Basis!$E$9)*Basis!$E$11,0)</f>
        <v>2455</v>
      </c>
      <c r="J708" s="123">
        <f>IF(Basis!$E$1=1,ROUND(H708/((TaH-TrH)*1.163)/3600,3),ROUND(H708/(500*(TaH-TrH)),2))</f>
        <v>0.6</v>
      </c>
      <c r="K708" s="84"/>
      <c r="L708" s="177">
        <f>CHOOSE(Basis!$E$1,((AJ708*(J708*3600/Basis!$E$5)^AK708*(((MID(C708,9,3)*10)-144)/1000)*AL708+AM708*(J708*3600/Basis!$E$5)^2)*0.0098)/Basis!$E$10,((AJ708*(J708/Basis!$E$5)^AK708*(((MID(C708,9,3)*10)-144)/1000)*AL708+AM708*(J708/Basis!$E$5)^2)*0.0098)/Basis!$E$10)</f>
        <v>0</v>
      </c>
      <c r="M708" s="85"/>
      <c r="N708" s="109">
        <v>1.2669999999999999</v>
      </c>
      <c r="O708" s="68"/>
      <c r="P708" s="67">
        <v>2690</v>
      </c>
      <c r="Q708" s="68"/>
      <c r="R708" s="69"/>
      <c r="S708" s="69"/>
      <c r="T708" s="69"/>
      <c r="U708" s="69"/>
      <c r="V708" s="69"/>
      <c r="W708" s="68"/>
      <c r="X708" s="70"/>
      <c r="Y708" s="70"/>
      <c r="Z708" s="70"/>
      <c r="AA708" s="70"/>
      <c r="AB708" s="70"/>
      <c r="AC708" s="68"/>
      <c r="AD708" s="71"/>
      <c r="AE708" s="71"/>
      <c r="AF708" s="71"/>
      <c r="AG708" s="71"/>
      <c r="AH708" s="71"/>
      <c r="AI708" s="68"/>
      <c r="AJ708" s="214"/>
      <c r="AK708" s="214"/>
      <c r="AL708" s="214"/>
      <c r="AM708" s="214"/>
      <c r="AN708" s="68"/>
      <c r="AO708" s="67"/>
      <c r="AP708" s="67"/>
      <c r="AQ708" s="67"/>
      <c r="AR708" s="67"/>
      <c r="AS708" s="67"/>
      <c r="AT708" s="68"/>
      <c r="AU708" s="49"/>
      <c r="AV708" s="50"/>
    </row>
    <row r="709" spans="1:73" ht="12.75" customHeight="1" x14ac:dyDescent="0.25">
      <c r="A709" s="72" t="s">
        <v>4041</v>
      </c>
      <c r="B709" s="43" t="s">
        <v>4042</v>
      </c>
      <c r="C709" s="44" t="s">
        <v>4037</v>
      </c>
      <c r="D709" s="45">
        <f>MROUND(MID($C709,6,3)/Basis!$E$3,0.5)</f>
        <v>118</v>
      </c>
      <c r="E709" s="45">
        <f>MROUND(MID($C709,9,3)/Basis!$E$3,0.5)</f>
        <v>32</v>
      </c>
      <c r="F709" s="229" t="str">
        <f t="shared" si="10"/>
        <v>11</v>
      </c>
      <c r="G709" s="45">
        <f>ROUND(5/Basis!$E$3,1)</f>
        <v>2</v>
      </c>
      <c r="H709" s="120">
        <f>ROUND($P709*Basis!$E$2*((TaH-TrH)/LN(1/µ)/Basis!$E$7)^$N709*Glycol,0)</f>
        <v>6547</v>
      </c>
      <c r="I709" s="83">
        <f>ROUND(H709/(MID($C709,9,3)/Basis!$E$3/Basis!$E$9)*Basis!$E$11,0)</f>
        <v>2464</v>
      </c>
      <c r="J709" s="123">
        <f>IF(Basis!$E$1=1,ROUND(H709/((TaH-TrH)*1.163)/3600,3),ROUND(H709/(500*(TaH-TrH)),2))</f>
        <v>0.65</v>
      </c>
      <c r="K709" s="84"/>
      <c r="L709" s="177">
        <f>CHOOSE(Basis!$E$1,((AJ709*(J709*3600/Basis!$E$5)^AK709*(((MID(C709,9,3)*10)-144)/1000)*AL709+AM709*(J709*3600/Basis!$E$5)^2)*0.0098)/Basis!$E$10,((AJ709*(J709/Basis!$E$5)^AK709*(((MID(C709,9,3)*10)-144)/1000)*AL709+AM709*(J709/Basis!$E$5)^2)*0.0098)/Basis!$E$10)</f>
        <v>0</v>
      </c>
      <c r="M709" s="85"/>
      <c r="N709" s="109">
        <v>1.2669999999999999</v>
      </c>
      <c r="O709" s="68"/>
      <c r="P709" s="67">
        <v>2915</v>
      </c>
      <c r="Q709" s="68"/>
      <c r="R709" s="69"/>
      <c r="S709" s="69"/>
      <c r="T709" s="69"/>
      <c r="U709" s="69"/>
      <c r="V709" s="69"/>
      <c r="W709" s="68"/>
      <c r="X709" s="70"/>
      <c r="Y709" s="70"/>
      <c r="Z709" s="70"/>
      <c r="AA709" s="70"/>
      <c r="AB709" s="70"/>
      <c r="AC709" s="68"/>
      <c r="AD709" s="71"/>
      <c r="AE709" s="71"/>
      <c r="AF709" s="71"/>
      <c r="AG709" s="71"/>
      <c r="AH709" s="71"/>
      <c r="AI709" s="68"/>
      <c r="AJ709" s="214"/>
      <c r="AK709" s="214"/>
      <c r="AL709" s="214"/>
      <c r="AM709" s="214"/>
      <c r="AN709" s="68"/>
      <c r="AO709" s="67"/>
      <c r="AP709" s="67"/>
      <c r="AQ709" s="67"/>
      <c r="AR709" s="67"/>
      <c r="AS709" s="67"/>
      <c r="AT709" s="68"/>
      <c r="AU709" s="49"/>
      <c r="AV709" s="50"/>
    </row>
    <row r="710" spans="1:73" ht="12.75" customHeight="1" x14ac:dyDescent="0.25">
      <c r="A710" s="72" t="s">
        <v>4041</v>
      </c>
      <c r="B710" s="43" t="s">
        <v>4042</v>
      </c>
      <c r="C710" s="44" t="s">
        <v>4038</v>
      </c>
      <c r="D710" s="45">
        <f>MROUND(MID($C710,6,3)/Basis!$E$3,0.5)</f>
        <v>118</v>
      </c>
      <c r="E710" s="45">
        <f>MROUND(MID($C710,9,3)/Basis!$E$3,0.5)</f>
        <v>34.5</v>
      </c>
      <c r="F710" s="229" t="str">
        <f t="shared" si="10"/>
        <v>11</v>
      </c>
      <c r="G710" s="45">
        <f>ROUND(5/Basis!$E$3,1)</f>
        <v>2</v>
      </c>
      <c r="H710" s="120">
        <f>ROUND($P710*Basis!$E$2*((TaH-TrH)/LN(1/µ)/Basis!$E$7)^$N710*Glycol,0)</f>
        <v>7050</v>
      </c>
      <c r="I710" s="83">
        <f>ROUND(H710/(MID($C710,9,3)/Basis!$E$3/Basis!$E$9)*Basis!$E$11,0)</f>
        <v>2470</v>
      </c>
      <c r="J710" s="123">
        <f>IF(Basis!$E$1=1,ROUND(H710/((TaH-TrH)*1.163)/3600,3),ROUND(H710/(500*(TaH-TrH)),2))</f>
        <v>0.71</v>
      </c>
      <c r="K710" s="84"/>
      <c r="L710" s="177">
        <f>CHOOSE(Basis!$E$1,((AJ710*(J710*3600/Basis!$E$5)^AK710*(((MID(C710,9,3)*10)-144)/1000)*AL710+AM710*(J710*3600/Basis!$E$5)^2)*0.0098)/Basis!$E$10,((AJ710*(J710/Basis!$E$5)^AK710*(((MID(C710,9,3)*10)-144)/1000)*AL710+AM710*(J710/Basis!$E$5)^2)*0.0098)/Basis!$E$10)</f>
        <v>0</v>
      </c>
      <c r="M710" s="85"/>
      <c r="N710" s="110">
        <v>1.2669999999999999</v>
      </c>
      <c r="O710" s="74"/>
      <c r="P710" s="73">
        <v>3139</v>
      </c>
      <c r="Q710" s="74"/>
      <c r="R710" s="75"/>
      <c r="S710" s="75"/>
      <c r="T710" s="75"/>
      <c r="U710" s="75"/>
      <c r="V710" s="75"/>
      <c r="W710" s="74"/>
      <c r="X710" s="76"/>
      <c r="Y710" s="76"/>
      <c r="Z710" s="76"/>
      <c r="AA710" s="76"/>
      <c r="AB710" s="76"/>
      <c r="AC710" s="74"/>
      <c r="AD710" s="77"/>
      <c r="AE710" s="77"/>
      <c r="AF710" s="77"/>
      <c r="AG710" s="77"/>
      <c r="AH710" s="77"/>
      <c r="AI710" s="68"/>
      <c r="AJ710" s="213"/>
      <c r="AK710" s="213"/>
      <c r="AL710" s="213"/>
      <c r="AM710" s="213"/>
      <c r="AN710" s="74"/>
      <c r="AO710" s="73"/>
      <c r="AP710" s="73"/>
      <c r="AQ710" s="73"/>
      <c r="AR710" s="73"/>
      <c r="AS710" s="73"/>
      <c r="AT710" s="74"/>
      <c r="AU710" s="47"/>
      <c r="AV710" s="48"/>
    </row>
    <row r="711" spans="1:73" ht="12.75" customHeight="1" x14ac:dyDescent="0.25">
      <c r="A711" s="72" t="s">
        <v>4041</v>
      </c>
      <c r="B711" s="43" t="s">
        <v>4042</v>
      </c>
      <c r="C711" s="44" t="s">
        <v>4039</v>
      </c>
      <c r="D711" s="45">
        <f>MROUND(MID($C711,6,3)/Basis!$E$3,0.5)</f>
        <v>118</v>
      </c>
      <c r="E711" s="45">
        <f>MROUND(MID($C711,9,3)/Basis!$E$3,0.5)</f>
        <v>37</v>
      </c>
      <c r="F711" s="229" t="str">
        <f t="shared" si="10"/>
        <v>11</v>
      </c>
      <c r="G711" s="45">
        <f>ROUND(5/Basis!$E$3,1)</f>
        <v>2</v>
      </c>
      <c r="H711" s="120">
        <f>ROUND($P711*Basis!$E$2*((TaH-TrH)/LN(1/µ)/Basis!$E$7)^$N711*Glycol,0)</f>
        <v>7553</v>
      </c>
      <c r="I711" s="83">
        <f>ROUND(H711/(MID($C711,9,3)/Basis!$E$3/Basis!$E$9)*Basis!$E$11,0)</f>
        <v>2449</v>
      </c>
      <c r="J711" s="123">
        <f>IF(Basis!$E$1=1,ROUND(H711/((TaH-TrH)*1.163)/3600,3),ROUND(H711/(500*(TaH-TrH)),2))</f>
        <v>0.76</v>
      </c>
      <c r="K711" s="84"/>
      <c r="L711" s="177">
        <f>CHOOSE(Basis!$E$1,((AJ711*(J711*3600/Basis!$E$5)^AK711*(((MID(C711,9,3)*10)-144)/1000)*AL711+AM711*(J711*3600/Basis!$E$5)^2)*0.0098)/Basis!$E$10,((AJ711*(J711/Basis!$E$5)^AK711*(((MID(C711,9,3)*10)-144)/1000)*AL711+AM711*(J711/Basis!$E$5)^2)*0.0098)/Basis!$E$10)</f>
        <v>0</v>
      </c>
      <c r="M711" s="85"/>
      <c r="N711" s="110">
        <v>1.2669999999999999</v>
      </c>
      <c r="O711" s="74"/>
      <c r="P711" s="73">
        <v>3363</v>
      </c>
      <c r="Q711" s="74"/>
      <c r="R711" s="75"/>
      <c r="S711" s="75"/>
      <c r="T711" s="75"/>
      <c r="U711" s="75"/>
      <c r="V711" s="75"/>
      <c r="W711" s="74"/>
      <c r="X711" s="76"/>
      <c r="Y711" s="76"/>
      <c r="Z711" s="76"/>
      <c r="AA711" s="76"/>
      <c r="AB711" s="76"/>
      <c r="AC711" s="74"/>
      <c r="AD711" s="77"/>
      <c r="AE711" s="77"/>
      <c r="AF711" s="77"/>
      <c r="AG711" s="77"/>
      <c r="AH711" s="77"/>
      <c r="AI711" s="68"/>
      <c r="AJ711" s="213"/>
      <c r="AK711" s="213"/>
      <c r="AL711" s="213"/>
      <c r="AM711" s="213"/>
      <c r="AN711" s="74"/>
      <c r="AO711" s="73"/>
      <c r="AP711" s="73"/>
      <c r="AQ711" s="73"/>
      <c r="AR711" s="73"/>
      <c r="AS711" s="73"/>
      <c r="AT711" s="74"/>
      <c r="AU711" s="47"/>
      <c r="AV711" s="48"/>
    </row>
    <row r="712" spans="1:73" customFormat="1" ht="12.75" hidden="1" customHeight="1" x14ac:dyDescent="0.2">
      <c r="A712" s="1"/>
      <c r="B712" s="1"/>
      <c r="C712" s="1"/>
      <c r="D712" s="7"/>
      <c r="E712" s="7"/>
      <c r="F712" s="6"/>
      <c r="G712" s="7"/>
      <c r="H712" s="2"/>
      <c r="I712" s="2"/>
      <c r="J712" s="2"/>
      <c r="K712" s="2"/>
      <c r="L712" s="178"/>
      <c r="M712" s="2"/>
      <c r="N712" s="7"/>
      <c r="P712" s="7"/>
      <c r="R712" s="2"/>
      <c r="S712" s="2"/>
      <c r="T712" s="2"/>
      <c r="U712" s="2"/>
      <c r="V712" s="2"/>
      <c r="X712" s="38"/>
      <c r="Y712" s="38"/>
      <c r="Z712" s="38"/>
      <c r="AA712" s="38"/>
      <c r="AB712" s="38"/>
      <c r="AD712" s="2"/>
      <c r="AE712" s="2"/>
      <c r="AF712" s="2"/>
      <c r="AG712" s="2"/>
      <c r="AH712" s="2"/>
      <c r="AJ712" s="215"/>
      <c r="AK712" s="215"/>
      <c r="AL712" s="215"/>
      <c r="AM712" s="215"/>
      <c r="AO712" s="10"/>
      <c r="AP712" s="10"/>
      <c r="AQ712" s="10"/>
      <c r="AR712" s="10"/>
      <c r="AS712" s="10"/>
      <c r="AU712" s="2"/>
      <c r="AV712" s="2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</row>
    <row r="713" spans="1:73" customFormat="1" ht="12.75" hidden="1" customHeight="1" x14ac:dyDescent="0.2">
      <c r="A713" s="1"/>
      <c r="B713" s="1"/>
      <c r="C713" s="1"/>
      <c r="D713" s="7"/>
      <c r="E713" s="7"/>
      <c r="F713" s="6"/>
      <c r="G713" s="7"/>
      <c r="H713" s="2"/>
      <c r="I713" s="2"/>
      <c r="J713" s="2"/>
      <c r="K713" s="2"/>
      <c r="L713" s="178"/>
      <c r="M713" s="2"/>
      <c r="N713" s="7"/>
      <c r="P713" s="7"/>
      <c r="R713" s="2"/>
      <c r="S713" s="2"/>
      <c r="T713" s="2"/>
      <c r="U713" s="2"/>
      <c r="V713" s="2"/>
      <c r="X713" s="38"/>
      <c r="Y713" s="38"/>
      <c r="Z713" s="38"/>
      <c r="AA713" s="38"/>
      <c r="AB713" s="38"/>
      <c r="AD713" s="2"/>
      <c r="AE713" s="2"/>
      <c r="AF713" s="2"/>
      <c r="AG713" s="2"/>
      <c r="AH713" s="2"/>
      <c r="AJ713" s="215"/>
      <c r="AK713" s="215"/>
      <c r="AL713" s="215"/>
      <c r="AM713" s="215"/>
      <c r="AO713" s="10"/>
      <c r="AP713" s="10"/>
      <c r="AQ713" s="10"/>
      <c r="AR713" s="10"/>
      <c r="AS713" s="10"/>
      <c r="AU713" s="2"/>
      <c r="AV713" s="2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</row>
    <row r="714" spans="1:73" customFormat="1" ht="12.75" hidden="1" customHeight="1" x14ac:dyDescent="0.2">
      <c r="A714" s="1"/>
      <c r="B714" s="1"/>
      <c r="C714" s="1"/>
      <c r="D714" s="7"/>
      <c r="E714" s="7"/>
      <c r="F714" s="6"/>
      <c r="G714" s="7"/>
      <c r="H714" s="2"/>
      <c r="I714" s="2"/>
      <c r="J714" s="2"/>
      <c r="K714" s="2"/>
      <c r="L714" s="178"/>
      <c r="M714" s="2"/>
      <c r="N714" s="7"/>
      <c r="P714" s="7"/>
      <c r="R714" s="2"/>
      <c r="S714" s="2"/>
      <c r="T714" s="2"/>
      <c r="U714" s="2"/>
      <c r="V714" s="2"/>
      <c r="X714" s="38"/>
      <c r="Y714" s="38"/>
      <c r="Z714" s="38"/>
      <c r="AA714" s="38"/>
      <c r="AB714" s="38"/>
      <c r="AD714" s="2"/>
      <c r="AE714" s="2"/>
      <c r="AF714" s="2"/>
      <c r="AG714" s="2"/>
      <c r="AH714" s="2"/>
      <c r="AJ714" s="215"/>
      <c r="AK714" s="215"/>
      <c r="AL714" s="215"/>
      <c r="AM714" s="215"/>
      <c r="AO714" s="10"/>
      <c r="AP714" s="10"/>
      <c r="AQ714" s="10"/>
      <c r="AR714" s="10"/>
      <c r="AS714" s="10"/>
      <c r="AU714" s="2"/>
      <c r="AV714" s="2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</row>
    <row r="715" spans="1:73" customFormat="1" ht="12.75" hidden="1" customHeight="1" x14ac:dyDescent="0.2">
      <c r="A715" s="1"/>
      <c r="B715" s="1"/>
      <c r="C715" s="1"/>
      <c r="D715" s="7"/>
      <c r="E715" s="7"/>
      <c r="F715" s="6"/>
      <c r="G715" s="7"/>
      <c r="H715" s="2"/>
      <c r="I715" s="2"/>
      <c r="J715" s="2"/>
      <c r="K715" s="2"/>
      <c r="L715" s="178"/>
      <c r="M715" s="2"/>
      <c r="N715" s="7"/>
      <c r="P715" s="7"/>
      <c r="R715" s="2"/>
      <c r="S715" s="2"/>
      <c r="T715" s="2"/>
      <c r="U715" s="2"/>
      <c r="V715" s="2"/>
      <c r="X715" s="38"/>
      <c r="Y715" s="38"/>
      <c r="Z715" s="38"/>
      <c r="AA715" s="38"/>
      <c r="AB715" s="38"/>
      <c r="AD715" s="2"/>
      <c r="AE715" s="2"/>
      <c r="AF715" s="2"/>
      <c r="AG715" s="2"/>
      <c r="AH715" s="2"/>
      <c r="AJ715" s="215"/>
      <c r="AK715" s="215"/>
      <c r="AL715" s="215"/>
      <c r="AM715" s="215"/>
      <c r="AO715" s="10"/>
      <c r="AP715" s="10"/>
      <c r="AQ715" s="10"/>
      <c r="AR715" s="10"/>
      <c r="AS715" s="10"/>
      <c r="AU715" s="2"/>
      <c r="AV715" s="2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</row>
    <row r="716" spans="1:73" customFormat="1" ht="12.75" hidden="1" customHeight="1" x14ac:dyDescent="0.2">
      <c r="A716" s="1"/>
      <c r="B716" s="1"/>
      <c r="C716" s="1"/>
      <c r="D716" s="7"/>
      <c r="E716" s="7"/>
      <c r="F716" s="6"/>
      <c r="G716" s="7"/>
      <c r="H716" s="2"/>
      <c r="I716" s="2"/>
      <c r="J716" s="2"/>
      <c r="K716" s="2"/>
      <c r="L716" s="178"/>
      <c r="M716" s="2"/>
      <c r="N716" s="7"/>
      <c r="P716" s="7"/>
      <c r="R716" s="2"/>
      <c r="S716" s="2"/>
      <c r="T716" s="2"/>
      <c r="U716" s="2"/>
      <c r="V716" s="2"/>
      <c r="X716" s="38"/>
      <c r="Y716" s="38"/>
      <c r="Z716" s="38"/>
      <c r="AA716" s="38"/>
      <c r="AB716" s="38"/>
      <c r="AD716" s="2"/>
      <c r="AE716" s="2"/>
      <c r="AF716" s="2"/>
      <c r="AG716" s="2"/>
      <c r="AH716" s="2"/>
      <c r="AJ716" s="215"/>
      <c r="AK716" s="215"/>
      <c r="AL716" s="215"/>
      <c r="AM716" s="215"/>
      <c r="AO716" s="10"/>
      <c r="AP716" s="10"/>
      <c r="AQ716" s="10"/>
      <c r="AR716" s="10"/>
      <c r="AS716" s="10"/>
      <c r="AU716" s="2"/>
      <c r="AV716" s="2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</row>
    <row r="717" spans="1:73" customFormat="1" ht="12.75" hidden="1" customHeight="1" x14ac:dyDescent="0.2">
      <c r="A717" s="1"/>
      <c r="B717" s="1"/>
      <c r="C717" s="1"/>
      <c r="D717" s="7"/>
      <c r="E717" s="7"/>
      <c r="F717" s="6"/>
      <c r="G717" s="7"/>
      <c r="H717" s="2"/>
      <c r="I717" s="2"/>
      <c r="J717" s="2"/>
      <c r="K717" s="2"/>
      <c r="L717" s="178"/>
      <c r="M717" s="2"/>
      <c r="N717" s="7"/>
      <c r="P717" s="7"/>
      <c r="R717" s="2"/>
      <c r="S717" s="2"/>
      <c r="T717" s="2"/>
      <c r="U717" s="2"/>
      <c r="V717" s="2"/>
      <c r="X717" s="38"/>
      <c r="Y717" s="38"/>
      <c r="Z717" s="38"/>
      <c r="AA717" s="38"/>
      <c r="AB717" s="38"/>
      <c r="AD717" s="2"/>
      <c r="AE717" s="2"/>
      <c r="AF717" s="2"/>
      <c r="AG717" s="2"/>
      <c r="AH717" s="2"/>
      <c r="AJ717" s="215"/>
      <c r="AK717" s="215"/>
      <c r="AL717" s="215"/>
      <c r="AM717" s="215"/>
      <c r="AO717" s="10"/>
      <c r="AP717" s="10"/>
      <c r="AQ717" s="10"/>
      <c r="AR717" s="10"/>
      <c r="AS717" s="10"/>
      <c r="AU717" s="2"/>
      <c r="AV717" s="2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</row>
    <row r="718" spans="1:73" customFormat="1" ht="12.75" hidden="1" customHeight="1" x14ac:dyDescent="0.2">
      <c r="A718" s="1"/>
      <c r="B718" s="1"/>
      <c r="C718" s="1"/>
      <c r="D718" s="7"/>
      <c r="E718" s="7"/>
      <c r="F718" s="6"/>
      <c r="G718" s="7"/>
      <c r="H718" s="2"/>
      <c r="I718" s="2"/>
      <c r="J718" s="2"/>
      <c r="K718" s="2"/>
      <c r="L718" s="178"/>
      <c r="M718" s="2"/>
      <c r="N718" s="7"/>
      <c r="P718" s="7"/>
      <c r="R718" s="2"/>
      <c r="S718" s="2"/>
      <c r="T718" s="2"/>
      <c r="U718" s="2"/>
      <c r="V718" s="2"/>
      <c r="X718" s="38"/>
      <c r="Y718" s="38"/>
      <c r="Z718" s="38"/>
      <c r="AA718" s="38"/>
      <c r="AB718" s="38"/>
      <c r="AD718" s="2"/>
      <c r="AE718" s="2"/>
      <c r="AF718" s="2"/>
      <c r="AG718" s="2"/>
      <c r="AH718" s="2"/>
      <c r="AJ718" s="215"/>
      <c r="AK718" s="215"/>
      <c r="AL718" s="215"/>
      <c r="AM718" s="215"/>
      <c r="AO718" s="10"/>
      <c r="AP718" s="10"/>
      <c r="AQ718" s="10"/>
      <c r="AR718" s="10"/>
      <c r="AS718" s="10"/>
      <c r="AU718" s="2"/>
      <c r="AV718" s="2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</row>
    <row r="719" spans="1:73" customFormat="1" ht="12.75" hidden="1" customHeight="1" x14ac:dyDescent="0.2">
      <c r="A719" s="1"/>
      <c r="B719" s="1"/>
      <c r="C719" s="1"/>
      <c r="D719" s="7"/>
      <c r="E719" s="7"/>
      <c r="F719" s="6"/>
      <c r="G719" s="7"/>
      <c r="H719" s="2"/>
      <c r="I719" s="2"/>
      <c r="J719" s="2"/>
      <c r="K719" s="2"/>
      <c r="L719" s="178"/>
      <c r="M719" s="2"/>
      <c r="N719" s="7"/>
      <c r="P719" s="7"/>
      <c r="R719" s="2"/>
      <c r="S719" s="2"/>
      <c r="T719" s="2"/>
      <c r="U719" s="2"/>
      <c r="V719" s="2"/>
      <c r="X719" s="38"/>
      <c r="Y719" s="38"/>
      <c r="Z719" s="38"/>
      <c r="AA719" s="38"/>
      <c r="AB719" s="38"/>
      <c r="AD719" s="2"/>
      <c r="AE719" s="2"/>
      <c r="AF719" s="2"/>
      <c r="AG719" s="2"/>
      <c r="AH719" s="2"/>
      <c r="AJ719" s="215"/>
      <c r="AK719" s="215"/>
      <c r="AL719" s="215"/>
      <c r="AM719" s="215"/>
      <c r="AO719" s="10"/>
      <c r="AP719" s="10"/>
      <c r="AQ719" s="10"/>
      <c r="AR719" s="10"/>
      <c r="AS719" s="10"/>
      <c r="AU719" s="2"/>
      <c r="AV719" s="2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</row>
    <row r="720" spans="1:73" customFormat="1" ht="12.75" hidden="1" customHeight="1" x14ac:dyDescent="0.2">
      <c r="A720" s="1"/>
      <c r="B720" s="1"/>
      <c r="C720" s="1"/>
      <c r="D720" s="7"/>
      <c r="E720" s="7"/>
      <c r="F720" s="6"/>
      <c r="G720" s="7"/>
      <c r="H720" s="2"/>
      <c r="I720" s="2"/>
      <c r="J720" s="2"/>
      <c r="K720" s="2"/>
      <c r="L720" s="178"/>
      <c r="M720" s="2"/>
      <c r="N720" s="7"/>
      <c r="P720" s="7"/>
      <c r="R720" s="2"/>
      <c r="S720" s="2"/>
      <c r="T720" s="2"/>
      <c r="U720" s="2"/>
      <c r="V720" s="2"/>
      <c r="X720" s="38"/>
      <c r="Y720" s="38"/>
      <c r="Z720" s="38"/>
      <c r="AA720" s="38"/>
      <c r="AB720" s="38"/>
      <c r="AD720" s="2"/>
      <c r="AE720" s="2"/>
      <c r="AF720" s="2"/>
      <c r="AG720" s="2"/>
      <c r="AH720" s="2"/>
      <c r="AJ720" s="215"/>
      <c r="AK720" s="215"/>
      <c r="AL720" s="215"/>
      <c r="AM720" s="215"/>
      <c r="AO720" s="10"/>
      <c r="AP720" s="10"/>
      <c r="AQ720" s="10"/>
      <c r="AR720" s="10"/>
      <c r="AS720" s="10"/>
      <c r="AU720" s="2"/>
      <c r="AV720" s="2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</row>
    <row r="721" spans="1:73" customFormat="1" ht="12.75" hidden="1" customHeight="1" x14ac:dyDescent="0.2">
      <c r="A721" s="1"/>
      <c r="B721" s="1"/>
      <c r="C721" s="1"/>
      <c r="D721" s="7"/>
      <c r="E721" s="7"/>
      <c r="F721" s="6"/>
      <c r="G721" s="7"/>
      <c r="H721" s="2"/>
      <c r="I721" s="2"/>
      <c r="J721" s="2"/>
      <c r="K721" s="2"/>
      <c r="L721" s="178"/>
      <c r="M721" s="2"/>
      <c r="N721" s="7"/>
      <c r="P721" s="7"/>
      <c r="R721" s="2"/>
      <c r="S721" s="2"/>
      <c r="T721" s="2"/>
      <c r="U721" s="2"/>
      <c r="V721" s="2"/>
      <c r="X721" s="38"/>
      <c r="Y721" s="38"/>
      <c r="Z721" s="38"/>
      <c r="AA721" s="38"/>
      <c r="AB721" s="38"/>
      <c r="AD721" s="2"/>
      <c r="AE721" s="2"/>
      <c r="AF721" s="2"/>
      <c r="AG721" s="2"/>
      <c r="AH721" s="2"/>
      <c r="AJ721" s="215"/>
      <c r="AK721" s="215"/>
      <c r="AL721" s="215"/>
      <c r="AM721" s="215"/>
      <c r="AO721" s="10"/>
      <c r="AP721" s="10"/>
      <c r="AQ721" s="10"/>
      <c r="AR721" s="10"/>
      <c r="AS721" s="10"/>
      <c r="AU721" s="2"/>
      <c r="AV721" s="2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</row>
    <row r="722" spans="1:73" customFormat="1" ht="12.75" hidden="1" customHeight="1" x14ac:dyDescent="0.2">
      <c r="A722" s="1"/>
      <c r="B722" s="1"/>
      <c r="C722" s="1"/>
      <c r="D722" s="7"/>
      <c r="E722" s="7"/>
      <c r="F722" s="6"/>
      <c r="G722" s="7"/>
      <c r="H722" s="2"/>
      <c r="I722" s="2"/>
      <c r="J722" s="2"/>
      <c r="K722" s="2"/>
      <c r="L722" s="178"/>
      <c r="M722" s="2"/>
      <c r="N722" s="7"/>
      <c r="P722" s="7"/>
      <c r="R722" s="2"/>
      <c r="S722" s="2"/>
      <c r="T722" s="2"/>
      <c r="U722" s="2"/>
      <c r="V722" s="2"/>
      <c r="X722" s="38"/>
      <c r="Y722" s="38"/>
      <c r="Z722" s="38"/>
      <c r="AA722" s="38"/>
      <c r="AB722" s="38"/>
      <c r="AD722" s="2"/>
      <c r="AE722" s="2"/>
      <c r="AF722" s="2"/>
      <c r="AG722" s="2"/>
      <c r="AH722" s="2"/>
      <c r="AJ722" s="215"/>
      <c r="AK722" s="215"/>
      <c r="AL722" s="215"/>
      <c r="AM722" s="215"/>
      <c r="AO722" s="10"/>
      <c r="AP722" s="10"/>
      <c r="AQ722" s="10"/>
      <c r="AR722" s="10"/>
      <c r="AS722" s="10"/>
      <c r="AU722" s="2"/>
      <c r="AV722" s="2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</row>
    <row r="723" spans="1:73" customFormat="1" ht="12.75" hidden="1" customHeight="1" x14ac:dyDescent="0.2">
      <c r="A723" s="1"/>
      <c r="B723" s="1"/>
      <c r="C723" s="1"/>
      <c r="D723" s="7"/>
      <c r="E723" s="7"/>
      <c r="F723" s="6"/>
      <c r="G723" s="7"/>
      <c r="H723" s="2"/>
      <c r="I723" s="2"/>
      <c r="J723" s="2"/>
      <c r="K723" s="2"/>
      <c r="L723" s="178"/>
      <c r="M723" s="2"/>
      <c r="N723" s="7"/>
      <c r="P723" s="7"/>
      <c r="R723" s="2"/>
      <c r="S723" s="2"/>
      <c r="T723" s="2"/>
      <c r="U723" s="2"/>
      <c r="V723" s="2"/>
      <c r="X723" s="38"/>
      <c r="Y723" s="38"/>
      <c r="Z723" s="38"/>
      <c r="AA723" s="38"/>
      <c r="AB723" s="38"/>
      <c r="AD723" s="2"/>
      <c r="AE723" s="2"/>
      <c r="AF723" s="2"/>
      <c r="AG723" s="2"/>
      <c r="AH723" s="2"/>
      <c r="AJ723" s="215"/>
      <c r="AK723" s="215"/>
      <c r="AL723" s="215"/>
      <c r="AM723" s="215"/>
      <c r="AO723" s="10"/>
      <c r="AP723" s="10"/>
      <c r="AQ723" s="10"/>
      <c r="AR723" s="10"/>
      <c r="AS723" s="10"/>
      <c r="AU723" s="2"/>
      <c r="AV723" s="2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</row>
    <row r="724" spans="1:73" customFormat="1" ht="12.75" hidden="1" customHeight="1" x14ac:dyDescent="0.2">
      <c r="A724" s="1"/>
      <c r="B724" s="1"/>
      <c r="C724" s="1"/>
      <c r="D724" s="7"/>
      <c r="E724" s="7"/>
      <c r="F724" s="6"/>
      <c r="G724" s="7"/>
      <c r="H724" s="2"/>
      <c r="I724" s="2"/>
      <c r="J724" s="2"/>
      <c r="K724" s="2"/>
      <c r="L724" s="178"/>
      <c r="M724" s="2"/>
      <c r="N724" s="7"/>
      <c r="P724" s="7"/>
      <c r="R724" s="2"/>
      <c r="S724" s="2"/>
      <c r="T724" s="2"/>
      <c r="U724" s="2"/>
      <c r="V724" s="2"/>
      <c r="X724" s="38"/>
      <c r="Y724" s="38"/>
      <c r="Z724" s="38"/>
      <c r="AA724" s="38"/>
      <c r="AB724" s="38"/>
      <c r="AD724" s="2"/>
      <c r="AE724" s="2"/>
      <c r="AF724" s="2"/>
      <c r="AG724" s="2"/>
      <c r="AH724" s="2"/>
      <c r="AJ724" s="215"/>
      <c r="AK724" s="215"/>
      <c r="AL724" s="215"/>
      <c r="AM724" s="215"/>
      <c r="AO724" s="10"/>
      <c r="AP724" s="10"/>
      <c r="AQ724" s="10"/>
      <c r="AR724" s="10"/>
      <c r="AS724" s="10"/>
      <c r="AU724" s="2"/>
      <c r="AV724" s="2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</row>
    <row r="725" spans="1:73" customFormat="1" ht="12.75" hidden="1" customHeight="1" x14ac:dyDescent="0.2">
      <c r="A725" s="1"/>
      <c r="B725" s="1"/>
      <c r="C725" s="1"/>
      <c r="D725" s="7"/>
      <c r="E725" s="7"/>
      <c r="F725" s="6"/>
      <c r="G725" s="7"/>
      <c r="H725" s="2"/>
      <c r="I725" s="2"/>
      <c r="J725" s="2"/>
      <c r="K725" s="2"/>
      <c r="L725" s="178"/>
      <c r="M725" s="2"/>
      <c r="N725" s="7"/>
      <c r="P725" s="7"/>
      <c r="R725" s="2"/>
      <c r="S725" s="2"/>
      <c r="T725" s="2"/>
      <c r="U725" s="2"/>
      <c r="V725" s="2"/>
      <c r="X725" s="38"/>
      <c r="Y725" s="38"/>
      <c r="Z725" s="38"/>
      <c r="AA725" s="38"/>
      <c r="AB725" s="38"/>
      <c r="AD725" s="2"/>
      <c r="AE725" s="2"/>
      <c r="AF725" s="2"/>
      <c r="AG725" s="2"/>
      <c r="AH725" s="2"/>
      <c r="AJ725" s="215"/>
      <c r="AK725" s="215"/>
      <c r="AL725" s="215"/>
      <c r="AM725" s="215"/>
      <c r="AO725" s="10"/>
      <c r="AP725" s="10"/>
      <c r="AQ725" s="10"/>
      <c r="AR725" s="10"/>
      <c r="AS725" s="10"/>
      <c r="AU725" s="2"/>
      <c r="AV725" s="2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</row>
    <row r="726" spans="1:73" customFormat="1" ht="12.75" hidden="1" customHeight="1" x14ac:dyDescent="0.2">
      <c r="A726" s="1"/>
      <c r="B726" s="1"/>
      <c r="C726" s="1"/>
      <c r="D726" s="7"/>
      <c r="E726" s="7"/>
      <c r="F726" s="6"/>
      <c r="G726" s="7"/>
      <c r="H726" s="2"/>
      <c r="I726" s="2"/>
      <c r="J726" s="2"/>
      <c r="K726" s="2"/>
      <c r="L726" s="178"/>
      <c r="M726" s="2"/>
      <c r="N726" s="7"/>
      <c r="P726" s="7"/>
      <c r="R726" s="2"/>
      <c r="S726" s="2"/>
      <c r="T726" s="2"/>
      <c r="U726" s="2"/>
      <c r="V726" s="2"/>
      <c r="X726" s="38"/>
      <c r="Y726" s="38"/>
      <c r="Z726" s="38"/>
      <c r="AA726" s="38"/>
      <c r="AB726" s="38"/>
      <c r="AD726" s="2"/>
      <c r="AE726" s="2"/>
      <c r="AF726" s="2"/>
      <c r="AG726" s="2"/>
      <c r="AH726" s="2"/>
      <c r="AJ726" s="215"/>
      <c r="AK726" s="215"/>
      <c r="AL726" s="215"/>
      <c r="AM726" s="215"/>
      <c r="AO726" s="10"/>
      <c r="AP726" s="10"/>
      <c r="AQ726" s="10"/>
      <c r="AR726" s="10"/>
      <c r="AS726" s="10"/>
      <c r="AU726" s="2"/>
      <c r="AV726" s="2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</row>
    <row r="727" spans="1:73" customFormat="1" ht="12.75" hidden="1" customHeight="1" x14ac:dyDescent="0.2">
      <c r="A727" s="1"/>
      <c r="B727" s="1"/>
      <c r="C727" s="1"/>
      <c r="D727" s="7"/>
      <c r="E727" s="7"/>
      <c r="F727" s="6"/>
      <c r="G727" s="7"/>
      <c r="H727" s="2"/>
      <c r="I727" s="2"/>
      <c r="J727" s="2"/>
      <c r="K727" s="2"/>
      <c r="L727" s="178"/>
      <c r="M727" s="2"/>
      <c r="N727" s="7"/>
      <c r="P727" s="7"/>
      <c r="R727" s="2"/>
      <c r="S727" s="2"/>
      <c r="T727" s="2"/>
      <c r="U727" s="2"/>
      <c r="V727" s="2"/>
      <c r="X727" s="38"/>
      <c r="Y727" s="38"/>
      <c r="Z727" s="38"/>
      <c r="AA727" s="38"/>
      <c r="AB727" s="38"/>
      <c r="AD727" s="2"/>
      <c r="AE727" s="2"/>
      <c r="AF727" s="2"/>
      <c r="AG727" s="2"/>
      <c r="AH727" s="2"/>
      <c r="AJ727" s="215"/>
      <c r="AK727" s="215"/>
      <c r="AL727" s="215"/>
      <c r="AM727" s="215"/>
      <c r="AO727" s="10"/>
      <c r="AP727" s="10"/>
      <c r="AQ727" s="10"/>
      <c r="AR727" s="10"/>
      <c r="AS727" s="10"/>
      <c r="AU727" s="2"/>
      <c r="AV727" s="2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</row>
    <row r="728" spans="1:73" customFormat="1" ht="12.75" hidden="1" customHeight="1" x14ac:dyDescent="0.2">
      <c r="A728" s="1"/>
      <c r="B728" s="1"/>
      <c r="C728" s="1"/>
      <c r="D728" s="7"/>
      <c r="E728" s="7"/>
      <c r="F728" s="6"/>
      <c r="G728" s="7"/>
      <c r="H728" s="2"/>
      <c r="I728" s="2"/>
      <c r="J728" s="2"/>
      <c r="K728" s="2"/>
      <c r="L728" s="178"/>
      <c r="M728" s="2"/>
      <c r="N728" s="7"/>
      <c r="P728" s="7"/>
      <c r="R728" s="2"/>
      <c r="S728" s="2"/>
      <c r="T728" s="2"/>
      <c r="U728" s="2"/>
      <c r="V728" s="2"/>
      <c r="X728" s="38"/>
      <c r="Y728" s="38"/>
      <c r="Z728" s="38"/>
      <c r="AA728" s="38"/>
      <c r="AB728" s="38"/>
      <c r="AD728" s="2"/>
      <c r="AE728" s="2"/>
      <c r="AF728" s="2"/>
      <c r="AG728" s="2"/>
      <c r="AH728" s="2"/>
      <c r="AJ728" s="215"/>
      <c r="AK728" s="215"/>
      <c r="AL728" s="215"/>
      <c r="AM728" s="215"/>
      <c r="AO728" s="10"/>
      <c r="AP728" s="10"/>
      <c r="AQ728" s="10"/>
      <c r="AR728" s="10"/>
      <c r="AS728" s="10"/>
      <c r="AU728" s="2"/>
      <c r="AV728" s="2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</row>
    <row r="729" spans="1:73" customFormat="1" ht="12.75" hidden="1" customHeight="1" x14ac:dyDescent="0.2">
      <c r="A729" s="1"/>
      <c r="B729" s="1"/>
      <c r="C729" s="1"/>
      <c r="D729" s="7"/>
      <c r="E729" s="7"/>
      <c r="F729" s="6"/>
      <c r="G729" s="7"/>
      <c r="H729" s="2"/>
      <c r="I729" s="2"/>
      <c r="J729" s="2"/>
      <c r="K729" s="2"/>
      <c r="L729" s="178"/>
      <c r="M729" s="2"/>
      <c r="N729" s="7"/>
      <c r="P729" s="7"/>
      <c r="R729" s="2"/>
      <c r="S729" s="2"/>
      <c r="T729" s="2"/>
      <c r="U729" s="2"/>
      <c r="V729" s="2"/>
      <c r="X729" s="38"/>
      <c r="Y729" s="38"/>
      <c r="Z729" s="38"/>
      <c r="AA729" s="38"/>
      <c r="AB729" s="38"/>
      <c r="AD729" s="2"/>
      <c r="AE729" s="2"/>
      <c r="AF729" s="2"/>
      <c r="AG729" s="2"/>
      <c r="AH729" s="2"/>
      <c r="AJ729" s="215"/>
      <c r="AK729" s="215"/>
      <c r="AL729" s="215"/>
      <c r="AM729" s="215"/>
      <c r="AO729" s="10"/>
      <c r="AP729" s="10"/>
      <c r="AQ729" s="10"/>
      <c r="AR729" s="10"/>
      <c r="AS729" s="10"/>
      <c r="AU729" s="2"/>
      <c r="AV729" s="2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</row>
    <row r="730" spans="1:73" customFormat="1" ht="12.75" hidden="1" customHeight="1" x14ac:dyDescent="0.2">
      <c r="A730" s="1"/>
      <c r="B730" s="1"/>
      <c r="C730" s="1"/>
      <c r="D730" s="7"/>
      <c r="E730" s="7"/>
      <c r="F730" s="6"/>
      <c r="G730" s="7"/>
      <c r="H730" s="2"/>
      <c r="I730" s="2"/>
      <c r="J730" s="2"/>
      <c r="K730" s="2"/>
      <c r="L730" s="178"/>
      <c r="M730" s="2"/>
      <c r="N730" s="7"/>
      <c r="P730" s="7"/>
      <c r="R730" s="2"/>
      <c r="S730" s="2"/>
      <c r="T730" s="2"/>
      <c r="U730" s="2"/>
      <c r="V730" s="2"/>
      <c r="X730" s="38"/>
      <c r="Y730" s="38"/>
      <c r="Z730" s="38"/>
      <c r="AA730" s="38"/>
      <c r="AB730" s="38"/>
      <c r="AD730" s="2"/>
      <c r="AE730" s="2"/>
      <c r="AF730" s="2"/>
      <c r="AG730" s="2"/>
      <c r="AH730" s="2"/>
      <c r="AJ730" s="215"/>
      <c r="AK730" s="215"/>
      <c r="AL730" s="215"/>
      <c r="AM730" s="215"/>
      <c r="AO730" s="10"/>
      <c r="AP730" s="10"/>
      <c r="AQ730" s="10"/>
      <c r="AR730" s="10"/>
      <c r="AS730" s="10"/>
      <c r="AU730" s="2"/>
      <c r="AV730" s="2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</row>
    <row r="731" spans="1:73" customFormat="1" ht="12.75" hidden="1" customHeight="1" x14ac:dyDescent="0.2">
      <c r="A731" s="1"/>
      <c r="B731" s="1"/>
      <c r="C731" s="1"/>
      <c r="D731" s="7"/>
      <c r="E731" s="7"/>
      <c r="F731" s="6"/>
      <c r="G731" s="7"/>
      <c r="H731" s="2"/>
      <c r="I731" s="2"/>
      <c r="J731" s="2"/>
      <c r="K731" s="2"/>
      <c r="L731" s="178"/>
      <c r="M731" s="2"/>
      <c r="N731" s="7"/>
      <c r="P731" s="7"/>
      <c r="R731" s="2"/>
      <c r="S731" s="2"/>
      <c r="T731" s="2"/>
      <c r="U731" s="2"/>
      <c r="V731" s="2"/>
      <c r="X731" s="38"/>
      <c r="Y731" s="38"/>
      <c r="Z731" s="38"/>
      <c r="AA731" s="38"/>
      <c r="AB731" s="38"/>
      <c r="AD731" s="2"/>
      <c r="AE731" s="2"/>
      <c r="AF731" s="2"/>
      <c r="AG731" s="2"/>
      <c r="AH731" s="2"/>
      <c r="AJ731" s="215"/>
      <c r="AK731" s="215"/>
      <c r="AL731" s="215"/>
      <c r="AM731" s="215"/>
      <c r="AO731" s="10"/>
      <c r="AP731" s="10"/>
      <c r="AQ731" s="10"/>
      <c r="AR731" s="10"/>
      <c r="AS731" s="10"/>
      <c r="AU731" s="2"/>
      <c r="AV731" s="2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</row>
    <row r="732" spans="1:73" customFormat="1" ht="12.75" hidden="1" customHeight="1" x14ac:dyDescent="0.2">
      <c r="A732" s="1"/>
      <c r="B732" s="1"/>
      <c r="C732" s="1"/>
      <c r="D732" s="7"/>
      <c r="E732" s="7"/>
      <c r="F732" s="6"/>
      <c r="G732" s="7"/>
      <c r="H732" s="2"/>
      <c r="I732" s="2"/>
      <c r="J732" s="2"/>
      <c r="K732" s="2"/>
      <c r="L732" s="178"/>
      <c r="M732" s="2"/>
      <c r="N732" s="7"/>
      <c r="P732" s="7"/>
      <c r="R732" s="2"/>
      <c r="S732" s="2"/>
      <c r="T732" s="2"/>
      <c r="U732" s="2"/>
      <c r="V732" s="2"/>
      <c r="X732" s="38"/>
      <c r="Y732" s="38"/>
      <c r="Z732" s="38"/>
      <c r="AA732" s="38"/>
      <c r="AB732" s="38"/>
      <c r="AD732" s="2"/>
      <c r="AE732" s="2"/>
      <c r="AF732" s="2"/>
      <c r="AG732" s="2"/>
      <c r="AH732" s="2"/>
      <c r="AJ732" s="215"/>
      <c r="AK732" s="215"/>
      <c r="AL732" s="215"/>
      <c r="AM732" s="215"/>
      <c r="AO732" s="10"/>
      <c r="AP732" s="10"/>
      <c r="AQ732" s="10"/>
      <c r="AR732" s="10"/>
      <c r="AS732" s="10"/>
      <c r="AU732" s="2"/>
      <c r="AV732" s="2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</row>
    <row r="733" spans="1:73" customFormat="1" ht="12.75" hidden="1" customHeight="1" x14ac:dyDescent="0.2">
      <c r="A733" s="1"/>
      <c r="B733" s="1"/>
      <c r="C733" s="1"/>
      <c r="D733" s="7"/>
      <c r="E733" s="7"/>
      <c r="F733" s="6"/>
      <c r="G733" s="7"/>
      <c r="H733" s="2"/>
      <c r="I733" s="2"/>
      <c r="J733" s="2"/>
      <c r="K733" s="2"/>
      <c r="L733" s="178"/>
      <c r="M733" s="2"/>
      <c r="N733" s="7"/>
      <c r="P733" s="7"/>
      <c r="R733" s="2"/>
      <c r="S733" s="2"/>
      <c r="T733" s="2"/>
      <c r="U733" s="2"/>
      <c r="V733" s="2"/>
      <c r="X733" s="38"/>
      <c r="Y733" s="38"/>
      <c r="Z733" s="38"/>
      <c r="AA733" s="38"/>
      <c r="AB733" s="38"/>
      <c r="AD733" s="2"/>
      <c r="AE733" s="2"/>
      <c r="AF733" s="2"/>
      <c r="AG733" s="2"/>
      <c r="AH733" s="2"/>
      <c r="AJ733" s="215"/>
      <c r="AK733" s="215"/>
      <c r="AL733" s="215"/>
      <c r="AM733" s="215"/>
      <c r="AO733" s="10"/>
      <c r="AP733" s="10"/>
      <c r="AQ733" s="10"/>
      <c r="AR733" s="10"/>
      <c r="AS733" s="10"/>
      <c r="AU733" s="2"/>
      <c r="AV733" s="2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</row>
    <row r="734" spans="1:73" customFormat="1" ht="12.75" hidden="1" customHeight="1" x14ac:dyDescent="0.2">
      <c r="A734" s="1"/>
      <c r="B734" s="1"/>
      <c r="C734" s="1"/>
      <c r="D734" s="7"/>
      <c r="E734" s="7"/>
      <c r="F734" s="6"/>
      <c r="G734" s="7"/>
      <c r="H734" s="2"/>
      <c r="I734" s="2"/>
      <c r="J734" s="2"/>
      <c r="K734" s="2"/>
      <c r="L734" s="178"/>
      <c r="M734" s="2"/>
      <c r="N734" s="7"/>
      <c r="P734" s="7"/>
      <c r="R734" s="2"/>
      <c r="S734" s="2"/>
      <c r="T734" s="2"/>
      <c r="U734" s="2"/>
      <c r="V734" s="2"/>
      <c r="X734" s="38"/>
      <c r="Y734" s="38"/>
      <c r="Z734" s="38"/>
      <c r="AA734" s="38"/>
      <c r="AB734" s="38"/>
      <c r="AD734" s="2"/>
      <c r="AE734" s="2"/>
      <c r="AF734" s="2"/>
      <c r="AG734" s="2"/>
      <c r="AH734" s="2"/>
      <c r="AJ734" s="215"/>
      <c r="AK734" s="215"/>
      <c r="AL734" s="215"/>
      <c r="AM734" s="215"/>
      <c r="AO734" s="10"/>
      <c r="AP734" s="10"/>
      <c r="AQ734" s="10"/>
      <c r="AR734" s="10"/>
      <c r="AS734" s="10"/>
      <c r="AU734" s="2"/>
      <c r="AV734" s="2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</row>
    <row r="735" spans="1:73" customFormat="1" ht="12.75" hidden="1" customHeight="1" x14ac:dyDescent="0.2">
      <c r="A735" s="1"/>
      <c r="B735" s="1"/>
      <c r="C735" s="1"/>
      <c r="D735" s="7"/>
      <c r="E735" s="7"/>
      <c r="F735" s="6"/>
      <c r="G735" s="7"/>
      <c r="H735" s="2"/>
      <c r="I735" s="2"/>
      <c r="J735" s="2"/>
      <c r="K735" s="2"/>
      <c r="L735" s="178"/>
      <c r="M735" s="2"/>
      <c r="N735" s="7"/>
      <c r="P735" s="7"/>
      <c r="R735" s="2"/>
      <c r="S735" s="2"/>
      <c r="T735" s="2"/>
      <c r="U735" s="2"/>
      <c r="V735" s="2"/>
      <c r="X735" s="38"/>
      <c r="Y735" s="38"/>
      <c r="Z735" s="38"/>
      <c r="AA735" s="38"/>
      <c r="AB735" s="38"/>
      <c r="AD735" s="2"/>
      <c r="AE735" s="2"/>
      <c r="AF735" s="2"/>
      <c r="AG735" s="2"/>
      <c r="AH735" s="2"/>
      <c r="AJ735" s="215"/>
      <c r="AK735" s="215"/>
      <c r="AL735" s="215"/>
      <c r="AM735" s="215"/>
      <c r="AO735" s="10"/>
      <c r="AP735" s="10"/>
      <c r="AQ735" s="10"/>
      <c r="AR735" s="10"/>
      <c r="AS735" s="10"/>
      <c r="AU735" s="2"/>
      <c r="AV735" s="2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</row>
    <row r="736" spans="1:73" customFormat="1" ht="12.75" hidden="1" customHeight="1" x14ac:dyDescent="0.2">
      <c r="A736" s="1"/>
      <c r="B736" s="1"/>
      <c r="C736" s="1"/>
      <c r="D736" s="7"/>
      <c r="E736" s="7"/>
      <c r="F736" s="6"/>
      <c r="G736" s="7"/>
      <c r="H736" s="2"/>
      <c r="I736" s="2"/>
      <c r="J736" s="2"/>
      <c r="K736" s="2"/>
      <c r="L736" s="178"/>
      <c r="M736" s="2"/>
      <c r="N736" s="7"/>
      <c r="P736" s="7"/>
      <c r="R736" s="2"/>
      <c r="S736" s="2"/>
      <c r="T736" s="2"/>
      <c r="U736" s="2"/>
      <c r="V736" s="2"/>
      <c r="X736" s="38"/>
      <c r="Y736" s="38"/>
      <c r="Z736" s="38"/>
      <c r="AA736" s="38"/>
      <c r="AB736" s="38"/>
      <c r="AD736" s="2"/>
      <c r="AE736" s="2"/>
      <c r="AF736" s="2"/>
      <c r="AG736" s="2"/>
      <c r="AH736" s="2"/>
      <c r="AJ736" s="215"/>
      <c r="AK736" s="215"/>
      <c r="AL736" s="215"/>
      <c r="AM736" s="215"/>
      <c r="AO736" s="10"/>
      <c r="AP736" s="10"/>
      <c r="AQ736" s="10"/>
      <c r="AR736" s="10"/>
      <c r="AS736" s="10"/>
      <c r="AU736" s="2"/>
      <c r="AV736" s="2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</row>
    <row r="737" spans="1:73" customFormat="1" ht="12.75" hidden="1" customHeight="1" x14ac:dyDescent="0.2">
      <c r="A737" s="1"/>
      <c r="B737" s="1"/>
      <c r="C737" s="1"/>
      <c r="D737" s="7"/>
      <c r="E737" s="7"/>
      <c r="F737" s="6"/>
      <c r="G737" s="7"/>
      <c r="H737" s="2"/>
      <c r="I737" s="2"/>
      <c r="J737" s="2"/>
      <c r="K737" s="2"/>
      <c r="L737" s="178"/>
      <c r="M737" s="2"/>
      <c r="N737" s="7"/>
      <c r="P737" s="7"/>
      <c r="R737" s="2"/>
      <c r="S737" s="2"/>
      <c r="T737" s="2"/>
      <c r="U737" s="2"/>
      <c r="V737" s="2"/>
      <c r="X737" s="38"/>
      <c r="Y737" s="38"/>
      <c r="Z737" s="38"/>
      <c r="AA737" s="38"/>
      <c r="AB737" s="38"/>
      <c r="AD737" s="2"/>
      <c r="AE737" s="2"/>
      <c r="AF737" s="2"/>
      <c r="AG737" s="2"/>
      <c r="AH737" s="2"/>
      <c r="AJ737" s="215"/>
      <c r="AK737" s="215"/>
      <c r="AL737" s="215"/>
      <c r="AM737" s="215"/>
      <c r="AO737" s="10"/>
      <c r="AP737" s="10"/>
      <c r="AQ737" s="10"/>
      <c r="AR737" s="10"/>
      <c r="AS737" s="10"/>
      <c r="AU737" s="2"/>
      <c r="AV737" s="2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</row>
    <row r="738" spans="1:73" customFormat="1" ht="12.75" hidden="1" customHeight="1" x14ac:dyDescent="0.2">
      <c r="A738" s="1"/>
      <c r="B738" s="1"/>
      <c r="C738" s="1"/>
      <c r="D738" s="7"/>
      <c r="E738" s="7"/>
      <c r="F738" s="6"/>
      <c r="G738" s="7"/>
      <c r="H738" s="2"/>
      <c r="I738" s="2"/>
      <c r="J738" s="2"/>
      <c r="K738" s="2"/>
      <c r="L738" s="178"/>
      <c r="M738" s="2"/>
      <c r="N738" s="7"/>
      <c r="P738" s="7"/>
      <c r="R738" s="2"/>
      <c r="S738" s="2"/>
      <c r="T738" s="2"/>
      <c r="U738" s="2"/>
      <c r="V738" s="2"/>
      <c r="X738" s="38"/>
      <c r="Y738" s="38"/>
      <c r="Z738" s="38"/>
      <c r="AA738" s="38"/>
      <c r="AB738" s="38"/>
      <c r="AD738" s="2"/>
      <c r="AE738" s="2"/>
      <c r="AF738" s="2"/>
      <c r="AG738" s="2"/>
      <c r="AH738" s="2"/>
      <c r="AJ738" s="215"/>
      <c r="AK738" s="215"/>
      <c r="AL738" s="215"/>
      <c r="AM738" s="215"/>
      <c r="AO738" s="10"/>
      <c r="AP738" s="10"/>
      <c r="AQ738" s="10"/>
      <c r="AR738" s="10"/>
      <c r="AS738" s="10"/>
      <c r="AU738" s="2"/>
      <c r="AV738" s="2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</row>
    <row r="739" spans="1:73" customFormat="1" ht="12.75" hidden="1" customHeight="1" x14ac:dyDescent="0.2">
      <c r="A739" s="1"/>
      <c r="B739" s="1"/>
      <c r="C739" s="1"/>
      <c r="D739" s="7"/>
      <c r="E739" s="7"/>
      <c r="F739" s="6"/>
      <c r="G739" s="7"/>
      <c r="H739" s="2"/>
      <c r="I739" s="2"/>
      <c r="J739" s="2"/>
      <c r="K739" s="2"/>
      <c r="L739" s="178"/>
      <c r="M739" s="2"/>
      <c r="N739" s="7"/>
      <c r="P739" s="7"/>
      <c r="R739" s="2"/>
      <c r="S739" s="2"/>
      <c r="T739" s="2"/>
      <c r="U739" s="2"/>
      <c r="V739" s="2"/>
      <c r="X739" s="38"/>
      <c r="Y739" s="38"/>
      <c r="Z739" s="38"/>
      <c r="AA739" s="38"/>
      <c r="AB739" s="38"/>
      <c r="AD739" s="2"/>
      <c r="AE739" s="2"/>
      <c r="AF739" s="2"/>
      <c r="AG739" s="2"/>
      <c r="AH739" s="2"/>
      <c r="AJ739" s="215"/>
      <c r="AK739" s="215"/>
      <c r="AL739" s="215"/>
      <c r="AM739" s="215"/>
      <c r="AO739" s="10"/>
      <c r="AP739" s="10"/>
      <c r="AQ739" s="10"/>
      <c r="AR739" s="10"/>
      <c r="AS739" s="10"/>
      <c r="AU739" s="2"/>
      <c r="AV739" s="2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</row>
    <row r="740" spans="1:73" customFormat="1" ht="12.75" hidden="1" customHeight="1" x14ac:dyDescent="0.2">
      <c r="A740" s="1"/>
      <c r="B740" s="1"/>
      <c r="C740" s="1"/>
      <c r="D740" s="7"/>
      <c r="E740" s="7"/>
      <c r="F740" s="6"/>
      <c r="G740" s="7"/>
      <c r="H740" s="2"/>
      <c r="I740" s="2"/>
      <c r="J740" s="2"/>
      <c r="K740" s="2"/>
      <c r="L740" s="178"/>
      <c r="M740" s="2"/>
      <c r="N740" s="7"/>
      <c r="P740" s="7"/>
      <c r="R740" s="2"/>
      <c r="S740" s="2"/>
      <c r="T740" s="2"/>
      <c r="U740" s="2"/>
      <c r="V740" s="2"/>
      <c r="X740" s="38"/>
      <c r="Y740" s="38"/>
      <c r="Z740" s="38"/>
      <c r="AA740" s="38"/>
      <c r="AB740" s="38"/>
      <c r="AD740" s="2"/>
      <c r="AE740" s="2"/>
      <c r="AF740" s="2"/>
      <c r="AG740" s="2"/>
      <c r="AH740" s="2"/>
      <c r="AJ740" s="215"/>
      <c r="AK740" s="215"/>
      <c r="AL740" s="215"/>
      <c r="AM740" s="215"/>
      <c r="AO740" s="10"/>
      <c r="AP740" s="10"/>
      <c r="AQ740" s="10"/>
      <c r="AR740" s="10"/>
      <c r="AS740" s="10"/>
      <c r="AU740" s="2"/>
      <c r="AV740" s="2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</row>
    <row r="741" spans="1:73" customFormat="1" ht="12.75" hidden="1" customHeight="1" x14ac:dyDescent="0.2">
      <c r="A741" s="1"/>
      <c r="B741" s="1"/>
      <c r="C741" s="1"/>
      <c r="D741" s="7"/>
      <c r="E741" s="7"/>
      <c r="F741" s="6"/>
      <c r="G741" s="7"/>
      <c r="H741" s="2"/>
      <c r="I741" s="2"/>
      <c r="J741" s="2"/>
      <c r="K741" s="2"/>
      <c r="L741" s="178"/>
      <c r="M741" s="2"/>
      <c r="N741" s="7"/>
      <c r="P741" s="7"/>
      <c r="R741" s="2"/>
      <c r="S741" s="2"/>
      <c r="T741" s="2"/>
      <c r="U741" s="2"/>
      <c r="V741" s="2"/>
      <c r="X741" s="38"/>
      <c r="Y741" s="38"/>
      <c r="Z741" s="38"/>
      <c r="AA741" s="38"/>
      <c r="AB741" s="38"/>
      <c r="AD741" s="2"/>
      <c r="AE741" s="2"/>
      <c r="AF741" s="2"/>
      <c r="AG741" s="2"/>
      <c r="AH741" s="2"/>
      <c r="AJ741" s="215"/>
      <c r="AK741" s="215"/>
      <c r="AL741" s="215"/>
      <c r="AM741" s="215"/>
      <c r="AO741" s="10"/>
      <c r="AP741" s="10"/>
      <c r="AQ741" s="10"/>
      <c r="AR741" s="10"/>
      <c r="AS741" s="10"/>
      <c r="AU741" s="2"/>
      <c r="AV741" s="2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</row>
    <row r="742" spans="1:73" customFormat="1" ht="12.75" hidden="1" customHeight="1" x14ac:dyDescent="0.2">
      <c r="A742" s="1"/>
      <c r="B742" s="1"/>
      <c r="C742" s="1"/>
      <c r="D742" s="7"/>
      <c r="E742" s="7"/>
      <c r="F742" s="6"/>
      <c r="G742" s="7"/>
      <c r="H742" s="2"/>
      <c r="I742" s="2"/>
      <c r="J742" s="2"/>
      <c r="K742" s="2"/>
      <c r="L742" s="178"/>
      <c r="M742" s="2"/>
      <c r="N742" s="7"/>
      <c r="P742" s="7"/>
      <c r="R742" s="2"/>
      <c r="S742" s="2"/>
      <c r="T742" s="2"/>
      <c r="U742" s="2"/>
      <c r="V742" s="2"/>
      <c r="X742" s="38"/>
      <c r="Y742" s="38"/>
      <c r="Z742" s="38"/>
      <c r="AA742" s="38"/>
      <c r="AB742" s="38"/>
      <c r="AD742" s="2"/>
      <c r="AE742" s="2"/>
      <c r="AF742" s="2"/>
      <c r="AG742" s="2"/>
      <c r="AH742" s="2"/>
      <c r="AJ742" s="215"/>
      <c r="AK742" s="215"/>
      <c r="AL742" s="215"/>
      <c r="AM742" s="215"/>
      <c r="AO742" s="10"/>
      <c r="AP742" s="10"/>
      <c r="AQ742" s="10"/>
      <c r="AR742" s="10"/>
      <c r="AS742" s="10"/>
      <c r="AU742" s="2"/>
      <c r="AV742" s="2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</row>
    <row r="743" spans="1:73" customFormat="1" ht="12.75" hidden="1" customHeight="1" x14ac:dyDescent="0.2">
      <c r="A743" s="1"/>
      <c r="B743" s="1"/>
      <c r="C743" s="1"/>
      <c r="D743" s="7"/>
      <c r="E743" s="7"/>
      <c r="F743" s="6"/>
      <c r="G743" s="7"/>
      <c r="H743" s="2"/>
      <c r="I743" s="2"/>
      <c r="J743" s="2"/>
      <c r="K743" s="2"/>
      <c r="L743" s="178"/>
      <c r="M743" s="2"/>
      <c r="N743" s="7"/>
      <c r="P743" s="7"/>
      <c r="R743" s="2"/>
      <c r="S743" s="2"/>
      <c r="T743" s="2"/>
      <c r="U743" s="2"/>
      <c r="V743" s="2"/>
      <c r="X743" s="38"/>
      <c r="Y743" s="38"/>
      <c r="Z743" s="38"/>
      <c r="AA743" s="38"/>
      <c r="AB743" s="38"/>
      <c r="AD743" s="2"/>
      <c r="AE743" s="2"/>
      <c r="AF743" s="2"/>
      <c r="AG743" s="2"/>
      <c r="AH743" s="2"/>
      <c r="AJ743" s="215"/>
      <c r="AK743" s="215"/>
      <c r="AL743" s="215"/>
      <c r="AM743" s="215"/>
      <c r="AO743" s="10"/>
      <c r="AP743" s="10"/>
      <c r="AQ743" s="10"/>
      <c r="AR743" s="10"/>
      <c r="AS743" s="10"/>
      <c r="AU743" s="2"/>
      <c r="AV743" s="2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</row>
    <row r="744" spans="1:73" customFormat="1" ht="12.75" hidden="1" customHeight="1" x14ac:dyDescent="0.2">
      <c r="A744" s="1"/>
      <c r="B744" s="1"/>
      <c r="C744" s="1"/>
      <c r="D744" s="7"/>
      <c r="E744" s="7"/>
      <c r="F744" s="6"/>
      <c r="G744" s="7"/>
      <c r="H744" s="2"/>
      <c r="I744" s="2"/>
      <c r="J744" s="2"/>
      <c r="K744" s="2"/>
      <c r="L744" s="178"/>
      <c r="M744" s="2"/>
      <c r="N744" s="7"/>
      <c r="P744" s="7"/>
      <c r="R744" s="2"/>
      <c r="S744" s="2"/>
      <c r="T744" s="2"/>
      <c r="U744" s="2"/>
      <c r="V744" s="2"/>
      <c r="X744" s="38"/>
      <c r="Y744" s="38"/>
      <c r="Z744" s="38"/>
      <c r="AA744" s="38"/>
      <c r="AB744" s="38"/>
      <c r="AD744" s="2"/>
      <c r="AE744" s="2"/>
      <c r="AF744" s="2"/>
      <c r="AG744" s="2"/>
      <c r="AH744" s="2"/>
      <c r="AJ744" s="215"/>
      <c r="AK744" s="215"/>
      <c r="AL744" s="215"/>
      <c r="AM744" s="215"/>
      <c r="AO744" s="10"/>
      <c r="AP744" s="10"/>
      <c r="AQ744" s="10"/>
      <c r="AR744" s="10"/>
      <c r="AS744" s="10"/>
      <c r="AU744" s="2"/>
      <c r="AV744" s="2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</row>
    <row r="745" spans="1:73" customFormat="1" ht="12.75" hidden="1" customHeight="1" x14ac:dyDescent="0.2">
      <c r="A745" s="1"/>
      <c r="B745" s="1"/>
      <c r="C745" s="1"/>
      <c r="D745" s="7"/>
      <c r="E745" s="7"/>
      <c r="F745" s="6"/>
      <c r="G745" s="7"/>
      <c r="H745" s="2"/>
      <c r="I745" s="2"/>
      <c r="J745" s="2"/>
      <c r="K745" s="2"/>
      <c r="L745" s="178"/>
      <c r="M745" s="2"/>
      <c r="N745" s="7"/>
      <c r="P745" s="7"/>
      <c r="R745" s="2"/>
      <c r="S745" s="2"/>
      <c r="T745" s="2"/>
      <c r="U745" s="2"/>
      <c r="V745" s="2"/>
      <c r="X745" s="38"/>
      <c r="Y745" s="38"/>
      <c r="Z745" s="38"/>
      <c r="AA745" s="38"/>
      <c r="AB745" s="38"/>
      <c r="AD745" s="2"/>
      <c r="AE745" s="2"/>
      <c r="AF745" s="2"/>
      <c r="AG745" s="2"/>
      <c r="AH745" s="2"/>
      <c r="AJ745" s="215"/>
      <c r="AK745" s="215"/>
      <c r="AL745" s="215"/>
      <c r="AM745" s="215"/>
      <c r="AO745" s="10"/>
      <c r="AP745" s="10"/>
      <c r="AQ745" s="10"/>
      <c r="AR745" s="10"/>
      <c r="AS745" s="10"/>
      <c r="AU745" s="2"/>
      <c r="AV745" s="2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</row>
    <row r="746" spans="1:73" customFormat="1" ht="12.75" hidden="1" customHeight="1" x14ac:dyDescent="0.2">
      <c r="A746" s="1"/>
      <c r="B746" s="1"/>
      <c r="C746" s="1"/>
      <c r="D746" s="7"/>
      <c r="E746" s="7"/>
      <c r="F746" s="6"/>
      <c r="G746" s="7"/>
      <c r="H746" s="2"/>
      <c r="I746" s="2"/>
      <c r="J746" s="2"/>
      <c r="K746" s="2"/>
      <c r="L746" s="178"/>
      <c r="M746" s="2"/>
      <c r="N746" s="7"/>
      <c r="P746" s="7"/>
      <c r="R746" s="2"/>
      <c r="S746" s="2"/>
      <c r="T746" s="2"/>
      <c r="U746" s="2"/>
      <c r="V746" s="2"/>
      <c r="X746" s="38"/>
      <c r="Y746" s="38"/>
      <c r="Z746" s="38"/>
      <c r="AA746" s="38"/>
      <c r="AB746" s="38"/>
      <c r="AD746" s="2"/>
      <c r="AE746" s="2"/>
      <c r="AF746" s="2"/>
      <c r="AG746" s="2"/>
      <c r="AH746" s="2"/>
      <c r="AJ746" s="215"/>
      <c r="AK746" s="215"/>
      <c r="AL746" s="215"/>
      <c r="AM746" s="215"/>
      <c r="AO746" s="10"/>
      <c r="AP746" s="10"/>
      <c r="AQ746" s="10"/>
      <c r="AR746" s="10"/>
      <c r="AS746" s="10"/>
      <c r="AU746" s="2"/>
      <c r="AV746" s="2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</row>
    <row r="747" spans="1:73" customFormat="1" ht="12.75" hidden="1" customHeight="1" x14ac:dyDescent="0.2">
      <c r="A747" s="1"/>
      <c r="B747" s="1"/>
      <c r="C747" s="1"/>
      <c r="D747" s="7"/>
      <c r="E747" s="7"/>
      <c r="F747" s="6"/>
      <c r="G747" s="7"/>
      <c r="H747" s="2"/>
      <c r="I747" s="2"/>
      <c r="J747" s="2"/>
      <c r="K747" s="2"/>
      <c r="L747" s="178"/>
      <c r="M747" s="2"/>
      <c r="N747" s="7"/>
      <c r="P747" s="7"/>
      <c r="R747" s="2"/>
      <c r="S747" s="2"/>
      <c r="T747" s="2"/>
      <c r="U747" s="2"/>
      <c r="V747" s="2"/>
      <c r="X747" s="38"/>
      <c r="Y747" s="38"/>
      <c r="Z747" s="38"/>
      <c r="AA747" s="38"/>
      <c r="AB747" s="38"/>
      <c r="AD747" s="2"/>
      <c r="AE747" s="2"/>
      <c r="AF747" s="2"/>
      <c r="AG747" s="2"/>
      <c r="AH747" s="2"/>
      <c r="AJ747" s="215"/>
      <c r="AK747" s="215"/>
      <c r="AL747" s="215"/>
      <c r="AM747" s="215"/>
      <c r="AO747" s="10"/>
      <c r="AP747" s="10"/>
      <c r="AQ747" s="10"/>
      <c r="AR747" s="10"/>
      <c r="AS747" s="10"/>
      <c r="AU747" s="2"/>
      <c r="AV747" s="2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</row>
    <row r="748" spans="1:73" customFormat="1" ht="12.75" hidden="1" customHeight="1" x14ac:dyDescent="0.2">
      <c r="A748" s="1"/>
      <c r="B748" s="1"/>
      <c r="C748" s="1"/>
      <c r="D748" s="7"/>
      <c r="E748" s="7"/>
      <c r="F748" s="6"/>
      <c r="G748" s="7"/>
      <c r="H748" s="2"/>
      <c r="I748" s="2"/>
      <c r="J748" s="2"/>
      <c r="K748" s="2"/>
      <c r="L748" s="178"/>
      <c r="M748" s="2"/>
      <c r="N748" s="7"/>
      <c r="P748" s="7"/>
      <c r="R748" s="2"/>
      <c r="S748" s="2"/>
      <c r="T748" s="2"/>
      <c r="U748" s="2"/>
      <c r="V748" s="2"/>
      <c r="X748" s="38"/>
      <c r="Y748" s="38"/>
      <c r="Z748" s="38"/>
      <c r="AA748" s="38"/>
      <c r="AB748" s="38"/>
      <c r="AD748" s="2"/>
      <c r="AE748" s="2"/>
      <c r="AF748" s="2"/>
      <c r="AG748" s="2"/>
      <c r="AH748" s="2"/>
      <c r="AJ748" s="215"/>
      <c r="AK748" s="215"/>
      <c r="AL748" s="215"/>
      <c r="AM748" s="215"/>
      <c r="AO748" s="10"/>
      <c r="AP748" s="10"/>
      <c r="AQ748" s="10"/>
      <c r="AR748" s="10"/>
      <c r="AS748" s="10"/>
      <c r="AU748" s="2"/>
      <c r="AV748" s="2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</row>
    <row r="749" spans="1:73" customFormat="1" ht="12.75" hidden="1" customHeight="1" x14ac:dyDescent="0.2">
      <c r="A749" s="1"/>
      <c r="B749" s="1"/>
      <c r="C749" s="1"/>
      <c r="D749" s="7"/>
      <c r="E749" s="7"/>
      <c r="F749" s="6"/>
      <c r="G749" s="7"/>
      <c r="H749" s="2"/>
      <c r="I749" s="2"/>
      <c r="J749" s="2"/>
      <c r="K749" s="2"/>
      <c r="L749" s="178"/>
      <c r="M749" s="2"/>
      <c r="N749" s="7"/>
      <c r="P749" s="7"/>
      <c r="R749" s="2"/>
      <c r="S749" s="2"/>
      <c r="T749" s="2"/>
      <c r="U749" s="2"/>
      <c r="V749" s="2"/>
      <c r="X749" s="38"/>
      <c r="Y749" s="38"/>
      <c r="Z749" s="38"/>
      <c r="AA749" s="38"/>
      <c r="AB749" s="38"/>
      <c r="AD749" s="2"/>
      <c r="AE749" s="2"/>
      <c r="AF749" s="2"/>
      <c r="AG749" s="2"/>
      <c r="AH749" s="2"/>
      <c r="AJ749" s="215"/>
      <c r="AK749" s="215"/>
      <c r="AL749" s="215"/>
      <c r="AM749" s="215"/>
      <c r="AO749" s="10"/>
      <c r="AP749" s="10"/>
      <c r="AQ749" s="10"/>
      <c r="AR749" s="10"/>
      <c r="AS749" s="10"/>
      <c r="AU749" s="2"/>
      <c r="AV749" s="2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</row>
    <row r="750" spans="1:73" customFormat="1" ht="12.75" hidden="1" customHeight="1" x14ac:dyDescent="0.2">
      <c r="A750" s="1"/>
      <c r="B750" s="1"/>
      <c r="C750" s="1"/>
      <c r="D750" s="7"/>
      <c r="E750" s="7"/>
      <c r="F750" s="6"/>
      <c r="G750" s="7"/>
      <c r="H750" s="2"/>
      <c r="I750" s="2"/>
      <c r="J750" s="2"/>
      <c r="K750" s="2"/>
      <c r="L750" s="178"/>
      <c r="M750" s="2"/>
      <c r="N750" s="7"/>
      <c r="P750" s="7"/>
      <c r="R750" s="2"/>
      <c r="S750" s="2"/>
      <c r="T750" s="2"/>
      <c r="U750" s="2"/>
      <c r="V750" s="2"/>
      <c r="X750" s="38"/>
      <c r="Y750" s="38"/>
      <c r="Z750" s="38"/>
      <c r="AA750" s="38"/>
      <c r="AB750" s="38"/>
      <c r="AD750" s="2"/>
      <c r="AE750" s="2"/>
      <c r="AF750" s="2"/>
      <c r="AG750" s="2"/>
      <c r="AH750" s="2"/>
      <c r="AJ750" s="215"/>
      <c r="AK750" s="215"/>
      <c r="AL750" s="215"/>
      <c r="AM750" s="215"/>
      <c r="AO750" s="10"/>
      <c r="AP750" s="10"/>
      <c r="AQ750" s="10"/>
      <c r="AR750" s="10"/>
      <c r="AS750" s="10"/>
      <c r="AU750" s="2"/>
      <c r="AV750" s="2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</row>
    <row r="751" spans="1:73" customFormat="1" ht="12.75" hidden="1" customHeight="1" x14ac:dyDescent="0.2">
      <c r="A751" s="1"/>
      <c r="B751" s="1"/>
      <c r="C751" s="1"/>
      <c r="D751" s="7"/>
      <c r="E751" s="7"/>
      <c r="F751" s="6"/>
      <c r="G751" s="7"/>
      <c r="H751" s="2"/>
      <c r="I751" s="2"/>
      <c r="J751" s="2"/>
      <c r="K751" s="2"/>
      <c r="L751" s="178"/>
      <c r="M751" s="2"/>
      <c r="N751" s="7"/>
      <c r="P751" s="7"/>
      <c r="R751" s="2"/>
      <c r="S751" s="2"/>
      <c r="T751" s="2"/>
      <c r="U751" s="2"/>
      <c r="V751" s="2"/>
      <c r="X751" s="38"/>
      <c r="Y751" s="38"/>
      <c r="Z751" s="38"/>
      <c r="AA751" s="38"/>
      <c r="AB751" s="38"/>
      <c r="AD751" s="2"/>
      <c r="AE751" s="2"/>
      <c r="AF751" s="2"/>
      <c r="AG751" s="2"/>
      <c r="AH751" s="2"/>
      <c r="AJ751" s="215"/>
      <c r="AK751" s="215"/>
      <c r="AL751" s="215"/>
      <c r="AM751" s="215"/>
      <c r="AO751" s="10"/>
      <c r="AP751" s="10"/>
      <c r="AQ751" s="10"/>
      <c r="AR751" s="10"/>
      <c r="AS751" s="10"/>
      <c r="AU751" s="2"/>
      <c r="AV751" s="2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</row>
    <row r="752" spans="1:73" customFormat="1" ht="12.75" hidden="1" customHeight="1" x14ac:dyDescent="0.2">
      <c r="A752" s="1"/>
      <c r="B752" s="1"/>
      <c r="C752" s="1"/>
      <c r="D752" s="7"/>
      <c r="E752" s="7"/>
      <c r="F752" s="6"/>
      <c r="G752" s="7"/>
      <c r="H752" s="2"/>
      <c r="I752" s="2"/>
      <c r="J752" s="2"/>
      <c r="K752" s="2"/>
      <c r="L752" s="178"/>
      <c r="M752" s="2"/>
      <c r="N752" s="7"/>
      <c r="P752" s="7"/>
      <c r="R752" s="2"/>
      <c r="S752" s="2"/>
      <c r="T752" s="2"/>
      <c r="U752" s="2"/>
      <c r="V752" s="2"/>
      <c r="X752" s="38"/>
      <c r="Y752" s="38"/>
      <c r="Z752" s="38"/>
      <c r="AA752" s="38"/>
      <c r="AB752" s="38"/>
      <c r="AD752" s="2"/>
      <c r="AE752" s="2"/>
      <c r="AF752" s="2"/>
      <c r="AG752" s="2"/>
      <c r="AH752" s="2"/>
      <c r="AJ752" s="215"/>
      <c r="AK752" s="215"/>
      <c r="AL752" s="215"/>
      <c r="AM752" s="215"/>
      <c r="AO752" s="10"/>
      <c r="AP752" s="10"/>
      <c r="AQ752" s="10"/>
      <c r="AR752" s="10"/>
      <c r="AS752" s="10"/>
      <c r="AU752" s="2"/>
      <c r="AV752" s="2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</row>
    <row r="753" spans="1:73" customFormat="1" ht="12.75" hidden="1" customHeight="1" x14ac:dyDescent="0.2">
      <c r="A753" s="1"/>
      <c r="B753" s="1"/>
      <c r="C753" s="1"/>
      <c r="D753" s="7"/>
      <c r="E753" s="7"/>
      <c r="F753" s="6"/>
      <c r="G753" s="7"/>
      <c r="H753" s="2"/>
      <c r="I753" s="2"/>
      <c r="J753" s="2"/>
      <c r="K753" s="2"/>
      <c r="L753" s="178"/>
      <c r="M753" s="2"/>
      <c r="N753" s="7"/>
      <c r="P753" s="7"/>
      <c r="R753" s="2"/>
      <c r="S753" s="2"/>
      <c r="T753" s="2"/>
      <c r="U753" s="2"/>
      <c r="V753" s="2"/>
      <c r="X753" s="38"/>
      <c r="Y753" s="38"/>
      <c r="Z753" s="38"/>
      <c r="AA753" s="38"/>
      <c r="AB753" s="38"/>
      <c r="AD753" s="2"/>
      <c r="AE753" s="2"/>
      <c r="AF753" s="2"/>
      <c r="AG753" s="2"/>
      <c r="AH753" s="2"/>
      <c r="AJ753" s="215"/>
      <c r="AK753" s="215"/>
      <c r="AL753" s="215"/>
      <c r="AM753" s="215"/>
      <c r="AO753" s="10"/>
      <c r="AP753" s="10"/>
      <c r="AQ753" s="10"/>
      <c r="AR753" s="10"/>
      <c r="AS753" s="10"/>
      <c r="AU753" s="2"/>
      <c r="AV753" s="2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</row>
    <row r="754" spans="1:73" customFormat="1" ht="12.75" hidden="1" customHeight="1" x14ac:dyDescent="0.2">
      <c r="A754" s="1"/>
      <c r="B754" s="1"/>
      <c r="C754" s="1"/>
      <c r="D754" s="7"/>
      <c r="E754" s="7"/>
      <c r="F754" s="6"/>
      <c r="G754" s="7"/>
      <c r="H754" s="2"/>
      <c r="I754" s="2"/>
      <c r="J754" s="2"/>
      <c r="K754" s="2"/>
      <c r="L754" s="178"/>
      <c r="M754" s="2"/>
      <c r="N754" s="7"/>
      <c r="P754" s="7"/>
      <c r="R754" s="2"/>
      <c r="S754" s="2"/>
      <c r="T754" s="2"/>
      <c r="U754" s="2"/>
      <c r="V754" s="2"/>
      <c r="X754" s="38"/>
      <c r="Y754" s="38"/>
      <c r="Z754" s="38"/>
      <c r="AA754" s="38"/>
      <c r="AB754" s="38"/>
      <c r="AD754" s="2"/>
      <c r="AE754" s="2"/>
      <c r="AF754" s="2"/>
      <c r="AG754" s="2"/>
      <c r="AH754" s="2"/>
      <c r="AJ754" s="215"/>
      <c r="AK754" s="215"/>
      <c r="AL754" s="215"/>
      <c r="AM754" s="215"/>
      <c r="AO754" s="10"/>
      <c r="AP754" s="10"/>
      <c r="AQ754" s="10"/>
      <c r="AR754" s="10"/>
      <c r="AS754" s="10"/>
      <c r="AU754" s="2"/>
      <c r="AV754" s="2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</row>
    <row r="755" spans="1:73" customFormat="1" ht="12.75" hidden="1" customHeight="1" x14ac:dyDescent="0.2">
      <c r="A755" s="1"/>
      <c r="B755" s="1"/>
      <c r="C755" s="1"/>
      <c r="D755" s="7"/>
      <c r="E755" s="7"/>
      <c r="F755" s="6"/>
      <c r="G755" s="7"/>
      <c r="H755" s="2"/>
      <c r="I755" s="2"/>
      <c r="J755" s="2"/>
      <c r="K755" s="2"/>
      <c r="L755" s="178"/>
      <c r="M755" s="2"/>
      <c r="N755" s="7"/>
      <c r="P755" s="7"/>
      <c r="R755" s="2"/>
      <c r="S755" s="2"/>
      <c r="T755" s="2"/>
      <c r="U755" s="2"/>
      <c r="V755" s="2"/>
      <c r="X755" s="38"/>
      <c r="Y755" s="38"/>
      <c r="Z755" s="38"/>
      <c r="AA755" s="38"/>
      <c r="AB755" s="38"/>
      <c r="AD755" s="2"/>
      <c r="AE755" s="2"/>
      <c r="AF755" s="2"/>
      <c r="AG755" s="2"/>
      <c r="AH755" s="2"/>
      <c r="AJ755" s="215"/>
      <c r="AK755" s="215"/>
      <c r="AL755" s="215"/>
      <c r="AM755" s="215"/>
      <c r="AO755" s="10"/>
      <c r="AP755" s="10"/>
      <c r="AQ755" s="10"/>
      <c r="AR755" s="10"/>
      <c r="AS755" s="10"/>
      <c r="AU755" s="2"/>
      <c r="AV755" s="2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</row>
    <row r="756" spans="1:73" customFormat="1" ht="12.75" hidden="1" customHeight="1" x14ac:dyDescent="0.2">
      <c r="A756" s="1"/>
      <c r="B756" s="1"/>
      <c r="C756" s="1"/>
      <c r="D756" s="7"/>
      <c r="E756" s="7"/>
      <c r="F756" s="6"/>
      <c r="G756" s="7"/>
      <c r="H756" s="2"/>
      <c r="I756" s="2"/>
      <c r="J756" s="2"/>
      <c r="K756" s="2"/>
      <c r="L756" s="178"/>
      <c r="M756" s="2"/>
      <c r="N756" s="7"/>
      <c r="P756" s="7"/>
      <c r="R756" s="2"/>
      <c r="S756" s="2"/>
      <c r="T756" s="2"/>
      <c r="U756" s="2"/>
      <c r="V756" s="2"/>
      <c r="X756" s="38"/>
      <c r="Y756" s="38"/>
      <c r="Z756" s="38"/>
      <c r="AA756" s="38"/>
      <c r="AB756" s="38"/>
      <c r="AD756" s="2"/>
      <c r="AE756" s="2"/>
      <c r="AF756" s="2"/>
      <c r="AG756" s="2"/>
      <c r="AH756" s="2"/>
      <c r="AJ756" s="215"/>
      <c r="AK756" s="215"/>
      <c r="AL756" s="215"/>
      <c r="AM756" s="215"/>
      <c r="AO756" s="10"/>
      <c r="AP756" s="10"/>
      <c r="AQ756" s="10"/>
      <c r="AR756" s="10"/>
      <c r="AS756" s="10"/>
      <c r="AU756" s="2"/>
      <c r="AV756" s="2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</row>
    <row r="757" spans="1:73" customFormat="1" ht="12.75" hidden="1" customHeight="1" x14ac:dyDescent="0.2">
      <c r="A757" s="1"/>
      <c r="B757" s="1"/>
      <c r="C757" s="1"/>
      <c r="D757" s="7"/>
      <c r="E757" s="7"/>
      <c r="F757" s="6"/>
      <c r="G757" s="7"/>
      <c r="H757" s="2"/>
      <c r="I757" s="2"/>
      <c r="J757" s="2"/>
      <c r="K757" s="2"/>
      <c r="L757" s="178"/>
      <c r="M757" s="2"/>
      <c r="N757" s="7"/>
      <c r="P757" s="7"/>
      <c r="R757" s="2"/>
      <c r="S757" s="2"/>
      <c r="T757" s="2"/>
      <c r="U757" s="2"/>
      <c r="V757" s="2"/>
      <c r="X757" s="38"/>
      <c r="Y757" s="38"/>
      <c r="Z757" s="38"/>
      <c r="AA757" s="38"/>
      <c r="AB757" s="38"/>
      <c r="AD757" s="2"/>
      <c r="AE757" s="2"/>
      <c r="AF757" s="2"/>
      <c r="AG757" s="2"/>
      <c r="AH757" s="2"/>
      <c r="AJ757" s="215"/>
      <c r="AK757" s="215"/>
      <c r="AL757" s="215"/>
      <c r="AM757" s="215"/>
      <c r="AO757" s="10"/>
      <c r="AP757" s="10"/>
      <c r="AQ757" s="10"/>
      <c r="AR757" s="10"/>
      <c r="AS757" s="10"/>
      <c r="AU757" s="2"/>
      <c r="AV757" s="2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</row>
    <row r="758" spans="1:73" customFormat="1" ht="12.75" hidden="1" customHeight="1" x14ac:dyDescent="0.2">
      <c r="A758" s="1"/>
      <c r="B758" s="1"/>
      <c r="C758" s="1"/>
      <c r="D758" s="7"/>
      <c r="E758" s="7"/>
      <c r="F758" s="6"/>
      <c r="G758" s="7"/>
      <c r="H758" s="2"/>
      <c r="I758" s="2"/>
      <c r="J758" s="2"/>
      <c r="K758" s="2"/>
      <c r="L758" s="178"/>
      <c r="M758" s="2"/>
      <c r="N758" s="7"/>
      <c r="P758" s="7"/>
      <c r="R758" s="2"/>
      <c r="S758" s="2"/>
      <c r="T758" s="2"/>
      <c r="U758" s="2"/>
      <c r="V758" s="2"/>
      <c r="X758" s="38"/>
      <c r="Y758" s="38"/>
      <c r="Z758" s="38"/>
      <c r="AA758" s="38"/>
      <c r="AB758" s="38"/>
      <c r="AD758" s="2"/>
      <c r="AE758" s="2"/>
      <c r="AF758" s="2"/>
      <c r="AG758" s="2"/>
      <c r="AH758" s="2"/>
      <c r="AJ758" s="215"/>
      <c r="AK758" s="215"/>
      <c r="AL758" s="215"/>
      <c r="AM758" s="215"/>
      <c r="AO758" s="10"/>
      <c r="AP758" s="10"/>
      <c r="AQ758" s="10"/>
      <c r="AR758" s="10"/>
      <c r="AS758" s="10"/>
      <c r="AU758" s="2"/>
      <c r="AV758" s="2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</row>
    <row r="759" spans="1:73" customFormat="1" ht="12.75" hidden="1" customHeight="1" x14ac:dyDescent="0.2">
      <c r="A759" s="1"/>
      <c r="B759" s="1"/>
      <c r="C759" s="1"/>
      <c r="D759" s="7"/>
      <c r="E759" s="7"/>
      <c r="F759" s="6"/>
      <c r="G759" s="7"/>
      <c r="H759" s="2"/>
      <c r="I759" s="2"/>
      <c r="J759" s="2"/>
      <c r="K759" s="2"/>
      <c r="L759" s="178"/>
      <c r="M759" s="2"/>
      <c r="N759" s="7"/>
      <c r="P759" s="7"/>
      <c r="R759" s="2"/>
      <c r="S759" s="2"/>
      <c r="T759" s="2"/>
      <c r="U759" s="2"/>
      <c r="V759" s="2"/>
      <c r="X759" s="38"/>
      <c r="Y759" s="38"/>
      <c r="Z759" s="38"/>
      <c r="AA759" s="38"/>
      <c r="AB759" s="38"/>
      <c r="AD759" s="2"/>
      <c r="AE759" s="2"/>
      <c r="AF759" s="2"/>
      <c r="AG759" s="2"/>
      <c r="AH759" s="2"/>
      <c r="AJ759" s="215"/>
      <c r="AK759" s="215"/>
      <c r="AL759" s="215"/>
      <c r="AM759" s="215"/>
      <c r="AO759" s="10"/>
      <c r="AP759" s="10"/>
      <c r="AQ759" s="10"/>
      <c r="AR759" s="10"/>
      <c r="AS759" s="10"/>
      <c r="AU759" s="2"/>
      <c r="AV759" s="2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</row>
    <row r="760" spans="1:73" customFormat="1" ht="12.75" hidden="1" customHeight="1" x14ac:dyDescent="0.2">
      <c r="A760" s="1"/>
      <c r="B760" s="1"/>
      <c r="C760" s="1"/>
      <c r="D760" s="7"/>
      <c r="E760" s="7"/>
      <c r="F760" s="6"/>
      <c r="G760" s="7"/>
      <c r="H760" s="2"/>
      <c r="I760" s="2"/>
      <c r="J760" s="2"/>
      <c r="K760" s="2"/>
      <c r="L760" s="178"/>
      <c r="M760" s="2"/>
      <c r="N760" s="7"/>
      <c r="P760" s="7"/>
      <c r="R760" s="2"/>
      <c r="S760" s="2"/>
      <c r="T760" s="2"/>
      <c r="U760" s="2"/>
      <c r="V760" s="2"/>
      <c r="X760" s="38"/>
      <c r="Y760" s="38"/>
      <c r="Z760" s="38"/>
      <c r="AA760" s="38"/>
      <c r="AB760" s="38"/>
      <c r="AD760" s="2"/>
      <c r="AE760" s="2"/>
      <c r="AF760" s="2"/>
      <c r="AG760" s="2"/>
      <c r="AH760" s="2"/>
      <c r="AJ760" s="215"/>
      <c r="AK760" s="215"/>
      <c r="AL760" s="215"/>
      <c r="AM760" s="215"/>
      <c r="AO760" s="10"/>
      <c r="AP760" s="10"/>
      <c r="AQ760" s="10"/>
      <c r="AR760" s="10"/>
      <c r="AS760" s="10"/>
      <c r="AU760" s="2"/>
      <c r="AV760" s="2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</row>
    <row r="761" spans="1:73" customFormat="1" ht="12.75" hidden="1" customHeight="1" x14ac:dyDescent="0.2">
      <c r="A761" s="1"/>
      <c r="B761" s="1"/>
      <c r="C761" s="1"/>
      <c r="D761" s="7"/>
      <c r="E761" s="7"/>
      <c r="F761" s="6"/>
      <c r="G761" s="7"/>
      <c r="H761" s="2"/>
      <c r="I761" s="2"/>
      <c r="J761" s="2"/>
      <c r="K761" s="2"/>
      <c r="L761" s="178"/>
      <c r="M761" s="2"/>
      <c r="N761" s="7"/>
      <c r="P761" s="7"/>
      <c r="R761" s="2"/>
      <c r="S761" s="2"/>
      <c r="T761" s="2"/>
      <c r="U761" s="2"/>
      <c r="V761" s="2"/>
      <c r="X761" s="38"/>
      <c r="Y761" s="38"/>
      <c r="Z761" s="38"/>
      <c r="AA761" s="38"/>
      <c r="AB761" s="38"/>
      <c r="AD761" s="2"/>
      <c r="AE761" s="2"/>
      <c r="AF761" s="2"/>
      <c r="AG761" s="2"/>
      <c r="AH761" s="2"/>
      <c r="AJ761" s="215"/>
      <c r="AK761" s="215"/>
      <c r="AL761" s="215"/>
      <c r="AM761" s="215"/>
      <c r="AO761" s="10"/>
      <c r="AP761" s="10"/>
      <c r="AQ761" s="10"/>
      <c r="AR761" s="10"/>
      <c r="AS761" s="10"/>
      <c r="AU761" s="2"/>
      <c r="AV761" s="2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</row>
    <row r="762" spans="1:73" customFormat="1" ht="12.75" hidden="1" customHeight="1" x14ac:dyDescent="0.2">
      <c r="A762" s="1"/>
      <c r="B762" s="1"/>
      <c r="C762" s="1"/>
      <c r="D762" s="7"/>
      <c r="E762" s="7"/>
      <c r="F762" s="6"/>
      <c r="G762" s="7"/>
      <c r="H762" s="2"/>
      <c r="I762" s="2"/>
      <c r="J762" s="2"/>
      <c r="K762" s="2"/>
      <c r="L762" s="178"/>
      <c r="M762" s="2"/>
      <c r="N762" s="7"/>
      <c r="P762" s="7"/>
      <c r="R762" s="2"/>
      <c r="S762" s="2"/>
      <c r="T762" s="2"/>
      <c r="U762" s="2"/>
      <c r="V762" s="2"/>
      <c r="X762" s="38"/>
      <c r="Y762" s="38"/>
      <c r="Z762" s="38"/>
      <c r="AA762" s="38"/>
      <c r="AB762" s="38"/>
      <c r="AD762" s="2"/>
      <c r="AE762" s="2"/>
      <c r="AF762" s="2"/>
      <c r="AG762" s="2"/>
      <c r="AH762" s="2"/>
      <c r="AJ762" s="215"/>
      <c r="AK762" s="215"/>
      <c r="AL762" s="215"/>
      <c r="AM762" s="215"/>
      <c r="AO762" s="10"/>
      <c r="AP762" s="10"/>
      <c r="AQ762" s="10"/>
      <c r="AR762" s="10"/>
      <c r="AS762" s="10"/>
      <c r="AU762" s="2"/>
      <c r="AV762" s="2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</row>
    <row r="763" spans="1:73" customFormat="1" ht="12.75" hidden="1" customHeight="1" x14ac:dyDescent="0.2">
      <c r="A763" s="1"/>
      <c r="B763" s="1"/>
      <c r="C763" s="1"/>
      <c r="D763" s="7"/>
      <c r="E763" s="7"/>
      <c r="F763" s="6"/>
      <c r="G763" s="7"/>
      <c r="H763" s="2"/>
      <c r="I763" s="2"/>
      <c r="J763" s="2"/>
      <c r="K763" s="2"/>
      <c r="L763" s="178"/>
      <c r="M763" s="2"/>
      <c r="N763" s="7"/>
      <c r="P763" s="7"/>
      <c r="R763" s="2"/>
      <c r="S763" s="2"/>
      <c r="T763" s="2"/>
      <c r="U763" s="2"/>
      <c r="V763" s="2"/>
      <c r="X763" s="38"/>
      <c r="Y763" s="38"/>
      <c r="Z763" s="38"/>
      <c r="AA763" s="38"/>
      <c r="AB763" s="38"/>
      <c r="AD763" s="2"/>
      <c r="AE763" s="2"/>
      <c r="AF763" s="2"/>
      <c r="AG763" s="2"/>
      <c r="AH763" s="2"/>
      <c r="AJ763" s="215"/>
      <c r="AK763" s="215"/>
      <c r="AL763" s="215"/>
      <c r="AM763" s="215"/>
      <c r="AO763" s="10"/>
      <c r="AP763" s="10"/>
      <c r="AQ763" s="10"/>
      <c r="AR763" s="10"/>
      <c r="AS763" s="10"/>
      <c r="AU763" s="2"/>
      <c r="AV763" s="2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</row>
    <row r="764" spans="1:73" customFormat="1" ht="12.75" hidden="1" customHeight="1" x14ac:dyDescent="0.2">
      <c r="A764" s="1"/>
      <c r="B764" s="1"/>
      <c r="C764" s="1"/>
      <c r="D764" s="7"/>
      <c r="E764" s="7"/>
      <c r="F764" s="6"/>
      <c r="G764" s="7"/>
      <c r="H764" s="2"/>
      <c r="I764" s="2"/>
      <c r="J764" s="2"/>
      <c r="K764" s="2"/>
      <c r="L764" s="178"/>
      <c r="M764" s="2"/>
      <c r="N764" s="7"/>
      <c r="P764" s="7"/>
      <c r="R764" s="2"/>
      <c r="S764" s="2"/>
      <c r="T764" s="2"/>
      <c r="U764" s="2"/>
      <c r="V764" s="2"/>
      <c r="X764" s="38"/>
      <c r="Y764" s="38"/>
      <c r="Z764" s="38"/>
      <c r="AA764" s="38"/>
      <c r="AB764" s="38"/>
      <c r="AD764" s="2"/>
      <c r="AE764" s="2"/>
      <c r="AF764" s="2"/>
      <c r="AG764" s="2"/>
      <c r="AH764" s="2"/>
      <c r="AJ764" s="215"/>
      <c r="AK764" s="215"/>
      <c r="AL764" s="215"/>
      <c r="AM764" s="215"/>
      <c r="AO764" s="10"/>
      <c r="AP764" s="10"/>
      <c r="AQ764" s="10"/>
      <c r="AR764" s="10"/>
      <c r="AS764" s="10"/>
      <c r="AU764" s="2"/>
      <c r="AV764" s="2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</row>
    <row r="765" spans="1:73" customFormat="1" ht="12.75" hidden="1" customHeight="1" x14ac:dyDescent="0.2">
      <c r="A765" s="1"/>
      <c r="B765" s="1"/>
      <c r="C765" s="1"/>
      <c r="D765" s="7"/>
      <c r="E765" s="7"/>
      <c r="F765" s="6"/>
      <c r="G765" s="7"/>
      <c r="H765" s="2"/>
      <c r="I765" s="2"/>
      <c r="J765" s="2"/>
      <c r="K765" s="2"/>
      <c r="L765" s="178"/>
      <c r="M765" s="2"/>
      <c r="N765" s="7"/>
      <c r="P765" s="7"/>
      <c r="R765" s="2"/>
      <c r="S765" s="2"/>
      <c r="T765" s="2"/>
      <c r="U765" s="2"/>
      <c r="V765" s="2"/>
      <c r="X765" s="38"/>
      <c r="Y765" s="38"/>
      <c r="Z765" s="38"/>
      <c r="AA765" s="38"/>
      <c r="AB765" s="38"/>
      <c r="AD765" s="2"/>
      <c r="AE765" s="2"/>
      <c r="AF765" s="2"/>
      <c r="AG765" s="2"/>
      <c r="AH765" s="2"/>
      <c r="AJ765" s="215"/>
      <c r="AK765" s="215"/>
      <c r="AL765" s="215"/>
      <c r="AM765" s="215"/>
      <c r="AO765" s="10"/>
      <c r="AP765" s="10"/>
      <c r="AQ765" s="10"/>
      <c r="AR765" s="10"/>
      <c r="AS765" s="10"/>
      <c r="AU765" s="2"/>
      <c r="AV765" s="2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</row>
    <row r="766" spans="1:73" customFormat="1" ht="12.75" hidden="1" customHeight="1" x14ac:dyDescent="0.2">
      <c r="A766" s="1"/>
      <c r="B766" s="1"/>
      <c r="C766" s="1"/>
      <c r="D766" s="7"/>
      <c r="E766" s="7"/>
      <c r="F766" s="6"/>
      <c r="G766" s="7"/>
      <c r="H766" s="2"/>
      <c r="I766" s="2"/>
      <c r="J766" s="2"/>
      <c r="K766" s="2"/>
      <c r="L766" s="178"/>
      <c r="M766" s="2"/>
      <c r="N766" s="7"/>
      <c r="P766" s="7"/>
      <c r="R766" s="2"/>
      <c r="S766" s="2"/>
      <c r="T766" s="2"/>
      <c r="U766" s="2"/>
      <c r="V766" s="2"/>
      <c r="X766" s="38"/>
      <c r="Y766" s="38"/>
      <c r="Z766" s="38"/>
      <c r="AA766" s="38"/>
      <c r="AB766" s="38"/>
      <c r="AD766" s="2"/>
      <c r="AE766" s="2"/>
      <c r="AF766" s="2"/>
      <c r="AG766" s="2"/>
      <c r="AH766" s="2"/>
      <c r="AJ766" s="215"/>
      <c r="AK766" s="215"/>
      <c r="AL766" s="215"/>
      <c r="AM766" s="215"/>
      <c r="AO766" s="10"/>
      <c r="AP766" s="10"/>
      <c r="AQ766" s="10"/>
      <c r="AR766" s="10"/>
      <c r="AS766" s="10"/>
      <c r="AU766" s="2"/>
      <c r="AV766" s="2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</row>
    <row r="767" spans="1:73" customFormat="1" ht="12.75" hidden="1" customHeight="1" x14ac:dyDescent="0.2">
      <c r="A767" s="1"/>
      <c r="B767" s="1"/>
      <c r="C767" s="1"/>
      <c r="D767" s="7"/>
      <c r="E767" s="7"/>
      <c r="F767" s="6"/>
      <c r="G767" s="7"/>
      <c r="H767" s="2"/>
      <c r="I767" s="2"/>
      <c r="J767" s="2"/>
      <c r="K767" s="2"/>
      <c r="L767" s="178"/>
      <c r="M767" s="2"/>
      <c r="N767" s="7"/>
      <c r="P767" s="7"/>
      <c r="R767" s="2"/>
      <c r="S767" s="2"/>
      <c r="T767" s="2"/>
      <c r="U767" s="2"/>
      <c r="V767" s="2"/>
      <c r="X767" s="38"/>
      <c r="Y767" s="38"/>
      <c r="Z767" s="38"/>
      <c r="AA767" s="38"/>
      <c r="AB767" s="38"/>
      <c r="AD767" s="2"/>
      <c r="AE767" s="2"/>
      <c r="AF767" s="2"/>
      <c r="AG767" s="2"/>
      <c r="AH767" s="2"/>
      <c r="AJ767" s="215"/>
      <c r="AK767" s="215"/>
      <c r="AL767" s="215"/>
      <c r="AM767" s="215"/>
      <c r="AO767" s="10"/>
      <c r="AP767" s="10"/>
      <c r="AQ767" s="10"/>
      <c r="AR767" s="10"/>
      <c r="AS767" s="10"/>
      <c r="AU767" s="2"/>
      <c r="AV767" s="2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</row>
    <row r="768" spans="1:73" customFormat="1" ht="12.75" hidden="1" customHeight="1" x14ac:dyDescent="0.2">
      <c r="A768" s="1"/>
      <c r="B768" s="1"/>
      <c r="C768" s="1"/>
      <c r="D768" s="7"/>
      <c r="E768" s="7"/>
      <c r="F768" s="6"/>
      <c r="G768" s="7"/>
      <c r="H768" s="2"/>
      <c r="I768" s="2"/>
      <c r="J768" s="2"/>
      <c r="K768" s="2"/>
      <c r="L768" s="178"/>
      <c r="M768" s="2"/>
      <c r="N768" s="7"/>
      <c r="P768" s="7"/>
      <c r="R768" s="2"/>
      <c r="S768" s="2"/>
      <c r="T768" s="2"/>
      <c r="U768" s="2"/>
      <c r="V768" s="2"/>
      <c r="X768" s="38"/>
      <c r="Y768" s="38"/>
      <c r="Z768" s="38"/>
      <c r="AA768" s="38"/>
      <c r="AB768" s="38"/>
      <c r="AD768" s="2"/>
      <c r="AE768" s="2"/>
      <c r="AF768" s="2"/>
      <c r="AG768" s="2"/>
      <c r="AH768" s="2"/>
      <c r="AJ768" s="215"/>
      <c r="AK768" s="215"/>
      <c r="AL768" s="215"/>
      <c r="AM768" s="215"/>
      <c r="AO768" s="10"/>
      <c r="AP768" s="10"/>
      <c r="AQ768" s="10"/>
      <c r="AR768" s="10"/>
      <c r="AS768" s="10"/>
      <c r="AU768" s="2"/>
      <c r="AV768" s="2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</row>
    <row r="769" spans="1:73" customFormat="1" ht="12.75" hidden="1" customHeight="1" x14ac:dyDescent="0.2">
      <c r="A769" s="1"/>
      <c r="B769" s="1"/>
      <c r="C769" s="1"/>
      <c r="D769" s="7"/>
      <c r="E769" s="7"/>
      <c r="F769" s="6"/>
      <c r="G769" s="7"/>
      <c r="H769" s="2"/>
      <c r="I769" s="2"/>
      <c r="J769" s="2"/>
      <c r="K769" s="2"/>
      <c r="L769" s="178"/>
      <c r="M769" s="2"/>
      <c r="N769" s="7"/>
      <c r="P769" s="7"/>
      <c r="R769" s="2"/>
      <c r="S769" s="2"/>
      <c r="T769" s="2"/>
      <c r="U769" s="2"/>
      <c r="V769" s="2"/>
      <c r="X769" s="38"/>
      <c r="Y769" s="38"/>
      <c r="Z769" s="38"/>
      <c r="AA769" s="38"/>
      <c r="AB769" s="38"/>
      <c r="AD769" s="2"/>
      <c r="AE769" s="2"/>
      <c r="AF769" s="2"/>
      <c r="AG769" s="2"/>
      <c r="AH769" s="2"/>
      <c r="AJ769" s="215"/>
      <c r="AK769" s="215"/>
      <c r="AL769" s="215"/>
      <c r="AM769" s="215"/>
      <c r="AO769" s="10"/>
      <c r="AP769" s="10"/>
      <c r="AQ769" s="10"/>
      <c r="AR769" s="10"/>
      <c r="AS769" s="10"/>
      <c r="AU769" s="2"/>
      <c r="AV769" s="2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</row>
    <row r="770" spans="1:73" customFormat="1" ht="12.75" hidden="1" customHeight="1" x14ac:dyDescent="0.2">
      <c r="A770" s="1"/>
      <c r="B770" s="1"/>
      <c r="C770" s="1"/>
      <c r="D770" s="7"/>
      <c r="E770" s="7"/>
      <c r="F770" s="6"/>
      <c r="G770" s="7"/>
      <c r="H770" s="2"/>
      <c r="I770" s="2"/>
      <c r="J770" s="2"/>
      <c r="K770" s="2"/>
      <c r="L770" s="178"/>
      <c r="M770" s="2"/>
      <c r="N770" s="7"/>
      <c r="P770" s="7"/>
      <c r="R770" s="2"/>
      <c r="S770" s="2"/>
      <c r="T770" s="2"/>
      <c r="U770" s="2"/>
      <c r="V770" s="2"/>
      <c r="X770" s="38"/>
      <c r="Y770" s="38"/>
      <c r="Z770" s="38"/>
      <c r="AA770" s="38"/>
      <c r="AB770" s="38"/>
      <c r="AD770" s="2"/>
      <c r="AE770" s="2"/>
      <c r="AF770" s="2"/>
      <c r="AG770" s="2"/>
      <c r="AH770" s="2"/>
      <c r="AJ770" s="215"/>
      <c r="AK770" s="215"/>
      <c r="AL770" s="215"/>
      <c r="AM770" s="215"/>
      <c r="AO770" s="10"/>
      <c r="AP770" s="10"/>
      <c r="AQ770" s="10"/>
      <c r="AR770" s="10"/>
      <c r="AS770" s="10"/>
      <c r="AU770" s="2"/>
      <c r="AV770" s="2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</row>
    <row r="771" spans="1:73" customFormat="1" ht="12.75" hidden="1" customHeight="1" x14ac:dyDescent="0.2">
      <c r="A771" s="1"/>
      <c r="B771" s="1"/>
      <c r="C771" s="1"/>
      <c r="D771" s="7"/>
      <c r="E771" s="7"/>
      <c r="F771" s="6"/>
      <c r="G771" s="7"/>
      <c r="H771" s="2"/>
      <c r="I771" s="2"/>
      <c r="J771" s="2"/>
      <c r="K771" s="2"/>
      <c r="L771" s="178"/>
      <c r="M771" s="2"/>
      <c r="N771" s="7"/>
      <c r="P771" s="7"/>
      <c r="R771" s="2"/>
      <c r="S771" s="2"/>
      <c r="T771" s="2"/>
      <c r="U771" s="2"/>
      <c r="V771" s="2"/>
      <c r="X771" s="38"/>
      <c r="Y771" s="38"/>
      <c r="Z771" s="38"/>
      <c r="AA771" s="38"/>
      <c r="AB771" s="38"/>
      <c r="AD771" s="2"/>
      <c r="AE771" s="2"/>
      <c r="AF771" s="2"/>
      <c r="AG771" s="2"/>
      <c r="AH771" s="2"/>
      <c r="AJ771" s="215"/>
      <c r="AK771" s="215"/>
      <c r="AL771" s="215"/>
      <c r="AM771" s="215"/>
      <c r="AO771" s="10"/>
      <c r="AP771" s="10"/>
      <c r="AQ771" s="10"/>
      <c r="AR771" s="10"/>
      <c r="AS771" s="10"/>
      <c r="AU771" s="2"/>
      <c r="AV771" s="2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</row>
    <row r="772" spans="1:73" customFormat="1" ht="12.75" hidden="1" customHeight="1" x14ac:dyDescent="0.2">
      <c r="A772" s="1"/>
      <c r="B772" s="1"/>
      <c r="C772" s="1"/>
      <c r="D772" s="7"/>
      <c r="E772" s="7"/>
      <c r="F772" s="6"/>
      <c r="G772" s="7"/>
      <c r="H772" s="2"/>
      <c r="I772" s="2"/>
      <c r="J772" s="2"/>
      <c r="K772" s="2"/>
      <c r="L772" s="178"/>
      <c r="M772" s="2"/>
      <c r="N772" s="7"/>
      <c r="P772" s="7"/>
      <c r="R772" s="2"/>
      <c r="S772" s="2"/>
      <c r="T772" s="2"/>
      <c r="U772" s="2"/>
      <c r="V772" s="2"/>
      <c r="X772" s="38"/>
      <c r="Y772" s="38"/>
      <c r="Z772" s="38"/>
      <c r="AA772" s="38"/>
      <c r="AB772" s="38"/>
      <c r="AD772" s="2"/>
      <c r="AE772" s="2"/>
      <c r="AF772" s="2"/>
      <c r="AG772" s="2"/>
      <c r="AH772" s="2"/>
      <c r="AJ772" s="215"/>
      <c r="AK772" s="215"/>
      <c r="AL772" s="215"/>
      <c r="AM772" s="215"/>
      <c r="AO772" s="10"/>
      <c r="AP772" s="10"/>
      <c r="AQ772" s="10"/>
      <c r="AR772" s="10"/>
      <c r="AS772" s="10"/>
      <c r="AU772" s="2"/>
      <c r="AV772" s="2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</row>
    <row r="773" spans="1:73" customFormat="1" ht="12.75" hidden="1" customHeight="1" x14ac:dyDescent="0.2">
      <c r="A773" s="1"/>
      <c r="B773" s="1"/>
      <c r="C773" s="1"/>
      <c r="D773" s="7"/>
      <c r="E773" s="7"/>
      <c r="F773" s="6"/>
      <c r="G773" s="7"/>
      <c r="H773" s="2"/>
      <c r="I773" s="2"/>
      <c r="J773" s="2"/>
      <c r="K773" s="2"/>
      <c r="L773" s="178"/>
      <c r="M773" s="2"/>
      <c r="N773" s="7"/>
      <c r="P773" s="7"/>
      <c r="R773" s="2"/>
      <c r="S773" s="2"/>
      <c r="T773" s="2"/>
      <c r="U773" s="2"/>
      <c r="V773" s="2"/>
      <c r="X773" s="38"/>
      <c r="Y773" s="38"/>
      <c r="Z773" s="38"/>
      <c r="AA773" s="38"/>
      <c r="AB773" s="38"/>
      <c r="AD773" s="2"/>
      <c r="AE773" s="2"/>
      <c r="AF773" s="2"/>
      <c r="AG773" s="2"/>
      <c r="AH773" s="2"/>
      <c r="AJ773" s="215"/>
      <c r="AK773" s="215"/>
      <c r="AL773" s="215"/>
      <c r="AM773" s="215"/>
      <c r="AO773" s="10"/>
      <c r="AP773" s="10"/>
      <c r="AQ773" s="10"/>
      <c r="AR773" s="10"/>
      <c r="AS773" s="10"/>
      <c r="AU773" s="2"/>
      <c r="AV773" s="2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</row>
    <row r="774" spans="1:73" customFormat="1" ht="12.75" hidden="1" customHeight="1" x14ac:dyDescent="0.2">
      <c r="A774" s="1"/>
      <c r="B774" s="1"/>
      <c r="C774" s="1"/>
      <c r="D774" s="7"/>
      <c r="E774" s="7"/>
      <c r="F774" s="6"/>
      <c r="G774" s="7"/>
      <c r="H774" s="2"/>
      <c r="I774" s="2"/>
      <c r="J774" s="2"/>
      <c r="K774" s="2"/>
      <c r="L774" s="178"/>
      <c r="M774" s="2"/>
      <c r="N774" s="7"/>
      <c r="P774" s="7"/>
      <c r="R774" s="2"/>
      <c r="S774" s="2"/>
      <c r="T774" s="2"/>
      <c r="U774" s="2"/>
      <c r="V774" s="2"/>
      <c r="X774" s="38"/>
      <c r="Y774" s="38"/>
      <c r="Z774" s="38"/>
      <c r="AA774" s="38"/>
      <c r="AB774" s="38"/>
      <c r="AD774" s="2"/>
      <c r="AE774" s="2"/>
      <c r="AF774" s="2"/>
      <c r="AG774" s="2"/>
      <c r="AH774" s="2"/>
      <c r="AJ774" s="215"/>
      <c r="AK774" s="215"/>
      <c r="AL774" s="215"/>
      <c r="AM774" s="215"/>
      <c r="AO774" s="10"/>
      <c r="AP774" s="10"/>
      <c r="AQ774" s="10"/>
      <c r="AR774" s="10"/>
      <c r="AS774" s="10"/>
      <c r="AU774" s="2"/>
      <c r="AV774" s="2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</row>
    <row r="775" spans="1:73" customFormat="1" ht="12.75" hidden="1" customHeight="1" x14ac:dyDescent="0.2">
      <c r="A775" s="1"/>
      <c r="B775" s="1"/>
      <c r="C775" s="1"/>
      <c r="D775" s="7"/>
      <c r="E775" s="7"/>
      <c r="F775" s="6"/>
      <c r="G775" s="7"/>
      <c r="H775" s="2"/>
      <c r="I775" s="2"/>
      <c r="J775" s="2"/>
      <c r="K775" s="2"/>
      <c r="L775" s="178"/>
      <c r="M775" s="2"/>
      <c r="N775" s="7"/>
      <c r="P775" s="7"/>
      <c r="R775" s="2"/>
      <c r="S775" s="2"/>
      <c r="T775" s="2"/>
      <c r="U775" s="2"/>
      <c r="V775" s="2"/>
      <c r="X775" s="38"/>
      <c r="Y775" s="38"/>
      <c r="Z775" s="38"/>
      <c r="AA775" s="38"/>
      <c r="AB775" s="38"/>
      <c r="AD775" s="2"/>
      <c r="AE775" s="2"/>
      <c r="AF775" s="2"/>
      <c r="AG775" s="2"/>
      <c r="AH775" s="2"/>
      <c r="AJ775" s="215"/>
      <c r="AK775" s="215"/>
      <c r="AL775" s="215"/>
      <c r="AM775" s="215"/>
      <c r="AO775" s="10"/>
      <c r="AP775" s="10"/>
      <c r="AQ775" s="10"/>
      <c r="AR775" s="10"/>
      <c r="AS775" s="10"/>
      <c r="AU775" s="2"/>
      <c r="AV775" s="2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</row>
    <row r="776" spans="1:73" customFormat="1" ht="12.75" hidden="1" customHeight="1" x14ac:dyDescent="0.2">
      <c r="A776" s="1"/>
      <c r="B776" s="1"/>
      <c r="C776" s="1"/>
      <c r="D776" s="7"/>
      <c r="E776" s="7"/>
      <c r="F776" s="6"/>
      <c r="G776" s="7"/>
      <c r="H776" s="2"/>
      <c r="I776" s="2"/>
      <c r="J776" s="2"/>
      <c r="K776" s="2"/>
      <c r="L776" s="178"/>
      <c r="M776" s="2"/>
      <c r="N776" s="7"/>
      <c r="P776" s="7"/>
      <c r="R776" s="2"/>
      <c r="S776" s="2"/>
      <c r="T776" s="2"/>
      <c r="U776" s="2"/>
      <c r="V776" s="2"/>
      <c r="X776" s="38"/>
      <c r="Y776" s="38"/>
      <c r="Z776" s="38"/>
      <c r="AA776" s="38"/>
      <c r="AB776" s="38"/>
      <c r="AD776" s="2"/>
      <c r="AE776" s="2"/>
      <c r="AF776" s="2"/>
      <c r="AG776" s="2"/>
      <c r="AH776" s="2"/>
      <c r="AJ776" s="215"/>
      <c r="AK776" s="215"/>
      <c r="AL776" s="215"/>
      <c r="AM776" s="215"/>
      <c r="AO776" s="10"/>
      <c r="AP776" s="10"/>
      <c r="AQ776" s="10"/>
      <c r="AR776" s="10"/>
      <c r="AS776" s="10"/>
      <c r="AU776" s="2"/>
      <c r="AV776" s="2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</row>
    <row r="777" spans="1:73" customFormat="1" ht="12.75" hidden="1" customHeight="1" x14ac:dyDescent="0.2">
      <c r="A777" s="1"/>
      <c r="B777" s="1"/>
      <c r="C777" s="1"/>
      <c r="D777" s="7"/>
      <c r="E777" s="7"/>
      <c r="F777" s="6"/>
      <c r="G777" s="7"/>
      <c r="H777" s="2"/>
      <c r="I777" s="2"/>
      <c r="J777" s="2"/>
      <c r="K777" s="2"/>
      <c r="L777" s="178"/>
      <c r="M777" s="2"/>
      <c r="N777" s="7"/>
      <c r="P777" s="7"/>
      <c r="R777" s="2"/>
      <c r="S777" s="2"/>
      <c r="T777" s="2"/>
      <c r="U777" s="2"/>
      <c r="V777" s="2"/>
      <c r="X777" s="38"/>
      <c r="Y777" s="38"/>
      <c r="Z777" s="38"/>
      <c r="AA777" s="38"/>
      <c r="AB777" s="38"/>
      <c r="AD777" s="2"/>
      <c r="AE777" s="2"/>
      <c r="AF777" s="2"/>
      <c r="AG777" s="2"/>
      <c r="AH777" s="2"/>
      <c r="AJ777" s="215"/>
      <c r="AK777" s="215"/>
      <c r="AL777" s="215"/>
      <c r="AM777" s="215"/>
      <c r="AO777" s="10"/>
      <c r="AP777" s="10"/>
      <c r="AQ777" s="10"/>
      <c r="AR777" s="10"/>
      <c r="AS777" s="10"/>
      <c r="AU777" s="2"/>
      <c r="AV777" s="2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</row>
    <row r="778" spans="1:73" customFormat="1" ht="12.75" hidden="1" customHeight="1" x14ac:dyDescent="0.2">
      <c r="A778" s="1"/>
      <c r="B778" s="1"/>
      <c r="C778" s="1"/>
      <c r="D778" s="7"/>
      <c r="E778" s="7"/>
      <c r="F778" s="6"/>
      <c r="G778" s="7"/>
      <c r="H778" s="2"/>
      <c r="I778" s="2"/>
      <c r="J778" s="2"/>
      <c r="K778" s="2"/>
      <c r="L778" s="178"/>
      <c r="M778" s="2"/>
      <c r="N778" s="7"/>
      <c r="P778" s="7"/>
      <c r="R778" s="2"/>
      <c r="S778" s="2"/>
      <c r="T778" s="2"/>
      <c r="U778" s="2"/>
      <c r="V778" s="2"/>
      <c r="X778" s="38"/>
      <c r="Y778" s="38"/>
      <c r="Z778" s="38"/>
      <c r="AA778" s="38"/>
      <c r="AB778" s="38"/>
      <c r="AD778" s="2"/>
      <c r="AE778" s="2"/>
      <c r="AF778" s="2"/>
      <c r="AG778" s="2"/>
      <c r="AH778" s="2"/>
      <c r="AJ778" s="215"/>
      <c r="AK778" s="215"/>
      <c r="AL778" s="215"/>
      <c r="AM778" s="215"/>
      <c r="AO778" s="10"/>
      <c r="AP778" s="10"/>
      <c r="AQ778" s="10"/>
      <c r="AR778" s="10"/>
      <c r="AS778" s="10"/>
      <c r="AU778" s="2"/>
      <c r="AV778" s="2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</row>
    <row r="779" spans="1:73" customFormat="1" ht="12.75" hidden="1" customHeight="1" x14ac:dyDescent="0.2">
      <c r="A779" s="1"/>
      <c r="B779" s="1"/>
      <c r="C779" s="1"/>
      <c r="D779" s="7"/>
      <c r="E779" s="7"/>
      <c r="F779" s="6"/>
      <c r="G779" s="7"/>
      <c r="H779" s="2"/>
      <c r="I779" s="2"/>
      <c r="J779" s="2"/>
      <c r="K779" s="2"/>
      <c r="L779" s="178"/>
      <c r="M779" s="2"/>
      <c r="N779" s="7"/>
      <c r="P779" s="7"/>
      <c r="R779" s="2"/>
      <c r="S779" s="2"/>
      <c r="T779" s="2"/>
      <c r="U779" s="2"/>
      <c r="V779" s="2"/>
      <c r="X779" s="38"/>
      <c r="Y779" s="38"/>
      <c r="Z779" s="38"/>
      <c r="AA779" s="38"/>
      <c r="AB779" s="38"/>
      <c r="AD779" s="2"/>
      <c r="AE779" s="2"/>
      <c r="AF779" s="2"/>
      <c r="AG779" s="2"/>
      <c r="AH779" s="2"/>
      <c r="AJ779" s="215"/>
      <c r="AK779" s="215"/>
      <c r="AL779" s="215"/>
      <c r="AM779" s="215"/>
      <c r="AO779" s="10"/>
      <c r="AP779" s="10"/>
      <c r="AQ779" s="10"/>
      <c r="AR779" s="10"/>
      <c r="AS779" s="10"/>
      <c r="AU779" s="2"/>
      <c r="AV779" s="2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</row>
    <row r="780" spans="1:73" customFormat="1" ht="12.75" hidden="1" customHeight="1" x14ac:dyDescent="0.2">
      <c r="A780" s="1"/>
      <c r="B780" s="1"/>
      <c r="C780" s="1"/>
      <c r="D780" s="7"/>
      <c r="E780" s="7"/>
      <c r="F780" s="6"/>
      <c r="G780" s="7"/>
      <c r="H780" s="2"/>
      <c r="I780" s="2"/>
      <c r="J780" s="2"/>
      <c r="K780" s="2"/>
      <c r="L780" s="178"/>
      <c r="M780" s="2"/>
      <c r="N780" s="7"/>
      <c r="P780" s="7"/>
      <c r="R780" s="2"/>
      <c r="S780" s="2"/>
      <c r="T780" s="2"/>
      <c r="U780" s="2"/>
      <c r="V780" s="2"/>
      <c r="X780" s="38"/>
      <c r="Y780" s="38"/>
      <c r="Z780" s="38"/>
      <c r="AA780" s="38"/>
      <c r="AB780" s="38"/>
      <c r="AD780" s="2"/>
      <c r="AE780" s="2"/>
      <c r="AF780" s="2"/>
      <c r="AG780" s="2"/>
      <c r="AH780" s="2"/>
      <c r="AJ780" s="215"/>
      <c r="AK780" s="215"/>
      <c r="AL780" s="215"/>
      <c r="AM780" s="215"/>
      <c r="AO780" s="10"/>
      <c r="AP780" s="10"/>
      <c r="AQ780" s="10"/>
      <c r="AR780" s="10"/>
      <c r="AS780" s="10"/>
      <c r="AU780" s="2"/>
      <c r="AV780" s="2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</row>
    <row r="781" spans="1:73" customFormat="1" ht="12.75" hidden="1" customHeight="1" x14ac:dyDescent="0.2">
      <c r="A781" s="1"/>
      <c r="B781" s="1"/>
      <c r="C781" s="1"/>
      <c r="D781" s="7"/>
      <c r="E781" s="7"/>
      <c r="F781" s="6"/>
      <c r="G781" s="7"/>
      <c r="H781" s="2"/>
      <c r="I781" s="2"/>
      <c r="J781" s="2"/>
      <c r="K781" s="2"/>
      <c r="L781" s="178"/>
      <c r="M781" s="2"/>
      <c r="N781" s="7"/>
      <c r="P781" s="7"/>
      <c r="R781" s="2"/>
      <c r="S781" s="2"/>
      <c r="T781" s="2"/>
      <c r="U781" s="2"/>
      <c r="V781" s="2"/>
      <c r="X781" s="38"/>
      <c r="Y781" s="38"/>
      <c r="Z781" s="38"/>
      <c r="AA781" s="38"/>
      <c r="AB781" s="38"/>
      <c r="AD781" s="2"/>
      <c r="AE781" s="2"/>
      <c r="AF781" s="2"/>
      <c r="AG781" s="2"/>
      <c r="AH781" s="2"/>
      <c r="AJ781" s="215"/>
      <c r="AK781" s="215"/>
      <c r="AL781" s="215"/>
      <c r="AM781" s="215"/>
      <c r="AO781" s="10"/>
      <c r="AP781" s="10"/>
      <c r="AQ781" s="10"/>
      <c r="AR781" s="10"/>
      <c r="AS781" s="10"/>
      <c r="AU781" s="2"/>
      <c r="AV781" s="2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</row>
    <row r="782" spans="1:73" customFormat="1" ht="12.75" hidden="1" customHeight="1" x14ac:dyDescent="0.2">
      <c r="A782" s="1"/>
      <c r="B782" s="1"/>
      <c r="C782" s="1"/>
      <c r="D782" s="7"/>
      <c r="E782" s="7"/>
      <c r="F782" s="6"/>
      <c r="G782" s="7"/>
      <c r="H782" s="2"/>
      <c r="I782" s="2"/>
      <c r="J782" s="2"/>
      <c r="K782" s="2"/>
      <c r="L782" s="178"/>
      <c r="M782" s="2"/>
      <c r="N782" s="7"/>
      <c r="P782" s="7"/>
      <c r="R782" s="2"/>
      <c r="S782" s="2"/>
      <c r="T782" s="2"/>
      <c r="U782" s="2"/>
      <c r="V782" s="2"/>
      <c r="X782" s="38"/>
      <c r="Y782" s="38"/>
      <c r="Z782" s="38"/>
      <c r="AA782" s="38"/>
      <c r="AB782" s="38"/>
      <c r="AD782" s="2"/>
      <c r="AE782" s="2"/>
      <c r="AF782" s="2"/>
      <c r="AG782" s="2"/>
      <c r="AH782" s="2"/>
      <c r="AJ782" s="215"/>
      <c r="AK782" s="215"/>
      <c r="AL782" s="215"/>
      <c r="AM782" s="215"/>
      <c r="AO782" s="10"/>
      <c r="AP782" s="10"/>
      <c r="AQ782" s="10"/>
      <c r="AR782" s="10"/>
      <c r="AS782" s="10"/>
      <c r="AU782" s="2"/>
      <c r="AV782" s="2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</row>
    <row r="783" spans="1:73" customFormat="1" ht="12.75" hidden="1" customHeight="1" x14ac:dyDescent="0.2">
      <c r="A783" s="1"/>
      <c r="B783" s="1"/>
      <c r="C783" s="1"/>
      <c r="D783" s="7"/>
      <c r="E783" s="7"/>
      <c r="F783" s="6"/>
      <c r="G783" s="7"/>
      <c r="H783" s="2"/>
      <c r="I783" s="2"/>
      <c r="J783" s="2"/>
      <c r="K783" s="2"/>
      <c r="L783" s="178"/>
      <c r="M783" s="2"/>
      <c r="N783" s="7"/>
      <c r="P783" s="7"/>
      <c r="R783" s="2"/>
      <c r="S783" s="2"/>
      <c r="T783" s="2"/>
      <c r="U783" s="2"/>
      <c r="V783" s="2"/>
      <c r="X783" s="38"/>
      <c r="Y783" s="38"/>
      <c r="Z783" s="38"/>
      <c r="AA783" s="38"/>
      <c r="AB783" s="38"/>
      <c r="AD783" s="2"/>
      <c r="AE783" s="2"/>
      <c r="AF783" s="2"/>
      <c r="AG783" s="2"/>
      <c r="AH783" s="2"/>
      <c r="AJ783" s="215"/>
      <c r="AK783" s="215"/>
      <c r="AL783" s="215"/>
      <c r="AM783" s="215"/>
      <c r="AO783" s="10"/>
      <c r="AP783" s="10"/>
      <c r="AQ783" s="10"/>
      <c r="AR783" s="10"/>
      <c r="AS783" s="10"/>
      <c r="AU783" s="2"/>
      <c r="AV783" s="2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</row>
    <row r="784" spans="1:73" customFormat="1" ht="12.75" hidden="1" customHeight="1" x14ac:dyDescent="0.2">
      <c r="A784" s="1"/>
      <c r="B784" s="1"/>
      <c r="C784" s="1"/>
      <c r="D784" s="7"/>
      <c r="E784" s="7"/>
      <c r="F784" s="6"/>
      <c r="G784" s="7"/>
      <c r="H784" s="2"/>
      <c r="I784" s="2"/>
      <c r="J784" s="2"/>
      <c r="K784" s="2"/>
      <c r="L784" s="178"/>
      <c r="M784" s="2"/>
      <c r="N784" s="7"/>
      <c r="P784" s="7"/>
      <c r="R784" s="2"/>
      <c r="S784" s="2"/>
      <c r="T784" s="2"/>
      <c r="U784" s="2"/>
      <c r="V784" s="2"/>
      <c r="X784" s="38"/>
      <c r="Y784" s="38"/>
      <c r="Z784" s="38"/>
      <c r="AA784" s="38"/>
      <c r="AB784" s="38"/>
      <c r="AD784" s="2"/>
      <c r="AE784" s="2"/>
      <c r="AF784" s="2"/>
      <c r="AG784" s="2"/>
      <c r="AH784" s="2"/>
      <c r="AJ784" s="215"/>
      <c r="AK784" s="215"/>
      <c r="AL784" s="215"/>
      <c r="AM784" s="215"/>
      <c r="AO784" s="10"/>
      <c r="AP784" s="10"/>
      <c r="AQ784" s="10"/>
      <c r="AR784" s="10"/>
      <c r="AS784" s="10"/>
      <c r="AU784" s="2"/>
      <c r="AV784" s="2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</row>
    <row r="785" spans="1:73" customFormat="1" ht="12.75" hidden="1" customHeight="1" x14ac:dyDescent="0.2">
      <c r="A785" s="1"/>
      <c r="B785" s="1"/>
      <c r="C785" s="1"/>
      <c r="D785" s="7"/>
      <c r="E785" s="7"/>
      <c r="F785" s="6"/>
      <c r="G785" s="7"/>
      <c r="H785" s="2"/>
      <c r="I785" s="2"/>
      <c r="J785" s="2"/>
      <c r="K785" s="2"/>
      <c r="L785" s="178"/>
      <c r="M785" s="2"/>
      <c r="N785" s="7"/>
      <c r="P785" s="7"/>
      <c r="R785" s="2"/>
      <c r="S785" s="2"/>
      <c r="T785" s="2"/>
      <c r="U785" s="2"/>
      <c r="V785" s="2"/>
      <c r="X785" s="38"/>
      <c r="Y785" s="38"/>
      <c r="Z785" s="38"/>
      <c r="AA785" s="38"/>
      <c r="AB785" s="38"/>
      <c r="AD785" s="2"/>
      <c r="AE785" s="2"/>
      <c r="AF785" s="2"/>
      <c r="AG785" s="2"/>
      <c r="AH785" s="2"/>
      <c r="AJ785" s="215"/>
      <c r="AK785" s="215"/>
      <c r="AL785" s="215"/>
      <c r="AM785" s="215"/>
      <c r="AO785" s="10"/>
      <c r="AP785" s="10"/>
      <c r="AQ785" s="10"/>
      <c r="AR785" s="10"/>
      <c r="AS785" s="10"/>
      <c r="AU785" s="2"/>
      <c r="AV785" s="2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</row>
    <row r="786" spans="1:73" customFormat="1" ht="12.75" hidden="1" customHeight="1" x14ac:dyDescent="0.2">
      <c r="A786" s="1"/>
      <c r="B786" s="1"/>
      <c r="C786" s="1"/>
      <c r="D786" s="7"/>
      <c r="E786" s="7"/>
      <c r="F786" s="6"/>
      <c r="G786" s="7"/>
      <c r="H786" s="2"/>
      <c r="I786" s="2"/>
      <c r="J786" s="2"/>
      <c r="K786" s="2"/>
      <c r="L786" s="178"/>
      <c r="M786" s="2"/>
      <c r="N786" s="7"/>
      <c r="P786" s="7"/>
      <c r="R786" s="2"/>
      <c r="S786" s="2"/>
      <c r="T786" s="2"/>
      <c r="U786" s="2"/>
      <c r="V786" s="2"/>
      <c r="X786" s="38"/>
      <c r="Y786" s="38"/>
      <c r="Z786" s="38"/>
      <c r="AA786" s="38"/>
      <c r="AB786" s="38"/>
      <c r="AD786" s="2"/>
      <c r="AE786" s="2"/>
      <c r="AF786" s="2"/>
      <c r="AG786" s="2"/>
      <c r="AH786" s="2"/>
      <c r="AJ786" s="215"/>
      <c r="AK786" s="215"/>
      <c r="AL786" s="215"/>
      <c r="AM786" s="215"/>
      <c r="AO786" s="10"/>
      <c r="AP786" s="10"/>
      <c r="AQ786" s="10"/>
      <c r="AR786" s="10"/>
      <c r="AS786" s="10"/>
      <c r="AU786" s="2"/>
      <c r="AV786" s="2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</row>
    <row r="787" spans="1:73" customFormat="1" ht="12.75" hidden="1" customHeight="1" x14ac:dyDescent="0.2">
      <c r="A787" s="1"/>
      <c r="B787" s="1"/>
      <c r="C787" s="1"/>
      <c r="D787" s="7"/>
      <c r="E787" s="7"/>
      <c r="F787" s="6"/>
      <c r="G787" s="7"/>
      <c r="H787" s="2"/>
      <c r="I787" s="2"/>
      <c r="J787" s="2"/>
      <c r="K787" s="2"/>
      <c r="L787" s="178"/>
      <c r="M787" s="2"/>
      <c r="N787" s="7"/>
      <c r="P787" s="7"/>
      <c r="R787" s="2"/>
      <c r="S787" s="2"/>
      <c r="T787" s="2"/>
      <c r="U787" s="2"/>
      <c r="V787" s="2"/>
      <c r="X787" s="38"/>
      <c r="Y787" s="38"/>
      <c r="Z787" s="38"/>
      <c r="AA787" s="38"/>
      <c r="AB787" s="38"/>
      <c r="AD787" s="2"/>
      <c r="AE787" s="2"/>
      <c r="AF787" s="2"/>
      <c r="AG787" s="2"/>
      <c r="AH787" s="2"/>
      <c r="AJ787" s="215"/>
      <c r="AK787" s="215"/>
      <c r="AL787" s="215"/>
      <c r="AM787" s="215"/>
      <c r="AO787" s="10"/>
      <c r="AP787" s="10"/>
      <c r="AQ787" s="10"/>
      <c r="AR787" s="10"/>
      <c r="AS787" s="10"/>
      <c r="AU787" s="2"/>
      <c r="AV787" s="2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</row>
    <row r="788" spans="1:73" customFormat="1" ht="12.75" hidden="1" customHeight="1" x14ac:dyDescent="0.2">
      <c r="A788" s="1"/>
      <c r="B788" s="1"/>
      <c r="C788" s="1"/>
      <c r="D788" s="7"/>
      <c r="E788" s="7"/>
      <c r="F788" s="6"/>
      <c r="G788" s="7"/>
      <c r="H788" s="2"/>
      <c r="I788" s="2"/>
      <c r="J788" s="2"/>
      <c r="K788" s="2"/>
      <c r="L788" s="178"/>
      <c r="M788" s="2"/>
      <c r="N788" s="7"/>
      <c r="P788" s="7"/>
      <c r="R788" s="2"/>
      <c r="S788" s="2"/>
      <c r="T788" s="2"/>
      <c r="U788" s="2"/>
      <c r="V788" s="2"/>
      <c r="X788" s="38"/>
      <c r="Y788" s="38"/>
      <c r="Z788" s="38"/>
      <c r="AA788" s="38"/>
      <c r="AB788" s="38"/>
      <c r="AD788" s="2"/>
      <c r="AE788" s="2"/>
      <c r="AF788" s="2"/>
      <c r="AG788" s="2"/>
      <c r="AH788" s="2"/>
      <c r="AJ788" s="215"/>
      <c r="AK788" s="215"/>
      <c r="AL788" s="215"/>
      <c r="AM788" s="215"/>
      <c r="AO788" s="10"/>
      <c r="AP788" s="10"/>
      <c r="AQ788" s="10"/>
      <c r="AR788" s="10"/>
      <c r="AS788" s="10"/>
      <c r="AU788" s="2"/>
      <c r="AV788" s="2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</row>
    <row r="789" spans="1:73" customFormat="1" ht="12.75" hidden="1" customHeight="1" x14ac:dyDescent="0.2">
      <c r="A789" s="1"/>
      <c r="B789" s="1"/>
      <c r="C789" s="1"/>
      <c r="D789" s="7"/>
      <c r="E789" s="7"/>
      <c r="F789" s="6"/>
      <c r="G789" s="7"/>
      <c r="H789" s="2"/>
      <c r="I789" s="2"/>
      <c r="J789" s="2"/>
      <c r="K789" s="2"/>
      <c r="L789" s="178"/>
      <c r="M789" s="2"/>
      <c r="N789" s="7"/>
      <c r="P789" s="7"/>
      <c r="R789" s="2"/>
      <c r="S789" s="2"/>
      <c r="T789" s="2"/>
      <c r="U789" s="2"/>
      <c r="V789" s="2"/>
      <c r="X789" s="38"/>
      <c r="Y789" s="38"/>
      <c r="Z789" s="38"/>
      <c r="AA789" s="38"/>
      <c r="AB789" s="38"/>
      <c r="AD789" s="2"/>
      <c r="AE789" s="2"/>
      <c r="AF789" s="2"/>
      <c r="AG789" s="2"/>
      <c r="AH789" s="2"/>
      <c r="AJ789" s="215"/>
      <c r="AK789" s="215"/>
      <c r="AL789" s="215"/>
      <c r="AM789" s="215"/>
      <c r="AO789" s="10"/>
      <c r="AP789" s="10"/>
      <c r="AQ789" s="10"/>
      <c r="AR789" s="10"/>
      <c r="AS789" s="10"/>
      <c r="AU789" s="2"/>
      <c r="AV789" s="2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</row>
    <row r="790" spans="1:73" customFormat="1" ht="12.75" hidden="1" customHeight="1" x14ac:dyDescent="0.2">
      <c r="A790" s="1"/>
      <c r="B790" s="1"/>
      <c r="C790" s="1"/>
      <c r="D790" s="7"/>
      <c r="E790" s="7"/>
      <c r="F790" s="6"/>
      <c r="G790" s="7"/>
      <c r="H790" s="2"/>
      <c r="I790" s="2"/>
      <c r="J790" s="2"/>
      <c r="K790" s="2"/>
      <c r="L790" s="178"/>
      <c r="M790" s="2"/>
      <c r="N790" s="7"/>
      <c r="P790" s="7"/>
      <c r="R790" s="2"/>
      <c r="S790" s="2"/>
      <c r="T790" s="2"/>
      <c r="U790" s="2"/>
      <c r="V790" s="2"/>
      <c r="X790" s="38"/>
      <c r="Y790" s="38"/>
      <c r="Z790" s="38"/>
      <c r="AA790" s="38"/>
      <c r="AB790" s="38"/>
      <c r="AD790" s="2"/>
      <c r="AE790" s="2"/>
      <c r="AF790" s="2"/>
      <c r="AG790" s="2"/>
      <c r="AH790" s="2"/>
      <c r="AJ790" s="215"/>
      <c r="AK790" s="215"/>
      <c r="AL790" s="215"/>
      <c r="AM790" s="215"/>
      <c r="AO790" s="10"/>
      <c r="AP790" s="10"/>
      <c r="AQ790" s="10"/>
      <c r="AR790" s="10"/>
      <c r="AS790" s="10"/>
      <c r="AU790" s="2"/>
      <c r="AV790" s="2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</row>
    <row r="791" spans="1:73" customFormat="1" ht="12.75" hidden="1" customHeight="1" x14ac:dyDescent="0.2">
      <c r="A791" s="1"/>
      <c r="B791" s="1"/>
      <c r="C791" s="1"/>
      <c r="D791" s="7"/>
      <c r="E791" s="7"/>
      <c r="F791" s="6"/>
      <c r="G791" s="7"/>
      <c r="H791" s="2"/>
      <c r="I791" s="2"/>
      <c r="J791" s="2"/>
      <c r="K791" s="2"/>
      <c r="L791" s="178"/>
      <c r="M791" s="2"/>
      <c r="N791" s="7"/>
      <c r="P791" s="7"/>
      <c r="R791" s="2"/>
      <c r="S791" s="2"/>
      <c r="T791" s="2"/>
      <c r="U791" s="2"/>
      <c r="V791" s="2"/>
      <c r="X791" s="38"/>
      <c r="Y791" s="38"/>
      <c r="Z791" s="38"/>
      <c r="AA791" s="38"/>
      <c r="AB791" s="38"/>
      <c r="AD791" s="2"/>
      <c r="AE791" s="2"/>
      <c r="AF791" s="2"/>
      <c r="AG791" s="2"/>
      <c r="AH791" s="2"/>
      <c r="AJ791" s="215"/>
      <c r="AK791" s="215"/>
      <c r="AL791" s="215"/>
      <c r="AM791" s="215"/>
      <c r="AO791" s="10"/>
      <c r="AP791" s="10"/>
      <c r="AQ791" s="10"/>
      <c r="AR791" s="10"/>
      <c r="AS791" s="10"/>
      <c r="AU791" s="2"/>
      <c r="AV791" s="2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</row>
    <row r="792" spans="1:73" customFormat="1" ht="12.75" hidden="1" customHeight="1" x14ac:dyDescent="0.2">
      <c r="A792" s="1"/>
      <c r="B792" s="1"/>
      <c r="C792" s="1"/>
      <c r="D792" s="7"/>
      <c r="E792" s="7"/>
      <c r="F792" s="6"/>
      <c r="G792" s="7"/>
      <c r="H792" s="2"/>
      <c r="I792" s="2"/>
      <c r="J792" s="2"/>
      <c r="K792" s="2"/>
      <c r="L792" s="178"/>
      <c r="M792" s="2"/>
      <c r="N792" s="7"/>
      <c r="P792" s="7"/>
      <c r="R792" s="2"/>
      <c r="S792" s="2"/>
      <c r="T792" s="2"/>
      <c r="U792" s="2"/>
      <c r="V792" s="2"/>
      <c r="X792" s="38"/>
      <c r="Y792" s="38"/>
      <c r="Z792" s="38"/>
      <c r="AA792" s="38"/>
      <c r="AB792" s="38"/>
      <c r="AD792" s="2"/>
      <c r="AE792" s="2"/>
      <c r="AF792" s="2"/>
      <c r="AG792" s="2"/>
      <c r="AH792" s="2"/>
      <c r="AJ792" s="215"/>
      <c r="AK792" s="215"/>
      <c r="AL792" s="215"/>
      <c r="AM792" s="215"/>
      <c r="AO792" s="10"/>
      <c r="AP792" s="10"/>
      <c r="AQ792" s="10"/>
      <c r="AR792" s="10"/>
      <c r="AS792" s="10"/>
      <c r="AU792" s="2"/>
      <c r="AV792" s="2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</row>
    <row r="793" spans="1:73" customFormat="1" ht="12.75" hidden="1" customHeight="1" x14ac:dyDescent="0.2">
      <c r="A793" s="1"/>
      <c r="B793" s="1"/>
      <c r="C793" s="1"/>
      <c r="D793" s="7"/>
      <c r="E793" s="7"/>
      <c r="F793" s="6"/>
      <c r="G793" s="7"/>
      <c r="H793" s="2"/>
      <c r="I793" s="2"/>
      <c r="J793" s="2"/>
      <c r="K793" s="2"/>
      <c r="L793" s="178"/>
      <c r="M793" s="2"/>
      <c r="N793" s="7"/>
      <c r="P793" s="7"/>
      <c r="R793" s="2"/>
      <c r="S793" s="2"/>
      <c r="T793" s="2"/>
      <c r="U793" s="2"/>
      <c r="V793" s="2"/>
      <c r="X793" s="38"/>
      <c r="Y793" s="38"/>
      <c r="Z793" s="38"/>
      <c r="AA793" s="38"/>
      <c r="AB793" s="38"/>
      <c r="AD793" s="2"/>
      <c r="AE793" s="2"/>
      <c r="AF793" s="2"/>
      <c r="AG793" s="2"/>
      <c r="AH793" s="2"/>
      <c r="AJ793" s="215"/>
      <c r="AK793" s="215"/>
      <c r="AL793" s="215"/>
      <c r="AM793" s="215"/>
      <c r="AO793" s="10"/>
      <c r="AP793" s="10"/>
      <c r="AQ793" s="10"/>
      <c r="AR793" s="10"/>
      <c r="AS793" s="10"/>
      <c r="AU793" s="2"/>
      <c r="AV793" s="2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</row>
    <row r="794" spans="1:73" customFormat="1" ht="12.75" hidden="1" customHeight="1" x14ac:dyDescent="0.2">
      <c r="A794" s="1"/>
      <c r="B794" s="1"/>
      <c r="C794" s="1"/>
      <c r="D794" s="7"/>
      <c r="E794" s="7"/>
      <c r="F794" s="6"/>
      <c r="G794" s="7"/>
      <c r="H794" s="2"/>
      <c r="I794" s="2"/>
      <c r="J794" s="2"/>
      <c r="K794" s="2"/>
      <c r="L794" s="178"/>
      <c r="M794" s="2"/>
      <c r="N794" s="7"/>
      <c r="P794" s="7"/>
      <c r="R794" s="2"/>
      <c r="S794" s="2"/>
      <c r="T794" s="2"/>
      <c r="U794" s="2"/>
      <c r="V794" s="2"/>
      <c r="X794" s="38"/>
      <c r="Y794" s="38"/>
      <c r="Z794" s="38"/>
      <c r="AA794" s="38"/>
      <c r="AB794" s="38"/>
      <c r="AD794" s="2"/>
      <c r="AE794" s="2"/>
      <c r="AF794" s="2"/>
      <c r="AG794" s="2"/>
      <c r="AH794" s="2"/>
      <c r="AJ794" s="215"/>
      <c r="AK794" s="215"/>
      <c r="AL794" s="215"/>
      <c r="AM794" s="215"/>
      <c r="AO794" s="10"/>
      <c r="AP794" s="10"/>
      <c r="AQ794" s="10"/>
      <c r="AR794" s="10"/>
      <c r="AS794" s="10"/>
      <c r="AU794" s="2"/>
      <c r="AV794" s="2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</row>
    <row r="795" spans="1:73" customFormat="1" ht="12.75" hidden="1" customHeight="1" x14ac:dyDescent="0.2">
      <c r="A795" s="1"/>
      <c r="B795" s="1"/>
      <c r="C795" s="1"/>
      <c r="D795" s="7"/>
      <c r="E795" s="7"/>
      <c r="F795" s="6"/>
      <c r="G795" s="7"/>
      <c r="H795" s="2"/>
      <c r="I795" s="2"/>
      <c r="J795" s="2"/>
      <c r="K795" s="2"/>
      <c r="L795" s="178"/>
      <c r="M795" s="2"/>
      <c r="N795" s="7"/>
      <c r="P795" s="7"/>
      <c r="R795" s="2"/>
      <c r="S795" s="2"/>
      <c r="T795" s="2"/>
      <c r="U795" s="2"/>
      <c r="V795" s="2"/>
      <c r="X795" s="38"/>
      <c r="Y795" s="38"/>
      <c r="Z795" s="38"/>
      <c r="AA795" s="38"/>
      <c r="AB795" s="38"/>
      <c r="AD795" s="2"/>
      <c r="AE795" s="2"/>
      <c r="AF795" s="2"/>
      <c r="AG795" s="2"/>
      <c r="AH795" s="2"/>
      <c r="AJ795" s="215"/>
      <c r="AK795" s="215"/>
      <c r="AL795" s="215"/>
      <c r="AM795" s="215"/>
      <c r="AO795" s="10"/>
      <c r="AP795" s="10"/>
      <c r="AQ795" s="10"/>
      <c r="AR795" s="10"/>
      <c r="AS795" s="10"/>
      <c r="AU795" s="2"/>
      <c r="AV795" s="2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</row>
    <row r="796" spans="1:73" customFormat="1" ht="12.75" hidden="1" customHeight="1" x14ac:dyDescent="0.2">
      <c r="A796" s="1"/>
      <c r="B796" s="1"/>
      <c r="C796" s="1"/>
      <c r="D796" s="7"/>
      <c r="E796" s="7"/>
      <c r="F796" s="6"/>
      <c r="G796" s="7"/>
      <c r="H796" s="2"/>
      <c r="I796" s="2"/>
      <c r="J796" s="2"/>
      <c r="K796" s="2"/>
      <c r="L796" s="178"/>
      <c r="M796" s="2"/>
      <c r="N796" s="7"/>
      <c r="P796" s="7"/>
      <c r="R796" s="2"/>
      <c r="S796" s="2"/>
      <c r="T796" s="2"/>
      <c r="U796" s="2"/>
      <c r="V796" s="2"/>
      <c r="X796" s="38"/>
      <c r="Y796" s="38"/>
      <c r="Z796" s="38"/>
      <c r="AA796" s="38"/>
      <c r="AB796" s="38"/>
      <c r="AD796" s="2"/>
      <c r="AE796" s="2"/>
      <c r="AF796" s="2"/>
      <c r="AG796" s="2"/>
      <c r="AH796" s="2"/>
      <c r="AJ796" s="215"/>
      <c r="AK796" s="215"/>
      <c r="AL796" s="215"/>
      <c r="AM796" s="215"/>
      <c r="AO796" s="10"/>
      <c r="AP796" s="10"/>
      <c r="AQ796" s="10"/>
      <c r="AR796" s="10"/>
      <c r="AS796" s="10"/>
      <c r="AU796" s="2"/>
      <c r="AV796" s="2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</row>
    <row r="797" spans="1:73" customFormat="1" ht="12.75" hidden="1" customHeight="1" x14ac:dyDescent="0.2">
      <c r="A797" s="1"/>
      <c r="B797" s="1"/>
      <c r="C797" s="1"/>
      <c r="D797" s="7"/>
      <c r="E797" s="7"/>
      <c r="F797" s="6"/>
      <c r="G797" s="7"/>
      <c r="H797" s="2"/>
      <c r="I797" s="2"/>
      <c r="J797" s="2"/>
      <c r="K797" s="2"/>
      <c r="L797" s="178"/>
      <c r="M797" s="2"/>
      <c r="N797" s="7"/>
      <c r="P797" s="7"/>
      <c r="R797" s="2"/>
      <c r="S797" s="2"/>
      <c r="T797" s="2"/>
      <c r="U797" s="2"/>
      <c r="V797" s="2"/>
      <c r="X797" s="38"/>
      <c r="Y797" s="38"/>
      <c r="Z797" s="38"/>
      <c r="AA797" s="38"/>
      <c r="AB797" s="38"/>
      <c r="AD797" s="2"/>
      <c r="AE797" s="2"/>
      <c r="AF797" s="2"/>
      <c r="AG797" s="2"/>
      <c r="AH797" s="2"/>
      <c r="AJ797" s="215"/>
      <c r="AK797" s="215"/>
      <c r="AL797" s="215"/>
      <c r="AM797" s="215"/>
      <c r="AO797" s="10"/>
      <c r="AP797" s="10"/>
      <c r="AQ797" s="10"/>
      <c r="AR797" s="10"/>
      <c r="AS797" s="10"/>
      <c r="AU797" s="2"/>
      <c r="AV797" s="2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</row>
    <row r="798" spans="1:73" customFormat="1" ht="12.75" hidden="1" customHeight="1" x14ac:dyDescent="0.2">
      <c r="A798" s="1"/>
      <c r="B798" s="1"/>
      <c r="C798" s="1"/>
      <c r="D798" s="7"/>
      <c r="E798" s="7"/>
      <c r="F798" s="6"/>
      <c r="G798" s="7"/>
      <c r="H798" s="2"/>
      <c r="I798" s="2"/>
      <c r="J798" s="2"/>
      <c r="K798" s="2"/>
      <c r="L798" s="178"/>
      <c r="M798" s="2"/>
      <c r="N798" s="7"/>
      <c r="P798" s="7"/>
      <c r="R798" s="2"/>
      <c r="S798" s="2"/>
      <c r="T798" s="2"/>
      <c r="U798" s="2"/>
      <c r="V798" s="2"/>
      <c r="X798" s="38"/>
      <c r="Y798" s="38"/>
      <c r="Z798" s="38"/>
      <c r="AA798" s="38"/>
      <c r="AB798" s="38"/>
      <c r="AD798" s="2"/>
      <c r="AE798" s="2"/>
      <c r="AF798" s="2"/>
      <c r="AG798" s="2"/>
      <c r="AH798" s="2"/>
      <c r="AJ798" s="215"/>
      <c r="AK798" s="215"/>
      <c r="AL798" s="215"/>
      <c r="AM798" s="215"/>
      <c r="AO798" s="10"/>
      <c r="AP798" s="10"/>
      <c r="AQ798" s="10"/>
      <c r="AR798" s="10"/>
      <c r="AS798" s="10"/>
      <c r="AU798" s="2"/>
      <c r="AV798" s="2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</row>
    <row r="799" spans="1:73" customFormat="1" ht="12.75" hidden="1" customHeight="1" x14ac:dyDescent="0.2">
      <c r="A799" s="1"/>
      <c r="B799" s="1"/>
      <c r="C799" s="1"/>
      <c r="D799" s="7"/>
      <c r="E799" s="7"/>
      <c r="F799" s="6"/>
      <c r="G799" s="7"/>
      <c r="H799" s="2"/>
      <c r="I799" s="2"/>
      <c r="J799" s="2"/>
      <c r="K799" s="2"/>
      <c r="L799" s="178"/>
      <c r="M799" s="2"/>
      <c r="N799" s="7"/>
      <c r="P799" s="7"/>
      <c r="R799" s="2"/>
      <c r="S799" s="2"/>
      <c r="T799" s="2"/>
      <c r="U799" s="2"/>
      <c r="V799" s="2"/>
      <c r="X799" s="38"/>
      <c r="Y799" s="38"/>
      <c r="Z799" s="38"/>
      <c r="AA799" s="38"/>
      <c r="AB799" s="38"/>
      <c r="AD799" s="2"/>
      <c r="AE799" s="2"/>
      <c r="AF799" s="2"/>
      <c r="AG799" s="2"/>
      <c r="AH799" s="2"/>
      <c r="AJ799" s="215"/>
      <c r="AK799" s="215"/>
      <c r="AL799" s="215"/>
      <c r="AM799" s="215"/>
      <c r="AO799" s="10"/>
      <c r="AP799" s="10"/>
      <c r="AQ799" s="10"/>
      <c r="AR799" s="10"/>
      <c r="AS799" s="10"/>
      <c r="AU799" s="2"/>
      <c r="AV799" s="2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</row>
    <row r="800" spans="1:73" customFormat="1" ht="12.75" hidden="1" customHeight="1" x14ac:dyDescent="0.2">
      <c r="A800" s="1"/>
      <c r="B800" s="1"/>
      <c r="C800" s="1"/>
      <c r="D800" s="7"/>
      <c r="E800" s="7"/>
      <c r="F800" s="6"/>
      <c r="G800" s="7"/>
      <c r="H800" s="2"/>
      <c r="I800" s="2"/>
      <c r="J800" s="2"/>
      <c r="K800" s="2"/>
      <c r="L800" s="178"/>
      <c r="M800" s="2"/>
      <c r="N800" s="7"/>
      <c r="P800" s="7"/>
      <c r="R800" s="2"/>
      <c r="S800" s="2"/>
      <c r="T800" s="2"/>
      <c r="U800" s="2"/>
      <c r="V800" s="2"/>
      <c r="X800" s="38"/>
      <c r="Y800" s="38"/>
      <c r="Z800" s="38"/>
      <c r="AA800" s="38"/>
      <c r="AB800" s="38"/>
      <c r="AD800" s="2"/>
      <c r="AE800" s="2"/>
      <c r="AF800" s="2"/>
      <c r="AG800" s="2"/>
      <c r="AH800" s="2"/>
      <c r="AJ800" s="215"/>
      <c r="AK800" s="215"/>
      <c r="AL800" s="215"/>
      <c r="AM800" s="215"/>
      <c r="AO800" s="10"/>
      <c r="AP800" s="10"/>
      <c r="AQ800" s="10"/>
      <c r="AR800" s="10"/>
      <c r="AS800" s="10"/>
      <c r="AU800" s="2"/>
      <c r="AV800" s="2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</row>
    <row r="801" spans="1:73" customFormat="1" ht="12.75" hidden="1" customHeight="1" x14ac:dyDescent="0.2">
      <c r="A801" s="1"/>
      <c r="B801" s="1"/>
      <c r="C801" s="1"/>
      <c r="D801" s="7"/>
      <c r="E801" s="7"/>
      <c r="F801" s="6"/>
      <c r="G801" s="7"/>
      <c r="H801" s="2"/>
      <c r="I801" s="2"/>
      <c r="J801" s="2"/>
      <c r="K801" s="2"/>
      <c r="L801" s="178"/>
      <c r="M801" s="2"/>
      <c r="N801" s="7"/>
      <c r="P801" s="7"/>
      <c r="R801" s="2"/>
      <c r="S801" s="2"/>
      <c r="T801" s="2"/>
      <c r="U801" s="2"/>
      <c r="V801" s="2"/>
      <c r="X801" s="38"/>
      <c r="Y801" s="38"/>
      <c r="Z801" s="38"/>
      <c r="AA801" s="38"/>
      <c r="AB801" s="38"/>
      <c r="AD801" s="2"/>
      <c r="AE801" s="2"/>
      <c r="AF801" s="2"/>
      <c r="AG801" s="2"/>
      <c r="AH801" s="2"/>
      <c r="AJ801" s="215"/>
      <c r="AK801" s="215"/>
      <c r="AL801" s="215"/>
      <c r="AM801" s="215"/>
      <c r="AO801" s="10"/>
      <c r="AP801" s="10"/>
      <c r="AQ801" s="10"/>
      <c r="AR801" s="10"/>
      <c r="AS801" s="10"/>
      <c r="AU801" s="2"/>
      <c r="AV801" s="2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</row>
    <row r="802" spans="1:73" customFormat="1" ht="12.75" hidden="1" customHeight="1" x14ac:dyDescent="0.2">
      <c r="A802" s="1"/>
      <c r="B802" s="1"/>
      <c r="C802" s="1"/>
      <c r="D802" s="7"/>
      <c r="E802" s="7"/>
      <c r="F802" s="6"/>
      <c r="G802" s="7"/>
      <c r="H802" s="2"/>
      <c r="I802" s="2"/>
      <c r="J802" s="2"/>
      <c r="K802" s="2"/>
      <c r="L802" s="178"/>
      <c r="M802" s="2"/>
      <c r="N802" s="7"/>
      <c r="P802" s="7"/>
      <c r="R802" s="2"/>
      <c r="S802" s="2"/>
      <c r="T802" s="2"/>
      <c r="U802" s="2"/>
      <c r="V802" s="2"/>
      <c r="X802" s="38"/>
      <c r="Y802" s="38"/>
      <c r="Z802" s="38"/>
      <c r="AA802" s="38"/>
      <c r="AB802" s="38"/>
      <c r="AD802" s="2"/>
      <c r="AE802" s="2"/>
      <c r="AF802" s="2"/>
      <c r="AG802" s="2"/>
      <c r="AH802" s="2"/>
      <c r="AJ802" s="215"/>
      <c r="AK802" s="215"/>
      <c r="AL802" s="215"/>
      <c r="AM802" s="215"/>
      <c r="AO802" s="10"/>
      <c r="AP802" s="10"/>
      <c r="AQ802" s="10"/>
      <c r="AR802" s="10"/>
      <c r="AS802" s="10"/>
      <c r="AU802" s="2"/>
      <c r="AV802" s="2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</row>
    <row r="803" spans="1:73" customFormat="1" ht="12.75" hidden="1" customHeight="1" x14ac:dyDescent="0.2">
      <c r="A803" s="1"/>
      <c r="B803" s="1"/>
      <c r="C803" s="1"/>
      <c r="D803" s="7"/>
      <c r="E803" s="7"/>
      <c r="F803" s="6"/>
      <c r="G803" s="7"/>
      <c r="H803" s="2"/>
      <c r="I803" s="2"/>
      <c r="J803" s="2"/>
      <c r="K803" s="2"/>
      <c r="L803" s="178"/>
      <c r="M803" s="2"/>
      <c r="N803" s="7"/>
      <c r="P803" s="7"/>
      <c r="R803" s="2"/>
      <c r="S803" s="2"/>
      <c r="T803" s="2"/>
      <c r="U803" s="2"/>
      <c r="V803" s="2"/>
      <c r="X803" s="38"/>
      <c r="Y803" s="38"/>
      <c r="Z803" s="38"/>
      <c r="AA803" s="38"/>
      <c r="AB803" s="38"/>
      <c r="AD803" s="2"/>
      <c r="AE803" s="2"/>
      <c r="AF803" s="2"/>
      <c r="AG803" s="2"/>
      <c r="AH803" s="2"/>
      <c r="AJ803" s="215"/>
      <c r="AK803" s="215"/>
      <c r="AL803" s="215"/>
      <c r="AM803" s="215"/>
      <c r="AO803" s="10"/>
      <c r="AP803" s="10"/>
      <c r="AQ803" s="10"/>
      <c r="AR803" s="10"/>
      <c r="AS803" s="10"/>
      <c r="AU803" s="2"/>
      <c r="AV803" s="2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</row>
    <row r="804" spans="1:73" customFormat="1" ht="12.75" hidden="1" customHeight="1" x14ac:dyDescent="0.2">
      <c r="A804" s="1"/>
      <c r="B804" s="1"/>
      <c r="C804" s="1"/>
      <c r="D804" s="7"/>
      <c r="E804" s="7"/>
      <c r="F804" s="6"/>
      <c r="G804" s="7"/>
      <c r="H804" s="2"/>
      <c r="I804" s="2"/>
      <c r="J804" s="2"/>
      <c r="K804" s="2"/>
      <c r="L804" s="178"/>
      <c r="M804" s="2"/>
      <c r="N804" s="7"/>
      <c r="P804" s="7"/>
      <c r="R804" s="2"/>
      <c r="S804" s="2"/>
      <c r="T804" s="2"/>
      <c r="U804" s="2"/>
      <c r="V804" s="2"/>
      <c r="X804" s="38"/>
      <c r="Y804" s="38"/>
      <c r="Z804" s="38"/>
      <c r="AA804" s="38"/>
      <c r="AB804" s="38"/>
      <c r="AD804" s="2"/>
      <c r="AE804" s="2"/>
      <c r="AF804" s="2"/>
      <c r="AG804" s="2"/>
      <c r="AH804" s="2"/>
      <c r="AJ804" s="215"/>
      <c r="AK804" s="215"/>
      <c r="AL804" s="215"/>
      <c r="AM804" s="215"/>
      <c r="AO804" s="10"/>
      <c r="AP804" s="10"/>
      <c r="AQ804" s="10"/>
      <c r="AR804" s="10"/>
      <c r="AS804" s="10"/>
      <c r="AU804" s="2"/>
      <c r="AV804" s="2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</row>
    <row r="805" spans="1:73" customFormat="1" ht="12.75" hidden="1" customHeight="1" x14ac:dyDescent="0.2">
      <c r="A805" s="1"/>
      <c r="B805" s="1"/>
      <c r="C805" s="1"/>
      <c r="D805" s="7"/>
      <c r="E805" s="7"/>
      <c r="F805" s="6"/>
      <c r="G805" s="7"/>
      <c r="H805" s="2"/>
      <c r="I805" s="2"/>
      <c r="J805" s="2"/>
      <c r="K805" s="2"/>
      <c r="L805" s="178"/>
      <c r="M805" s="2"/>
      <c r="N805" s="7"/>
      <c r="P805" s="7"/>
      <c r="R805" s="2"/>
      <c r="S805" s="2"/>
      <c r="T805" s="2"/>
      <c r="U805" s="2"/>
      <c r="V805" s="2"/>
      <c r="X805" s="38"/>
      <c r="Y805" s="38"/>
      <c r="Z805" s="38"/>
      <c r="AA805" s="38"/>
      <c r="AB805" s="38"/>
      <c r="AD805" s="2"/>
      <c r="AE805" s="2"/>
      <c r="AF805" s="2"/>
      <c r="AG805" s="2"/>
      <c r="AH805" s="2"/>
      <c r="AJ805" s="215"/>
      <c r="AK805" s="215"/>
      <c r="AL805" s="215"/>
      <c r="AM805" s="215"/>
      <c r="AO805" s="10"/>
      <c r="AP805" s="10"/>
      <c r="AQ805" s="10"/>
      <c r="AR805" s="10"/>
      <c r="AS805" s="10"/>
      <c r="AU805" s="2"/>
      <c r="AV805" s="2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</row>
    <row r="806" spans="1:73" customFormat="1" ht="12.75" hidden="1" customHeight="1" x14ac:dyDescent="0.2">
      <c r="A806" s="1"/>
      <c r="B806" s="1"/>
      <c r="C806" s="1"/>
      <c r="D806" s="7"/>
      <c r="E806" s="7"/>
      <c r="F806" s="6"/>
      <c r="G806" s="7"/>
      <c r="H806" s="2"/>
      <c r="I806" s="2"/>
      <c r="J806" s="2"/>
      <c r="K806" s="2"/>
      <c r="L806" s="178"/>
      <c r="M806" s="2"/>
      <c r="N806" s="7"/>
      <c r="P806" s="7"/>
      <c r="R806" s="2"/>
      <c r="S806" s="2"/>
      <c r="T806" s="2"/>
      <c r="U806" s="2"/>
      <c r="V806" s="2"/>
      <c r="X806" s="38"/>
      <c r="Y806" s="38"/>
      <c r="Z806" s="38"/>
      <c r="AA806" s="38"/>
      <c r="AB806" s="38"/>
      <c r="AD806" s="2"/>
      <c r="AE806" s="2"/>
      <c r="AF806" s="2"/>
      <c r="AG806" s="2"/>
      <c r="AH806" s="2"/>
      <c r="AJ806" s="215"/>
      <c r="AK806" s="215"/>
      <c r="AL806" s="215"/>
      <c r="AM806" s="215"/>
      <c r="AO806" s="10"/>
      <c r="AP806" s="10"/>
      <c r="AQ806" s="10"/>
      <c r="AR806" s="10"/>
      <c r="AS806" s="10"/>
      <c r="AU806" s="2"/>
      <c r="AV806" s="2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</row>
    <row r="807" spans="1:73" customFormat="1" ht="12.75" hidden="1" customHeight="1" x14ac:dyDescent="0.2">
      <c r="A807" s="1"/>
      <c r="B807" s="1"/>
      <c r="C807" s="1"/>
      <c r="D807" s="7"/>
      <c r="E807" s="7"/>
      <c r="F807" s="6"/>
      <c r="G807" s="7"/>
      <c r="H807" s="2"/>
      <c r="I807" s="2"/>
      <c r="J807" s="2"/>
      <c r="K807" s="2"/>
      <c r="L807" s="178"/>
      <c r="M807" s="2"/>
      <c r="N807" s="7"/>
      <c r="P807" s="7"/>
      <c r="R807" s="2"/>
      <c r="S807" s="2"/>
      <c r="T807" s="2"/>
      <c r="U807" s="2"/>
      <c r="V807" s="2"/>
      <c r="X807" s="38"/>
      <c r="Y807" s="38"/>
      <c r="Z807" s="38"/>
      <c r="AA807" s="38"/>
      <c r="AB807" s="38"/>
      <c r="AD807" s="2"/>
      <c r="AE807" s="2"/>
      <c r="AF807" s="2"/>
      <c r="AG807" s="2"/>
      <c r="AH807" s="2"/>
      <c r="AJ807" s="215"/>
      <c r="AK807" s="215"/>
      <c r="AL807" s="215"/>
      <c r="AM807" s="215"/>
      <c r="AO807" s="10"/>
      <c r="AP807" s="10"/>
      <c r="AQ807" s="10"/>
      <c r="AR807" s="10"/>
      <c r="AS807" s="10"/>
      <c r="AU807" s="2"/>
      <c r="AV807" s="2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</row>
    <row r="808" spans="1:73" customFormat="1" ht="12.75" hidden="1" customHeight="1" x14ac:dyDescent="0.2">
      <c r="A808" s="1"/>
      <c r="B808" s="1"/>
      <c r="C808" s="1"/>
      <c r="D808" s="7"/>
      <c r="E808" s="7"/>
      <c r="F808" s="6"/>
      <c r="G808" s="7"/>
      <c r="H808" s="2"/>
      <c r="I808" s="2"/>
      <c r="J808" s="2"/>
      <c r="K808" s="2"/>
      <c r="L808" s="178"/>
      <c r="M808" s="2"/>
      <c r="N808" s="7"/>
      <c r="P808" s="7"/>
      <c r="R808" s="2"/>
      <c r="S808" s="2"/>
      <c r="T808" s="2"/>
      <c r="U808" s="2"/>
      <c r="V808" s="2"/>
      <c r="X808" s="38"/>
      <c r="Y808" s="38"/>
      <c r="Z808" s="38"/>
      <c r="AA808" s="38"/>
      <c r="AB808" s="38"/>
      <c r="AD808" s="2"/>
      <c r="AE808" s="2"/>
      <c r="AF808" s="2"/>
      <c r="AG808" s="2"/>
      <c r="AH808" s="2"/>
      <c r="AJ808" s="215"/>
      <c r="AK808" s="215"/>
      <c r="AL808" s="215"/>
      <c r="AM808" s="215"/>
      <c r="AO808" s="10"/>
      <c r="AP808" s="10"/>
      <c r="AQ808" s="10"/>
      <c r="AR808" s="10"/>
      <c r="AS808" s="10"/>
      <c r="AU808" s="2"/>
      <c r="AV808" s="2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</row>
    <row r="809" spans="1:73" customFormat="1" ht="12.75" hidden="1" customHeight="1" x14ac:dyDescent="0.2">
      <c r="A809" s="1"/>
      <c r="B809" s="1"/>
      <c r="C809" s="1"/>
      <c r="D809" s="7"/>
      <c r="E809" s="7"/>
      <c r="F809" s="6"/>
      <c r="G809" s="7"/>
      <c r="H809" s="2"/>
      <c r="I809" s="2"/>
      <c r="J809" s="2"/>
      <c r="K809" s="2"/>
      <c r="L809" s="178"/>
      <c r="M809" s="2"/>
      <c r="N809" s="7"/>
      <c r="P809" s="7"/>
      <c r="R809" s="2"/>
      <c r="S809" s="2"/>
      <c r="T809" s="2"/>
      <c r="U809" s="2"/>
      <c r="V809" s="2"/>
      <c r="X809" s="38"/>
      <c r="Y809" s="38"/>
      <c r="Z809" s="38"/>
      <c r="AA809" s="38"/>
      <c r="AB809" s="38"/>
      <c r="AD809" s="2"/>
      <c r="AE809" s="2"/>
      <c r="AF809" s="2"/>
      <c r="AG809" s="2"/>
      <c r="AH809" s="2"/>
      <c r="AJ809" s="215"/>
      <c r="AK809" s="215"/>
      <c r="AL809" s="215"/>
      <c r="AM809" s="215"/>
      <c r="AO809" s="10"/>
      <c r="AP809" s="10"/>
      <c r="AQ809" s="10"/>
      <c r="AR809" s="10"/>
      <c r="AS809" s="10"/>
      <c r="AU809" s="2"/>
      <c r="AV809" s="2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</row>
    <row r="810" spans="1:73" customFormat="1" ht="12.75" hidden="1" customHeight="1" x14ac:dyDescent="0.2">
      <c r="A810" s="1"/>
      <c r="B810" s="1"/>
      <c r="C810" s="1"/>
      <c r="D810" s="7"/>
      <c r="E810" s="7"/>
      <c r="F810" s="6"/>
      <c r="G810" s="7"/>
      <c r="H810" s="2"/>
      <c r="I810" s="2"/>
      <c r="J810" s="2"/>
      <c r="K810" s="2"/>
      <c r="L810" s="178"/>
      <c r="M810" s="2"/>
      <c r="N810" s="7"/>
      <c r="P810" s="7"/>
      <c r="R810" s="2"/>
      <c r="S810" s="2"/>
      <c r="T810" s="2"/>
      <c r="U810" s="2"/>
      <c r="V810" s="2"/>
      <c r="X810" s="38"/>
      <c r="Y810" s="38"/>
      <c r="Z810" s="38"/>
      <c r="AA810" s="38"/>
      <c r="AB810" s="38"/>
      <c r="AD810" s="2"/>
      <c r="AE810" s="2"/>
      <c r="AF810" s="2"/>
      <c r="AG810" s="2"/>
      <c r="AH810" s="2"/>
      <c r="AJ810" s="215"/>
      <c r="AK810" s="215"/>
      <c r="AL810" s="215"/>
      <c r="AM810" s="215"/>
      <c r="AO810" s="10"/>
      <c r="AP810" s="10"/>
      <c r="AQ810" s="10"/>
      <c r="AR810" s="10"/>
      <c r="AS810" s="10"/>
      <c r="AU810" s="2"/>
      <c r="AV810" s="2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</row>
    <row r="811" spans="1:73" customFormat="1" ht="12.75" hidden="1" customHeight="1" x14ac:dyDescent="0.2">
      <c r="A811" s="1"/>
      <c r="B811" s="1"/>
      <c r="C811" s="1"/>
      <c r="D811" s="7"/>
      <c r="E811" s="7"/>
      <c r="F811" s="6"/>
      <c r="G811" s="7"/>
      <c r="H811" s="2"/>
      <c r="I811" s="2"/>
      <c r="J811" s="2"/>
      <c r="K811" s="2"/>
      <c r="L811" s="178"/>
      <c r="M811" s="2"/>
      <c r="N811" s="7"/>
      <c r="P811" s="7"/>
      <c r="R811" s="2"/>
      <c r="S811" s="2"/>
      <c r="T811" s="2"/>
      <c r="U811" s="2"/>
      <c r="V811" s="2"/>
      <c r="X811" s="38"/>
      <c r="Y811" s="38"/>
      <c r="Z811" s="38"/>
      <c r="AA811" s="38"/>
      <c r="AB811" s="38"/>
      <c r="AD811" s="2"/>
      <c r="AE811" s="2"/>
      <c r="AF811" s="2"/>
      <c r="AG811" s="2"/>
      <c r="AH811" s="2"/>
      <c r="AJ811" s="215"/>
      <c r="AK811" s="215"/>
      <c r="AL811" s="215"/>
      <c r="AM811" s="215"/>
      <c r="AO811" s="10"/>
      <c r="AP811" s="10"/>
      <c r="AQ811" s="10"/>
      <c r="AR811" s="10"/>
      <c r="AS811" s="10"/>
      <c r="AU811" s="2"/>
      <c r="AV811" s="2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</row>
    <row r="812" spans="1:73" customFormat="1" ht="12.75" hidden="1" customHeight="1" x14ac:dyDescent="0.2">
      <c r="A812" s="1"/>
      <c r="B812" s="1"/>
      <c r="C812" s="1"/>
      <c r="D812" s="7"/>
      <c r="E812" s="7"/>
      <c r="F812" s="6"/>
      <c r="G812" s="7"/>
      <c r="H812" s="2"/>
      <c r="I812" s="2"/>
      <c r="J812" s="2"/>
      <c r="K812" s="2"/>
      <c r="L812" s="178"/>
      <c r="M812" s="2"/>
      <c r="N812" s="7"/>
      <c r="P812" s="7"/>
      <c r="R812" s="2"/>
      <c r="S812" s="2"/>
      <c r="T812" s="2"/>
      <c r="U812" s="2"/>
      <c r="V812" s="2"/>
      <c r="X812" s="38"/>
      <c r="Y812" s="38"/>
      <c r="Z812" s="38"/>
      <c r="AA812" s="38"/>
      <c r="AB812" s="38"/>
      <c r="AD812" s="2"/>
      <c r="AE812" s="2"/>
      <c r="AF812" s="2"/>
      <c r="AG812" s="2"/>
      <c r="AH812" s="2"/>
      <c r="AJ812" s="215"/>
      <c r="AK812" s="215"/>
      <c r="AL812" s="215"/>
      <c r="AM812" s="215"/>
      <c r="AO812" s="10"/>
      <c r="AP812" s="10"/>
      <c r="AQ812" s="10"/>
      <c r="AR812" s="10"/>
      <c r="AS812" s="10"/>
      <c r="AU812" s="2"/>
      <c r="AV812" s="2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</row>
    <row r="813" spans="1:73" customFormat="1" ht="12.75" hidden="1" customHeight="1" x14ac:dyDescent="0.2">
      <c r="A813" s="1"/>
      <c r="B813" s="1"/>
      <c r="C813" s="1"/>
      <c r="D813" s="7"/>
      <c r="E813" s="7"/>
      <c r="F813" s="6"/>
      <c r="G813" s="7"/>
      <c r="H813" s="2"/>
      <c r="I813" s="2"/>
      <c r="J813" s="2"/>
      <c r="K813" s="2"/>
      <c r="L813" s="178"/>
      <c r="M813" s="2"/>
      <c r="N813" s="7"/>
      <c r="P813" s="7"/>
      <c r="R813" s="2"/>
      <c r="S813" s="2"/>
      <c r="T813" s="2"/>
      <c r="U813" s="2"/>
      <c r="V813" s="2"/>
      <c r="X813" s="38"/>
      <c r="Y813" s="38"/>
      <c r="Z813" s="38"/>
      <c r="AA813" s="38"/>
      <c r="AB813" s="38"/>
      <c r="AD813" s="2"/>
      <c r="AE813" s="2"/>
      <c r="AF813" s="2"/>
      <c r="AG813" s="2"/>
      <c r="AH813" s="2"/>
      <c r="AJ813" s="215"/>
      <c r="AK813" s="215"/>
      <c r="AL813" s="215"/>
      <c r="AM813" s="215"/>
      <c r="AO813" s="10"/>
      <c r="AP813" s="10"/>
      <c r="AQ813" s="10"/>
      <c r="AR813" s="10"/>
      <c r="AS813" s="10"/>
      <c r="AU813" s="2"/>
      <c r="AV813" s="2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</row>
    <row r="814" spans="1:73" customFormat="1" ht="12.75" hidden="1" customHeight="1" x14ac:dyDescent="0.2">
      <c r="A814" s="1"/>
      <c r="B814" s="1"/>
      <c r="C814" s="1"/>
      <c r="D814" s="7"/>
      <c r="E814" s="7"/>
      <c r="F814" s="6"/>
      <c r="G814" s="7"/>
      <c r="H814" s="2"/>
      <c r="I814" s="2"/>
      <c r="J814" s="2"/>
      <c r="K814" s="2"/>
      <c r="L814" s="178"/>
      <c r="M814" s="2"/>
      <c r="N814" s="7"/>
      <c r="P814" s="7"/>
      <c r="R814" s="2"/>
      <c r="S814" s="2"/>
      <c r="T814" s="2"/>
      <c r="U814" s="2"/>
      <c r="V814" s="2"/>
      <c r="X814" s="38"/>
      <c r="Y814" s="38"/>
      <c r="Z814" s="38"/>
      <c r="AA814" s="38"/>
      <c r="AB814" s="38"/>
      <c r="AD814" s="2"/>
      <c r="AE814" s="2"/>
      <c r="AF814" s="2"/>
      <c r="AG814" s="2"/>
      <c r="AH814" s="2"/>
      <c r="AJ814" s="215"/>
      <c r="AK814" s="215"/>
      <c r="AL814" s="215"/>
      <c r="AM814" s="215"/>
      <c r="AO814" s="10"/>
      <c r="AP814" s="10"/>
      <c r="AQ814" s="10"/>
      <c r="AR814" s="10"/>
      <c r="AS814" s="10"/>
      <c r="AU814" s="2"/>
      <c r="AV814" s="2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</row>
    <row r="815" spans="1:73" customFormat="1" ht="12.75" hidden="1" customHeight="1" x14ac:dyDescent="0.2">
      <c r="A815" s="1"/>
      <c r="B815" s="1"/>
      <c r="C815" s="1"/>
      <c r="D815" s="7"/>
      <c r="E815" s="7"/>
      <c r="F815" s="6"/>
      <c r="G815" s="7"/>
      <c r="H815" s="2"/>
      <c r="I815" s="2"/>
      <c r="J815" s="2"/>
      <c r="K815" s="2"/>
      <c r="L815" s="178"/>
      <c r="M815" s="2"/>
      <c r="N815" s="7"/>
      <c r="P815" s="7"/>
      <c r="R815" s="2"/>
      <c r="S815" s="2"/>
      <c r="T815" s="2"/>
      <c r="U815" s="2"/>
      <c r="V815" s="2"/>
      <c r="X815" s="38"/>
      <c r="Y815" s="38"/>
      <c r="Z815" s="38"/>
      <c r="AA815" s="38"/>
      <c r="AB815" s="38"/>
      <c r="AD815" s="2"/>
      <c r="AE815" s="2"/>
      <c r="AF815" s="2"/>
      <c r="AG815" s="2"/>
      <c r="AH815" s="2"/>
      <c r="AJ815" s="215"/>
      <c r="AK815" s="215"/>
      <c r="AL815" s="215"/>
      <c r="AM815" s="215"/>
      <c r="AO815" s="10"/>
      <c r="AP815" s="10"/>
      <c r="AQ815" s="10"/>
      <c r="AR815" s="10"/>
      <c r="AS815" s="10"/>
      <c r="AU815" s="2"/>
      <c r="AV815" s="2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</row>
    <row r="816" spans="1:73" customFormat="1" ht="12.75" hidden="1" customHeight="1" x14ac:dyDescent="0.2">
      <c r="A816" s="1"/>
      <c r="B816" s="1"/>
      <c r="C816" s="1"/>
      <c r="D816" s="7"/>
      <c r="E816" s="7"/>
      <c r="F816" s="6"/>
      <c r="G816" s="7"/>
      <c r="H816" s="2"/>
      <c r="I816" s="2"/>
      <c r="J816" s="2"/>
      <c r="K816" s="2"/>
      <c r="L816" s="178"/>
      <c r="M816" s="2"/>
      <c r="N816" s="7"/>
      <c r="P816" s="7"/>
      <c r="R816" s="2"/>
      <c r="S816" s="2"/>
      <c r="T816" s="2"/>
      <c r="U816" s="2"/>
      <c r="V816" s="2"/>
      <c r="X816" s="38"/>
      <c r="Y816" s="38"/>
      <c r="Z816" s="38"/>
      <c r="AA816" s="38"/>
      <c r="AB816" s="38"/>
      <c r="AD816" s="2"/>
      <c r="AE816" s="2"/>
      <c r="AF816" s="2"/>
      <c r="AG816" s="2"/>
      <c r="AH816" s="2"/>
      <c r="AJ816" s="215"/>
      <c r="AK816" s="215"/>
      <c r="AL816" s="215"/>
      <c r="AM816" s="215"/>
      <c r="AO816" s="10"/>
      <c r="AP816" s="10"/>
      <c r="AQ816" s="10"/>
      <c r="AR816" s="10"/>
      <c r="AS816" s="10"/>
      <c r="AU816" s="2"/>
      <c r="AV816" s="2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</row>
    <row r="817" spans="1:73" customFormat="1" ht="12.75" hidden="1" customHeight="1" x14ac:dyDescent="0.2">
      <c r="A817" s="1"/>
      <c r="B817" s="1"/>
      <c r="C817" s="1"/>
      <c r="D817" s="7"/>
      <c r="E817" s="7"/>
      <c r="F817" s="6"/>
      <c r="G817" s="7"/>
      <c r="H817" s="2"/>
      <c r="I817" s="2"/>
      <c r="J817" s="2"/>
      <c r="K817" s="2"/>
      <c r="L817" s="178"/>
      <c r="M817" s="2"/>
      <c r="N817" s="7"/>
      <c r="P817" s="7"/>
      <c r="R817" s="2"/>
      <c r="S817" s="2"/>
      <c r="T817" s="2"/>
      <c r="U817" s="2"/>
      <c r="V817" s="2"/>
      <c r="X817" s="38"/>
      <c r="Y817" s="38"/>
      <c r="Z817" s="38"/>
      <c r="AA817" s="38"/>
      <c r="AB817" s="38"/>
      <c r="AD817" s="2"/>
      <c r="AE817" s="2"/>
      <c r="AF817" s="2"/>
      <c r="AG817" s="2"/>
      <c r="AH817" s="2"/>
      <c r="AJ817" s="215"/>
      <c r="AK817" s="215"/>
      <c r="AL817" s="215"/>
      <c r="AM817" s="215"/>
      <c r="AO817" s="10"/>
      <c r="AP817" s="10"/>
      <c r="AQ817" s="10"/>
      <c r="AR817" s="10"/>
      <c r="AS817" s="10"/>
      <c r="AU817" s="2"/>
      <c r="AV817" s="2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</row>
    <row r="818" spans="1:73" customFormat="1" ht="12.75" hidden="1" customHeight="1" x14ac:dyDescent="0.2">
      <c r="A818" s="1"/>
      <c r="B818" s="1"/>
      <c r="C818" s="1"/>
      <c r="D818" s="7"/>
      <c r="E818" s="7"/>
      <c r="F818" s="6"/>
      <c r="G818" s="7"/>
      <c r="H818" s="2"/>
      <c r="I818" s="2"/>
      <c r="J818" s="2"/>
      <c r="K818" s="2"/>
      <c r="L818" s="178"/>
      <c r="M818" s="2"/>
      <c r="N818" s="7"/>
      <c r="P818" s="7"/>
      <c r="R818" s="2"/>
      <c r="S818" s="2"/>
      <c r="T818" s="2"/>
      <c r="U818" s="2"/>
      <c r="V818" s="2"/>
      <c r="X818" s="38"/>
      <c r="Y818" s="38"/>
      <c r="Z818" s="38"/>
      <c r="AA818" s="38"/>
      <c r="AB818" s="38"/>
      <c r="AD818" s="2"/>
      <c r="AE818" s="2"/>
      <c r="AF818" s="2"/>
      <c r="AG818" s="2"/>
      <c r="AH818" s="2"/>
      <c r="AJ818" s="215"/>
      <c r="AK818" s="215"/>
      <c r="AL818" s="215"/>
      <c r="AM818" s="215"/>
      <c r="AO818" s="10"/>
      <c r="AP818" s="10"/>
      <c r="AQ818" s="10"/>
      <c r="AR818" s="10"/>
      <c r="AS818" s="10"/>
      <c r="AU818" s="2"/>
      <c r="AV818" s="2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</row>
    <row r="819" spans="1:73" customFormat="1" ht="12.75" hidden="1" customHeight="1" x14ac:dyDescent="0.2">
      <c r="A819" s="1"/>
      <c r="B819" s="1"/>
      <c r="C819" s="1"/>
      <c r="D819" s="7"/>
      <c r="E819" s="7"/>
      <c r="F819" s="6"/>
      <c r="G819" s="7"/>
      <c r="H819" s="2"/>
      <c r="I819" s="2"/>
      <c r="J819" s="2"/>
      <c r="K819" s="2"/>
      <c r="L819" s="178"/>
      <c r="M819" s="2"/>
      <c r="N819" s="7"/>
      <c r="P819" s="7"/>
      <c r="R819" s="2"/>
      <c r="S819" s="2"/>
      <c r="T819" s="2"/>
      <c r="U819" s="2"/>
      <c r="V819" s="2"/>
      <c r="X819" s="38"/>
      <c r="Y819" s="38"/>
      <c r="Z819" s="38"/>
      <c r="AA819" s="38"/>
      <c r="AB819" s="38"/>
      <c r="AD819" s="2"/>
      <c r="AE819" s="2"/>
      <c r="AF819" s="2"/>
      <c r="AG819" s="2"/>
      <c r="AH819" s="2"/>
      <c r="AJ819" s="215"/>
      <c r="AK819" s="215"/>
      <c r="AL819" s="215"/>
      <c r="AM819" s="215"/>
      <c r="AO819" s="10"/>
      <c r="AP819" s="10"/>
      <c r="AQ819" s="10"/>
      <c r="AR819" s="10"/>
      <c r="AS819" s="10"/>
      <c r="AU819" s="2"/>
      <c r="AV819" s="2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</row>
    <row r="820" spans="1:73" customFormat="1" ht="12.75" hidden="1" customHeight="1" x14ac:dyDescent="0.2">
      <c r="A820" s="1"/>
      <c r="B820" s="1"/>
      <c r="C820" s="1"/>
      <c r="D820" s="7"/>
      <c r="E820" s="7"/>
      <c r="F820" s="6"/>
      <c r="G820" s="7"/>
      <c r="H820" s="2"/>
      <c r="I820" s="2"/>
      <c r="J820" s="2"/>
      <c r="K820" s="2"/>
      <c r="L820" s="178"/>
      <c r="M820" s="2"/>
      <c r="N820" s="7"/>
      <c r="P820" s="7"/>
      <c r="R820" s="2"/>
      <c r="S820" s="2"/>
      <c r="T820" s="2"/>
      <c r="U820" s="2"/>
      <c r="V820" s="2"/>
      <c r="X820" s="38"/>
      <c r="Y820" s="38"/>
      <c r="Z820" s="38"/>
      <c r="AA820" s="38"/>
      <c r="AB820" s="38"/>
      <c r="AD820" s="2"/>
      <c r="AE820" s="2"/>
      <c r="AF820" s="2"/>
      <c r="AG820" s="2"/>
      <c r="AH820" s="2"/>
      <c r="AJ820" s="215"/>
      <c r="AK820" s="215"/>
      <c r="AL820" s="215"/>
      <c r="AM820" s="215"/>
      <c r="AO820" s="10"/>
      <c r="AP820" s="10"/>
      <c r="AQ820" s="10"/>
      <c r="AR820" s="10"/>
      <c r="AS820" s="10"/>
      <c r="AU820" s="2"/>
      <c r="AV820" s="2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</row>
    <row r="821" spans="1:73" customFormat="1" ht="12.75" hidden="1" customHeight="1" x14ac:dyDescent="0.2">
      <c r="A821" s="1"/>
      <c r="B821" s="1"/>
      <c r="C821" s="1"/>
      <c r="D821" s="7"/>
      <c r="E821" s="7"/>
      <c r="F821" s="6"/>
      <c r="G821" s="7"/>
      <c r="H821" s="2"/>
      <c r="I821" s="2"/>
      <c r="J821" s="2"/>
      <c r="K821" s="2"/>
      <c r="L821" s="178"/>
      <c r="M821" s="2"/>
      <c r="N821" s="7"/>
      <c r="P821" s="7"/>
      <c r="R821" s="2"/>
      <c r="S821" s="2"/>
      <c r="T821" s="2"/>
      <c r="U821" s="2"/>
      <c r="V821" s="2"/>
      <c r="X821" s="38"/>
      <c r="Y821" s="38"/>
      <c r="Z821" s="38"/>
      <c r="AA821" s="38"/>
      <c r="AB821" s="38"/>
      <c r="AD821" s="2"/>
      <c r="AE821" s="2"/>
      <c r="AF821" s="2"/>
      <c r="AG821" s="2"/>
      <c r="AH821" s="2"/>
      <c r="AJ821" s="215"/>
      <c r="AK821" s="215"/>
      <c r="AL821" s="215"/>
      <c r="AM821" s="215"/>
      <c r="AO821" s="10"/>
      <c r="AP821" s="10"/>
      <c r="AQ821" s="10"/>
      <c r="AR821" s="10"/>
      <c r="AS821" s="10"/>
      <c r="AU821" s="2"/>
      <c r="AV821" s="2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</row>
    <row r="822" spans="1:73" customFormat="1" ht="12.75" hidden="1" customHeight="1" x14ac:dyDescent="0.2">
      <c r="A822" s="1"/>
      <c r="B822" s="1"/>
      <c r="C822" s="1"/>
      <c r="D822" s="7"/>
      <c r="E822" s="7"/>
      <c r="F822" s="6"/>
      <c r="G822" s="7"/>
      <c r="H822" s="2"/>
      <c r="I822" s="2"/>
      <c r="J822" s="2"/>
      <c r="K822" s="2"/>
      <c r="L822" s="178"/>
      <c r="M822" s="2"/>
      <c r="N822" s="7"/>
      <c r="P822" s="7"/>
      <c r="R822" s="2"/>
      <c r="S822" s="2"/>
      <c r="T822" s="2"/>
      <c r="U822" s="2"/>
      <c r="V822" s="2"/>
      <c r="X822" s="38"/>
      <c r="Y822" s="38"/>
      <c r="Z822" s="38"/>
      <c r="AA822" s="38"/>
      <c r="AB822" s="38"/>
      <c r="AD822" s="2"/>
      <c r="AE822" s="2"/>
      <c r="AF822" s="2"/>
      <c r="AG822" s="2"/>
      <c r="AH822" s="2"/>
      <c r="AJ822" s="215"/>
      <c r="AK822" s="215"/>
      <c r="AL822" s="215"/>
      <c r="AM822" s="215"/>
      <c r="AO822" s="10"/>
      <c r="AP822" s="10"/>
      <c r="AQ822" s="10"/>
      <c r="AR822" s="10"/>
      <c r="AS822" s="10"/>
      <c r="AU822" s="2"/>
      <c r="AV822" s="2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</row>
    <row r="823" spans="1:73" customFormat="1" ht="12.75" hidden="1" customHeight="1" x14ac:dyDescent="0.2">
      <c r="A823" s="1"/>
      <c r="B823" s="1"/>
      <c r="C823" s="1"/>
      <c r="D823" s="7"/>
      <c r="E823" s="7"/>
      <c r="F823" s="6"/>
      <c r="G823" s="7"/>
      <c r="H823" s="2"/>
      <c r="I823" s="2"/>
      <c r="J823" s="2"/>
      <c r="K823" s="2"/>
      <c r="L823" s="178"/>
      <c r="M823" s="2"/>
      <c r="N823" s="7"/>
      <c r="P823" s="7"/>
      <c r="R823" s="2"/>
      <c r="S823" s="2"/>
      <c r="T823" s="2"/>
      <c r="U823" s="2"/>
      <c r="V823" s="2"/>
      <c r="X823" s="38"/>
      <c r="Y823" s="38"/>
      <c r="Z823" s="38"/>
      <c r="AA823" s="38"/>
      <c r="AB823" s="38"/>
      <c r="AD823" s="2"/>
      <c r="AE823" s="2"/>
      <c r="AF823" s="2"/>
      <c r="AG823" s="2"/>
      <c r="AH823" s="2"/>
      <c r="AJ823" s="215"/>
      <c r="AK823" s="215"/>
      <c r="AL823" s="215"/>
      <c r="AM823" s="215"/>
      <c r="AO823" s="10"/>
      <c r="AP823" s="10"/>
      <c r="AQ823" s="10"/>
      <c r="AR823" s="10"/>
      <c r="AS823" s="10"/>
      <c r="AU823" s="2"/>
      <c r="AV823" s="2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</row>
    <row r="824" spans="1:73" customFormat="1" ht="12.75" hidden="1" customHeight="1" x14ac:dyDescent="0.2">
      <c r="A824" s="1"/>
      <c r="B824" s="1"/>
      <c r="C824" s="1"/>
      <c r="D824" s="7"/>
      <c r="E824" s="7"/>
      <c r="F824" s="6"/>
      <c r="G824" s="7"/>
      <c r="H824" s="2"/>
      <c r="I824" s="2"/>
      <c r="J824" s="2"/>
      <c r="K824" s="2"/>
      <c r="L824" s="178"/>
      <c r="M824" s="2"/>
      <c r="N824" s="7"/>
      <c r="P824" s="7"/>
      <c r="R824" s="2"/>
      <c r="S824" s="2"/>
      <c r="T824" s="2"/>
      <c r="U824" s="2"/>
      <c r="V824" s="2"/>
      <c r="X824" s="38"/>
      <c r="Y824" s="38"/>
      <c r="Z824" s="38"/>
      <c r="AA824" s="38"/>
      <c r="AB824" s="38"/>
      <c r="AD824" s="2"/>
      <c r="AE824" s="2"/>
      <c r="AF824" s="2"/>
      <c r="AG824" s="2"/>
      <c r="AH824" s="2"/>
      <c r="AJ824" s="215"/>
      <c r="AK824" s="215"/>
      <c r="AL824" s="215"/>
      <c r="AM824" s="215"/>
      <c r="AO824" s="10"/>
      <c r="AP824" s="10"/>
      <c r="AQ824" s="10"/>
      <c r="AR824" s="10"/>
      <c r="AS824" s="10"/>
      <c r="AU824" s="2"/>
      <c r="AV824" s="2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</row>
    <row r="825" spans="1:73" customFormat="1" ht="12.75" hidden="1" customHeight="1" x14ac:dyDescent="0.2">
      <c r="A825" s="1"/>
      <c r="B825" s="1"/>
      <c r="C825" s="1"/>
      <c r="D825" s="7"/>
      <c r="E825" s="7"/>
      <c r="F825" s="6"/>
      <c r="G825" s="7"/>
      <c r="H825" s="2"/>
      <c r="I825" s="2"/>
      <c r="J825" s="2"/>
      <c r="K825" s="2"/>
      <c r="L825" s="178"/>
      <c r="M825" s="2"/>
      <c r="N825" s="7"/>
      <c r="P825" s="7"/>
      <c r="R825" s="2"/>
      <c r="S825" s="2"/>
      <c r="T825" s="2"/>
      <c r="U825" s="2"/>
      <c r="V825" s="2"/>
      <c r="X825" s="38"/>
      <c r="Y825" s="38"/>
      <c r="Z825" s="38"/>
      <c r="AA825" s="38"/>
      <c r="AB825" s="38"/>
      <c r="AD825" s="2"/>
      <c r="AE825" s="2"/>
      <c r="AF825" s="2"/>
      <c r="AG825" s="2"/>
      <c r="AH825" s="2"/>
      <c r="AJ825" s="215"/>
      <c r="AK825" s="215"/>
      <c r="AL825" s="215"/>
      <c r="AM825" s="215"/>
      <c r="AO825" s="10"/>
      <c r="AP825" s="10"/>
      <c r="AQ825" s="10"/>
      <c r="AR825" s="10"/>
      <c r="AS825" s="10"/>
      <c r="AU825" s="2"/>
      <c r="AV825" s="2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</row>
    <row r="826" spans="1:73" customFormat="1" ht="12.75" hidden="1" customHeight="1" x14ac:dyDescent="0.2">
      <c r="A826" s="1"/>
      <c r="B826" s="1"/>
      <c r="C826" s="1"/>
      <c r="D826" s="7"/>
      <c r="E826" s="7"/>
      <c r="F826" s="6"/>
      <c r="G826" s="7"/>
      <c r="H826" s="2"/>
      <c r="I826" s="2"/>
      <c r="J826" s="2"/>
      <c r="K826" s="2"/>
      <c r="L826" s="178"/>
      <c r="M826" s="2"/>
      <c r="N826" s="7"/>
      <c r="P826" s="7"/>
      <c r="R826" s="2"/>
      <c r="S826" s="2"/>
      <c r="T826" s="2"/>
      <c r="U826" s="2"/>
      <c r="V826" s="2"/>
      <c r="X826" s="38"/>
      <c r="Y826" s="38"/>
      <c r="Z826" s="38"/>
      <c r="AA826" s="38"/>
      <c r="AB826" s="38"/>
      <c r="AD826" s="2"/>
      <c r="AE826" s="2"/>
      <c r="AF826" s="2"/>
      <c r="AG826" s="2"/>
      <c r="AH826" s="2"/>
      <c r="AJ826" s="215"/>
      <c r="AK826" s="215"/>
      <c r="AL826" s="215"/>
      <c r="AM826" s="215"/>
      <c r="AO826" s="10"/>
      <c r="AP826" s="10"/>
      <c r="AQ826" s="10"/>
      <c r="AR826" s="10"/>
      <c r="AS826" s="10"/>
      <c r="AU826" s="2"/>
      <c r="AV826" s="2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</row>
    <row r="827" spans="1:73" customFormat="1" ht="12.75" hidden="1" customHeight="1" x14ac:dyDescent="0.2">
      <c r="A827" s="1"/>
      <c r="B827" s="1"/>
      <c r="C827" s="1"/>
      <c r="D827" s="7"/>
      <c r="E827" s="7"/>
      <c r="F827" s="6"/>
      <c r="G827" s="7"/>
      <c r="H827" s="2"/>
      <c r="I827" s="2"/>
      <c r="J827" s="2"/>
      <c r="K827" s="2"/>
      <c r="L827" s="178"/>
      <c r="M827" s="2"/>
      <c r="N827" s="7"/>
      <c r="P827" s="7"/>
      <c r="R827" s="2"/>
      <c r="S827" s="2"/>
      <c r="T827" s="2"/>
      <c r="U827" s="2"/>
      <c r="V827" s="2"/>
      <c r="X827" s="38"/>
      <c r="Y827" s="38"/>
      <c r="Z827" s="38"/>
      <c r="AA827" s="38"/>
      <c r="AB827" s="38"/>
      <c r="AD827" s="2"/>
      <c r="AE827" s="2"/>
      <c r="AF827" s="2"/>
      <c r="AG827" s="2"/>
      <c r="AH827" s="2"/>
      <c r="AJ827" s="215"/>
      <c r="AK827" s="215"/>
      <c r="AL827" s="215"/>
      <c r="AM827" s="215"/>
      <c r="AO827" s="10"/>
      <c r="AP827" s="10"/>
      <c r="AQ827" s="10"/>
      <c r="AR827" s="10"/>
      <c r="AS827" s="10"/>
      <c r="AU827" s="2"/>
      <c r="AV827" s="2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</row>
    <row r="828" spans="1:73" customFormat="1" ht="12.75" hidden="1" customHeight="1" x14ac:dyDescent="0.2">
      <c r="A828" s="1"/>
      <c r="B828" s="1"/>
      <c r="C828" s="1"/>
      <c r="D828" s="7"/>
      <c r="E828" s="7"/>
      <c r="F828" s="6"/>
      <c r="G828" s="7"/>
      <c r="H828" s="2"/>
      <c r="I828" s="2"/>
      <c r="J828" s="2"/>
      <c r="K828" s="2"/>
      <c r="L828" s="178"/>
      <c r="M828" s="2"/>
      <c r="N828" s="7"/>
      <c r="P828" s="7"/>
      <c r="R828" s="2"/>
      <c r="S828" s="2"/>
      <c r="T828" s="2"/>
      <c r="U828" s="2"/>
      <c r="V828" s="2"/>
      <c r="X828" s="38"/>
      <c r="Y828" s="38"/>
      <c r="Z828" s="38"/>
      <c r="AA828" s="38"/>
      <c r="AB828" s="38"/>
      <c r="AD828" s="2"/>
      <c r="AE828" s="2"/>
      <c r="AF828" s="2"/>
      <c r="AG828" s="2"/>
      <c r="AH828" s="2"/>
      <c r="AJ828" s="215"/>
      <c r="AK828" s="215"/>
      <c r="AL828" s="215"/>
      <c r="AM828" s="215"/>
      <c r="AO828" s="10"/>
      <c r="AP828" s="10"/>
      <c r="AQ828" s="10"/>
      <c r="AR828" s="10"/>
      <c r="AS828" s="10"/>
      <c r="AU828" s="2"/>
      <c r="AV828" s="2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</row>
    <row r="829" spans="1:73" customFormat="1" ht="12.75" hidden="1" customHeight="1" x14ac:dyDescent="0.2">
      <c r="A829" s="1"/>
      <c r="B829" s="1"/>
      <c r="C829" s="1"/>
      <c r="D829" s="7"/>
      <c r="E829" s="7"/>
      <c r="F829" s="6"/>
      <c r="G829" s="7"/>
      <c r="H829" s="2"/>
      <c r="I829" s="2"/>
      <c r="J829" s="2"/>
      <c r="K829" s="2"/>
      <c r="L829" s="178"/>
      <c r="M829" s="2"/>
      <c r="N829" s="7"/>
      <c r="P829" s="7"/>
      <c r="R829" s="2"/>
      <c r="S829" s="2"/>
      <c r="T829" s="2"/>
      <c r="U829" s="2"/>
      <c r="V829" s="2"/>
      <c r="X829" s="38"/>
      <c r="Y829" s="38"/>
      <c r="Z829" s="38"/>
      <c r="AA829" s="38"/>
      <c r="AB829" s="38"/>
      <c r="AD829" s="2"/>
      <c r="AE829" s="2"/>
      <c r="AF829" s="2"/>
      <c r="AG829" s="2"/>
      <c r="AH829" s="2"/>
      <c r="AJ829" s="215"/>
      <c r="AK829" s="215"/>
      <c r="AL829" s="215"/>
      <c r="AM829" s="215"/>
      <c r="AO829" s="10"/>
      <c r="AP829" s="10"/>
      <c r="AQ829" s="10"/>
      <c r="AR829" s="10"/>
      <c r="AS829" s="10"/>
      <c r="AU829" s="2"/>
      <c r="AV829" s="2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</row>
    <row r="830" spans="1:73" customFormat="1" ht="12.75" hidden="1" customHeight="1" x14ac:dyDescent="0.2">
      <c r="A830" s="1"/>
      <c r="B830" s="1"/>
      <c r="C830" s="1"/>
      <c r="D830" s="7"/>
      <c r="E830" s="7"/>
      <c r="F830" s="6"/>
      <c r="G830" s="7"/>
      <c r="H830" s="2"/>
      <c r="I830" s="2"/>
      <c r="J830" s="2"/>
      <c r="K830" s="2"/>
      <c r="L830" s="178"/>
      <c r="M830" s="2"/>
      <c r="N830" s="7"/>
      <c r="P830" s="7"/>
      <c r="R830" s="2"/>
      <c r="S830" s="2"/>
      <c r="T830" s="2"/>
      <c r="U830" s="2"/>
      <c r="V830" s="2"/>
      <c r="X830" s="38"/>
      <c r="Y830" s="38"/>
      <c r="Z830" s="38"/>
      <c r="AA830" s="38"/>
      <c r="AB830" s="38"/>
      <c r="AD830" s="2"/>
      <c r="AE830" s="2"/>
      <c r="AF830" s="2"/>
      <c r="AG830" s="2"/>
      <c r="AH830" s="2"/>
      <c r="AJ830" s="215"/>
      <c r="AK830" s="215"/>
      <c r="AL830" s="215"/>
      <c r="AM830" s="215"/>
      <c r="AO830" s="10"/>
      <c r="AP830" s="10"/>
      <c r="AQ830" s="10"/>
      <c r="AR830" s="10"/>
      <c r="AS830" s="10"/>
      <c r="AU830" s="2"/>
      <c r="AV830" s="2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</row>
    <row r="831" spans="1:73" customFormat="1" ht="12.75" hidden="1" customHeight="1" x14ac:dyDescent="0.2">
      <c r="A831" s="1"/>
      <c r="B831" s="1"/>
      <c r="C831" s="1"/>
      <c r="D831" s="7"/>
      <c r="E831" s="7"/>
      <c r="F831" s="6"/>
      <c r="G831" s="7"/>
      <c r="H831" s="2"/>
      <c r="I831" s="2"/>
      <c r="J831" s="2"/>
      <c r="K831" s="2"/>
      <c r="L831" s="178"/>
      <c r="M831" s="2"/>
      <c r="N831" s="7"/>
      <c r="P831" s="7"/>
      <c r="R831" s="2"/>
      <c r="S831" s="2"/>
      <c r="T831" s="2"/>
      <c r="U831" s="2"/>
      <c r="V831" s="2"/>
      <c r="X831" s="38"/>
      <c r="Y831" s="38"/>
      <c r="Z831" s="38"/>
      <c r="AA831" s="38"/>
      <c r="AB831" s="38"/>
      <c r="AD831" s="2"/>
      <c r="AE831" s="2"/>
      <c r="AF831" s="2"/>
      <c r="AG831" s="2"/>
      <c r="AH831" s="2"/>
      <c r="AJ831" s="215"/>
      <c r="AK831" s="215"/>
      <c r="AL831" s="215"/>
      <c r="AM831" s="215"/>
      <c r="AO831" s="10"/>
      <c r="AP831" s="10"/>
      <c r="AQ831" s="10"/>
      <c r="AR831" s="10"/>
      <c r="AS831" s="10"/>
      <c r="AU831" s="2"/>
      <c r="AV831" s="2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</row>
    <row r="832" spans="1:73" customFormat="1" ht="12.75" hidden="1" customHeight="1" x14ac:dyDescent="0.2">
      <c r="A832" s="1"/>
      <c r="B832" s="1"/>
      <c r="C832" s="1"/>
      <c r="D832" s="7"/>
      <c r="E832" s="7"/>
      <c r="F832" s="6"/>
      <c r="G832" s="7"/>
      <c r="H832" s="2"/>
      <c r="I832" s="2"/>
      <c r="J832" s="2"/>
      <c r="K832" s="2"/>
      <c r="L832" s="178"/>
      <c r="M832" s="2"/>
      <c r="N832" s="7"/>
      <c r="P832" s="7"/>
      <c r="R832" s="2"/>
      <c r="S832" s="2"/>
      <c r="T832" s="2"/>
      <c r="U832" s="2"/>
      <c r="V832" s="2"/>
      <c r="X832" s="38"/>
      <c r="Y832" s="38"/>
      <c r="Z832" s="38"/>
      <c r="AA832" s="38"/>
      <c r="AB832" s="38"/>
      <c r="AD832" s="2"/>
      <c r="AE832" s="2"/>
      <c r="AF832" s="2"/>
      <c r="AG832" s="2"/>
      <c r="AH832" s="2"/>
      <c r="AJ832" s="215"/>
      <c r="AK832" s="215"/>
      <c r="AL832" s="215"/>
      <c r="AM832" s="215"/>
      <c r="AO832" s="10"/>
      <c r="AP832" s="10"/>
      <c r="AQ832" s="10"/>
      <c r="AR832" s="10"/>
      <c r="AS832" s="10"/>
      <c r="AU832" s="2"/>
      <c r="AV832" s="2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</row>
    <row r="833" spans="1:73" customFormat="1" ht="12.75" hidden="1" customHeight="1" x14ac:dyDescent="0.2">
      <c r="A833" s="1"/>
      <c r="B833" s="1"/>
      <c r="C833" s="1"/>
      <c r="D833" s="7"/>
      <c r="E833" s="7"/>
      <c r="F833" s="6"/>
      <c r="G833" s="7"/>
      <c r="H833" s="2"/>
      <c r="I833" s="2"/>
      <c r="J833" s="2"/>
      <c r="K833" s="2"/>
      <c r="L833" s="178"/>
      <c r="M833" s="2"/>
      <c r="N833" s="7"/>
      <c r="P833" s="7"/>
      <c r="R833" s="2"/>
      <c r="S833" s="2"/>
      <c r="T833" s="2"/>
      <c r="U833" s="2"/>
      <c r="V833" s="2"/>
      <c r="X833" s="38"/>
      <c r="Y833" s="38"/>
      <c r="Z833" s="38"/>
      <c r="AA833" s="38"/>
      <c r="AB833" s="38"/>
      <c r="AD833" s="2"/>
      <c r="AE833" s="2"/>
      <c r="AF833" s="2"/>
      <c r="AG833" s="2"/>
      <c r="AH833" s="2"/>
      <c r="AJ833" s="215"/>
      <c r="AK833" s="215"/>
      <c r="AL833" s="215"/>
      <c r="AM833" s="215"/>
      <c r="AO833" s="10"/>
      <c r="AP833" s="10"/>
      <c r="AQ833" s="10"/>
      <c r="AR833" s="10"/>
      <c r="AS833" s="10"/>
      <c r="AU833" s="2"/>
      <c r="AV833" s="2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</row>
    <row r="834" spans="1:73" customFormat="1" ht="12.75" hidden="1" customHeight="1" x14ac:dyDescent="0.2">
      <c r="A834" s="1"/>
      <c r="B834" s="1"/>
      <c r="C834" s="1"/>
      <c r="D834" s="7"/>
      <c r="E834" s="7"/>
      <c r="F834" s="6"/>
      <c r="G834" s="7"/>
      <c r="H834" s="2"/>
      <c r="I834" s="2"/>
      <c r="J834" s="2"/>
      <c r="K834" s="2"/>
      <c r="L834" s="178"/>
      <c r="M834" s="2"/>
      <c r="N834" s="7"/>
      <c r="P834" s="7"/>
      <c r="R834" s="2"/>
      <c r="S834" s="2"/>
      <c r="T834" s="2"/>
      <c r="U834" s="2"/>
      <c r="V834" s="2"/>
      <c r="X834" s="38"/>
      <c r="Y834" s="38"/>
      <c r="Z834" s="38"/>
      <c r="AA834" s="38"/>
      <c r="AB834" s="38"/>
      <c r="AD834" s="2"/>
      <c r="AE834" s="2"/>
      <c r="AF834" s="2"/>
      <c r="AG834" s="2"/>
      <c r="AH834" s="2"/>
      <c r="AJ834" s="215"/>
      <c r="AK834" s="215"/>
      <c r="AL834" s="215"/>
      <c r="AM834" s="215"/>
      <c r="AO834" s="10"/>
      <c r="AP834" s="10"/>
      <c r="AQ834" s="10"/>
      <c r="AR834" s="10"/>
      <c r="AS834" s="10"/>
      <c r="AU834" s="2"/>
      <c r="AV834" s="2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</row>
    <row r="835" spans="1:73" customFormat="1" ht="12.75" hidden="1" customHeight="1" x14ac:dyDescent="0.2">
      <c r="A835" s="1"/>
      <c r="B835" s="1"/>
      <c r="C835" s="1"/>
      <c r="D835" s="7"/>
      <c r="E835" s="7"/>
      <c r="F835" s="6"/>
      <c r="G835" s="7"/>
      <c r="H835" s="2"/>
      <c r="I835" s="2"/>
      <c r="J835" s="2"/>
      <c r="K835" s="2"/>
      <c r="L835" s="178"/>
      <c r="M835" s="2"/>
      <c r="N835" s="7"/>
      <c r="P835" s="7"/>
      <c r="R835" s="2"/>
      <c r="S835" s="2"/>
      <c r="T835" s="2"/>
      <c r="U835" s="2"/>
      <c r="V835" s="2"/>
      <c r="X835" s="38"/>
      <c r="Y835" s="38"/>
      <c r="Z835" s="38"/>
      <c r="AA835" s="38"/>
      <c r="AB835" s="38"/>
      <c r="AD835" s="2"/>
      <c r="AE835" s="2"/>
      <c r="AF835" s="2"/>
      <c r="AG835" s="2"/>
      <c r="AH835" s="2"/>
      <c r="AJ835" s="215"/>
      <c r="AK835" s="215"/>
      <c r="AL835" s="215"/>
      <c r="AM835" s="215"/>
      <c r="AO835" s="10"/>
      <c r="AP835" s="10"/>
      <c r="AQ835" s="10"/>
      <c r="AR835" s="10"/>
      <c r="AS835" s="10"/>
      <c r="AU835" s="2"/>
      <c r="AV835" s="2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</row>
    <row r="836" spans="1:73" customFormat="1" ht="12.75" hidden="1" customHeight="1" x14ac:dyDescent="0.2">
      <c r="A836" s="1"/>
      <c r="B836" s="1"/>
      <c r="C836" s="1"/>
      <c r="D836" s="7"/>
      <c r="E836" s="7"/>
      <c r="F836" s="6"/>
      <c r="G836" s="7"/>
      <c r="H836" s="2"/>
      <c r="I836" s="2"/>
      <c r="J836" s="2"/>
      <c r="K836" s="2"/>
      <c r="L836" s="178"/>
      <c r="M836" s="2"/>
      <c r="N836" s="7"/>
      <c r="P836" s="7"/>
      <c r="R836" s="2"/>
      <c r="S836" s="2"/>
      <c r="T836" s="2"/>
      <c r="U836" s="2"/>
      <c r="V836" s="2"/>
      <c r="X836" s="38"/>
      <c r="Y836" s="38"/>
      <c r="Z836" s="38"/>
      <c r="AA836" s="38"/>
      <c r="AB836" s="38"/>
      <c r="AD836" s="2"/>
      <c r="AE836" s="2"/>
      <c r="AF836" s="2"/>
      <c r="AG836" s="2"/>
      <c r="AH836" s="2"/>
      <c r="AJ836" s="215"/>
      <c r="AK836" s="215"/>
      <c r="AL836" s="215"/>
      <c r="AM836" s="215"/>
      <c r="AO836" s="10"/>
      <c r="AP836" s="10"/>
      <c r="AQ836" s="10"/>
      <c r="AR836" s="10"/>
      <c r="AS836" s="10"/>
      <c r="AU836" s="2"/>
      <c r="AV836" s="2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</row>
    <row r="837" spans="1:73" customFormat="1" ht="12.75" hidden="1" customHeight="1" x14ac:dyDescent="0.2">
      <c r="A837" s="1"/>
      <c r="B837" s="1"/>
      <c r="C837" s="1"/>
      <c r="D837" s="7"/>
      <c r="E837" s="7"/>
      <c r="F837" s="6"/>
      <c r="G837" s="7"/>
      <c r="H837" s="2"/>
      <c r="I837" s="2"/>
      <c r="J837" s="2"/>
      <c r="K837" s="2"/>
      <c r="L837" s="178"/>
      <c r="M837" s="2"/>
      <c r="N837" s="7"/>
      <c r="P837" s="7"/>
      <c r="R837" s="2"/>
      <c r="S837" s="2"/>
      <c r="T837" s="2"/>
      <c r="U837" s="2"/>
      <c r="V837" s="2"/>
      <c r="X837" s="38"/>
      <c r="Y837" s="38"/>
      <c r="Z837" s="38"/>
      <c r="AA837" s="38"/>
      <c r="AB837" s="38"/>
      <c r="AD837" s="2"/>
      <c r="AE837" s="2"/>
      <c r="AF837" s="2"/>
      <c r="AG837" s="2"/>
      <c r="AH837" s="2"/>
      <c r="AJ837" s="215"/>
      <c r="AK837" s="215"/>
      <c r="AL837" s="215"/>
      <c r="AM837" s="215"/>
      <c r="AO837" s="10"/>
      <c r="AP837" s="10"/>
      <c r="AQ837" s="10"/>
      <c r="AR837" s="10"/>
      <c r="AS837" s="10"/>
      <c r="AU837" s="2"/>
      <c r="AV837" s="2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</row>
    <row r="838" spans="1:73" customFormat="1" ht="12.75" hidden="1" customHeight="1" x14ac:dyDescent="0.2">
      <c r="A838" s="1"/>
      <c r="B838" s="1"/>
      <c r="C838" s="1"/>
      <c r="D838" s="7"/>
      <c r="E838" s="7"/>
      <c r="F838" s="6"/>
      <c r="G838" s="7"/>
      <c r="H838" s="2"/>
      <c r="I838" s="2"/>
      <c r="J838" s="2"/>
      <c r="K838" s="2"/>
      <c r="L838" s="178"/>
      <c r="M838" s="2"/>
      <c r="N838" s="7"/>
      <c r="P838" s="7"/>
      <c r="R838" s="2"/>
      <c r="S838" s="2"/>
      <c r="T838" s="2"/>
      <c r="U838" s="2"/>
      <c r="V838" s="2"/>
      <c r="X838" s="38"/>
      <c r="Y838" s="38"/>
      <c r="Z838" s="38"/>
      <c r="AA838" s="38"/>
      <c r="AB838" s="38"/>
      <c r="AD838" s="2"/>
      <c r="AE838" s="2"/>
      <c r="AF838" s="2"/>
      <c r="AG838" s="2"/>
      <c r="AH838" s="2"/>
      <c r="AJ838" s="215"/>
      <c r="AK838" s="215"/>
      <c r="AL838" s="215"/>
      <c r="AM838" s="215"/>
      <c r="AO838" s="10"/>
      <c r="AP838" s="10"/>
      <c r="AQ838" s="10"/>
      <c r="AR838" s="10"/>
      <c r="AS838" s="10"/>
      <c r="AU838" s="2"/>
      <c r="AV838" s="2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</row>
    <row r="839" spans="1:73" customFormat="1" ht="12.75" hidden="1" customHeight="1" x14ac:dyDescent="0.2">
      <c r="A839" s="1"/>
      <c r="B839" s="1"/>
      <c r="C839" s="1"/>
      <c r="D839" s="7"/>
      <c r="E839" s="7"/>
      <c r="F839" s="6"/>
      <c r="G839" s="7"/>
      <c r="H839" s="2"/>
      <c r="I839" s="2"/>
      <c r="J839" s="2"/>
      <c r="K839" s="2"/>
      <c r="L839" s="178"/>
      <c r="M839" s="2"/>
      <c r="N839" s="7"/>
      <c r="P839" s="7"/>
      <c r="R839" s="2"/>
      <c r="S839" s="2"/>
      <c r="T839" s="2"/>
      <c r="U839" s="2"/>
      <c r="V839" s="2"/>
      <c r="X839" s="38"/>
      <c r="Y839" s="38"/>
      <c r="Z839" s="38"/>
      <c r="AA839" s="38"/>
      <c r="AB839" s="38"/>
      <c r="AD839" s="2"/>
      <c r="AE839" s="2"/>
      <c r="AF839" s="2"/>
      <c r="AG839" s="2"/>
      <c r="AH839" s="2"/>
      <c r="AJ839" s="215"/>
      <c r="AK839" s="215"/>
      <c r="AL839" s="215"/>
      <c r="AM839" s="215"/>
      <c r="AO839" s="10"/>
      <c r="AP839" s="10"/>
      <c r="AQ839" s="10"/>
      <c r="AR839" s="10"/>
      <c r="AS839" s="10"/>
      <c r="AU839" s="2"/>
      <c r="AV839" s="2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</row>
    <row r="840" spans="1:73" customFormat="1" ht="12.75" hidden="1" customHeight="1" x14ac:dyDescent="0.2">
      <c r="A840" s="1"/>
      <c r="B840" s="1"/>
      <c r="C840" s="1"/>
      <c r="D840" s="7"/>
      <c r="E840" s="7"/>
      <c r="F840" s="6"/>
      <c r="G840" s="7"/>
      <c r="H840" s="2"/>
      <c r="I840" s="2"/>
      <c r="J840" s="2"/>
      <c r="K840" s="2"/>
      <c r="L840" s="178"/>
      <c r="M840" s="2"/>
      <c r="N840" s="7"/>
      <c r="P840" s="7"/>
      <c r="R840" s="2"/>
      <c r="S840" s="2"/>
      <c r="T840" s="2"/>
      <c r="U840" s="2"/>
      <c r="V840" s="2"/>
      <c r="X840" s="38"/>
      <c r="Y840" s="38"/>
      <c r="Z840" s="38"/>
      <c r="AA840" s="38"/>
      <c r="AB840" s="38"/>
      <c r="AD840" s="2"/>
      <c r="AE840" s="2"/>
      <c r="AF840" s="2"/>
      <c r="AG840" s="2"/>
      <c r="AH840" s="2"/>
      <c r="AJ840" s="215"/>
      <c r="AK840" s="215"/>
      <c r="AL840" s="215"/>
      <c r="AM840" s="215"/>
      <c r="AO840" s="10"/>
      <c r="AP840" s="10"/>
      <c r="AQ840" s="10"/>
      <c r="AR840" s="10"/>
      <c r="AS840" s="10"/>
      <c r="AU840" s="2"/>
      <c r="AV840" s="2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</row>
    <row r="841" spans="1:73" customFormat="1" ht="12.75" hidden="1" customHeight="1" x14ac:dyDescent="0.2">
      <c r="A841" s="1"/>
      <c r="B841" s="1"/>
      <c r="C841" s="1"/>
      <c r="D841" s="7"/>
      <c r="E841" s="7"/>
      <c r="F841" s="6"/>
      <c r="G841" s="7"/>
      <c r="H841" s="2"/>
      <c r="I841" s="2"/>
      <c r="J841" s="2"/>
      <c r="K841" s="2"/>
      <c r="L841" s="178"/>
      <c r="M841" s="2"/>
      <c r="N841" s="7"/>
      <c r="P841" s="7"/>
      <c r="R841" s="2"/>
      <c r="S841" s="2"/>
      <c r="T841" s="2"/>
      <c r="U841" s="2"/>
      <c r="V841" s="2"/>
      <c r="X841" s="38"/>
      <c r="Y841" s="38"/>
      <c r="Z841" s="38"/>
      <c r="AA841" s="38"/>
      <c r="AB841" s="38"/>
      <c r="AD841" s="2"/>
      <c r="AE841" s="2"/>
      <c r="AF841" s="2"/>
      <c r="AG841" s="2"/>
      <c r="AH841" s="2"/>
      <c r="AJ841" s="215"/>
      <c r="AK841" s="215"/>
      <c r="AL841" s="215"/>
      <c r="AM841" s="215"/>
      <c r="AO841" s="10"/>
      <c r="AP841" s="10"/>
      <c r="AQ841" s="10"/>
      <c r="AR841" s="10"/>
      <c r="AS841" s="10"/>
      <c r="AU841" s="2"/>
      <c r="AV841" s="2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</row>
    <row r="842" spans="1:73" customFormat="1" ht="12.75" hidden="1" customHeight="1" x14ac:dyDescent="0.2">
      <c r="A842" s="1"/>
      <c r="B842" s="1"/>
      <c r="C842" s="1"/>
      <c r="D842" s="7"/>
      <c r="E842" s="7"/>
      <c r="F842" s="6"/>
      <c r="G842" s="7"/>
      <c r="H842" s="2"/>
      <c r="I842" s="2"/>
      <c r="J842" s="2"/>
      <c r="K842" s="2"/>
      <c r="L842" s="178"/>
      <c r="M842" s="2"/>
      <c r="N842" s="7"/>
      <c r="P842" s="7"/>
      <c r="R842" s="2"/>
      <c r="S842" s="2"/>
      <c r="T842" s="2"/>
      <c r="U842" s="2"/>
      <c r="V842" s="2"/>
      <c r="X842" s="38"/>
      <c r="Y842" s="38"/>
      <c r="Z842" s="38"/>
      <c r="AA842" s="38"/>
      <c r="AB842" s="38"/>
      <c r="AD842" s="2"/>
      <c r="AE842" s="2"/>
      <c r="AF842" s="2"/>
      <c r="AG842" s="2"/>
      <c r="AH842" s="2"/>
      <c r="AJ842" s="215"/>
      <c r="AK842" s="215"/>
      <c r="AL842" s="215"/>
      <c r="AM842" s="215"/>
      <c r="AO842" s="10"/>
      <c r="AP842" s="10"/>
      <c r="AQ842" s="10"/>
      <c r="AR842" s="10"/>
      <c r="AS842" s="10"/>
      <c r="AU842" s="2"/>
      <c r="AV842" s="2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</row>
    <row r="843" spans="1:73" customFormat="1" ht="12.75" hidden="1" customHeight="1" x14ac:dyDescent="0.2">
      <c r="A843" s="1"/>
      <c r="B843" s="1"/>
      <c r="C843" s="1"/>
      <c r="D843" s="7"/>
      <c r="E843" s="7"/>
      <c r="F843" s="6"/>
      <c r="G843" s="7"/>
      <c r="H843" s="2"/>
      <c r="I843" s="2"/>
      <c r="J843" s="2"/>
      <c r="K843" s="2"/>
      <c r="L843" s="178"/>
      <c r="M843" s="2"/>
      <c r="N843" s="7"/>
      <c r="P843" s="7"/>
      <c r="R843" s="2"/>
      <c r="S843" s="2"/>
      <c r="T843" s="2"/>
      <c r="U843" s="2"/>
      <c r="V843" s="2"/>
      <c r="X843" s="38"/>
      <c r="Y843" s="38"/>
      <c r="Z843" s="38"/>
      <c r="AA843" s="38"/>
      <c r="AB843" s="38"/>
      <c r="AD843" s="2"/>
      <c r="AE843" s="2"/>
      <c r="AF843" s="2"/>
      <c r="AG843" s="2"/>
      <c r="AH843" s="2"/>
      <c r="AJ843" s="215"/>
      <c r="AK843" s="215"/>
      <c r="AL843" s="215"/>
      <c r="AM843" s="215"/>
      <c r="AO843" s="10"/>
      <c r="AP843" s="10"/>
      <c r="AQ843" s="10"/>
      <c r="AR843" s="10"/>
      <c r="AS843" s="10"/>
      <c r="AU843" s="2"/>
      <c r="AV843" s="2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</row>
    <row r="844" spans="1:73" customFormat="1" ht="12.75" hidden="1" customHeight="1" x14ac:dyDescent="0.2">
      <c r="A844" s="1"/>
      <c r="B844" s="1"/>
      <c r="C844" s="1"/>
      <c r="D844" s="7"/>
      <c r="E844" s="7"/>
      <c r="F844" s="6"/>
      <c r="G844" s="7"/>
      <c r="H844" s="2"/>
      <c r="I844" s="2"/>
      <c r="J844" s="2"/>
      <c r="K844" s="2"/>
      <c r="L844" s="178"/>
      <c r="M844" s="2"/>
      <c r="N844" s="7"/>
      <c r="P844" s="7"/>
      <c r="R844" s="2"/>
      <c r="S844" s="2"/>
      <c r="T844" s="2"/>
      <c r="U844" s="2"/>
      <c r="V844" s="2"/>
      <c r="X844" s="38"/>
      <c r="Y844" s="38"/>
      <c r="Z844" s="38"/>
      <c r="AA844" s="38"/>
      <c r="AB844" s="38"/>
      <c r="AD844" s="2"/>
      <c r="AE844" s="2"/>
      <c r="AF844" s="2"/>
      <c r="AG844" s="2"/>
      <c r="AH844" s="2"/>
      <c r="AJ844" s="215"/>
      <c r="AK844" s="215"/>
      <c r="AL844" s="215"/>
      <c r="AM844" s="215"/>
      <c r="AO844" s="10"/>
      <c r="AP844" s="10"/>
      <c r="AQ844" s="10"/>
      <c r="AR844" s="10"/>
      <c r="AS844" s="10"/>
      <c r="AU844" s="2"/>
      <c r="AV844" s="2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</row>
    <row r="845" spans="1:73" customFormat="1" ht="12.75" hidden="1" customHeight="1" x14ac:dyDescent="0.2">
      <c r="A845" s="1"/>
      <c r="B845" s="1"/>
      <c r="C845" s="1"/>
      <c r="D845" s="7"/>
      <c r="E845" s="7"/>
      <c r="F845" s="6"/>
      <c r="G845" s="7"/>
      <c r="H845" s="2"/>
      <c r="I845" s="2"/>
      <c r="J845" s="2"/>
      <c r="K845" s="2"/>
      <c r="L845" s="178"/>
      <c r="M845" s="2"/>
      <c r="N845" s="7"/>
      <c r="P845" s="7"/>
      <c r="R845" s="2"/>
      <c r="S845" s="2"/>
      <c r="T845" s="2"/>
      <c r="U845" s="2"/>
      <c r="V845" s="2"/>
      <c r="X845" s="38"/>
      <c r="Y845" s="38"/>
      <c r="Z845" s="38"/>
      <c r="AA845" s="38"/>
      <c r="AB845" s="38"/>
      <c r="AD845" s="2"/>
      <c r="AE845" s="2"/>
      <c r="AF845" s="2"/>
      <c r="AG845" s="2"/>
      <c r="AH845" s="2"/>
      <c r="AJ845" s="215"/>
      <c r="AK845" s="215"/>
      <c r="AL845" s="215"/>
      <c r="AM845" s="215"/>
      <c r="AO845" s="10"/>
      <c r="AP845" s="10"/>
      <c r="AQ845" s="10"/>
      <c r="AR845" s="10"/>
      <c r="AS845" s="10"/>
      <c r="AU845" s="2"/>
      <c r="AV845" s="2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</row>
    <row r="846" spans="1:73" customFormat="1" ht="12.75" hidden="1" customHeight="1" x14ac:dyDescent="0.2">
      <c r="A846" s="1"/>
      <c r="B846" s="1"/>
      <c r="C846" s="1"/>
      <c r="D846" s="7"/>
      <c r="E846" s="7"/>
      <c r="F846" s="6"/>
      <c r="G846" s="7"/>
      <c r="H846" s="2"/>
      <c r="I846" s="2"/>
      <c r="J846" s="2"/>
      <c r="K846" s="2"/>
      <c r="L846" s="178"/>
      <c r="M846" s="2"/>
      <c r="N846" s="7"/>
      <c r="P846" s="7"/>
      <c r="R846" s="2"/>
      <c r="S846" s="2"/>
      <c r="T846" s="2"/>
      <c r="U846" s="2"/>
      <c r="V846" s="2"/>
      <c r="X846" s="38"/>
      <c r="Y846" s="38"/>
      <c r="Z846" s="38"/>
      <c r="AA846" s="38"/>
      <c r="AB846" s="38"/>
      <c r="AD846" s="2"/>
      <c r="AE846" s="2"/>
      <c r="AF846" s="2"/>
      <c r="AG846" s="2"/>
      <c r="AH846" s="2"/>
      <c r="AJ846" s="215"/>
      <c r="AK846" s="215"/>
      <c r="AL846" s="215"/>
      <c r="AM846" s="215"/>
      <c r="AO846" s="10"/>
      <c r="AP846" s="10"/>
      <c r="AQ846" s="10"/>
      <c r="AR846" s="10"/>
      <c r="AS846" s="10"/>
      <c r="AU846" s="2"/>
      <c r="AV846" s="2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</row>
    <row r="847" spans="1:73" customFormat="1" ht="12.75" hidden="1" customHeight="1" x14ac:dyDescent="0.2">
      <c r="A847" s="1"/>
      <c r="B847" s="1"/>
      <c r="C847" s="1"/>
      <c r="D847" s="7"/>
      <c r="E847" s="7"/>
      <c r="F847" s="6"/>
      <c r="G847" s="7"/>
      <c r="H847" s="2"/>
      <c r="I847" s="2"/>
      <c r="J847" s="2"/>
      <c r="K847" s="2"/>
      <c r="L847" s="178"/>
      <c r="M847" s="2"/>
      <c r="N847" s="7"/>
      <c r="P847" s="7"/>
      <c r="R847" s="2"/>
      <c r="S847" s="2"/>
      <c r="T847" s="2"/>
      <c r="U847" s="2"/>
      <c r="V847" s="2"/>
      <c r="X847" s="38"/>
      <c r="Y847" s="38"/>
      <c r="Z847" s="38"/>
      <c r="AA847" s="38"/>
      <c r="AB847" s="38"/>
      <c r="AD847" s="2"/>
      <c r="AE847" s="2"/>
      <c r="AF847" s="2"/>
      <c r="AG847" s="2"/>
      <c r="AH847" s="2"/>
      <c r="AJ847" s="215"/>
      <c r="AK847" s="215"/>
      <c r="AL847" s="215"/>
      <c r="AM847" s="215"/>
      <c r="AO847" s="10"/>
      <c r="AP847" s="10"/>
      <c r="AQ847" s="10"/>
      <c r="AR847" s="10"/>
      <c r="AS847" s="10"/>
      <c r="AU847" s="2"/>
      <c r="AV847" s="2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</row>
    <row r="848" spans="1:73" customFormat="1" ht="12.75" hidden="1" customHeight="1" x14ac:dyDescent="0.2">
      <c r="A848" s="1"/>
      <c r="B848" s="1"/>
      <c r="C848" s="1"/>
      <c r="D848" s="7"/>
      <c r="E848" s="7"/>
      <c r="F848" s="6"/>
      <c r="G848" s="7"/>
      <c r="H848" s="2"/>
      <c r="I848" s="2"/>
      <c r="J848" s="2"/>
      <c r="K848" s="2"/>
      <c r="L848" s="178"/>
      <c r="M848" s="2"/>
      <c r="N848" s="7"/>
      <c r="P848" s="7"/>
      <c r="R848" s="2"/>
      <c r="S848" s="2"/>
      <c r="T848" s="2"/>
      <c r="U848" s="2"/>
      <c r="V848" s="2"/>
      <c r="X848" s="38"/>
      <c r="Y848" s="38"/>
      <c r="Z848" s="38"/>
      <c r="AA848" s="38"/>
      <c r="AB848" s="38"/>
      <c r="AD848" s="2"/>
      <c r="AE848" s="2"/>
      <c r="AF848" s="2"/>
      <c r="AG848" s="2"/>
      <c r="AH848" s="2"/>
      <c r="AJ848" s="215"/>
      <c r="AK848" s="215"/>
      <c r="AL848" s="215"/>
      <c r="AM848" s="215"/>
      <c r="AO848" s="10"/>
      <c r="AP848" s="10"/>
      <c r="AQ848" s="10"/>
      <c r="AR848" s="10"/>
      <c r="AS848" s="10"/>
      <c r="AU848" s="2"/>
      <c r="AV848" s="2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</row>
    <row r="849" spans="1:73" customFormat="1" ht="12.75" hidden="1" customHeight="1" x14ac:dyDescent="0.2">
      <c r="A849" s="1"/>
      <c r="B849" s="1"/>
      <c r="C849" s="1"/>
      <c r="D849" s="7"/>
      <c r="E849" s="7"/>
      <c r="F849" s="6"/>
      <c r="G849" s="7"/>
      <c r="H849" s="2"/>
      <c r="I849" s="2"/>
      <c r="J849" s="2"/>
      <c r="K849" s="2"/>
      <c r="L849" s="178"/>
      <c r="M849" s="2"/>
      <c r="N849" s="7"/>
      <c r="P849" s="7"/>
      <c r="R849" s="2"/>
      <c r="S849" s="2"/>
      <c r="T849" s="2"/>
      <c r="U849" s="2"/>
      <c r="V849" s="2"/>
      <c r="X849" s="38"/>
      <c r="Y849" s="38"/>
      <c r="Z849" s="38"/>
      <c r="AA849" s="38"/>
      <c r="AB849" s="38"/>
      <c r="AD849" s="2"/>
      <c r="AE849" s="2"/>
      <c r="AF849" s="2"/>
      <c r="AG849" s="2"/>
      <c r="AH849" s="2"/>
      <c r="AJ849" s="215"/>
      <c r="AK849" s="215"/>
      <c r="AL849" s="215"/>
      <c r="AM849" s="215"/>
      <c r="AO849" s="10"/>
      <c r="AP849" s="10"/>
      <c r="AQ849" s="10"/>
      <c r="AR849" s="10"/>
      <c r="AS849" s="10"/>
      <c r="AU849" s="2"/>
      <c r="AV849" s="2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</row>
    <row r="850" spans="1:73" customFormat="1" ht="12.75" hidden="1" customHeight="1" x14ac:dyDescent="0.2">
      <c r="A850" s="1"/>
      <c r="B850" s="1"/>
      <c r="C850" s="1"/>
      <c r="D850" s="7"/>
      <c r="E850" s="7"/>
      <c r="F850" s="6"/>
      <c r="G850" s="7"/>
      <c r="H850" s="2"/>
      <c r="I850" s="2"/>
      <c r="J850" s="2"/>
      <c r="K850" s="2"/>
      <c r="L850" s="178"/>
      <c r="M850" s="2"/>
      <c r="N850" s="7"/>
      <c r="P850" s="7"/>
      <c r="R850" s="2"/>
      <c r="S850" s="2"/>
      <c r="T850" s="2"/>
      <c r="U850" s="2"/>
      <c r="V850" s="2"/>
      <c r="X850" s="38"/>
      <c r="Y850" s="38"/>
      <c r="Z850" s="38"/>
      <c r="AA850" s="38"/>
      <c r="AB850" s="38"/>
      <c r="AD850" s="2"/>
      <c r="AE850" s="2"/>
      <c r="AF850" s="2"/>
      <c r="AG850" s="2"/>
      <c r="AH850" s="2"/>
      <c r="AJ850" s="215"/>
      <c r="AK850" s="215"/>
      <c r="AL850" s="215"/>
      <c r="AM850" s="215"/>
      <c r="AO850" s="10"/>
      <c r="AP850" s="10"/>
      <c r="AQ850" s="10"/>
      <c r="AR850" s="10"/>
      <c r="AS850" s="10"/>
      <c r="AU850" s="2"/>
      <c r="AV850" s="2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</row>
    <row r="851" spans="1:73" customFormat="1" ht="12.75" hidden="1" customHeight="1" x14ac:dyDescent="0.2">
      <c r="A851" s="1"/>
      <c r="B851" s="1"/>
      <c r="C851" s="1"/>
      <c r="D851" s="7"/>
      <c r="E851" s="7"/>
      <c r="F851" s="6"/>
      <c r="G851" s="7"/>
      <c r="H851" s="2"/>
      <c r="I851" s="2"/>
      <c r="J851" s="2"/>
      <c r="K851" s="2"/>
      <c r="L851" s="178"/>
      <c r="M851" s="2"/>
      <c r="N851" s="7"/>
      <c r="P851" s="7"/>
      <c r="R851" s="2"/>
      <c r="S851" s="2"/>
      <c r="T851" s="2"/>
      <c r="U851" s="2"/>
      <c r="V851" s="2"/>
      <c r="X851" s="38"/>
      <c r="Y851" s="38"/>
      <c r="Z851" s="38"/>
      <c r="AA851" s="38"/>
      <c r="AB851" s="38"/>
      <c r="AD851" s="2"/>
      <c r="AE851" s="2"/>
      <c r="AF851" s="2"/>
      <c r="AG851" s="2"/>
      <c r="AH851" s="2"/>
      <c r="AJ851" s="215"/>
      <c r="AK851" s="215"/>
      <c r="AL851" s="215"/>
      <c r="AM851" s="215"/>
      <c r="AO851" s="10"/>
      <c r="AP851" s="10"/>
      <c r="AQ851" s="10"/>
      <c r="AR851" s="10"/>
      <c r="AS851" s="10"/>
      <c r="AU851" s="2"/>
      <c r="AV851" s="2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</row>
    <row r="852" spans="1:73" customFormat="1" ht="12.75" hidden="1" customHeight="1" x14ac:dyDescent="0.2">
      <c r="A852" s="1"/>
      <c r="B852" s="1"/>
      <c r="C852" s="1"/>
      <c r="D852" s="7"/>
      <c r="E852" s="7"/>
      <c r="F852" s="6"/>
      <c r="G852" s="7"/>
      <c r="H852" s="2"/>
      <c r="I852" s="2"/>
      <c r="J852" s="2"/>
      <c r="K852" s="2"/>
      <c r="L852" s="178"/>
      <c r="M852" s="2"/>
      <c r="N852" s="7"/>
      <c r="P852" s="7"/>
      <c r="R852" s="2"/>
      <c r="S852" s="2"/>
      <c r="T852" s="2"/>
      <c r="U852" s="2"/>
      <c r="V852" s="2"/>
      <c r="X852" s="38"/>
      <c r="Y852" s="38"/>
      <c r="Z852" s="38"/>
      <c r="AA852" s="38"/>
      <c r="AB852" s="38"/>
      <c r="AD852" s="2"/>
      <c r="AE852" s="2"/>
      <c r="AF852" s="2"/>
      <c r="AG852" s="2"/>
      <c r="AH852" s="2"/>
      <c r="AJ852" s="215"/>
      <c r="AK852" s="215"/>
      <c r="AL852" s="215"/>
      <c r="AM852" s="215"/>
      <c r="AO852" s="10"/>
      <c r="AP852" s="10"/>
      <c r="AQ852" s="10"/>
      <c r="AR852" s="10"/>
      <c r="AS852" s="10"/>
      <c r="AU852" s="2"/>
      <c r="AV852" s="2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</row>
    <row r="853" spans="1:73" customFormat="1" ht="12.75" hidden="1" customHeight="1" x14ac:dyDescent="0.2">
      <c r="A853" s="1"/>
      <c r="B853" s="1"/>
      <c r="C853" s="1"/>
      <c r="D853" s="7"/>
      <c r="E853" s="7"/>
      <c r="F853" s="6"/>
      <c r="G853" s="7"/>
      <c r="H853" s="2"/>
      <c r="I853" s="2"/>
      <c r="J853" s="2"/>
      <c r="K853" s="2"/>
      <c r="L853" s="178"/>
      <c r="M853" s="2"/>
      <c r="N853" s="7"/>
      <c r="P853" s="7"/>
      <c r="R853" s="2"/>
      <c r="S853" s="2"/>
      <c r="T853" s="2"/>
      <c r="U853" s="2"/>
      <c r="V853" s="2"/>
      <c r="X853" s="38"/>
      <c r="Y853" s="38"/>
      <c r="Z853" s="38"/>
      <c r="AA853" s="38"/>
      <c r="AB853" s="38"/>
      <c r="AD853" s="2"/>
      <c r="AE853" s="2"/>
      <c r="AF853" s="2"/>
      <c r="AG853" s="2"/>
      <c r="AH853" s="2"/>
      <c r="AJ853" s="215"/>
      <c r="AK853" s="215"/>
      <c r="AL853" s="215"/>
      <c r="AM853" s="215"/>
      <c r="AO853" s="10"/>
      <c r="AP853" s="10"/>
      <c r="AQ853" s="10"/>
      <c r="AR853" s="10"/>
      <c r="AS853" s="10"/>
      <c r="AU853" s="2"/>
      <c r="AV853" s="2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</row>
    <row r="854" spans="1:73" customFormat="1" ht="12.75" hidden="1" customHeight="1" x14ac:dyDescent="0.2">
      <c r="A854" s="1"/>
      <c r="B854" s="1"/>
      <c r="C854" s="1"/>
      <c r="D854" s="7"/>
      <c r="E854" s="7"/>
      <c r="F854" s="6"/>
      <c r="G854" s="7"/>
      <c r="H854" s="2"/>
      <c r="I854" s="2"/>
      <c r="J854" s="2"/>
      <c r="K854" s="2"/>
      <c r="L854" s="178"/>
      <c r="M854" s="2"/>
      <c r="N854" s="7"/>
      <c r="P854" s="7"/>
      <c r="R854" s="2"/>
      <c r="S854" s="2"/>
      <c r="T854" s="2"/>
      <c r="U854" s="2"/>
      <c r="V854" s="2"/>
      <c r="X854" s="38"/>
      <c r="Y854" s="38"/>
      <c r="Z854" s="38"/>
      <c r="AA854" s="38"/>
      <c r="AB854" s="38"/>
      <c r="AD854" s="2"/>
      <c r="AE854" s="2"/>
      <c r="AF854" s="2"/>
      <c r="AG854" s="2"/>
      <c r="AH854" s="2"/>
      <c r="AJ854" s="215"/>
      <c r="AK854" s="215"/>
      <c r="AL854" s="215"/>
      <c r="AM854" s="215"/>
      <c r="AO854" s="10"/>
      <c r="AP854" s="10"/>
      <c r="AQ854" s="10"/>
      <c r="AR854" s="10"/>
      <c r="AS854" s="10"/>
      <c r="AU854" s="2"/>
      <c r="AV854" s="2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</row>
    <row r="855" spans="1:73" customFormat="1" ht="12.75" hidden="1" customHeight="1" x14ac:dyDescent="0.2">
      <c r="A855" s="1"/>
      <c r="B855" s="1"/>
      <c r="C855" s="1"/>
      <c r="D855" s="7"/>
      <c r="E855" s="7"/>
      <c r="F855" s="6"/>
      <c r="G855" s="7"/>
      <c r="H855" s="2"/>
      <c r="I855" s="2"/>
      <c r="J855" s="2"/>
      <c r="K855" s="2"/>
      <c r="L855" s="178"/>
      <c r="M855" s="2"/>
      <c r="N855" s="7"/>
      <c r="P855" s="7"/>
      <c r="R855" s="2"/>
      <c r="S855" s="2"/>
      <c r="T855" s="2"/>
      <c r="U855" s="2"/>
      <c r="V855" s="2"/>
      <c r="X855" s="38"/>
      <c r="Y855" s="38"/>
      <c r="Z855" s="38"/>
      <c r="AA855" s="38"/>
      <c r="AB855" s="38"/>
      <c r="AD855" s="2"/>
      <c r="AE855" s="2"/>
      <c r="AF855" s="2"/>
      <c r="AG855" s="2"/>
      <c r="AH855" s="2"/>
      <c r="AJ855" s="215"/>
      <c r="AK855" s="215"/>
      <c r="AL855" s="215"/>
      <c r="AM855" s="215"/>
      <c r="AO855" s="10"/>
      <c r="AP855" s="10"/>
      <c r="AQ855" s="10"/>
      <c r="AR855" s="10"/>
      <c r="AS855" s="10"/>
      <c r="AU855" s="2"/>
      <c r="AV855" s="2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</row>
    <row r="856" spans="1:73" customFormat="1" ht="12.75" hidden="1" customHeight="1" x14ac:dyDescent="0.2">
      <c r="A856" s="1"/>
      <c r="B856" s="1"/>
      <c r="C856" s="1"/>
      <c r="D856" s="7"/>
      <c r="E856" s="7"/>
      <c r="F856" s="6"/>
      <c r="G856" s="7"/>
      <c r="H856" s="2"/>
      <c r="I856" s="2"/>
      <c r="J856" s="2"/>
      <c r="K856" s="2"/>
      <c r="L856" s="178"/>
      <c r="M856" s="2"/>
      <c r="N856" s="7"/>
      <c r="P856" s="7"/>
      <c r="R856" s="2"/>
      <c r="S856" s="2"/>
      <c r="T856" s="2"/>
      <c r="U856" s="2"/>
      <c r="V856" s="2"/>
      <c r="X856" s="38"/>
      <c r="Y856" s="38"/>
      <c r="Z856" s="38"/>
      <c r="AA856" s="38"/>
      <c r="AB856" s="38"/>
      <c r="AD856" s="2"/>
      <c r="AE856" s="2"/>
      <c r="AF856" s="2"/>
      <c r="AG856" s="2"/>
      <c r="AH856" s="2"/>
      <c r="AJ856" s="215"/>
      <c r="AK856" s="215"/>
      <c r="AL856" s="215"/>
      <c r="AM856" s="215"/>
      <c r="AO856" s="10"/>
      <c r="AP856" s="10"/>
      <c r="AQ856" s="10"/>
      <c r="AR856" s="10"/>
      <c r="AS856" s="10"/>
      <c r="AU856" s="2"/>
      <c r="AV856" s="2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</row>
    <row r="857" spans="1:73" customFormat="1" ht="12.75" hidden="1" customHeight="1" x14ac:dyDescent="0.2">
      <c r="A857" s="1"/>
      <c r="B857" s="1"/>
      <c r="C857" s="1"/>
      <c r="D857" s="7"/>
      <c r="E857" s="7"/>
      <c r="F857" s="6"/>
      <c r="G857" s="7"/>
      <c r="H857" s="2"/>
      <c r="I857" s="2"/>
      <c r="J857" s="2"/>
      <c r="K857" s="2"/>
      <c r="L857" s="178"/>
      <c r="M857" s="2"/>
      <c r="N857" s="7"/>
      <c r="P857" s="7"/>
      <c r="R857" s="2"/>
      <c r="S857" s="2"/>
      <c r="T857" s="2"/>
      <c r="U857" s="2"/>
      <c r="V857" s="2"/>
      <c r="X857" s="38"/>
      <c r="Y857" s="38"/>
      <c r="Z857" s="38"/>
      <c r="AA857" s="38"/>
      <c r="AB857" s="38"/>
      <c r="AD857" s="2"/>
      <c r="AE857" s="2"/>
      <c r="AF857" s="2"/>
      <c r="AG857" s="2"/>
      <c r="AH857" s="2"/>
      <c r="AJ857" s="215"/>
      <c r="AK857" s="215"/>
      <c r="AL857" s="215"/>
      <c r="AM857" s="215"/>
      <c r="AO857" s="10"/>
      <c r="AP857" s="10"/>
      <c r="AQ857" s="10"/>
      <c r="AR857" s="10"/>
      <c r="AS857" s="10"/>
      <c r="AU857" s="2"/>
      <c r="AV857" s="2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</row>
    <row r="858" spans="1:73" customFormat="1" ht="12.75" hidden="1" customHeight="1" x14ac:dyDescent="0.2">
      <c r="A858" s="1"/>
      <c r="B858" s="1"/>
      <c r="C858" s="1"/>
      <c r="D858" s="7"/>
      <c r="E858" s="7"/>
      <c r="F858" s="6"/>
      <c r="G858" s="7"/>
      <c r="H858" s="2"/>
      <c r="I858" s="2"/>
      <c r="J858" s="2"/>
      <c r="K858" s="2"/>
      <c r="L858" s="178"/>
      <c r="M858" s="2"/>
      <c r="N858" s="7"/>
      <c r="P858" s="7"/>
      <c r="R858" s="2"/>
      <c r="S858" s="2"/>
      <c r="T858" s="2"/>
      <c r="U858" s="2"/>
      <c r="V858" s="2"/>
      <c r="X858" s="38"/>
      <c r="Y858" s="38"/>
      <c r="Z858" s="38"/>
      <c r="AA858" s="38"/>
      <c r="AB858" s="38"/>
      <c r="AD858" s="2"/>
      <c r="AE858" s="2"/>
      <c r="AF858" s="2"/>
      <c r="AG858" s="2"/>
      <c r="AH858" s="2"/>
      <c r="AJ858" s="215"/>
      <c r="AK858" s="215"/>
      <c r="AL858" s="215"/>
      <c r="AM858" s="215"/>
      <c r="AO858" s="10"/>
      <c r="AP858" s="10"/>
      <c r="AQ858" s="10"/>
      <c r="AR858" s="10"/>
      <c r="AS858" s="10"/>
      <c r="AU858" s="2"/>
      <c r="AV858" s="2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</row>
    <row r="859" spans="1:73" customFormat="1" ht="12.75" hidden="1" customHeight="1" x14ac:dyDescent="0.2">
      <c r="A859" s="1"/>
      <c r="B859" s="1"/>
      <c r="C859" s="1"/>
      <c r="D859" s="7"/>
      <c r="E859" s="7"/>
      <c r="F859" s="6"/>
      <c r="G859" s="7"/>
      <c r="H859" s="2"/>
      <c r="I859" s="2"/>
      <c r="J859" s="2"/>
      <c r="K859" s="2"/>
      <c r="L859" s="178"/>
      <c r="M859" s="2"/>
      <c r="N859" s="7"/>
      <c r="P859" s="7"/>
      <c r="R859" s="2"/>
      <c r="S859" s="2"/>
      <c r="T859" s="2"/>
      <c r="U859" s="2"/>
      <c r="V859" s="2"/>
      <c r="X859" s="38"/>
      <c r="Y859" s="38"/>
      <c r="Z859" s="38"/>
      <c r="AA859" s="38"/>
      <c r="AB859" s="38"/>
      <c r="AD859" s="2"/>
      <c r="AE859" s="2"/>
      <c r="AF859" s="2"/>
      <c r="AG859" s="2"/>
      <c r="AH859" s="2"/>
      <c r="AJ859" s="215"/>
      <c r="AK859" s="215"/>
      <c r="AL859" s="215"/>
      <c r="AM859" s="215"/>
      <c r="AO859" s="10"/>
      <c r="AP859" s="10"/>
      <c r="AQ859" s="10"/>
      <c r="AR859" s="10"/>
      <c r="AS859" s="10"/>
      <c r="AU859" s="2"/>
      <c r="AV859" s="2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</row>
    <row r="860" spans="1:73" customFormat="1" ht="12.75" hidden="1" customHeight="1" x14ac:dyDescent="0.2">
      <c r="A860" s="1"/>
      <c r="B860" s="1"/>
      <c r="C860" s="1"/>
      <c r="D860" s="7"/>
      <c r="E860" s="7"/>
      <c r="F860" s="6"/>
      <c r="G860" s="7"/>
      <c r="H860" s="2"/>
      <c r="I860" s="2"/>
      <c r="J860" s="2"/>
      <c r="K860" s="2"/>
      <c r="L860" s="178"/>
      <c r="M860" s="2"/>
      <c r="N860" s="7"/>
      <c r="P860" s="7"/>
      <c r="R860" s="2"/>
      <c r="S860" s="2"/>
      <c r="T860" s="2"/>
      <c r="U860" s="2"/>
      <c r="V860" s="2"/>
      <c r="X860" s="38"/>
      <c r="Y860" s="38"/>
      <c r="Z860" s="38"/>
      <c r="AA860" s="38"/>
      <c r="AB860" s="38"/>
      <c r="AD860" s="2"/>
      <c r="AE860" s="2"/>
      <c r="AF860" s="2"/>
      <c r="AG860" s="2"/>
      <c r="AH860" s="2"/>
      <c r="AJ860" s="215"/>
      <c r="AK860" s="215"/>
      <c r="AL860" s="215"/>
      <c r="AM860" s="215"/>
      <c r="AO860" s="10"/>
      <c r="AP860" s="10"/>
      <c r="AQ860" s="10"/>
      <c r="AR860" s="10"/>
      <c r="AS860" s="10"/>
      <c r="AU860" s="2"/>
      <c r="AV860" s="2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</row>
    <row r="861" spans="1:73" customFormat="1" ht="12.75" hidden="1" customHeight="1" x14ac:dyDescent="0.2">
      <c r="A861" s="1"/>
      <c r="B861" s="1"/>
      <c r="C861" s="1"/>
      <c r="D861" s="7"/>
      <c r="E861" s="7"/>
      <c r="F861" s="6"/>
      <c r="G861" s="7"/>
      <c r="H861" s="2"/>
      <c r="I861" s="2"/>
      <c r="J861" s="2"/>
      <c r="K861" s="2"/>
      <c r="L861" s="178"/>
      <c r="M861" s="2"/>
      <c r="N861" s="7"/>
      <c r="P861" s="7"/>
      <c r="R861" s="2"/>
      <c r="S861" s="2"/>
      <c r="T861" s="2"/>
      <c r="U861" s="2"/>
      <c r="V861" s="2"/>
      <c r="X861" s="38"/>
      <c r="Y861" s="38"/>
      <c r="Z861" s="38"/>
      <c r="AA861" s="38"/>
      <c r="AB861" s="38"/>
      <c r="AD861" s="2"/>
      <c r="AE861" s="2"/>
      <c r="AF861" s="2"/>
      <c r="AG861" s="2"/>
      <c r="AH861" s="2"/>
      <c r="AJ861" s="215"/>
      <c r="AK861" s="215"/>
      <c r="AL861" s="215"/>
      <c r="AM861" s="215"/>
      <c r="AO861" s="10"/>
      <c r="AP861" s="10"/>
      <c r="AQ861" s="10"/>
      <c r="AR861" s="10"/>
      <c r="AS861" s="10"/>
      <c r="AU861" s="2"/>
      <c r="AV861" s="2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</row>
    <row r="862" spans="1:73" customFormat="1" ht="12.75" hidden="1" customHeight="1" x14ac:dyDescent="0.2">
      <c r="A862" s="1"/>
      <c r="B862" s="1"/>
      <c r="C862" s="1"/>
      <c r="D862" s="7"/>
      <c r="E862" s="7"/>
      <c r="F862" s="6"/>
      <c r="G862" s="7"/>
      <c r="H862" s="2"/>
      <c r="I862" s="2"/>
      <c r="J862" s="2"/>
      <c r="K862" s="2"/>
      <c r="L862" s="178"/>
      <c r="M862" s="2"/>
      <c r="N862" s="7"/>
      <c r="P862" s="7"/>
      <c r="R862" s="2"/>
      <c r="S862" s="2"/>
      <c r="T862" s="2"/>
      <c r="U862" s="2"/>
      <c r="V862" s="2"/>
      <c r="X862" s="38"/>
      <c r="Y862" s="38"/>
      <c r="Z862" s="38"/>
      <c r="AA862" s="38"/>
      <c r="AB862" s="38"/>
      <c r="AD862" s="2"/>
      <c r="AE862" s="2"/>
      <c r="AF862" s="2"/>
      <c r="AG862" s="2"/>
      <c r="AH862" s="2"/>
      <c r="AJ862" s="215"/>
      <c r="AK862" s="215"/>
      <c r="AL862" s="215"/>
      <c r="AM862" s="215"/>
      <c r="AO862" s="10"/>
      <c r="AP862" s="10"/>
      <c r="AQ862" s="10"/>
      <c r="AR862" s="10"/>
      <c r="AS862" s="10"/>
      <c r="AU862" s="2"/>
      <c r="AV862" s="2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</row>
    <row r="863" spans="1:73" customFormat="1" ht="12.75" hidden="1" customHeight="1" x14ac:dyDescent="0.2">
      <c r="A863" s="1"/>
      <c r="B863" s="1"/>
      <c r="C863" s="1"/>
      <c r="D863" s="7"/>
      <c r="E863" s="7"/>
      <c r="F863" s="6"/>
      <c r="G863" s="7"/>
      <c r="H863" s="2"/>
      <c r="I863" s="2"/>
      <c r="J863" s="2"/>
      <c r="K863" s="2"/>
      <c r="L863" s="178"/>
      <c r="M863" s="2"/>
      <c r="N863" s="7"/>
      <c r="P863" s="7"/>
      <c r="R863" s="2"/>
      <c r="S863" s="2"/>
      <c r="T863" s="2"/>
      <c r="U863" s="2"/>
      <c r="V863" s="2"/>
      <c r="X863" s="38"/>
      <c r="Y863" s="38"/>
      <c r="Z863" s="38"/>
      <c r="AA863" s="38"/>
      <c r="AB863" s="38"/>
      <c r="AD863" s="2"/>
      <c r="AE863" s="2"/>
      <c r="AF863" s="2"/>
      <c r="AG863" s="2"/>
      <c r="AH863" s="2"/>
      <c r="AJ863" s="215"/>
      <c r="AK863" s="215"/>
      <c r="AL863" s="215"/>
      <c r="AM863" s="215"/>
      <c r="AO863" s="10"/>
      <c r="AP863" s="10"/>
      <c r="AQ863" s="10"/>
      <c r="AR863" s="10"/>
      <c r="AS863" s="10"/>
      <c r="AU863" s="2"/>
      <c r="AV863" s="2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</row>
    <row r="864" spans="1:73" customFormat="1" ht="12.75" hidden="1" customHeight="1" x14ac:dyDescent="0.2">
      <c r="A864" s="1"/>
      <c r="B864" s="1"/>
      <c r="C864" s="1"/>
      <c r="D864" s="7"/>
      <c r="E864" s="7"/>
      <c r="F864" s="6"/>
      <c r="G864" s="7"/>
      <c r="H864" s="2"/>
      <c r="I864" s="2"/>
      <c r="J864" s="2"/>
      <c r="K864" s="2"/>
      <c r="L864" s="178"/>
      <c r="M864" s="2"/>
      <c r="N864" s="7"/>
      <c r="P864" s="7"/>
      <c r="R864" s="2"/>
      <c r="S864" s="2"/>
      <c r="T864" s="2"/>
      <c r="U864" s="2"/>
      <c r="V864" s="2"/>
      <c r="X864" s="38"/>
      <c r="Y864" s="38"/>
      <c r="Z864" s="38"/>
      <c r="AA864" s="38"/>
      <c r="AB864" s="38"/>
      <c r="AD864" s="2"/>
      <c r="AE864" s="2"/>
      <c r="AF864" s="2"/>
      <c r="AG864" s="2"/>
      <c r="AH864" s="2"/>
      <c r="AJ864" s="215"/>
      <c r="AK864" s="215"/>
      <c r="AL864" s="215"/>
      <c r="AM864" s="215"/>
      <c r="AO864" s="10"/>
      <c r="AP864" s="10"/>
      <c r="AQ864" s="10"/>
      <c r="AR864" s="10"/>
      <c r="AS864" s="10"/>
      <c r="AU864" s="2"/>
      <c r="AV864" s="2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</row>
    <row r="865" spans="1:73" customFormat="1" ht="12.75" hidden="1" customHeight="1" x14ac:dyDescent="0.2">
      <c r="A865" s="1"/>
      <c r="B865" s="1"/>
      <c r="C865" s="1"/>
      <c r="D865" s="7"/>
      <c r="E865" s="7"/>
      <c r="F865" s="6"/>
      <c r="G865" s="7"/>
      <c r="H865" s="2"/>
      <c r="I865" s="2"/>
      <c r="J865" s="2"/>
      <c r="K865" s="2"/>
      <c r="L865" s="178"/>
      <c r="M865" s="2"/>
      <c r="N865" s="7"/>
      <c r="P865" s="7"/>
      <c r="R865" s="2"/>
      <c r="S865" s="2"/>
      <c r="T865" s="2"/>
      <c r="U865" s="2"/>
      <c r="V865" s="2"/>
      <c r="X865" s="38"/>
      <c r="Y865" s="38"/>
      <c r="Z865" s="38"/>
      <c r="AA865" s="38"/>
      <c r="AB865" s="38"/>
      <c r="AD865" s="2"/>
      <c r="AE865" s="2"/>
      <c r="AF865" s="2"/>
      <c r="AG865" s="2"/>
      <c r="AH865" s="2"/>
      <c r="AJ865" s="215"/>
      <c r="AK865" s="215"/>
      <c r="AL865" s="215"/>
      <c r="AM865" s="215"/>
      <c r="AO865" s="10"/>
      <c r="AP865" s="10"/>
      <c r="AQ865" s="10"/>
      <c r="AR865" s="10"/>
      <c r="AS865" s="10"/>
      <c r="AU865" s="2"/>
      <c r="AV865" s="2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</row>
    <row r="866" spans="1:73" customFormat="1" ht="12.75" hidden="1" customHeight="1" x14ac:dyDescent="0.2">
      <c r="A866" s="1"/>
      <c r="B866" s="1"/>
      <c r="C866" s="1"/>
      <c r="D866" s="7"/>
      <c r="E866" s="7"/>
      <c r="F866" s="6"/>
      <c r="G866" s="7"/>
      <c r="H866" s="2"/>
      <c r="I866" s="2"/>
      <c r="J866" s="2"/>
      <c r="K866" s="2"/>
      <c r="L866" s="178"/>
      <c r="M866" s="2"/>
      <c r="N866" s="7"/>
      <c r="P866" s="7"/>
      <c r="R866" s="2"/>
      <c r="S866" s="2"/>
      <c r="T866" s="2"/>
      <c r="U866" s="2"/>
      <c r="V866" s="2"/>
      <c r="X866" s="38"/>
      <c r="Y866" s="38"/>
      <c r="Z866" s="38"/>
      <c r="AA866" s="38"/>
      <c r="AB866" s="38"/>
      <c r="AD866" s="2"/>
      <c r="AE866" s="2"/>
      <c r="AF866" s="2"/>
      <c r="AG866" s="2"/>
      <c r="AH866" s="2"/>
      <c r="AJ866" s="215"/>
      <c r="AK866" s="215"/>
      <c r="AL866" s="215"/>
      <c r="AM866" s="215"/>
      <c r="AO866" s="10"/>
      <c r="AP866" s="10"/>
      <c r="AQ866" s="10"/>
      <c r="AR866" s="10"/>
      <c r="AS866" s="10"/>
      <c r="AU866" s="2"/>
      <c r="AV866" s="2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</row>
    <row r="867" spans="1:73" customFormat="1" ht="12.75" hidden="1" customHeight="1" x14ac:dyDescent="0.2">
      <c r="A867" s="1"/>
      <c r="B867" s="1"/>
      <c r="C867" s="1"/>
      <c r="D867" s="7"/>
      <c r="E867" s="7"/>
      <c r="F867" s="6"/>
      <c r="G867" s="7"/>
      <c r="H867" s="2"/>
      <c r="I867" s="2"/>
      <c r="J867" s="2"/>
      <c r="K867" s="2"/>
      <c r="L867" s="178"/>
      <c r="M867" s="2"/>
      <c r="N867" s="7"/>
      <c r="P867" s="7"/>
      <c r="R867" s="2"/>
      <c r="S867" s="2"/>
      <c r="T867" s="2"/>
      <c r="U867" s="2"/>
      <c r="V867" s="2"/>
      <c r="X867" s="38"/>
      <c r="Y867" s="38"/>
      <c r="Z867" s="38"/>
      <c r="AA867" s="38"/>
      <c r="AB867" s="38"/>
      <c r="AD867" s="2"/>
      <c r="AE867" s="2"/>
      <c r="AF867" s="2"/>
      <c r="AG867" s="2"/>
      <c r="AH867" s="2"/>
      <c r="AJ867" s="215"/>
      <c r="AK867" s="215"/>
      <c r="AL867" s="215"/>
      <c r="AM867" s="215"/>
      <c r="AO867" s="10"/>
      <c r="AP867" s="10"/>
      <c r="AQ867" s="10"/>
      <c r="AR867" s="10"/>
      <c r="AS867" s="10"/>
      <c r="AU867" s="2"/>
      <c r="AV867" s="2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</row>
    <row r="868" spans="1:73" customFormat="1" ht="12.75" hidden="1" customHeight="1" x14ac:dyDescent="0.2">
      <c r="A868" s="1"/>
      <c r="B868" s="1"/>
      <c r="C868" s="1"/>
      <c r="D868" s="7"/>
      <c r="E868" s="7"/>
      <c r="F868" s="6"/>
      <c r="G868" s="7"/>
      <c r="H868" s="2"/>
      <c r="I868" s="2"/>
      <c r="J868" s="2"/>
      <c r="K868" s="2"/>
      <c r="L868" s="178"/>
      <c r="M868" s="2"/>
      <c r="N868" s="7"/>
      <c r="P868" s="7"/>
      <c r="R868" s="2"/>
      <c r="S868" s="2"/>
      <c r="T868" s="2"/>
      <c r="U868" s="2"/>
      <c r="V868" s="2"/>
      <c r="X868" s="38"/>
      <c r="Y868" s="38"/>
      <c r="Z868" s="38"/>
      <c r="AA868" s="38"/>
      <c r="AB868" s="38"/>
      <c r="AD868" s="2"/>
      <c r="AE868" s="2"/>
      <c r="AF868" s="2"/>
      <c r="AG868" s="2"/>
      <c r="AH868" s="2"/>
      <c r="AJ868" s="215"/>
      <c r="AK868" s="215"/>
      <c r="AL868" s="215"/>
      <c r="AM868" s="215"/>
      <c r="AO868" s="10"/>
      <c r="AP868" s="10"/>
      <c r="AQ868" s="10"/>
      <c r="AR868" s="10"/>
      <c r="AS868" s="10"/>
      <c r="AU868" s="2"/>
      <c r="AV868" s="2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</row>
    <row r="869" spans="1:73" customFormat="1" ht="12.75" hidden="1" customHeight="1" x14ac:dyDescent="0.2">
      <c r="A869" s="1"/>
      <c r="B869" s="1"/>
      <c r="C869" s="1"/>
      <c r="D869" s="7"/>
      <c r="E869" s="7"/>
      <c r="F869" s="6"/>
      <c r="G869" s="7"/>
      <c r="H869" s="2"/>
      <c r="I869" s="2"/>
      <c r="J869" s="2"/>
      <c r="K869" s="2"/>
      <c r="L869" s="178"/>
      <c r="M869" s="2"/>
      <c r="N869" s="7"/>
      <c r="P869" s="7"/>
      <c r="R869" s="2"/>
      <c r="S869" s="2"/>
      <c r="T869" s="2"/>
      <c r="U869" s="2"/>
      <c r="V869" s="2"/>
      <c r="X869" s="38"/>
      <c r="Y869" s="38"/>
      <c r="Z869" s="38"/>
      <c r="AA869" s="38"/>
      <c r="AB869" s="38"/>
      <c r="AD869" s="2"/>
      <c r="AE869" s="2"/>
      <c r="AF869" s="2"/>
      <c r="AG869" s="2"/>
      <c r="AH869" s="2"/>
      <c r="AJ869" s="215"/>
      <c r="AK869" s="215"/>
      <c r="AL869" s="215"/>
      <c r="AM869" s="215"/>
      <c r="AO869" s="10"/>
      <c r="AP869" s="10"/>
      <c r="AQ869" s="10"/>
      <c r="AR869" s="10"/>
      <c r="AS869" s="10"/>
      <c r="AU869" s="2"/>
      <c r="AV869" s="2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</row>
    <row r="870" spans="1:73" customFormat="1" ht="12.75" hidden="1" customHeight="1" x14ac:dyDescent="0.2">
      <c r="A870" s="1"/>
      <c r="B870" s="1"/>
      <c r="C870" s="1"/>
      <c r="D870" s="7"/>
      <c r="E870" s="7"/>
      <c r="F870" s="6"/>
      <c r="G870" s="7"/>
      <c r="H870" s="2"/>
      <c r="I870" s="2"/>
      <c r="J870" s="2"/>
      <c r="K870" s="2"/>
      <c r="L870" s="178"/>
      <c r="M870" s="2"/>
      <c r="N870" s="7"/>
      <c r="P870" s="7"/>
      <c r="R870" s="2"/>
      <c r="S870" s="2"/>
      <c r="T870" s="2"/>
      <c r="U870" s="2"/>
      <c r="V870" s="2"/>
      <c r="X870" s="38"/>
      <c r="Y870" s="38"/>
      <c r="Z870" s="38"/>
      <c r="AA870" s="38"/>
      <c r="AB870" s="38"/>
      <c r="AD870" s="2"/>
      <c r="AE870" s="2"/>
      <c r="AF870" s="2"/>
      <c r="AG870" s="2"/>
      <c r="AH870" s="2"/>
      <c r="AJ870" s="215"/>
      <c r="AK870" s="215"/>
      <c r="AL870" s="215"/>
      <c r="AM870" s="215"/>
      <c r="AO870" s="10"/>
      <c r="AP870" s="10"/>
      <c r="AQ870" s="10"/>
      <c r="AR870" s="10"/>
      <c r="AS870" s="10"/>
      <c r="AU870" s="2"/>
      <c r="AV870" s="2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</row>
    <row r="871" spans="1:73" customFormat="1" ht="12.75" hidden="1" customHeight="1" x14ac:dyDescent="0.2">
      <c r="A871" s="1"/>
      <c r="B871" s="1"/>
      <c r="C871" s="1"/>
      <c r="D871" s="7"/>
      <c r="E871" s="7"/>
      <c r="F871" s="6"/>
      <c r="G871" s="7"/>
      <c r="H871" s="2"/>
      <c r="I871" s="2"/>
      <c r="J871" s="2"/>
      <c r="K871" s="2"/>
      <c r="L871" s="178"/>
      <c r="M871" s="2"/>
      <c r="N871" s="7"/>
      <c r="P871" s="7"/>
      <c r="R871" s="2"/>
      <c r="S871" s="2"/>
      <c r="T871" s="2"/>
      <c r="U871" s="2"/>
      <c r="V871" s="2"/>
      <c r="X871" s="38"/>
      <c r="Y871" s="38"/>
      <c r="Z871" s="38"/>
      <c r="AA871" s="38"/>
      <c r="AB871" s="38"/>
      <c r="AD871" s="2"/>
      <c r="AE871" s="2"/>
      <c r="AF871" s="2"/>
      <c r="AG871" s="2"/>
      <c r="AH871" s="2"/>
      <c r="AJ871" s="215"/>
      <c r="AK871" s="215"/>
      <c r="AL871" s="215"/>
      <c r="AM871" s="215"/>
      <c r="AO871" s="10"/>
      <c r="AP871" s="10"/>
      <c r="AQ871" s="10"/>
      <c r="AR871" s="10"/>
      <c r="AS871" s="10"/>
      <c r="AU871" s="2"/>
      <c r="AV871" s="2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</row>
    <row r="872" spans="1:73" customFormat="1" ht="12.75" hidden="1" customHeight="1" x14ac:dyDescent="0.2">
      <c r="A872" s="1"/>
      <c r="B872" s="1"/>
      <c r="C872" s="1"/>
      <c r="D872" s="7"/>
      <c r="E872" s="7"/>
      <c r="F872" s="6"/>
      <c r="G872" s="7"/>
      <c r="H872" s="2"/>
      <c r="I872" s="2"/>
      <c r="J872" s="2"/>
      <c r="K872" s="2"/>
      <c r="L872" s="178"/>
      <c r="M872" s="2"/>
      <c r="N872" s="7"/>
      <c r="P872" s="7"/>
      <c r="R872" s="2"/>
      <c r="S872" s="2"/>
      <c r="T872" s="2"/>
      <c r="U872" s="2"/>
      <c r="V872" s="2"/>
      <c r="X872" s="38"/>
      <c r="Y872" s="38"/>
      <c r="Z872" s="38"/>
      <c r="AA872" s="38"/>
      <c r="AB872" s="38"/>
      <c r="AD872" s="2"/>
      <c r="AE872" s="2"/>
      <c r="AF872" s="2"/>
      <c r="AG872" s="2"/>
      <c r="AH872" s="2"/>
      <c r="AJ872" s="215"/>
      <c r="AK872" s="215"/>
      <c r="AL872" s="215"/>
      <c r="AM872" s="215"/>
      <c r="AO872" s="10"/>
      <c r="AP872" s="10"/>
      <c r="AQ872" s="10"/>
      <c r="AR872" s="10"/>
      <c r="AS872" s="10"/>
      <c r="AU872" s="2"/>
      <c r="AV872" s="2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</row>
    <row r="873" spans="1:73" customFormat="1" ht="12.75" hidden="1" customHeight="1" x14ac:dyDescent="0.2">
      <c r="A873" s="1"/>
      <c r="B873" s="1"/>
      <c r="C873" s="1"/>
      <c r="D873" s="7"/>
      <c r="E873" s="7"/>
      <c r="F873" s="6"/>
      <c r="G873" s="7"/>
      <c r="H873" s="2"/>
      <c r="I873" s="2"/>
      <c r="J873" s="2"/>
      <c r="K873" s="2"/>
      <c r="L873" s="178"/>
      <c r="M873" s="2"/>
      <c r="N873" s="7"/>
      <c r="P873" s="7"/>
      <c r="R873" s="2"/>
      <c r="S873" s="2"/>
      <c r="T873" s="2"/>
      <c r="U873" s="2"/>
      <c r="V873" s="2"/>
      <c r="X873" s="38"/>
      <c r="Y873" s="38"/>
      <c r="Z873" s="38"/>
      <c r="AA873" s="38"/>
      <c r="AB873" s="38"/>
      <c r="AD873" s="2"/>
      <c r="AE873" s="2"/>
      <c r="AF873" s="2"/>
      <c r="AG873" s="2"/>
      <c r="AH873" s="2"/>
      <c r="AJ873" s="215"/>
      <c r="AK873" s="215"/>
      <c r="AL873" s="215"/>
      <c r="AM873" s="215"/>
      <c r="AO873" s="10"/>
      <c r="AP873" s="10"/>
      <c r="AQ873" s="10"/>
      <c r="AR873" s="10"/>
      <c r="AS873" s="10"/>
      <c r="AU873" s="2"/>
      <c r="AV873" s="2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</row>
    <row r="874" spans="1:73" customFormat="1" ht="12.75" hidden="1" customHeight="1" x14ac:dyDescent="0.2">
      <c r="A874" s="1"/>
      <c r="B874" s="1"/>
      <c r="C874" s="1"/>
      <c r="D874" s="7"/>
      <c r="E874" s="7"/>
      <c r="F874" s="6"/>
      <c r="G874" s="7"/>
      <c r="H874" s="2"/>
      <c r="I874" s="2"/>
      <c r="J874" s="2"/>
      <c r="K874" s="2"/>
      <c r="L874" s="178"/>
      <c r="M874" s="2"/>
      <c r="N874" s="7"/>
      <c r="P874" s="7"/>
      <c r="R874" s="2"/>
      <c r="S874" s="2"/>
      <c r="T874" s="2"/>
      <c r="U874" s="2"/>
      <c r="V874" s="2"/>
      <c r="X874" s="38"/>
      <c r="Y874" s="38"/>
      <c r="Z874" s="38"/>
      <c r="AA874" s="38"/>
      <c r="AB874" s="38"/>
      <c r="AD874" s="2"/>
      <c r="AE874" s="2"/>
      <c r="AF874" s="2"/>
      <c r="AG874" s="2"/>
      <c r="AH874" s="2"/>
      <c r="AJ874" s="215"/>
      <c r="AK874" s="215"/>
      <c r="AL874" s="215"/>
      <c r="AM874" s="215"/>
      <c r="AO874" s="10"/>
      <c r="AP874" s="10"/>
      <c r="AQ874" s="10"/>
      <c r="AR874" s="10"/>
      <c r="AS874" s="10"/>
      <c r="AU874" s="2"/>
      <c r="AV874" s="2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</row>
    <row r="875" spans="1:73" customFormat="1" ht="12.75" hidden="1" customHeight="1" x14ac:dyDescent="0.2">
      <c r="A875" s="1"/>
      <c r="B875" s="1"/>
      <c r="C875" s="1"/>
      <c r="D875" s="7"/>
      <c r="E875" s="7"/>
      <c r="F875" s="6"/>
      <c r="G875" s="7"/>
      <c r="H875" s="2"/>
      <c r="I875" s="2"/>
      <c r="J875" s="2"/>
      <c r="K875" s="2"/>
      <c r="L875" s="178"/>
      <c r="M875" s="2"/>
      <c r="N875" s="7"/>
      <c r="P875" s="7"/>
      <c r="R875" s="2"/>
      <c r="S875" s="2"/>
      <c r="T875" s="2"/>
      <c r="U875" s="2"/>
      <c r="V875" s="2"/>
      <c r="X875" s="38"/>
      <c r="Y875" s="38"/>
      <c r="Z875" s="38"/>
      <c r="AA875" s="38"/>
      <c r="AB875" s="38"/>
      <c r="AD875" s="2"/>
      <c r="AE875" s="2"/>
      <c r="AF875" s="2"/>
      <c r="AG875" s="2"/>
      <c r="AH875" s="2"/>
      <c r="AJ875" s="215"/>
      <c r="AK875" s="215"/>
      <c r="AL875" s="215"/>
      <c r="AM875" s="215"/>
      <c r="AO875" s="10"/>
      <c r="AP875" s="10"/>
      <c r="AQ875" s="10"/>
      <c r="AR875" s="10"/>
      <c r="AS875" s="10"/>
      <c r="AU875" s="2"/>
      <c r="AV875" s="2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</row>
    <row r="876" spans="1:73" customFormat="1" ht="12.75" hidden="1" customHeight="1" x14ac:dyDescent="0.2">
      <c r="A876" s="1"/>
      <c r="B876" s="1"/>
      <c r="C876" s="1"/>
      <c r="D876" s="7"/>
      <c r="E876" s="7"/>
      <c r="F876" s="6"/>
      <c r="G876" s="7"/>
      <c r="H876" s="2"/>
      <c r="I876" s="2"/>
      <c r="J876" s="2"/>
      <c r="K876" s="2"/>
      <c r="L876" s="178"/>
      <c r="M876" s="2"/>
      <c r="N876" s="7"/>
      <c r="P876" s="7"/>
      <c r="R876" s="2"/>
      <c r="S876" s="2"/>
      <c r="T876" s="2"/>
      <c r="U876" s="2"/>
      <c r="V876" s="2"/>
      <c r="X876" s="38"/>
      <c r="Y876" s="38"/>
      <c r="Z876" s="38"/>
      <c r="AA876" s="38"/>
      <c r="AB876" s="38"/>
      <c r="AD876" s="2"/>
      <c r="AE876" s="2"/>
      <c r="AF876" s="2"/>
      <c r="AG876" s="2"/>
      <c r="AH876" s="2"/>
      <c r="AJ876" s="215"/>
      <c r="AK876" s="215"/>
      <c r="AL876" s="215"/>
      <c r="AM876" s="215"/>
      <c r="AO876" s="10"/>
      <c r="AP876" s="10"/>
      <c r="AQ876" s="10"/>
      <c r="AR876" s="10"/>
      <c r="AS876" s="10"/>
      <c r="AU876" s="2"/>
      <c r="AV876" s="2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</row>
    <row r="877" spans="1:73" customFormat="1" ht="12.75" hidden="1" customHeight="1" x14ac:dyDescent="0.2">
      <c r="A877" s="1"/>
      <c r="B877" s="1"/>
      <c r="C877" s="1"/>
      <c r="D877" s="7"/>
      <c r="E877" s="7"/>
      <c r="F877" s="6"/>
      <c r="G877" s="7"/>
      <c r="H877" s="2"/>
      <c r="I877" s="2"/>
      <c r="J877" s="2"/>
      <c r="K877" s="2"/>
      <c r="L877" s="178"/>
      <c r="M877" s="2"/>
      <c r="N877" s="7"/>
      <c r="P877" s="7"/>
      <c r="R877" s="2"/>
      <c r="S877" s="2"/>
      <c r="T877" s="2"/>
      <c r="U877" s="2"/>
      <c r="V877" s="2"/>
      <c r="X877" s="38"/>
      <c r="Y877" s="38"/>
      <c r="Z877" s="38"/>
      <c r="AA877" s="38"/>
      <c r="AB877" s="38"/>
      <c r="AD877" s="2"/>
      <c r="AE877" s="2"/>
      <c r="AF877" s="2"/>
      <c r="AG877" s="2"/>
      <c r="AH877" s="2"/>
      <c r="AJ877" s="215"/>
      <c r="AK877" s="215"/>
      <c r="AL877" s="215"/>
      <c r="AM877" s="215"/>
      <c r="AO877" s="10"/>
      <c r="AP877" s="10"/>
      <c r="AQ877" s="10"/>
      <c r="AR877" s="10"/>
      <c r="AS877" s="10"/>
      <c r="AU877" s="2"/>
      <c r="AV877" s="2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</row>
    <row r="878" spans="1:73" customFormat="1" ht="12.75" hidden="1" customHeight="1" x14ac:dyDescent="0.2">
      <c r="A878" s="1"/>
      <c r="B878" s="1"/>
      <c r="C878" s="1"/>
      <c r="D878" s="7"/>
      <c r="E878" s="7"/>
      <c r="F878" s="6"/>
      <c r="G878" s="7"/>
      <c r="H878" s="2"/>
      <c r="I878" s="2"/>
      <c r="J878" s="2"/>
      <c r="K878" s="2"/>
      <c r="L878" s="178"/>
      <c r="M878" s="2"/>
      <c r="N878" s="7"/>
      <c r="P878" s="7"/>
      <c r="R878" s="2"/>
      <c r="S878" s="2"/>
      <c r="T878" s="2"/>
      <c r="U878" s="2"/>
      <c r="V878" s="2"/>
      <c r="X878" s="38"/>
      <c r="Y878" s="38"/>
      <c r="Z878" s="38"/>
      <c r="AA878" s="38"/>
      <c r="AB878" s="38"/>
      <c r="AD878" s="2"/>
      <c r="AE878" s="2"/>
      <c r="AF878" s="2"/>
      <c r="AG878" s="2"/>
      <c r="AH878" s="2"/>
      <c r="AJ878" s="215"/>
      <c r="AK878" s="215"/>
      <c r="AL878" s="215"/>
      <c r="AM878" s="215"/>
      <c r="AO878" s="10"/>
      <c r="AP878" s="10"/>
      <c r="AQ878" s="10"/>
      <c r="AR878" s="10"/>
      <c r="AS878" s="10"/>
      <c r="AU878" s="2"/>
      <c r="AV878" s="2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</row>
    <row r="879" spans="1:73" customFormat="1" ht="12.75" hidden="1" customHeight="1" x14ac:dyDescent="0.2">
      <c r="A879" s="1"/>
      <c r="B879" s="1"/>
      <c r="C879" s="1"/>
      <c r="D879" s="7"/>
      <c r="E879" s="7"/>
      <c r="F879" s="6"/>
      <c r="G879" s="7"/>
      <c r="H879" s="2"/>
      <c r="I879" s="2"/>
      <c r="J879" s="2"/>
      <c r="K879" s="2"/>
      <c r="L879" s="178"/>
      <c r="M879" s="2"/>
      <c r="N879" s="7"/>
      <c r="P879" s="7"/>
      <c r="R879" s="2"/>
      <c r="S879" s="2"/>
      <c r="T879" s="2"/>
      <c r="U879" s="2"/>
      <c r="V879" s="2"/>
      <c r="X879" s="38"/>
      <c r="Y879" s="38"/>
      <c r="Z879" s="38"/>
      <c r="AA879" s="38"/>
      <c r="AB879" s="38"/>
      <c r="AD879" s="2"/>
      <c r="AE879" s="2"/>
      <c r="AF879" s="2"/>
      <c r="AG879" s="2"/>
      <c r="AH879" s="2"/>
      <c r="AJ879" s="215"/>
      <c r="AK879" s="215"/>
      <c r="AL879" s="215"/>
      <c r="AM879" s="215"/>
      <c r="AO879" s="10"/>
      <c r="AP879" s="10"/>
      <c r="AQ879" s="10"/>
      <c r="AR879" s="10"/>
      <c r="AS879" s="10"/>
      <c r="AU879" s="2"/>
      <c r="AV879" s="2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</row>
    <row r="880" spans="1:73" customFormat="1" ht="12.75" hidden="1" customHeight="1" x14ac:dyDescent="0.2">
      <c r="A880" s="1"/>
      <c r="B880" s="1"/>
      <c r="C880" s="1"/>
      <c r="D880" s="7"/>
      <c r="E880" s="7"/>
      <c r="F880" s="6"/>
      <c r="G880" s="7"/>
      <c r="H880" s="2"/>
      <c r="I880" s="2"/>
      <c r="J880" s="2"/>
      <c r="K880" s="2"/>
      <c r="L880" s="178"/>
      <c r="M880" s="2"/>
      <c r="N880" s="7"/>
      <c r="P880" s="7"/>
      <c r="R880" s="2"/>
      <c r="S880" s="2"/>
      <c r="T880" s="2"/>
      <c r="U880" s="2"/>
      <c r="V880" s="2"/>
      <c r="X880" s="38"/>
      <c r="Y880" s="38"/>
      <c r="Z880" s="38"/>
      <c r="AA880" s="38"/>
      <c r="AB880" s="38"/>
      <c r="AD880" s="2"/>
      <c r="AE880" s="2"/>
      <c r="AF880" s="2"/>
      <c r="AG880" s="2"/>
      <c r="AH880" s="2"/>
      <c r="AJ880" s="215"/>
      <c r="AK880" s="215"/>
      <c r="AL880" s="215"/>
      <c r="AM880" s="215"/>
      <c r="AO880" s="10"/>
      <c r="AP880" s="10"/>
      <c r="AQ880" s="10"/>
      <c r="AR880" s="10"/>
      <c r="AS880" s="10"/>
      <c r="AU880" s="2"/>
      <c r="AV880" s="2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</row>
    <row r="881" spans="1:73" customFormat="1" ht="12.75" hidden="1" customHeight="1" x14ac:dyDescent="0.2">
      <c r="A881" s="1"/>
      <c r="B881" s="1"/>
      <c r="C881" s="1"/>
      <c r="D881" s="7"/>
      <c r="E881" s="7"/>
      <c r="F881" s="6"/>
      <c r="G881" s="7"/>
      <c r="H881" s="2"/>
      <c r="I881" s="2"/>
      <c r="J881" s="2"/>
      <c r="K881" s="2"/>
      <c r="L881" s="178"/>
      <c r="M881" s="2"/>
      <c r="N881" s="7"/>
      <c r="P881" s="7"/>
      <c r="R881" s="2"/>
      <c r="S881" s="2"/>
      <c r="T881" s="2"/>
      <c r="U881" s="2"/>
      <c r="V881" s="2"/>
      <c r="X881" s="38"/>
      <c r="Y881" s="38"/>
      <c r="Z881" s="38"/>
      <c r="AA881" s="38"/>
      <c r="AB881" s="38"/>
      <c r="AD881" s="2"/>
      <c r="AE881" s="2"/>
      <c r="AF881" s="2"/>
      <c r="AG881" s="2"/>
      <c r="AH881" s="2"/>
      <c r="AJ881" s="215"/>
      <c r="AK881" s="215"/>
      <c r="AL881" s="215"/>
      <c r="AM881" s="215"/>
      <c r="AO881" s="10"/>
      <c r="AP881" s="10"/>
      <c r="AQ881" s="10"/>
      <c r="AR881" s="10"/>
      <c r="AS881" s="10"/>
      <c r="AU881" s="2"/>
      <c r="AV881" s="2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</row>
    <row r="882" spans="1:73" customFormat="1" ht="12.75" hidden="1" customHeight="1" x14ac:dyDescent="0.2">
      <c r="A882" s="1"/>
      <c r="B882" s="1"/>
      <c r="C882" s="1"/>
      <c r="D882" s="7"/>
      <c r="E882" s="7"/>
      <c r="F882" s="6"/>
      <c r="G882" s="7"/>
      <c r="H882" s="2"/>
      <c r="I882" s="2"/>
      <c r="J882" s="2"/>
      <c r="K882" s="2"/>
      <c r="L882" s="178"/>
      <c r="M882" s="2"/>
      <c r="N882" s="7"/>
      <c r="P882" s="7"/>
      <c r="R882" s="2"/>
      <c r="S882" s="2"/>
      <c r="T882" s="2"/>
      <c r="U882" s="2"/>
      <c r="V882" s="2"/>
      <c r="X882" s="38"/>
      <c r="Y882" s="38"/>
      <c r="Z882" s="38"/>
      <c r="AA882" s="38"/>
      <c r="AB882" s="38"/>
      <c r="AD882" s="2"/>
      <c r="AE882" s="2"/>
      <c r="AF882" s="2"/>
      <c r="AG882" s="2"/>
      <c r="AH882" s="2"/>
      <c r="AJ882" s="215"/>
      <c r="AK882" s="215"/>
      <c r="AL882" s="215"/>
      <c r="AM882" s="215"/>
      <c r="AO882" s="10"/>
      <c r="AP882" s="10"/>
      <c r="AQ882" s="10"/>
      <c r="AR882" s="10"/>
      <c r="AS882" s="10"/>
      <c r="AU882" s="2"/>
      <c r="AV882" s="2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</row>
    <row r="883" spans="1:73" customFormat="1" ht="12.75" hidden="1" customHeight="1" x14ac:dyDescent="0.2">
      <c r="A883" s="1"/>
      <c r="B883" s="1"/>
      <c r="C883" s="1"/>
      <c r="D883" s="7"/>
      <c r="E883" s="7"/>
      <c r="F883" s="6"/>
      <c r="G883" s="7"/>
      <c r="H883" s="2"/>
      <c r="I883" s="2"/>
      <c r="J883" s="2"/>
      <c r="K883" s="2"/>
      <c r="L883" s="178"/>
      <c r="M883" s="2"/>
      <c r="N883" s="7"/>
      <c r="P883" s="7"/>
      <c r="R883" s="2"/>
      <c r="S883" s="2"/>
      <c r="T883" s="2"/>
      <c r="U883" s="2"/>
      <c r="V883" s="2"/>
      <c r="X883" s="38"/>
      <c r="Y883" s="38"/>
      <c r="Z883" s="38"/>
      <c r="AA883" s="38"/>
      <c r="AB883" s="38"/>
      <c r="AD883" s="2"/>
      <c r="AE883" s="2"/>
      <c r="AF883" s="2"/>
      <c r="AG883" s="2"/>
      <c r="AH883" s="2"/>
      <c r="AJ883" s="215"/>
      <c r="AK883" s="215"/>
      <c r="AL883" s="215"/>
      <c r="AM883" s="215"/>
      <c r="AO883" s="10"/>
      <c r="AP883" s="10"/>
      <c r="AQ883" s="10"/>
      <c r="AR883" s="10"/>
      <c r="AS883" s="10"/>
      <c r="AU883" s="2"/>
      <c r="AV883" s="2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</row>
    <row r="884" spans="1:73" customFormat="1" ht="12.75" hidden="1" customHeight="1" x14ac:dyDescent="0.2">
      <c r="A884" s="1"/>
      <c r="B884" s="1"/>
      <c r="C884" s="1"/>
      <c r="D884" s="7"/>
      <c r="E884" s="7"/>
      <c r="F884" s="6"/>
      <c r="G884" s="7"/>
      <c r="H884" s="2"/>
      <c r="I884" s="2"/>
      <c r="J884" s="2"/>
      <c r="K884" s="2"/>
      <c r="L884" s="178"/>
      <c r="M884" s="2"/>
      <c r="N884" s="7"/>
      <c r="P884" s="7"/>
      <c r="R884" s="2"/>
      <c r="S884" s="2"/>
      <c r="T884" s="2"/>
      <c r="U884" s="2"/>
      <c r="V884" s="2"/>
      <c r="X884" s="38"/>
      <c r="Y884" s="38"/>
      <c r="Z884" s="38"/>
      <c r="AA884" s="38"/>
      <c r="AB884" s="38"/>
      <c r="AD884" s="2"/>
      <c r="AE884" s="2"/>
      <c r="AF884" s="2"/>
      <c r="AG884" s="2"/>
      <c r="AH884" s="2"/>
      <c r="AJ884" s="215"/>
      <c r="AK884" s="215"/>
      <c r="AL884" s="215"/>
      <c r="AM884" s="215"/>
      <c r="AO884" s="10"/>
      <c r="AP884" s="10"/>
      <c r="AQ884" s="10"/>
      <c r="AR884" s="10"/>
      <c r="AS884" s="10"/>
      <c r="AU884" s="2"/>
      <c r="AV884" s="2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</row>
    <row r="885" spans="1:73" customFormat="1" ht="12.75" hidden="1" customHeight="1" x14ac:dyDescent="0.2">
      <c r="A885" s="1"/>
      <c r="B885" s="1"/>
      <c r="C885" s="1"/>
      <c r="D885" s="7"/>
      <c r="E885" s="7"/>
      <c r="F885" s="6"/>
      <c r="G885" s="7"/>
      <c r="H885" s="2"/>
      <c r="I885" s="2"/>
      <c r="J885" s="2"/>
      <c r="K885" s="2"/>
      <c r="L885" s="178"/>
      <c r="M885" s="2"/>
      <c r="N885" s="7"/>
      <c r="P885" s="7"/>
      <c r="R885" s="2"/>
      <c r="S885" s="2"/>
      <c r="T885" s="2"/>
      <c r="U885" s="2"/>
      <c r="V885" s="2"/>
      <c r="X885" s="38"/>
      <c r="Y885" s="38"/>
      <c r="Z885" s="38"/>
      <c r="AA885" s="38"/>
      <c r="AB885" s="38"/>
      <c r="AD885" s="2"/>
      <c r="AE885" s="2"/>
      <c r="AF885" s="2"/>
      <c r="AG885" s="2"/>
      <c r="AH885" s="2"/>
      <c r="AJ885" s="215"/>
      <c r="AK885" s="215"/>
      <c r="AL885" s="215"/>
      <c r="AM885" s="215"/>
      <c r="AO885" s="10"/>
      <c r="AP885" s="10"/>
      <c r="AQ885" s="10"/>
      <c r="AR885" s="10"/>
      <c r="AS885" s="10"/>
      <c r="AU885" s="2"/>
      <c r="AV885" s="2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</row>
    <row r="886" spans="1:73" customFormat="1" ht="12.75" hidden="1" customHeight="1" x14ac:dyDescent="0.2">
      <c r="A886" s="1"/>
      <c r="B886" s="1"/>
      <c r="C886" s="1"/>
      <c r="D886" s="7"/>
      <c r="E886" s="7"/>
      <c r="F886" s="6"/>
      <c r="G886" s="7"/>
      <c r="H886" s="2"/>
      <c r="I886" s="2"/>
      <c r="J886" s="2"/>
      <c r="K886" s="2"/>
      <c r="L886" s="178"/>
      <c r="M886" s="2"/>
      <c r="N886" s="7"/>
      <c r="P886" s="7"/>
      <c r="R886" s="2"/>
      <c r="S886" s="2"/>
      <c r="T886" s="2"/>
      <c r="U886" s="2"/>
      <c r="V886" s="2"/>
      <c r="X886" s="38"/>
      <c r="Y886" s="38"/>
      <c r="Z886" s="38"/>
      <c r="AA886" s="38"/>
      <c r="AB886" s="38"/>
      <c r="AD886" s="2"/>
      <c r="AE886" s="2"/>
      <c r="AF886" s="2"/>
      <c r="AG886" s="2"/>
      <c r="AH886" s="2"/>
      <c r="AJ886" s="215"/>
      <c r="AK886" s="215"/>
      <c r="AL886" s="215"/>
      <c r="AM886" s="215"/>
      <c r="AO886" s="10"/>
      <c r="AP886" s="10"/>
      <c r="AQ886" s="10"/>
      <c r="AR886" s="10"/>
      <c r="AS886" s="10"/>
      <c r="AU886" s="2"/>
      <c r="AV886" s="2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</row>
    <row r="887" spans="1:73" customFormat="1" ht="12.75" hidden="1" customHeight="1" x14ac:dyDescent="0.2">
      <c r="A887" s="1"/>
      <c r="B887" s="1"/>
      <c r="C887" s="1"/>
      <c r="D887" s="7"/>
      <c r="E887" s="7"/>
      <c r="F887" s="6"/>
      <c r="G887" s="7"/>
      <c r="H887" s="2"/>
      <c r="I887" s="2"/>
      <c r="J887" s="2"/>
      <c r="K887" s="2"/>
      <c r="L887" s="178"/>
      <c r="M887" s="2"/>
      <c r="N887" s="7"/>
      <c r="P887" s="7"/>
      <c r="R887" s="2"/>
      <c r="S887" s="2"/>
      <c r="T887" s="2"/>
      <c r="U887" s="2"/>
      <c r="V887" s="2"/>
      <c r="X887" s="38"/>
      <c r="Y887" s="38"/>
      <c r="Z887" s="38"/>
      <c r="AA887" s="38"/>
      <c r="AB887" s="38"/>
      <c r="AD887" s="2"/>
      <c r="AE887" s="2"/>
      <c r="AF887" s="2"/>
      <c r="AG887" s="2"/>
      <c r="AH887" s="2"/>
      <c r="AJ887" s="215"/>
      <c r="AK887" s="215"/>
      <c r="AL887" s="215"/>
      <c r="AM887" s="215"/>
      <c r="AO887" s="10"/>
      <c r="AP887" s="10"/>
      <c r="AQ887" s="10"/>
      <c r="AR887" s="10"/>
      <c r="AS887" s="10"/>
      <c r="AU887" s="2"/>
      <c r="AV887" s="2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</row>
    <row r="888" spans="1:73" customFormat="1" ht="12.75" hidden="1" customHeight="1" x14ac:dyDescent="0.2">
      <c r="A888" s="1"/>
      <c r="B888" s="1"/>
      <c r="C888" s="1"/>
      <c r="D888" s="7"/>
      <c r="E888" s="7"/>
      <c r="F888" s="6"/>
      <c r="G888" s="7"/>
      <c r="H888" s="2"/>
      <c r="I888" s="2"/>
      <c r="J888" s="2"/>
      <c r="K888" s="2"/>
      <c r="L888" s="178"/>
      <c r="M888" s="2"/>
      <c r="N888" s="7"/>
      <c r="P888" s="7"/>
      <c r="R888" s="2"/>
      <c r="S888" s="2"/>
      <c r="T888" s="2"/>
      <c r="U888" s="2"/>
      <c r="V888" s="2"/>
      <c r="X888" s="38"/>
      <c r="Y888" s="38"/>
      <c r="Z888" s="38"/>
      <c r="AA888" s="38"/>
      <c r="AB888" s="38"/>
      <c r="AD888" s="2"/>
      <c r="AE888" s="2"/>
      <c r="AF888" s="2"/>
      <c r="AG888" s="2"/>
      <c r="AH888" s="2"/>
      <c r="AJ888" s="215"/>
      <c r="AK888" s="215"/>
      <c r="AL888" s="215"/>
      <c r="AM888" s="215"/>
      <c r="AO888" s="10"/>
      <c r="AP888" s="10"/>
      <c r="AQ888" s="10"/>
      <c r="AR888" s="10"/>
      <c r="AS888" s="10"/>
      <c r="AU888" s="2"/>
      <c r="AV888" s="2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</row>
    <row r="889" spans="1:73" customFormat="1" ht="12.75" hidden="1" customHeight="1" x14ac:dyDescent="0.2">
      <c r="A889" s="1"/>
      <c r="B889" s="1"/>
      <c r="C889" s="1"/>
      <c r="D889" s="7"/>
      <c r="E889" s="7"/>
      <c r="F889" s="6"/>
      <c r="G889" s="7"/>
      <c r="H889" s="2"/>
      <c r="I889" s="2"/>
      <c r="J889" s="2"/>
      <c r="K889" s="2"/>
      <c r="L889" s="178"/>
      <c r="M889" s="2"/>
      <c r="N889" s="7"/>
      <c r="P889" s="7"/>
      <c r="R889" s="2"/>
      <c r="S889" s="2"/>
      <c r="T889" s="2"/>
      <c r="U889" s="2"/>
      <c r="V889" s="2"/>
      <c r="X889" s="38"/>
      <c r="Y889" s="38"/>
      <c r="Z889" s="38"/>
      <c r="AA889" s="38"/>
      <c r="AB889" s="38"/>
      <c r="AD889" s="2"/>
      <c r="AE889" s="2"/>
      <c r="AF889" s="2"/>
      <c r="AG889" s="2"/>
      <c r="AH889" s="2"/>
      <c r="AJ889" s="215"/>
      <c r="AK889" s="215"/>
      <c r="AL889" s="215"/>
      <c r="AM889" s="215"/>
      <c r="AO889" s="10"/>
      <c r="AP889" s="10"/>
      <c r="AQ889" s="10"/>
      <c r="AR889" s="10"/>
      <c r="AS889" s="10"/>
      <c r="AU889" s="2"/>
      <c r="AV889" s="2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</row>
    <row r="890" spans="1:73" customFormat="1" ht="12.75" hidden="1" customHeight="1" x14ac:dyDescent="0.2">
      <c r="A890" s="1"/>
      <c r="B890" s="1"/>
      <c r="C890" s="1"/>
      <c r="D890" s="7"/>
      <c r="E890" s="7"/>
      <c r="F890" s="6"/>
      <c r="G890" s="7"/>
      <c r="H890" s="2"/>
      <c r="I890" s="2"/>
      <c r="J890" s="2"/>
      <c r="K890" s="2"/>
      <c r="L890" s="178"/>
      <c r="M890" s="2"/>
      <c r="N890" s="7"/>
      <c r="P890" s="7"/>
      <c r="R890" s="2"/>
      <c r="S890" s="2"/>
      <c r="T890" s="2"/>
      <c r="U890" s="2"/>
      <c r="V890" s="2"/>
      <c r="X890" s="38"/>
      <c r="Y890" s="38"/>
      <c r="Z890" s="38"/>
      <c r="AA890" s="38"/>
      <c r="AB890" s="38"/>
      <c r="AD890" s="2"/>
      <c r="AE890" s="2"/>
      <c r="AF890" s="2"/>
      <c r="AG890" s="2"/>
      <c r="AH890" s="2"/>
      <c r="AJ890" s="215"/>
      <c r="AK890" s="215"/>
      <c r="AL890" s="215"/>
      <c r="AM890" s="215"/>
      <c r="AO890" s="10"/>
      <c r="AP890" s="10"/>
      <c r="AQ890" s="10"/>
      <c r="AR890" s="10"/>
      <c r="AS890" s="10"/>
      <c r="AU890" s="2"/>
      <c r="AV890" s="2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</row>
    <row r="891" spans="1:73" customFormat="1" ht="12.75" hidden="1" customHeight="1" x14ac:dyDescent="0.2">
      <c r="A891" s="1"/>
      <c r="B891" s="1"/>
      <c r="C891" s="1"/>
      <c r="D891" s="7"/>
      <c r="E891" s="7"/>
      <c r="F891" s="6"/>
      <c r="G891" s="7"/>
      <c r="H891" s="2"/>
      <c r="I891" s="2"/>
      <c r="J891" s="2"/>
      <c r="K891" s="2"/>
      <c r="L891" s="178"/>
      <c r="M891" s="2"/>
      <c r="N891" s="7"/>
      <c r="P891" s="7"/>
      <c r="R891" s="2"/>
      <c r="S891" s="2"/>
      <c r="T891" s="2"/>
      <c r="U891" s="2"/>
      <c r="V891" s="2"/>
      <c r="X891" s="38"/>
      <c r="Y891" s="38"/>
      <c r="Z891" s="38"/>
      <c r="AA891" s="38"/>
      <c r="AB891" s="38"/>
      <c r="AD891" s="2"/>
      <c r="AE891" s="2"/>
      <c r="AF891" s="2"/>
      <c r="AG891" s="2"/>
      <c r="AH891" s="2"/>
      <c r="AJ891" s="215"/>
      <c r="AK891" s="215"/>
      <c r="AL891" s="215"/>
      <c r="AM891" s="215"/>
      <c r="AO891" s="10"/>
      <c r="AP891" s="10"/>
      <c r="AQ891" s="10"/>
      <c r="AR891" s="10"/>
      <c r="AS891" s="10"/>
      <c r="AU891" s="2"/>
      <c r="AV891" s="2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</row>
    <row r="892" spans="1:73" customFormat="1" ht="12.75" hidden="1" customHeight="1" x14ac:dyDescent="0.2">
      <c r="A892" s="1"/>
      <c r="B892" s="1"/>
      <c r="C892" s="1"/>
      <c r="D892" s="7"/>
      <c r="E892" s="7"/>
      <c r="F892" s="6"/>
      <c r="G892" s="7"/>
      <c r="H892" s="2"/>
      <c r="I892" s="2"/>
      <c r="J892" s="2"/>
      <c r="K892" s="2"/>
      <c r="L892" s="178"/>
      <c r="M892" s="2"/>
      <c r="N892" s="7"/>
      <c r="P892" s="7"/>
      <c r="R892" s="2"/>
      <c r="S892" s="2"/>
      <c r="T892" s="2"/>
      <c r="U892" s="2"/>
      <c r="V892" s="2"/>
      <c r="X892" s="38"/>
      <c r="Y892" s="38"/>
      <c r="Z892" s="38"/>
      <c r="AA892" s="38"/>
      <c r="AB892" s="38"/>
      <c r="AD892" s="2"/>
      <c r="AE892" s="2"/>
      <c r="AF892" s="2"/>
      <c r="AG892" s="2"/>
      <c r="AH892" s="2"/>
      <c r="AJ892" s="215"/>
      <c r="AK892" s="215"/>
      <c r="AL892" s="215"/>
      <c r="AM892" s="215"/>
      <c r="AO892" s="10"/>
      <c r="AP892" s="10"/>
      <c r="AQ892" s="10"/>
      <c r="AR892" s="10"/>
      <c r="AS892" s="10"/>
      <c r="AU892" s="2"/>
      <c r="AV892" s="2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</row>
    <row r="893" spans="1:73" customFormat="1" ht="12.75" hidden="1" customHeight="1" x14ac:dyDescent="0.2">
      <c r="A893" s="1"/>
      <c r="B893" s="1"/>
      <c r="C893" s="1"/>
      <c r="D893" s="7"/>
      <c r="E893" s="7"/>
      <c r="F893" s="6"/>
      <c r="G893" s="7"/>
      <c r="H893" s="2"/>
      <c r="I893" s="2"/>
      <c r="J893" s="2"/>
      <c r="K893" s="2"/>
      <c r="L893" s="178"/>
      <c r="M893" s="2"/>
      <c r="N893" s="7"/>
      <c r="P893" s="7"/>
      <c r="R893" s="2"/>
      <c r="S893" s="2"/>
      <c r="T893" s="2"/>
      <c r="U893" s="2"/>
      <c r="V893" s="2"/>
      <c r="X893" s="38"/>
      <c r="Y893" s="38"/>
      <c r="Z893" s="38"/>
      <c r="AA893" s="38"/>
      <c r="AB893" s="38"/>
      <c r="AD893" s="2"/>
      <c r="AE893" s="2"/>
      <c r="AF893" s="2"/>
      <c r="AG893" s="2"/>
      <c r="AH893" s="2"/>
      <c r="AJ893" s="215"/>
      <c r="AK893" s="215"/>
      <c r="AL893" s="215"/>
      <c r="AM893" s="215"/>
      <c r="AO893" s="10"/>
      <c r="AP893" s="10"/>
      <c r="AQ893" s="10"/>
      <c r="AR893" s="10"/>
      <c r="AS893" s="10"/>
      <c r="AU893" s="2"/>
      <c r="AV893" s="2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</row>
    <row r="894" spans="1:73" customFormat="1" ht="12.75" hidden="1" customHeight="1" x14ac:dyDescent="0.2">
      <c r="A894" s="1"/>
      <c r="B894" s="1"/>
      <c r="C894" s="1"/>
      <c r="D894" s="7"/>
      <c r="E894" s="7"/>
      <c r="F894" s="6"/>
      <c r="G894" s="7"/>
      <c r="H894" s="2"/>
      <c r="I894" s="2"/>
      <c r="J894" s="2"/>
      <c r="K894" s="2"/>
      <c r="L894" s="178"/>
      <c r="M894" s="2"/>
      <c r="N894" s="7"/>
      <c r="P894" s="7"/>
      <c r="R894" s="2"/>
      <c r="S894" s="2"/>
      <c r="T894" s="2"/>
      <c r="U894" s="2"/>
      <c r="V894" s="2"/>
      <c r="X894" s="38"/>
      <c r="Y894" s="38"/>
      <c r="Z894" s="38"/>
      <c r="AA894" s="38"/>
      <c r="AB894" s="38"/>
      <c r="AD894" s="2"/>
      <c r="AE894" s="2"/>
      <c r="AF894" s="2"/>
      <c r="AG894" s="2"/>
      <c r="AH894" s="2"/>
      <c r="AJ894" s="215"/>
      <c r="AK894" s="215"/>
      <c r="AL894" s="215"/>
      <c r="AM894" s="215"/>
      <c r="AO894" s="10"/>
      <c r="AP894" s="10"/>
      <c r="AQ894" s="10"/>
      <c r="AR894" s="10"/>
      <c r="AS894" s="10"/>
      <c r="AU894" s="2"/>
      <c r="AV894" s="2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</row>
    <row r="895" spans="1:73" customFormat="1" ht="12.75" hidden="1" customHeight="1" x14ac:dyDescent="0.2">
      <c r="A895" s="1"/>
      <c r="B895" s="1"/>
      <c r="C895" s="1"/>
      <c r="D895" s="7"/>
      <c r="E895" s="7"/>
      <c r="F895" s="6"/>
      <c r="G895" s="7"/>
      <c r="H895" s="2"/>
      <c r="I895" s="2"/>
      <c r="J895" s="2"/>
      <c r="K895" s="2"/>
      <c r="L895" s="178"/>
      <c r="M895" s="2"/>
      <c r="N895" s="7"/>
      <c r="P895" s="7"/>
      <c r="R895" s="2"/>
      <c r="S895" s="2"/>
      <c r="T895" s="2"/>
      <c r="U895" s="2"/>
      <c r="V895" s="2"/>
      <c r="X895" s="38"/>
      <c r="Y895" s="38"/>
      <c r="Z895" s="38"/>
      <c r="AA895" s="38"/>
      <c r="AB895" s="38"/>
      <c r="AD895" s="2"/>
      <c r="AE895" s="2"/>
      <c r="AF895" s="2"/>
      <c r="AG895" s="2"/>
      <c r="AH895" s="2"/>
      <c r="AJ895" s="215"/>
      <c r="AK895" s="215"/>
      <c r="AL895" s="215"/>
      <c r="AM895" s="215"/>
      <c r="AO895" s="10"/>
      <c r="AP895" s="10"/>
      <c r="AQ895" s="10"/>
      <c r="AR895" s="10"/>
      <c r="AS895" s="10"/>
      <c r="AU895" s="2"/>
      <c r="AV895" s="2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</row>
    <row r="896" spans="1:73" customFormat="1" ht="12.75" hidden="1" customHeight="1" x14ac:dyDescent="0.2">
      <c r="A896" s="1"/>
      <c r="B896" s="1"/>
      <c r="C896" s="1"/>
      <c r="D896" s="7"/>
      <c r="E896" s="7"/>
      <c r="F896" s="6"/>
      <c r="G896" s="7"/>
      <c r="H896" s="2"/>
      <c r="I896" s="2"/>
      <c r="J896" s="2"/>
      <c r="K896" s="2"/>
      <c r="L896" s="178"/>
      <c r="M896" s="2"/>
      <c r="N896" s="7"/>
      <c r="P896" s="7"/>
      <c r="R896" s="2"/>
      <c r="S896" s="2"/>
      <c r="T896" s="2"/>
      <c r="U896" s="2"/>
      <c r="V896" s="2"/>
      <c r="X896" s="38"/>
      <c r="Y896" s="38"/>
      <c r="Z896" s="38"/>
      <c r="AA896" s="38"/>
      <c r="AB896" s="38"/>
      <c r="AD896" s="2"/>
      <c r="AE896" s="2"/>
      <c r="AF896" s="2"/>
      <c r="AG896" s="2"/>
      <c r="AH896" s="2"/>
      <c r="AJ896" s="215"/>
      <c r="AK896" s="215"/>
      <c r="AL896" s="215"/>
      <c r="AM896" s="215"/>
      <c r="AO896" s="10"/>
      <c r="AP896" s="10"/>
      <c r="AQ896" s="10"/>
      <c r="AR896" s="10"/>
      <c r="AS896" s="10"/>
      <c r="AU896" s="2"/>
      <c r="AV896" s="2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</row>
    <row r="897" spans="1:73" customFormat="1" ht="12.75" hidden="1" customHeight="1" x14ac:dyDescent="0.2">
      <c r="A897" s="1"/>
      <c r="B897" s="1"/>
      <c r="C897" s="1"/>
      <c r="D897" s="7"/>
      <c r="E897" s="7"/>
      <c r="F897" s="6"/>
      <c r="G897" s="7"/>
      <c r="H897" s="2"/>
      <c r="I897" s="2"/>
      <c r="J897" s="2"/>
      <c r="K897" s="2"/>
      <c r="L897" s="178"/>
      <c r="M897" s="2"/>
      <c r="N897" s="7"/>
      <c r="P897" s="7"/>
      <c r="R897" s="2"/>
      <c r="S897" s="2"/>
      <c r="T897" s="2"/>
      <c r="U897" s="2"/>
      <c r="V897" s="2"/>
      <c r="X897" s="38"/>
      <c r="Y897" s="38"/>
      <c r="Z897" s="38"/>
      <c r="AA897" s="38"/>
      <c r="AB897" s="38"/>
      <c r="AD897" s="2"/>
      <c r="AE897" s="2"/>
      <c r="AF897" s="2"/>
      <c r="AG897" s="2"/>
      <c r="AH897" s="2"/>
      <c r="AJ897" s="215"/>
      <c r="AK897" s="215"/>
      <c r="AL897" s="215"/>
      <c r="AM897" s="215"/>
      <c r="AO897" s="10"/>
      <c r="AP897" s="10"/>
      <c r="AQ897" s="10"/>
      <c r="AR897" s="10"/>
      <c r="AS897" s="10"/>
      <c r="AU897" s="2"/>
      <c r="AV897" s="2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</row>
    <row r="898" spans="1:73" customFormat="1" ht="12.75" hidden="1" customHeight="1" x14ac:dyDescent="0.2">
      <c r="A898" s="1"/>
      <c r="B898" s="1"/>
      <c r="C898" s="1"/>
      <c r="D898" s="7"/>
      <c r="E898" s="7"/>
      <c r="F898" s="6"/>
      <c r="G898" s="7"/>
      <c r="H898" s="2"/>
      <c r="I898" s="2"/>
      <c r="J898" s="2"/>
      <c r="K898" s="2"/>
      <c r="L898" s="178"/>
      <c r="M898" s="2"/>
      <c r="N898" s="7"/>
      <c r="P898" s="7"/>
      <c r="R898" s="2"/>
      <c r="S898" s="2"/>
      <c r="T898" s="2"/>
      <c r="U898" s="2"/>
      <c r="V898" s="2"/>
      <c r="X898" s="38"/>
      <c r="Y898" s="38"/>
      <c r="Z898" s="38"/>
      <c r="AA898" s="38"/>
      <c r="AB898" s="38"/>
      <c r="AD898" s="2"/>
      <c r="AE898" s="2"/>
      <c r="AF898" s="2"/>
      <c r="AG898" s="2"/>
      <c r="AH898" s="2"/>
      <c r="AJ898" s="215"/>
      <c r="AK898" s="215"/>
      <c r="AL898" s="215"/>
      <c r="AM898" s="215"/>
      <c r="AO898" s="10"/>
      <c r="AP898" s="10"/>
      <c r="AQ898" s="10"/>
      <c r="AR898" s="10"/>
      <c r="AS898" s="10"/>
      <c r="AU898" s="2"/>
      <c r="AV898" s="2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</row>
    <row r="899" spans="1:73" customFormat="1" ht="12.75" hidden="1" customHeight="1" x14ac:dyDescent="0.2">
      <c r="A899" s="1"/>
      <c r="B899" s="1"/>
      <c r="C899" s="1"/>
      <c r="D899" s="7"/>
      <c r="E899" s="7"/>
      <c r="F899" s="6"/>
      <c r="G899" s="7"/>
      <c r="H899" s="2"/>
      <c r="I899" s="2"/>
      <c r="J899" s="2"/>
      <c r="K899" s="2"/>
      <c r="L899" s="178"/>
      <c r="M899" s="2"/>
      <c r="N899" s="7"/>
      <c r="P899" s="7"/>
      <c r="R899" s="2"/>
      <c r="S899" s="2"/>
      <c r="T899" s="2"/>
      <c r="U899" s="2"/>
      <c r="V899" s="2"/>
      <c r="X899" s="38"/>
      <c r="Y899" s="38"/>
      <c r="Z899" s="38"/>
      <c r="AA899" s="38"/>
      <c r="AB899" s="38"/>
      <c r="AD899" s="2"/>
      <c r="AE899" s="2"/>
      <c r="AF899" s="2"/>
      <c r="AG899" s="2"/>
      <c r="AH899" s="2"/>
      <c r="AJ899" s="215"/>
      <c r="AK899" s="215"/>
      <c r="AL899" s="215"/>
      <c r="AM899" s="215"/>
      <c r="AO899" s="10"/>
      <c r="AP899" s="10"/>
      <c r="AQ899" s="10"/>
      <c r="AR899" s="10"/>
      <c r="AS899" s="10"/>
      <c r="AU899" s="2"/>
      <c r="AV899" s="2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</row>
    <row r="900" spans="1:73" customFormat="1" ht="12.75" hidden="1" customHeight="1" x14ac:dyDescent="0.2">
      <c r="A900" s="1"/>
      <c r="B900" s="1"/>
      <c r="C900" s="1"/>
      <c r="D900" s="7"/>
      <c r="E900" s="7"/>
      <c r="F900" s="6"/>
      <c r="G900" s="7"/>
      <c r="H900" s="2"/>
      <c r="I900" s="2"/>
      <c r="J900" s="2"/>
      <c r="K900" s="2"/>
      <c r="L900" s="178"/>
      <c r="M900" s="2"/>
      <c r="N900" s="7"/>
      <c r="P900" s="7"/>
      <c r="R900" s="2"/>
      <c r="S900" s="2"/>
      <c r="T900" s="2"/>
      <c r="U900" s="2"/>
      <c r="V900" s="2"/>
      <c r="X900" s="38"/>
      <c r="Y900" s="38"/>
      <c r="Z900" s="38"/>
      <c r="AA900" s="38"/>
      <c r="AB900" s="38"/>
      <c r="AD900" s="2"/>
      <c r="AE900" s="2"/>
      <c r="AF900" s="2"/>
      <c r="AG900" s="2"/>
      <c r="AH900" s="2"/>
      <c r="AJ900" s="215"/>
      <c r="AK900" s="215"/>
      <c r="AL900" s="215"/>
      <c r="AM900" s="215"/>
      <c r="AO900" s="10"/>
      <c r="AP900" s="10"/>
      <c r="AQ900" s="10"/>
      <c r="AR900" s="10"/>
      <c r="AS900" s="10"/>
      <c r="AU900" s="2"/>
      <c r="AV900" s="2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</row>
    <row r="901" spans="1:73" customFormat="1" ht="12.75" hidden="1" customHeight="1" x14ac:dyDescent="0.2">
      <c r="A901" s="1"/>
      <c r="B901" s="1"/>
      <c r="C901" s="1"/>
      <c r="D901" s="7"/>
      <c r="E901" s="7"/>
      <c r="F901" s="6"/>
      <c r="G901" s="7"/>
      <c r="H901" s="2"/>
      <c r="I901" s="2"/>
      <c r="J901" s="2"/>
      <c r="K901" s="2"/>
      <c r="L901" s="178"/>
      <c r="M901" s="2"/>
      <c r="N901" s="7"/>
      <c r="P901" s="7"/>
      <c r="R901" s="2"/>
      <c r="S901" s="2"/>
      <c r="T901" s="2"/>
      <c r="U901" s="2"/>
      <c r="V901" s="2"/>
      <c r="X901" s="38"/>
      <c r="Y901" s="38"/>
      <c r="Z901" s="38"/>
      <c r="AA901" s="38"/>
      <c r="AB901" s="38"/>
      <c r="AD901" s="2"/>
      <c r="AE901" s="2"/>
      <c r="AF901" s="2"/>
      <c r="AG901" s="2"/>
      <c r="AH901" s="2"/>
      <c r="AJ901" s="215"/>
      <c r="AK901" s="215"/>
      <c r="AL901" s="215"/>
      <c r="AM901" s="215"/>
      <c r="AO901" s="10"/>
      <c r="AP901" s="10"/>
      <c r="AQ901" s="10"/>
      <c r="AR901" s="10"/>
      <c r="AS901" s="10"/>
      <c r="AU901" s="2"/>
      <c r="AV901" s="2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</row>
    <row r="902" spans="1:73" customFormat="1" ht="12.75" hidden="1" customHeight="1" x14ac:dyDescent="0.2">
      <c r="A902" s="1"/>
      <c r="B902" s="1"/>
      <c r="C902" s="1"/>
      <c r="D902" s="7"/>
      <c r="E902" s="7"/>
      <c r="F902" s="6"/>
      <c r="G902" s="7"/>
      <c r="H902" s="2"/>
      <c r="I902" s="2"/>
      <c r="J902" s="2"/>
      <c r="K902" s="2"/>
      <c r="L902" s="178"/>
      <c r="M902" s="2"/>
      <c r="N902" s="7"/>
      <c r="P902" s="7"/>
      <c r="R902" s="2"/>
      <c r="S902" s="2"/>
      <c r="T902" s="2"/>
      <c r="U902" s="2"/>
      <c r="V902" s="2"/>
      <c r="X902" s="38"/>
      <c r="Y902" s="38"/>
      <c r="Z902" s="38"/>
      <c r="AA902" s="38"/>
      <c r="AB902" s="38"/>
      <c r="AD902" s="2"/>
      <c r="AE902" s="2"/>
      <c r="AF902" s="2"/>
      <c r="AG902" s="2"/>
      <c r="AH902" s="2"/>
      <c r="AJ902" s="215"/>
      <c r="AK902" s="215"/>
      <c r="AL902" s="215"/>
      <c r="AM902" s="215"/>
      <c r="AO902" s="10"/>
      <c r="AP902" s="10"/>
      <c r="AQ902" s="10"/>
      <c r="AR902" s="10"/>
      <c r="AS902" s="10"/>
      <c r="AU902" s="2"/>
      <c r="AV902" s="2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</row>
    <row r="903" spans="1:73" customFormat="1" ht="12.75" hidden="1" customHeight="1" x14ac:dyDescent="0.2">
      <c r="A903" s="1"/>
      <c r="B903" s="1"/>
      <c r="C903" s="1"/>
      <c r="D903" s="7"/>
      <c r="E903" s="7"/>
      <c r="F903" s="6"/>
      <c r="G903" s="7"/>
      <c r="H903" s="2"/>
      <c r="I903" s="2"/>
      <c r="J903" s="2"/>
      <c r="K903" s="2"/>
      <c r="L903" s="178"/>
      <c r="M903" s="2"/>
      <c r="N903" s="7"/>
      <c r="P903" s="7"/>
      <c r="R903" s="2"/>
      <c r="S903" s="2"/>
      <c r="T903" s="2"/>
      <c r="U903" s="2"/>
      <c r="V903" s="2"/>
      <c r="X903" s="38"/>
      <c r="Y903" s="38"/>
      <c r="Z903" s="38"/>
      <c r="AA903" s="38"/>
      <c r="AB903" s="38"/>
      <c r="AD903" s="2"/>
      <c r="AE903" s="2"/>
      <c r="AF903" s="2"/>
      <c r="AG903" s="2"/>
      <c r="AH903" s="2"/>
      <c r="AJ903" s="215"/>
      <c r="AK903" s="215"/>
      <c r="AL903" s="215"/>
      <c r="AM903" s="215"/>
      <c r="AO903" s="10"/>
      <c r="AP903" s="10"/>
      <c r="AQ903" s="10"/>
      <c r="AR903" s="10"/>
      <c r="AS903" s="10"/>
      <c r="AU903" s="2"/>
      <c r="AV903" s="2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</row>
    <row r="904" spans="1:73" customFormat="1" ht="12.75" hidden="1" customHeight="1" x14ac:dyDescent="0.2">
      <c r="A904" s="1"/>
      <c r="B904" s="1"/>
      <c r="C904" s="1"/>
      <c r="D904" s="7"/>
      <c r="E904" s="7"/>
      <c r="F904" s="6"/>
      <c r="G904" s="7"/>
      <c r="H904" s="2"/>
      <c r="I904" s="2"/>
      <c r="J904" s="2"/>
      <c r="K904" s="2"/>
      <c r="L904" s="178"/>
      <c r="M904" s="2"/>
      <c r="N904" s="7"/>
      <c r="P904" s="7"/>
      <c r="R904" s="2"/>
      <c r="S904" s="2"/>
      <c r="T904" s="2"/>
      <c r="U904" s="2"/>
      <c r="V904" s="2"/>
      <c r="X904" s="38"/>
      <c r="Y904" s="38"/>
      <c r="Z904" s="38"/>
      <c r="AA904" s="38"/>
      <c r="AB904" s="38"/>
      <c r="AD904" s="2"/>
      <c r="AE904" s="2"/>
      <c r="AF904" s="2"/>
      <c r="AG904" s="2"/>
      <c r="AH904" s="2"/>
      <c r="AJ904" s="215"/>
      <c r="AK904" s="215"/>
      <c r="AL904" s="215"/>
      <c r="AM904" s="215"/>
      <c r="AO904" s="10"/>
      <c r="AP904" s="10"/>
      <c r="AQ904" s="10"/>
      <c r="AR904" s="10"/>
      <c r="AS904" s="10"/>
      <c r="AU904" s="2"/>
      <c r="AV904" s="2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</row>
    <row r="905" spans="1:73" customFormat="1" ht="12.75" hidden="1" customHeight="1" x14ac:dyDescent="0.2">
      <c r="A905" s="1"/>
      <c r="B905" s="1"/>
      <c r="C905" s="1"/>
      <c r="D905" s="7"/>
      <c r="E905" s="7"/>
      <c r="F905" s="6"/>
      <c r="G905" s="7"/>
      <c r="H905" s="2"/>
      <c r="I905" s="2"/>
      <c r="J905" s="2"/>
      <c r="K905" s="2"/>
      <c r="L905" s="178"/>
      <c r="M905" s="2"/>
      <c r="N905" s="7"/>
      <c r="P905" s="7"/>
      <c r="R905" s="2"/>
      <c r="S905" s="2"/>
      <c r="T905" s="2"/>
      <c r="U905" s="2"/>
      <c r="V905" s="2"/>
      <c r="X905" s="38"/>
      <c r="Y905" s="38"/>
      <c r="Z905" s="38"/>
      <c r="AA905" s="38"/>
      <c r="AB905" s="38"/>
      <c r="AD905" s="2"/>
      <c r="AE905" s="2"/>
      <c r="AF905" s="2"/>
      <c r="AG905" s="2"/>
      <c r="AH905" s="2"/>
      <c r="AJ905" s="215"/>
      <c r="AK905" s="215"/>
      <c r="AL905" s="215"/>
      <c r="AM905" s="215"/>
      <c r="AO905" s="10"/>
      <c r="AP905" s="10"/>
      <c r="AQ905" s="10"/>
      <c r="AR905" s="10"/>
      <c r="AS905" s="10"/>
      <c r="AU905" s="2"/>
      <c r="AV905" s="2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</row>
    <row r="906" spans="1:73" customFormat="1" ht="12.75" hidden="1" customHeight="1" x14ac:dyDescent="0.2">
      <c r="A906" s="1"/>
      <c r="B906" s="1"/>
      <c r="C906" s="1"/>
      <c r="D906" s="7"/>
      <c r="E906" s="7"/>
      <c r="F906" s="6"/>
      <c r="G906" s="7"/>
      <c r="H906" s="2"/>
      <c r="I906" s="2"/>
      <c r="J906" s="2"/>
      <c r="K906" s="2"/>
      <c r="L906" s="178"/>
      <c r="M906" s="2"/>
      <c r="N906" s="7"/>
      <c r="P906" s="7"/>
      <c r="R906" s="2"/>
      <c r="S906" s="2"/>
      <c r="T906" s="2"/>
      <c r="U906" s="2"/>
      <c r="V906" s="2"/>
      <c r="X906" s="38"/>
      <c r="Y906" s="38"/>
      <c r="Z906" s="38"/>
      <c r="AA906" s="38"/>
      <c r="AB906" s="38"/>
      <c r="AD906" s="2"/>
      <c r="AE906" s="2"/>
      <c r="AF906" s="2"/>
      <c r="AG906" s="2"/>
      <c r="AH906" s="2"/>
      <c r="AJ906" s="215"/>
      <c r="AK906" s="215"/>
      <c r="AL906" s="215"/>
      <c r="AM906" s="215"/>
      <c r="AO906" s="10"/>
      <c r="AP906" s="10"/>
      <c r="AQ906" s="10"/>
      <c r="AR906" s="10"/>
      <c r="AS906" s="10"/>
      <c r="AU906" s="2"/>
      <c r="AV906" s="2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</row>
    <row r="907" spans="1:73" customFormat="1" ht="12.75" hidden="1" customHeight="1" x14ac:dyDescent="0.2">
      <c r="A907" s="1"/>
      <c r="B907" s="1"/>
      <c r="C907" s="1"/>
      <c r="D907" s="7"/>
      <c r="E907" s="7"/>
      <c r="F907" s="6"/>
      <c r="G907" s="7"/>
      <c r="H907" s="2"/>
      <c r="I907" s="2"/>
      <c r="J907" s="2"/>
      <c r="K907" s="2"/>
      <c r="L907" s="178"/>
      <c r="M907" s="2"/>
      <c r="N907" s="7"/>
      <c r="P907" s="7"/>
      <c r="R907" s="2"/>
      <c r="S907" s="2"/>
      <c r="T907" s="2"/>
      <c r="U907" s="2"/>
      <c r="V907" s="2"/>
      <c r="X907" s="38"/>
      <c r="Y907" s="38"/>
      <c r="Z907" s="38"/>
      <c r="AA907" s="38"/>
      <c r="AB907" s="38"/>
      <c r="AD907" s="2"/>
      <c r="AE907" s="2"/>
      <c r="AF907" s="2"/>
      <c r="AG907" s="2"/>
      <c r="AH907" s="2"/>
      <c r="AJ907" s="215"/>
      <c r="AK907" s="215"/>
      <c r="AL907" s="215"/>
      <c r="AM907" s="215"/>
      <c r="AO907" s="10"/>
      <c r="AP907" s="10"/>
      <c r="AQ907" s="10"/>
      <c r="AR907" s="10"/>
      <c r="AS907" s="10"/>
      <c r="AU907" s="2"/>
      <c r="AV907" s="2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</row>
    <row r="908" spans="1:73" customFormat="1" ht="12.75" hidden="1" customHeight="1" x14ac:dyDescent="0.2">
      <c r="A908" s="1"/>
      <c r="B908" s="1"/>
      <c r="C908" s="1"/>
      <c r="D908" s="7"/>
      <c r="E908" s="7"/>
      <c r="F908" s="6"/>
      <c r="G908" s="7"/>
      <c r="H908" s="2"/>
      <c r="I908" s="2"/>
      <c r="J908" s="2"/>
      <c r="K908" s="2"/>
      <c r="L908" s="178"/>
      <c r="M908" s="2"/>
      <c r="N908" s="7"/>
      <c r="P908" s="7"/>
      <c r="R908" s="2"/>
      <c r="S908" s="2"/>
      <c r="T908" s="2"/>
      <c r="U908" s="2"/>
      <c r="V908" s="2"/>
      <c r="X908" s="38"/>
      <c r="Y908" s="38"/>
      <c r="Z908" s="38"/>
      <c r="AA908" s="38"/>
      <c r="AB908" s="38"/>
      <c r="AD908" s="2"/>
      <c r="AE908" s="2"/>
      <c r="AF908" s="2"/>
      <c r="AG908" s="2"/>
      <c r="AH908" s="2"/>
      <c r="AJ908" s="215"/>
      <c r="AK908" s="215"/>
      <c r="AL908" s="215"/>
      <c r="AM908" s="215"/>
      <c r="AO908" s="10"/>
      <c r="AP908" s="10"/>
      <c r="AQ908" s="10"/>
      <c r="AR908" s="10"/>
      <c r="AS908" s="10"/>
      <c r="AU908" s="2"/>
      <c r="AV908" s="2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</row>
    <row r="909" spans="1:73" customFormat="1" ht="12.75" hidden="1" customHeight="1" x14ac:dyDescent="0.2">
      <c r="A909" s="1"/>
      <c r="B909" s="1"/>
      <c r="C909" s="1"/>
      <c r="D909" s="7"/>
      <c r="E909" s="7"/>
      <c r="F909" s="6"/>
      <c r="G909" s="7"/>
      <c r="H909" s="2"/>
      <c r="I909" s="2"/>
      <c r="J909" s="2"/>
      <c r="K909" s="2"/>
      <c r="L909" s="178"/>
      <c r="M909" s="2"/>
      <c r="N909" s="7"/>
      <c r="P909" s="7"/>
      <c r="R909" s="2"/>
      <c r="S909" s="2"/>
      <c r="T909" s="2"/>
      <c r="U909" s="2"/>
      <c r="V909" s="2"/>
      <c r="X909" s="38"/>
      <c r="Y909" s="38"/>
      <c r="Z909" s="38"/>
      <c r="AA909" s="38"/>
      <c r="AB909" s="38"/>
      <c r="AD909" s="2"/>
      <c r="AE909" s="2"/>
      <c r="AF909" s="2"/>
      <c r="AG909" s="2"/>
      <c r="AH909" s="2"/>
      <c r="AJ909" s="215"/>
      <c r="AK909" s="215"/>
      <c r="AL909" s="215"/>
      <c r="AM909" s="215"/>
      <c r="AO909" s="10"/>
      <c r="AP909" s="10"/>
      <c r="AQ909" s="10"/>
      <c r="AR909" s="10"/>
      <c r="AS909" s="10"/>
      <c r="AU909" s="2"/>
      <c r="AV909" s="2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</row>
    <row r="910" spans="1:73" customFormat="1" ht="12.75" hidden="1" customHeight="1" x14ac:dyDescent="0.2">
      <c r="A910" s="1"/>
      <c r="B910" s="1"/>
      <c r="C910" s="1"/>
      <c r="D910" s="7"/>
      <c r="E910" s="7"/>
      <c r="F910" s="6"/>
      <c r="G910" s="7"/>
      <c r="H910" s="2"/>
      <c r="I910" s="2"/>
      <c r="J910" s="2"/>
      <c r="K910" s="2"/>
      <c r="L910" s="178"/>
      <c r="M910" s="2"/>
      <c r="N910" s="7"/>
      <c r="P910" s="7"/>
      <c r="R910" s="2"/>
      <c r="S910" s="2"/>
      <c r="T910" s="2"/>
      <c r="U910" s="2"/>
      <c r="V910" s="2"/>
      <c r="X910" s="38"/>
      <c r="Y910" s="38"/>
      <c r="Z910" s="38"/>
      <c r="AA910" s="38"/>
      <c r="AB910" s="38"/>
      <c r="AD910" s="2"/>
      <c r="AE910" s="2"/>
      <c r="AF910" s="2"/>
      <c r="AG910" s="2"/>
      <c r="AH910" s="2"/>
      <c r="AJ910" s="215"/>
      <c r="AK910" s="215"/>
      <c r="AL910" s="215"/>
      <c r="AM910" s="215"/>
      <c r="AO910" s="10"/>
      <c r="AP910" s="10"/>
      <c r="AQ910" s="10"/>
      <c r="AR910" s="10"/>
      <c r="AS910" s="10"/>
      <c r="AU910" s="2"/>
      <c r="AV910" s="2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</row>
    <row r="911" spans="1:73" customFormat="1" ht="12.75" hidden="1" customHeight="1" x14ac:dyDescent="0.2">
      <c r="A911" s="1"/>
      <c r="B911" s="1"/>
      <c r="C911" s="1"/>
      <c r="D911" s="7"/>
      <c r="E911" s="7"/>
      <c r="F911" s="6"/>
      <c r="G911" s="7"/>
      <c r="H911" s="2"/>
      <c r="I911" s="2"/>
      <c r="J911" s="2"/>
      <c r="K911" s="2"/>
      <c r="L911" s="178"/>
      <c r="M911" s="2"/>
      <c r="N911" s="7"/>
      <c r="P911" s="7"/>
      <c r="R911" s="2"/>
      <c r="S911" s="2"/>
      <c r="T911" s="2"/>
      <c r="U911" s="2"/>
      <c r="V911" s="2"/>
      <c r="X911" s="38"/>
      <c r="Y911" s="38"/>
      <c r="Z911" s="38"/>
      <c r="AA911" s="38"/>
      <c r="AB911" s="38"/>
      <c r="AD911" s="2"/>
      <c r="AE911" s="2"/>
      <c r="AF911" s="2"/>
      <c r="AG911" s="2"/>
      <c r="AH911" s="2"/>
      <c r="AJ911" s="215"/>
      <c r="AK911" s="215"/>
      <c r="AL911" s="215"/>
      <c r="AM911" s="215"/>
      <c r="AO911" s="10"/>
      <c r="AP911" s="10"/>
      <c r="AQ911" s="10"/>
      <c r="AR911" s="10"/>
      <c r="AS911" s="10"/>
      <c r="AU911" s="2"/>
      <c r="AV911" s="2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</row>
    <row r="912" spans="1:73" customFormat="1" ht="12.75" hidden="1" customHeight="1" x14ac:dyDescent="0.2">
      <c r="A912" s="1"/>
      <c r="B912" s="1"/>
      <c r="C912" s="1"/>
      <c r="D912" s="7"/>
      <c r="E912" s="7"/>
      <c r="F912" s="6"/>
      <c r="G912" s="7"/>
      <c r="H912" s="2"/>
      <c r="I912" s="2"/>
      <c r="J912" s="2"/>
      <c r="K912" s="2"/>
      <c r="L912" s="178"/>
      <c r="M912" s="2"/>
      <c r="N912" s="7"/>
      <c r="P912" s="7"/>
      <c r="R912" s="2"/>
      <c r="S912" s="2"/>
      <c r="T912" s="2"/>
      <c r="U912" s="2"/>
      <c r="V912" s="2"/>
      <c r="X912" s="38"/>
      <c r="Y912" s="38"/>
      <c r="Z912" s="38"/>
      <c r="AA912" s="38"/>
      <c r="AB912" s="38"/>
      <c r="AD912" s="2"/>
      <c r="AE912" s="2"/>
      <c r="AF912" s="2"/>
      <c r="AG912" s="2"/>
      <c r="AH912" s="2"/>
      <c r="AJ912" s="215"/>
      <c r="AK912" s="215"/>
      <c r="AL912" s="215"/>
      <c r="AM912" s="215"/>
      <c r="AO912" s="10"/>
      <c r="AP912" s="10"/>
      <c r="AQ912" s="10"/>
      <c r="AR912" s="10"/>
      <c r="AS912" s="10"/>
      <c r="AU912" s="2"/>
      <c r="AV912" s="2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</row>
    <row r="913" spans="1:73" customFormat="1" ht="12.75" hidden="1" customHeight="1" x14ac:dyDescent="0.2">
      <c r="A913" s="1"/>
      <c r="B913" s="1"/>
      <c r="C913" s="1"/>
      <c r="D913" s="7"/>
      <c r="E913" s="7"/>
      <c r="F913" s="6"/>
      <c r="G913" s="7"/>
      <c r="H913" s="2"/>
      <c r="I913" s="2"/>
      <c r="J913" s="2"/>
      <c r="K913" s="2"/>
      <c r="L913" s="178"/>
      <c r="M913" s="2"/>
      <c r="N913" s="7"/>
      <c r="P913" s="7"/>
      <c r="R913" s="2"/>
      <c r="S913" s="2"/>
      <c r="T913" s="2"/>
      <c r="U913" s="2"/>
      <c r="V913" s="2"/>
      <c r="X913" s="38"/>
      <c r="Y913" s="38"/>
      <c r="Z913" s="38"/>
      <c r="AA913" s="38"/>
      <c r="AB913" s="38"/>
      <c r="AD913" s="2"/>
      <c r="AE913" s="2"/>
      <c r="AF913" s="2"/>
      <c r="AG913" s="2"/>
      <c r="AH913" s="2"/>
      <c r="AJ913" s="215"/>
      <c r="AK913" s="215"/>
      <c r="AL913" s="215"/>
      <c r="AM913" s="215"/>
      <c r="AO913" s="10"/>
      <c r="AP913" s="10"/>
      <c r="AQ913" s="10"/>
      <c r="AR913" s="10"/>
      <c r="AS913" s="10"/>
      <c r="AU913" s="2"/>
      <c r="AV913" s="2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</row>
    <row r="914" spans="1:73" customFormat="1" ht="12.75" hidden="1" customHeight="1" x14ac:dyDescent="0.2">
      <c r="A914" s="1"/>
      <c r="B914" s="1"/>
      <c r="C914" s="1"/>
      <c r="D914" s="7"/>
      <c r="E914" s="7"/>
      <c r="F914" s="6"/>
      <c r="G914" s="7"/>
      <c r="H914" s="2"/>
      <c r="I914" s="2"/>
      <c r="J914" s="2"/>
      <c r="K914" s="2"/>
      <c r="L914" s="178"/>
      <c r="M914" s="2"/>
      <c r="N914" s="7"/>
      <c r="P914" s="7"/>
      <c r="R914" s="2"/>
      <c r="S914" s="2"/>
      <c r="T914" s="2"/>
      <c r="U914" s="2"/>
      <c r="V914" s="2"/>
      <c r="X914" s="38"/>
      <c r="Y914" s="38"/>
      <c r="Z914" s="38"/>
      <c r="AA914" s="38"/>
      <c r="AB914" s="38"/>
      <c r="AD914" s="2"/>
      <c r="AE914" s="2"/>
      <c r="AF914" s="2"/>
      <c r="AG914" s="2"/>
      <c r="AH914" s="2"/>
      <c r="AJ914" s="215"/>
      <c r="AK914" s="215"/>
      <c r="AL914" s="215"/>
      <c r="AM914" s="215"/>
      <c r="AO914" s="10"/>
      <c r="AP914" s="10"/>
      <c r="AQ914" s="10"/>
      <c r="AR914" s="10"/>
      <c r="AS914" s="10"/>
      <c r="AU914" s="2"/>
      <c r="AV914" s="2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</row>
    <row r="915" spans="1:73" customFormat="1" ht="12.75" hidden="1" customHeight="1" x14ac:dyDescent="0.2">
      <c r="A915" s="1"/>
      <c r="B915" s="1"/>
      <c r="C915" s="1"/>
      <c r="D915" s="7"/>
      <c r="E915" s="7"/>
      <c r="F915" s="6"/>
      <c r="G915" s="7"/>
      <c r="H915" s="2"/>
      <c r="I915" s="2"/>
      <c r="J915" s="2"/>
      <c r="K915" s="2"/>
      <c r="L915" s="178"/>
      <c r="M915" s="2"/>
      <c r="N915" s="7"/>
      <c r="P915" s="7"/>
      <c r="R915" s="2"/>
      <c r="S915" s="2"/>
      <c r="T915" s="2"/>
      <c r="U915" s="2"/>
      <c r="V915" s="2"/>
      <c r="X915" s="38"/>
      <c r="Y915" s="38"/>
      <c r="Z915" s="38"/>
      <c r="AA915" s="38"/>
      <c r="AB915" s="38"/>
      <c r="AD915" s="2"/>
      <c r="AE915" s="2"/>
      <c r="AF915" s="2"/>
      <c r="AG915" s="2"/>
      <c r="AH915" s="2"/>
      <c r="AJ915" s="215"/>
      <c r="AK915" s="215"/>
      <c r="AL915" s="215"/>
      <c r="AM915" s="215"/>
      <c r="AO915" s="10"/>
      <c r="AP915" s="10"/>
      <c r="AQ915" s="10"/>
      <c r="AR915" s="10"/>
      <c r="AS915" s="10"/>
      <c r="AU915" s="2"/>
      <c r="AV915" s="2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</row>
    <row r="916" spans="1:73" customFormat="1" ht="12.75" hidden="1" customHeight="1" x14ac:dyDescent="0.2">
      <c r="A916" s="1"/>
      <c r="B916" s="1"/>
      <c r="C916" s="1"/>
      <c r="D916" s="7"/>
      <c r="E916" s="7"/>
      <c r="F916" s="6"/>
      <c r="G916" s="7"/>
      <c r="H916" s="2"/>
      <c r="I916" s="2"/>
      <c r="J916" s="2"/>
      <c r="K916" s="2"/>
      <c r="L916" s="178"/>
      <c r="M916" s="2"/>
      <c r="N916" s="7"/>
      <c r="P916" s="7"/>
      <c r="R916" s="2"/>
      <c r="S916" s="2"/>
      <c r="T916" s="2"/>
      <c r="U916" s="2"/>
      <c r="V916" s="2"/>
      <c r="X916" s="38"/>
      <c r="Y916" s="38"/>
      <c r="Z916" s="38"/>
      <c r="AA916" s="38"/>
      <c r="AB916" s="38"/>
      <c r="AD916" s="2"/>
      <c r="AE916" s="2"/>
      <c r="AF916" s="2"/>
      <c r="AG916" s="2"/>
      <c r="AH916" s="2"/>
      <c r="AJ916" s="215"/>
      <c r="AK916" s="215"/>
      <c r="AL916" s="215"/>
      <c r="AM916" s="215"/>
      <c r="AO916" s="10"/>
      <c r="AP916" s="10"/>
      <c r="AQ916" s="10"/>
      <c r="AR916" s="10"/>
      <c r="AS916" s="10"/>
      <c r="AU916" s="2"/>
      <c r="AV916" s="2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</row>
    <row r="917" spans="1:73" customFormat="1" ht="12.75" hidden="1" customHeight="1" x14ac:dyDescent="0.2">
      <c r="A917" s="1"/>
      <c r="B917" s="1"/>
      <c r="C917" s="1"/>
      <c r="D917" s="7"/>
      <c r="E917" s="7"/>
      <c r="F917" s="6"/>
      <c r="G917" s="7"/>
      <c r="H917" s="2"/>
      <c r="I917" s="2"/>
      <c r="J917" s="2"/>
      <c r="K917" s="2"/>
      <c r="L917" s="178"/>
      <c r="M917" s="2"/>
      <c r="N917" s="7"/>
      <c r="P917" s="7"/>
      <c r="R917" s="2"/>
      <c r="S917" s="2"/>
      <c r="T917" s="2"/>
      <c r="U917" s="2"/>
      <c r="V917" s="2"/>
      <c r="X917" s="38"/>
      <c r="Y917" s="38"/>
      <c r="Z917" s="38"/>
      <c r="AA917" s="38"/>
      <c r="AB917" s="38"/>
      <c r="AD917" s="2"/>
      <c r="AE917" s="2"/>
      <c r="AF917" s="2"/>
      <c r="AG917" s="2"/>
      <c r="AH917" s="2"/>
      <c r="AJ917" s="215"/>
      <c r="AK917" s="215"/>
      <c r="AL917" s="215"/>
      <c r="AM917" s="215"/>
      <c r="AO917" s="10"/>
      <c r="AP917" s="10"/>
      <c r="AQ917" s="10"/>
      <c r="AR917" s="10"/>
      <c r="AS917" s="10"/>
      <c r="AU917" s="2"/>
      <c r="AV917" s="2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</row>
    <row r="918" spans="1:73" customFormat="1" ht="12.75" hidden="1" customHeight="1" x14ac:dyDescent="0.2">
      <c r="A918" s="1"/>
      <c r="B918" s="1"/>
      <c r="C918" s="1"/>
      <c r="D918" s="7"/>
      <c r="E918" s="7"/>
      <c r="F918" s="6"/>
      <c r="G918" s="7"/>
      <c r="H918" s="2"/>
      <c r="I918" s="2"/>
      <c r="J918" s="2"/>
      <c r="K918" s="2"/>
      <c r="L918" s="178"/>
      <c r="M918" s="2"/>
      <c r="N918" s="7"/>
      <c r="P918" s="7"/>
      <c r="R918" s="2"/>
      <c r="S918" s="2"/>
      <c r="T918" s="2"/>
      <c r="U918" s="2"/>
      <c r="V918" s="2"/>
      <c r="X918" s="38"/>
      <c r="Y918" s="38"/>
      <c r="Z918" s="38"/>
      <c r="AA918" s="38"/>
      <c r="AB918" s="38"/>
      <c r="AD918" s="2"/>
      <c r="AE918" s="2"/>
      <c r="AF918" s="2"/>
      <c r="AG918" s="2"/>
      <c r="AH918" s="2"/>
      <c r="AJ918" s="215"/>
      <c r="AK918" s="215"/>
      <c r="AL918" s="215"/>
      <c r="AM918" s="215"/>
      <c r="AO918" s="10"/>
      <c r="AP918" s="10"/>
      <c r="AQ918" s="10"/>
      <c r="AR918" s="10"/>
      <c r="AS918" s="10"/>
      <c r="AU918" s="2"/>
      <c r="AV918" s="2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</row>
    <row r="919" spans="1:73" customFormat="1" ht="12.75" hidden="1" customHeight="1" x14ac:dyDescent="0.2">
      <c r="A919" s="1"/>
      <c r="B919" s="1"/>
      <c r="C919" s="1"/>
      <c r="D919" s="7"/>
      <c r="E919" s="7"/>
      <c r="F919" s="6"/>
      <c r="G919" s="7"/>
      <c r="H919" s="2"/>
      <c r="I919" s="2"/>
      <c r="J919" s="2"/>
      <c r="K919" s="2"/>
      <c r="L919" s="178"/>
      <c r="M919" s="2"/>
      <c r="N919" s="7"/>
      <c r="P919" s="7"/>
      <c r="R919" s="2"/>
      <c r="S919" s="2"/>
      <c r="T919" s="2"/>
      <c r="U919" s="2"/>
      <c r="V919" s="2"/>
      <c r="X919" s="38"/>
      <c r="Y919" s="38"/>
      <c r="Z919" s="38"/>
      <c r="AA919" s="38"/>
      <c r="AB919" s="38"/>
      <c r="AD919" s="2"/>
      <c r="AE919" s="2"/>
      <c r="AF919" s="2"/>
      <c r="AG919" s="2"/>
      <c r="AH919" s="2"/>
      <c r="AJ919" s="215"/>
      <c r="AK919" s="215"/>
      <c r="AL919" s="215"/>
      <c r="AM919" s="215"/>
      <c r="AO919" s="10"/>
      <c r="AP919" s="10"/>
      <c r="AQ919" s="10"/>
      <c r="AR919" s="10"/>
      <c r="AS919" s="10"/>
      <c r="AU919" s="2"/>
      <c r="AV919" s="2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</row>
    <row r="920" spans="1:73" customFormat="1" ht="12.75" hidden="1" customHeight="1" x14ac:dyDescent="0.2">
      <c r="A920" s="1"/>
      <c r="B920" s="1"/>
      <c r="C920" s="1"/>
      <c r="D920" s="7"/>
      <c r="E920" s="7"/>
      <c r="F920" s="6"/>
      <c r="G920" s="7"/>
      <c r="H920" s="2"/>
      <c r="I920" s="2"/>
      <c r="J920" s="2"/>
      <c r="K920" s="2"/>
      <c r="L920" s="178"/>
      <c r="M920" s="2"/>
      <c r="N920" s="7"/>
      <c r="P920" s="7"/>
      <c r="R920" s="2"/>
      <c r="S920" s="2"/>
      <c r="T920" s="2"/>
      <c r="U920" s="2"/>
      <c r="V920" s="2"/>
      <c r="X920" s="38"/>
      <c r="Y920" s="38"/>
      <c r="Z920" s="38"/>
      <c r="AA920" s="38"/>
      <c r="AB920" s="38"/>
      <c r="AD920" s="2"/>
      <c r="AE920" s="2"/>
      <c r="AF920" s="2"/>
      <c r="AG920" s="2"/>
      <c r="AH920" s="2"/>
      <c r="AJ920" s="215"/>
      <c r="AK920" s="215"/>
      <c r="AL920" s="215"/>
      <c r="AM920" s="215"/>
      <c r="AO920" s="10"/>
      <c r="AP920" s="10"/>
      <c r="AQ920" s="10"/>
      <c r="AR920" s="10"/>
      <c r="AS920" s="10"/>
      <c r="AU920" s="2"/>
      <c r="AV920" s="2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</row>
    <row r="921" spans="1:73" customFormat="1" ht="12.75" hidden="1" customHeight="1" x14ac:dyDescent="0.2">
      <c r="A921" s="1"/>
      <c r="B921" s="1"/>
      <c r="C921" s="1"/>
      <c r="D921" s="7"/>
      <c r="E921" s="7"/>
      <c r="F921" s="6"/>
      <c r="G921" s="7"/>
      <c r="H921" s="2"/>
      <c r="I921" s="2"/>
      <c r="J921" s="2"/>
      <c r="K921" s="2"/>
      <c r="L921" s="178"/>
      <c r="M921" s="2"/>
      <c r="N921" s="7"/>
      <c r="P921" s="7"/>
      <c r="R921" s="2"/>
      <c r="S921" s="2"/>
      <c r="T921" s="2"/>
      <c r="U921" s="2"/>
      <c r="V921" s="2"/>
      <c r="X921" s="38"/>
      <c r="Y921" s="38"/>
      <c r="Z921" s="38"/>
      <c r="AA921" s="38"/>
      <c r="AB921" s="38"/>
      <c r="AD921" s="2"/>
      <c r="AE921" s="2"/>
      <c r="AF921" s="2"/>
      <c r="AG921" s="2"/>
      <c r="AH921" s="2"/>
      <c r="AJ921" s="215"/>
      <c r="AK921" s="215"/>
      <c r="AL921" s="215"/>
      <c r="AM921" s="215"/>
      <c r="AO921" s="10"/>
      <c r="AP921" s="10"/>
      <c r="AQ921" s="10"/>
      <c r="AR921" s="10"/>
      <c r="AS921" s="10"/>
      <c r="AU921" s="2"/>
      <c r="AV921" s="2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</row>
    <row r="922" spans="1:73" customFormat="1" ht="12.75" hidden="1" customHeight="1" x14ac:dyDescent="0.2">
      <c r="A922" s="1"/>
      <c r="B922" s="1"/>
      <c r="C922" s="1"/>
      <c r="D922" s="7"/>
      <c r="E922" s="7"/>
      <c r="F922" s="6"/>
      <c r="G922" s="7"/>
      <c r="H922" s="2"/>
      <c r="I922" s="2"/>
      <c r="J922" s="2"/>
      <c r="K922" s="2"/>
      <c r="L922" s="178"/>
      <c r="M922" s="2"/>
      <c r="N922" s="7"/>
      <c r="P922" s="7"/>
      <c r="R922" s="2"/>
      <c r="S922" s="2"/>
      <c r="T922" s="2"/>
      <c r="U922" s="2"/>
      <c r="V922" s="2"/>
      <c r="X922" s="38"/>
      <c r="Y922" s="38"/>
      <c r="Z922" s="38"/>
      <c r="AA922" s="38"/>
      <c r="AB922" s="38"/>
      <c r="AD922" s="2"/>
      <c r="AE922" s="2"/>
      <c r="AF922" s="2"/>
      <c r="AG922" s="2"/>
      <c r="AH922" s="2"/>
      <c r="AJ922" s="215"/>
      <c r="AK922" s="215"/>
      <c r="AL922" s="215"/>
      <c r="AM922" s="215"/>
      <c r="AO922" s="10"/>
      <c r="AP922" s="10"/>
      <c r="AQ922" s="10"/>
      <c r="AR922" s="10"/>
      <c r="AS922" s="10"/>
      <c r="AU922" s="2"/>
      <c r="AV922" s="2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</row>
    <row r="923" spans="1:73" customFormat="1" ht="12.75" hidden="1" customHeight="1" x14ac:dyDescent="0.2">
      <c r="A923" s="1"/>
      <c r="B923" s="1"/>
      <c r="C923" s="1"/>
      <c r="D923" s="7"/>
      <c r="E923" s="7"/>
      <c r="F923" s="6"/>
      <c r="G923" s="7"/>
      <c r="H923" s="2"/>
      <c r="I923" s="2"/>
      <c r="J923" s="2"/>
      <c r="K923" s="2"/>
      <c r="L923" s="178"/>
      <c r="M923" s="2"/>
      <c r="N923" s="7"/>
      <c r="P923" s="7"/>
      <c r="R923" s="2"/>
      <c r="S923" s="2"/>
      <c r="T923" s="2"/>
      <c r="U923" s="2"/>
      <c r="V923" s="2"/>
      <c r="X923" s="38"/>
      <c r="Y923" s="38"/>
      <c r="Z923" s="38"/>
      <c r="AA923" s="38"/>
      <c r="AB923" s="38"/>
      <c r="AD923" s="2"/>
      <c r="AE923" s="2"/>
      <c r="AF923" s="2"/>
      <c r="AG923" s="2"/>
      <c r="AH923" s="2"/>
      <c r="AJ923" s="215"/>
      <c r="AK923" s="215"/>
      <c r="AL923" s="215"/>
      <c r="AM923" s="215"/>
      <c r="AO923" s="10"/>
      <c r="AP923" s="10"/>
      <c r="AQ923" s="10"/>
      <c r="AR923" s="10"/>
      <c r="AS923" s="10"/>
      <c r="AU923" s="2"/>
      <c r="AV923" s="2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</row>
    <row r="924" spans="1:73" customFormat="1" ht="12.75" hidden="1" customHeight="1" x14ac:dyDescent="0.2">
      <c r="A924" s="1"/>
      <c r="B924" s="1"/>
      <c r="C924" s="1"/>
      <c r="D924" s="7"/>
      <c r="E924" s="7"/>
      <c r="F924" s="6"/>
      <c r="G924" s="7"/>
      <c r="H924" s="2"/>
      <c r="I924" s="2"/>
      <c r="J924" s="2"/>
      <c r="K924" s="2"/>
      <c r="L924" s="178"/>
      <c r="M924" s="2"/>
      <c r="N924" s="7"/>
      <c r="P924" s="7"/>
      <c r="R924" s="2"/>
      <c r="S924" s="2"/>
      <c r="T924" s="2"/>
      <c r="U924" s="2"/>
      <c r="V924" s="2"/>
      <c r="X924" s="38"/>
      <c r="Y924" s="38"/>
      <c r="Z924" s="38"/>
      <c r="AA924" s="38"/>
      <c r="AB924" s="38"/>
      <c r="AD924" s="2"/>
      <c r="AE924" s="2"/>
      <c r="AF924" s="2"/>
      <c r="AG924" s="2"/>
      <c r="AH924" s="2"/>
      <c r="AJ924" s="215"/>
      <c r="AK924" s="215"/>
      <c r="AL924" s="215"/>
      <c r="AM924" s="215"/>
      <c r="AO924" s="10"/>
      <c r="AP924" s="10"/>
      <c r="AQ924" s="10"/>
      <c r="AR924" s="10"/>
      <c r="AS924" s="10"/>
      <c r="AU924" s="2"/>
      <c r="AV924" s="2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</row>
    <row r="925" spans="1:73" customFormat="1" ht="12.75" hidden="1" customHeight="1" x14ac:dyDescent="0.2">
      <c r="A925" s="1"/>
      <c r="B925" s="1"/>
      <c r="C925" s="1"/>
      <c r="D925" s="7"/>
      <c r="E925" s="7"/>
      <c r="F925" s="6"/>
      <c r="G925" s="7"/>
      <c r="H925" s="2"/>
      <c r="I925" s="2"/>
      <c r="J925" s="2"/>
      <c r="K925" s="2"/>
      <c r="L925" s="178"/>
      <c r="M925" s="2"/>
      <c r="N925" s="7"/>
      <c r="P925" s="7"/>
      <c r="R925" s="2"/>
      <c r="S925" s="2"/>
      <c r="T925" s="2"/>
      <c r="U925" s="2"/>
      <c r="V925" s="2"/>
      <c r="X925" s="38"/>
      <c r="Y925" s="38"/>
      <c r="Z925" s="38"/>
      <c r="AA925" s="38"/>
      <c r="AB925" s="38"/>
      <c r="AD925" s="2"/>
      <c r="AE925" s="2"/>
      <c r="AF925" s="2"/>
      <c r="AG925" s="2"/>
      <c r="AH925" s="2"/>
      <c r="AJ925" s="215"/>
      <c r="AK925" s="215"/>
      <c r="AL925" s="215"/>
      <c r="AM925" s="215"/>
      <c r="AO925" s="10"/>
      <c r="AP925" s="10"/>
      <c r="AQ925" s="10"/>
      <c r="AR925" s="10"/>
      <c r="AS925" s="10"/>
      <c r="AU925" s="2"/>
      <c r="AV925" s="2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</row>
    <row r="926" spans="1:73" customFormat="1" ht="12.75" hidden="1" customHeight="1" x14ac:dyDescent="0.2">
      <c r="A926" s="1"/>
      <c r="B926" s="1"/>
      <c r="C926" s="1"/>
      <c r="D926" s="7"/>
      <c r="E926" s="7"/>
      <c r="F926" s="6"/>
      <c r="G926" s="7"/>
      <c r="H926" s="2"/>
      <c r="I926" s="2"/>
      <c r="J926" s="2"/>
      <c r="K926" s="2"/>
      <c r="L926" s="178"/>
      <c r="M926" s="2"/>
      <c r="N926" s="7"/>
      <c r="P926" s="7"/>
      <c r="R926" s="2"/>
      <c r="S926" s="2"/>
      <c r="T926" s="2"/>
      <c r="U926" s="2"/>
      <c r="V926" s="2"/>
      <c r="X926" s="38"/>
      <c r="Y926" s="38"/>
      <c r="Z926" s="38"/>
      <c r="AA926" s="38"/>
      <c r="AB926" s="38"/>
      <c r="AD926" s="2"/>
      <c r="AE926" s="2"/>
      <c r="AF926" s="2"/>
      <c r="AG926" s="2"/>
      <c r="AH926" s="2"/>
      <c r="AJ926" s="215"/>
      <c r="AK926" s="215"/>
      <c r="AL926" s="215"/>
      <c r="AM926" s="215"/>
      <c r="AO926" s="10"/>
      <c r="AP926" s="10"/>
      <c r="AQ926" s="10"/>
      <c r="AR926" s="10"/>
      <c r="AS926" s="10"/>
      <c r="AU926" s="2"/>
      <c r="AV926" s="2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</row>
    <row r="927" spans="1:73" customFormat="1" ht="12.75" hidden="1" customHeight="1" x14ac:dyDescent="0.2">
      <c r="A927" s="1"/>
      <c r="B927" s="1"/>
      <c r="C927" s="1"/>
      <c r="D927" s="7"/>
      <c r="E927" s="7"/>
      <c r="F927" s="6"/>
      <c r="G927" s="7"/>
      <c r="H927" s="2"/>
      <c r="I927" s="2"/>
      <c r="J927" s="2"/>
      <c r="K927" s="2"/>
      <c r="L927" s="178"/>
      <c r="M927" s="2"/>
      <c r="N927" s="7"/>
      <c r="P927" s="7"/>
      <c r="R927" s="2"/>
      <c r="S927" s="2"/>
      <c r="T927" s="2"/>
      <c r="U927" s="2"/>
      <c r="V927" s="2"/>
      <c r="X927" s="38"/>
      <c r="Y927" s="38"/>
      <c r="Z927" s="38"/>
      <c r="AA927" s="38"/>
      <c r="AB927" s="38"/>
      <c r="AD927" s="2"/>
      <c r="AE927" s="2"/>
      <c r="AF927" s="2"/>
      <c r="AG927" s="2"/>
      <c r="AH927" s="2"/>
      <c r="AJ927" s="215"/>
      <c r="AK927" s="215"/>
      <c r="AL927" s="215"/>
      <c r="AM927" s="215"/>
      <c r="AO927" s="10"/>
      <c r="AP927" s="10"/>
      <c r="AQ927" s="10"/>
      <c r="AR927" s="10"/>
      <c r="AS927" s="10"/>
      <c r="AU927" s="2"/>
      <c r="AV927" s="2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</row>
    <row r="928" spans="1:73" customFormat="1" ht="12.75" hidden="1" customHeight="1" x14ac:dyDescent="0.2">
      <c r="A928" s="1"/>
      <c r="B928" s="1"/>
      <c r="C928" s="1"/>
      <c r="D928" s="7"/>
      <c r="E928" s="7"/>
      <c r="F928" s="6"/>
      <c r="G928" s="7"/>
      <c r="H928" s="2"/>
      <c r="I928" s="2"/>
      <c r="J928" s="2"/>
      <c r="K928" s="2"/>
      <c r="L928" s="178"/>
      <c r="M928" s="2"/>
      <c r="N928" s="7"/>
      <c r="P928" s="7"/>
      <c r="R928" s="2"/>
      <c r="S928" s="2"/>
      <c r="T928" s="2"/>
      <c r="U928" s="2"/>
      <c r="V928" s="2"/>
      <c r="X928" s="38"/>
      <c r="Y928" s="38"/>
      <c r="Z928" s="38"/>
      <c r="AA928" s="38"/>
      <c r="AB928" s="38"/>
      <c r="AD928" s="2"/>
      <c r="AE928" s="2"/>
      <c r="AF928" s="2"/>
      <c r="AG928" s="2"/>
      <c r="AH928" s="2"/>
      <c r="AJ928" s="215"/>
      <c r="AK928" s="215"/>
      <c r="AL928" s="215"/>
      <c r="AM928" s="215"/>
      <c r="AO928" s="10"/>
      <c r="AP928" s="10"/>
      <c r="AQ928" s="10"/>
      <c r="AR928" s="10"/>
      <c r="AS928" s="10"/>
      <c r="AU928" s="2"/>
      <c r="AV928" s="2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</row>
    <row r="929" spans="1:73" customFormat="1" ht="12.75" hidden="1" customHeight="1" x14ac:dyDescent="0.2">
      <c r="A929" s="1"/>
      <c r="B929" s="1"/>
      <c r="C929" s="1"/>
      <c r="D929" s="7"/>
      <c r="E929" s="7"/>
      <c r="F929" s="6"/>
      <c r="G929" s="7"/>
      <c r="H929" s="2"/>
      <c r="I929" s="2"/>
      <c r="J929" s="2"/>
      <c r="K929" s="2"/>
      <c r="L929" s="178"/>
      <c r="M929" s="2"/>
      <c r="N929" s="7"/>
      <c r="P929" s="7"/>
      <c r="R929" s="2"/>
      <c r="S929" s="2"/>
      <c r="T929" s="2"/>
      <c r="U929" s="2"/>
      <c r="V929" s="2"/>
      <c r="X929" s="38"/>
      <c r="Y929" s="38"/>
      <c r="Z929" s="38"/>
      <c r="AA929" s="38"/>
      <c r="AB929" s="38"/>
      <c r="AD929" s="2"/>
      <c r="AE929" s="2"/>
      <c r="AF929" s="2"/>
      <c r="AG929" s="2"/>
      <c r="AH929" s="2"/>
      <c r="AJ929" s="215"/>
      <c r="AK929" s="215"/>
      <c r="AL929" s="215"/>
      <c r="AM929" s="215"/>
      <c r="AO929" s="10"/>
      <c r="AP929" s="10"/>
      <c r="AQ929" s="10"/>
      <c r="AR929" s="10"/>
      <c r="AS929" s="10"/>
      <c r="AU929" s="2"/>
      <c r="AV929" s="2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</row>
    <row r="930" spans="1:73" customFormat="1" ht="12.75" hidden="1" customHeight="1" x14ac:dyDescent="0.2">
      <c r="A930" s="1"/>
      <c r="B930" s="1"/>
      <c r="C930" s="1"/>
      <c r="D930" s="7"/>
      <c r="E930" s="7"/>
      <c r="F930" s="6"/>
      <c r="G930" s="7"/>
      <c r="H930" s="2"/>
      <c r="I930" s="2"/>
      <c r="J930" s="2"/>
      <c r="K930" s="2"/>
      <c r="L930" s="178"/>
      <c r="M930" s="2"/>
      <c r="N930" s="7"/>
      <c r="P930" s="7"/>
      <c r="R930" s="2"/>
      <c r="S930" s="2"/>
      <c r="T930" s="2"/>
      <c r="U930" s="2"/>
      <c r="V930" s="2"/>
      <c r="X930" s="38"/>
      <c r="Y930" s="38"/>
      <c r="Z930" s="38"/>
      <c r="AA930" s="38"/>
      <c r="AB930" s="38"/>
      <c r="AD930" s="2"/>
      <c r="AE930" s="2"/>
      <c r="AF930" s="2"/>
      <c r="AG930" s="2"/>
      <c r="AH930" s="2"/>
      <c r="AJ930" s="215"/>
      <c r="AK930" s="215"/>
      <c r="AL930" s="215"/>
      <c r="AM930" s="215"/>
      <c r="AO930" s="10"/>
      <c r="AP930" s="10"/>
      <c r="AQ930" s="10"/>
      <c r="AR930" s="10"/>
      <c r="AS930" s="10"/>
      <c r="AU930" s="2"/>
      <c r="AV930" s="2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</row>
    <row r="931" spans="1:73" customFormat="1" ht="12.75" hidden="1" customHeight="1" x14ac:dyDescent="0.2">
      <c r="A931" s="1"/>
      <c r="B931" s="1"/>
      <c r="C931" s="1"/>
      <c r="D931" s="7"/>
      <c r="E931" s="7"/>
      <c r="F931" s="6"/>
      <c r="G931" s="7"/>
      <c r="H931" s="2"/>
      <c r="I931" s="2"/>
      <c r="J931" s="2"/>
      <c r="K931" s="2"/>
      <c r="L931" s="178"/>
      <c r="M931" s="2"/>
      <c r="N931" s="7"/>
      <c r="P931" s="7"/>
      <c r="R931" s="2"/>
      <c r="S931" s="2"/>
      <c r="T931" s="2"/>
      <c r="U931" s="2"/>
      <c r="V931" s="2"/>
      <c r="X931" s="38"/>
      <c r="Y931" s="38"/>
      <c r="Z931" s="38"/>
      <c r="AA931" s="38"/>
      <c r="AB931" s="38"/>
      <c r="AD931" s="2"/>
      <c r="AE931" s="2"/>
      <c r="AF931" s="2"/>
      <c r="AG931" s="2"/>
      <c r="AH931" s="2"/>
      <c r="AJ931" s="215"/>
      <c r="AK931" s="215"/>
      <c r="AL931" s="215"/>
      <c r="AM931" s="215"/>
      <c r="AO931" s="10"/>
      <c r="AP931" s="10"/>
      <c r="AQ931" s="10"/>
      <c r="AR931" s="10"/>
      <c r="AS931" s="10"/>
      <c r="AU931" s="2"/>
      <c r="AV931" s="2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</row>
    <row r="932" spans="1:73" customFormat="1" ht="12.75" hidden="1" customHeight="1" x14ac:dyDescent="0.2">
      <c r="A932" s="1"/>
      <c r="B932" s="1"/>
      <c r="C932" s="1"/>
      <c r="D932" s="7"/>
      <c r="E932" s="7"/>
      <c r="F932" s="6"/>
      <c r="G932" s="7"/>
      <c r="H932" s="2"/>
      <c r="I932" s="2"/>
      <c r="J932" s="2"/>
      <c r="K932" s="2"/>
      <c r="L932" s="178"/>
      <c r="M932" s="2"/>
      <c r="N932" s="7"/>
      <c r="P932" s="7"/>
      <c r="R932" s="2"/>
      <c r="S932" s="2"/>
      <c r="T932" s="2"/>
      <c r="U932" s="2"/>
      <c r="V932" s="2"/>
      <c r="X932" s="38"/>
      <c r="Y932" s="38"/>
      <c r="Z932" s="38"/>
      <c r="AA932" s="38"/>
      <c r="AB932" s="38"/>
      <c r="AD932" s="2"/>
      <c r="AE932" s="2"/>
      <c r="AF932" s="2"/>
      <c r="AG932" s="2"/>
      <c r="AH932" s="2"/>
      <c r="AJ932" s="215"/>
      <c r="AK932" s="215"/>
      <c r="AL932" s="215"/>
      <c r="AM932" s="215"/>
      <c r="AO932" s="10"/>
      <c r="AP932" s="10"/>
      <c r="AQ932" s="10"/>
      <c r="AR932" s="10"/>
      <c r="AS932" s="10"/>
      <c r="AU932" s="2"/>
      <c r="AV932" s="2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</row>
    <row r="933" spans="1:73" customFormat="1" ht="12.75" hidden="1" customHeight="1" x14ac:dyDescent="0.2">
      <c r="A933" s="1"/>
      <c r="B933" s="1"/>
      <c r="C933" s="1"/>
      <c r="D933" s="7"/>
      <c r="E933" s="7"/>
      <c r="F933" s="6"/>
      <c r="G933" s="7"/>
      <c r="H933" s="2"/>
      <c r="I933" s="2"/>
      <c r="J933" s="2"/>
      <c r="K933" s="2"/>
      <c r="L933" s="178"/>
      <c r="M933" s="2"/>
      <c r="N933" s="7"/>
      <c r="P933" s="7"/>
      <c r="R933" s="2"/>
      <c r="S933" s="2"/>
      <c r="T933" s="2"/>
      <c r="U933" s="2"/>
      <c r="V933" s="2"/>
      <c r="X933" s="38"/>
      <c r="Y933" s="38"/>
      <c r="Z933" s="38"/>
      <c r="AA933" s="38"/>
      <c r="AB933" s="38"/>
      <c r="AD933" s="2"/>
      <c r="AE933" s="2"/>
      <c r="AF933" s="2"/>
      <c r="AG933" s="2"/>
      <c r="AH933" s="2"/>
      <c r="AJ933" s="215"/>
      <c r="AK933" s="215"/>
      <c r="AL933" s="215"/>
      <c r="AM933" s="215"/>
      <c r="AO933" s="10"/>
      <c r="AP933" s="10"/>
      <c r="AQ933" s="10"/>
      <c r="AR933" s="10"/>
      <c r="AS933" s="10"/>
      <c r="AU933" s="2"/>
      <c r="AV933" s="2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</row>
    <row r="934" spans="1:73" customFormat="1" ht="12.75" hidden="1" customHeight="1" x14ac:dyDescent="0.2">
      <c r="A934" s="1"/>
      <c r="B934" s="1"/>
      <c r="C934" s="1"/>
      <c r="D934" s="7"/>
      <c r="E934" s="7"/>
      <c r="F934" s="6"/>
      <c r="G934" s="7"/>
      <c r="H934" s="2"/>
      <c r="I934" s="2"/>
      <c r="J934" s="2"/>
      <c r="K934" s="2"/>
      <c r="L934" s="178"/>
      <c r="M934" s="2"/>
      <c r="N934" s="7"/>
      <c r="P934" s="7"/>
      <c r="R934" s="2"/>
      <c r="S934" s="2"/>
      <c r="T934" s="2"/>
      <c r="U934" s="2"/>
      <c r="V934" s="2"/>
      <c r="X934" s="38"/>
      <c r="Y934" s="38"/>
      <c r="Z934" s="38"/>
      <c r="AA934" s="38"/>
      <c r="AB934" s="38"/>
      <c r="AD934" s="2"/>
      <c r="AE934" s="2"/>
      <c r="AF934" s="2"/>
      <c r="AG934" s="2"/>
      <c r="AH934" s="2"/>
      <c r="AJ934" s="215"/>
      <c r="AK934" s="215"/>
      <c r="AL934" s="215"/>
      <c r="AM934" s="215"/>
      <c r="AO934" s="10"/>
      <c r="AP934" s="10"/>
      <c r="AQ934" s="10"/>
      <c r="AR934" s="10"/>
      <c r="AS934" s="10"/>
      <c r="AU934" s="2"/>
      <c r="AV934" s="2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</row>
    <row r="935" spans="1:73" customFormat="1" ht="12.75" hidden="1" customHeight="1" x14ac:dyDescent="0.2">
      <c r="A935" s="1"/>
      <c r="B935" s="1"/>
      <c r="C935" s="1"/>
      <c r="D935" s="7"/>
      <c r="E935" s="7"/>
      <c r="F935" s="6"/>
      <c r="G935" s="7"/>
      <c r="H935" s="2"/>
      <c r="I935" s="2"/>
      <c r="J935" s="2"/>
      <c r="K935" s="2"/>
      <c r="L935" s="178"/>
      <c r="M935" s="2"/>
      <c r="N935" s="7"/>
      <c r="P935" s="7"/>
      <c r="R935" s="2"/>
      <c r="S935" s="2"/>
      <c r="T935" s="2"/>
      <c r="U935" s="2"/>
      <c r="V935" s="2"/>
      <c r="X935" s="38"/>
      <c r="Y935" s="38"/>
      <c r="Z935" s="38"/>
      <c r="AA935" s="38"/>
      <c r="AB935" s="38"/>
      <c r="AD935" s="2"/>
      <c r="AE935" s="2"/>
      <c r="AF935" s="2"/>
      <c r="AG935" s="2"/>
      <c r="AH935" s="2"/>
      <c r="AJ935" s="215"/>
      <c r="AK935" s="215"/>
      <c r="AL935" s="215"/>
      <c r="AM935" s="215"/>
      <c r="AO935" s="10"/>
      <c r="AP935" s="10"/>
      <c r="AQ935" s="10"/>
      <c r="AR935" s="10"/>
      <c r="AS935" s="10"/>
      <c r="AU935" s="2"/>
      <c r="AV935" s="2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</row>
    <row r="936" spans="1:73" customFormat="1" ht="12.75" hidden="1" customHeight="1" x14ac:dyDescent="0.2">
      <c r="A936" s="1"/>
      <c r="B936" s="1"/>
      <c r="C936" s="1"/>
      <c r="D936" s="7"/>
      <c r="E936" s="7"/>
      <c r="F936" s="6"/>
      <c r="G936" s="7"/>
      <c r="H936" s="2"/>
      <c r="I936" s="2"/>
      <c r="J936" s="2"/>
      <c r="K936" s="2"/>
      <c r="L936" s="178"/>
      <c r="M936" s="2"/>
      <c r="N936" s="7"/>
      <c r="P936" s="7"/>
      <c r="R936" s="2"/>
      <c r="S936" s="2"/>
      <c r="T936" s="2"/>
      <c r="U936" s="2"/>
      <c r="V936" s="2"/>
      <c r="X936" s="38"/>
      <c r="Y936" s="38"/>
      <c r="Z936" s="38"/>
      <c r="AA936" s="38"/>
      <c r="AB936" s="38"/>
      <c r="AD936" s="2"/>
      <c r="AE936" s="2"/>
      <c r="AF936" s="2"/>
      <c r="AG936" s="2"/>
      <c r="AH936" s="2"/>
      <c r="AJ936" s="215"/>
      <c r="AK936" s="215"/>
      <c r="AL936" s="215"/>
      <c r="AM936" s="215"/>
      <c r="AO936" s="10"/>
      <c r="AP936" s="10"/>
      <c r="AQ936" s="10"/>
      <c r="AR936" s="10"/>
      <c r="AS936" s="10"/>
      <c r="AU936" s="2"/>
      <c r="AV936" s="2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</row>
    <row r="937" spans="1:73" customFormat="1" ht="12.75" hidden="1" customHeight="1" x14ac:dyDescent="0.2">
      <c r="A937" s="1"/>
      <c r="B937" s="1"/>
      <c r="C937" s="1"/>
      <c r="D937" s="7"/>
      <c r="E937" s="7"/>
      <c r="F937" s="6"/>
      <c r="G937" s="7"/>
      <c r="H937" s="2"/>
      <c r="I937" s="2"/>
      <c r="J937" s="2"/>
      <c r="K937" s="2"/>
      <c r="L937" s="178"/>
      <c r="M937" s="2"/>
      <c r="N937" s="7"/>
      <c r="P937" s="7"/>
      <c r="R937" s="2"/>
      <c r="S937" s="2"/>
      <c r="T937" s="2"/>
      <c r="U937" s="2"/>
      <c r="V937" s="2"/>
      <c r="X937" s="38"/>
      <c r="Y937" s="38"/>
      <c r="Z937" s="38"/>
      <c r="AA937" s="38"/>
      <c r="AB937" s="38"/>
      <c r="AD937" s="2"/>
      <c r="AE937" s="2"/>
      <c r="AF937" s="2"/>
      <c r="AG937" s="2"/>
      <c r="AH937" s="2"/>
      <c r="AJ937" s="215"/>
      <c r="AK937" s="215"/>
      <c r="AL937" s="215"/>
      <c r="AM937" s="215"/>
      <c r="AO937" s="10"/>
      <c r="AP937" s="10"/>
      <c r="AQ937" s="10"/>
      <c r="AR937" s="10"/>
      <c r="AS937" s="10"/>
      <c r="AU937" s="2"/>
      <c r="AV937" s="2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</row>
    <row r="938" spans="1:73" customFormat="1" ht="12.75" hidden="1" customHeight="1" x14ac:dyDescent="0.2">
      <c r="A938" s="1"/>
      <c r="B938" s="1"/>
      <c r="C938" s="1"/>
      <c r="D938" s="7"/>
      <c r="E938" s="7"/>
      <c r="F938" s="6"/>
      <c r="G938" s="7"/>
      <c r="H938" s="2"/>
      <c r="I938" s="2"/>
      <c r="J938" s="2"/>
      <c r="K938" s="2"/>
      <c r="L938" s="178"/>
      <c r="M938" s="2"/>
      <c r="N938" s="7"/>
      <c r="P938" s="7"/>
      <c r="R938" s="2"/>
      <c r="S938" s="2"/>
      <c r="T938" s="2"/>
      <c r="U938" s="2"/>
      <c r="V938" s="2"/>
      <c r="X938" s="38"/>
      <c r="Y938" s="38"/>
      <c r="Z938" s="38"/>
      <c r="AA938" s="38"/>
      <c r="AB938" s="38"/>
      <c r="AD938" s="2"/>
      <c r="AE938" s="2"/>
      <c r="AF938" s="2"/>
      <c r="AG938" s="2"/>
      <c r="AH938" s="2"/>
      <c r="AJ938" s="215"/>
      <c r="AK938" s="215"/>
      <c r="AL938" s="215"/>
      <c r="AM938" s="215"/>
      <c r="AO938" s="10"/>
      <c r="AP938" s="10"/>
      <c r="AQ938" s="10"/>
      <c r="AR938" s="10"/>
      <c r="AS938" s="10"/>
      <c r="AU938" s="2"/>
      <c r="AV938" s="2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</row>
    <row r="939" spans="1:73" customFormat="1" ht="12.75" hidden="1" customHeight="1" x14ac:dyDescent="0.2">
      <c r="A939" s="1"/>
      <c r="B939" s="1"/>
      <c r="C939" s="1"/>
      <c r="D939" s="7"/>
      <c r="E939" s="7"/>
      <c r="F939" s="6"/>
      <c r="G939" s="7"/>
      <c r="H939" s="2"/>
      <c r="I939" s="2"/>
      <c r="J939" s="2"/>
      <c r="K939" s="2"/>
      <c r="L939" s="178"/>
      <c r="M939" s="2"/>
      <c r="N939" s="7"/>
      <c r="P939" s="7"/>
      <c r="R939" s="2"/>
      <c r="S939" s="2"/>
      <c r="T939" s="2"/>
      <c r="U939" s="2"/>
      <c r="V939" s="2"/>
      <c r="X939" s="38"/>
      <c r="Y939" s="38"/>
      <c r="Z939" s="38"/>
      <c r="AA939" s="38"/>
      <c r="AB939" s="38"/>
      <c r="AD939" s="2"/>
      <c r="AE939" s="2"/>
      <c r="AF939" s="2"/>
      <c r="AG939" s="2"/>
      <c r="AH939" s="2"/>
      <c r="AJ939" s="215"/>
      <c r="AK939" s="215"/>
      <c r="AL939" s="215"/>
      <c r="AM939" s="215"/>
      <c r="AO939" s="10"/>
      <c r="AP939" s="10"/>
      <c r="AQ939" s="10"/>
      <c r="AR939" s="10"/>
      <c r="AS939" s="10"/>
      <c r="AU939" s="2"/>
      <c r="AV939" s="2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</row>
    <row r="940" spans="1:73" customFormat="1" ht="12.75" hidden="1" customHeight="1" x14ac:dyDescent="0.2">
      <c r="A940" s="1"/>
      <c r="B940" s="1"/>
      <c r="C940" s="1"/>
      <c r="D940" s="7"/>
      <c r="E940" s="7"/>
      <c r="F940" s="6"/>
      <c r="G940" s="7"/>
      <c r="H940" s="2"/>
      <c r="I940" s="2"/>
      <c r="J940" s="2"/>
      <c r="K940" s="2"/>
      <c r="L940" s="178"/>
      <c r="M940" s="2"/>
      <c r="N940" s="7"/>
      <c r="P940" s="7"/>
      <c r="R940" s="2"/>
      <c r="S940" s="2"/>
      <c r="T940" s="2"/>
      <c r="U940" s="2"/>
      <c r="V940" s="2"/>
      <c r="X940" s="38"/>
      <c r="Y940" s="38"/>
      <c r="Z940" s="38"/>
      <c r="AA940" s="38"/>
      <c r="AB940" s="38"/>
      <c r="AD940" s="2"/>
      <c r="AE940" s="2"/>
      <c r="AF940" s="2"/>
      <c r="AG940" s="2"/>
      <c r="AH940" s="2"/>
      <c r="AJ940" s="215"/>
      <c r="AK940" s="215"/>
      <c r="AL940" s="215"/>
      <c r="AM940" s="215"/>
      <c r="AO940" s="10"/>
      <c r="AP940" s="10"/>
      <c r="AQ940" s="10"/>
      <c r="AR940" s="10"/>
      <c r="AS940" s="10"/>
      <c r="AU940" s="2"/>
      <c r="AV940" s="2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</row>
    <row r="941" spans="1:73" customFormat="1" ht="12.75" hidden="1" customHeight="1" x14ac:dyDescent="0.2">
      <c r="A941" s="1"/>
      <c r="B941" s="1"/>
      <c r="C941" s="1"/>
      <c r="D941" s="7"/>
      <c r="E941" s="7"/>
      <c r="F941" s="6"/>
      <c r="G941" s="7"/>
      <c r="H941" s="2"/>
      <c r="I941" s="2"/>
      <c r="J941" s="2"/>
      <c r="K941" s="2"/>
      <c r="L941" s="178"/>
      <c r="M941" s="2"/>
      <c r="N941" s="7"/>
      <c r="P941" s="7"/>
      <c r="R941" s="2"/>
      <c r="S941" s="2"/>
      <c r="T941" s="2"/>
      <c r="U941" s="2"/>
      <c r="V941" s="2"/>
      <c r="X941" s="38"/>
      <c r="Y941" s="38"/>
      <c r="Z941" s="38"/>
      <c r="AA941" s="38"/>
      <c r="AB941" s="38"/>
      <c r="AD941" s="2"/>
      <c r="AE941" s="2"/>
      <c r="AF941" s="2"/>
      <c r="AG941" s="2"/>
      <c r="AH941" s="2"/>
      <c r="AJ941" s="215"/>
      <c r="AK941" s="215"/>
      <c r="AL941" s="215"/>
      <c r="AM941" s="215"/>
      <c r="AO941" s="10"/>
      <c r="AP941" s="10"/>
      <c r="AQ941" s="10"/>
      <c r="AR941" s="10"/>
      <c r="AS941" s="10"/>
      <c r="AU941" s="2"/>
      <c r="AV941" s="2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</row>
    <row r="942" spans="1:73" customFormat="1" ht="12.75" hidden="1" customHeight="1" x14ac:dyDescent="0.2">
      <c r="A942" s="1"/>
      <c r="B942" s="1"/>
      <c r="C942" s="1"/>
      <c r="D942" s="7"/>
      <c r="E942" s="7"/>
      <c r="F942" s="6"/>
      <c r="G942" s="7"/>
      <c r="H942" s="2"/>
      <c r="I942" s="2"/>
      <c r="J942" s="2"/>
      <c r="K942" s="2"/>
      <c r="L942" s="178"/>
      <c r="M942" s="2"/>
      <c r="N942" s="7"/>
      <c r="P942" s="7"/>
      <c r="R942" s="2"/>
      <c r="S942" s="2"/>
      <c r="T942" s="2"/>
      <c r="U942" s="2"/>
      <c r="V942" s="2"/>
      <c r="X942" s="38"/>
      <c r="Y942" s="38"/>
      <c r="Z942" s="38"/>
      <c r="AA942" s="38"/>
      <c r="AB942" s="38"/>
      <c r="AD942" s="2"/>
      <c r="AE942" s="2"/>
      <c r="AF942" s="2"/>
      <c r="AG942" s="2"/>
      <c r="AH942" s="2"/>
      <c r="AJ942" s="215"/>
      <c r="AK942" s="215"/>
      <c r="AL942" s="215"/>
      <c r="AM942" s="215"/>
      <c r="AO942" s="10"/>
      <c r="AP942" s="10"/>
      <c r="AQ942" s="10"/>
      <c r="AR942" s="10"/>
      <c r="AS942" s="10"/>
      <c r="AU942" s="2"/>
      <c r="AV942" s="2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</row>
    <row r="943" spans="1:73" customFormat="1" ht="12.75" hidden="1" customHeight="1" x14ac:dyDescent="0.2">
      <c r="A943" s="1"/>
      <c r="B943" s="1"/>
      <c r="C943" s="1"/>
      <c r="D943" s="7"/>
      <c r="E943" s="7"/>
      <c r="F943" s="6"/>
      <c r="G943" s="7"/>
      <c r="H943" s="2"/>
      <c r="I943" s="2"/>
      <c r="J943" s="2"/>
      <c r="K943" s="2"/>
      <c r="L943" s="178"/>
      <c r="M943" s="2"/>
      <c r="N943" s="7"/>
      <c r="P943" s="7"/>
      <c r="R943" s="2"/>
      <c r="S943" s="2"/>
      <c r="T943" s="2"/>
      <c r="U943" s="2"/>
      <c r="V943" s="2"/>
      <c r="X943" s="38"/>
      <c r="Y943" s="38"/>
      <c r="Z943" s="38"/>
      <c r="AA943" s="38"/>
      <c r="AB943" s="38"/>
      <c r="AD943" s="2"/>
      <c r="AE943" s="2"/>
      <c r="AF943" s="2"/>
      <c r="AG943" s="2"/>
      <c r="AH943" s="2"/>
      <c r="AJ943" s="215"/>
      <c r="AK943" s="215"/>
      <c r="AL943" s="215"/>
      <c r="AM943" s="215"/>
      <c r="AO943" s="10"/>
      <c r="AP943" s="10"/>
      <c r="AQ943" s="10"/>
      <c r="AR943" s="10"/>
      <c r="AS943" s="10"/>
      <c r="AU943" s="2"/>
      <c r="AV943" s="2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</row>
    <row r="944" spans="1:73" customFormat="1" ht="12.75" hidden="1" customHeight="1" x14ac:dyDescent="0.2">
      <c r="A944" s="1"/>
      <c r="B944" s="1"/>
      <c r="C944" s="1"/>
      <c r="D944" s="7"/>
      <c r="E944" s="7"/>
      <c r="F944" s="6"/>
      <c r="G944" s="7"/>
      <c r="H944" s="2"/>
      <c r="I944" s="2"/>
      <c r="J944" s="2"/>
      <c r="K944" s="2"/>
      <c r="L944" s="178"/>
      <c r="M944" s="2"/>
      <c r="N944" s="7"/>
      <c r="P944" s="7"/>
      <c r="R944" s="2"/>
      <c r="S944" s="2"/>
      <c r="T944" s="2"/>
      <c r="U944" s="2"/>
      <c r="V944" s="2"/>
      <c r="X944" s="38"/>
      <c r="Y944" s="38"/>
      <c r="Z944" s="38"/>
      <c r="AA944" s="38"/>
      <c r="AB944" s="38"/>
      <c r="AD944" s="2"/>
      <c r="AE944" s="2"/>
      <c r="AF944" s="2"/>
      <c r="AG944" s="2"/>
      <c r="AH944" s="2"/>
      <c r="AJ944" s="215"/>
      <c r="AK944" s="215"/>
      <c r="AL944" s="215"/>
      <c r="AM944" s="215"/>
      <c r="AO944" s="10"/>
      <c r="AP944" s="10"/>
      <c r="AQ944" s="10"/>
      <c r="AR944" s="10"/>
      <c r="AS944" s="10"/>
      <c r="AU944" s="2"/>
      <c r="AV944" s="2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</row>
    <row r="945" spans="1:73" customFormat="1" ht="12.75" hidden="1" customHeight="1" x14ac:dyDescent="0.2">
      <c r="A945" s="1"/>
      <c r="B945" s="1"/>
      <c r="C945" s="1"/>
      <c r="D945" s="7"/>
      <c r="E945" s="7"/>
      <c r="F945" s="6"/>
      <c r="G945" s="7"/>
      <c r="H945" s="2"/>
      <c r="I945" s="2"/>
      <c r="J945" s="2"/>
      <c r="K945" s="2"/>
      <c r="L945" s="178"/>
      <c r="M945" s="2"/>
      <c r="N945" s="7"/>
      <c r="P945" s="7"/>
      <c r="R945" s="2"/>
      <c r="S945" s="2"/>
      <c r="T945" s="2"/>
      <c r="U945" s="2"/>
      <c r="V945" s="2"/>
      <c r="X945" s="38"/>
      <c r="Y945" s="38"/>
      <c r="Z945" s="38"/>
      <c r="AA945" s="38"/>
      <c r="AB945" s="38"/>
      <c r="AD945" s="2"/>
      <c r="AE945" s="2"/>
      <c r="AF945" s="2"/>
      <c r="AG945" s="2"/>
      <c r="AH945" s="2"/>
      <c r="AJ945" s="215"/>
      <c r="AK945" s="215"/>
      <c r="AL945" s="215"/>
      <c r="AM945" s="215"/>
      <c r="AO945" s="10"/>
      <c r="AP945" s="10"/>
      <c r="AQ945" s="10"/>
      <c r="AR945" s="10"/>
      <c r="AS945" s="10"/>
      <c r="AU945" s="2"/>
      <c r="AV945" s="2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</row>
    <row r="946" spans="1:73" customFormat="1" ht="12.75" hidden="1" customHeight="1" x14ac:dyDescent="0.2">
      <c r="A946" s="1"/>
      <c r="B946" s="1"/>
      <c r="C946" s="1"/>
      <c r="D946" s="7"/>
      <c r="E946" s="7"/>
      <c r="F946" s="6"/>
      <c r="G946" s="7"/>
      <c r="H946" s="2"/>
      <c r="I946" s="2"/>
      <c r="J946" s="2"/>
      <c r="K946" s="2"/>
      <c r="L946" s="178"/>
      <c r="M946" s="2"/>
      <c r="N946" s="7"/>
      <c r="P946" s="7"/>
      <c r="R946" s="2"/>
      <c r="S946" s="2"/>
      <c r="T946" s="2"/>
      <c r="U946" s="2"/>
      <c r="V946" s="2"/>
      <c r="X946" s="38"/>
      <c r="Y946" s="38"/>
      <c r="Z946" s="38"/>
      <c r="AA946" s="38"/>
      <c r="AB946" s="38"/>
      <c r="AD946" s="2"/>
      <c r="AE946" s="2"/>
      <c r="AF946" s="2"/>
      <c r="AG946" s="2"/>
      <c r="AH946" s="2"/>
      <c r="AJ946" s="215"/>
      <c r="AK946" s="215"/>
      <c r="AL946" s="215"/>
      <c r="AM946" s="215"/>
      <c r="AO946" s="10"/>
      <c r="AP946" s="10"/>
      <c r="AQ946" s="10"/>
      <c r="AR946" s="10"/>
      <c r="AS946" s="10"/>
      <c r="AU946" s="2"/>
      <c r="AV946" s="2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</row>
    <row r="947" spans="1:73" customFormat="1" ht="12.75" hidden="1" customHeight="1" x14ac:dyDescent="0.2">
      <c r="A947" s="1"/>
      <c r="B947" s="1"/>
      <c r="C947" s="1"/>
      <c r="D947" s="7"/>
      <c r="E947" s="7"/>
      <c r="F947" s="6"/>
      <c r="G947" s="7"/>
      <c r="H947" s="2"/>
      <c r="I947" s="2"/>
      <c r="J947" s="2"/>
      <c r="K947" s="2"/>
      <c r="L947" s="178"/>
      <c r="M947" s="2"/>
      <c r="N947" s="7"/>
      <c r="P947" s="7"/>
      <c r="R947" s="2"/>
      <c r="S947" s="2"/>
      <c r="T947" s="2"/>
      <c r="U947" s="2"/>
      <c r="V947" s="2"/>
      <c r="X947" s="38"/>
      <c r="Y947" s="38"/>
      <c r="Z947" s="38"/>
      <c r="AA947" s="38"/>
      <c r="AB947" s="38"/>
      <c r="AD947" s="2"/>
      <c r="AE947" s="2"/>
      <c r="AF947" s="2"/>
      <c r="AG947" s="2"/>
      <c r="AH947" s="2"/>
      <c r="AJ947" s="215"/>
      <c r="AK947" s="215"/>
      <c r="AL947" s="215"/>
      <c r="AM947" s="215"/>
      <c r="AO947" s="10"/>
      <c r="AP947" s="10"/>
      <c r="AQ947" s="10"/>
      <c r="AR947" s="10"/>
      <c r="AS947" s="10"/>
      <c r="AU947" s="2"/>
      <c r="AV947" s="2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</row>
    <row r="948" spans="1:73" customFormat="1" ht="12.75" hidden="1" customHeight="1" x14ac:dyDescent="0.2">
      <c r="A948" s="1"/>
      <c r="B948" s="1"/>
      <c r="C948" s="1"/>
      <c r="D948" s="7"/>
      <c r="E948" s="7"/>
      <c r="F948" s="6"/>
      <c r="G948" s="7"/>
      <c r="H948" s="2"/>
      <c r="I948" s="2"/>
      <c r="J948" s="2"/>
      <c r="K948" s="2"/>
      <c r="L948" s="178"/>
      <c r="M948" s="2"/>
      <c r="N948" s="7"/>
      <c r="P948" s="7"/>
      <c r="R948" s="2"/>
      <c r="S948" s="2"/>
      <c r="T948" s="2"/>
      <c r="U948" s="2"/>
      <c r="V948" s="2"/>
      <c r="X948" s="38"/>
      <c r="Y948" s="38"/>
      <c r="Z948" s="38"/>
      <c r="AA948" s="38"/>
      <c r="AB948" s="38"/>
      <c r="AD948" s="2"/>
      <c r="AE948" s="2"/>
      <c r="AF948" s="2"/>
      <c r="AG948" s="2"/>
      <c r="AH948" s="2"/>
      <c r="AJ948" s="215"/>
      <c r="AK948" s="215"/>
      <c r="AL948" s="215"/>
      <c r="AM948" s="215"/>
      <c r="AO948" s="10"/>
      <c r="AP948" s="10"/>
      <c r="AQ948" s="10"/>
      <c r="AR948" s="10"/>
      <c r="AS948" s="10"/>
      <c r="AU948" s="2"/>
      <c r="AV948" s="2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</row>
    <row r="949" spans="1:73" customFormat="1" ht="12.75" hidden="1" customHeight="1" x14ac:dyDescent="0.2">
      <c r="A949" s="1"/>
      <c r="B949" s="1"/>
      <c r="C949" s="1"/>
      <c r="D949" s="7"/>
      <c r="E949" s="7"/>
      <c r="F949" s="6"/>
      <c r="G949" s="7"/>
      <c r="H949" s="2"/>
      <c r="I949" s="2"/>
      <c r="J949" s="2"/>
      <c r="K949" s="2"/>
      <c r="L949" s="178"/>
      <c r="M949" s="2"/>
      <c r="N949" s="7"/>
      <c r="P949" s="7"/>
      <c r="R949" s="2"/>
      <c r="S949" s="2"/>
      <c r="T949" s="2"/>
      <c r="U949" s="2"/>
      <c r="V949" s="2"/>
      <c r="X949" s="38"/>
      <c r="Y949" s="38"/>
      <c r="Z949" s="38"/>
      <c r="AA949" s="38"/>
      <c r="AB949" s="38"/>
      <c r="AD949" s="2"/>
      <c r="AE949" s="2"/>
      <c r="AF949" s="2"/>
      <c r="AG949" s="2"/>
      <c r="AH949" s="2"/>
      <c r="AJ949" s="215"/>
      <c r="AK949" s="215"/>
      <c r="AL949" s="215"/>
      <c r="AM949" s="215"/>
      <c r="AO949" s="10"/>
      <c r="AP949" s="10"/>
      <c r="AQ949" s="10"/>
      <c r="AR949" s="10"/>
      <c r="AS949" s="10"/>
      <c r="AU949" s="2"/>
      <c r="AV949" s="2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</row>
    <row r="950" spans="1:73" customFormat="1" ht="12.75" hidden="1" customHeight="1" x14ac:dyDescent="0.2">
      <c r="A950" s="1"/>
      <c r="B950" s="1"/>
      <c r="C950" s="1"/>
      <c r="D950" s="7"/>
      <c r="E950" s="7"/>
      <c r="F950" s="6"/>
      <c r="G950" s="7"/>
      <c r="H950" s="2"/>
      <c r="I950" s="2"/>
      <c r="J950" s="2"/>
      <c r="K950" s="2"/>
      <c r="L950" s="178"/>
      <c r="M950" s="2"/>
      <c r="N950" s="7"/>
      <c r="P950" s="7"/>
      <c r="R950" s="2"/>
      <c r="S950" s="2"/>
      <c r="T950" s="2"/>
      <c r="U950" s="2"/>
      <c r="V950" s="2"/>
      <c r="X950" s="38"/>
      <c r="Y950" s="38"/>
      <c r="Z950" s="38"/>
      <c r="AA950" s="38"/>
      <c r="AB950" s="38"/>
      <c r="AD950" s="2"/>
      <c r="AE950" s="2"/>
      <c r="AF950" s="2"/>
      <c r="AG950" s="2"/>
      <c r="AH950" s="2"/>
      <c r="AJ950" s="215"/>
      <c r="AK950" s="215"/>
      <c r="AL950" s="215"/>
      <c r="AM950" s="215"/>
      <c r="AO950" s="10"/>
      <c r="AP950" s="10"/>
      <c r="AQ950" s="10"/>
      <c r="AR950" s="10"/>
      <c r="AS950" s="10"/>
      <c r="AU950" s="2"/>
      <c r="AV950" s="2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</row>
    <row r="951" spans="1:73" customFormat="1" ht="12.75" hidden="1" customHeight="1" x14ac:dyDescent="0.2">
      <c r="A951" s="1"/>
      <c r="B951" s="1"/>
      <c r="C951" s="1"/>
      <c r="D951" s="7"/>
      <c r="E951" s="7"/>
      <c r="F951" s="6"/>
      <c r="G951" s="7"/>
      <c r="H951" s="2"/>
      <c r="I951" s="2"/>
      <c r="J951" s="2"/>
      <c r="K951" s="2"/>
      <c r="L951" s="178"/>
      <c r="M951" s="2"/>
      <c r="N951" s="7"/>
      <c r="P951" s="7"/>
      <c r="R951" s="2"/>
      <c r="S951" s="2"/>
      <c r="T951" s="2"/>
      <c r="U951" s="2"/>
      <c r="V951" s="2"/>
      <c r="X951" s="38"/>
      <c r="Y951" s="38"/>
      <c r="Z951" s="38"/>
      <c r="AA951" s="38"/>
      <c r="AB951" s="38"/>
      <c r="AD951" s="2"/>
      <c r="AE951" s="2"/>
      <c r="AF951" s="2"/>
      <c r="AG951" s="2"/>
      <c r="AH951" s="2"/>
      <c r="AJ951" s="215"/>
      <c r="AK951" s="215"/>
      <c r="AL951" s="215"/>
      <c r="AM951" s="215"/>
      <c r="AO951" s="10"/>
      <c r="AP951" s="10"/>
      <c r="AQ951" s="10"/>
      <c r="AR951" s="10"/>
      <c r="AS951" s="10"/>
      <c r="AU951" s="2"/>
      <c r="AV951" s="2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</row>
    <row r="952" spans="1:73" customFormat="1" ht="12.75" hidden="1" customHeight="1" x14ac:dyDescent="0.2">
      <c r="A952" s="1"/>
      <c r="B952" s="1"/>
      <c r="C952" s="1"/>
      <c r="D952" s="7"/>
      <c r="E952" s="7"/>
      <c r="F952" s="6"/>
      <c r="G952" s="7"/>
      <c r="H952" s="2"/>
      <c r="I952" s="2"/>
      <c r="J952" s="2"/>
      <c r="K952" s="2"/>
      <c r="L952" s="178"/>
      <c r="M952" s="2"/>
      <c r="N952" s="7"/>
      <c r="P952" s="7"/>
      <c r="R952" s="2"/>
      <c r="S952" s="2"/>
      <c r="T952" s="2"/>
      <c r="U952" s="2"/>
      <c r="V952" s="2"/>
      <c r="X952" s="38"/>
      <c r="Y952" s="38"/>
      <c r="Z952" s="38"/>
      <c r="AA952" s="38"/>
      <c r="AB952" s="38"/>
      <c r="AD952" s="2"/>
      <c r="AE952" s="2"/>
      <c r="AF952" s="2"/>
      <c r="AG952" s="2"/>
      <c r="AH952" s="2"/>
      <c r="AJ952" s="215"/>
      <c r="AK952" s="215"/>
      <c r="AL952" s="215"/>
      <c r="AM952" s="215"/>
      <c r="AO952" s="10"/>
      <c r="AP952" s="10"/>
      <c r="AQ952" s="10"/>
      <c r="AR952" s="10"/>
      <c r="AS952" s="10"/>
      <c r="AU952" s="2"/>
      <c r="AV952" s="2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</row>
    <row r="953" spans="1:73" customFormat="1" ht="12.75" hidden="1" customHeight="1" x14ac:dyDescent="0.2">
      <c r="A953" s="1"/>
      <c r="B953" s="1"/>
      <c r="C953" s="1"/>
      <c r="D953" s="7"/>
      <c r="E953" s="7"/>
      <c r="F953" s="6"/>
      <c r="G953" s="7"/>
      <c r="H953" s="2"/>
      <c r="I953" s="2"/>
      <c r="J953" s="2"/>
      <c r="K953" s="2"/>
      <c r="L953" s="178"/>
      <c r="M953" s="2"/>
      <c r="N953" s="7"/>
      <c r="P953" s="7"/>
      <c r="R953" s="2"/>
      <c r="S953" s="2"/>
      <c r="T953" s="2"/>
      <c r="U953" s="2"/>
      <c r="V953" s="2"/>
      <c r="X953" s="38"/>
      <c r="Y953" s="38"/>
      <c r="Z953" s="38"/>
      <c r="AA953" s="38"/>
      <c r="AB953" s="38"/>
      <c r="AD953" s="2"/>
      <c r="AE953" s="2"/>
      <c r="AF953" s="2"/>
      <c r="AG953" s="2"/>
      <c r="AH953" s="2"/>
      <c r="AJ953" s="215"/>
      <c r="AK953" s="215"/>
      <c r="AL953" s="215"/>
      <c r="AM953" s="215"/>
      <c r="AO953" s="10"/>
      <c r="AP953" s="10"/>
      <c r="AQ953" s="10"/>
      <c r="AR953" s="10"/>
      <c r="AS953" s="10"/>
      <c r="AU953" s="2"/>
      <c r="AV953" s="2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</row>
    <row r="954" spans="1:73" customFormat="1" ht="12.75" hidden="1" customHeight="1" x14ac:dyDescent="0.2">
      <c r="A954" s="1"/>
      <c r="B954" s="1"/>
      <c r="C954" s="1"/>
      <c r="D954" s="7"/>
      <c r="E954" s="7"/>
      <c r="F954" s="6"/>
      <c r="G954" s="7"/>
      <c r="H954" s="2"/>
      <c r="I954" s="2"/>
      <c r="J954" s="2"/>
      <c r="K954" s="2"/>
      <c r="L954" s="178"/>
      <c r="M954" s="2"/>
      <c r="N954" s="7"/>
      <c r="P954" s="7"/>
      <c r="R954" s="2"/>
      <c r="S954" s="2"/>
      <c r="T954" s="2"/>
      <c r="U954" s="2"/>
      <c r="V954" s="2"/>
      <c r="X954" s="38"/>
      <c r="Y954" s="38"/>
      <c r="Z954" s="38"/>
      <c r="AA954" s="38"/>
      <c r="AB954" s="38"/>
      <c r="AD954" s="2"/>
      <c r="AE954" s="2"/>
      <c r="AF954" s="2"/>
      <c r="AG954" s="2"/>
      <c r="AH954" s="2"/>
      <c r="AJ954" s="215"/>
      <c r="AK954" s="215"/>
      <c r="AL954" s="215"/>
      <c r="AM954" s="215"/>
      <c r="AO954" s="10"/>
      <c r="AP954" s="10"/>
      <c r="AQ954" s="10"/>
      <c r="AR954" s="10"/>
      <c r="AS954" s="10"/>
      <c r="AU954" s="2"/>
      <c r="AV954" s="2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</row>
    <row r="955" spans="1:73" customFormat="1" ht="12.75" hidden="1" customHeight="1" x14ac:dyDescent="0.2">
      <c r="A955" s="1"/>
      <c r="B955" s="1"/>
      <c r="C955" s="1"/>
      <c r="D955" s="7"/>
      <c r="E955" s="7"/>
      <c r="F955" s="6"/>
      <c r="G955" s="7"/>
      <c r="H955" s="2"/>
      <c r="I955" s="2"/>
      <c r="J955" s="2"/>
      <c r="K955" s="2"/>
      <c r="L955" s="178"/>
      <c r="M955" s="2"/>
      <c r="N955" s="7"/>
      <c r="P955" s="7"/>
      <c r="R955" s="2"/>
      <c r="S955" s="2"/>
      <c r="T955" s="2"/>
      <c r="U955" s="2"/>
      <c r="V955" s="2"/>
      <c r="X955" s="38"/>
      <c r="Y955" s="38"/>
      <c r="Z955" s="38"/>
      <c r="AA955" s="38"/>
      <c r="AB955" s="38"/>
      <c r="AD955" s="2"/>
      <c r="AE955" s="2"/>
      <c r="AF955" s="2"/>
      <c r="AG955" s="2"/>
      <c r="AH955" s="2"/>
      <c r="AJ955" s="215"/>
      <c r="AK955" s="215"/>
      <c r="AL955" s="215"/>
      <c r="AM955" s="215"/>
      <c r="AO955" s="10"/>
      <c r="AP955" s="10"/>
      <c r="AQ955" s="10"/>
      <c r="AR955" s="10"/>
      <c r="AS955" s="10"/>
      <c r="AU955" s="2"/>
      <c r="AV955" s="2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</row>
    <row r="956" spans="1:73" customFormat="1" ht="12.75" hidden="1" customHeight="1" x14ac:dyDescent="0.2">
      <c r="A956" s="1"/>
      <c r="B956" s="1"/>
      <c r="C956" s="1"/>
      <c r="D956" s="7"/>
      <c r="E956" s="7"/>
      <c r="F956" s="6"/>
      <c r="G956" s="7"/>
      <c r="H956" s="2"/>
      <c r="I956" s="2"/>
      <c r="J956" s="2"/>
      <c r="K956" s="2"/>
      <c r="L956" s="178"/>
      <c r="M956" s="2"/>
      <c r="N956" s="7"/>
      <c r="P956" s="7"/>
      <c r="R956" s="2"/>
      <c r="S956" s="2"/>
      <c r="T956" s="2"/>
      <c r="U956" s="2"/>
      <c r="V956" s="2"/>
      <c r="X956" s="38"/>
      <c r="Y956" s="38"/>
      <c r="Z956" s="38"/>
      <c r="AA956" s="38"/>
      <c r="AB956" s="38"/>
      <c r="AD956" s="2"/>
      <c r="AE956" s="2"/>
      <c r="AF956" s="2"/>
      <c r="AG956" s="2"/>
      <c r="AH956" s="2"/>
      <c r="AJ956" s="215"/>
      <c r="AK956" s="215"/>
      <c r="AL956" s="215"/>
      <c r="AM956" s="215"/>
      <c r="AO956" s="10"/>
      <c r="AP956" s="10"/>
      <c r="AQ956" s="10"/>
      <c r="AR956" s="10"/>
      <c r="AS956" s="10"/>
      <c r="AU956" s="2"/>
      <c r="AV956" s="2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</row>
    <row r="957" spans="1:73" customFormat="1" ht="12.75" hidden="1" customHeight="1" x14ac:dyDescent="0.2">
      <c r="A957" s="1"/>
      <c r="B957" s="1"/>
      <c r="C957" s="1"/>
      <c r="D957" s="7"/>
      <c r="E957" s="7"/>
      <c r="F957" s="6"/>
      <c r="G957" s="7"/>
      <c r="H957" s="2"/>
      <c r="I957" s="2"/>
      <c r="J957" s="2"/>
      <c r="K957" s="2"/>
      <c r="L957" s="178"/>
      <c r="M957" s="2"/>
      <c r="N957" s="7"/>
      <c r="P957" s="7"/>
      <c r="R957" s="2"/>
      <c r="S957" s="2"/>
      <c r="T957" s="2"/>
      <c r="U957" s="2"/>
      <c r="V957" s="2"/>
      <c r="X957" s="38"/>
      <c r="Y957" s="38"/>
      <c r="Z957" s="38"/>
      <c r="AA957" s="38"/>
      <c r="AB957" s="38"/>
      <c r="AD957" s="2"/>
      <c r="AE957" s="2"/>
      <c r="AF957" s="2"/>
      <c r="AG957" s="2"/>
      <c r="AH957" s="2"/>
      <c r="AJ957" s="215"/>
      <c r="AK957" s="215"/>
      <c r="AL957" s="215"/>
      <c r="AM957" s="215"/>
      <c r="AO957" s="10"/>
      <c r="AP957" s="10"/>
      <c r="AQ957" s="10"/>
      <c r="AR957" s="10"/>
      <c r="AS957" s="10"/>
      <c r="AU957" s="2"/>
      <c r="AV957" s="2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</row>
    <row r="958" spans="1:73" customFormat="1" ht="12.75" hidden="1" customHeight="1" x14ac:dyDescent="0.2">
      <c r="A958" s="1"/>
      <c r="B958" s="1"/>
      <c r="C958" s="1"/>
      <c r="D958" s="7"/>
      <c r="E958" s="7"/>
      <c r="F958" s="6"/>
      <c r="G958" s="7"/>
      <c r="H958" s="2"/>
      <c r="I958" s="2"/>
      <c r="J958" s="2"/>
      <c r="K958" s="2"/>
      <c r="L958" s="178"/>
      <c r="M958" s="2"/>
      <c r="N958" s="7"/>
      <c r="P958" s="7"/>
      <c r="R958" s="2"/>
      <c r="S958" s="2"/>
      <c r="T958" s="2"/>
      <c r="U958" s="2"/>
      <c r="V958" s="2"/>
      <c r="X958" s="38"/>
      <c r="Y958" s="38"/>
      <c r="Z958" s="38"/>
      <c r="AA958" s="38"/>
      <c r="AB958" s="38"/>
      <c r="AD958" s="2"/>
      <c r="AE958" s="2"/>
      <c r="AF958" s="2"/>
      <c r="AG958" s="2"/>
      <c r="AH958" s="2"/>
      <c r="AJ958" s="215"/>
      <c r="AK958" s="215"/>
      <c r="AL958" s="215"/>
      <c r="AM958" s="215"/>
      <c r="AO958" s="10"/>
      <c r="AP958" s="10"/>
      <c r="AQ958" s="10"/>
      <c r="AR958" s="10"/>
      <c r="AS958" s="10"/>
      <c r="AU958" s="2"/>
      <c r="AV958" s="2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</row>
    <row r="959" spans="1:73" customFormat="1" ht="12.75" hidden="1" customHeight="1" x14ac:dyDescent="0.2">
      <c r="A959" s="1"/>
      <c r="B959" s="1"/>
      <c r="C959" s="1"/>
      <c r="D959" s="7"/>
      <c r="E959" s="7"/>
      <c r="F959" s="6"/>
      <c r="G959" s="7"/>
      <c r="H959" s="2"/>
      <c r="I959" s="2"/>
      <c r="J959" s="2"/>
      <c r="K959" s="2"/>
      <c r="L959" s="178"/>
      <c r="M959" s="2"/>
      <c r="N959" s="7"/>
      <c r="P959" s="7"/>
      <c r="R959" s="2"/>
      <c r="S959" s="2"/>
      <c r="T959" s="2"/>
      <c r="U959" s="2"/>
      <c r="V959" s="2"/>
      <c r="X959" s="38"/>
      <c r="Y959" s="38"/>
      <c r="Z959" s="38"/>
      <c r="AA959" s="38"/>
      <c r="AB959" s="38"/>
      <c r="AD959" s="2"/>
      <c r="AE959" s="2"/>
      <c r="AF959" s="2"/>
      <c r="AG959" s="2"/>
      <c r="AH959" s="2"/>
      <c r="AJ959" s="215"/>
      <c r="AK959" s="215"/>
      <c r="AL959" s="215"/>
      <c r="AM959" s="215"/>
      <c r="AO959" s="10"/>
      <c r="AP959" s="10"/>
      <c r="AQ959" s="10"/>
      <c r="AR959" s="10"/>
      <c r="AS959" s="10"/>
      <c r="AU959" s="2"/>
      <c r="AV959" s="2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</row>
    <row r="960" spans="1:73" customFormat="1" ht="12.75" hidden="1" customHeight="1" x14ac:dyDescent="0.2">
      <c r="A960" s="1"/>
      <c r="B960" s="1"/>
      <c r="C960" s="1"/>
      <c r="D960" s="7"/>
      <c r="E960" s="7"/>
      <c r="F960" s="6"/>
      <c r="G960" s="7"/>
      <c r="H960" s="2"/>
      <c r="I960" s="2"/>
      <c r="J960" s="2"/>
      <c r="K960" s="2"/>
      <c r="L960" s="178"/>
      <c r="M960" s="2"/>
      <c r="N960" s="7"/>
      <c r="P960" s="7"/>
      <c r="R960" s="2"/>
      <c r="S960" s="2"/>
      <c r="T960" s="2"/>
      <c r="U960" s="2"/>
      <c r="V960" s="2"/>
      <c r="X960" s="38"/>
      <c r="Y960" s="38"/>
      <c r="Z960" s="38"/>
      <c r="AA960" s="38"/>
      <c r="AB960" s="38"/>
      <c r="AD960" s="2"/>
      <c r="AE960" s="2"/>
      <c r="AF960" s="2"/>
      <c r="AG960" s="2"/>
      <c r="AH960" s="2"/>
      <c r="AJ960" s="215"/>
      <c r="AK960" s="215"/>
      <c r="AL960" s="215"/>
      <c r="AM960" s="215"/>
      <c r="AO960" s="10"/>
      <c r="AP960" s="10"/>
      <c r="AQ960" s="10"/>
      <c r="AR960" s="10"/>
      <c r="AS960" s="10"/>
      <c r="AU960" s="2"/>
      <c r="AV960" s="2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</row>
    <row r="961" spans="1:73" customFormat="1" ht="12.75" hidden="1" customHeight="1" x14ac:dyDescent="0.2">
      <c r="A961" s="1"/>
      <c r="B961" s="1"/>
      <c r="C961" s="1"/>
      <c r="D961" s="7"/>
      <c r="E961" s="7"/>
      <c r="F961" s="6"/>
      <c r="G961" s="7"/>
      <c r="H961" s="2"/>
      <c r="I961" s="2"/>
      <c r="J961" s="2"/>
      <c r="K961" s="2"/>
      <c r="L961" s="178"/>
      <c r="M961" s="2"/>
      <c r="N961" s="7"/>
      <c r="P961" s="7"/>
      <c r="R961" s="2"/>
      <c r="S961" s="2"/>
      <c r="T961" s="2"/>
      <c r="U961" s="2"/>
      <c r="V961" s="2"/>
      <c r="X961" s="38"/>
      <c r="Y961" s="38"/>
      <c r="Z961" s="38"/>
      <c r="AA961" s="38"/>
      <c r="AB961" s="38"/>
      <c r="AD961" s="2"/>
      <c r="AE961" s="2"/>
      <c r="AF961" s="2"/>
      <c r="AG961" s="2"/>
      <c r="AH961" s="2"/>
      <c r="AJ961" s="215"/>
      <c r="AK961" s="215"/>
      <c r="AL961" s="215"/>
      <c r="AM961" s="215"/>
      <c r="AO961" s="10"/>
      <c r="AP961" s="10"/>
      <c r="AQ961" s="10"/>
      <c r="AR961" s="10"/>
      <c r="AS961" s="10"/>
      <c r="AU961" s="2"/>
      <c r="AV961" s="2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</row>
    <row r="962" spans="1:73" customFormat="1" ht="12.75" hidden="1" customHeight="1" x14ac:dyDescent="0.2">
      <c r="A962" s="1"/>
      <c r="B962" s="1"/>
      <c r="C962" s="1"/>
      <c r="D962" s="7"/>
      <c r="E962" s="7"/>
      <c r="F962" s="6"/>
      <c r="G962" s="7"/>
      <c r="H962" s="2"/>
      <c r="I962" s="2"/>
      <c r="J962" s="2"/>
      <c r="K962" s="2"/>
      <c r="L962" s="178"/>
      <c r="M962" s="2"/>
      <c r="N962" s="7"/>
      <c r="P962" s="7"/>
      <c r="R962" s="2"/>
      <c r="S962" s="2"/>
      <c r="T962" s="2"/>
      <c r="U962" s="2"/>
      <c r="V962" s="2"/>
      <c r="X962" s="38"/>
      <c r="Y962" s="38"/>
      <c r="Z962" s="38"/>
      <c r="AA962" s="38"/>
      <c r="AB962" s="38"/>
      <c r="AD962" s="2"/>
      <c r="AE962" s="2"/>
      <c r="AF962" s="2"/>
      <c r="AG962" s="2"/>
      <c r="AH962" s="2"/>
      <c r="AJ962" s="215"/>
      <c r="AK962" s="215"/>
      <c r="AL962" s="215"/>
      <c r="AM962" s="215"/>
      <c r="AO962" s="10"/>
      <c r="AP962" s="10"/>
      <c r="AQ962" s="10"/>
      <c r="AR962" s="10"/>
      <c r="AS962" s="10"/>
      <c r="AU962" s="2"/>
      <c r="AV962" s="2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</row>
    <row r="963" spans="1:73" customFormat="1" ht="12.75" hidden="1" customHeight="1" x14ac:dyDescent="0.2">
      <c r="A963" s="1"/>
      <c r="B963" s="1"/>
      <c r="C963" s="1"/>
      <c r="D963" s="7"/>
      <c r="E963" s="7"/>
      <c r="F963" s="6"/>
      <c r="G963" s="7"/>
      <c r="H963" s="2"/>
      <c r="I963" s="2"/>
      <c r="J963" s="2"/>
      <c r="K963" s="2"/>
      <c r="L963" s="178"/>
      <c r="M963" s="2"/>
      <c r="N963" s="7"/>
      <c r="P963" s="7"/>
      <c r="R963" s="2"/>
      <c r="S963" s="2"/>
      <c r="T963" s="2"/>
      <c r="U963" s="2"/>
      <c r="V963" s="2"/>
      <c r="X963" s="38"/>
      <c r="Y963" s="38"/>
      <c r="Z963" s="38"/>
      <c r="AA963" s="38"/>
      <c r="AB963" s="38"/>
      <c r="AD963" s="2"/>
      <c r="AE963" s="2"/>
      <c r="AF963" s="2"/>
      <c r="AG963" s="2"/>
      <c r="AH963" s="2"/>
      <c r="AJ963" s="215"/>
      <c r="AK963" s="215"/>
      <c r="AL963" s="215"/>
      <c r="AM963" s="215"/>
      <c r="AO963" s="10"/>
      <c r="AP963" s="10"/>
      <c r="AQ963" s="10"/>
      <c r="AR963" s="10"/>
      <c r="AS963" s="10"/>
      <c r="AU963" s="2"/>
      <c r="AV963" s="2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</row>
    <row r="964" spans="1:73" customFormat="1" ht="12.75" hidden="1" customHeight="1" x14ac:dyDescent="0.2">
      <c r="A964" s="1"/>
      <c r="B964" s="1"/>
      <c r="C964" s="1"/>
      <c r="D964" s="7"/>
      <c r="E964" s="7"/>
      <c r="F964" s="6"/>
      <c r="G964" s="7"/>
      <c r="H964" s="2"/>
      <c r="I964" s="2"/>
      <c r="J964" s="2"/>
      <c r="K964" s="2"/>
      <c r="L964" s="178"/>
      <c r="M964" s="2"/>
      <c r="N964" s="7"/>
      <c r="P964" s="7"/>
      <c r="R964" s="2"/>
      <c r="S964" s="2"/>
      <c r="T964" s="2"/>
      <c r="U964" s="2"/>
      <c r="V964" s="2"/>
      <c r="X964" s="38"/>
      <c r="Y964" s="38"/>
      <c r="Z964" s="38"/>
      <c r="AA964" s="38"/>
      <c r="AB964" s="38"/>
      <c r="AD964" s="2"/>
      <c r="AE964" s="2"/>
      <c r="AF964" s="2"/>
      <c r="AG964" s="2"/>
      <c r="AH964" s="2"/>
      <c r="AJ964" s="215"/>
      <c r="AK964" s="215"/>
      <c r="AL964" s="215"/>
      <c r="AM964" s="215"/>
      <c r="AO964" s="10"/>
      <c r="AP964" s="10"/>
      <c r="AQ964" s="10"/>
      <c r="AR964" s="10"/>
      <c r="AS964" s="10"/>
      <c r="AU964" s="2"/>
      <c r="AV964" s="2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</row>
    <row r="965" spans="1:73" customFormat="1" ht="12.75" hidden="1" customHeight="1" x14ac:dyDescent="0.2">
      <c r="A965" s="1"/>
      <c r="B965" s="1"/>
      <c r="C965" s="1"/>
      <c r="D965" s="7"/>
      <c r="E965" s="7"/>
      <c r="F965" s="6"/>
      <c r="G965" s="7"/>
      <c r="H965" s="2"/>
      <c r="I965" s="2"/>
      <c r="J965" s="2"/>
      <c r="K965" s="2"/>
      <c r="L965" s="178"/>
      <c r="M965" s="2"/>
      <c r="N965" s="7"/>
      <c r="P965" s="7"/>
      <c r="R965" s="2"/>
      <c r="S965" s="2"/>
      <c r="T965" s="2"/>
      <c r="U965" s="2"/>
      <c r="V965" s="2"/>
      <c r="X965" s="38"/>
      <c r="Y965" s="38"/>
      <c r="Z965" s="38"/>
      <c r="AA965" s="38"/>
      <c r="AB965" s="38"/>
      <c r="AD965" s="2"/>
      <c r="AE965" s="2"/>
      <c r="AF965" s="2"/>
      <c r="AG965" s="2"/>
      <c r="AH965" s="2"/>
      <c r="AJ965" s="215"/>
      <c r="AK965" s="215"/>
      <c r="AL965" s="215"/>
      <c r="AM965" s="215"/>
      <c r="AO965" s="10"/>
      <c r="AP965" s="10"/>
      <c r="AQ965" s="10"/>
      <c r="AR965" s="10"/>
      <c r="AS965" s="10"/>
      <c r="AU965" s="2"/>
      <c r="AV965" s="2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</row>
    <row r="966" spans="1:73" customFormat="1" ht="12.75" hidden="1" customHeight="1" x14ac:dyDescent="0.2">
      <c r="A966" s="1"/>
      <c r="B966" s="1"/>
      <c r="C966" s="1"/>
      <c r="D966" s="7"/>
      <c r="E966" s="7"/>
      <c r="F966" s="6"/>
      <c r="G966" s="7"/>
      <c r="H966" s="2"/>
      <c r="I966" s="2"/>
      <c r="J966" s="2"/>
      <c r="K966" s="2"/>
      <c r="L966" s="178"/>
      <c r="M966" s="2"/>
      <c r="N966" s="7"/>
      <c r="P966" s="7"/>
      <c r="R966" s="2"/>
      <c r="S966" s="2"/>
      <c r="T966" s="2"/>
      <c r="U966" s="2"/>
      <c r="V966" s="2"/>
      <c r="X966" s="38"/>
      <c r="Y966" s="38"/>
      <c r="Z966" s="38"/>
      <c r="AA966" s="38"/>
      <c r="AB966" s="38"/>
      <c r="AD966" s="2"/>
      <c r="AE966" s="2"/>
      <c r="AF966" s="2"/>
      <c r="AG966" s="2"/>
      <c r="AH966" s="2"/>
      <c r="AJ966" s="215"/>
      <c r="AK966" s="215"/>
      <c r="AL966" s="215"/>
      <c r="AM966" s="215"/>
      <c r="AO966" s="10"/>
      <c r="AP966" s="10"/>
      <c r="AQ966" s="10"/>
      <c r="AR966" s="10"/>
      <c r="AS966" s="10"/>
      <c r="AU966" s="2"/>
      <c r="AV966" s="2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</row>
    <row r="967" spans="1:73" customFormat="1" ht="12.75" hidden="1" customHeight="1" x14ac:dyDescent="0.2">
      <c r="A967" s="1"/>
      <c r="B967" s="1"/>
      <c r="C967" s="1"/>
      <c r="D967" s="7"/>
      <c r="E967" s="7"/>
      <c r="F967" s="6"/>
      <c r="G967" s="7"/>
      <c r="H967" s="2"/>
      <c r="I967" s="2"/>
      <c r="J967" s="2"/>
      <c r="K967" s="2"/>
      <c r="L967" s="178"/>
      <c r="M967" s="2"/>
      <c r="N967" s="7"/>
      <c r="P967" s="7"/>
      <c r="R967" s="2"/>
      <c r="S967" s="2"/>
      <c r="T967" s="2"/>
      <c r="U967" s="2"/>
      <c r="V967" s="2"/>
      <c r="X967" s="38"/>
      <c r="Y967" s="38"/>
      <c r="Z967" s="38"/>
      <c r="AA967" s="38"/>
      <c r="AB967" s="38"/>
      <c r="AD967" s="2"/>
      <c r="AE967" s="2"/>
      <c r="AF967" s="2"/>
      <c r="AG967" s="2"/>
      <c r="AH967" s="2"/>
      <c r="AJ967" s="215"/>
      <c r="AK967" s="215"/>
      <c r="AL967" s="215"/>
      <c r="AM967" s="215"/>
      <c r="AO967" s="10"/>
      <c r="AP967" s="10"/>
      <c r="AQ967" s="10"/>
      <c r="AR967" s="10"/>
      <c r="AS967" s="10"/>
      <c r="AU967" s="2"/>
      <c r="AV967" s="2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</row>
    <row r="968" spans="1:73" customFormat="1" ht="12.75" hidden="1" customHeight="1" x14ac:dyDescent="0.2">
      <c r="A968" s="1"/>
      <c r="B968" s="1"/>
      <c r="C968" s="1"/>
      <c r="D968" s="7"/>
      <c r="E968" s="7"/>
      <c r="F968" s="6"/>
      <c r="G968" s="7"/>
      <c r="H968" s="2"/>
      <c r="I968" s="2"/>
      <c r="J968" s="2"/>
      <c r="K968" s="2"/>
      <c r="L968" s="178"/>
      <c r="M968" s="2"/>
      <c r="N968" s="7"/>
      <c r="P968" s="7"/>
      <c r="R968" s="2"/>
      <c r="S968" s="2"/>
      <c r="T968" s="2"/>
      <c r="U968" s="2"/>
      <c r="V968" s="2"/>
      <c r="X968" s="38"/>
      <c r="Y968" s="38"/>
      <c r="Z968" s="38"/>
      <c r="AA968" s="38"/>
      <c r="AB968" s="38"/>
      <c r="AD968" s="2"/>
      <c r="AE968" s="2"/>
      <c r="AF968" s="2"/>
      <c r="AG968" s="2"/>
      <c r="AH968" s="2"/>
      <c r="AJ968" s="215"/>
      <c r="AK968" s="215"/>
      <c r="AL968" s="215"/>
      <c r="AM968" s="215"/>
      <c r="AO968" s="10"/>
      <c r="AP968" s="10"/>
      <c r="AQ968" s="10"/>
      <c r="AR968" s="10"/>
      <c r="AS968" s="10"/>
      <c r="AU968" s="2"/>
      <c r="AV968" s="2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</row>
    <row r="969" spans="1:73" customFormat="1" ht="12.75" hidden="1" customHeight="1" x14ac:dyDescent="0.2">
      <c r="A969" s="1"/>
      <c r="B969" s="1"/>
      <c r="C969" s="1"/>
      <c r="D969" s="7"/>
      <c r="E969" s="7"/>
      <c r="F969" s="6"/>
      <c r="G969" s="7"/>
      <c r="H969" s="2"/>
      <c r="I969" s="2"/>
      <c r="J969" s="2"/>
      <c r="K969" s="2"/>
      <c r="L969" s="178"/>
      <c r="M969" s="2"/>
      <c r="N969" s="7"/>
      <c r="P969" s="7"/>
      <c r="R969" s="2"/>
      <c r="S969" s="2"/>
      <c r="T969" s="2"/>
      <c r="U969" s="2"/>
      <c r="V969" s="2"/>
      <c r="X969" s="38"/>
      <c r="Y969" s="38"/>
      <c r="Z969" s="38"/>
      <c r="AA969" s="38"/>
      <c r="AB969" s="38"/>
      <c r="AD969" s="2"/>
      <c r="AE969" s="2"/>
      <c r="AF969" s="2"/>
      <c r="AG969" s="2"/>
      <c r="AH969" s="2"/>
      <c r="AJ969" s="215"/>
      <c r="AK969" s="215"/>
      <c r="AL969" s="215"/>
      <c r="AM969" s="215"/>
      <c r="AO969" s="10"/>
      <c r="AP969" s="10"/>
      <c r="AQ969" s="10"/>
      <c r="AR969" s="10"/>
      <c r="AS969" s="10"/>
      <c r="AU969" s="2"/>
      <c r="AV969" s="2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</row>
    <row r="970" spans="1:73" customFormat="1" ht="12.75" hidden="1" customHeight="1" x14ac:dyDescent="0.2">
      <c r="A970" s="1"/>
      <c r="B970" s="1"/>
      <c r="C970" s="1"/>
      <c r="D970" s="7"/>
      <c r="E970" s="7"/>
      <c r="F970" s="6"/>
      <c r="G970" s="7"/>
      <c r="H970" s="2"/>
      <c r="I970" s="2"/>
      <c r="J970" s="2"/>
      <c r="K970" s="2"/>
      <c r="L970" s="178"/>
      <c r="M970" s="2"/>
      <c r="N970" s="7"/>
      <c r="P970" s="7"/>
      <c r="R970" s="2"/>
      <c r="S970" s="2"/>
      <c r="T970" s="2"/>
      <c r="U970" s="2"/>
      <c r="V970" s="2"/>
      <c r="X970" s="38"/>
      <c r="Y970" s="38"/>
      <c r="Z970" s="38"/>
      <c r="AA970" s="38"/>
      <c r="AB970" s="38"/>
      <c r="AD970" s="2"/>
      <c r="AE970" s="2"/>
      <c r="AF970" s="2"/>
      <c r="AG970" s="2"/>
      <c r="AH970" s="2"/>
      <c r="AJ970" s="215"/>
      <c r="AK970" s="215"/>
      <c r="AL970" s="215"/>
      <c r="AM970" s="215"/>
      <c r="AO970" s="10"/>
      <c r="AP970" s="10"/>
      <c r="AQ970" s="10"/>
      <c r="AR970" s="10"/>
      <c r="AS970" s="10"/>
      <c r="AU970" s="2"/>
      <c r="AV970" s="2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</row>
    <row r="971" spans="1:73" customFormat="1" ht="12.75" hidden="1" customHeight="1" x14ac:dyDescent="0.2">
      <c r="A971" s="1"/>
      <c r="B971" s="1"/>
      <c r="C971" s="1"/>
      <c r="D971" s="7"/>
      <c r="E971" s="7"/>
      <c r="F971" s="6"/>
      <c r="G971" s="7"/>
      <c r="H971" s="2"/>
      <c r="I971" s="2"/>
      <c r="J971" s="2"/>
      <c r="K971" s="2"/>
      <c r="L971" s="178"/>
      <c r="M971" s="2"/>
      <c r="N971" s="7"/>
      <c r="P971" s="7"/>
      <c r="R971" s="2"/>
      <c r="S971" s="2"/>
      <c r="T971" s="2"/>
      <c r="U971" s="2"/>
      <c r="V971" s="2"/>
      <c r="X971" s="38"/>
      <c r="Y971" s="38"/>
      <c r="Z971" s="38"/>
      <c r="AA971" s="38"/>
      <c r="AB971" s="38"/>
      <c r="AD971" s="2"/>
      <c r="AE971" s="2"/>
      <c r="AF971" s="2"/>
      <c r="AG971" s="2"/>
      <c r="AH971" s="2"/>
      <c r="AJ971" s="215"/>
      <c r="AK971" s="215"/>
      <c r="AL971" s="215"/>
      <c r="AM971" s="215"/>
      <c r="AO971" s="10"/>
      <c r="AP971" s="10"/>
      <c r="AQ971" s="10"/>
      <c r="AR971" s="10"/>
      <c r="AS971" s="10"/>
      <c r="AU971" s="2"/>
      <c r="AV971" s="2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</row>
    <row r="972" spans="1:73" customFormat="1" ht="12.75" hidden="1" customHeight="1" x14ac:dyDescent="0.2">
      <c r="A972" s="1"/>
      <c r="B972" s="1"/>
      <c r="C972" s="1"/>
      <c r="D972" s="7"/>
      <c r="E972" s="7"/>
      <c r="F972" s="6"/>
      <c r="G972" s="7"/>
      <c r="H972" s="2"/>
      <c r="I972" s="2"/>
      <c r="J972" s="2"/>
      <c r="K972" s="2"/>
      <c r="L972" s="178"/>
      <c r="M972" s="2"/>
      <c r="N972" s="7"/>
      <c r="P972" s="7"/>
      <c r="R972" s="2"/>
      <c r="S972" s="2"/>
      <c r="T972" s="2"/>
      <c r="U972" s="2"/>
      <c r="V972" s="2"/>
      <c r="X972" s="38"/>
      <c r="Y972" s="38"/>
      <c r="Z972" s="38"/>
      <c r="AA972" s="38"/>
      <c r="AB972" s="38"/>
      <c r="AD972" s="2"/>
      <c r="AE972" s="2"/>
      <c r="AF972" s="2"/>
      <c r="AG972" s="2"/>
      <c r="AH972" s="2"/>
      <c r="AJ972" s="215"/>
      <c r="AK972" s="215"/>
      <c r="AL972" s="215"/>
      <c r="AM972" s="215"/>
      <c r="AO972" s="10"/>
      <c r="AP972" s="10"/>
      <c r="AQ972" s="10"/>
      <c r="AR972" s="10"/>
      <c r="AS972" s="10"/>
      <c r="AU972" s="2"/>
      <c r="AV972" s="2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</row>
    <row r="973" spans="1:73" customFormat="1" ht="12.75" hidden="1" customHeight="1" x14ac:dyDescent="0.2">
      <c r="A973" s="1"/>
      <c r="B973" s="1"/>
      <c r="C973" s="1"/>
      <c r="D973" s="7"/>
      <c r="E973" s="7"/>
      <c r="F973" s="6"/>
      <c r="G973" s="7"/>
      <c r="H973" s="2"/>
      <c r="I973" s="2"/>
      <c r="J973" s="2"/>
      <c r="K973" s="2"/>
      <c r="L973" s="178"/>
      <c r="M973" s="2"/>
      <c r="N973" s="7"/>
      <c r="P973" s="7"/>
      <c r="R973" s="2"/>
      <c r="S973" s="2"/>
      <c r="T973" s="2"/>
      <c r="U973" s="2"/>
      <c r="V973" s="2"/>
      <c r="X973" s="38"/>
      <c r="Y973" s="38"/>
      <c r="Z973" s="38"/>
      <c r="AA973" s="38"/>
      <c r="AB973" s="38"/>
      <c r="AD973" s="2"/>
      <c r="AE973" s="2"/>
      <c r="AF973" s="2"/>
      <c r="AG973" s="2"/>
      <c r="AH973" s="2"/>
      <c r="AJ973" s="215"/>
      <c r="AK973" s="215"/>
      <c r="AL973" s="215"/>
      <c r="AM973" s="215"/>
      <c r="AO973" s="10"/>
      <c r="AP973" s="10"/>
      <c r="AQ973" s="10"/>
      <c r="AR973" s="10"/>
      <c r="AS973" s="10"/>
      <c r="AU973" s="2"/>
      <c r="AV973" s="2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</row>
    <row r="974" spans="1:73" customFormat="1" ht="12.75" hidden="1" customHeight="1" x14ac:dyDescent="0.2">
      <c r="A974" s="1"/>
      <c r="B974" s="1"/>
      <c r="C974" s="1"/>
      <c r="D974" s="7"/>
      <c r="E974" s="7"/>
      <c r="F974" s="6"/>
      <c r="G974" s="7"/>
      <c r="H974" s="2"/>
      <c r="I974" s="2"/>
      <c r="J974" s="2"/>
      <c r="K974" s="2"/>
      <c r="L974" s="178"/>
      <c r="M974" s="2"/>
      <c r="N974" s="7"/>
      <c r="P974" s="7"/>
      <c r="R974" s="2"/>
      <c r="S974" s="2"/>
      <c r="T974" s="2"/>
      <c r="U974" s="2"/>
      <c r="V974" s="2"/>
      <c r="X974" s="38"/>
      <c r="Y974" s="38"/>
      <c r="Z974" s="38"/>
      <c r="AA974" s="38"/>
      <c r="AB974" s="38"/>
      <c r="AD974" s="2"/>
      <c r="AE974" s="2"/>
      <c r="AF974" s="2"/>
      <c r="AG974" s="2"/>
      <c r="AH974" s="2"/>
      <c r="AJ974" s="215"/>
      <c r="AK974" s="215"/>
      <c r="AL974" s="215"/>
      <c r="AM974" s="215"/>
      <c r="AO974" s="10"/>
      <c r="AP974" s="10"/>
      <c r="AQ974" s="10"/>
      <c r="AR974" s="10"/>
      <c r="AS974" s="10"/>
      <c r="AU974" s="2"/>
      <c r="AV974" s="2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</row>
    <row r="975" spans="1:73" customFormat="1" ht="12.75" hidden="1" customHeight="1" x14ac:dyDescent="0.2">
      <c r="A975" s="1"/>
      <c r="B975" s="1"/>
      <c r="C975" s="1"/>
      <c r="D975" s="7"/>
      <c r="E975" s="7"/>
      <c r="F975" s="6"/>
      <c r="G975" s="7"/>
      <c r="H975" s="2"/>
      <c r="I975" s="2"/>
      <c r="J975" s="2"/>
      <c r="K975" s="2"/>
      <c r="L975" s="178"/>
      <c r="M975" s="2"/>
      <c r="N975" s="7"/>
      <c r="P975" s="7"/>
      <c r="R975" s="2"/>
      <c r="S975" s="2"/>
      <c r="T975" s="2"/>
      <c r="U975" s="2"/>
      <c r="V975" s="2"/>
      <c r="X975" s="38"/>
      <c r="Y975" s="38"/>
      <c r="Z975" s="38"/>
      <c r="AA975" s="38"/>
      <c r="AB975" s="38"/>
      <c r="AD975" s="2"/>
      <c r="AE975" s="2"/>
      <c r="AF975" s="2"/>
      <c r="AG975" s="2"/>
      <c r="AH975" s="2"/>
      <c r="AJ975" s="215"/>
      <c r="AK975" s="215"/>
      <c r="AL975" s="215"/>
      <c r="AM975" s="215"/>
      <c r="AO975" s="10"/>
      <c r="AP975" s="10"/>
      <c r="AQ975" s="10"/>
      <c r="AR975" s="10"/>
      <c r="AS975" s="10"/>
      <c r="AU975" s="2"/>
      <c r="AV975" s="2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</row>
    <row r="976" spans="1:73" customFormat="1" ht="12.75" hidden="1" customHeight="1" x14ac:dyDescent="0.2">
      <c r="A976" s="1"/>
      <c r="B976" s="1"/>
      <c r="C976" s="1"/>
      <c r="D976" s="7"/>
      <c r="E976" s="7"/>
      <c r="F976" s="6"/>
      <c r="G976" s="7"/>
      <c r="H976" s="2"/>
      <c r="I976" s="2"/>
      <c r="J976" s="2"/>
      <c r="K976" s="2"/>
      <c r="L976" s="178"/>
      <c r="M976" s="2"/>
      <c r="N976" s="7"/>
      <c r="P976" s="7"/>
      <c r="R976" s="2"/>
      <c r="S976" s="2"/>
      <c r="T976" s="2"/>
      <c r="U976" s="2"/>
      <c r="V976" s="2"/>
      <c r="X976" s="38"/>
      <c r="Y976" s="38"/>
      <c r="Z976" s="38"/>
      <c r="AA976" s="38"/>
      <c r="AB976" s="38"/>
      <c r="AD976" s="2"/>
      <c r="AE976" s="2"/>
      <c r="AF976" s="2"/>
      <c r="AG976" s="2"/>
      <c r="AH976" s="2"/>
      <c r="AJ976" s="215"/>
      <c r="AK976" s="215"/>
      <c r="AL976" s="215"/>
      <c r="AM976" s="215"/>
      <c r="AO976" s="10"/>
      <c r="AP976" s="10"/>
      <c r="AQ976" s="10"/>
      <c r="AR976" s="10"/>
      <c r="AS976" s="10"/>
      <c r="AU976" s="2"/>
      <c r="AV976" s="2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</row>
    <row r="977" spans="1:73" customFormat="1" ht="12.75" hidden="1" customHeight="1" x14ac:dyDescent="0.2">
      <c r="A977" s="1"/>
      <c r="B977" s="1"/>
      <c r="C977" s="1"/>
      <c r="D977" s="7"/>
      <c r="E977" s="7"/>
      <c r="F977" s="6"/>
      <c r="G977" s="7"/>
      <c r="H977" s="2"/>
      <c r="I977" s="2"/>
      <c r="J977" s="2"/>
      <c r="K977" s="2"/>
      <c r="L977" s="178"/>
      <c r="M977" s="2"/>
      <c r="N977" s="7"/>
      <c r="P977" s="7"/>
      <c r="R977" s="2"/>
      <c r="S977" s="2"/>
      <c r="T977" s="2"/>
      <c r="U977" s="2"/>
      <c r="V977" s="2"/>
      <c r="X977" s="38"/>
      <c r="Y977" s="38"/>
      <c r="Z977" s="38"/>
      <c r="AA977" s="38"/>
      <c r="AB977" s="38"/>
      <c r="AD977" s="2"/>
      <c r="AE977" s="2"/>
      <c r="AF977" s="2"/>
      <c r="AG977" s="2"/>
      <c r="AH977" s="2"/>
      <c r="AJ977" s="215"/>
      <c r="AK977" s="215"/>
      <c r="AL977" s="215"/>
      <c r="AM977" s="215"/>
      <c r="AO977" s="10"/>
      <c r="AP977" s="10"/>
      <c r="AQ977" s="10"/>
      <c r="AR977" s="10"/>
      <c r="AS977" s="10"/>
      <c r="AU977" s="2"/>
      <c r="AV977" s="2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</row>
    <row r="978" spans="1:73" customFormat="1" ht="12.75" hidden="1" customHeight="1" x14ac:dyDescent="0.2">
      <c r="A978" s="1"/>
      <c r="B978" s="1"/>
      <c r="C978" s="1"/>
      <c r="D978" s="7"/>
      <c r="E978" s="7"/>
      <c r="F978" s="6"/>
      <c r="G978" s="7"/>
      <c r="H978" s="2"/>
      <c r="I978" s="2"/>
      <c r="J978" s="2"/>
      <c r="K978" s="2"/>
      <c r="L978" s="178"/>
      <c r="M978" s="2"/>
      <c r="N978" s="7"/>
      <c r="P978" s="7"/>
      <c r="R978" s="2"/>
      <c r="S978" s="2"/>
      <c r="T978" s="2"/>
      <c r="U978" s="2"/>
      <c r="V978" s="2"/>
      <c r="X978" s="38"/>
      <c r="Y978" s="38"/>
      <c r="Z978" s="38"/>
      <c r="AA978" s="38"/>
      <c r="AB978" s="38"/>
      <c r="AD978" s="2"/>
      <c r="AE978" s="2"/>
      <c r="AF978" s="2"/>
      <c r="AG978" s="2"/>
      <c r="AH978" s="2"/>
      <c r="AJ978" s="215"/>
      <c r="AK978" s="215"/>
      <c r="AL978" s="215"/>
      <c r="AM978" s="215"/>
      <c r="AO978" s="10"/>
      <c r="AP978" s="10"/>
      <c r="AQ978" s="10"/>
      <c r="AR978" s="10"/>
      <c r="AS978" s="10"/>
      <c r="AU978" s="2"/>
      <c r="AV978" s="2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</row>
    <row r="979" spans="1:73" customFormat="1" ht="12.75" hidden="1" customHeight="1" x14ac:dyDescent="0.2">
      <c r="A979" s="1"/>
      <c r="B979" s="1"/>
      <c r="C979" s="1"/>
      <c r="D979" s="7"/>
      <c r="E979" s="7"/>
      <c r="F979" s="6"/>
      <c r="G979" s="7"/>
      <c r="H979" s="2"/>
      <c r="I979" s="2"/>
      <c r="J979" s="2"/>
      <c r="K979" s="2"/>
      <c r="L979" s="178"/>
      <c r="M979" s="2"/>
      <c r="N979" s="7"/>
      <c r="P979" s="7"/>
      <c r="R979" s="2"/>
      <c r="S979" s="2"/>
      <c r="T979" s="2"/>
      <c r="U979" s="2"/>
      <c r="V979" s="2"/>
      <c r="X979" s="38"/>
      <c r="Y979" s="38"/>
      <c r="Z979" s="38"/>
      <c r="AA979" s="38"/>
      <c r="AB979" s="38"/>
      <c r="AD979" s="2"/>
      <c r="AE979" s="2"/>
      <c r="AF979" s="2"/>
      <c r="AG979" s="2"/>
      <c r="AH979" s="2"/>
      <c r="AJ979" s="215"/>
      <c r="AK979" s="215"/>
      <c r="AL979" s="215"/>
      <c r="AM979" s="215"/>
      <c r="AO979" s="10"/>
      <c r="AP979" s="10"/>
      <c r="AQ979" s="10"/>
      <c r="AR979" s="10"/>
      <c r="AS979" s="10"/>
      <c r="AU979" s="2"/>
      <c r="AV979" s="2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</row>
    <row r="980" spans="1:73" customFormat="1" ht="12.75" hidden="1" customHeight="1" x14ac:dyDescent="0.2">
      <c r="A980" s="1"/>
      <c r="B980" s="1"/>
      <c r="C980" s="1"/>
      <c r="D980" s="7"/>
      <c r="E980" s="7"/>
      <c r="F980" s="6"/>
      <c r="G980" s="7"/>
      <c r="H980" s="2"/>
      <c r="I980" s="2"/>
      <c r="J980" s="2"/>
      <c r="K980" s="2"/>
      <c r="L980" s="178"/>
      <c r="M980" s="2"/>
      <c r="N980" s="7"/>
      <c r="P980" s="7"/>
      <c r="R980" s="2"/>
      <c r="S980" s="2"/>
      <c r="T980" s="2"/>
      <c r="U980" s="2"/>
      <c r="V980" s="2"/>
      <c r="X980" s="38"/>
      <c r="Y980" s="38"/>
      <c r="Z980" s="38"/>
      <c r="AA980" s="38"/>
      <c r="AB980" s="38"/>
      <c r="AD980" s="2"/>
      <c r="AE980" s="2"/>
      <c r="AF980" s="2"/>
      <c r="AG980" s="2"/>
      <c r="AH980" s="2"/>
      <c r="AJ980" s="215"/>
      <c r="AK980" s="215"/>
      <c r="AL980" s="215"/>
      <c r="AM980" s="215"/>
      <c r="AO980" s="10"/>
      <c r="AP980" s="10"/>
      <c r="AQ980" s="10"/>
      <c r="AR980" s="10"/>
      <c r="AS980" s="10"/>
      <c r="AU980" s="2"/>
      <c r="AV980" s="2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</row>
    <row r="981" spans="1:73" customFormat="1" ht="12.75" hidden="1" customHeight="1" x14ac:dyDescent="0.2">
      <c r="A981" s="1"/>
      <c r="B981" s="1"/>
      <c r="C981" s="1"/>
      <c r="D981" s="7"/>
      <c r="E981" s="7"/>
      <c r="F981" s="6"/>
      <c r="G981" s="7"/>
      <c r="H981" s="2"/>
      <c r="I981" s="2"/>
      <c r="J981" s="2"/>
      <c r="K981" s="2"/>
      <c r="L981" s="178"/>
      <c r="M981" s="2"/>
      <c r="N981" s="7"/>
      <c r="P981" s="7"/>
      <c r="R981" s="2"/>
      <c r="S981" s="2"/>
      <c r="T981" s="2"/>
      <c r="U981" s="2"/>
      <c r="V981" s="2"/>
      <c r="X981" s="38"/>
      <c r="Y981" s="38"/>
      <c r="Z981" s="38"/>
      <c r="AA981" s="38"/>
      <c r="AB981" s="38"/>
      <c r="AD981" s="2"/>
      <c r="AE981" s="2"/>
      <c r="AF981" s="2"/>
      <c r="AG981" s="2"/>
      <c r="AH981" s="2"/>
      <c r="AJ981" s="215"/>
      <c r="AK981" s="215"/>
      <c r="AL981" s="215"/>
      <c r="AM981" s="215"/>
      <c r="AO981" s="10"/>
      <c r="AP981" s="10"/>
      <c r="AQ981" s="10"/>
      <c r="AR981" s="10"/>
      <c r="AS981" s="10"/>
      <c r="AU981" s="2"/>
      <c r="AV981" s="2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</row>
    <row r="982" spans="1:73" customFormat="1" ht="12.75" hidden="1" customHeight="1" x14ac:dyDescent="0.2">
      <c r="A982" s="1"/>
      <c r="B982" s="1"/>
      <c r="C982" s="1"/>
      <c r="D982" s="7"/>
      <c r="E982" s="7"/>
      <c r="F982" s="6"/>
      <c r="G982" s="7"/>
      <c r="H982" s="2"/>
      <c r="I982" s="2"/>
      <c r="J982" s="2"/>
      <c r="K982" s="2"/>
      <c r="L982" s="178"/>
      <c r="M982" s="2"/>
      <c r="N982" s="7"/>
      <c r="P982" s="7"/>
      <c r="R982" s="2"/>
      <c r="S982" s="2"/>
      <c r="T982" s="2"/>
      <c r="U982" s="2"/>
      <c r="V982" s="2"/>
      <c r="X982" s="38"/>
      <c r="Y982" s="38"/>
      <c r="Z982" s="38"/>
      <c r="AA982" s="38"/>
      <c r="AB982" s="38"/>
      <c r="AD982" s="2"/>
      <c r="AE982" s="2"/>
      <c r="AF982" s="2"/>
      <c r="AG982" s="2"/>
      <c r="AH982" s="2"/>
      <c r="AJ982" s="215"/>
      <c r="AK982" s="215"/>
      <c r="AL982" s="215"/>
      <c r="AM982" s="215"/>
      <c r="AO982" s="10"/>
      <c r="AP982" s="10"/>
      <c r="AQ982" s="10"/>
      <c r="AR982" s="10"/>
      <c r="AS982" s="10"/>
      <c r="AU982" s="2"/>
      <c r="AV982" s="2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</row>
    <row r="983" spans="1:73" customFormat="1" ht="12.75" hidden="1" customHeight="1" x14ac:dyDescent="0.2">
      <c r="A983" s="1"/>
      <c r="B983" s="1"/>
      <c r="C983" s="1"/>
      <c r="D983" s="7"/>
      <c r="E983" s="7"/>
      <c r="F983" s="6"/>
      <c r="G983" s="7"/>
      <c r="H983" s="2"/>
      <c r="I983" s="2"/>
      <c r="J983" s="2"/>
      <c r="K983" s="2"/>
      <c r="L983" s="178"/>
      <c r="M983" s="2"/>
      <c r="N983" s="7"/>
      <c r="P983" s="7"/>
      <c r="R983" s="2"/>
      <c r="S983" s="2"/>
      <c r="T983" s="2"/>
      <c r="U983" s="2"/>
      <c r="V983" s="2"/>
      <c r="X983" s="38"/>
      <c r="Y983" s="38"/>
      <c r="Z983" s="38"/>
      <c r="AA983" s="38"/>
      <c r="AB983" s="38"/>
      <c r="AD983" s="2"/>
      <c r="AE983" s="2"/>
      <c r="AF983" s="2"/>
      <c r="AG983" s="2"/>
      <c r="AH983" s="2"/>
      <c r="AJ983" s="215"/>
      <c r="AK983" s="215"/>
      <c r="AL983" s="215"/>
      <c r="AM983" s="215"/>
      <c r="AO983" s="10"/>
      <c r="AP983" s="10"/>
      <c r="AQ983" s="10"/>
      <c r="AR983" s="10"/>
      <c r="AS983" s="10"/>
      <c r="AU983" s="2"/>
      <c r="AV983" s="2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</row>
    <row r="984" spans="1:73" customFormat="1" ht="12.75" hidden="1" customHeight="1" x14ac:dyDescent="0.2">
      <c r="A984" s="1"/>
      <c r="B984" s="1"/>
      <c r="C984" s="1"/>
      <c r="D984" s="7"/>
      <c r="E984" s="7"/>
      <c r="F984" s="6"/>
      <c r="G984" s="7"/>
      <c r="H984" s="2"/>
      <c r="I984" s="2"/>
      <c r="J984" s="2"/>
      <c r="K984" s="2"/>
      <c r="L984" s="178"/>
      <c r="M984" s="2"/>
      <c r="N984" s="7"/>
      <c r="P984" s="7"/>
      <c r="R984" s="2"/>
      <c r="S984" s="2"/>
      <c r="T984" s="2"/>
      <c r="U984" s="2"/>
      <c r="V984" s="2"/>
      <c r="X984" s="38"/>
      <c r="Y984" s="38"/>
      <c r="Z984" s="38"/>
      <c r="AA984" s="38"/>
      <c r="AB984" s="38"/>
      <c r="AD984" s="2"/>
      <c r="AE984" s="2"/>
      <c r="AF984" s="2"/>
      <c r="AG984" s="2"/>
      <c r="AH984" s="2"/>
      <c r="AJ984" s="215"/>
      <c r="AK984" s="215"/>
      <c r="AL984" s="215"/>
      <c r="AM984" s="215"/>
      <c r="AO984" s="10"/>
      <c r="AP984" s="10"/>
      <c r="AQ984" s="10"/>
      <c r="AR984" s="10"/>
      <c r="AS984" s="10"/>
      <c r="AU984" s="2"/>
      <c r="AV984" s="2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</row>
    <row r="985" spans="1:73" customFormat="1" ht="12.75" hidden="1" customHeight="1" x14ac:dyDescent="0.2">
      <c r="A985" s="1"/>
      <c r="B985" s="1"/>
      <c r="C985" s="1"/>
      <c r="D985" s="7"/>
      <c r="E985" s="7"/>
      <c r="F985" s="6"/>
      <c r="G985" s="7"/>
      <c r="H985" s="2"/>
      <c r="I985" s="2"/>
      <c r="J985" s="2"/>
      <c r="K985" s="2"/>
      <c r="L985" s="178"/>
      <c r="M985" s="2"/>
      <c r="N985" s="7"/>
      <c r="P985" s="7"/>
      <c r="R985" s="2"/>
      <c r="S985" s="2"/>
      <c r="T985" s="2"/>
      <c r="U985" s="2"/>
      <c r="V985" s="2"/>
      <c r="X985" s="38"/>
      <c r="Y985" s="38"/>
      <c r="Z985" s="38"/>
      <c r="AA985" s="38"/>
      <c r="AB985" s="38"/>
      <c r="AD985" s="2"/>
      <c r="AE985" s="2"/>
      <c r="AF985" s="2"/>
      <c r="AG985" s="2"/>
      <c r="AH985" s="2"/>
      <c r="AJ985" s="215"/>
      <c r="AK985" s="215"/>
      <c r="AL985" s="215"/>
      <c r="AM985" s="215"/>
      <c r="AO985" s="10"/>
      <c r="AP985" s="10"/>
      <c r="AQ985" s="10"/>
      <c r="AR985" s="10"/>
      <c r="AS985" s="10"/>
      <c r="AU985" s="2"/>
      <c r="AV985" s="2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</row>
    <row r="986" spans="1:73" customFormat="1" ht="12.75" hidden="1" customHeight="1" x14ac:dyDescent="0.2">
      <c r="A986" s="1"/>
      <c r="B986" s="1"/>
      <c r="C986" s="1"/>
      <c r="D986" s="7"/>
      <c r="E986" s="7"/>
      <c r="F986" s="6"/>
      <c r="G986" s="7"/>
      <c r="H986" s="2"/>
      <c r="I986" s="2"/>
      <c r="J986" s="2"/>
      <c r="K986" s="2"/>
      <c r="L986" s="178"/>
      <c r="M986" s="2"/>
      <c r="N986" s="7"/>
      <c r="P986" s="7"/>
      <c r="R986" s="2"/>
      <c r="S986" s="2"/>
      <c r="T986" s="2"/>
      <c r="U986" s="2"/>
      <c r="V986" s="2"/>
      <c r="X986" s="38"/>
      <c r="Y986" s="38"/>
      <c r="Z986" s="38"/>
      <c r="AA986" s="38"/>
      <c r="AB986" s="38"/>
      <c r="AD986" s="2"/>
      <c r="AE986" s="2"/>
      <c r="AF986" s="2"/>
      <c r="AG986" s="2"/>
      <c r="AH986" s="2"/>
      <c r="AJ986" s="215"/>
      <c r="AK986" s="215"/>
      <c r="AL986" s="215"/>
      <c r="AM986" s="215"/>
      <c r="AO986" s="10"/>
      <c r="AP986" s="10"/>
      <c r="AQ986" s="10"/>
      <c r="AR986" s="10"/>
      <c r="AS986" s="10"/>
      <c r="AU986" s="2"/>
      <c r="AV986" s="2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</row>
    <row r="987" spans="1:73" customFormat="1" ht="12.75" hidden="1" customHeight="1" x14ac:dyDescent="0.2">
      <c r="A987" s="1"/>
      <c r="B987" s="1"/>
      <c r="C987" s="1"/>
      <c r="D987" s="7"/>
      <c r="E987" s="7"/>
      <c r="F987" s="6"/>
      <c r="G987" s="7"/>
      <c r="H987" s="2"/>
      <c r="I987" s="2"/>
      <c r="J987" s="2"/>
      <c r="K987" s="2"/>
      <c r="L987" s="178"/>
      <c r="M987" s="2"/>
      <c r="N987" s="7"/>
      <c r="P987" s="7"/>
      <c r="R987" s="2"/>
      <c r="S987" s="2"/>
      <c r="T987" s="2"/>
      <c r="U987" s="2"/>
      <c r="V987" s="2"/>
      <c r="X987" s="38"/>
      <c r="Y987" s="38"/>
      <c r="Z987" s="38"/>
      <c r="AA987" s="38"/>
      <c r="AB987" s="38"/>
      <c r="AD987" s="2"/>
      <c r="AE987" s="2"/>
      <c r="AF987" s="2"/>
      <c r="AG987" s="2"/>
      <c r="AH987" s="2"/>
      <c r="AJ987" s="215"/>
      <c r="AK987" s="215"/>
      <c r="AL987" s="215"/>
      <c r="AM987" s="215"/>
      <c r="AO987" s="10"/>
      <c r="AP987" s="10"/>
      <c r="AQ987" s="10"/>
      <c r="AR987" s="10"/>
      <c r="AS987" s="10"/>
      <c r="AU987" s="2"/>
      <c r="AV987" s="2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</row>
    <row r="988" spans="1:73" customFormat="1" ht="12.75" hidden="1" customHeight="1" x14ac:dyDescent="0.2">
      <c r="A988" s="1"/>
      <c r="B988" s="1"/>
      <c r="C988" s="1"/>
      <c r="D988" s="7"/>
      <c r="E988" s="7"/>
      <c r="F988" s="6"/>
      <c r="G988" s="7"/>
      <c r="H988" s="2"/>
      <c r="I988" s="2"/>
      <c r="J988" s="2"/>
      <c r="K988" s="2"/>
      <c r="L988" s="178"/>
      <c r="M988" s="2"/>
      <c r="N988" s="7"/>
      <c r="P988" s="7"/>
      <c r="R988" s="2"/>
      <c r="S988" s="2"/>
      <c r="T988" s="2"/>
      <c r="U988" s="2"/>
      <c r="V988" s="2"/>
      <c r="X988" s="38"/>
      <c r="Y988" s="38"/>
      <c r="Z988" s="38"/>
      <c r="AA988" s="38"/>
      <c r="AB988" s="38"/>
      <c r="AD988" s="2"/>
      <c r="AE988" s="2"/>
      <c r="AF988" s="2"/>
      <c r="AG988" s="2"/>
      <c r="AH988" s="2"/>
      <c r="AJ988" s="215"/>
      <c r="AK988" s="215"/>
      <c r="AL988" s="215"/>
      <c r="AM988" s="215"/>
      <c r="AO988" s="10"/>
      <c r="AP988" s="10"/>
      <c r="AQ988" s="10"/>
      <c r="AR988" s="10"/>
      <c r="AS988" s="10"/>
      <c r="AU988" s="2"/>
      <c r="AV988" s="2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</row>
    <row r="989" spans="1:73" customFormat="1" ht="12.75" hidden="1" customHeight="1" x14ac:dyDescent="0.2">
      <c r="A989" s="1"/>
      <c r="B989" s="1"/>
      <c r="C989" s="1"/>
      <c r="D989" s="7"/>
      <c r="E989" s="7"/>
      <c r="F989" s="6"/>
      <c r="G989" s="7"/>
      <c r="H989" s="2"/>
      <c r="I989" s="2"/>
      <c r="J989" s="2"/>
      <c r="K989" s="2"/>
      <c r="L989" s="178"/>
      <c r="M989" s="2"/>
      <c r="N989" s="7"/>
      <c r="P989" s="7"/>
      <c r="R989" s="2"/>
      <c r="S989" s="2"/>
      <c r="T989" s="2"/>
      <c r="U989" s="2"/>
      <c r="V989" s="2"/>
      <c r="X989" s="38"/>
      <c r="Y989" s="38"/>
      <c r="Z989" s="38"/>
      <c r="AA989" s="38"/>
      <c r="AB989" s="38"/>
      <c r="AD989" s="2"/>
      <c r="AE989" s="2"/>
      <c r="AF989" s="2"/>
      <c r="AG989" s="2"/>
      <c r="AH989" s="2"/>
      <c r="AJ989" s="215"/>
      <c r="AK989" s="215"/>
      <c r="AL989" s="215"/>
      <c r="AM989" s="215"/>
      <c r="AO989" s="10"/>
      <c r="AP989" s="10"/>
      <c r="AQ989" s="10"/>
      <c r="AR989" s="10"/>
      <c r="AS989" s="10"/>
      <c r="AU989" s="2"/>
      <c r="AV989" s="2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</row>
    <row r="990" spans="1:73" customFormat="1" ht="12.75" hidden="1" customHeight="1" x14ac:dyDescent="0.2">
      <c r="A990" s="1"/>
      <c r="B990" s="1"/>
      <c r="C990" s="1"/>
      <c r="D990" s="7"/>
      <c r="E990" s="7"/>
      <c r="F990" s="6"/>
      <c r="G990" s="7"/>
      <c r="H990" s="2"/>
      <c r="I990" s="2"/>
      <c r="J990" s="2"/>
      <c r="K990" s="2"/>
      <c r="L990" s="178"/>
      <c r="M990" s="2"/>
      <c r="N990" s="7"/>
      <c r="P990" s="7"/>
      <c r="R990" s="2"/>
      <c r="S990" s="2"/>
      <c r="T990" s="2"/>
      <c r="U990" s="2"/>
      <c r="V990" s="2"/>
      <c r="X990" s="38"/>
      <c r="Y990" s="38"/>
      <c r="Z990" s="38"/>
      <c r="AA990" s="38"/>
      <c r="AB990" s="38"/>
      <c r="AD990" s="2"/>
      <c r="AE990" s="2"/>
      <c r="AF990" s="2"/>
      <c r="AG990" s="2"/>
      <c r="AH990" s="2"/>
      <c r="AJ990" s="215"/>
      <c r="AK990" s="215"/>
      <c r="AL990" s="215"/>
      <c r="AM990" s="215"/>
      <c r="AO990" s="10"/>
      <c r="AP990" s="10"/>
      <c r="AQ990" s="10"/>
      <c r="AR990" s="10"/>
      <c r="AS990" s="10"/>
      <c r="AU990" s="2"/>
      <c r="AV990" s="2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</row>
    <row r="991" spans="1:73" customFormat="1" ht="12.75" hidden="1" customHeight="1" x14ac:dyDescent="0.2">
      <c r="A991" s="1"/>
      <c r="B991" s="1"/>
      <c r="C991" s="1"/>
      <c r="D991" s="7"/>
      <c r="E991" s="7"/>
      <c r="F991" s="6"/>
      <c r="G991" s="7"/>
      <c r="H991" s="2"/>
      <c r="I991" s="2"/>
      <c r="J991" s="2"/>
      <c r="K991" s="2"/>
      <c r="L991" s="178"/>
      <c r="M991" s="2"/>
      <c r="N991" s="7"/>
      <c r="P991" s="7"/>
      <c r="R991" s="2"/>
      <c r="S991" s="2"/>
      <c r="T991" s="2"/>
      <c r="U991" s="2"/>
      <c r="V991" s="2"/>
      <c r="X991" s="38"/>
      <c r="Y991" s="38"/>
      <c r="Z991" s="38"/>
      <c r="AA991" s="38"/>
      <c r="AB991" s="38"/>
      <c r="AD991" s="2"/>
      <c r="AE991" s="2"/>
      <c r="AF991" s="2"/>
      <c r="AG991" s="2"/>
      <c r="AH991" s="2"/>
      <c r="AJ991" s="215"/>
      <c r="AK991" s="215"/>
      <c r="AL991" s="215"/>
      <c r="AM991" s="215"/>
      <c r="AO991" s="10"/>
      <c r="AP991" s="10"/>
      <c r="AQ991" s="10"/>
      <c r="AR991" s="10"/>
      <c r="AS991" s="10"/>
      <c r="AU991" s="2"/>
      <c r="AV991" s="2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</row>
    <row r="992" spans="1:73" customFormat="1" ht="12.75" hidden="1" customHeight="1" x14ac:dyDescent="0.2">
      <c r="A992" s="1"/>
      <c r="B992" s="1"/>
      <c r="C992" s="1"/>
      <c r="D992" s="7"/>
      <c r="E992" s="7"/>
      <c r="F992" s="6"/>
      <c r="G992" s="7"/>
      <c r="H992" s="2"/>
      <c r="I992" s="2"/>
      <c r="J992" s="2"/>
      <c r="K992" s="2"/>
      <c r="L992" s="178"/>
      <c r="M992" s="2"/>
      <c r="N992" s="7"/>
      <c r="P992" s="7"/>
      <c r="R992" s="2"/>
      <c r="S992" s="2"/>
      <c r="T992" s="2"/>
      <c r="U992" s="2"/>
      <c r="V992" s="2"/>
      <c r="X992" s="38"/>
      <c r="Y992" s="38"/>
      <c r="Z992" s="38"/>
      <c r="AA992" s="38"/>
      <c r="AB992" s="38"/>
      <c r="AD992" s="2"/>
      <c r="AE992" s="2"/>
      <c r="AF992" s="2"/>
      <c r="AG992" s="2"/>
      <c r="AH992" s="2"/>
      <c r="AJ992" s="215"/>
      <c r="AK992" s="215"/>
      <c r="AL992" s="215"/>
      <c r="AM992" s="215"/>
      <c r="AO992" s="10"/>
      <c r="AP992" s="10"/>
      <c r="AQ992" s="10"/>
      <c r="AR992" s="10"/>
      <c r="AS992" s="10"/>
      <c r="AU992" s="2"/>
      <c r="AV992" s="2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</row>
    <row r="993" spans="1:73" customFormat="1" ht="12.75" hidden="1" customHeight="1" x14ac:dyDescent="0.2">
      <c r="A993" s="1"/>
      <c r="B993" s="1"/>
      <c r="C993" s="1"/>
      <c r="D993" s="7"/>
      <c r="E993" s="7"/>
      <c r="F993" s="6"/>
      <c r="G993" s="7"/>
      <c r="H993" s="2"/>
      <c r="I993" s="2"/>
      <c r="J993" s="2"/>
      <c r="K993" s="2"/>
      <c r="L993" s="178"/>
      <c r="M993" s="2"/>
      <c r="N993" s="7"/>
      <c r="P993" s="7"/>
      <c r="R993" s="2"/>
      <c r="S993" s="2"/>
      <c r="T993" s="2"/>
      <c r="U993" s="2"/>
      <c r="V993" s="2"/>
      <c r="X993" s="38"/>
      <c r="Y993" s="38"/>
      <c r="Z993" s="38"/>
      <c r="AA993" s="38"/>
      <c r="AB993" s="38"/>
      <c r="AD993" s="2"/>
      <c r="AE993" s="2"/>
      <c r="AF993" s="2"/>
      <c r="AG993" s="2"/>
      <c r="AH993" s="2"/>
      <c r="AJ993" s="215"/>
      <c r="AK993" s="215"/>
      <c r="AL993" s="215"/>
      <c r="AM993" s="215"/>
      <c r="AO993" s="10"/>
      <c r="AP993" s="10"/>
      <c r="AQ993" s="10"/>
      <c r="AR993" s="10"/>
      <c r="AS993" s="10"/>
      <c r="AU993" s="2"/>
      <c r="AV993" s="2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</row>
    <row r="994" spans="1:73" customFormat="1" ht="12.75" hidden="1" customHeight="1" x14ac:dyDescent="0.2">
      <c r="A994" s="1"/>
      <c r="B994" s="1"/>
      <c r="C994" s="1"/>
      <c r="D994" s="7"/>
      <c r="E994" s="7"/>
      <c r="F994" s="6"/>
      <c r="G994" s="7"/>
      <c r="H994" s="2"/>
      <c r="I994" s="2"/>
      <c r="J994" s="2"/>
      <c r="K994" s="2"/>
      <c r="L994" s="178"/>
      <c r="M994" s="2"/>
      <c r="N994" s="7"/>
      <c r="P994" s="7"/>
      <c r="R994" s="2"/>
      <c r="S994" s="2"/>
      <c r="T994" s="2"/>
      <c r="U994" s="2"/>
      <c r="V994" s="2"/>
      <c r="X994" s="38"/>
      <c r="Y994" s="38"/>
      <c r="Z994" s="38"/>
      <c r="AA994" s="38"/>
      <c r="AB994" s="38"/>
      <c r="AD994" s="2"/>
      <c r="AE994" s="2"/>
      <c r="AF994" s="2"/>
      <c r="AG994" s="2"/>
      <c r="AH994" s="2"/>
      <c r="AJ994" s="215"/>
      <c r="AK994" s="215"/>
      <c r="AL994" s="215"/>
      <c r="AM994" s="215"/>
      <c r="AO994" s="10"/>
      <c r="AP994" s="10"/>
      <c r="AQ994" s="10"/>
      <c r="AR994" s="10"/>
      <c r="AS994" s="10"/>
      <c r="AU994" s="2"/>
      <c r="AV994" s="2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</row>
    <row r="995" spans="1:73" customFormat="1" ht="12.75" hidden="1" customHeight="1" x14ac:dyDescent="0.2">
      <c r="A995" s="1"/>
      <c r="B995" s="1"/>
      <c r="C995" s="1"/>
      <c r="D995" s="7"/>
      <c r="E995" s="7"/>
      <c r="F995" s="6"/>
      <c r="G995" s="7"/>
      <c r="H995" s="2"/>
      <c r="I995" s="2"/>
      <c r="J995" s="2"/>
      <c r="K995" s="2"/>
      <c r="L995" s="178"/>
      <c r="M995" s="2"/>
      <c r="N995" s="7"/>
      <c r="P995" s="7"/>
      <c r="R995" s="2"/>
      <c r="S995" s="2"/>
      <c r="T995" s="2"/>
      <c r="U995" s="2"/>
      <c r="V995" s="2"/>
      <c r="X995" s="38"/>
      <c r="Y995" s="38"/>
      <c r="Z995" s="38"/>
      <c r="AA995" s="38"/>
      <c r="AB995" s="38"/>
      <c r="AD995" s="2"/>
      <c r="AE995" s="2"/>
      <c r="AF995" s="2"/>
      <c r="AG995" s="2"/>
      <c r="AH995" s="2"/>
      <c r="AJ995" s="215"/>
      <c r="AK995" s="215"/>
      <c r="AL995" s="215"/>
      <c r="AM995" s="215"/>
      <c r="AO995" s="10"/>
      <c r="AP995" s="10"/>
      <c r="AQ995" s="10"/>
      <c r="AR995" s="10"/>
      <c r="AS995" s="10"/>
      <c r="AU995" s="2"/>
      <c r="AV995" s="2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</row>
    <row r="996" spans="1:73" customFormat="1" ht="12.75" hidden="1" customHeight="1" x14ac:dyDescent="0.2">
      <c r="A996" s="1"/>
      <c r="B996" s="1"/>
      <c r="C996" s="1"/>
      <c r="D996" s="7"/>
      <c r="E996" s="7"/>
      <c r="F996" s="6"/>
      <c r="G996" s="7"/>
      <c r="H996" s="2"/>
      <c r="I996" s="2"/>
      <c r="J996" s="2"/>
      <c r="K996" s="2"/>
      <c r="L996" s="178"/>
      <c r="M996" s="2"/>
      <c r="N996" s="7"/>
      <c r="P996" s="7"/>
      <c r="R996" s="2"/>
      <c r="S996" s="2"/>
      <c r="T996" s="2"/>
      <c r="U996" s="2"/>
      <c r="V996" s="2"/>
      <c r="X996" s="38"/>
      <c r="Y996" s="38"/>
      <c r="Z996" s="38"/>
      <c r="AA996" s="38"/>
      <c r="AB996" s="38"/>
      <c r="AD996" s="2"/>
      <c r="AE996" s="2"/>
      <c r="AF996" s="2"/>
      <c r="AG996" s="2"/>
      <c r="AH996" s="2"/>
      <c r="AJ996" s="215"/>
      <c r="AK996" s="215"/>
      <c r="AL996" s="215"/>
      <c r="AM996" s="215"/>
      <c r="AO996" s="10"/>
      <c r="AP996" s="10"/>
      <c r="AQ996" s="10"/>
      <c r="AR996" s="10"/>
      <c r="AS996" s="10"/>
      <c r="AU996" s="2"/>
      <c r="AV996" s="2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</row>
    <row r="997" spans="1:73" customFormat="1" ht="12.75" hidden="1" customHeight="1" x14ac:dyDescent="0.2">
      <c r="A997" s="1"/>
      <c r="B997" s="1"/>
      <c r="C997" s="1"/>
      <c r="D997" s="7"/>
      <c r="E997" s="7"/>
      <c r="F997" s="6"/>
      <c r="G997" s="7"/>
      <c r="H997" s="2"/>
      <c r="I997" s="2"/>
      <c r="J997" s="2"/>
      <c r="K997" s="2"/>
      <c r="L997" s="178"/>
      <c r="M997" s="2"/>
      <c r="N997" s="7"/>
      <c r="P997" s="7"/>
      <c r="R997" s="2"/>
      <c r="S997" s="2"/>
      <c r="T997" s="2"/>
      <c r="U997" s="2"/>
      <c r="V997" s="2"/>
      <c r="X997" s="38"/>
      <c r="Y997" s="38"/>
      <c r="Z997" s="38"/>
      <c r="AA997" s="38"/>
      <c r="AB997" s="38"/>
      <c r="AD997" s="2"/>
      <c r="AE997" s="2"/>
      <c r="AF997" s="2"/>
      <c r="AG997" s="2"/>
      <c r="AH997" s="2"/>
      <c r="AJ997" s="215"/>
      <c r="AK997" s="215"/>
      <c r="AL997" s="215"/>
      <c r="AM997" s="215"/>
      <c r="AO997" s="10"/>
      <c r="AP997" s="10"/>
      <c r="AQ997" s="10"/>
      <c r="AR997" s="10"/>
      <c r="AS997" s="10"/>
      <c r="AU997" s="2"/>
      <c r="AV997" s="2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</row>
    <row r="998" spans="1:73" customFormat="1" ht="12.75" hidden="1" customHeight="1" x14ac:dyDescent="0.2">
      <c r="A998" s="1"/>
      <c r="B998" s="1"/>
      <c r="C998" s="1"/>
      <c r="D998" s="7"/>
      <c r="E998" s="7"/>
      <c r="F998" s="6"/>
      <c r="G998" s="7"/>
      <c r="H998" s="2"/>
      <c r="I998" s="2"/>
      <c r="J998" s="2"/>
      <c r="K998" s="2"/>
      <c r="L998" s="178"/>
      <c r="M998" s="2"/>
      <c r="N998" s="7"/>
      <c r="P998" s="7"/>
      <c r="R998" s="2"/>
      <c r="S998" s="2"/>
      <c r="T998" s="2"/>
      <c r="U998" s="2"/>
      <c r="V998" s="2"/>
      <c r="X998" s="38"/>
      <c r="Y998" s="38"/>
      <c r="Z998" s="38"/>
      <c r="AA998" s="38"/>
      <c r="AB998" s="38"/>
      <c r="AD998" s="2"/>
      <c r="AE998" s="2"/>
      <c r="AF998" s="2"/>
      <c r="AG998" s="2"/>
      <c r="AH998" s="2"/>
      <c r="AJ998" s="215"/>
      <c r="AK998" s="215"/>
      <c r="AL998" s="215"/>
      <c r="AM998" s="215"/>
      <c r="AO998" s="10"/>
      <c r="AP998" s="10"/>
      <c r="AQ998" s="10"/>
      <c r="AR998" s="10"/>
      <c r="AS998" s="10"/>
      <c r="AU998" s="2"/>
      <c r="AV998" s="2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</row>
    <row r="999" spans="1:73" customFormat="1" ht="12.75" hidden="1" customHeight="1" x14ac:dyDescent="0.2">
      <c r="A999" s="1"/>
      <c r="B999" s="1"/>
      <c r="C999" s="1"/>
      <c r="D999" s="7"/>
      <c r="E999" s="7"/>
      <c r="F999" s="6"/>
      <c r="G999" s="7"/>
      <c r="H999" s="2"/>
      <c r="I999" s="2"/>
      <c r="J999" s="2"/>
      <c r="K999" s="2"/>
      <c r="L999" s="178"/>
      <c r="M999" s="2"/>
      <c r="N999" s="7"/>
      <c r="P999" s="7"/>
      <c r="R999" s="2"/>
      <c r="S999" s="2"/>
      <c r="T999" s="2"/>
      <c r="U999" s="2"/>
      <c r="V999" s="2"/>
      <c r="X999" s="38"/>
      <c r="Y999" s="38"/>
      <c r="Z999" s="38"/>
      <c r="AA999" s="38"/>
      <c r="AB999" s="38"/>
      <c r="AD999" s="2"/>
      <c r="AE999" s="2"/>
      <c r="AF999" s="2"/>
      <c r="AG999" s="2"/>
      <c r="AH999" s="2"/>
      <c r="AJ999" s="215"/>
      <c r="AK999" s="215"/>
      <c r="AL999" s="215"/>
      <c r="AM999" s="215"/>
      <c r="AO999" s="10"/>
      <c r="AP999" s="10"/>
      <c r="AQ999" s="10"/>
      <c r="AR999" s="10"/>
      <c r="AS999" s="10"/>
      <c r="AU999" s="2"/>
      <c r="AV999" s="2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</row>
    <row r="1000" spans="1:73" customFormat="1" ht="12.75" hidden="1" customHeight="1" x14ac:dyDescent="0.2">
      <c r="A1000" s="1"/>
      <c r="B1000" s="1"/>
      <c r="C1000" s="1"/>
      <c r="D1000" s="7"/>
      <c r="E1000" s="7"/>
      <c r="F1000" s="6"/>
      <c r="G1000" s="7"/>
      <c r="H1000" s="2"/>
      <c r="I1000" s="2"/>
      <c r="J1000" s="2"/>
      <c r="K1000" s="2"/>
      <c r="L1000" s="178"/>
      <c r="M1000" s="2"/>
      <c r="N1000" s="7"/>
      <c r="P1000" s="7"/>
      <c r="R1000" s="2"/>
      <c r="S1000" s="2"/>
      <c r="T1000" s="2"/>
      <c r="U1000" s="2"/>
      <c r="V1000" s="2"/>
      <c r="X1000" s="38"/>
      <c r="Y1000" s="38"/>
      <c r="Z1000" s="38"/>
      <c r="AA1000" s="38"/>
      <c r="AB1000" s="38"/>
      <c r="AD1000" s="2"/>
      <c r="AE1000" s="2"/>
      <c r="AF1000" s="2"/>
      <c r="AG1000" s="2"/>
      <c r="AH1000" s="2"/>
      <c r="AJ1000" s="215"/>
      <c r="AK1000" s="215"/>
      <c r="AL1000" s="215"/>
      <c r="AM1000" s="215"/>
      <c r="AO1000" s="10"/>
      <c r="AP1000" s="10"/>
      <c r="AQ1000" s="10"/>
      <c r="AR1000" s="10"/>
      <c r="AS1000" s="10"/>
      <c r="AU1000" s="2"/>
      <c r="AV1000" s="2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</row>
    <row r="1001" spans="1:73" customFormat="1" ht="12.75" hidden="1" customHeight="1" x14ac:dyDescent="0.2">
      <c r="A1001" s="1"/>
      <c r="B1001" s="1"/>
      <c r="C1001" s="1"/>
      <c r="D1001" s="7"/>
      <c r="E1001" s="7"/>
      <c r="F1001" s="6"/>
      <c r="G1001" s="7"/>
      <c r="H1001" s="2"/>
      <c r="I1001" s="2"/>
      <c r="J1001" s="2"/>
      <c r="K1001" s="2"/>
      <c r="L1001" s="178"/>
      <c r="M1001" s="2"/>
      <c r="N1001" s="7"/>
      <c r="P1001" s="7"/>
      <c r="R1001" s="2"/>
      <c r="S1001" s="2"/>
      <c r="T1001" s="2"/>
      <c r="U1001" s="2"/>
      <c r="V1001" s="2"/>
      <c r="X1001" s="38"/>
      <c r="Y1001" s="38"/>
      <c r="Z1001" s="38"/>
      <c r="AA1001" s="38"/>
      <c r="AB1001" s="38"/>
      <c r="AD1001" s="2"/>
      <c r="AE1001" s="2"/>
      <c r="AF1001" s="2"/>
      <c r="AG1001" s="2"/>
      <c r="AH1001" s="2"/>
      <c r="AJ1001" s="215"/>
      <c r="AK1001" s="215"/>
      <c r="AL1001" s="215"/>
      <c r="AM1001" s="215"/>
      <c r="AO1001" s="10"/>
      <c r="AP1001" s="10"/>
      <c r="AQ1001" s="10"/>
      <c r="AR1001" s="10"/>
      <c r="AS1001" s="10"/>
      <c r="AU1001" s="2"/>
      <c r="AV1001" s="2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</row>
    <row r="1002" spans="1:73" customFormat="1" ht="12.75" hidden="1" customHeight="1" x14ac:dyDescent="0.2">
      <c r="A1002" s="1"/>
      <c r="B1002" s="1"/>
      <c r="C1002" s="1"/>
      <c r="D1002" s="7"/>
      <c r="E1002" s="7"/>
      <c r="F1002" s="6"/>
      <c r="G1002" s="7"/>
      <c r="H1002" s="2"/>
      <c r="I1002" s="2"/>
      <c r="J1002" s="2"/>
      <c r="K1002" s="2"/>
      <c r="L1002" s="178"/>
      <c r="M1002" s="2"/>
      <c r="N1002" s="7"/>
      <c r="P1002" s="7"/>
      <c r="R1002" s="2"/>
      <c r="S1002" s="2"/>
      <c r="T1002" s="2"/>
      <c r="U1002" s="2"/>
      <c r="V1002" s="2"/>
      <c r="X1002" s="38"/>
      <c r="Y1002" s="38"/>
      <c r="Z1002" s="38"/>
      <c r="AA1002" s="38"/>
      <c r="AB1002" s="38"/>
      <c r="AD1002" s="2"/>
      <c r="AE1002" s="2"/>
      <c r="AF1002" s="2"/>
      <c r="AG1002" s="2"/>
      <c r="AH1002" s="2"/>
      <c r="AJ1002" s="215"/>
      <c r="AK1002" s="215"/>
      <c r="AL1002" s="215"/>
      <c r="AM1002" s="215"/>
      <c r="AO1002" s="10"/>
      <c r="AP1002" s="10"/>
      <c r="AQ1002" s="10"/>
      <c r="AR1002" s="10"/>
      <c r="AS1002" s="10"/>
      <c r="AU1002" s="2"/>
      <c r="AV1002" s="2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</row>
    <row r="1003" spans="1:73" customFormat="1" ht="12.75" hidden="1" customHeight="1" x14ac:dyDescent="0.2">
      <c r="A1003" s="1"/>
      <c r="B1003" s="1"/>
      <c r="C1003" s="1"/>
      <c r="D1003" s="7"/>
      <c r="E1003" s="7"/>
      <c r="F1003" s="6"/>
      <c r="G1003" s="7"/>
      <c r="H1003" s="2"/>
      <c r="I1003" s="2"/>
      <c r="J1003" s="2"/>
      <c r="K1003" s="2"/>
      <c r="L1003" s="178"/>
      <c r="M1003" s="2"/>
      <c r="N1003" s="7"/>
      <c r="P1003" s="7"/>
      <c r="R1003" s="2"/>
      <c r="S1003" s="2"/>
      <c r="T1003" s="2"/>
      <c r="U1003" s="2"/>
      <c r="V1003" s="2"/>
      <c r="X1003" s="38"/>
      <c r="Y1003" s="38"/>
      <c r="Z1003" s="38"/>
      <c r="AA1003" s="38"/>
      <c r="AB1003" s="38"/>
      <c r="AD1003" s="2"/>
      <c r="AE1003" s="2"/>
      <c r="AF1003" s="2"/>
      <c r="AG1003" s="2"/>
      <c r="AH1003" s="2"/>
      <c r="AJ1003" s="215"/>
      <c r="AK1003" s="215"/>
      <c r="AL1003" s="215"/>
      <c r="AM1003" s="215"/>
      <c r="AO1003" s="10"/>
      <c r="AP1003" s="10"/>
      <c r="AQ1003" s="10"/>
      <c r="AR1003" s="10"/>
      <c r="AS1003" s="10"/>
      <c r="AU1003" s="2"/>
      <c r="AV1003" s="2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</row>
    <row r="1004" spans="1:73" customFormat="1" ht="12.75" hidden="1" customHeight="1" x14ac:dyDescent="0.2">
      <c r="A1004" s="1"/>
      <c r="B1004" s="1"/>
      <c r="C1004" s="1"/>
      <c r="D1004" s="7"/>
      <c r="E1004" s="7"/>
      <c r="F1004" s="6"/>
      <c r="G1004" s="7"/>
      <c r="H1004" s="2"/>
      <c r="I1004" s="2"/>
      <c r="J1004" s="2"/>
      <c r="K1004" s="2"/>
      <c r="L1004" s="178"/>
      <c r="M1004" s="2"/>
      <c r="N1004" s="7"/>
      <c r="P1004" s="7"/>
      <c r="R1004" s="2"/>
      <c r="S1004" s="2"/>
      <c r="T1004" s="2"/>
      <c r="U1004" s="2"/>
      <c r="V1004" s="2"/>
      <c r="X1004" s="38"/>
      <c r="Y1004" s="38"/>
      <c r="Z1004" s="38"/>
      <c r="AA1004" s="38"/>
      <c r="AB1004" s="38"/>
      <c r="AD1004" s="2"/>
      <c r="AE1004" s="2"/>
      <c r="AF1004" s="2"/>
      <c r="AG1004" s="2"/>
      <c r="AH1004" s="2"/>
      <c r="AJ1004" s="215"/>
      <c r="AK1004" s="215"/>
      <c r="AL1004" s="215"/>
      <c r="AM1004" s="215"/>
      <c r="AO1004" s="10"/>
      <c r="AP1004" s="10"/>
      <c r="AQ1004" s="10"/>
      <c r="AR1004" s="10"/>
      <c r="AS1004" s="10"/>
      <c r="AU1004" s="2"/>
      <c r="AV1004" s="2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</row>
    <row r="1005" spans="1:73" customFormat="1" ht="12.75" hidden="1" customHeight="1" x14ac:dyDescent="0.2">
      <c r="A1005" s="1"/>
      <c r="B1005" s="1"/>
      <c r="C1005" s="1"/>
      <c r="D1005" s="7"/>
      <c r="E1005" s="7"/>
      <c r="F1005" s="6"/>
      <c r="G1005" s="7"/>
      <c r="H1005" s="2"/>
      <c r="I1005" s="2"/>
      <c r="J1005" s="2"/>
      <c r="K1005" s="2"/>
      <c r="L1005" s="178"/>
      <c r="M1005" s="2"/>
      <c r="N1005" s="7"/>
      <c r="P1005" s="7"/>
      <c r="R1005" s="2"/>
      <c r="S1005" s="2"/>
      <c r="T1005" s="2"/>
      <c r="U1005" s="2"/>
      <c r="V1005" s="2"/>
      <c r="X1005" s="38"/>
      <c r="Y1005" s="38"/>
      <c r="Z1005" s="38"/>
      <c r="AA1005" s="38"/>
      <c r="AB1005" s="38"/>
      <c r="AD1005" s="2"/>
      <c r="AE1005" s="2"/>
      <c r="AF1005" s="2"/>
      <c r="AG1005" s="2"/>
      <c r="AH1005" s="2"/>
      <c r="AJ1005" s="215"/>
      <c r="AK1005" s="215"/>
      <c r="AL1005" s="215"/>
      <c r="AM1005" s="215"/>
      <c r="AO1005" s="10"/>
      <c r="AP1005" s="10"/>
      <c r="AQ1005" s="10"/>
      <c r="AR1005" s="10"/>
      <c r="AS1005" s="10"/>
      <c r="AU1005" s="2"/>
      <c r="AV1005" s="2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</row>
    <row r="1006" spans="1:73" customFormat="1" ht="12.75" hidden="1" customHeight="1" x14ac:dyDescent="0.2">
      <c r="A1006" s="1"/>
      <c r="B1006" s="1"/>
      <c r="C1006" s="1"/>
      <c r="D1006" s="7"/>
      <c r="E1006" s="7"/>
      <c r="F1006" s="6"/>
      <c r="G1006" s="7"/>
      <c r="H1006" s="2"/>
      <c r="I1006" s="2"/>
      <c r="J1006" s="2"/>
      <c r="K1006" s="2"/>
      <c r="L1006" s="178"/>
      <c r="M1006" s="2"/>
      <c r="N1006" s="7"/>
      <c r="P1006" s="7"/>
      <c r="R1006" s="2"/>
      <c r="S1006" s="2"/>
      <c r="T1006" s="2"/>
      <c r="U1006" s="2"/>
      <c r="V1006" s="2"/>
      <c r="X1006" s="38"/>
      <c r="Y1006" s="38"/>
      <c r="Z1006" s="38"/>
      <c r="AA1006" s="38"/>
      <c r="AB1006" s="38"/>
      <c r="AD1006" s="2"/>
      <c r="AE1006" s="2"/>
      <c r="AF1006" s="2"/>
      <c r="AG1006" s="2"/>
      <c r="AH1006" s="2"/>
      <c r="AJ1006" s="215"/>
      <c r="AK1006" s="215"/>
      <c r="AL1006" s="215"/>
      <c r="AM1006" s="215"/>
      <c r="AO1006" s="10"/>
      <c r="AP1006" s="10"/>
      <c r="AQ1006" s="10"/>
      <c r="AR1006" s="10"/>
      <c r="AS1006" s="10"/>
      <c r="AU1006" s="2"/>
      <c r="AV1006" s="2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</row>
    <row r="1007" spans="1:73" customFormat="1" ht="12.75" hidden="1" customHeight="1" x14ac:dyDescent="0.2">
      <c r="A1007" s="1"/>
      <c r="B1007" s="1"/>
      <c r="C1007" s="1"/>
      <c r="D1007" s="7"/>
      <c r="E1007" s="7"/>
      <c r="F1007" s="6"/>
      <c r="G1007" s="7"/>
      <c r="H1007" s="2"/>
      <c r="I1007" s="2"/>
      <c r="J1007" s="2"/>
      <c r="K1007" s="2"/>
      <c r="L1007" s="178"/>
      <c r="M1007" s="2"/>
      <c r="N1007" s="7"/>
      <c r="P1007" s="7"/>
      <c r="R1007" s="2"/>
      <c r="S1007" s="2"/>
      <c r="T1007" s="2"/>
      <c r="U1007" s="2"/>
      <c r="V1007" s="2"/>
      <c r="X1007" s="38"/>
      <c r="Y1007" s="38"/>
      <c r="Z1007" s="38"/>
      <c r="AA1007" s="38"/>
      <c r="AB1007" s="38"/>
      <c r="AD1007" s="2"/>
      <c r="AE1007" s="2"/>
      <c r="AF1007" s="2"/>
      <c r="AG1007" s="2"/>
      <c r="AH1007" s="2"/>
      <c r="AJ1007" s="215"/>
      <c r="AK1007" s="215"/>
      <c r="AL1007" s="215"/>
      <c r="AM1007" s="215"/>
      <c r="AO1007" s="10"/>
      <c r="AP1007" s="10"/>
      <c r="AQ1007" s="10"/>
      <c r="AR1007" s="10"/>
      <c r="AS1007" s="10"/>
      <c r="AU1007" s="2"/>
      <c r="AV1007" s="2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</row>
    <row r="1008" spans="1:73" customFormat="1" ht="12.75" hidden="1" customHeight="1" x14ac:dyDescent="0.2">
      <c r="A1008" s="1"/>
      <c r="B1008" s="1"/>
      <c r="C1008" s="1"/>
      <c r="D1008" s="7"/>
      <c r="E1008" s="7"/>
      <c r="F1008" s="6"/>
      <c r="G1008" s="7"/>
      <c r="H1008" s="2"/>
      <c r="I1008" s="2"/>
      <c r="J1008" s="2"/>
      <c r="K1008" s="2"/>
      <c r="L1008" s="178"/>
      <c r="M1008" s="2"/>
      <c r="N1008" s="7"/>
      <c r="P1008" s="7"/>
      <c r="R1008" s="2"/>
      <c r="S1008" s="2"/>
      <c r="T1008" s="2"/>
      <c r="U1008" s="2"/>
      <c r="V1008" s="2"/>
      <c r="X1008" s="38"/>
      <c r="Y1008" s="38"/>
      <c r="Z1008" s="38"/>
      <c r="AA1008" s="38"/>
      <c r="AB1008" s="38"/>
      <c r="AD1008" s="2"/>
      <c r="AE1008" s="2"/>
      <c r="AF1008" s="2"/>
      <c r="AG1008" s="2"/>
      <c r="AH1008" s="2"/>
      <c r="AJ1008" s="215"/>
      <c r="AK1008" s="215"/>
      <c r="AL1008" s="215"/>
      <c r="AM1008" s="215"/>
      <c r="AO1008" s="10"/>
      <c r="AP1008" s="10"/>
      <c r="AQ1008" s="10"/>
      <c r="AR1008" s="10"/>
      <c r="AS1008" s="10"/>
      <c r="AU1008" s="2"/>
      <c r="AV1008" s="2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</row>
    <row r="1009" spans="1:73" customFormat="1" ht="12.75" hidden="1" customHeight="1" x14ac:dyDescent="0.2">
      <c r="A1009" s="1"/>
      <c r="B1009" s="1"/>
      <c r="C1009" s="1"/>
      <c r="D1009" s="7"/>
      <c r="E1009" s="7"/>
      <c r="F1009" s="6"/>
      <c r="G1009" s="7"/>
      <c r="H1009" s="2"/>
      <c r="I1009" s="2"/>
      <c r="J1009" s="2"/>
      <c r="K1009" s="2"/>
      <c r="L1009" s="178"/>
      <c r="M1009" s="2"/>
      <c r="N1009" s="7"/>
      <c r="P1009" s="7"/>
      <c r="R1009" s="2"/>
      <c r="S1009" s="2"/>
      <c r="T1009" s="2"/>
      <c r="U1009" s="2"/>
      <c r="V1009" s="2"/>
      <c r="X1009" s="38"/>
      <c r="Y1009" s="38"/>
      <c r="Z1009" s="38"/>
      <c r="AA1009" s="38"/>
      <c r="AB1009" s="38"/>
      <c r="AD1009" s="2"/>
      <c r="AE1009" s="2"/>
      <c r="AF1009" s="2"/>
      <c r="AG1009" s="2"/>
      <c r="AH1009" s="2"/>
      <c r="AJ1009" s="215"/>
      <c r="AK1009" s="215"/>
      <c r="AL1009" s="215"/>
      <c r="AM1009" s="215"/>
      <c r="AO1009" s="10"/>
      <c r="AP1009" s="10"/>
      <c r="AQ1009" s="10"/>
      <c r="AR1009" s="10"/>
      <c r="AS1009" s="10"/>
      <c r="AU1009" s="2"/>
      <c r="AV1009" s="2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</row>
    <row r="1010" spans="1:73" customFormat="1" ht="12.75" hidden="1" customHeight="1" x14ac:dyDescent="0.2">
      <c r="A1010" s="1"/>
      <c r="B1010" s="1"/>
      <c r="C1010" s="1"/>
      <c r="D1010" s="7"/>
      <c r="E1010" s="7"/>
      <c r="F1010" s="6"/>
      <c r="G1010" s="7"/>
      <c r="H1010" s="2"/>
      <c r="I1010" s="2"/>
      <c r="J1010" s="2"/>
      <c r="K1010" s="2"/>
      <c r="L1010" s="178"/>
      <c r="M1010" s="2"/>
      <c r="N1010" s="7"/>
      <c r="P1010" s="7"/>
      <c r="R1010" s="2"/>
      <c r="S1010" s="2"/>
      <c r="T1010" s="2"/>
      <c r="U1010" s="2"/>
      <c r="V1010" s="2"/>
      <c r="X1010" s="38"/>
      <c r="Y1010" s="38"/>
      <c r="Z1010" s="38"/>
      <c r="AA1010" s="38"/>
      <c r="AB1010" s="38"/>
      <c r="AD1010" s="2"/>
      <c r="AE1010" s="2"/>
      <c r="AF1010" s="2"/>
      <c r="AG1010" s="2"/>
      <c r="AH1010" s="2"/>
      <c r="AJ1010" s="215"/>
      <c r="AK1010" s="215"/>
      <c r="AL1010" s="215"/>
      <c r="AM1010" s="215"/>
      <c r="AO1010" s="10"/>
      <c r="AP1010" s="10"/>
      <c r="AQ1010" s="10"/>
      <c r="AR1010" s="10"/>
      <c r="AS1010" s="10"/>
      <c r="AU1010" s="2"/>
      <c r="AV1010" s="2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</row>
    <row r="1011" spans="1:73" customFormat="1" ht="12.75" hidden="1" customHeight="1" x14ac:dyDescent="0.2">
      <c r="A1011" s="1"/>
      <c r="B1011" s="1"/>
      <c r="C1011" s="1"/>
      <c r="D1011" s="7"/>
      <c r="E1011" s="7"/>
      <c r="F1011" s="6"/>
      <c r="G1011" s="7"/>
      <c r="H1011" s="2"/>
      <c r="I1011" s="2"/>
      <c r="J1011" s="2"/>
      <c r="K1011" s="2"/>
      <c r="L1011" s="178"/>
      <c r="M1011" s="2"/>
      <c r="N1011" s="7"/>
      <c r="P1011" s="7"/>
      <c r="R1011" s="2"/>
      <c r="S1011" s="2"/>
      <c r="T1011" s="2"/>
      <c r="U1011" s="2"/>
      <c r="V1011" s="2"/>
      <c r="X1011" s="38"/>
      <c r="Y1011" s="38"/>
      <c r="Z1011" s="38"/>
      <c r="AA1011" s="38"/>
      <c r="AB1011" s="38"/>
      <c r="AD1011" s="2"/>
      <c r="AE1011" s="2"/>
      <c r="AF1011" s="2"/>
      <c r="AG1011" s="2"/>
      <c r="AH1011" s="2"/>
      <c r="AJ1011" s="215"/>
      <c r="AK1011" s="215"/>
      <c r="AL1011" s="215"/>
      <c r="AM1011" s="215"/>
      <c r="AO1011" s="10"/>
      <c r="AP1011" s="10"/>
      <c r="AQ1011" s="10"/>
      <c r="AR1011" s="10"/>
      <c r="AS1011" s="10"/>
      <c r="AU1011" s="2"/>
      <c r="AV1011" s="2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</row>
    <row r="1012" spans="1:73" customFormat="1" ht="12.75" hidden="1" customHeight="1" x14ac:dyDescent="0.2">
      <c r="A1012" s="1"/>
      <c r="B1012" s="1"/>
      <c r="C1012" s="1"/>
      <c r="D1012" s="7"/>
      <c r="E1012" s="7"/>
      <c r="F1012" s="6"/>
      <c r="G1012" s="7"/>
      <c r="H1012" s="2"/>
      <c r="I1012" s="2"/>
      <c r="J1012" s="2"/>
      <c r="K1012" s="2"/>
      <c r="L1012" s="178"/>
      <c r="M1012" s="2"/>
      <c r="N1012" s="7"/>
      <c r="P1012" s="7"/>
      <c r="R1012" s="2"/>
      <c r="S1012" s="2"/>
      <c r="T1012" s="2"/>
      <c r="U1012" s="2"/>
      <c r="V1012" s="2"/>
      <c r="X1012" s="38"/>
      <c r="Y1012" s="38"/>
      <c r="Z1012" s="38"/>
      <c r="AA1012" s="38"/>
      <c r="AB1012" s="38"/>
      <c r="AD1012" s="2"/>
      <c r="AE1012" s="2"/>
      <c r="AF1012" s="2"/>
      <c r="AG1012" s="2"/>
      <c r="AH1012" s="2"/>
      <c r="AJ1012" s="215"/>
      <c r="AK1012" s="215"/>
      <c r="AL1012" s="215"/>
      <c r="AM1012" s="215"/>
      <c r="AO1012" s="10"/>
      <c r="AP1012" s="10"/>
      <c r="AQ1012" s="10"/>
      <c r="AR1012" s="10"/>
      <c r="AS1012" s="10"/>
      <c r="AU1012" s="2"/>
      <c r="AV1012" s="2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</row>
    <row r="1013" spans="1:73" customFormat="1" ht="12.75" hidden="1" customHeight="1" x14ac:dyDescent="0.2">
      <c r="A1013" s="1"/>
      <c r="B1013" s="1"/>
      <c r="C1013" s="1"/>
      <c r="D1013" s="7"/>
      <c r="E1013" s="7"/>
      <c r="F1013" s="6"/>
      <c r="G1013" s="7"/>
      <c r="H1013" s="2"/>
      <c r="I1013" s="2"/>
      <c r="J1013" s="2"/>
      <c r="K1013" s="2"/>
      <c r="L1013" s="178"/>
      <c r="M1013" s="2"/>
      <c r="N1013" s="7"/>
      <c r="P1013" s="7"/>
      <c r="R1013" s="2"/>
      <c r="S1013" s="2"/>
      <c r="T1013" s="2"/>
      <c r="U1013" s="2"/>
      <c r="V1013" s="2"/>
      <c r="X1013" s="38"/>
      <c r="Y1013" s="38"/>
      <c r="Z1013" s="38"/>
      <c r="AA1013" s="38"/>
      <c r="AB1013" s="38"/>
      <c r="AD1013" s="2"/>
      <c r="AE1013" s="2"/>
      <c r="AF1013" s="2"/>
      <c r="AG1013" s="2"/>
      <c r="AH1013" s="2"/>
      <c r="AJ1013" s="215"/>
      <c r="AK1013" s="215"/>
      <c r="AL1013" s="215"/>
      <c r="AM1013" s="215"/>
      <c r="AO1013" s="10"/>
      <c r="AP1013" s="10"/>
      <c r="AQ1013" s="10"/>
      <c r="AR1013" s="10"/>
      <c r="AS1013" s="10"/>
      <c r="AU1013" s="2"/>
      <c r="AV1013" s="2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</row>
    <row r="1014" spans="1:73" customFormat="1" ht="12.75" hidden="1" customHeight="1" x14ac:dyDescent="0.2">
      <c r="A1014" s="1"/>
      <c r="B1014" s="1"/>
      <c r="C1014" s="1"/>
      <c r="D1014" s="7"/>
      <c r="E1014" s="7"/>
      <c r="F1014" s="6"/>
      <c r="G1014" s="7"/>
      <c r="H1014" s="2"/>
      <c r="I1014" s="2"/>
      <c r="J1014" s="2"/>
      <c r="K1014" s="2"/>
      <c r="L1014" s="178"/>
      <c r="M1014" s="2"/>
      <c r="N1014" s="7"/>
      <c r="P1014" s="7"/>
      <c r="R1014" s="2"/>
      <c r="S1014" s="2"/>
      <c r="T1014" s="2"/>
      <c r="U1014" s="2"/>
      <c r="V1014" s="2"/>
      <c r="X1014" s="38"/>
      <c r="Y1014" s="38"/>
      <c r="Z1014" s="38"/>
      <c r="AA1014" s="38"/>
      <c r="AB1014" s="38"/>
      <c r="AD1014" s="2"/>
      <c r="AE1014" s="2"/>
      <c r="AF1014" s="2"/>
      <c r="AG1014" s="2"/>
      <c r="AH1014" s="2"/>
      <c r="AJ1014" s="215"/>
      <c r="AK1014" s="215"/>
      <c r="AL1014" s="215"/>
      <c r="AM1014" s="215"/>
      <c r="AO1014" s="10"/>
      <c r="AP1014" s="10"/>
      <c r="AQ1014" s="10"/>
      <c r="AR1014" s="10"/>
      <c r="AS1014" s="10"/>
      <c r="AU1014" s="2"/>
      <c r="AV1014" s="2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</row>
    <row r="1015" spans="1:73" customFormat="1" ht="12.75" hidden="1" customHeight="1" x14ac:dyDescent="0.2">
      <c r="A1015" s="1"/>
      <c r="B1015" s="1"/>
      <c r="C1015" s="1"/>
      <c r="D1015" s="7"/>
      <c r="E1015" s="7"/>
      <c r="F1015" s="6"/>
      <c r="G1015" s="7"/>
      <c r="H1015" s="2"/>
      <c r="I1015" s="2"/>
      <c r="J1015" s="2"/>
      <c r="K1015" s="2"/>
      <c r="L1015" s="178"/>
      <c r="M1015" s="2"/>
      <c r="N1015" s="7"/>
      <c r="P1015" s="7"/>
      <c r="R1015" s="2"/>
      <c r="S1015" s="2"/>
      <c r="T1015" s="2"/>
      <c r="U1015" s="2"/>
      <c r="V1015" s="2"/>
      <c r="X1015" s="38"/>
      <c r="Y1015" s="38"/>
      <c r="Z1015" s="38"/>
      <c r="AA1015" s="38"/>
      <c r="AB1015" s="38"/>
      <c r="AD1015" s="2"/>
      <c r="AE1015" s="2"/>
      <c r="AF1015" s="2"/>
      <c r="AG1015" s="2"/>
      <c r="AH1015" s="2"/>
      <c r="AJ1015" s="215"/>
      <c r="AK1015" s="215"/>
      <c r="AL1015" s="215"/>
      <c r="AM1015" s="215"/>
      <c r="AO1015" s="10"/>
      <c r="AP1015" s="10"/>
      <c r="AQ1015" s="10"/>
      <c r="AR1015" s="10"/>
      <c r="AS1015" s="10"/>
      <c r="AU1015" s="2"/>
      <c r="AV1015" s="2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</row>
    <row r="1016" spans="1:73" customFormat="1" ht="12.75" hidden="1" customHeight="1" x14ac:dyDescent="0.2">
      <c r="A1016" s="1"/>
      <c r="B1016" s="1"/>
      <c r="C1016" s="1"/>
      <c r="D1016" s="7"/>
      <c r="E1016" s="7"/>
      <c r="F1016" s="6"/>
      <c r="G1016" s="7"/>
      <c r="H1016" s="2"/>
      <c r="I1016" s="2"/>
      <c r="J1016" s="2"/>
      <c r="K1016" s="2"/>
      <c r="L1016" s="178"/>
      <c r="M1016" s="2"/>
      <c r="N1016" s="7"/>
      <c r="P1016" s="7"/>
      <c r="R1016" s="2"/>
      <c r="S1016" s="2"/>
      <c r="T1016" s="2"/>
      <c r="U1016" s="2"/>
      <c r="V1016" s="2"/>
      <c r="X1016" s="38"/>
      <c r="Y1016" s="38"/>
      <c r="Z1016" s="38"/>
      <c r="AA1016" s="38"/>
      <c r="AB1016" s="38"/>
      <c r="AD1016" s="2"/>
      <c r="AE1016" s="2"/>
      <c r="AF1016" s="2"/>
      <c r="AG1016" s="2"/>
      <c r="AH1016" s="2"/>
      <c r="AJ1016" s="215"/>
      <c r="AK1016" s="215"/>
      <c r="AL1016" s="215"/>
      <c r="AM1016" s="215"/>
      <c r="AO1016" s="10"/>
      <c r="AP1016" s="10"/>
      <c r="AQ1016" s="10"/>
      <c r="AR1016" s="10"/>
      <c r="AS1016" s="10"/>
      <c r="AU1016" s="2"/>
      <c r="AV1016" s="2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</row>
    <row r="1017" spans="1:73" customFormat="1" ht="12.75" hidden="1" customHeight="1" x14ac:dyDescent="0.2">
      <c r="A1017" s="1"/>
      <c r="B1017" s="1"/>
      <c r="C1017" s="1"/>
      <c r="D1017" s="7"/>
      <c r="E1017" s="7"/>
      <c r="F1017" s="6"/>
      <c r="G1017" s="7"/>
      <c r="H1017" s="2"/>
      <c r="I1017" s="2"/>
      <c r="J1017" s="2"/>
      <c r="K1017" s="2"/>
      <c r="L1017" s="178"/>
      <c r="M1017" s="2"/>
      <c r="N1017" s="7"/>
      <c r="P1017" s="7"/>
      <c r="R1017" s="2"/>
      <c r="S1017" s="2"/>
      <c r="T1017" s="2"/>
      <c r="U1017" s="2"/>
      <c r="V1017" s="2"/>
      <c r="X1017" s="38"/>
      <c r="Y1017" s="38"/>
      <c r="Z1017" s="38"/>
      <c r="AA1017" s="38"/>
      <c r="AB1017" s="38"/>
      <c r="AD1017" s="2"/>
      <c r="AE1017" s="2"/>
      <c r="AF1017" s="2"/>
      <c r="AG1017" s="2"/>
      <c r="AH1017" s="2"/>
      <c r="AJ1017" s="215"/>
      <c r="AK1017" s="215"/>
      <c r="AL1017" s="215"/>
      <c r="AM1017" s="215"/>
      <c r="AO1017" s="10"/>
      <c r="AP1017" s="10"/>
      <c r="AQ1017" s="10"/>
      <c r="AR1017" s="10"/>
      <c r="AS1017" s="10"/>
      <c r="AU1017" s="2"/>
      <c r="AV1017" s="2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</row>
    <row r="1018" spans="1:73" customFormat="1" ht="12.75" hidden="1" customHeight="1" x14ac:dyDescent="0.2">
      <c r="A1018" s="1"/>
      <c r="B1018" s="1"/>
      <c r="C1018" s="1"/>
      <c r="D1018" s="7"/>
      <c r="E1018" s="7"/>
      <c r="F1018" s="6"/>
      <c r="G1018" s="7"/>
      <c r="H1018" s="2"/>
      <c r="I1018" s="2"/>
      <c r="J1018" s="2"/>
      <c r="K1018" s="2"/>
      <c r="L1018" s="178"/>
      <c r="M1018" s="2"/>
      <c r="N1018" s="7"/>
      <c r="P1018" s="7"/>
      <c r="R1018" s="2"/>
      <c r="S1018" s="2"/>
      <c r="T1018" s="2"/>
      <c r="U1018" s="2"/>
      <c r="V1018" s="2"/>
      <c r="X1018" s="38"/>
      <c r="Y1018" s="38"/>
      <c r="Z1018" s="38"/>
      <c r="AA1018" s="38"/>
      <c r="AB1018" s="38"/>
      <c r="AD1018" s="2"/>
      <c r="AE1018" s="2"/>
      <c r="AF1018" s="2"/>
      <c r="AG1018" s="2"/>
      <c r="AH1018" s="2"/>
      <c r="AJ1018" s="215"/>
      <c r="AK1018" s="215"/>
      <c r="AL1018" s="215"/>
      <c r="AM1018" s="215"/>
      <c r="AO1018" s="10"/>
      <c r="AP1018" s="10"/>
      <c r="AQ1018" s="10"/>
      <c r="AR1018" s="10"/>
      <c r="AS1018" s="10"/>
      <c r="AU1018" s="2"/>
      <c r="AV1018" s="2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</row>
    <row r="1019" spans="1:73" customFormat="1" ht="12.75" hidden="1" customHeight="1" x14ac:dyDescent="0.2">
      <c r="A1019" s="1"/>
      <c r="B1019" s="1"/>
      <c r="C1019" s="1"/>
      <c r="D1019" s="7"/>
      <c r="E1019" s="7"/>
      <c r="F1019" s="6"/>
      <c r="G1019" s="7"/>
      <c r="H1019" s="2"/>
      <c r="I1019" s="2"/>
      <c r="J1019" s="2"/>
      <c r="K1019" s="2"/>
      <c r="L1019" s="178"/>
      <c r="M1019" s="2"/>
      <c r="N1019" s="7"/>
      <c r="P1019" s="7"/>
      <c r="R1019" s="2"/>
      <c r="S1019" s="2"/>
      <c r="T1019" s="2"/>
      <c r="U1019" s="2"/>
      <c r="V1019" s="2"/>
      <c r="X1019" s="38"/>
      <c r="Y1019" s="38"/>
      <c r="Z1019" s="38"/>
      <c r="AA1019" s="38"/>
      <c r="AB1019" s="38"/>
      <c r="AD1019" s="2"/>
      <c r="AE1019" s="2"/>
      <c r="AF1019" s="2"/>
      <c r="AG1019" s="2"/>
      <c r="AH1019" s="2"/>
      <c r="AJ1019" s="215"/>
      <c r="AK1019" s="215"/>
      <c r="AL1019" s="215"/>
      <c r="AM1019" s="215"/>
      <c r="AO1019" s="10"/>
      <c r="AP1019" s="10"/>
      <c r="AQ1019" s="10"/>
      <c r="AR1019" s="10"/>
      <c r="AS1019" s="10"/>
      <c r="AU1019" s="2"/>
      <c r="AV1019" s="2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</row>
    <row r="1020" spans="1:73" customFormat="1" ht="12.75" hidden="1" customHeight="1" x14ac:dyDescent="0.2">
      <c r="A1020" s="1"/>
      <c r="B1020" s="1"/>
      <c r="C1020" s="1"/>
      <c r="D1020" s="7"/>
      <c r="E1020" s="7"/>
      <c r="F1020" s="6"/>
      <c r="G1020" s="7"/>
      <c r="H1020" s="2"/>
      <c r="I1020" s="2"/>
      <c r="J1020" s="2"/>
      <c r="K1020" s="2"/>
      <c r="L1020" s="178"/>
      <c r="M1020" s="2"/>
      <c r="N1020" s="7"/>
      <c r="P1020" s="7"/>
      <c r="R1020" s="2"/>
      <c r="S1020" s="2"/>
      <c r="T1020" s="2"/>
      <c r="U1020" s="2"/>
      <c r="V1020" s="2"/>
      <c r="X1020" s="38"/>
      <c r="Y1020" s="38"/>
      <c r="Z1020" s="38"/>
      <c r="AA1020" s="38"/>
      <c r="AB1020" s="38"/>
      <c r="AD1020" s="2"/>
      <c r="AE1020" s="2"/>
      <c r="AF1020" s="2"/>
      <c r="AG1020" s="2"/>
      <c r="AH1020" s="2"/>
      <c r="AJ1020" s="215"/>
      <c r="AK1020" s="215"/>
      <c r="AL1020" s="215"/>
      <c r="AM1020" s="215"/>
      <c r="AO1020" s="10"/>
      <c r="AP1020" s="10"/>
      <c r="AQ1020" s="10"/>
      <c r="AR1020" s="10"/>
      <c r="AS1020" s="10"/>
      <c r="AU1020" s="2"/>
      <c r="AV1020" s="2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</row>
    <row r="1021" spans="1:73" customFormat="1" ht="12.75" hidden="1" customHeight="1" x14ac:dyDescent="0.2">
      <c r="A1021" s="1"/>
      <c r="B1021" s="1"/>
      <c r="C1021" s="1"/>
      <c r="D1021" s="7"/>
      <c r="E1021" s="7"/>
      <c r="F1021" s="6"/>
      <c r="G1021" s="7"/>
      <c r="H1021" s="2"/>
      <c r="I1021" s="2"/>
      <c r="J1021" s="2"/>
      <c r="K1021" s="2"/>
      <c r="L1021" s="178"/>
      <c r="M1021" s="2"/>
      <c r="N1021" s="7"/>
      <c r="P1021" s="7"/>
      <c r="R1021" s="2"/>
      <c r="S1021" s="2"/>
      <c r="T1021" s="2"/>
      <c r="U1021" s="2"/>
      <c r="V1021" s="2"/>
      <c r="X1021" s="38"/>
      <c r="Y1021" s="38"/>
      <c r="Z1021" s="38"/>
      <c r="AA1021" s="38"/>
      <c r="AB1021" s="38"/>
      <c r="AD1021" s="2"/>
      <c r="AE1021" s="2"/>
      <c r="AF1021" s="2"/>
      <c r="AG1021" s="2"/>
      <c r="AH1021" s="2"/>
      <c r="AJ1021" s="215"/>
      <c r="AK1021" s="215"/>
      <c r="AL1021" s="215"/>
      <c r="AM1021" s="215"/>
      <c r="AO1021" s="10"/>
      <c r="AP1021" s="10"/>
      <c r="AQ1021" s="10"/>
      <c r="AR1021" s="10"/>
      <c r="AS1021" s="10"/>
      <c r="AU1021" s="2"/>
      <c r="AV1021" s="2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</row>
    <row r="1022" spans="1:73" customFormat="1" ht="12.75" hidden="1" customHeight="1" x14ac:dyDescent="0.2">
      <c r="A1022" s="1"/>
      <c r="B1022" s="1"/>
      <c r="C1022" s="1"/>
      <c r="D1022" s="7"/>
      <c r="E1022" s="7"/>
      <c r="F1022" s="6"/>
      <c r="G1022" s="7"/>
      <c r="H1022" s="2"/>
      <c r="I1022" s="2"/>
      <c r="J1022" s="2"/>
      <c r="K1022" s="2"/>
      <c r="L1022" s="178"/>
      <c r="M1022" s="2"/>
      <c r="N1022" s="7"/>
      <c r="P1022" s="7"/>
      <c r="R1022" s="2"/>
      <c r="S1022" s="2"/>
      <c r="T1022" s="2"/>
      <c r="U1022" s="2"/>
      <c r="V1022" s="2"/>
      <c r="X1022" s="38"/>
      <c r="Y1022" s="38"/>
      <c r="Z1022" s="38"/>
      <c r="AA1022" s="38"/>
      <c r="AB1022" s="38"/>
      <c r="AD1022" s="2"/>
      <c r="AE1022" s="2"/>
      <c r="AF1022" s="2"/>
      <c r="AG1022" s="2"/>
      <c r="AH1022" s="2"/>
      <c r="AJ1022" s="215"/>
      <c r="AK1022" s="215"/>
      <c r="AL1022" s="215"/>
      <c r="AM1022" s="215"/>
      <c r="AO1022" s="10"/>
      <c r="AP1022" s="10"/>
      <c r="AQ1022" s="10"/>
      <c r="AR1022" s="10"/>
      <c r="AS1022" s="10"/>
      <c r="AU1022" s="2"/>
      <c r="AV1022" s="2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</row>
    <row r="1023" spans="1:73" customFormat="1" ht="12.75" hidden="1" customHeight="1" x14ac:dyDescent="0.2">
      <c r="A1023" s="1"/>
      <c r="B1023" s="1"/>
      <c r="C1023" s="1"/>
      <c r="D1023" s="7"/>
      <c r="E1023" s="7"/>
      <c r="F1023" s="6"/>
      <c r="G1023" s="7"/>
      <c r="H1023" s="2"/>
      <c r="I1023" s="2"/>
      <c r="J1023" s="2"/>
      <c r="K1023" s="2"/>
      <c r="L1023" s="178"/>
      <c r="M1023" s="2"/>
      <c r="N1023" s="7"/>
      <c r="P1023" s="7"/>
      <c r="R1023" s="2"/>
      <c r="S1023" s="2"/>
      <c r="T1023" s="2"/>
      <c r="U1023" s="2"/>
      <c r="V1023" s="2"/>
      <c r="X1023" s="38"/>
      <c r="Y1023" s="38"/>
      <c r="Z1023" s="38"/>
      <c r="AA1023" s="38"/>
      <c r="AB1023" s="38"/>
      <c r="AD1023" s="2"/>
      <c r="AE1023" s="2"/>
      <c r="AF1023" s="2"/>
      <c r="AG1023" s="2"/>
      <c r="AH1023" s="2"/>
      <c r="AJ1023" s="215"/>
      <c r="AK1023" s="215"/>
      <c r="AL1023" s="215"/>
      <c r="AM1023" s="215"/>
      <c r="AO1023" s="10"/>
      <c r="AP1023" s="10"/>
      <c r="AQ1023" s="10"/>
      <c r="AR1023" s="10"/>
      <c r="AS1023" s="10"/>
      <c r="AU1023" s="2"/>
      <c r="AV1023" s="2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</row>
    <row r="1024" spans="1:73" customFormat="1" ht="12.75" hidden="1" customHeight="1" x14ac:dyDescent="0.2">
      <c r="A1024" s="1"/>
      <c r="B1024" s="1"/>
      <c r="C1024" s="1"/>
      <c r="D1024" s="7"/>
      <c r="E1024" s="7"/>
      <c r="F1024" s="6"/>
      <c r="G1024" s="7"/>
      <c r="H1024" s="2"/>
      <c r="I1024" s="2"/>
      <c r="J1024" s="2"/>
      <c r="K1024" s="2"/>
      <c r="L1024" s="178"/>
      <c r="M1024" s="2"/>
      <c r="N1024" s="7"/>
      <c r="P1024" s="7"/>
      <c r="R1024" s="2"/>
      <c r="S1024" s="2"/>
      <c r="T1024" s="2"/>
      <c r="U1024" s="2"/>
      <c r="V1024" s="2"/>
      <c r="X1024" s="38"/>
      <c r="Y1024" s="38"/>
      <c r="Z1024" s="38"/>
      <c r="AA1024" s="38"/>
      <c r="AB1024" s="38"/>
      <c r="AD1024" s="2"/>
      <c r="AE1024" s="2"/>
      <c r="AF1024" s="2"/>
      <c r="AG1024" s="2"/>
      <c r="AH1024" s="2"/>
      <c r="AJ1024" s="215"/>
      <c r="AK1024" s="215"/>
      <c r="AL1024" s="215"/>
      <c r="AM1024" s="215"/>
      <c r="AO1024" s="10"/>
      <c r="AP1024" s="10"/>
      <c r="AQ1024" s="10"/>
      <c r="AR1024" s="10"/>
      <c r="AS1024" s="10"/>
      <c r="AU1024" s="2"/>
      <c r="AV1024" s="2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</row>
    <row r="1025" spans="1:73" customFormat="1" ht="12.75" hidden="1" customHeight="1" x14ac:dyDescent="0.2">
      <c r="A1025" s="1"/>
      <c r="B1025" s="1"/>
      <c r="C1025" s="1"/>
      <c r="D1025" s="7"/>
      <c r="E1025" s="7"/>
      <c r="F1025" s="6"/>
      <c r="G1025" s="7"/>
      <c r="H1025" s="2"/>
      <c r="I1025" s="2"/>
      <c r="J1025" s="2"/>
      <c r="K1025" s="2"/>
      <c r="L1025" s="178"/>
      <c r="M1025" s="2"/>
      <c r="N1025" s="7"/>
      <c r="P1025" s="7"/>
      <c r="R1025" s="2"/>
      <c r="S1025" s="2"/>
      <c r="T1025" s="2"/>
      <c r="U1025" s="2"/>
      <c r="V1025" s="2"/>
      <c r="X1025" s="38"/>
      <c r="Y1025" s="38"/>
      <c r="Z1025" s="38"/>
      <c r="AA1025" s="38"/>
      <c r="AB1025" s="38"/>
      <c r="AD1025" s="2"/>
      <c r="AE1025" s="2"/>
      <c r="AF1025" s="2"/>
      <c r="AG1025" s="2"/>
      <c r="AH1025" s="2"/>
      <c r="AJ1025" s="215"/>
      <c r="AK1025" s="215"/>
      <c r="AL1025" s="215"/>
      <c r="AM1025" s="215"/>
      <c r="AO1025" s="10"/>
      <c r="AP1025" s="10"/>
      <c r="AQ1025" s="10"/>
      <c r="AR1025" s="10"/>
      <c r="AS1025" s="10"/>
      <c r="AU1025" s="2"/>
      <c r="AV1025" s="2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</row>
    <row r="1026" spans="1:73" customFormat="1" ht="12.75" hidden="1" customHeight="1" x14ac:dyDescent="0.2">
      <c r="A1026" s="1"/>
      <c r="B1026" s="1"/>
      <c r="C1026" s="1"/>
      <c r="D1026" s="7"/>
      <c r="E1026" s="7"/>
      <c r="F1026" s="6"/>
      <c r="G1026" s="7"/>
      <c r="H1026" s="2"/>
      <c r="I1026" s="2"/>
      <c r="J1026" s="2"/>
      <c r="K1026" s="2"/>
      <c r="L1026" s="178"/>
      <c r="M1026" s="2"/>
      <c r="N1026" s="7"/>
      <c r="P1026" s="7"/>
      <c r="R1026" s="2"/>
      <c r="S1026" s="2"/>
      <c r="T1026" s="2"/>
      <c r="U1026" s="2"/>
      <c r="V1026" s="2"/>
      <c r="X1026" s="38"/>
      <c r="Y1026" s="38"/>
      <c r="Z1026" s="38"/>
      <c r="AA1026" s="38"/>
      <c r="AB1026" s="38"/>
      <c r="AD1026" s="2"/>
      <c r="AE1026" s="2"/>
      <c r="AF1026" s="2"/>
      <c r="AG1026" s="2"/>
      <c r="AH1026" s="2"/>
      <c r="AJ1026" s="215"/>
      <c r="AK1026" s="215"/>
      <c r="AL1026" s="215"/>
      <c r="AM1026" s="215"/>
      <c r="AO1026" s="10"/>
      <c r="AP1026" s="10"/>
      <c r="AQ1026" s="10"/>
      <c r="AR1026" s="10"/>
      <c r="AS1026" s="10"/>
      <c r="AU1026" s="2"/>
      <c r="AV1026" s="2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</row>
    <row r="1027" spans="1:73" customFormat="1" ht="12.75" hidden="1" customHeight="1" x14ac:dyDescent="0.2">
      <c r="A1027" s="1"/>
      <c r="B1027" s="1"/>
      <c r="C1027" s="1"/>
      <c r="D1027" s="7"/>
      <c r="E1027" s="7"/>
      <c r="F1027" s="6"/>
      <c r="G1027" s="7"/>
      <c r="H1027" s="2"/>
      <c r="I1027" s="2"/>
      <c r="J1027" s="2"/>
      <c r="K1027" s="2"/>
      <c r="L1027" s="178"/>
      <c r="M1027" s="2"/>
      <c r="N1027" s="7"/>
      <c r="P1027" s="7"/>
      <c r="R1027" s="2"/>
      <c r="S1027" s="2"/>
      <c r="T1027" s="2"/>
      <c r="U1027" s="2"/>
      <c r="V1027" s="2"/>
      <c r="X1027" s="38"/>
      <c r="Y1027" s="38"/>
      <c r="Z1027" s="38"/>
      <c r="AA1027" s="38"/>
      <c r="AB1027" s="38"/>
      <c r="AD1027" s="2"/>
      <c r="AE1027" s="2"/>
      <c r="AF1027" s="2"/>
      <c r="AG1027" s="2"/>
      <c r="AH1027" s="2"/>
      <c r="AJ1027" s="215"/>
      <c r="AK1027" s="215"/>
      <c r="AL1027" s="215"/>
      <c r="AM1027" s="215"/>
      <c r="AO1027" s="10"/>
      <c r="AP1027" s="10"/>
      <c r="AQ1027" s="10"/>
      <c r="AR1027" s="10"/>
      <c r="AS1027" s="10"/>
      <c r="AU1027" s="2"/>
      <c r="AV1027" s="2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</row>
    <row r="1028" spans="1:73" customFormat="1" ht="12.75" hidden="1" customHeight="1" x14ac:dyDescent="0.2">
      <c r="A1028" s="1"/>
      <c r="B1028" s="1"/>
      <c r="C1028" s="1"/>
      <c r="D1028" s="7"/>
      <c r="E1028" s="7"/>
      <c r="F1028" s="6"/>
      <c r="G1028" s="7"/>
      <c r="H1028" s="2"/>
      <c r="I1028" s="2"/>
      <c r="J1028" s="2"/>
      <c r="K1028" s="2"/>
      <c r="L1028" s="178"/>
      <c r="M1028" s="2"/>
      <c r="N1028" s="7"/>
      <c r="P1028" s="7"/>
      <c r="R1028" s="2"/>
      <c r="S1028" s="2"/>
      <c r="T1028" s="2"/>
      <c r="U1028" s="2"/>
      <c r="V1028" s="2"/>
      <c r="X1028" s="38"/>
      <c r="Y1028" s="38"/>
      <c r="Z1028" s="38"/>
      <c r="AA1028" s="38"/>
      <c r="AB1028" s="38"/>
      <c r="AD1028" s="2"/>
      <c r="AE1028" s="2"/>
      <c r="AF1028" s="2"/>
      <c r="AG1028" s="2"/>
      <c r="AH1028" s="2"/>
      <c r="AJ1028" s="215"/>
      <c r="AK1028" s="215"/>
      <c r="AL1028" s="215"/>
      <c r="AM1028" s="215"/>
      <c r="AO1028" s="10"/>
      <c r="AP1028" s="10"/>
      <c r="AQ1028" s="10"/>
      <c r="AR1028" s="10"/>
      <c r="AS1028" s="10"/>
      <c r="AU1028" s="2"/>
      <c r="AV1028" s="2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</row>
    <row r="1029" spans="1:73" customFormat="1" ht="12.75" hidden="1" customHeight="1" x14ac:dyDescent="0.2">
      <c r="A1029" s="1"/>
      <c r="B1029" s="1"/>
      <c r="C1029" s="1"/>
      <c r="D1029" s="7"/>
      <c r="E1029" s="7"/>
      <c r="F1029" s="6"/>
      <c r="G1029" s="7"/>
      <c r="H1029" s="2"/>
      <c r="I1029" s="2"/>
      <c r="J1029" s="2"/>
      <c r="K1029" s="2"/>
      <c r="L1029" s="178"/>
      <c r="M1029" s="2"/>
      <c r="N1029" s="7"/>
      <c r="P1029" s="7"/>
      <c r="R1029" s="2"/>
      <c r="S1029" s="2"/>
      <c r="T1029" s="2"/>
      <c r="U1029" s="2"/>
      <c r="V1029" s="2"/>
      <c r="X1029" s="38"/>
      <c r="Y1029" s="38"/>
      <c r="Z1029" s="38"/>
      <c r="AA1029" s="38"/>
      <c r="AB1029" s="38"/>
      <c r="AD1029" s="2"/>
      <c r="AE1029" s="2"/>
      <c r="AF1029" s="2"/>
      <c r="AG1029" s="2"/>
      <c r="AH1029" s="2"/>
      <c r="AJ1029" s="215"/>
      <c r="AK1029" s="215"/>
      <c r="AL1029" s="215"/>
      <c r="AM1029" s="215"/>
      <c r="AO1029" s="10"/>
      <c r="AP1029" s="10"/>
      <c r="AQ1029" s="10"/>
      <c r="AR1029" s="10"/>
      <c r="AS1029" s="10"/>
      <c r="AU1029" s="2"/>
      <c r="AV1029" s="2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</row>
    <row r="1030" spans="1:73" customFormat="1" ht="12.75" hidden="1" customHeight="1" x14ac:dyDescent="0.2">
      <c r="A1030" s="1"/>
      <c r="B1030" s="1"/>
      <c r="C1030" s="1"/>
      <c r="D1030" s="7"/>
      <c r="E1030" s="7"/>
      <c r="F1030" s="6"/>
      <c r="G1030" s="7"/>
      <c r="H1030" s="2"/>
      <c r="I1030" s="2"/>
      <c r="J1030" s="2"/>
      <c r="K1030" s="2"/>
      <c r="L1030" s="178"/>
      <c r="M1030" s="2"/>
      <c r="N1030" s="7"/>
      <c r="P1030" s="7"/>
      <c r="R1030" s="2"/>
      <c r="S1030" s="2"/>
      <c r="T1030" s="2"/>
      <c r="U1030" s="2"/>
      <c r="V1030" s="2"/>
      <c r="X1030" s="38"/>
      <c r="Y1030" s="38"/>
      <c r="Z1030" s="38"/>
      <c r="AA1030" s="38"/>
      <c r="AB1030" s="38"/>
      <c r="AD1030" s="2"/>
      <c r="AE1030" s="2"/>
      <c r="AF1030" s="2"/>
      <c r="AG1030" s="2"/>
      <c r="AH1030" s="2"/>
      <c r="AJ1030" s="215"/>
      <c r="AK1030" s="215"/>
      <c r="AL1030" s="215"/>
      <c r="AM1030" s="215"/>
      <c r="AO1030" s="10"/>
      <c r="AP1030" s="10"/>
      <c r="AQ1030" s="10"/>
      <c r="AR1030" s="10"/>
      <c r="AS1030" s="10"/>
      <c r="AU1030" s="2"/>
      <c r="AV1030" s="2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</row>
    <row r="1031" spans="1:73" customFormat="1" ht="12.75" hidden="1" customHeight="1" x14ac:dyDescent="0.2">
      <c r="A1031" s="1"/>
      <c r="B1031" s="1"/>
      <c r="C1031" s="1"/>
      <c r="D1031" s="7"/>
      <c r="E1031" s="7"/>
      <c r="F1031" s="6"/>
      <c r="G1031" s="7"/>
      <c r="H1031" s="2"/>
      <c r="I1031" s="2"/>
      <c r="J1031" s="2"/>
      <c r="K1031" s="2"/>
      <c r="L1031" s="178"/>
      <c r="M1031" s="2"/>
      <c r="N1031" s="7"/>
      <c r="P1031" s="7"/>
      <c r="R1031" s="2"/>
      <c r="S1031" s="2"/>
      <c r="T1031" s="2"/>
      <c r="U1031" s="2"/>
      <c r="V1031" s="2"/>
      <c r="X1031" s="38"/>
      <c r="Y1031" s="38"/>
      <c r="Z1031" s="38"/>
      <c r="AA1031" s="38"/>
      <c r="AB1031" s="38"/>
      <c r="AD1031" s="2"/>
      <c r="AE1031" s="2"/>
      <c r="AF1031" s="2"/>
      <c r="AG1031" s="2"/>
      <c r="AH1031" s="2"/>
      <c r="AJ1031" s="215"/>
      <c r="AK1031" s="215"/>
      <c r="AL1031" s="215"/>
      <c r="AM1031" s="215"/>
      <c r="AO1031" s="10"/>
      <c r="AP1031" s="10"/>
      <c r="AQ1031" s="10"/>
      <c r="AR1031" s="10"/>
      <c r="AS1031" s="10"/>
      <c r="AU1031" s="2"/>
      <c r="AV1031" s="2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</row>
    <row r="1032" spans="1:73" customFormat="1" ht="12.75" hidden="1" customHeight="1" x14ac:dyDescent="0.2">
      <c r="A1032" s="1"/>
      <c r="B1032" s="1"/>
      <c r="C1032" s="1"/>
      <c r="D1032" s="7"/>
      <c r="E1032" s="7"/>
      <c r="F1032" s="6"/>
      <c r="G1032" s="7"/>
      <c r="H1032" s="2"/>
      <c r="I1032" s="2"/>
      <c r="J1032" s="2"/>
      <c r="K1032" s="2"/>
      <c r="L1032" s="178"/>
      <c r="M1032" s="2"/>
      <c r="N1032" s="7"/>
      <c r="P1032" s="7"/>
      <c r="R1032" s="2"/>
      <c r="S1032" s="2"/>
      <c r="T1032" s="2"/>
      <c r="U1032" s="2"/>
      <c r="V1032" s="2"/>
      <c r="X1032" s="38"/>
      <c r="Y1032" s="38"/>
      <c r="Z1032" s="38"/>
      <c r="AA1032" s="38"/>
      <c r="AB1032" s="38"/>
      <c r="AD1032" s="2"/>
      <c r="AE1032" s="2"/>
      <c r="AF1032" s="2"/>
      <c r="AG1032" s="2"/>
      <c r="AH1032" s="2"/>
      <c r="AJ1032" s="215"/>
      <c r="AK1032" s="215"/>
      <c r="AL1032" s="215"/>
      <c r="AM1032" s="215"/>
      <c r="AO1032" s="10"/>
      <c r="AP1032" s="10"/>
      <c r="AQ1032" s="10"/>
      <c r="AR1032" s="10"/>
      <c r="AS1032" s="10"/>
      <c r="AU1032" s="2"/>
      <c r="AV1032" s="2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</row>
    <row r="1033" spans="1:73" customFormat="1" ht="12.75" hidden="1" customHeight="1" x14ac:dyDescent="0.2">
      <c r="A1033" s="1"/>
      <c r="B1033" s="1"/>
      <c r="C1033" s="1"/>
      <c r="D1033" s="7"/>
      <c r="E1033" s="7"/>
      <c r="F1033" s="6"/>
      <c r="G1033" s="7"/>
      <c r="H1033" s="2"/>
      <c r="I1033" s="2"/>
      <c r="J1033" s="2"/>
      <c r="K1033" s="2"/>
      <c r="L1033" s="178"/>
      <c r="M1033" s="2"/>
      <c r="N1033" s="7"/>
      <c r="P1033" s="7"/>
      <c r="R1033" s="2"/>
      <c r="S1033" s="2"/>
      <c r="T1033" s="2"/>
      <c r="U1033" s="2"/>
      <c r="V1033" s="2"/>
      <c r="X1033" s="38"/>
      <c r="Y1033" s="38"/>
      <c r="Z1033" s="38"/>
      <c r="AA1033" s="38"/>
      <c r="AB1033" s="38"/>
      <c r="AD1033" s="2"/>
      <c r="AE1033" s="2"/>
      <c r="AF1033" s="2"/>
      <c r="AG1033" s="2"/>
      <c r="AH1033" s="2"/>
      <c r="AJ1033" s="215"/>
      <c r="AK1033" s="215"/>
      <c r="AL1033" s="215"/>
      <c r="AM1033" s="215"/>
      <c r="AO1033" s="10"/>
      <c r="AP1033" s="10"/>
      <c r="AQ1033" s="10"/>
      <c r="AR1033" s="10"/>
      <c r="AS1033" s="10"/>
      <c r="AU1033" s="2"/>
      <c r="AV1033" s="2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</row>
    <row r="1034" spans="1:73" customFormat="1" ht="12.75" hidden="1" customHeight="1" x14ac:dyDescent="0.2">
      <c r="A1034" s="1"/>
      <c r="B1034" s="1"/>
      <c r="C1034" s="1"/>
      <c r="D1034" s="7"/>
      <c r="E1034" s="7"/>
      <c r="F1034" s="6"/>
      <c r="G1034" s="7"/>
      <c r="H1034" s="2"/>
      <c r="I1034" s="2"/>
      <c r="J1034" s="2"/>
      <c r="K1034" s="2"/>
      <c r="L1034" s="178"/>
      <c r="M1034" s="2"/>
      <c r="N1034" s="7"/>
      <c r="P1034" s="7"/>
      <c r="R1034" s="2"/>
      <c r="S1034" s="2"/>
      <c r="T1034" s="2"/>
      <c r="U1034" s="2"/>
      <c r="V1034" s="2"/>
      <c r="X1034" s="38"/>
      <c r="Y1034" s="38"/>
      <c r="Z1034" s="38"/>
      <c r="AA1034" s="38"/>
      <c r="AB1034" s="38"/>
      <c r="AD1034" s="2"/>
      <c r="AE1034" s="2"/>
      <c r="AF1034" s="2"/>
      <c r="AG1034" s="2"/>
      <c r="AH1034" s="2"/>
      <c r="AJ1034" s="215"/>
      <c r="AK1034" s="215"/>
      <c r="AL1034" s="215"/>
      <c r="AM1034" s="215"/>
      <c r="AO1034" s="10"/>
      <c r="AP1034" s="10"/>
      <c r="AQ1034" s="10"/>
      <c r="AR1034" s="10"/>
      <c r="AS1034" s="10"/>
      <c r="AU1034" s="2"/>
      <c r="AV1034" s="2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</row>
    <row r="1035" spans="1:73" customFormat="1" ht="12.75" hidden="1" customHeight="1" x14ac:dyDescent="0.2">
      <c r="A1035" s="1"/>
      <c r="B1035" s="1"/>
      <c r="C1035" s="1"/>
      <c r="D1035" s="7"/>
      <c r="E1035" s="7"/>
      <c r="F1035" s="6"/>
      <c r="G1035" s="7"/>
      <c r="H1035" s="2"/>
      <c r="I1035" s="2"/>
      <c r="J1035" s="2"/>
      <c r="K1035" s="2"/>
      <c r="L1035" s="178"/>
      <c r="M1035" s="2"/>
      <c r="N1035" s="7"/>
      <c r="P1035" s="7"/>
      <c r="R1035" s="2"/>
      <c r="S1035" s="2"/>
      <c r="T1035" s="2"/>
      <c r="U1035" s="2"/>
      <c r="V1035" s="2"/>
      <c r="X1035" s="38"/>
      <c r="Y1035" s="38"/>
      <c r="Z1035" s="38"/>
      <c r="AA1035" s="38"/>
      <c r="AB1035" s="38"/>
      <c r="AD1035" s="2"/>
      <c r="AE1035" s="2"/>
      <c r="AF1035" s="2"/>
      <c r="AG1035" s="2"/>
      <c r="AH1035" s="2"/>
      <c r="AJ1035" s="215"/>
      <c r="AK1035" s="215"/>
      <c r="AL1035" s="215"/>
      <c r="AM1035" s="215"/>
      <c r="AO1035" s="10"/>
      <c r="AP1035" s="10"/>
      <c r="AQ1035" s="10"/>
      <c r="AR1035" s="10"/>
      <c r="AS1035" s="10"/>
      <c r="AU1035" s="2"/>
      <c r="AV1035" s="2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</row>
    <row r="1036" spans="1:73" customFormat="1" ht="12.75" hidden="1" customHeight="1" x14ac:dyDescent="0.2">
      <c r="A1036" s="1"/>
      <c r="B1036" s="1"/>
      <c r="C1036" s="1"/>
      <c r="D1036" s="7"/>
      <c r="E1036" s="7"/>
      <c r="F1036" s="6"/>
      <c r="G1036" s="7"/>
      <c r="H1036" s="2"/>
      <c r="I1036" s="2"/>
      <c r="J1036" s="2"/>
      <c r="K1036" s="2"/>
      <c r="L1036" s="178"/>
      <c r="M1036" s="2"/>
      <c r="N1036" s="7"/>
      <c r="P1036" s="7"/>
      <c r="R1036" s="2"/>
      <c r="S1036" s="2"/>
      <c r="T1036" s="2"/>
      <c r="U1036" s="2"/>
      <c r="V1036" s="2"/>
      <c r="X1036" s="38"/>
      <c r="Y1036" s="38"/>
      <c r="Z1036" s="38"/>
      <c r="AA1036" s="38"/>
      <c r="AB1036" s="38"/>
      <c r="AD1036" s="2"/>
      <c r="AE1036" s="2"/>
      <c r="AF1036" s="2"/>
      <c r="AG1036" s="2"/>
      <c r="AH1036" s="2"/>
      <c r="AJ1036" s="215"/>
      <c r="AK1036" s="215"/>
      <c r="AL1036" s="215"/>
      <c r="AM1036" s="215"/>
      <c r="AO1036" s="10"/>
      <c r="AP1036" s="10"/>
      <c r="AQ1036" s="10"/>
      <c r="AR1036" s="10"/>
      <c r="AS1036" s="10"/>
      <c r="AU1036" s="2"/>
      <c r="AV1036" s="2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</row>
    <row r="1037" spans="1:73" customFormat="1" ht="12.75" hidden="1" customHeight="1" x14ac:dyDescent="0.2">
      <c r="A1037" s="1"/>
      <c r="B1037" s="1"/>
      <c r="C1037" s="1"/>
      <c r="D1037" s="7"/>
      <c r="E1037" s="7"/>
      <c r="F1037" s="6"/>
      <c r="G1037" s="7"/>
      <c r="H1037" s="2"/>
      <c r="I1037" s="2"/>
      <c r="J1037" s="2"/>
      <c r="K1037" s="2"/>
      <c r="L1037" s="178"/>
      <c r="M1037" s="2"/>
      <c r="N1037" s="7"/>
      <c r="P1037" s="7"/>
      <c r="R1037" s="2"/>
      <c r="S1037" s="2"/>
      <c r="T1037" s="2"/>
      <c r="U1037" s="2"/>
      <c r="V1037" s="2"/>
      <c r="X1037" s="38"/>
      <c r="Y1037" s="38"/>
      <c r="Z1037" s="38"/>
      <c r="AA1037" s="38"/>
      <c r="AB1037" s="38"/>
      <c r="AD1037" s="2"/>
      <c r="AE1037" s="2"/>
      <c r="AF1037" s="2"/>
      <c r="AG1037" s="2"/>
      <c r="AH1037" s="2"/>
      <c r="AJ1037" s="215"/>
      <c r="AK1037" s="215"/>
      <c r="AL1037" s="215"/>
      <c r="AM1037" s="215"/>
      <c r="AO1037" s="10"/>
      <c r="AP1037" s="10"/>
      <c r="AQ1037" s="10"/>
      <c r="AR1037" s="10"/>
      <c r="AS1037" s="10"/>
      <c r="AU1037" s="2"/>
      <c r="AV1037" s="2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</row>
    <row r="1038" spans="1:73" customFormat="1" ht="12.75" hidden="1" customHeight="1" x14ac:dyDescent="0.2">
      <c r="A1038" s="1"/>
      <c r="B1038" s="1"/>
      <c r="C1038" s="1"/>
      <c r="D1038" s="7"/>
      <c r="E1038" s="7"/>
      <c r="F1038" s="6"/>
      <c r="G1038" s="7"/>
      <c r="H1038" s="2"/>
      <c r="I1038" s="2"/>
      <c r="J1038" s="2"/>
      <c r="K1038" s="2"/>
      <c r="L1038" s="178"/>
      <c r="M1038" s="2"/>
      <c r="N1038" s="7"/>
      <c r="P1038" s="7"/>
      <c r="R1038" s="2"/>
      <c r="S1038" s="2"/>
      <c r="T1038" s="2"/>
      <c r="U1038" s="2"/>
      <c r="V1038" s="2"/>
      <c r="X1038" s="38"/>
      <c r="Y1038" s="38"/>
      <c r="Z1038" s="38"/>
      <c r="AA1038" s="38"/>
      <c r="AB1038" s="38"/>
      <c r="AD1038" s="2"/>
      <c r="AE1038" s="2"/>
      <c r="AF1038" s="2"/>
      <c r="AG1038" s="2"/>
      <c r="AH1038" s="2"/>
      <c r="AJ1038" s="215"/>
      <c r="AK1038" s="215"/>
      <c r="AL1038" s="215"/>
      <c r="AM1038" s="215"/>
      <c r="AO1038" s="10"/>
      <c r="AP1038" s="10"/>
      <c r="AQ1038" s="10"/>
      <c r="AR1038" s="10"/>
      <c r="AS1038" s="10"/>
      <c r="AU1038" s="2"/>
      <c r="AV1038" s="2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</row>
    <row r="1039" spans="1:73" customFormat="1" ht="12.75" hidden="1" customHeight="1" x14ac:dyDescent="0.2">
      <c r="A1039" s="1"/>
      <c r="B1039" s="1"/>
      <c r="C1039" s="1"/>
      <c r="D1039" s="7"/>
      <c r="E1039" s="7"/>
      <c r="F1039" s="6"/>
      <c r="G1039" s="7"/>
      <c r="H1039" s="2"/>
      <c r="I1039" s="2"/>
      <c r="J1039" s="2"/>
      <c r="K1039" s="2"/>
      <c r="L1039" s="178"/>
      <c r="M1039" s="2"/>
      <c r="N1039" s="7"/>
      <c r="P1039" s="7"/>
      <c r="R1039" s="2"/>
      <c r="S1039" s="2"/>
      <c r="T1039" s="2"/>
      <c r="U1039" s="2"/>
      <c r="V1039" s="2"/>
      <c r="X1039" s="38"/>
      <c r="Y1039" s="38"/>
      <c r="Z1039" s="38"/>
      <c r="AA1039" s="38"/>
      <c r="AB1039" s="38"/>
      <c r="AD1039" s="2"/>
      <c r="AE1039" s="2"/>
      <c r="AF1039" s="2"/>
      <c r="AG1039" s="2"/>
      <c r="AH1039" s="2"/>
      <c r="AJ1039" s="215"/>
      <c r="AK1039" s="215"/>
      <c r="AL1039" s="215"/>
      <c r="AM1039" s="215"/>
      <c r="AO1039" s="10"/>
      <c r="AP1039" s="10"/>
      <c r="AQ1039" s="10"/>
      <c r="AR1039" s="10"/>
      <c r="AS1039" s="10"/>
      <c r="AU1039" s="2"/>
      <c r="AV1039" s="2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</row>
    <row r="1040" spans="1:73" customFormat="1" ht="12.75" hidden="1" customHeight="1" x14ac:dyDescent="0.2">
      <c r="A1040" s="1"/>
      <c r="B1040" s="1"/>
      <c r="C1040" s="1"/>
      <c r="D1040" s="7"/>
      <c r="E1040" s="7"/>
      <c r="F1040" s="6"/>
      <c r="G1040" s="7"/>
      <c r="H1040" s="2"/>
      <c r="I1040" s="2"/>
      <c r="J1040" s="2"/>
      <c r="K1040" s="2"/>
      <c r="L1040" s="178"/>
      <c r="M1040" s="2"/>
      <c r="N1040" s="7"/>
      <c r="P1040" s="7"/>
      <c r="R1040" s="2"/>
      <c r="S1040" s="2"/>
      <c r="T1040" s="2"/>
      <c r="U1040" s="2"/>
      <c r="V1040" s="2"/>
      <c r="X1040" s="38"/>
      <c r="Y1040" s="38"/>
      <c r="Z1040" s="38"/>
      <c r="AA1040" s="38"/>
      <c r="AB1040" s="38"/>
      <c r="AD1040" s="2"/>
      <c r="AE1040" s="2"/>
      <c r="AF1040" s="2"/>
      <c r="AG1040" s="2"/>
      <c r="AH1040" s="2"/>
      <c r="AJ1040" s="215"/>
      <c r="AK1040" s="215"/>
      <c r="AL1040" s="215"/>
      <c r="AM1040" s="215"/>
      <c r="AO1040" s="10"/>
      <c r="AP1040" s="10"/>
      <c r="AQ1040" s="10"/>
      <c r="AR1040" s="10"/>
      <c r="AS1040" s="10"/>
      <c r="AU1040" s="2"/>
      <c r="AV1040" s="2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</row>
    <row r="1041" spans="1:73" customFormat="1" ht="12.75" hidden="1" customHeight="1" x14ac:dyDescent="0.2">
      <c r="A1041" s="1"/>
      <c r="B1041" s="1"/>
      <c r="C1041" s="1"/>
      <c r="D1041" s="7"/>
      <c r="E1041" s="7"/>
      <c r="F1041" s="6"/>
      <c r="G1041" s="7"/>
      <c r="H1041" s="2"/>
      <c r="I1041" s="2"/>
      <c r="J1041" s="2"/>
      <c r="K1041" s="2"/>
      <c r="L1041" s="178"/>
      <c r="M1041" s="2"/>
      <c r="N1041" s="7"/>
      <c r="P1041" s="7"/>
      <c r="R1041" s="2"/>
      <c r="S1041" s="2"/>
      <c r="T1041" s="2"/>
      <c r="U1041" s="2"/>
      <c r="V1041" s="2"/>
      <c r="X1041" s="38"/>
      <c r="Y1041" s="38"/>
      <c r="Z1041" s="38"/>
      <c r="AA1041" s="38"/>
      <c r="AB1041" s="38"/>
      <c r="AD1041" s="2"/>
      <c r="AE1041" s="2"/>
      <c r="AF1041" s="2"/>
      <c r="AG1041" s="2"/>
      <c r="AH1041" s="2"/>
      <c r="AJ1041" s="215"/>
      <c r="AK1041" s="215"/>
      <c r="AL1041" s="215"/>
      <c r="AM1041" s="215"/>
      <c r="AO1041" s="10"/>
      <c r="AP1041" s="10"/>
      <c r="AQ1041" s="10"/>
      <c r="AR1041" s="10"/>
      <c r="AS1041" s="10"/>
      <c r="AU1041" s="2"/>
      <c r="AV1041" s="2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</row>
    <row r="1042" spans="1:73" customFormat="1" ht="12.75" hidden="1" customHeight="1" x14ac:dyDescent="0.2">
      <c r="A1042" s="1"/>
      <c r="B1042" s="1"/>
      <c r="C1042" s="1"/>
      <c r="D1042" s="7"/>
      <c r="E1042" s="7"/>
      <c r="F1042" s="6"/>
      <c r="G1042" s="7"/>
      <c r="H1042" s="2"/>
      <c r="I1042" s="2"/>
      <c r="J1042" s="2"/>
      <c r="K1042" s="2"/>
      <c r="L1042" s="178"/>
      <c r="M1042" s="2"/>
      <c r="N1042" s="7"/>
      <c r="P1042" s="7"/>
      <c r="R1042" s="2"/>
      <c r="S1042" s="2"/>
      <c r="T1042" s="2"/>
      <c r="U1042" s="2"/>
      <c r="V1042" s="2"/>
      <c r="X1042" s="38"/>
      <c r="Y1042" s="38"/>
      <c r="Z1042" s="38"/>
      <c r="AA1042" s="38"/>
      <c r="AB1042" s="38"/>
      <c r="AD1042" s="2"/>
      <c r="AE1042" s="2"/>
      <c r="AF1042" s="2"/>
      <c r="AG1042" s="2"/>
      <c r="AH1042" s="2"/>
      <c r="AJ1042" s="215"/>
      <c r="AK1042" s="215"/>
      <c r="AL1042" s="215"/>
      <c r="AM1042" s="215"/>
      <c r="AO1042" s="10"/>
      <c r="AP1042" s="10"/>
      <c r="AQ1042" s="10"/>
      <c r="AR1042" s="10"/>
      <c r="AS1042" s="10"/>
      <c r="AU1042" s="2"/>
      <c r="AV1042" s="2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</row>
    <row r="1043" spans="1:73" customFormat="1" ht="12.75" hidden="1" customHeight="1" x14ac:dyDescent="0.2">
      <c r="A1043" s="1"/>
      <c r="B1043" s="1"/>
      <c r="C1043" s="1"/>
      <c r="D1043" s="7"/>
      <c r="E1043" s="7"/>
      <c r="F1043" s="6"/>
      <c r="G1043" s="7"/>
      <c r="H1043" s="2"/>
      <c r="I1043" s="2"/>
      <c r="J1043" s="2"/>
      <c r="K1043" s="2"/>
      <c r="L1043" s="178"/>
      <c r="M1043" s="2"/>
      <c r="N1043" s="7"/>
      <c r="P1043" s="7"/>
      <c r="R1043" s="2"/>
      <c r="S1043" s="2"/>
      <c r="T1043" s="2"/>
      <c r="U1043" s="2"/>
      <c r="V1043" s="2"/>
      <c r="X1043" s="38"/>
      <c r="Y1043" s="38"/>
      <c r="Z1043" s="38"/>
      <c r="AA1043" s="38"/>
      <c r="AB1043" s="38"/>
      <c r="AD1043" s="2"/>
      <c r="AE1043" s="2"/>
      <c r="AF1043" s="2"/>
      <c r="AG1043" s="2"/>
      <c r="AH1043" s="2"/>
      <c r="AJ1043" s="215"/>
      <c r="AK1043" s="215"/>
      <c r="AL1043" s="215"/>
      <c r="AM1043" s="215"/>
      <c r="AO1043" s="10"/>
      <c r="AP1043" s="10"/>
      <c r="AQ1043" s="10"/>
      <c r="AR1043" s="10"/>
      <c r="AS1043" s="10"/>
      <c r="AU1043" s="2"/>
      <c r="AV1043" s="2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</row>
    <row r="1044" spans="1:73" customFormat="1" ht="12.75" hidden="1" customHeight="1" x14ac:dyDescent="0.2">
      <c r="A1044" s="1"/>
      <c r="B1044" s="1"/>
      <c r="C1044" s="1"/>
      <c r="D1044" s="7"/>
      <c r="E1044" s="7"/>
      <c r="F1044" s="6"/>
      <c r="G1044" s="7"/>
      <c r="H1044" s="2"/>
      <c r="I1044" s="2"/>
      <c r="J1044" s="2"/>
      <c r="K1044" s="2"/>
      <c r="L1044" s="178"/>
      <c r="M1044" s="2"/>
      <c r="N1044" s="7"/>
      <c r="P1044" s="7"/>
      <c r="R1044" s="2"/>
      <c r="S1044" s="2"/>
      <c r="T1044" s="2"/>
      <c r="U1044" s="2"/>
      <c r="V1044" s="2"/>
      <c r="X1044" s="38"/>
      <c r="Y1044" s="38"/>
      <c r="Z1044" s="38"/>
      <c r="AA1044" s="38"/>
      <c r="AB1044" s="38"/>
      <c r="AD1044" s="2"/>
      <c r="AE1044" s="2"/>
      <c r="AF1044" s="2"/>
      <c r="AG1044" s="2"/>
      <c r="AH1044" s="2"/>
      <c r="AJ1044" s="215"/>
      <c r="AK1044" s="215"/>
      <c r="AL1044" s="215"/>
      <c r="AM1044" s="215"/>
      <c r="AO1044" s="10"/>
      <c r="AP1044" s="10"/>
      <c r="AQ1044" s="10"/>
      <c r="AR1044" s="10"/>
      <c r="AS1044" s="10"/>
      <c r="AU1044" s="2"/>
      <c r="AV1044" s="2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</row>
    <row r="1045" spans="1:73" customFormat="1" ht="12.75" hidden="1" customHeight="1" x14ac:dyDescent="0.2">
      <c r="A1045" s="1"/>
      <c r="B1045" s="1"/>
      <c r="C1045" s="1"/>
      <c r="D1045" s="7"/>
      <c r="E1045" s="7"/>
      <c r="F1045" s="6"/>
      <c r="G1045" s="7"/>
      <c r="H1045" s="2"/>
      <c r="I1045" s="2"/>
      <c r="J1045" s="2"/>
      <c r="K1045" s="2"/>
      <c r="L1045" s="178"/>
      <c r="M1045" s="2"/>
      <c r="N1045" s="7"/>
      <c r="P1045" s="7"/>
      <c r="R1045" s="2"/>
      <c r="S1045" s="2"/>
      <c r="T1045" s="2"/>
      <c r="U1045" s="2"/>
      <c r="V1045" s="2"/>
      <c r="X1045" s="38"/>
      <c r="Y1045" s="38"/>
      <c r="Z1045" s="38"/>
      <c r="AA1045" s="38"/>
      <c r="AB1045" s="38"/>
      <c r="AD1045" s="2"/>
      <c r="AE1045" s="2"/>
      <c r="AF1045" s="2"/>
      <c r="AG1045" s="2"/>
      <c r="AH1045" s="2"/>
      <c r="AJ1045" s="215"/>
      <c r="AK1045" s="215"/>
      <c r="AL1045" s="215"/>
      <c r="AM1045" s="215"/>
      <c r="AO1045" s="10"/>
      <c r="AP1045" s="10"/>
      <c r="AQ1045" s="10"/>
      <c r="AR1045" s="10"/>
      <c r="AS1045" s="10"/>
      <c r="AU1045" s="2"/>
      <c r="AV1045" s="2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</row>
    <row r="1046" spans="1:73" customFormat="1" ht="12.75" hidden="1" customHeight="1" x14ac:dyDescent="0.2">
      <c r="A1046" s="1"/>
      <c r="B1046" s="1"/>
      <c r="C1046" s="1"/>
      <c r="D1046" s="7"/>
      <c r="E1046" s="7"/>
      <c r="F1046" s="6"/>
      <c r="G1046" s="7"/>
      <c r="H1046" s="2"/>
      <c r="I1046" s="2"/>
      <c r="J1046" s="2"/>
      <c r="K1046" s="2"/>
      <c r="L1046" s="178"/>
      <c r="M1046" s="2"/>
      <c r="N1046" s="7"/>
      <c r="P1046" s="7"/>
      <c r="R1046" s="2"/>
      <c r="S1046" s="2"/>
      <c r="T1046" s="2"/>
      <c r="U1046" s="2"/>
      <c r="V1046" s="2"/>
      <c r="X1046" s="38"/>
      <c r="Y1046" s="38"/>
      <c r="Z1046" s="38"/>
      <c r="AA1046" s="38"/>
      <c r="AB1046" s="38"/>
      <c r="AD1046" s="2"/>
      <c r="AE1046" s="2"/>
      <c r="AF1046" s="2"/>
      <c r="AG1046" s="2"/>
      <c r="AH1046" s="2"/>
      <c r="AJ1046" s="215"/>
      <c r="AK1046" s="215"/>
      <c r="AL1046" s="215"/>
      <c r="AM1046" s="215"/>
      <c r="AO1046" s="10"/>
      <c r="AP1046" s="10"/>
      <c r="AQ1046" s="10"/>
      <c r="AR1046" s="10"/>
      <c r="AS1046" s="10"/>
      <c r="AU1046" s="2"/>
      <c r="AV1046" s="2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</row>
    <row r="1047" spans="1:73" customFormat="1" ht="12.75" hidden="1" customHeight="1" x14ac:dyDescent="0.2">
      <c r="A1047" s="1"/>
      <c r="B1047" s="1"/>
      <c r="C1047" s="1"/>
      <c r="D1047" s="7"/>
      <c r="E1047" s="7"/>
      <c r="F1047" s="6"/>
      <c r="G1047" s="7"/>
      <c r="H1047" s="2"/>
      <c r="I1047" s="2"/>
      <c r="J1047" s="2"/>
      <c r="K1047" s="2"/>
      <c r="L1047" s="178"/>
      <c r="M1047" s="2"/>
      <c r="N1047" s="7"/>
      <c r="P1047" s="7"/>
      <c r="R1047" s="2"/>
      <c r="S1047" s="2"/>
      <c r="T1047" s="2"/>
      <c r="U1047" s="2"/>
      <c r="V1047" s="2"/>
      <c r="X1047" s="38"/>
      <c r="Y1047" s="38"/>
      <c r="Z1047" s="38"/>
      <c r="AA1047" s="38"/>
      <c r="AB1047" s="38"/>
      <c r="AD1047" s="2"/>
      <c r="AE1047" s="2"/>
      <c r="AF1047" s="2"/>
      <c r="AG1047" s="2"/>
      <c r="AH1047" s="2"/>
      <c r="AJ1047" s="215"/>
      <c r="AK1047" s="215"/>
      <c r="AL1047" s="215"/>
      <c r="AM1047" s="215"/>
      <c r="AO1047" s="10"/>
      <c r="AP1047" s="10"/>
      <c r="AQ1047" s="10"/>
      <c r="AR1047" s="10"/>
      <c r="AS1047" s="10"/>
      <c r="AU1047" s="2"/>
      <c r="AV1047" s="2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</row>
    <row r="1048" spans="1:73" customFormat="1" ht="12.75" hidden="1" customHeight="1" x14ac:dyDescent="0.2">
      <c r="A1048" s="1"/>
      <c r="B1048" s="1"/>
      <c r="C1048" s="1"/>
      <c r="D1048" s="7"/>
      <c r="E1048" s="7"/>
      <c r="F1048" s="6"/>
      <c r="G1048" s="7"/>
      <c r="H1048" s="2"/>
      <c r="I1048" s="2"/>
      <c r="J1048" s="2"/>
      <c r="K1048" s="2"/>
      <c r="L1048" s="178"/>
      <c r="M1048" s="2"/>
      <c r="N1048" s="7"/>
      <c r="P1048" s="7"/>
      <c r="R1048" s="2"/>
      <c r="S1048" s="2"/>
      <c r="T1048" s="2"/>
      <c r="U1048" s="2"/>
      <c r="V1048" s="2"/>
      <c r="X1048" s="38"/>
      <c r="Y1048" s="38"/>
      <c r="Z1048" s="38"/>
      <c r="AA1048" s="38"/>
      <c r="AB1048" s="38"/>
      <c r="AD1048" s="2"/>
      <c r="AE1048" s="2"/>
      <c r="AF1048" s="2"/>
      <c r="AG1048" s="2"/>
      <c r="AH1048" s="2"/>
      <c r="AJ1048" s="215"/>
      <c r="AK1048" s="215"/>
      <c r="AL1048" s="215"/>
      <c r="AM1048" s="215"/>
      <c r="AO1048" s="10"/>
      <c r="AP1048" s="10"/>
      <c r="AQ1048" s="10"/>
      <c r="AR1048" s="10"/>
      <c r="AS1048" s="10"/>
      <c r="AU1048" s="2"/>
      <c r="AV1048" s="2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</row>
    <row r="1049" spans="1:73" customFormat="1" ht="12.75" hidden="1" customHeight="1" x14ac:dyDescent="0.2">
      <c r="A1049" s="1"/>
      <c r="B1049" s="1"/>
      <c r="C1049" s="1"/>
      <c r="D1049" s="7"/>
      <c r="E1049" s="7"/>
      <c r="F1049" s="6"/>
      <c r="G1049" s="7"/>
      <c r="H1049" s="2"/>
      <c r="I1049" s="2"/>
      <c r="J1049" s="2"/>
      <c r="K1049" s="2"/>
      <c r="L1049" s="178"/>
      <c r="M1049" s="2"/>
      <c r="N1049" s="7"/>
      <c r="P1049" s="7"/>
      <c r="R1049" s="2"/>
      <c r="S1049" s="2"/>
      <c r="T1049" s="2"/>
      <c r="U1049" s="2"/>
      <c r="V1049" s="2"/>
      <c r="X1049" s="38"/>
      <c r="Y1049" s="38"/>
      <c r="Z1049" s="38"/>
      <c r="AA1049" s="38"/>
      <c r="AB1049" s="38"/>
      <c r="AD1049" s="2"/>
      <c r="AE1049" s="2"/>
      <c r="AF1049" s="2"/>
      <c r="AG1049" s="2"/>
      <c r="AH1049" s="2"/>
      <c r="AJ1049" s="215"/>
      <c r="AK1049" s="215"/>
      <c r="AL1049" s="215"/>
      <c r="AM1049" s="215"/>
      <c r="AO1049" s="10"/>
      <c r="AP1049" s="10"/>
      <c r="AQ1049" s="10"/>
      <c r="AR1049" s="10"/>
      <c r="AS1049" s="10"/>
      <c r="AU1049" s="2"/>
      <c r="AV1049" s="2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</row>
    <row r="1050" spans="1:73" customFormat="1" ht="12.75" hidden="1" customHeight="1" x14ac:dyDescent="0.2">
      <c r="A1050" s="1"/>
      <c r="B1050" s="1"/>
      <c r="C1050" s="1"/>
      <c r="D1050" s="7"/>
      <c r="E1050" s="7"/>
      <c r="F1050" s="6"/>
      <c r="G1050" s="7"/>
      <c r="H1050" s="2"/>
      <c r="I1050" s="2"/>
      <c r="J1050" s="2"/>
      <c r="K1050" s="2"/>
      <c r="L1050" s="178"/>
      <c r="M1050" s="2"/>
      <c r="N1050" s="7"/>
      <c r="P1050" s="7"/>
      <c r="R1050" s="2"/>
      <c r="S1050" s="2"/>
      <c r="T1050" s="2"/>
      <c r="U1050" s="2"/>
      <c r="V1050" s="2"/>
      <c r="X1050" s="38"/>
      <c r="Y1050" s="38"/>
      <c r="Z1050" s="38"/>
      <c r="AA1050" s="38"/>
      <c r="AB1050" s="38"/>
      <c r="AD1050" s="2"/>
      <c r="AE1050" s="2"/>
      <c r="AF1050" s="2"/>
      <c r="AG1050" s="2"/>
      <c r="AH1050" s="2"/>
      <c r="AJ1050" s="215"/>
      <c r="AK1050" s="215"/>
      <c r="AL1050" s="215"/>
      <c r="AM1050" s="215"/>
      <c r="AO1050" s="10"/>
      <c r="AP1050" s="10"/>
      <c r="AQ1050" s="10"/>
      <c r="AR1050" s="10"/>
      <c r="AS1050" s="10"/>
      <c r="AU1050" s="2"/>
      <c r="AV1050" s="2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</row>
    <row r="1051" spans="1:73" customFormat="1" ht="12.75" hidden="1" customHeight="1" x14ac:dyDescent="0.2">
      <c r="A1051" s="1"/>
      <c r="B1051" s="1"/>
      <c r="C1051" s="1"/>
      <c r="D1051" s="7"/>
      <c r="E1051" s="7"/>
      <c r="F1051" s="6"/>
      <c r="G1051" s="7"/>
      <c r="H1051" s="2"/>
      <c r="I1051" s="2"/>
      <c r="J1051" s="2"/>
      <c r="K1051" s="2"/>
      <c r="L1051" s="178"/>
      <c r="M1051" s="2"/>
      <c r="N1051" s="7"/>
      <c r="P1051" s="7"/>
      <c r="R1051" s="2"/>
      <c r="S1051" s="2"/>
      <c r="T1051" s="2"/>
      <c r="U1051" s="2"/>
      <c r="V1051" s="2"/>
      <c r="X1051" s="38"/>
      <c r="Y1051" s="38"/>
      <c r="Z1051" s="38"/>
      <c r="AA1051" s="38"/>
      <c r="AB1051" s="38"/>
      <c r="AD1051" s="2"/>
      <c r="AE1051" s="2"/>
      <c r="AF1051" s="2"/>
      <c r="AG1051" s="2"/>
      <c r="AH1051" s="2"/>
      <c r="AJ1051" s="215"/>
      <c r="AK1051" s="215"/>
      <c r="AL1051" s="215"/>
      <c r="AM1051" s="215"/>
      <c r="AO1051" s="10"/>
      <c r="AP1051" s="10"/>
      <c r="AQ1051" s="10"/>
      <c r="AR1051" s="10"/>
      <c r="AS1051" s="10"/>
      <c r="AU1051" s="2"/>
      <c r="AV1051" s="2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</row>
    <row r="1052" spans="1:73" customFormat="1" ht="12.75" hidden="1" customHeight="1" x14ac:dyDescent="0.2">
      <c r="A1052" s="1"/>
      <c r="B1052" s="1"/>
      <c r="C1052" s="1"/>
      <c r="D1052" s="7"/>
      <c r="E1052" s="7"/>
      <c r="F1052" s="6"/>
      <c r="G1052" s="7"/>
      <c r="H1052" s="2"/>
      <c r="I1052" s="2"/>
      <c r="J1052" s="2"/>
      <c r="K1052" s="2"/>
      <c r="L1052" s="178"/>
      <c r="M1052" s="2"/>
      <c r="N1052" s="7"/>
      <c r="P1052" s="7"/>
      <c r="R1052" s="2"/>
      <c r="S1052" s="2"/>
      <c r="T1052" s="2"/>
      <c r="U1052" s="2"/>
      <c r="V1052" s="2"/>
      <c r="X1052" s="38"/>
      <c r="Y1052" s="38"/>
      <c r="Z1052" s="38"/>
      <c r="AA1052" s="38"/>
      <c r="AB1052" s="38"/>
      <c r="AD1052" s="2"/>
      <c r="AE1052" s="2"/>
      <c r="AF1052" s="2"/>
      <c r="AG1052" s="2"/>
      <c r="AH1052" s="2"/>
      <c r="AJ1052" s="215"/>
      <c r="AK1052" s="215"/>
      <c r="AL1052" s="215"/>
      <c r="AM1052" s="215"/>
      <c r="AO1052" s="10"/>
      <c r="AP1052" s="10"/>
      <c r="AQ1052" s="10"/>
      <c r="AR1052" s="10"/>
      <c r="AS1052" s="10"/>
      <c r="AU1052" s="2"/>
      <c r="AV1052" s="2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</row>
    <row r="1053" spans="1:73" customFormat="1" ht="12.75" hidden="1" customHeight="1" x14ac:dyDescent="0.2">
      <c r="A1053" s="1"/>
      <c r="B1053" s="1"/>
      <c r="C1053" s="1"/>
      <c r="D1053" s="7"/>
      <c r="E1053" s="7"/>
      <c r="F1053" s="6"/>
      <c r="G1053" s="7"/>
      <c r="H1053" s="2"/>
      <c r="I1053" s="2"/>
      <c r="J1053" s="2"/>
      <c r="K1053" s="2"/>
      <c r="L1053" s="178"/>
      <c r="M1053" s="2"/>
      <c r="N1053" s="7"/>
      <c r="P1053" s="7"/>
      <c r="R1053" s="2"/>
      <c r="S1053" s="2"/>
      <c r="T1053" s="2"/>
      <c r="U1053" s="2"/>
      <c r="V1053" s="2"/>
      <c r="X1053" s="38"/>
      <c r="Y1053" s="38"/>
      <c r="Z1053" s="38"/>
      <c r="AA1053" s="38"/>
      <c r="AB1053" s="38"/>
      <c r="AD1053" s="2"/>
      <c r="AE1053" s="2"/>
      <c r="AF1053" s="2"/>
      <c r="AG1053" s="2"/>
      <c r="AH1053" s="2"/>
      <c r="AJ1053" s="215"/>
      <c r="AK1053" s="215"/>
      <c r="AL1053" s="215"/>
      <c r="AM1053" s="215"/>
      <c r="AO1053" s="10"/>
      <c r="AP1053" s="10"/>
      <c r="AQ1053" s="10"/>
      <c r="AR1053" s="10"/>
      <c r="AS1053" s="10"/>
      <c r="AU1053" s="2"/>
      <c r="AV1053" s="2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</row>
    <row r="1054" spans="1:73" customFormat="1" ht="12.75" hidden="1" customHeight="1" x14ac:dyDescent="0.2">
      <c r="A1054" s="1"/>
      <c r="B1054" s="1"/>
      <c r="C1054" s="1"/>
      <c r="D1054" s="7"/>
      <c r="E1054" s="7"/>
      <c r="F1054" s="6"/>
      <c r="G1054" s="7"/>
      <c r="H1054" s="2"/>
      <c r="I1054" s="2"/>
      <c r="J1054" s="2"/>
      <c r="K1054" s="2"/>
      <c r="L1054" s="178"/>
      <c r="M1054" s="2"/>
      <c r="N1054" s="7"/>
      <c r="P1054" s="7"/>
      <c r="R1054" s="2"/>
      <c r="S1054" s="2"/>
      <c r="T1054" s="2"/>
      <c r="U1054" s="2"/>
      <c r="V1054" s="2"/>
      <c r="X1054" s="38"/>
      <c r="Y1054" s="38"/>
      <c r="Z1054" s="38"/>
      <c r="AA1054" s="38"/>
      <c r="AB1054" s="38"/>
      <c r="AD1054" s="2"/>
      <c r="AE1054" s="2"/>
      <c r="AF1054" s="2"/>
      <c r="AG1054" s="2"/>
      <c r="AH1054" s="2"/>
      <c r="AJ1054" s="215"/>
      <c r="AK1054" s="215"/>
      <c r="AL1054" s="215"/>
      <c r="AM1054" s="215"/>
      <c r="AO1054" s="10"/>
      <c r="AP1054" s="10"/>
      <c r="AQ1054" s="10"/>
      <c r="AR1054" s="10"/>
      <c r="AS1054" s="10"/>
      <c r="AU1054" s="2"/>
      <c r="AV1054" s="2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</row>
    <row r="1055" spans="1:73" customFormat="1" ht="12.75" hidden="1" customHeight="1" x14ac:dyDescent="0.2">
      <c r="A1055" s="1"/>
      <c r="B1055" s="1"/>
      <c r="C1055" s="1"/>
      <c r="D1055" s="7"/>
      <c r="E1055" s="7"/>
      <c r="F1055" s="6"/>
      <c r="G1055" s="7"/>
      <c r="H1055" s="2"/>
      <c r="I1055" s="2"/>
      <c r="J1055" s="2"/>
      <c r="K1055" s="2"/>
      <c r="L1055" s="178"/>
      <c r="M1055" s="2"/>
      <c r="N1055" s="7"/>
      <c r="P1055" s="7"/>
      <c r="R1055" s="2"/>
      <c r="S1055" s="2"/>
      <c r="T1055" s="2"/>
      <c r="U1055" s="2"/>
      <c r="V1055" s="2"/>
      <c r="X1055" s="38"/>
      <c r="Y1055" s="38"/>
      <c r="Z1055" s="38"/>
      <c r="AA1055" s="38"/>
      <c r="AB1055" s="38"/>
      <c r="AD1055" s="2"/>
      <c r="AE1055" s="2"/>
      <c r="AF1055" s="2"/>
      <c r="AG1055" s="2"/>
      <c r="AH1055" s="2"/>
      <c r="AJ1055" s="215"/>
      <c r="AK1055" s="215"/>
      <c r="AL1055" s="215"/>
      <c r="AM1055" s="215"/>
      <c r="AO1055" s="10"/>
      <c r="AP1055" s="10"/>
      <c r="AQ1055" s="10"/>
      <c r="AR1055" s="10"/>
      <c r="AS1055" s="10"/>
      <c r="AU1055" s="2"/>
      <c r="AV1055" s="2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</row>
    <row r="1056" spans="1:73" customFormat="1" ht="12.75" hidden="1" customHeight="1" x14ac:dyDescent="0.2">
      <c r="A1056" s="1"/>
      <c r="B1056" s="1"/>
      <c r="C1056" s="1"/>
      <c r="D1056" s="7"/>
      <c r="E1056" s="7"/>
      <c r="F1056" s="6"/>
      <c r="G1056" s="7"/>
      <c r="H1056" s="2"/>
      <c r="I1056" s="2"/>
      <c r="J1056" s="2"/>
      <c r="K1056" s="2"/>
      <c r="L1056" s="178"/>
      <c r="M1056" s="2"/>
      <c r="N1056" s="7"/>
      <c r="P1056" s="7"/>
      <c r="R1056" s="2"/>
      <c r="S1056" s="2"/>
      <c r="T1056" s="2"/>
      <c r="U1056" s="2"/>
      <c r="V1056" s="2"/>
      <c r="X1056" s="38"/>
      <c r="Y1056" s="38"/>
      <c r="Z1056" s="38"/>
      <c r="AA1056" s="38"/>
      <c r="AB1056" s="38"/>
      <c r="AD1056" s="2"/>
      <c r="AE1056" s="2"/>
      <c r="AF1056" s="2"/>
      <c r="AG1056" s="2"/>
      <c r="AH1056" s="2"/>
      <c r="AJ1056" s="215"/>
      <c r="AK1056" s="215"/>
      <c r="AL1056" s="215"/>
      <c r="AM1056" s="215"/>
      <c r="AO1056" s="10"/>
      <c r="AP1056" s="10"/>
      <c r="AQ1056" s="10"/>
      <c r="AR1056" s="10"/>
      <c r="AS1056" s="10"/>
      <c r="AU1056" s="2"/>
      <c r="AV1056" s="2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</row>
    <row r="1057" spans="1:73" customFormat="1" ht="12.75" hidden="1" customHeight="1" x14ac:dyDescent="0.2">
      <c r="A1057" s="1"/>
      <c r="B1057" s="1"/>
      <c r="C1057" s="1"/>
      <c r="D1057" s="7"/>
      <c r="E1057" s="7"/>
      <c r="F1057" s="6"/>
      <c r="G1057" s="7"/>
      <c r="H1057" s="2"/>
      <c r="I1057" s="2"/>
      <c r="J1057" s="2"/>
      <c r="K1057" s="2"/>
      <c r="L1057" s="178"/>
      <c r="M1057" s="2"/>
      <c r="N1057" s="7"/>
      <c r="P1057" s="7"/>
      <c r="R1057" s="2"/>
      <c r="S1057" s="2"/>
      <c r="T1057" s="2"/>
      <c r="U1057" s="2"/>
      <c r="V1057" s="2"/>
      <c r="X1057" s="38"/>
      <c r="Y1057" s="38"/>
      <c r="Z1057" s="38"/>
      <c r="AA1057" s="38"/>
      <c r="AB1057" s="38"/>
      <c r="AD1057" s="2"/>
      <c r="AE1057" s="2"/>
      <c r="AF1057" s="2"/>
      <c r="AG1057" s="2"/>
      <c r="AH1057" s="2"/>
      <c r="AJ1057" s="215"/>
      <c r="AK1057" s="215"/>
      <c r="AL1057" s="215"/>
      <c r="AM1057" s="215"/>
      <c r="AO1057" s="10"/>
      <c r="AP1057" s="10"/>
      <c r="AQ1057" s="10"/>
      <c r="AR1057" s="10"/>
      <c r="AS1057" s="10"/>
      <c r="AU1057" s="2"/>
      <c r="AV1057" s="2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</row>
    <row r="1058" spans="1:73" customFormat="1" ht="12.75" hidden="1" customHeight="1" x14ac:dyDescent="0.2">
      <c r="A1058" s="1"/>
      <c r="B1058" s="1"/>
      <c r="C1058" s="1"/>
      <c r="D1058" s="7"/>
      <c r="E1058" s="7"/>
      <c r="F1058" s="6"/>
      <c r="G1058" s="7"/>
      <c r="H1058" s="2"/>
      <c r="I1058" s="2"/>
      <c r="J1058" s="2"/>
      <c r="K1058" s="2"/>
      <c r="L1058" s="178"/>
      <c r="M1058" s="2"/>
      <c r="N1058" s="7"/>
      <c r="P1058" s="7"/>
      <c r="R1058" s="2"/>
      <c r="S1058" s="2"/>
      <c r="T1058" s="2"/>
      <c r="U1058" s="2"/>
      <c r="V1058" s="2"/>
      <c r="X1058" s="38"/>
      <c r="Y1058" s="38"/>
      <c r="Z1058" s="38"/>
      <c r="AA1058" s="38"/>
      <c r="AB1058" s="38"/>
      <c r="AD1058" s="2"/>
      <c r="AE1058" s="2"/>
      <c r="AF1058" s="2"/>
      <c r="AG1058" s="2"/>
      <c r="AH1058" s="2"/>
      <c r="AJ1058" s="215"/>
      <c r="AK1058" s="215"/>
      <c r="AL1058" s="215"/>
      <c r="AM1058" s="215"/>
      <c r="AO1058" s="10"/>
      <c r="AP1058" s="10"/>
      <c r="AQ1058" s="10"/>
      <c r="AR1058" s="10"/>
      <c r="AS1058" s="10"/>
      <c r="AU1058" s="2"/>
      <c r="AV1058" s="2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</row>
    <row r="1059" spans="1:73" customFormat="1" ht="12.75" hidden="1" customHeight="1" x14ac:dyDescent="0.2">
      <c r="A1059" s="1"/>
      <c r="B1059" s="1"/>
      <c r="C1059" s="1"/>
      <c r="D1059" s="7"/>
      <c r="E1059" s="7"/>
      <c r="F1059" s="6"/>
      <c r="G1059" s="7"/>
      <c r="H1059" s="2"/>
      <c r="I1059" s="2"/>
      <c r="J1059" s="2"/>
      <c r="K1059" s="2"/>
      <c r="L1059" s="178"/>
      <c r="M1059" s="2"/>
      <c r="N1059" s="7"/>
      <c r="P1059" s="7"/>
      <c r="R1059" s="2"/>
      <c r="S1059" s="2"/>
      <c r="T1059" s="2"/>
      <c r="U1059" s="2"/>
      <c r="V1059" s="2"/>
      <c r="X1059" s="38"/>
      <c r="Y1059" s="38"/>
      <c r="Z1059" s="38"/>
      <c r="AA1059" s="38"/>
      <c r="AB1059" s="38"/>
      <c r="AD1059" s="2"/>
      <c r="AE1059" s="2"/>
      <c r="AF1059" s="2"/>
      <c r="AG1059" s="2"/>
      <c r="AH1059" s="2"/>
      <c r="AJ1059" s="215"/>
      <c r="AK1059" s="215"/>
      <c r="AL1059" s="215"/>
      <c r="AM1059" s="215"/>
      <c r="AO1059" s="10"/>
      <c r="AP1059" s="10"/>
      <c r="AQ1059" s="10"/>
      <c r="AR1059" s="10"/>
      <c r="AS1059" s="10"/>
      <c r="AU1059" s="2"/>
      <c r="AV1059" s="2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</row>
    <row r="1060" spans="1:73" customFormat="1" ht="12.75" hidden="1" customHeight="1" x14ac:dyDescent="0.2">
      <c r="A1060" s="1"/>
      <c r="B1060" s="1"/>
      <c r="C1060" s="1"/>
      <c r="D1060" s="7"/>
      <c r="E1060" s="7"/>
      <c r="F1060" s="6"/>
      <c r="G1060" s="7"/>
      <c r="H1060" s="2"/>
      <c r="I1060" s="2"/>
      <c r="J1060" s="2"/>
      <c r="K1060" s="2"/>
      <c r="L1060" s="178"/>
      <c r="M1060" s="2"/>
      <c r="N1060" s="7"/>
      <c r="P1060" s="7"/>
      <c r="R1060" s="2"/>
      <c r="S1060" s="2"/>
      <c r="T1060" s="2"/>
      <c r="U1060" s="2"/>
      <c r="V1060" s="2"/>
      <c r="X1060" s="38"/>
      <c r="Y1060" s="38"/>
      <c r="Z1060" s="38"/>
      <c r="AA1060" s="38"/>
      <c r="AB1060" s="38"/>
      <c r="AD1060" s="2"/>
      <c r="AE1060" s="2"/>
      <c r="AF1060" s="2"/>
      <c r="AG1060" s="2"/>
      <c r="AH1060" s="2"/>
      <c r="AJ1060" s="215"/>
      <c r="AK1060" s="215"/>
      <c r="AL1060" s="215"/>
      <c r="AM1060" s="215"/>
      <c r="AO1060" s="10"/>
      <c r="AP1060" s="10"/>
      <c r="AQ1060" s="10"/>
      <c r="AR1060" s="10"/>
      <c r="AS1060" s="10"/>
      <c r="AU1060" s="2"/>
      <c r="AV1060" s="2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</row>
    <row r="1061" spans="1:73" customFormat="1" ht="12.75" hidden="1" customHeight="1" x14ac:dyDescent="0.2">
      <c r="A1061" s="1"/>
      <c r="B1061" s="1"/>
      <c r="C1061" s="1"/>
      <c r="D1061" s="7"/>
      <c r="E1061" s="7"/>
      <c r="F1061" s="6"/>
      <c r="G1061" s="7"/>
      <c r="H1061" s="2"/>
      <c r="I1061" s="2"/>
      <c r="J1061" s="2"/>
      <c r="K1061" s="2"/>
      <c r="L1061" s="178"/>
      <c r="M1061" s="2"/>
      <c r="N1061" s="7"/>
      <c r="P1061" s="7"/>
      <c r="R1061" s="2"/>
      <c r="S1061" s="2"/>
      <c r="T1061" s="2"/>
      <c r="U1061" s="2"/>
      <c r="V1061" s="2"/>
      <c r="X1061" s="38"/>
      <c r="Y1061" s="38"/>
      <c r="Z1061" s="38"/>
      <c r="AA1061" s="38"/>
      <c r="AB1061" s="38"/>
      <c r="AD1061" s="2"/>
      <c r="AE1061" s="2"/>
      <c r="AF1061" s="2"/>
      <c r="AG1061" s="2"/>
      <c r="AH1061" s="2"/>
      <c r="AJ1061" s="215"/>
      <c r="AK1061" s="215"/>
      <c r="AL1061" s="215"/>
      <c r="AM1061" s="215"/>
      <c r="AO1061" s="10"/>
      <c r="AP1061" s="10"/>
      <c r="AQ1061" s="10"/>
      <c r="AR1061" s="10"/>
      <c r="AS1061" s="10"/>
      <c r="AU1061" s="2"/>
      <c r="AV1061" s="2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</row>
    <row r="1062" spans="1:73" customFormat="1" ht="12.75" hidden="1" customHeight="1" x14ac:dyDescent="0.2">
      <c r="A1062" s="1"/>
      <c r="B1062" s="1"/>
      <c r="C1062" s="1"/>
      <c r="D1062" s="7"/>
      <c r="E1062" s="7"/>
      <c r="F1062" s="6"/>
      <c r="G1062" s="7"/>
      <c r="H1062" s="2"/>
      <c r="I1062" s="2"/>
      <c r="J1062" s="2"/>
      <c r="K1062" s="2"/>
      <c r="L1062" s="178"/>
      <c r="M1062" s="2"/>
      <c r="N1062" s="7"/>
      <c r="P1062" s="7"/>
      <c r="R1062" s="2"/>
      <c r="S1062" s="2"/>
      <c r="T1062" s="2"/>
      <c r="U1062" s="2"/>
      <c r="V1062" s="2"/>
      <c r="X1062" s="38"/>
      <c r="Y1062" s="38"/>
      <c r="Z1062" s="38"/>
      <c r="AA1062" s="38"/>
      <c r="AB1062" s="38"/>
      <c r="AD1062" s="2"/>
      <c r="AE1062" s="2"/>
      <c r="AF1062" s="2"/>
      <c r="AG1062" s="2"/>
      <c r="AH1062" s="2"/>
      <c r="AJ1062" s="215"/>
      <c r="AK1062" s="215"/>
      <c r="AL1062" s="215"/>
      <c r="AM1062" s="215"/>
      <c r="AO1062" s="10"/>
      <c r="AP1062" s="10"/>
      <c r="AQ1062" s="10"/>
      <c r="AR1062" s="10"/>
      <c r="AS1062" s="10"/>
      <c r="AU1062" s="2"/>
      <c r="AV1062" s="2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</row>
    <row r="1063" spans="1:73" customFormat="1" ht="12.75" hidden="1" customHeight="1" x14ac:dyDescent="0.2">
      <c r="A1063" s="1"/>
      <c r="B1063" s="1"/>
      <c r="C1063" s="1"/>
      <c r="D1063" s="7"/>
      <c r="E1063" s="7"/>
      <c r="F1063" s="6"/>
      <c r="G1063" s="7"/>
      <c r="H1063" s="2"/>
      <c r="I1063" s="2"/>
      <c r="J1063" s="2"/>
      <c r="K1063" s="2"/>
      <c r="L1063" s="178"/>
      <c r="M1063" s="2"/>
      <c r="N1063" s="7"/>
      <c r="P1063" s="7"/>
      <c r="R1063" s="2"/>
      <c r="S1063" s="2"/>
      <c r="T1063" s="2"/>
      <c r="U1063" s="2"/>
      <c r="V1063" s="2"/>
      <c r="X1063" s="38"/>
      <c r="Y1063" s="38"/>
      <c r="Z1063" s="38"/>
      <c r="AA1063" s="38"/>
      <c r="AB1063" s="38"/>
      <c r="AD1063" s="2"/>
      <c r="AE1063" s="2"/>
      <c r="AF1063" s="2"/>
      <c r="AG1063" s="2"/>
      <c r="AH1063" s="2"/>
      <c r="AJ1063" s="215"/>
      <c r="AK1063" s="215"/>
      <c r="AL1063" s="215"/>
      <c r="AM1063" s="215"/>
      <c r="AO1063" s="10"/>
      <c r="AP1063" s="10"/>
      <c r="AQ1063" s="10"/>
      <c r="AR1063" s="10"/>
      <c r="AS1063" s="10"/>
      <c r="AU1063" s="2"/>
      <c r="AV1063" s="2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</row>
    <row r="1064" spans="1:73" customFormat="1" ht="12.75" hidden="1" customHeight="1" x14ac:dyDescent="0.2">
      <c r="A1064" s="1"/>
      <c r="B1064" s="1"/>
      <c r="C1064" s="1"/>
      <c r="D1064" s="7"/>
      <c r="E1064" s="7"/>
      <c r="F1064" s="6"/>
      <c r="G1064" s="7"/>
      <c r="H1064" s="2"/>
      <c r="I1064" s="2"/>
      <c r="J1064" s="2"/>
      <c r="K1064" s="2"/>
      <c r="L1064" s="178"/>
      <c r="M1064" s="2"/>
      <c r="N1064" s="7"/>
      <c r="P1064" s="7"/>
      <c r="R1064" s="2"/>
      <c r="S1064" s="2"/>
      <c r="T1064" s="2"/>
      <c r="U1064" s="2"/>
      <c r="V1064" s="2"/>
      <c r="X1064" s="38"/>
      <c r="Y1064" s="38"/>
      <c r="Z1064" s="38"/>
      <c r="AA1064" s="38"/>
      <c r="AB1064" s="38"/>
      <c r="AD1064" s="2"/>
      <c r="AE1064" s="2"/>
      <c r="AF1064" s="2"/>
      <c r="AG1064" s="2"/>
      <c r="AH1064" s="2"/>
      <c r="AJ1064" s="215"/>
      <c r="AK1064" s="215"/>
      <c r="AL1064" s="215"/>
      <c r="AM1064" s="215"/>
      <c r="AO1064" s="10"/>
      <c r="AP1064" s="10"/>
      <c r="AQ1064" s="10"/>
      <c r="AR1064" s="10"/>
      <c r="AS1064" s="10"/>
      <c r="AU1064" s="2"/>
      <c r="AV1064" s="2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</row>
    <row r="1065" spans="1:73" customFormat="1" ht="12.75" hidden="1" customHeight="1" x14ac:dyDescent="0.2">
      <c r="A1065" s="1"/>
      <c r="B1065" s="1"/>
      <c r="C1065" s="1"/>
      <c r="D1065" s="7"/>
      <c r="E1065" s="7"/>
      <c r="F1065" s="6"/>
      <c r="G1065" s="7"/>
      <c r="H1065" s="2"/>
      <c r="I1065" s="2"/>
      <c r="J1065" s="2"/>
      <c r="K1065" s="2"/>
      <c r="L1065" s="178"/>
      <c r="M1065" s="2"/>
      <c r="N1065" s="7"/>
      <c r="P1065" s="7"/>
      <c r="R1065" s="2"/>
      <c r="S1065" s="2"/>
      <c r="T1065" s="2"/>
      <c r="U1065" s="2"/>
      <c r="V1065" s="2"/>
      <c r="X1065" s="38"/>
      <c r="Y1065" s="38"/>
      <c r="Z1065" s="38"/>
      <c r="AA1065" s="38"/>
      <c r="AB1065" s="38"/>
      <c r="AD1065" s="2"/>
      <c r="AE1065" s="2"/>
      <c r="AF1065" s="2"/>
      <c r="AG1065" s="2"/>
      <c r="AH1065" s="2"/>
      <c r="AJ1065" s="215"/>
      <c r="AK1065" s="215"/>
      <c r="AL1065" s="215"/>
      <c r="AM1065" s="215"/>
      <c r="AO1065" s="10"/>
      <c r="AP1065" s="10"/>
      <c r="AQ1065" s="10"/>
      <c r="AR1065" s="10"/>
      <c r="AS1065" s="10"/>
      <c r="AU1065" s="2"/>
      <c r="AV1065" s="2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</row>
    <row r="1066" spans="1:73" customFormat="1" ht="12.75" hidden="1" customHeight="1" x14ac:dyDescent="0.2">
      <c r="A1066" s="1"/>
      <c r="B1066" s="1"/>
      <c r="C1066" s="1"/>
      <c r="D1066" s="7"/>
      <c r="E1066" s="7"/>
      <c r="F1066" s="6"/>
      <c r="G1066" s="7"/>
      <c r="H1066" s="2"/>
      <c r="I1066" s="2"/>
      <c r="J1066" s="2"/>
      <c r="K1066" s="2"/>
      <c r="L1066" s="178"/>
      <c r="M1066" s="2"/>
      <c r="N1066" s="7"/>
      <c r="P1066" s="7"/>
      <c r="R1066" s="2"/>
      <c r="S1066" s="2"/>
      <c r="T1066" s="2"/>
      <c r="U1066" s="2"/>
      <c r="V1066" s="2"/>
      <c r="X1066" s="38"/>
      <c r="Y1066" s="38"/>
      <c r="Z1066" s="38"/>
      <c r="AA1066" s="38"/>
      <c r="AB1066" s="38"/>
      <c r="AD1066" s="2"/>
      <c r="AE1066" s="2"/>
      <c r="AF1066" s="2"/>
      <c r="AG1066" s="2"/>
      <c r="AH1066" s="2"/>
      <c r="AJ1066" s="215"/>
      <c r="AK1066" s="215"/>
      <c r="AL1066" s="215"/>
      <c r="AM1066" s="215"/>
      <c r="AO1066" s="10"/>
      <c r="AP1066" s="10"/>
      <c r="AQ1066" s="10"/>
      <c r="AR1066" s="10"/>
      <c r="AS1066" s="10"/>
      <c r="AU1066" s="2"/>
      <c r="AV1066" s="2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</row>
    <row r="1067" spans="1:73" customFormat="1" ht="12.75" hidden="1" customHeight="1" x14ac:dyDescent="0.2">
      <c r="A1067" s="1"/>
      <c r="B1067" s="1"/>
      <c r="C1067" s="1"/>
      <c r="D1067" s="7"/>
      <c r="E1067" s="7"/>
      <c r="F1067" s="6"/>
      <c r="G1067" s="7"/>
      <c r="H1067" s="2"/>
      <c r="I1067" s="2"/>
      <c r="J1067" s="2"/>
      <c r="K1067" s="2"/>
      <c r="L1067" s="178"/>
      <c r="M1067" s="2"/>
      <c r="N1067" s="7"/>
      <c r="P1067" s="7"/>
      <c r="R1067" s="2"/>
      <c r="S1067" s="2"/>
      <c r="T1067" s="2"/>
      <c r="U1067" s="2"/>
      <c r="V1067" s="2"/>
      <c r="X1067" s="38"/>
      <c r="Y1067" s="38"/>
      <c r="Z1067" s="38"/>
      <c r="AA1067" s="38"/>
      <c r="AB1067" s="38"/>
      <c r="AD1067" s="2"/>
      <c r="AE1067" s="2"/>
      <c r="AF1067" s="2"/>
      <c r="AG1067" s="2"/>
      <c r="AH1067" s="2"/>
      <c r="AJ1067" s="215"/>
      <c r="AK1067" s="215"/>
      <c r="AL1067" s="215"/>
      <c r="AM1067" s="215"/>
      <c r="AO1067" s="10"/>
      <c r="AP1067" s="10"/>
      <c r="AQ1067" s="10"/>
      <c r="AR1067" s="10"/>
      <c r="AS1067" s="10"/>
      <c r="AU1067" s="2"/>
      <c r="AV1067" s="2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</row>
    <row r="1068" spans="1:73" customFormat="1" ht="12.75" hidden="1" customHeight="1" x14ac:dyDescent="0.2">
      <c r="A1068" s="1"/>
      <c r="B1068" s="1"/>
      <c r="C1068" s="1"/>
      <c r="D1068" s="7"/>
      <c r="E1068" s="7"/>
      <c r="F1068" s="6"/>
      <c r="G1068" s="7"/>
      <c r="H1068" s="2"/>
      <c r="I1068" s="2"/>
      <c r="J1068" s="2"/>
      <c r="K1068" s="2"/>
      <c r="L1068" s="178"/>
      <c r="M1068" s="2"/>
      <c r="N1068" s="7"/>
      <c r="P1068" s="7"/>
      <c r="R1068" s="2"/>
      <c r="S1068" s="2"/>
      <c r="T1068" s="2"/>
      <c r="U1068" s="2"/>
      <c r="V1068" s="2"/>
      <c r="X1068" s="38"/>
      <c r="Y1068" s="38"/>
      <c r="Z1068" s="38"/>
      <c r="AA1068" s="38"/>
      <c r="AB1068" s="38"/>
      <c r="AD1068" s="2"/>
      <c r="AE1068" s="2"/>
      <c r="AF1068" s="2"/>
      <c r="AG1068" s="2"/>
      <c r="AH1068" s="2"/>
      <c r="AJ1068" s="215"/>
      <c r="AK1068" s="215"/>
      <c r="AL1068" s="215"/>
      <c r="AM1068" s="215"/>
      <c r="AO1068" s="10"/>
      <c r="AP1068" s="10"/>
      <c r="AQ1068" s="10"/>
      <c r="AR1068" s="10"/>
      <c r="AS1068" s="10"/>
      <c r="AU1068" s="2"/>
      <c r="AV1068" s="2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</row>
    <row r="1069" spans="1:73" customFormat="1" ht="12.75" hidden="1" customHeight="1" x14ac:dyDescent="0.2">
      <c r="A1069" s="1"/>
      <c r="B1069" s="1"/>
      <c r="C1069" s="1"/>
      <c r="D1069" s="7"/>
      <c r="E1069" s="7"/>
      <c r="F1069" s="6"/>
      <c r="G1069" s="7"/>
      <c r="H1069" s="2"/>
      <c r="I1069" s="2"/>
      <c r="J1069" s="2"/>
      <c r="K1069" s="2"/>
      <c r="L1069" s="178"/>
      <c r="M1069" s="2"/>
      <c r="N1069" s="7"/>
      <c r="P1069" s="7"/>
      <c r="R1069" s="2"/>
      <c r="S1069" s="2"/>
      <c r="T1069" s="2"/>
      <c r="U1069" s="2"/>
      <c r="V1069" s="2"/>
      <c r="X1069" s="38"/>
      <c r="Y1069" s="38"/>
      <c r="Z1069" s="38"/>
      <c r="AA1069" s="38"/>
      <c r="AB1069" s="38"/>
      <c r="AD1069" s="2"/>
      <c r="AE1069" s="2"/>
      <c r="AF1069" s="2"/>
      <c r="AG1069" s="2"/>
      <c r="AH1069" s="2"/>
      <c r="AJ1069" s="215"/>
      <c r="AK1069" s="215"/>
      <c r="AL1069" s="215"/>
      <c r="AM1069" s="215"/>
      <c r="AO1069" s="10"/>
      <c r="AP1069" s="10"/>
      <c r="AQ1069" s="10"/>
      <c r="AR1069" s="10"/>
      <c r="AS1069" s="10"/>
      <c r="AU1069" s="2"/>
      <c r="AV1069" s="2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</row>
    <row r="1070" spans="1:73" customFormat="1" ht="12.75" hidden="1" customHeight="1" x14ac:dyDescent="0.2">
      <c r="A1070" s="1"/>
      <c r="B1070" s="1"/>
      <c r="C1070" s="1"/>
      <c r="D1070" s="7"/>
      <c r="E1070" s="7"/>
      <c r="F1070" s="6"/>
      <c r="G1070" s="7"/>
      <c r="H1070" s="2"/>
      <c r="I1070" s="2"/>
      <c r="J1070" s="2"/>
      <c r="K1070" s="2"/>
      <c r="L1070" s="178"/>
      <c r="M1070" s="2"/>
      <c r="N1070" s="7"/>
      <c r="P1070" s="7"/>
      <c r="R1070" s="2"/>
      <c r="S1070" s="2"/>
      <c r="T1070" s="2"/>
      <c r="U1070" s="2"/>
      <c r="V1070" s="2"/>
      <c r="X1070" s="38"/>
      <c r="Y1070" s="38"/>
      <c r="Z1070" s="38"/>
      <c r="AA1070" s="38"/>
      <c r="AB1070" s="38"/>
      <c r="AD1070" s="2"/>
      <c r="AE1070" s="2"/>
      <c r="AF1070" s="2"/>
      <c r="AG1070" s="2"/>
      <c r="AH1070" s="2"/>
      <c r="AJ1070" s="215"/>
      <c r="AK1070" s="215"/>
      <c r="AL1070" s="215"/>
      <c r="AM1070" s="215"/>
      <c r="AO1070" s="10"/>
      <c r="AP1070" s="10"/>
      <c r="AQ1070" s="10"/>
      <c r="AR1070" s="10"/>
      <c r="AS1070" s="10"/>
      <c r="AU1070" s="2"/>
      <c r="AV1070" s="2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</row>
    <row r="1071" spans="1:73" customFormat="1" ht="12.75" hidden="1" customHeight="1" x14ac:dyDescent="0.2">
      <c r="A1071" s="1"/>
      <c r="B1071" s="1"/>
      <c r="C1071" s="1"/>
      <c r="D1071" s="7"/>
      <c r="E1071" s="7"/>
      <c r="F1071" s="6"/>
      <c r="G1071" s="7"/>
      <c r="H1071" s="2"/>
      <c r="I1071" s="2"/>
      <c r="J1071" s="2"/>
      <c r="K1071" s="2"/>
      <c r="L1071" s="178"/>
      <c r="M1071" s="2"/>
      <c r="N1071" s="7"/>
      <c r="P1071" s="7"/>
      <c r="R1071" s="2"/>
      <c r="S1071" s="2"/>
      <c r="T1071" s="2"/>
      <c r="U1071" s="2"/>
      <c r="V1071" s="2"/>
      <c r="X1071" s="38"/>
      <c r="Y1071" s="38"/>
      <c r="Z1071" s="38"/>
      <c r="AA1071" s="38"/>
      <c r="AB1071" s="38"/>
      <c r="AD1071" s="2"/>
      <c r="AE1071" s="2"/>
      <c r="AF1071" s="2"/>
      <c r="AG1071" s="2"/>
      <c r="AH1071" s="2"/>
      <c r="AJ1071" s="215"/>
      <c r="AK1071" s="215"/>
      <c r="AL1071" s="215"/>
      <c r="AM1071" s="215"/>
      <c r="AO1071" s="10"/>
      <c r="AP1071" s="10"/>
      <c r="AQ1071" s="10"/>
      <c r="AR1071" s="10"/>
      <c r="AS1071" s="10"/>
      <c r="AU1071" s="2"/>
      <c r="AV1071" s="2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</row>
    <row r="1072" spans="1:73" customFormat="1" ht="12.75" hidden="1" customHeight="1" x14ac:dyDescent="0.2">
      <c r="A1072" s="1"/>
      <c r="B1072" s="1"/>
      <c r="C1072" s="1"/>
      <c r="D1072" s="7"/>
      <c r="E1072" s="7"/>
      <c r="F1072" s="6"/>
      <c r="G1072" s="7"/>
      <c r="H1072" s="2"/>
      <c r="I1072" s="2"/>
      <c r="J1072" s="2"/>
      <c r="K1072" s="2"/>
      <c r="L1072" s="178"/>
      <c r="M1072" s="2"/>
      <c r="N1072" s="7"/>
      <c r="P1072" s="7"/>
      <c r="R1072" s="2"/>
      <c r="S1072" s="2"/>
      <c r="T1072" s="2"/>
      <c r="U1072" s="2"/>
      <c r="V1072" s="2"/>
      <c r="X1072" s="38"/>
      <c r="Y1072" s="38"/>
      <c r="Z1072" s="38"/>
      <c r="AA1072" s="38"/>
      <c r="AB1072" s="38"/>
      <c r="AD1072" s="2"/>
      <c r="AE1072" s="2"/>
      <c r="AF1072" s="2"/>
      <c r="AG1072" s="2"/>
      <c r="AH1072" s="2"/>
      <c r="AJ1072" s="215"/>
      <c r="AK1072" s="215"/>
      <c r="AL1072" s="215"/>
      <c r="AM1072" s="215"/>
      <c r="AO1072" s="10"/>
      <c r="AP1072" s="10"/>
      <c r="AQ1072" s="10"/>
      <c r="AR1072" s="10"/>
      <c r="AS1072" s="10"/>
      <c r="AU1072" s="2"/>
      <c r="AV1072" s="2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</row>
    <row r="1073" spans="1:73" customFormat="1" ht="12.75" hidden="1" customHeight="1" x14ac:dyDescent="0.2">
      <c r="A1073" s="1"/>
      <c r="B1073" s="1"/>
      <c r="C1073" s="1"/>
      <c r="D1073" s="7"/>
      <c r="E1073" s="7"/>
      <c r="F1073" s="6"/>
      <c r="G1073" s="7"/>
      <c r="H1073" s="2"/>
      <c r="I1073" s="2"/>
      <c r="J1073" s="2"/>
      <c r="K1073" s="2"/>
      <c r="L1073" s="178"/>
      <c r="M1073" s="2"/>
      <c r="N1073" s="7"/>
      <c r="P1073" s="7"/>
      <c r="R1073" s="2"/>
      <c r="S1073" s="2"/>
      <c r="T1073" s="2"/>
      <c r="U1073" s="2"/>
      <c r="V1073" s="2"/>
      <c r="X1073" s="38"/>
      <c r="Y1073" s="38"/>
      <c r="Z1073" s="38"/>
      <c r="AA1073" s="38"/>
      <c r="AB1073" s="38"/>
      <c r="AD1073" s="2"/>
      <c r="AE1073" s="2"/>
      <c r="AF1073" s="2"/>
      <c r="AG1073" s="2"/>
      <c r="AH1073" s="2"/>
      <c r="AJ1073" s="215"/>
      <c r="AK1073" s="215"/>
      <c r="AL1073" s="215"/>
      <c r="AM1073" s="215"/>
      <c r="AO1073" s="10"/>
      <c r="AP1073" s="10"/>
      <c r="AQ1073" s="10"/>
      <c r="AR1073" s="10"/>
      <c r="AS1073" s="10"/>
      <c r="AU1073" s="2"/>
      <c r="AV1073" s="2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</row>
    <row r="1074" spans="1:73" customFormat="1" ht="12.75" hidden="1" customHeight="1" x14ac:dyDescent="0.2">
      <c r="A1074" s="1"/>
      <c r="B1074" s="1"/>
      <c r="C1074" s="1"/>
      <c r="D1074" s="7"/>
      <c r="E1074" s="7"/>
      <c r="F1074" s="6"/>
      <c r="G1074" s="7"/>
      <c r="H1074" s="2"/>
      <c r="I1074" s="2"/>
      <c r="J1074" s="2"/>
      <c r="K1074" s="2"/>
      <c r="L1074" s="178"/>
      <c r="M1074" s="2"/>
      <c r="N1074" s="7"/>
      <c r="P1074" s="7"/>
      <c r="R1074" s="2"/>
      <c r="S1074" s="2"/>
      <c r="T1074" s="2"/>
      <c r="U1074" s="2"/>
      <c r="V1074" s="2"/>
      <c r="X1074" s="38"/>
      <c r="Y1074" s="38"/>
      <c r="Z1074" s="38"/>
      <c r="AA1074" s="38"/>
      <c r="AB1074" s="38"/>
      <c r="AD1074" s="2"/>
      <c r="AE1074" s="2"/>
      <c r="AF1074" s="2"/>
      <c r="AG1074" s="2"/>
      <c r="AH1074" s="2"/>
      <c r="AJ1074" s="215"/>
      <c r="AK1074" s="215"/>
      <c r="AL1074" s="215"/>
      <c r="AM1074" s="215"/>
      <c r="AO1074" s="10"/>
      <c r="AP1074" s="10"/>
      <c r="AQ1074" s="10"/>
      <c r="AR1074" s="10"/>
      <c r="AS1074" s="10"/>
      <c r="AU1074" s="2"/>
      <c r="AV1074" s="2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</row>
    <row r="1075" spans="1:73" customFormat="1" ht="12.75" hidden="1" customHeight="1" x14ac:dyDescent="0.2">
      <c r="A1075" s="1"/>
      <c r="B1075" s="1"/>
      <c r="C1075" s="1"/>
      <c r="D1075" s="7"/>
      <c r="E1075" s="7"/>
      <c r="F1075" s="6"/>
      <c r="G1075" s="7"/>
      <c r="H1075" s="2"/>
      <c r="I1075" s="2"/>
      <c r="J1075" s="2"/>
      <c r="K1075" s="2"/>
      <c r="L1075" s="178"/>
      <c r="M1075" s="2"/>
      <c r="N1075" s="7"/>
      <c r="P1075" s="7"/>
      <c r="R1075" s="2"/>
      <c r="S1075" s="2"/>
      <c r="T1075" s="2"/>
      <c r="U1075" s="2"/>
      <c r="V1075" s="2"/>
      <c r="X1075" s="38"/>
      <c r="Y1075" s="38"/>
      <c r="Z1075" s="38"/>
      <c r="AA1075" s="38"/>
      <c r="AB1075" s="38"/>
      <c r="AD1075" s="2"/>
      <c r="AE1075" s="2"/>
      <c r="AF1075" s="2"/>
      <c r="AG1075" s="2"/>
      <c r="AH1075" s="2"/>
      <c r="AJ1075" s="215"/>
      <c r="AK1075" s="215"/>
      <c r="AL1075" s="215"/>
      <c r="AM1075" s="215"/>
      <c r="AO1075" s="10"/>
      <c r="AP1075" s="10"/>
      <c r="AQ1075" s="10"/>
      <c r="AR1075" s="10"/>
      <c r="AS1075" s="10"/>
      <c r="AU1075" s="2"/>
      <c r="AV1075" s="2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</row>
    <row r="1076" spans="1:73" customFormat="1" ht="12.75" hidden="1" customHeight="1" x14ac:dyDescent="0.2">
      <c r="A1076" s="1"/>
      <c r="B1076" s="1"/>
      <c r="C1076" s="1"/>
      <c r="D1076" s="7"/>
      <c r="E1076" s="7"/>
      <c r="F1076" s="6"/>
      <c r="G1076" s="7"/>
      <c r="H1076" s="2"/>
      <c r="I1076" s="2"/>
      <c r="J1076" s="2"/>
      <c r="K1076" s="2"/>
      <c r="L1076" s="178"/>
      <c r="M1076" s="2"/>
      <c r="N1076" s="7"/>
      <c r="P1076" s="7"/>
      <c r="R1076" s="2"/>
      <c r="S1076" s="2"/>
      <c r="T1076" s="2"/>
      <c r="U1076" s="2"/>
      <c r="V1076" s="2"/>
      <c r="X1076" s="38"/>
      <c r="Y1076" s="38"/>
      <c r="Z1076" s="38"/>
      <c r="AA1076" s="38"/>
      <c r="AB1076" s="38"/>
      <c r="AD1076" s="2"/>
      <c r="AE1076" s="2"/>
      <c r="AF1076" s="2"/>
      <c r="AG1076" s="2"/>
      <c r="AH1076" s="2"/>
      <c r="AJ1076" s="215"/>
      <c r="AK1076" s="215"/>
      <c r="AL1076" s="215"/>
      <c r="AM1076" s="215"/>
      <c r="AO1076" s="10"/>
      <c r="AP1076" s="10"/>
      <c r="AQ1076" s="10"/>
      <c r="AR1076" s="10"/>
      <c r="AS1076" s="10"/>
      <c r="AU1076" s="2"/>
      <c r="AV1076" s="2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</row>
    <row r="1077" spans="1:73" customFormat="1" ht="12.75" hidden="1" customHeight="1" x14ac:dyDescent="0.2">
      <c r="A1077" s="1"/>
      <c r="B1077" s="1"/>
      <c r="C1077" s="1"/>
      <c r="D1077" s="7"/>
      <c r="E1077" s="7"/>
      <c r="F1077" s="6"/>
      <c r="G1077" s="7"/>
      <c r="H1077" s="2"/>
      <c r="I1077" s="2"/>
      <c r="J1077" s="2"/>
      <c r="K1077" s="2"/>
      <c r="L1077" s="178"/>
      <c r="M1077" s="2"/>
      <c r="N1077" s="7"/>
      <c r="P1077" s="7"/>
      <c r="R1077" s="2"/>
      <c r="S1077" s="2"/>
      <c r="T1077" s="2"/>
      <c r="U1077" s="2"/>
      <c r="V1077" s="2"/>
      <c r="X1077" s="38"/>
      <c r="Y1077" s="38"/>
      <c r="Z1077" s="38"/>
      <c r="AA1077" s="38"/>
      <c r="AB1077" s="38"/>
      <c r="AD1077" s="2"/>
      <c r="AE1077" s="2"/>
      <c r="AF1077" s="2"/>
      <c r="AG1077" s="2"/>
      <c r="AH1077" s="2"/>
      <c r="AJ1077" s="215"/>
      <c r="AK1077" s="215"/>
      <c r="AL1077" s="215"/>
      <c r="AM1077" s="215"/>
      <c r="AO1077" s="10"/>
      <c r="AP1077" s="10"/>
      <c r="AQ1077" s="10"/>
      <c r="AR1077" s="10"/>
      <c r="AS1077" s="10"/>
      <c r="AU1077" s="2"/>
      <c r="AV1077" s="2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</row>
    <row r="1078" spans="1:73" customFormat="1" ht="12.75" hidden="1" customHeight="1" x14ac:dyDescent="0.2">
      <c r="A1078" s="1"/>
      <c r="B1078" s="1"/>
      <c r="C1078" s="1"/>
      <c r="D1078" s="7"/>
      <c r="E1078" s="7"/>
      <c r="F1078" s="6"/>
      <c r="G1078" s="7"/>
      <c r="H1078" s="2"/>
      <c r="I1078" s="2"/>
      <c r="J1078" s="2"/>
      <c r="K1078" s="2"/>
      <c r="L1078" s="178"/>
      <c r="M1078" s="2"/>
      <c r="N1078" s="7"/>
      <c r="P1078" s="7"/>
      <c r="R1078" s="2"/>
      <c r="S1078" s="2"/>
      <c r="T1078" s="2"/>
      <c r="U1078" s="2"/>
      <c r="V1078" s="2"/>
      <c r="X1078" s="38"/>
      <c r="Y1078" s="38"/>
      <c r="Z1078" s="38"/>
      <c r="AA1078" s="38"/>
      <c r="AB1078" s="38"/>
      <c r="AD1078" s="2"/>
      <c r="AE1078" s="2"/>
      <c r="AF1078" s="2"/>
      <c r="AG1078" s="2"/>
      <c r="AH1078" s="2"/>
      <c r="AJ1078" s="215"/>
      <c r="AK1078" s="215"/>
      <c r="AL1078" s="215"/>
      <c r="AM1078" s="215"/>
      <c r="AO1078" s="10"/>
      <c r="AP1078" s="10"/>
      <c r="AQ1078" s="10"/>
      <c r="AR1078" s="10"/>
      <c r="AS1078" s="10"/>
      <c r="AU1078" s="2"/>
      <c r="AV1078" s="2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</row>
    <row r="1079" spans="1:73" customFormat="1" ht="12.75" hidden="1" customHeight="1" x14ac:dyDescent="0.2">
      <c r="A1079" s="1"/>
      <c r="B1079" s="1"/>
      <c r="C1079" s="1"/>
      <c r="D1079" s="7"/>
      <c r="E1079" s="7"/>
      <c r="F1079" s="6"/>
      <c r="G1079" s="7"/>
      <c r="H1079" s="2"/>
      <c r="I1079" s="2"/>
      <c r="J1079" s="2"/>
      <c r="K1079" s="2"/>
      <c r="L1079" s="178"/>
      <c r="M1079" s="2"/>
      <c r="N1079" s="7"/>
      <c r="P1079" s="7"/>
      <c r="R1079" s="2"/>
      <c r="S1079" s="2"/>
      <c r="T1079" s="2"/>
      <c r="U1079" s="2"/>
      <c r="V1079" s="2"/>
      <c r="X1079" s="38"/>
      <c r="Y1079" s="38"/>
      <c r="Z1079" s="38"/>
      <c r="AA1079" s="38"/>
      <c r="AB1079" s="38"/>
      <c r="AD1079" s="2"/>
      <c r="AE1079" s="2"/>
      <c r="AF1079" s="2"/>
      <c r="AG1079" s="2"/>
      <c r="AH1079" s="2"/>
      <c r="AJ1079" s="215"/>
      <c r="AK1079" s="215"/>
      <c r="AL1079" s="215"/>
      <c r="AM1079" s="215"/>
      <c r="AO1079" s="10"/>
      <c r="AP1079" s="10"/>
      <c r="AQ1079" s="10"/>
      <c r="AR1079" s="10"/>
      <c r="AS1079" s="10"/>
      <c r="AU1079" s="2"/>
      <c r="AV1079" s="2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</row>
    <row r="1080" spans="1:73" customFormat="1" ht="12.75" hidden="1" customHeight="1" x14ac:dyDescent="0.2">
      <c r="A1080" s="1"/>
      <c r="B1080" s="1"/>
      <c r="C1080" s="1"/>
      <c r="D1080" s="7"/>
      <c r="E1080" s="7"/>
      <c r="F1080" s="6"/>
      <c r="G1080" s="7"/>
      <c r="H1080" s="2"/>
      <c r="I1080" s="2"/>
      <c r="J1080" s="2"/>
      <c r="K1080" s="2"/>
      <c r="L1080" s="178"/>
      <c r="M1080" s="2"/>
      <c r="N1080" s="7"/>
      <c r="P1080" s="7"/>
      <c r="R1080" s="2"/>
      <c r="S1080" s="2"/>
      <c r="T1080" s="2"/>
      <c r="U1080" s="2"/>
      <c r="V1080" s="2"/>
      <c r="X1080" s="38"/>
      <c r="Y1080" s="38"/>
      <c r="Z1080" s="38"/>
      <c r="AA1080" s="38"/>
      <c r="AB1080" s="38"/>
      <c r="AD1080" s="2"/>
      <c r="AE1080" s="2"/>
      <c r="AF1080" s="2"/>
      <c r="AG1080" s="2"/>
      <c r="AH1080" s="2"/>
      <c r="AJ1080" s="215"/>
      <c r="AK1080" s="215"/>
      <c r="AL1080" s="215"/>
      <c r="AM1080" s="215"/>
      <c r="AO1080" s="10"/>
      <c r="AP1080" s="10"/>
      <c r="AQ1080" s="10"/>
      <c r="AR1080" s="10"/>
      <c r="AS1080" s="10"/>
      <c r="AU1080" s="2"/>
      <c r="AV1080" s="2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</row>
    <row r="1081" spans="1:73" customFormat="1" ht="12.75" hidden="1" customHeight="1" x14ac:dyDescent="0.2">
      <c r="A1081" s="1"/>
      <c r="B1081" s="1"/>
      <c r="C1081" s="1"/>
      <c r="D1081" s="7"/>
      <c r="E1081" s="7"/>
      <c r="F1081" s="6"/>
      <c r="G1081" s="7"/>
      <c r="H1081" s="2"/>
      <c r="I1081" s="2"/>
      <c r="J1081" s="2"/>
      <c r="K1081" s="2"/>
      <c r="L1081" s="178"/>
      <c r="M1081" s="2"/>
      <c r="N1081" s="7"/>
      <c r="P1081" s="7"/>
      <c r="R1081" s="2"/>
      <c r="S1081" s="2"/>
      <c r="T1081" s="2"/>
      <c r="U1081" s="2"/>
      <c r="V1081" s="2"/>
      <c r="X1081" s="38"/>
      <c r="Y1081" s="38"/>
      <c r="Z1081" s="38"/>
      <c r="AA1081" s="38"/>
      <c r="AB1081" s="38"/>
      <c r="AD1081" s="2"/>
      <c r="AE1081" s="2"/>
      <c r="AF1081" s="2"/>
      <c r="AG1081" s="2"/>
      <c r="AH1081" s="2"/>
      <c r="AJ1081" s="215"/>
      <c r="AK1081" s="215"/>
      <c r="AL1081" s="215"/>
      <c r="AM1081" s="215"/>
      <c r="AO1081" s="10"/>
      <c r="AP1081" s="10"/>
      <c r="AQ1081" s="10"/>
      <c r="AR1081" s="10"/>
      <c r="AS1081" s="10"/>
      <c r="AU1081" s="2"/>
      <c r="AV1081" s="2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</row>
    <row r="1082" spans="1:73" customFormat="1" ht="12.75" hidden="1" customHeight="1" x14ac:dyDescent="0.2">
      <c r="A1082" s="1"/>
      <c r="B1082" s="1"/>
      <c r="C1082" s="1"/>
      <c r="D1082" s="7"/>
      <c r="E1082" s="7"/>
      <c r="F1082" s="6"/>
      <c r="G1082" s="7"/>
      <c r="H1082" s="2"/>
      <c r="I1082" s="2"/>
      <c r="J1082" s="2"/>
      <c r="K1082" s="2"/>
      <c r="L1082" s="178"/>
      <c r="M1082" s="2"/>
      <c r="N1082" s="7"/>
      <c r="P1082" s="7"/>
      <c r="R1082" s="2"/>
      <c r="S1082" s="2"/>
      <c r="T1082" s="2"/>
      <c r="U1082" s="2"/>
      <c r="V1082" s="2"/>
      <c r="X1082" s="38"/>
      <c r="Y1082" s="38"/>
      <c r="Z1082" s="38"/>
      <c r="AA1082" s="38"/>
      <c r="AB1082" s="38"/>
      <c r="AD1082" s="2"/>
      <c r="AE1082" s="2"/>
      <c r="AF1082" s="2"/>
      <c r="AG1082" s="2"/>
      <c r="AH1082" s="2"/>
      <c r="AJ1082" s="215"/>
      <c r="AK1082" s="215"/>
      <c r="AL1082" s="215"/>
      <c r="AM1082" s="215"/>
      <c r="AO1082" s="10"/>
      <c r="AP1082" s="10"/>
      <c r="AQ1082" s="10"/>
      <c r="AR1082" s="10"/>
      <c r="AS1082" s="10"/>
      <c r="AU1082" s="2"/>
      <c r="AV1082" s="2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</row>
    <row r="1083" spans="1:73" customFormat="1" ht="12.75" hidden="1" customHeight="1" x14ac:dyDescent="0.2">
      <c r="A1083" s="1"/>
      <c r="B1083" s="1"/>
      <c r="C1083" s="1"/>
      <c r="D1083" s="7"/>
      <c r="E1083" s="7"/>
      <c r="F1083" s="6"/>
      <c r="G1083" s="7"/>
      <c r="H1083" s="2"/>
      <c r="I1083" s="2"/>
      <c r="J1083" s="2"/>
      <c r="K1083" s="2"/>
      <c r="L1083" s="178"/>
      <c r="M1083" s="2"/>
      <c r="N1083" s="7"/>
      <c r="P1083" s="7"/>
      <c r="R1083" s="2"/>
      <c r="S1083" s="2"/>
      <c r="T1083" s="2"/>
      <c r="U1083" s="2"/>
      <c r="V1083" s="2"/>
      <c r="X1083" s="38"/>
      <c r="Y1083" s="38"/>
      <c r="Z1083" s="38"/>
      <c r="AA1083" s="38"/>
      <c r="AB1083" s="38"/>
      <c r="AD1083" s="2"/>
      <c r="AE1083" s="2"/>
      <c r="AF1083" s="2"/>
      <c r="AG1083" s="2"/>
      <c r="AH1083" s="2"/>
      <c r="AJ1083" s="215"/>
      <c r="AK1083" s="215"/>
      <c r="AL1083" s="215"/>
      <c r="AM1083" s="215"/>
      <c r="AO1083" s="10"/>
      <c r="AP1083" s="10"/>
      <c r="AQ1083" s="10"/>
      <c r="AR1083" s="10"/>
      <c r="AS1083" s="10"/>
      <c r="AU1083" s="2"/>
      <c r="AV1083" s="2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</row>
    <row r="1084" spans="1:73" customFormat="1" ht="12.75" hidden="1" customHeight="1" x14ac:dyDescent="0.2">
      <c r="A1084" s="1"/>
      <c r="B1084" s="1"/>
      <c r="C1084" s="1"/>
      <c r="D1084" s="7"/>
      <c r="E1084" s="7"/>
      <c r="F1084" s="6"/>
      <c r="G1084" s="7"/>
      <c r="H1084" s="2"/>
      <c r="I1084" s="2"/>
      <c r="J1084" s="2"/>
      <c r="K1084" s="2"/>
      <c r="L1084" s="178"/>
      <c r="M1084" s="2"/>
      <c r="N1084" s="7"/>
      <c r="P1084" s="7"/>
      <c r="R1084" s="2"/>
      <c r="S1084" s="2"/>
      <c r="T1084" s="2"/>
      <c r="U1084" s="2"/>
      <c r="V1084" s="2"/>
      <c r="X1084" s="38"/>
      <c r="Y1084" s="38"/>
      <c r="Z1084" s="38"/>
      <c r="AA1084" s="38"/>
      <c r="AB1084" s="38"/>
      <c r="AD1084" s="2"/>
      <c r="AE1084" s="2"/>
      <c r="AF1084" s="2"/>
      <c r="AG1084" s="2"/>
      <c r="AH1084" s="2"/>
      <c r="AJ1084" s="215"/>
      <c r="AK1084" s="215"/>
      <c r="AL1084" s="215"/>
      <c r="AM1084" s="215"/>
      <c r="AO1084" s="10"/>
      <c r="AP1084" s="10"/>
      <c r="AQ1084" s="10"/>
      <c r="AR1084" s="10"/>
      <c r="AS1084" s="10"/>
      <c r="AU1084" s="2"/>
      <c r="AV1084" s="2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</row>
    <row r="1085" spans="1:73" customFormat="1" ht="12.75" hidden="1" customHeight="1" x14ac:dyDescent="0.2">
      <c r="A1085" s="1"/>
      <c r="B1085" s="1"/>
      <c r="C1085" s="1"/>
      <c r="D1085" s="7"/>
      <c r="E1085" s="7"/>
      <c r="F1085" s="6"/>
      <c r="G1085" s="7"/>
      <c r="H1085" s="2"/>
      <c r="I1085" s="2"/>
      <c r="J1085" s="2"/>
      <c r="K1085" s="2"/>
      <c r="L1085" s="178"/>
      <c r="M1085" s="2"/>
      <c r="N1085" s="7"/>
      <c r="P1085" s="7"/>
      <c r="R1085" s="2"/>
      <c r="S1085" s="2"/>
      <c r="T1085" s="2"/>
      <c r="U1085" s="2"/>
      <c r="V1085" s="2"/>
      <c r="X1085" s="38"/>
      <c r="Y1085" s="38"/>
      <c r="Z1085" s="38"/>
      <c r="AA1085" s="38"/>
      <c r="AB1085" s="38"/>
      <c r="AD1085" s="2"/>
      <c r="AE1085" s="2"/>
      <c r="AF1085" s="2"/>
      <c r="AG1085" s="2"/>
      <c r="AH1085" s="2"/>
      <c r="AJ1085" s="215"/>
      <c r="AK1085" s="215"/>
      <c r="AL1085" s="215"/>
      <c r="AM1085" s="215"/>
      <c r="AO1085" s="10"/>
      <c r="AP1085" s="10"/>
      <c r="AQ1085" s="10"/>
      <c r="AR1085" s="10"/>
      <c r="AS1085" s="10"/>
      <c r="AU1085" s="2"/>
      <c r="AV1085" s="2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</row>
    <row r="1086" spans="1:73" customFormat="1" ht="12.75" hidden="1" customHeight="1" x14ac:dyDescent="0.2">
      <c r="A1086" s="1"/>
      <c r="B1086" s="1"/>
      <c r="C1086" s="1"/>
      <c r="D1086" s="7"/>
      <c r="E1086" s="7"/>
      <c r="F1086" s="6"/>
      <c r="G1086" s="7"/>
      <c r="H1086" s="2"/>
      <c r="I1086" s="2"/>
      <c r="J1086" s="2"/>
      <c r="K1086" s="2"/>
      <c r="L1086" s="178"/>
      <c r="M1086" s="2"/>
      <c r="N1086" s="7"/>
      <c r="P1086" s="7"/>
      <c r="R1086" s="2"/>
      <c r="S1086" s="2"/>
      <c r="T1086" s="2"/>
      <c r="U1086" s="2"/>
      <c r="V1086" s="2"/>
      <c r="X1086" s="38"/>
      <c r="Y1086" s="38"/>
      <c r="Z1086" s="38"/>
      <c r="AA1086" s="38"/>
      <c r="AB1086" s="38"/>
      <c r="AD1086" s="2"/>
      <c r="AE1086" s="2"/>
      <c r="AF1086" s="2"/>
      <c r="AG1086" s="2"/>
      <c r="AH1086" s="2"/>
      <c r="AJ1086" s="215"/>
      <c r="AK1086" s="215"/>
      <c r="AL1086" s="215"/>
      <c r="AM1086" s="215"/>
      <c r="AO1086" s="10"/>
      <c r="AP1086" s="10"/>
      <c r="AQ1086" s="10"/>
      <c r="AR1086" s="10"/>
      <c r="AS1086" s="10"/>
      <c r="AU1086" s="2"/>
      <c r="AV1086" s="2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</row>
    <row r="1087" spans="1:73" customFormat="1" ht="12.75" hidden="1" customHeight="1" x14ac:dyDescent="0.2">
      <c r="A1087" s="1"/>
      <c r="B1087" s="1"/>
      <c r="C1087" s="1"/>
      <c r="D1087" s="7"/>
      <c r="E1087" s="7"/>
      <c r="F1087" s="6"/>
      <c r="G1087" s="7"/>
      <c r="H1087" s="2"/>
      <c r="I1087" s="2"/>
      <c r="J1087" s="2"/>
      <c r="K1087" s="2"/>
      <c r="L1087" s="178"/>
      <c r="M1087" s="2"/>
      <c r="N1087" s="7"/>
      <c r="P1087" s="7"/>
      <c r="R1087" s="2"/>
      <c r="S1087" s="2"/>
      <c r="T1087" s="2"/>
      <c r="U1087" s="2"/>
      <c r="V1087" s="2"/>
      <c r="X1087" s="38"/>
      <c r="Y1087" s="38"/>
      <c r="Z1087" s="38"/>
      <c r="AA1087" s="38"/>
      <c r="AB1087" s="38"/>
      <c r="AD1087" s="2"/>
      <c r="AE1087" s="2"/>
      <c r="AF1087" s="2"/>
      <c r="AG1087" s="2"/>
      <c r="AH1087" s="2"/>
      <c r="AJ1087" s="215"/>
      <c r="AK1087" s="215"/>
      <c r="AL1087" s="215"/>
      <c r="AM1087" s="215"/>
      <c r="AO1087" s="10"/>
      <c r="AP1087" s="10"/>
      <c r="AQ1087" s="10"/>
      <c r="AR1087" s="10"/>
      <c r="AS1087" s="10"/>
      <c r="AU1087" s="2"/>
      <c r="AV1087" s="2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</row>
    <row r="1088" spans="1:73" customFormat="1" ht="12.75" hidden="1" customHeight="1" x14ac:dyDescent="0.2">
      <c r="A1088" s="1"/>
      <c r="B1088" s="1"/>
      <c r="C1088" s="1"/>
      <c r="D1088" s="7"/>
      <c r="E1088" s="7"/>
      <c r="F1088" s="6"/>
      <c r="G1088" s="7"/>
      <c r="H1088" s="2"/>
      <c r="I1088" s="2"/>
      <c r="J1088" s="2"/>
      <c r="K1088" s="2"/>
      <c r="L1088" s="178"/>
      <c r="M1088" s="2"/>
      <c r="N1088" s="7"/>
      <c r="P1088" s="7"/>
      <c r="R1088" s="2"/>
      <c r="S1088" s="2"/>
      <c r="T1088" s="2"/>
      <c r="U1088" s="2"/>
      <c r="V1088" s="2"/>
      <c r="X1088" s="38"/>
      <c r="Y1088" s="38"/>
      <c r="Z1088" s="38"/>
      <c r="AA1088" s="38"/>
      <c r="AB1088" s="38"/>
      <c r="AD1088" s="2"/>
      <c r="AE1088" s="2"/>
      <c r="AF1088" s="2"/>
      <c r="AG1088" s="2"/>
      <c r="AH1088" s="2"/>
      <c r="AJ1088" s="215"/>
      <c r="AK1088" s="215"/>
      <c r="AL1088" s="215"/>
      <c r="AM1088" s="215"/>
      <c r="AO1088" s="10"/>
      <c r="AP1088" s="10"/>
      <c r="AQ1088" s="10"/>
      <c r="AR1088" s="10"/>
      <c r="AS1088" s="10"/>
      <c r="AU1088" s="2"/>
      <c r="AV1088" s="2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</row>
    <row r="1089" spans="1:73" customFormat="1" ht="12.75" hidden="1" customHeight="1" x14ac:dyDescent="0.2">
      <c r="A1089" s="1"/>
      <c r="B1089" s="1"/>
      <c r="C1089" s="1"/>
      <c r="D1089" s="7"/>
      <c r="E1089" s="7"/>
      <c r="F1089" s="6"/>
      <c r="G1089" s="7"/>
      <c r="H1089" s="2"/>
      <c r="I1089" s="2"/>
      <c r="J1089" s="2"/>
      <c r="K1089" s="2"/>
      <c r="L1089" s="178"/>
      <c r="M1089" s="2"/>
      <c r="N1089" s="7"/>
      <c r="P1089" s="7"/>
      <c r="R1089" s="2"/>
      <c r="S1089" s="2"/>
      <c r="T1089" s="2"/>
      <c r="U1089" s="2"/>
      <c r="V1089" s="2"/>
      <c r="X1089" s="38"/>
      <c r="Y1089" s="38"/>
      <c r="Z1089" s="38"/>
      <c r="AA1089" s="38"/>
      <c r="AB1089" s="38"/>
      <c r="AD1089" s="2"/>
      <c r="AE1089" s="2"/>
      <c r="AF1089" s="2"/>
      <c r="AG1089" s="2"/>
      <c r="AH1089" s="2"/>
      <c r="AJ1089" s="215"/>
      <c r="AK1089" s="215"/>
      <c r="AL1089" s="215"/>
      <c r="AM1089" s="215"/>
      <c r="AO1089" s="10"/>
      <c r="AP1089" s="10"/>
      <c r="AQ1089" s="10"/>
      <c r="AR1089" s="10"/>
      <c r="AS1089" s="10"/>
      <c r="AU1089" s="2"/>
      <c r="AV1089" s="2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</row>
    <row r="1090" spans="1:73" customFormat="1" ht="12.75" hidden="1" customHeight="1" x14ac:dyDescent="0.2">
      <c r="A1090" s="1"/>
      <c r="B1090" s="1"/>
      <c r="C1090" s="1"/>
      <c r="D1090" s="7"/>
      <c r="E1090" s="7"/>
      <c r="F1090" s="6"/>
      <c r="G1090" s="7"/>
      <c r="H1090" s="2"/>
      <c r="I1090" s="2"/>
      <c r="J1090" s="2"/>
      <c r="K1090" s="2"/>
      <c r="L1090" s="178"/>
      <c r="M1090" s="2"/>
      <c r="N1090" s="7"/>
      <c r="P1090" s="7"/>
      <c r="R1090" s="2"/>
      <c r="S1090" s="2"/>
      <c r="T1090" s="2"/>
      <c r="U1090" s="2"/>
      <c r="V1090" s="2"/>
      <c r="X1090" s="38"/>
      <c r="Y1090" s="38"/>
      <c r="Z1090" s="38"/>
      <c r="AA1090" s="38"/>
      <c r="AB1090" s="38"/>
      <c r="AD1090" s="2"/>
      <c r="AE1090" s="2"/>
      <c r="AF1090" s="2"/>
      <c r="AG1090" s="2"/>
      <c r="AH1090" s="2"/>
      <c r="AJ1090" s="215"/>
      <c r="AK1090" s="215"/>
      <c r="AL1090" s="215"/>
      <c r="AM1090" s="215"/>
      <c r="AO1090" s="10"/>
      <c r="AP1090" s="10"/>
      <c r="AQ1090" s="10"/>
      <c r="AR1090" s="10"/>
      <c r="AS1090" s="10"/>
      <c r="AU1090" s="2"/>
      <c r="AV1090" s="2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</row>
    <row r="1091" spans="1:73" customFormat="1" ht="12.75" hidden="1" customHeight="1" x14ac:dyDescent="0.2">
      <c r="A1091" s="1"/>
      <c r="B1091" s="1"/>
      <c r="C1091" s="1"/>
      <c r="D1091" s="7"/>
      <c r="E1091" s="7"/>
      <c r="F1091" s="6"/>
      <c r="G1091" s="7"/>
      <c r="H1091" s="2"/>
      <c r="I1091" s="2"/>
      <c r="J1091" s="2"/>
      <c r="K1091" s="2"/>
      <c r="L1091" s="178"/>
      <c r="M1091" s="2"/>
      <c r="N1091" s="7"/>
      <c r="P1091" s="7"/>
      <c r="R1091" s="2"/>
      <c r="S1091" s="2"/>
      <c r="T1091" s="2"/>
      <c r="U1091" s="2"/>
      <c r="V1091" s="2"/>
      <c r="X1091" s="38"/>
      <c r="Y1091" s="38"/>
      <c r="Z1091" s="38"/>
      <c r="AA1091" s="38"/>
      <c r="AB1091" s="38"/>
      <c r="AD1091" s="2"/>
      <c r="AE1091" s="2"/>
      <c r="AF1091" s="2"/>
      <c r="AG1091" s="2"/>
      <c r="AH1091" s="2"/>
      <c r="AJ1091" s="215"/>
      <c r="AK1091" s="215"/>
      <c r="AL1091" s="215"/>
      <c r="AM1091" s="215"/>
      <c r="AO1091" s="10"/>
      <c r="AP1091" s="10"/>
      <c r="AQ1091" s="10"/>
      <c r="AR1091" s="10"/>
      <c r="AS1091" s="10"/>
      <c r="AU1091" s="2"/>
      <c r="AV1091" s="2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</row>
    <row r="1092" spans="1:73" customFormat="1" ht="12.75" hidden="1" customHeight="1" x14ac:dyDescent="0.2">
      <c r="A1092" s="1"/>
      <c r="B1092" s="1"/>
      <c r="C1092" s="1"/>
      <c r="D1092" s="7"/>
      <c r="E1092" s="7"/>
      <c r="F1092" s="6"/>
      <c r="G1092" s="7"/>
      <c r="H1092" s="2"/>
      <c r="I1092" s="2"/>
      <c r="J1092" s="2"/>
      <c r="K1092" s="2"/>
      <c r="L1092" s="178"/>
      <c r="M1092" s="2"/>
      <c r="N1092" s="7"/>
      <c r="P1092" s="7"/>
      <c r="R1092" s="2"/>
      <c r="S1092" s="2"/>
      <c r="T1092" s="2"/>
      <c r="U1092" s="2"/>
      <c r="V1092" s="2"/>
      <c r="X1092" s="38"/>
      <c r="Y1092" s="38"/>
      <c r="Z1092" s="38"/>
      <c r="AA1092" s="38"/>
      <c r="AB1092" s="38"/>
      <c r="AD1092" s="2"/>
      <c r="AE1092" s="2"/>
      <c r="AF1092" s="2"/>
      <c r="AG1092" s="2"/>
      <c r="AH1092" s="2"/>
      <c r="AJ1092" s="215"/>
      <c r="AK1092" s="215"/>
      <c r="AL1092" s="215"/>
      <c r="AM1092" s="215"/>
      <c r="AO1092" s="10"/>
      <c r="AP1092" s="10"/>
      <c r="AQ1092" s="10"/>
      <c r="AR1092" s="10"/>
      <c r="AS1092" s="10"/>
      <c r="AU1092" s="2"/>
      <c r="AV1092" s="2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</row>
    <row r="1093" spans="1:73" customFormat="1" ht="12.75" hidden="1" customHeight="1" x14ac:dyDescent="0.2">
      <c r="A1093" s="1"/>
      <c r="B1093" s="1"/>
      <c r="C1093" s="1"/>
      <c r="D1093" s="7"/>
      <c r="E1093" s="7"/>
      <c r="F1093" s="6"/>
      <c r="G1093" s="7"/>
      <c r="H1093" s="2"/>
      <c r="I1093" s="2"/>
      <c r="J1093" s="2"/>
      <c r="K1093" s="2"/>
      <c r="L1093" s="178"/>
      <c r="M1093" s="2"/>
      <c r="N1093" s="7"/>
      <c r="P1093" s="7"/>
      <c r="R1093" s="2"/>
      <c r="S1093" s="2"/>
      <c r="T1093" s="2"/>
      <c r="U1093" s="2"/>
      <c r="V1093" s="2"/>
      <c r="X1093" s="38"/>
      <c r="Y1093" s="38"/>
      <c r="Z1093" s="38"/>
      <c r="AA1093" s="38"/>
      <c r="AB1093" s="38"/>
      <c r="AD1093" s="2"/>
      <c r="AE1093" s="2"/>
      <c r="AF1093" s="2"/>
      <c r="AG1093" s="2"/>
      <c r="AH1093" s="2"/>
      <c r="AJ1093" s="215"/>
      <c r="AK1093" s="215"/>
      <c r="AL1093" s="215"/>
      <c r="AM1093" s="215"/>
      <c r="AO1093" s="10"/>
      <c r="AP1093" s="10"/>
      <c r="AQ1093" s="10"/>
      <c r="AR1093" s="10"/>
      <c r="AS1093" s="10"/>
      <c r="AU1093" s="2"/>
      <c r="AV1093" s="2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</row>
    <row r="1094" spans="1:73" customFormat="1" ht="12.75" hidden="1" customHeight="1" x14ac:dyDescent="0.2">
      <c r="A1094" s="1"/>
      <c r="B1094" s="1"/>
      <c r="C1094" s="1"/>
      <c r="D1094" s="7"/>
      <c r="E1094" s="7"/>
      <c r="F1094" s="6"/>
      <c r="G1094" s="7"/>
      <c r="H1094" s="2"/>
      <c r="I1094" s="2"/>
      <c r="J1094" s="2"/>
      <c r="K1094" s="2"/>
      <c r="L1094" s="178"/>
      <c r="M1094" s="2"/>
      <c r="N1094" s="7"/>
      <c r="P1094" s="7"/>
      <c r="R1094" s="2"/>
      <c r="S1094" s="2"/>
      <c r="T1094" s="2"/>
      <c r="U1094" s="2"/>
      <c r="V1094" s="2"/>
      <c r="X1094" s="38"/>
      <c r="Y1094" s="38"/>
      <c r="Z1094" s="38"/>
      <c r="AA1094" s="38"/>
      <c r="AB1094" s="38"/>
      <c r="AD1094" s="2"/>
      <c r="AE1094" s="2"/>
      <c r="AF1094" s="2"/>
      <c r="AG1094" s="2"/>
      <c r="AH1094" s="2"/>
      <c r="AJ1094" s="215"/>
      <c r="AK1094" s="215"/>
      <c r="AL1094" s="215"/>
      <c r="AM1094" s="215"/>
      <c r="AO1094" s="10"/>
      <c r="AP1094" s="10"/>
      <c r="AQ1094" s="10"/>
      <c r="AR1094" s="10"/>
      <c r="AS1094" s="10"/>
      <c r="AU1094" s="2"/>
      <c r="AV1094" s="2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</row>
    <row r="1095" spans="1:73" customFormat="1" ht="12.75" hidden="1" customHeight="1" x14ac:dyDescent="0.2">
      <c r="A1095" s="1"/>
      <c r="B1095" s="1"/>
      <c r="C1095" s="1"/>
      <c r="D1095" s="7"/>
      <c r="E1095" s="7"/>
      <c r="F1095" s="6"/>
      <c r="G1095" s="7"/>
      <c r="H1095" s="2"/>
      <c r="I1095" s="2"/>
      <c r="J1095" s="2"/>
      <c r="K1095" s="2"/>
      <c r="L1095" s="178"/>
      <c r="M1095" s="2"/>
      <c r="N1095" s="7"/>
      <c r="P1095" s="7"/>
      <c r="R1095" s="2"/>
      <c r="S1095" s="2"/>
      <c r="T1095" s="2"/>
      <c r="U1095" s="2"/>
      <c r="V1095" s="2"/>
      <c r="X1095" s="38"/>
      <c r="Y1095" s="38"/>
      <c r="Z1095" s="38"/>
      <c r="AA1095" s="38"/>
      <c r="AB1095" s="38"/>
      <c r="AD1095" s="2"/>
      <c r="AE1095" s="2"/>
      <c r="AF1095" s="2"/>
      <c r="AG1095" s="2"/>
      <c r="AH1095" s="2"/>
      <c r="AJ1095" s="215"/>
      <c r="AK1095" s="215"/>
      <c r="AL1095" s="215"/>
      <c r="AM1095" s="215"/>
      <c r="AO1095" s="10"/>
      <c r="AP1095" s="10"/>
      <c r="AQ1095" s="10"/>
      <c r="AR1095" s="10"/>
      <c r="AS1095" s="10"/>
      <c r="AU1095" s="2"/>
      <c r="AV1095" s="2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</row>
    <row r="1096" spans="1:73" customFormat="1" ht="12.75" hidden="1" customHeight="1" x14ac:dyDescent="0.2">
      <c r="A1096" s="1"/>
      <c r="B1096" s="1"/>
      <c r="C1096" s="1"/>
      <c r="D1096" s="7"/>
      <c r="E1096" s="7"/>
      <c r="F1096" s="6"/>
      <c r="G1096" s="7"/>
      <c r="H1096" s="2"/>
      <c r="I1096" s="2"/>
      <c r="J1096" s="2"/>
      <c r="K1096" s="2"/>
      <c r="L1096" s="178"/>
      <c r="M1096" s="2"/>
      <c r="N1096" s="7"/>
      <c r="P1096" s="7"/>
      <c r="R1096" s="2"/>
      <c r="S1096" s="2"/>
      <c r="T1096" s="2"/>
      <c r="U1096" s="2"/>
      <c r="V1096" s="2"/>
      <c r="X1096" s="38"/>
      <c r="Y1096" s="38"/>
      <c r="Z1096" s="38"/>
      <c r="AA1096" s="38"/>
      <c r="AB1096" s="38"/>
      <c r="AD1096" s="2"/>
      <c r="AE1096" s="2"/>
      <c r="AF1096" s="2"/>
      <c r="AG1096" s="2"/>
      <c r="AH1096" s="2"/>
      <c r="AJ1096" s="215"/>
      <c r="AK1096" s="215"/>
      <c r="AL1096" s="215"/>
      <c r="AM1096" s="215"/>
      <c r="AO1096" s="10"/>
      <c r="AP1096" s="10"/>
      <c r="AQ1096" s="10"/>
      <c r="AR1096" s="10"/>
      <c r="AS1096" s="10"/>
      <c r="AU1096" s="2"/>
      <c r="AV1096" s="2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</row>
    <row r="1097" spans="1:73" customFormat="1" ht="12.75" hidden="1" customHeight="1" x14ac:dyDescent="0.2">
      <c r="A1097" s="1"/>
      <c r="B1097" s="1"/>
      <c r="C1097" s="1"/>
      <c r="D1097" s="7"/>
      <c r="E1097" s="7"/>
      <c r="F1097" s="6"/>
      <c r="G1097" s="7"/>
      <c r="H1097" s="2"/>
      <c r="I1097" s="2"/>
      <c r="J1097" s="2"/>
      <c r="K1097" s="2"/>
      <c r="L1097" s="178"/>
      <c r="M1097" s="2"/>
      <c r="N1097" s="7"/>
      <c r="P1097" s="7"/>
      <c r="R1097" s="2"/>
      <c r="S1097" s="2"/>
      <c r="T1097" s="2"/>
      <c r="U1097" s="2"/>
      <c r="V1097" s="2"/>
      <c r="X1097" s="38"/>
      <c r="Y1097" s="38"/>
      <c r="Z1097" s="38"/>
      <c r="AA1097" s="38"/>
      <c r="AB1097" s="38"/>
      <c r="AD1097" s="2"/>
      <c r="AE1097" s="2"/>
      <c r="AF1097" s="2"/>
      <c r="AG1097" s="2"/>
      <c r="AH1097" s="2"/>
      <c r="AJ1097" s="215"/>
      <c r="AK1097" s="215"/>
      <c r="AL1097" s="215"/>
      <c r="AM1097" s="215"/>
      <c r="AO1097" s="10"/>
      <c r="AP1097" s="10"/>
      <c r="AQ1097" s="10"/>
      <c r="AR1097" s="10"/>
      <c r="AS1097" s="10"/>
      <c r="AU1097" s="2"/>
      <c r="AV1097" s="2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</row>
    <row r="1098" spans="1:73" customFormat="1" ht="12.75" hidden="1" customHeight="1" x14ac:dyDescent="0.2">
      <c r="A1098" s="1"/>
      <c r="B1098" s="1"/>
      <c r="C1098" s="1"/>
      <c r="D1098" s="7"/>
      <c r="E1098" s="7"/>
      <c r="F1098" s="6"/>
      <c r="G1098" s="7"/>
      <c r="H1098" s="2"/>
      <c r="I1098" s="2"/>
      <c r="J1098" s="2"/>
      <c r="K1098" s="2"/>
      <c r="L1098" s="178"/>
      <c r="M1098" s="2"/>
      <c r="N1098" s="7"/>
      <c r="P1098" s="7"/>
      <c r="R1098" s="2"/>
      <c r="S1098" s="2"/>
      <c r="T1098" s="2"/>
      <c r="U1098" s="2"/>
      <c r="V1098" s="2"/>
      <c r="X1098" s="38"/>
      <c r="Y1098" s="38"/>
      <c r="Z1098" s="38"/>
      <c r="AA1098" s="38"/>
      <c r="AB1098" s="38"/>
      <c r="AD1098" s="2"/>
      <c r="AE1098" s="2"/>
      <c r="AF1098" s="2"/>
      <c r="AG1098" s="2"/>
      <c r="AH1098" s="2"/>
      <c r="AJ1098" s="215"/>
      <c r="AK1098" s="215"/>
      <c r="AL1098" s="215"/>
      <c r="AM1098" s="215"/>
      <c r="AO1098" s="10"/>
      <c r="AP1098" s="10"/>
      <c r="AQ1098" s="10"/>
      <c r="AR1098" s="10"/>
      <c r="AS1098" s="10"/>
      <c r="AU1098" s="2"/>
      <c r="AV1098" s="2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</row>
    <row r="1099" spans="1:73" customFormat="1" ht="12.75" hidden="1" customHeight="1" x14ac:dyDescent="0.2">
      <c r="A1099" s="1"/>
      <c r="B1099" s="1"/>
      <c r="C1099" s="1"/>
      <c r="D1099" s="7"/>
      <c r="E1099" s="7"/>
      <c r="F1099" s="6"/>
      <c r="G1099" s="7"/>
      <c r="H1099" s="2"/>
      <c r="I1099" s="2"/>
      <c r="J1099" s="2"/>
      <c r="K1099" s="2"/>
      <c r="L1099" s="178"/>
      <c r="M1099" s="2"/>
      <c r="N1099" s="7"/>
      <c r="P1099" s="7"/>
      <c r="R1099" s="2"/>
      <c r="S1099" s="2"/>
      <c r="T1099" s="2"/>
      <c r="U1099" s="2"/>
      <c r="V1099" s="2"/>
      <c r="X1099" s="38"/>
      <c r="Y1099" s="38"/>
      <c r="Z1099" s="38"/>
      <c r="AA1099" s="38"/>
      <c r="AB1099" s="38"/>
      <c r="AD1099" s="2"/>
      <c r="AE1099" s="2"/>
      <c r="AF1099" s="2"/>
      <c r="AG1099" s="2"/>
      <c r="AH1099" s="2"/>
      <c r="AJ1099" s="215"/>
      <c r="AK1099" s="215"/>
      <c r="AL1099" s="215"/>
      <c r="AM1099" s="215"/>
      <c r="AO1099" s="10"/>
      <c r="AP1099" s="10"/>
      <c r="AQ1099" s="10"/>
      <c r="AR1099" s="10"/>
      <c r="AS1099" s="10"/>
      <c r="AU1099" s="2"/>
      <c r="AV1099" s="2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</row>
    <row r="1100" spans="1:73" customFormat="1" ht="12.75" hidden="1" customHeight="1" x14ac:dyDescent="0.2">
      <c r="A1100" s="1"/>
      <c r="B1100" s="1"/>
      <c r="C1100" s="1"/>
      <c r="D1100" s="7"/>
      <c r="E1100" s="7"/>
      <c r="F1100" s="6"/>
      <c r="G1100" s="7"/>
      <c r="H1100" s="2"/>
      <c r="I1100" s="2"/>
      <c r="J1100" s="2"/>
      <c r="K1100" s="2"/>
      <c r="L1100" s="178"/>
      <c r="M1100" s="2"/>
      <c r="N1100" s="7"/>
      <c r="P1100" s="7"/>
      <c r="R1100" s="2"/>
      <c r="S1100" s="2"/>
      <c r="T1100" s="2"/>
      <c r="U1100" s="2"/>
      <c r="V1100" s="2"/>
      <c r="X1100" s="38"/>
      <c r="Y1100" s="38"/>
      <c r="Z1100" s="38"/>
      <c r="AA1100" s="38"/>
      <c r="AB1100" s="38"/>
      <c r="AD1100" s="2"/>
      <c r="AE1100" s="2"/>
      <c r="AF1100" s="2"/>
      <c r="AG1100" s="2"/>
      <c r="AH1100" s="2"/>
      <c r="AJ1100" s="215"/>
      <c r="AK1100" s="215"/>
      <c r="AL1100" s="215"/>
      <c r="AM1100" s="215"/>
      <c r="AO1100" s="10"/>
      <c r="AP1100" s="10"/>
      <c r="AQ1100" s="10"/>
      <c r="AR1100" s="10"/>
      <c r="AS1100" s="10"/>
      <c r="AU1100" s="2"/>
      <c r="AV1100" s="2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</row>
    <row r="1101" spans="1:73" customFormat="1" ht="12.75" hidden="1" customHeight="1" x14ac:dyDescent="0.2">
      <c r="A1101" s="1"/>
      <c r="B1101" s="1"/>
      <c r="C1101" s="1"/>
      <c r="D1101" s="7"/>
      <c r="E1101" s="7"/>
      <c r="F1101" s="6"/>
      <c r="G1101" s="7"/>
      <c r="H1101" s="2"/>
      <c r="I1101" s="2"/>
      <c r="J1101" s="2"/>
      <c r="K1101" s="2"/>
      <c r="L1101" s="178"/>
      <c r="M1101" s="2"/>
      <c r="N1101" s="7"/>
      <c r="P1101" s="7"/>
      <c r="R1101" s="2"/>
      <c r="S1101" s="2"/>
      <c r="T1101" s="2"/>
      <c r="U1101" s="2"/>
      <c r="V1101" s="2"/>
      <c r="X1101" s="38"/>
      <c r="Y1101" s="38"/>
      <c r="Z1101" s="38"/>
      <c r="AA1101" s="38"/>
      <c r="AB1101" s="38"/>
      <c r="AD1101" s="2"/>
      <c r="AE1101" s="2"/>
      <c r="AF1101" s="2"/>
      <c r="AG1101" s="2"/>
      <c r="AH1101" s="2"/>
      <c r="AJ1101" s="215"/>
      <c r="AK1101" s="215"/>
      <c r="AL1101" s="215"/>
      <c r="AM1101" s="215"/>
      <c r="AO1101" s="10"/>
      <c r="AP1101" s="10"/>
      <c r="AQ1101" s="10"/>
      <c r="AR1101" s="10"/>
      <c r="AS1101" s="10"/>
      <c r="AU1101" s="2"/>
      <c r="AV1101" s="2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</row>
    <row r="1102" spans="1:73" customFormat="1" ht="12.75" hidden="1" customHeight="1" x14ac:dyDescent="0.2">
      <c r="A1102" s="1"/>
      <c r="B1102" s="1"/>
      <c r="C1102" s="1"/>
      <c r="D1102" s="7"/>
      <c r="E1102" s="7"/>
      <c r="F1102" s="6"/>
      <c r="G1102" s="7"/>
      <c r="H1102" s="2"/>
      <c r="I1102" s="2"/>
      <c r="J1102" s="2"/>
      <c r="K1102" s="2"/>
      <c r="L1102" s="178"/>
      <c r="M1102" s="2"/>
      <c r="N1102" s="7"/>
      <c r="P1102" s="7"/>
      <c r="R1102" s="2"/>
      <c r="S1102" s="2"/>
      <c r="T1102" s="2"/>
      <c r="U1102" s="2"/>
      <c r="V1102" s="2"/>
      <c r="X1102" s="38"/>
      <c r="Y1102" s="38"/>
      <c r="Z1102" s="38"/>
      <c r="AA1102" s="38"/>
      <c r="AB1102" s="38"/>
      <c r="AD1102" s="2"/>
      <c r="AE1102" s="2"/>
      <c r="AF1102" s="2"/>
      <c r="AG1102" s="2"/>
      <c r="AH1102" s="2"/>
      <c r="AJ1102" s="215"/>
      <c r="AK1102" s="215"/>
      <c r="AL1102" s="215"/>
      <c r="AM1102" s="215"/>
      <c r="AO1102" s="10"/>
      <c r="AP1102" s="10"/>
      <c r="AQ1102" s="10"/>
      <c r="AR1102" s="10"/>
      <c r="AS1102" s="10"/>
      <c r="AU1102" s="2"/>
      <c r="AV1102" s="2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</row>
    <row r="1103" spans="1:73" customFormat="1" ht="12.75" hidden="1" customHeight="1" x14ac:dyDescent="0.2">
      <c r="A1103" s="1"/>
      <c r="B1103" s="1"/>
      <c r="C1103" s="1"/>
      <c r="D1103" s="7"/>
      <c r="E1103" s="7"/>
      <c r="F1103" s="6"/>
      <c r="G1103" s="7"/>
      <c r="H1103" s="2"/>
      <c r="I1103" s="2"/>
      <c r="J1103" s="2"/>
      <c r="K1103" s="2"/>
      <c r="L1103" s="178"/>
      <c r="M1103" s="2"/>
      <c r="N1103" s="7"/>
      <c r="P1103" s="7"/>
      <c r="R1103" s="2"/>
      <c r="S1103" s="2"/>
      <c r="T1103" s="2"/>
      <c r="U1103" s="2"/>
      <c r="V1103" s="2"/>
      <c r="X1103" s="38"/>
      <c r="Y1103" s="38"/>
      <c r="Z1103" s="38"/>
      <c r="AA1103" s="38"/>
      <c r="AB1103" s="38"/>
      <c r="AD1103" s="2"/>
      <c r="AE1103" s="2"/>
      <c r="AF1103" s="2"/>
      <c r="AG1103" s="2"/>
      <c r="AH1103" s="2"/>
      <c r="AJ1103" s="215"/>
      <c r="AK1103" s="215"/>
      <c r="AL1103" s="215"/>
      <c r="AM1103" s="215"/>
      <c r="AO1103" s="10"/>
      <c r="AP1103" s="10"/>
      <c r="AQ1103" s="10"/>
      <c r="AR1103" s="10"/>
      <c r="AS1103" s="10"/>
      <c r="AU1103" s="2"/>
      <c r="AV1103" s="2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</row>
    <row r="1104" spans="1:73" customFormat="1" ht="12.75" hidden="1" customHeight="1" x14ac:dyDescent="0.2">
      <c r="A1104" s="1"/>
      <c r="B1104" s="1"/>
      <c r="C1104" s="1"/>
      <c r="D1104" s="7"/>
      <c r="E1104" s="7"/>
      <c r="F1104" s="6"/>
      <c r="G1104" s="7"/>
      <c r="H1104" s="2"/>
      <c r="I1104" s="2"/>
      <c r="J1104" s="2"/>
      <c r="K1104" s="2"/>
      <c r="L1104" s="178"/>
      <c r="M1104" s="2"/>
      <c r="N1104" s="7"/>
      <c r="P1104" s="7"/>
      <c r="R1104" s="2"/>
      <c r="S1104" s="2"/>
      <c r="T1104" s="2"/>
      <c r="U1104" s="2"/>
      <c r="V1104" s="2"/>
      <c r="X1104" s="38"/>
      <c r="Y1104" s="38"/>
      <c r="Z1104" s="38"/>
      <c r="AA1104" s="38"/>
      <c r="AB1104" s="38"/>
      <c r="AD1104" s="2"/>
      <c r="AE1104" s="2"/>
      <c r="AF1104" s="2"/>
      <c r="AG1104" s="2"/>
      <c r="AH1104" s="2"/>
      <c r="AJ1104" s="215"/>
      <c r="AK1104" s="215"/>
      <c r="AL1104" s="215"/>
      <c r="AM1104" s="215"/>
      <c r="AO1104" s="10"/>
      <c r="AP1104" s="10"/>
      <c r="AQ1104" s="10"/>
      <c r="AR1104" s="10"/>
      <c r="AS1104" s="10"/>
      <c r="AU1104" s="2"/>
      <c r="AV1104" s="2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</row>
    <row r="1105" spans="1:73" customFormat="1" ht="12.75" hidden="1" customHeight="1" x14ac:dyDescent="0.2">
      <c r="A1105" s="1"/>
      <c r="B1105" s="1"/>
      <c r="C1105" s="1"/>
      <c r="D1105" s="7"/>
      <c r="E1105" s="7"/>
      <c r="F1105" s="6"/>
      <c r="G1105" s="7"/>
      <c r="H1105" s="2"/>
      <c r="I1105" s="2"/>
      <c r="J1105" s="2"/>
      <c r="K1105" s="2"/>
      <c r="L1105" s="178"/>
      <c r="M1105" s="2"/>
      <c r="N1105" s="7"/>
      <c r="P1105" s="7"/>
      <c r="R1105" s="2"/>
      <c r="S1105" s="2"/>
      <c r="T1105" s="2"/>
      <c r="U1105" s="2"/>
      <c r="V1105" s="2"/>
      <c r="X1105" s="38"/>
      <c r="Y1105" s="38"/>
      <c r="Z1105" s="38"/>
      <c r="AA1105" s="38"/>
      <c r="AB1105" s="38"/>
      <c r="AD1105" s="2"/>
      <c r="AE1105" s="2"/>
      <c r="AF1105" s="2"/>
      <c r="AG1105" s="2"/>
      <c r="AH1105" s="2"/>
      <c r="AJ1105" s="215"/>
      <c r="AK1105" s="215"/>
      <c r="AL1105" s="215"/>
      <c r="AM1105" s="215"/>
      <c r="AO1105" s="10"/>
      <c r="AP1105" s="10"/>
      <c r="AQ1105" s="10"/>
      <c r="AR1105" s="10"/>
      <c r="AS1105" s="10"/>
      <c r="AU1105" s="2"/>
      <c r="AV1105" s="2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</row>
    <row r="1106" spans="1:73" customFormat="1" ht="12.75" hidden="1" customHeight="1" x14ac:dyDescent="0.2">
      <c r="A1106" s="1"/>
      <c r="B1106" s="1"/>
      <c r="C1106" s="1"/>
      <c r="D1106" s="7"/>
      <c r="E1106" s="7"/>
      <c r="F1106" s="6"/>
      <c r="G1106" s="7"/>
      <c r="H1106" s="2"/>
      <c r="I1106" s="2"/>
      <c r="J1106" s="2"/>
      <c r="K1106" s="2"/>
      <c r="L1106" s="178"/>
      <c r="M1106" s="2"/>
      <c r="N1106" s="7"/>
      <c r="P1106" s="7"/>
      <c r="R1106" s="2"/>
      <c r="S1106" s="2"/>
      <c r="T1106" s="2"/>
      <c r="U1106" s="2"/>
      <c r="V1106" s="2"/>
      <c r="X1106" s="38"/>
      <c r="Y1106" s="38"/>
      <c r="Z1106" s="38"/>
      <c r="AA1106" s="38"/>
      <c r="AB1106" s="38"/>
      <c r="AD1106" s="2"/>
      <c r="AE1106" s="2"/>
      <c r="AF1106" s="2"/>
      <c r="AG1106" s="2"/>
      <c r="AH1106" s="2"/>
      <c r="AJ1106" s="215"/>
      <c r="AK1106" s="215"/>
      <c r="AL1106" s="215"/>
      <c r="AM1106" s="215"/>
      <c r="AO1106" s="10"/>
      <c r="AP1106" s="10"/>
      <c r="AQ1106" s="10"/>
      <c r="AR1106" s="10"/>
      <c r="AS1106" s="10"/>
      <c r="AU1106" s="2"/>
      <c r="AV1106" s="2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</row>
    <row r="1107" spans="1:73" customFormat="1" ht="12.75" hidden="1" customHeight="1" x14ac:dyDescent="0.2">
      <c r="A1107" s="1"/>
      <c r="B1107" s="1"/>
      <c r="C1107" s="1"/>
      <c r="D1107" s="7"/>
      <c r="E1107" s="7"/>
      <c r="F1107" s="6"/>
      <c r="G1107" s="7"/>
      <c r="H1107" s="2"/>
      <c r="I1107" s="2"/>
      <c r="J1107" s="2"/>
      <c r="K1107" s="2"/>
      <c r="L1107" s="178"/>
      <c r="M1107" s="2"/>
      <c r="N1107" s="7"/>
      <c r="P1107" s="7"/>
      <c r="R1107" s="2"/>
      <c r="S1107" s="2"/>
      <c r="T1107" s="2"/>
      <c r="U1107" s="2"/>
      <c r="V1107" s="2"/>
      <c r="X1107" s="38"/>
      <c r="Y1107" s="38"/>
      <c r="Z1107" s="38"/>
      <c r="AA1107" s="38"/>
      <c r="AB1107" s="38"/>
      <c r="AD1107" s="2"/>
      <c r="AE1107" s="2"/>
      <c r="AF1107" s="2"/>
      <c r="AG1107" s="2"/>
      <c r="AH1107" s="2"/>
      <c r="AJ1107" s="215"/>
      <c r="AK1107" s="215"/>
      <c r="AL1107" s="215"/>
      <c r="AM1107" s="215"/>
      <c r="AO1107" s="10"/>
      <c r="AP1107" s="10"/>
      <c r="AQ1107" s="10"/>
      <c r="AR1107" s="10"/>
      <c r="AS1107" s="10"/>
      <c r="AU1107" s="2"/>
      <c r="AV1107" s="2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</row>
    <row r="1108" spans="1:73" customFormat="1" ht="12.75" hidden="1" customHeight="1" x14ac:dyDescent="0.2">
      <c r="A1108" s="1"/>
      <c r="B1108" s="1"/>
      <c r="C1108" s="1"/>
      <c r="D1108" s="7"/>
      <c r="E1108" s="7"/>
      <c r="F1108" s="6"/>
      <c r="G1108" s="7"/>
      <c r="H1108" s="2"/>
      <c r="I1108" s="2"/>
      <c r="J1108" s="2"/>
      <c r="K1108" s="2"/>
      <c r="L1108" s="178"/>
      <c r="M1108" s="2"/>
      <c r="N1108" s="7"/>
      <c r="P1108" s="7"/>
      <c r="R1108" s="2"/>
      <c r="S1108" s="2"/>
      <c r="T1108" s="2"/>
      <c r="U1108" s="2"/>
      <c r="V1108" s="2"/>
      <c r="X1108" s="38"/>
      <c r="Y1108" s="38"/>
      <c r="Z1108" s="38"/>
      <c r="AA1108" s="38"/>
      <c r="AB1108" s="38"/>
      <c r="AD1108" s="2"/>
      <c r="AE1108" s="2"/>
      <c r="AF1108" s="2"/>
      <c r="AG1108" s="2"/>
      <c r="AH1108" s="2"/>
      <c r="AJ1108" s="215"/>
      <c r="AK1108" s="215"/>
      <c r="AL1108" s="215"/>
      <c r="AM1108" s="215"/>
      <c r="AO1108" s="10"/>
      <c r="AP1108" s="10"/>
      <c r="AQ1108" s="10"/>
      <c r="AR1108" s="10"/>
      <c r="AS1108" s="10"/>
      <c r="AU1108" s="2"/>
      <c r="AV1108" s="2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</row>
    <row r="1109" spans="1:73" customFormat="1" ht="12.75" hidden="1" customHeight="1" x14ac:dyDescent="0.2">
      <c r="A1109" s="1"/>
      <c r="B1109" s="1"/>
      <c r="C1109" s="1"/>
      <c r="D1109" s="7"/>
      <c r="E1109" s="7"/>
      <c r="F1109" s="6"/>
      <c r="G1109" s="7"/>
      <c r="H1109" s="2"/>
      <c r="I1109" s="2"/>
      <c r="J1109" s="2"/>
      <c r="K1109" s="2"/>
      <c r="L1109" s="178"/>
      <c r="M1109" s="2"/>
      <c r="N1109" s="7"/>
      <c r="P1109" s="7"/>
      <c r="R1109" s="2"/>
      <c r="S1109" s="2"/>
      <c r="T1109" s="2"/>
      <c r="U1109" s="2"/>
      <c r="V1109" s="2"/>
      <c r="X1109" s="38"/>
      <c r="Y1109" s="38"/>
      <c r="Z1109" s="38"/>
      <c r="AA1109" s="38"/>
      <c r="AB1109" s="38"/>
      <c r="AD1109" s="2"/>
      <c r="AE1109" s="2"/>
      <c r="AF1109" s="2"/>
      <c r="AG1109" s="2"/>
      <c r="AH1109" s="2"/>
      <c r="AJ1109" s="215"/>
      <c r="AK1109" s="215"/>
      <c r="AL1109" s="215"/>
      <c r="AM1109" s="215"/>
      <c r="AO1109" s="10"/>
      <c r="AP1109" s="10"/>
      <c r="AQ1109" s="10"/>
      <c r="AR1109" s="10"/>
      <c r="AS1109" s="10"/>
      <c r="AU1109" s="2"/>
      <c r="AV1109" s="2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</row>
    <row r="1110" spans="1:73" customFormat="1" ht="12.75" hidden="1" customHeight="1" x14ac:dyDescent="0.2">
      <c r="A1110" s="1"/>
      <c r="B1110" s="1"/>
      <c r="C1110" s="1"/>
      <c r="D1110" s="7"/>
      <c r="E1110" s="7"/>
      <c r="F1110" s="6"/>
      <c r="G1110" s="7"/>
      <c r="H1110" s="2"/>
      <c r="I1110" s="2"/>
      <c r="J1110" s="2"/>
      <c r="K1110" s="2"/>
      <c r="L1110" s="178"/>
      <c r="M1110" s="2"/>
      <c r="N1110" s="7"/>
      <c r="P1110" s="7"/>
      <c r="R1110" s="2"/>
      <c r="S1110" s="2"/>
      <c r="T1110" s="2"/>
      <c r="U1110" s="2"/>
      <c r="V1110" s="2"/>
      <c r="X1110" s="38"/>
      <c r="Y1110" s="38"/>
      <c r="Z1110" s="38"/>
      <c r="AA1110" s="38"/>
      <c r="AB1110" s="38"/>
      <c r="AD1110" s="2"/>
      <c r="AE1110" s="2"/>
      <c r="AF1110" s="2"/>
      <c r="AG1110" s="2"/>
      <c r="AH1110" s="2"/>
      <c r="AJ1110" s="215"/>
      <c r="AK1110" s="215"/>
      <c r="AL1110" s="215"/>
      <c r="AM1110" s="215"/>
      <c r="AO1110" s="10"/>
      <c r="AP1110" s="10"/>
      <c r="AQ1110" s="10"/>
      <c r="AR1110" s="10"/>
      <c r="AS1110" s="10"/>
      <c r="AU1110" s="2"/>
      <c r="AV1110" s="2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</row>
    <row r="1111" spans="1:73" customFormat="1" ht="12.75" hidden="1" customHeight="1" x14ac:dyDescent="0.2">
      <c r="A1111" s="1"/>
      <c r="B1111" s="1"/>
      <c r="C1111" s="1"/>
      <c r="D1111" s="7"/>
      <c r="E1111" s="7"/>
      <c r="F1111" s="6"/>
      <c r="G1111" s="7"/>
      <c r="H1111" s="2"/>
      <c r="I1111" s="2"/>
      <c r="J1111" s="2"/>
      <c r="K1111" s="2"/>
      <c r="L1111" s="178"/>
      <c r="M1111" s="2"/>
      <c r="N1111" s="7"/>
      <c r="P1111" s="7"/>
      <c r="R1111" s="2"/>
      <c r="S1111" s="2"/>
      <c r="T1111" s="2"/>
      <c r="U1111" s="2"/>
      <c r="V1111" s="2"/>
      <c r="X1111" s="38"/>
      <c r="Y1111" s="38"/>
      <c r="Z1111" s="38"/>
      <c r="AA1111" s="38"/>
      <c r="AB1111" s="38"/>
      <c r="AD1111" s="2"/>
      <c r="AE1111" s="2"/>
      <c r="AF1111" s="2"/>
      <c r="AG1111" s="2"/>
      <c r="AH1111" s="2"/>
      <c r="AJ1111" s="215"/>
      <c r="AK1111" s="215"/>
      <c r="AL1111" s="215"/>
      <c r="AM1111" s="215"/>
      <c r="AO1111" s="10"/>
      <c r="AP1111" s="10"/>
      <c r="AQ1111" s="10"/>
      <c r="AR1111" s="10"/>
      <c r="AS1111" s="10"/>
      <c r="AU1111" s="2"/>
      <c r="AV1111" s="2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</row>
    <row r="1112" spans="1:73" customFormat="1" ht="12.75" hidden="1" customHeight="1" x14ac:dyDescent="0.2">
      <c r="A1112" s="1"/>
      <c r="B1112" s="1"/>
      <c r="C1112" s="1"/>
      <c r="D1112" s="7"/>
      <c r="E1112" s="7"/>
      <c r="F1112" s="6"/>
      <c r="G1112" s="7"/>
      <c r="H1112" s="2"/>
      <c r="I1112" s="2"/>
      <c r="J1112" s="2"/>
      <c r="K1112" s="2"/>
      <c r="L1112" s="178"/>
      <c r="M1112" s="2"/>
      <c r="N1112" s="7"/>
      <c r="P1112" s="7"/>
      <c r="R1112" s="2"/>
      <c r="S1112" s="2"/>
      <c r="T1112" s="2"/>
      <c r="U1112" s="2"/>
      <c r="V1112" s="2"/>
      <c r="X1112" s="38"/>
      <c r="Y1112" s="38"/>
      <c r="Z1112" s="38"/>
      <c r="AA1112" s="38"/>
      <c r="AB1112" s="38"/>
      <c r="AD1112" s="2"/>
      <c r="AE1112" s="2"/>
      <c r="AF1112" s="2"/>
      <c r="AG1112" s="2"/>
      <c r="AH1112" s="2"/>
      <c r="AJ1112" s="215"/>
      <c r="AK1112" s="215"/>
      <c r="AL1112" s="215"/>
      <c r="AM1112" s="215"/>
      <c r="AO1112" s="10"/>
      <c r="AP1112" s="10"/>
      <c r="AQ1112" s="10"/>
      <c r="AR1112" s="10"/>
      <c r="AS1112" s="10"/>
      <c r="AU1112" s="2"/>
      <c r="AV1112" s="2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</row>
    <row r="1113" spans="1:73" customFormat="1" ht="12.75" hidden="1" customHeight="1" x14ac:dyDescent="0.2">
      <c r="A1113" s="1"/>
      <c r="B1113" s="1"/>
      <c r="C1113" s="1"/>
      <c r="D1113" s="7"/>
      <c r="E1113" s="7"/>
      <c r="F1113" s="6"/>
      <c r="G1113" s="7"/>
      <c r="H1113" s="2"/>
      <c r="I1113" s="2"/>
      <c r="J1113" s="2"/>
      <c r="K1113" s="2"/>
      <c r="L1113" s="178"/>
      <c r="M1113" s="2"/>
      <c r="N1113" s="7"/>
      <c r="P1113" s="7"/>
      <c r="R1113" s="2"/>
      <c r="S1113" s="2"/>
      <c r="T1113" s="2"/>
      <c r="U1113" s="2"/>
      <c r="V1113" s="2"/>
      <c r="X1113" s="38"/>
      <c r="Y1113" s="38"/>
      <c r="Z1113" s="38"/>
      <c r="AA1113" s="38"/>
      <c r="AB1113" s="38"/>
      <c r="AD1113" s="2"/>
      <c r="AE1113" s="2"/>
      <c r="AF1113" s="2"/>
      <c r="AG1113" s="2"/>
      <c r="AH1113" s="2"/>
      <c r="AJ1113" s="215"/>
      <c r="AK1113" s="215"/>
      <c r="AL1113" s="215"/>
      <c r="AM1113" s="215"/>
      <c r="AO1113" s="10"/>
      <c r="AP1113" s="10"/>
      <c r="AQ1113" s="10"/>
      <c r="AR1113" s="10"/>
      <c r="AS1113" s="10"/>
      <c r="AU1113" s="2"/>
      <c r="AV1113" s="2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</row>
    <row r="1114" spans="1:73" customFormat="1" ht="12.75" hidden="1" customHeight="1" x14ac:dyDescent="0.2">
      <c r="A1114" s="1"/>
      <c r="B1114" s="1"/>
      <c r="C1114" s="1"/>
      <c r="D1114" s="7"/>
      <c r="E1114" s="7"/>
      <c r="F1114" s="6"/>
      <c r="G1114" s="7"/>
      <c r="H1114" s="2"/>
      <c r="I1114" s="2"/>
      <c r="J1114" s="2"/>
      <c r="K1114" s="2"/>
      <c r="L1114" s="178"/>
      <c r="M1114" s="2"/>
      <c r="N1114" s="7"/>
      <c r="P1114" s="7"/>
      <c r="R1114" s="2"/>
      <c r="S1114" s="2"/>
      <c r="T1114" s="2"/>
      <c r="U1114" s="2"/>
      <c r="V1114" s="2"/>
      <c r="X1114" s="38"/>
      <c r="Y1114" s="38"/>
      <c r="Z1114" s="38"/>
      <c r="AA1114" s="38"/>
      <c r="AB1114" s="38"/>
      <c r="AD1114" s="2"/>
      <c r="AE1114" s="2"/>
      <c r="AF1114" s="2"/>
      <c r="AG1114" s="2"/>
      <c r="AH1114" s="2"/>
      <c r="AJ1114" s="215"/>
      <c r="AK1114" s="215"/>
      <c r="AL1114" s="215"/>
      <c r="AM1114" s="215"/>
      <c r="AO1114" s="10"/>
      <c r="AP1114" s="10"/>
      <c r="AQ1114" s="10"/>
      <c r="AR1114" s="10"/>
      <c r="AS1114" s="10"/>
      <c r="AU1114" s="2"/>
      <c r="AV1114" s="2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</row>
    <row r="1115" spans="1:73" customFormat="1" ht="12.75" hidden="1" customHeight="1" x14ac:dyDescent="0.2">
      <c r="A1115" s="1"/>
      <c r="B1115" s="1"/>
      <c r="C1115" s="1"/>
      <c r="D1115" s="7"/>
      <c r="E1115" s="7"/>
      <c r="F1115" s="6"/>
      <c r="G1115" s="7"/>
      <c r="H1115" s="2"/>
      <c r="I1115" s="2"/>
      <c r="J1115" s="2"/>
      <c r="K1115" s="2"/>
      <c r="L1115" s="178"/>
      <c r="M1115" s="2"/>
      <c r="N1115" s="7"/>
      <c r="P1115" s="7"/>
      <c r="R1115" s="2"/>
      <c r="S1115" s="2"/>
      <c r="T1115" s="2"/>
      <c r="U1115" s="2"/>
      <c r="V1115" s="2"/>
      <c r="X1115" s="38"/>
      <c r="Y1115" s="38"/>
      <c r="Z1115" s="38"/>
      <c r="AA1115" s="38"/>
      <c r="AB1115" s="38"/>
      <c r="AD1115" s="2"/>
      <c r="AE1115" s="2"/>
      <c r="AF1115" s="2"/>
      <c r="AG1115" s="2"/>
      <c r="AH1115" s="2"/>
      <c r="AJ1115" s="215"/>
      <c r="AK1115" s="215"/>
      <c r="AL1115" s="215"/>
      <c r="AM1115" s="215"/>
      <c r="AO1115" s="10"/>
      <c r="AP1115" s="10"/>
      <c r="AQ1115" s="10"/>
      <c r="AR1115" s="10"/>
      <c r="AS1115" s="10"/>
      <c r="AU1115" s="2"/>
      <c r="AV1115" s="2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</row>
    <row r="1116" spans="1:73" customFormat="1" ht="12.75" hidden="1" customHeight="1" x14ac:dyDescent="0.2">
      <c r="A1116" s="1"/>
      <c r="B1116" s="1"/>
      <c r="C1116" s="1"/>
      <c r="D1116" s="7"/>
      <c r="E1116" s="7"/>
      <c r="F1116" s="6"/>
      <c r="G1116" s="7"/>
      <c r="H1116" s="2"/>
      <c r="I1116" s="2"/>
      <c r="J1116" s="2"/>
      <c r="K1116" s="2"/>
      <c r="L1116" s="178"/>
      <c r="M1116" s="2"/>
      <c r="N1116" s="7"/>
      <c r="P1116" s="7"/>
      <c r="R1116" s="2"/>
      <c r="S1116" s="2"/>
      <c r="T1116" s="2"/>
      <c r="U1116" s="2"/>
      <c r="V1116" s="2"/>
      <c r="X1116" s="38"/>
      <c r="Y1116" s="38"/>
      <c r="Z1116" s="38"/>
      <c r="AA1116" s="38"/>
      <c r="AB1116" s="38"/>
      <c r="AD1116" s="2"/>
      <c r="AE1116" s="2"/>
      <c r="AF1116" s="2"/>
      <c r="AG1116" s="2"/>
      <c r="AH1116" s="2"/>
      <c r="AJ1116" s="215"/>
      <c r="AK1116" s="215"/>
      <c r="AL1116" s="215"/>
      <c r="AM1116" s="215"/>
      <c r="AO1116" s="10"/>
      <c r="AP1116" s="10"/>
      <c r="AQ1116" s="10"/>
      <c r="AR1116" s="10"/>
      <c r="AS1116" s="10"/>
      <c r="AU1116" s="2"/>
      <c r="AV1116" s="2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</row>
    <row r="1117" spans="1:73" customFormat="1" ht="12.75" hidden="1" customHeight="1" x14ac:dyDescent="0.2">
      <c r="A1117" s="1"/>
      <c r="B1117" s="1"/>
      <c r="C1117" s="1"/>
      <c r="D1117" s="7"/>
      <c r="E1117" s="7"/>
      <c r="F1117" s="6"/>
      <c r="G1117" s="7"/>
      <c r="H1117" s="2"/>
      <c r="I1117" s="2"/>
      <c r="J1117" s="2"/>
      <c r="K1117" s="2"/>
      <c r="L1117" s="178"/>
      <c r="M1117" s="2"/>
      <c r="N1117" s="7"/>
      <c r="P1117" s="7"/>
      <c r="R1117" s="2"/>
      <c r="S1117" s="2"/>
      <c r="T1117" s="2"/>
      <c r="U1117" s="2"/>
      <c r="V1117" s="2"/>
      <c r="X1117" s="38"/>
      <c r="Y1117" s="38"/>
      <c r="Z1117" s="38"/>
      <c r="AA1117" s="38"/>
      <c r="AB1117" s="38"/>
      <c r="AD1117" s="2"/>
      <c r="AE1117" s="2"/>
      <c r="AF1117" s="2"/>
      <c r="AG1117" s="2"/>
      <c r="AH1117" s="2"/>
      <c r="AJ1117" s="215"/>
      <c r="AK1117" s="215"/>
      <c r="AL1117" s="215"/>
      <c r="AM1117" s="215"/>
      <c r="AO1117" s="10"/>
      <c r="AP1117" s="10"/>
      <c r="AQ1117" s="10"/>
      <c r="AR1117" s="10"/>
      <c r="AS1117" s="10"/>
      <c r="AU1117" s="2"/>
      <c r="AV1117" s="2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</row>
    <row r="1118" spans="1:73" customFormat="1" ht="12.75" hidden="1" customHeight="1" x14ac:dyDescent="0.2">
      <c r="A1118" s="1"/>
      <c r="B1118" s="1"/>
      <c r="C1118" s="1"/>
      <c r="D1118" s="7"/>
      <c r="E1118" s="7"/>
      <c r="F1118" s="6"/>
      <c r="G1118" s="7"/>
      <c r="H1118" s="2"/>
      <c r="I1118" s="2"/>
      <c r="J1118" s="2"/>
      <c r="K1118" s="2"/>
      <c r="L1118" s="178"/>
      <c r="M1118" s="2"/>
      <c r="N1118" s="7"/>
      <c r="P1118" s="7"/>
      <c r="R1118" s="2"/>
      <c r="S1118" s="2"/>
      <c r="T1118" s="2"/>
      <c r="U1118" s="2"/>
      <c r="V1118" s="2"/>
      <c r="X1118" s="38"/>
      <c r="Y1118" s="38"/>
      <c r="Z1118" s="38"/>
      <c r="AA1118" s="38"/>
      <c r="AB1118" s="38"/>
      <c r="AD1118" s="2"/>
      <c r="AE1118" s="2"/>
      <c r="AF1118" s="2"/>
      <c r="AG1118" s="2"/>
      <c r="AH1118" s="2"/>
      <c r="AJ1118" s="215"/>
      <c r="AK1118" s="215"/>
      <c r="AL1118" s="215"/>
      <c r="AM1118" s="215"/>
      <c r="AO1118" s="10"/>
      <c r="AP1118" s="10"/>
      <c r="AQ1118" s="10"/>
      <c r="AR1118" s="10"/>
      <c r="AS1118" s="10"/>
      <c r="AU1118" s="2"/>
      <c r="AV1118" s="2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</row>
    <row r="1119" spans="1:73" customFormat="1" ht="12.75" hidden="1" customHeight="1" x14ac:dyDescent="0.2">
      <c r="A1119" s="1"/>
      <c r="B1119" s="1"/>
      <c r="C1119" s="1"/>
      <c r="D1119" s="7"/>
      <c r="E1119" s="7"/>
      <c r="F1119" s="6"/>
      <c r="G1119" s="7"/>
      <c r="H1119" s="2"/>
      <c r="I1119" s="2"/>
      <c r="J1119" s="2"/>
      <c r="K1119" s="2"/>
      <c r="L1119" s="178"/>
      <c r="M1119" s="2"/>
      <c r="N1119" s="7"/>
      <c r="P1119" s="7"/>
      <c r="R1119" s="2"/>
      <c r="S1119" s="2"/>
      <c r="T1119" s="2"/>
      <c r="U1119" s="2"/>
      <c r="V1119" s="2"/>
      <c r="X1119" s="38"/>
      <c r="Y1119" s="38"/>
      <c r="Z1119" s="38"/>
      <c r="AA1119" s="38"/>
      <c r="AB1119" s="38"/>
      <c r="AD1119" s="2"/>
      <c r="AE1119" s="2"/>
      <c r="AF1119" s="2"/>
      <c r="AG1119" s="2"/>
      <c r="AH1119" s="2"/>
      <c r="AJ1119" s="215"/>
      <c r="AK1119" s="215"/>
      <c r="AL1119" s="215"/>
      <c r="AM1119" s="215"/>
      <c r="AO1119" s="10"/>
      <c r="AP1119" s="10"/>
      <c r="AQ1119" s="10"/>
      <c r="AR1119" s="10"/>
      <c r="AS1119" s="10"/>
      <c r="AU1119" s="2"/>
      <c r="AV1119" s="2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</row>
    <row r="1120" spans="1:73" customFormat="1" ht="12.75" hidden="1" customHeight="1" x14ac:dyDescent="0.2">
      <c r="A1120" s="1"/>
      <c r="B1120" s="1"/>
      <c r="C1120" s="1"/>
      <c r="D1120" s="7"/>
      <c r="E1120" s="7"/>
      <c r="F1120" s="6"/>
      <c r="G1120" s="7"/>
      <c r="H1120" s="2"/>
      <c r="I1120" s="2"/>
      <c r="J1120" s="2"/>
      <c r="K1120" s="2"/>
      <c r="L1120" s="178"/>
      <c r="M1120" s="2"/>
      <c r="N1120" s="7"/>
      <c r="P1120" s="7"/>
      <c r="R1120" s="2"/>
      <c r="S1120" s="2"/>
      <c r="T1120" s="2"/>
      <c r="U1120" s="2"/>
      <c r="V1120" s="2"/>
      <c r="X1120" s="38"/>
      <c r="Y1120" s="38"/>
      <c r="Z1120" s="38"/>
      <c r="AA1120" s="38"/>
      <c r="AB1120" s="38"/>
      <c r="AD1120" s="2"/>
      <c r="AE1120" s="2"/>
      <c r="AF1120" s="2"/>
      <c r="AG1120" s="2"/>
      <c r="AH1120" s="2"/>
      <c r="AJ1120" s="215"/>
      <c r="AK1120" s="215"/>
      <c r="AL1120" s="215"/>
      <c r="AM1120" s="215"/>
      <c r="AO1120" s="10"/>
      <c r="AP1120" s="10"/>
      <c r="AQ1120" s="10"/>
      <c r="AR1120" s="10"/>
      <c r="AS1120" s="10"/>
      <c r="AU1120" s="2"/>
      <c r="AV1120" s="2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</row>
    <row r="1121" spans="1:73" customFormat="1" ht="12.75" hidden="1" customHeight="1" x14ac:dyDescent="0.2">
      <c r="A1121" s="1"/>
      <c r="B1121" s="1"/>
      <c r="C1121" s="1"/>
      <c r="D1121" s="7"/>
      <c r="E1121" s="7"/>
      <c r="F1121" s="6"/>
      <c r="G1121" s="7"/>
      <c r="H1121" s="2"/>
      <c r="I1121" s="2"/>
      <c r="J1121" s="2"/>
      <c r="K1121" s="2"/>
      <c r="L1121" s="178"/>
      <c r="M1121" s="2"/>
      <c r="N1121" s="7"/>
      <c r="P1121" s="7"/>
      <c r="R1121" s="2"/>
      <c r="S1121" s="2"/>
      <c r="T1121" s="2"/>
      <c r="U1121" s="2"/>
      <c r="V1121" s="2"/>
      <c r="X1121" s="38"/>
      <c r="Y1121" s="38"/>
      <c r="Z1121" s="38"/>
      <c r="AA1121" s="38"/>
      <c r="AB1121" s="38"/>
      <c r="AD1121" s="2"/>
      <c r="AE1121" s="2"/>
      <c r="AF1121" s="2"/>
      <c r="AG1121" s="2"/>
      <c r="AH1121" s="2"/>
      <c r="AJ1121" s="215"/>
      <c r="AK1121" s="215"/>
      <c r="AL1121" s="215"/>
      <c r="AM1121" s="215"/>
      <c r="AO1121" s="10"/>
      <c r="AP1121" s="10"/>
      <c r="AQ1121" s="10"/>
      <c r="AR1121" s="10"/>
      <c r="AS1121" s="10"/>
      <c r="AU1121" s="2"/>
      <c r="AV1121" s="2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</row>
    <row r="1122" spans="1:73" customFormat="1" ht="12.75" hidden="1" customHeight="1" x14ac:dyDescent="0.2">
      <c r="A1122" s="1"/>
      <c r="B1122" s="1"/>
      <c r="C1122" s="1"/>
      <c r="D1122" s="7"/>
      <c r="E1122" s="7"/>
      <c r="F1122" s="6"/>
      <c r="G1122" s="7"/>
      <c r="H1122" s="2"/>
      <c r="I1122" s="2"/>
      <c r="J1122" s="2"/>
      <c r="K1122" s="2"/>
      <c r="L1122" s="178"/>
      <c r="M1122" s="2"/>
      <c r="N1122" s="7"/>
      <c r="P1122" s="7"/>
      <c r="R1122" s="2"/>
      <c r="S1122" s="2"/>
      <c r="T1122" s="2"/>
      <c r="U1122" s="2"/>
      <c r="V1122" s="2"/>
      <c r="X1122" s="38"/>
      <c r="Y1122" s="38"/>
      <c r="Z1122" s="38"/>
      <c r="AA1122" s="38"/>
      <c r="AB1122" s="38"/>
      <c r="AD1122" s="2"/>
      <c r="AE1122" s="2"/>
      <c r="AF1122" s="2"/>
      <c r="AG1122" s="2"/>
      <c r="AH1122" s="2"/>
      <c r="AJ1122" s="215"/>
      <c r="AK1122" s="215"/>
      <c r="AL1122" s="215"/>
      <c r="AM1122" s="215"/>
      <c r="AO1122" s="10"/>
      <c r="AP1122" s="10"/>
      <c r="AQ1122" s="10"/>
      <c r="AR1122" s="10"/>
      <c r="AS1122" s="10"/>
      <c r="AU1122" s="2"/>
      <c r="AV1122" s="2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</row>
    <row r="1123" spans="1:73" customFormat="1" ht="12.75" hidden="1" customHeight="1" x14ac:dyDescent="0.2">
      <c r="A1123" s="1"/>
      <c r="B1123" s="1"/>
      <c r="C1123" s="1"/>
      <c r="D1123" s="7"/>
      <c r="E1123" s="7"/>
      <c r="F1123" s="6"/>
      <c r="G1123" s="7"/>
      <c r="H1123" s="2"/>
      <c r="I1123" s="2"/>
      <c r="J1123" s="2"/>
      <c r="K1123" s="2"/>
      <c r="L1123" s="178"/>
      <c r="M1123" s="2"/>
      <c r="N1123" s="7"/>
      <c r="P1123" s="7"/>
      <c r="R1123" s="2"/>
      <c r="S1123" s="2"/>
      <c r="T1123" s="2"/>
      <c r="U1123" s="2"/>
      <c r="V1123" s="2"/>
      <c r="X1123" s="38"/>
      <c r="Y1123" s="38"/>
      <c r="Z1123" s="38"/>
      <c r="AA1123" s="38"/>
      <c r="AB1123" s="38"/>
      <c r="AD1123" s="2"/>
      <c r="AE1123" s="2"/>
      <c r="AF1123" s="2"/>
      <c r="AG1123" s="2"/>
      <c r="AH1123" s="2"/>
      <c r="AJ1123" s="215"/>
      <c r="AK1123" s="215"/>
      <c r="AL1123" s="215"/>
      <c r="AM1123" s="215"/>
      <c r="AO1123" s="10"/>
      <c r="AP1123" s="10"/>
      <c r="AQ1123" s="10"/>
      <c r="AR1123" s="10"/>
      <c r="AS1123" s="10"/>
      <c r="AU1123" s="2"/>
      <c r="AV1123" s="2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</row>
    <row r="1124" spans="1:73" customFormat="1" ht="12.75" hidden="1" customHeight="1" x14ac:dyDescent="0.2">
      <c r="A1124" s="1"/>
      <c r="B1124" s="1"/>
      <c r="C1124" s="1"/>
      <c r="D1124" s="7"/>
      <c r="E1124" s="7"/>
      <c r="F1124" s="6"/>
      <c r="G1124" s="7"/>
      <c r="H1124" s="2"/>
      <c r="I1124" s="2"/>
      <c r="J1124" s="2"/>
      <c r="K1124" s="2"/>
      <c r="L1124" s="178"/>
      <c r="M1124" s="2"/>
      <c r="N1124" s="7"/>
      <c r="P1124" s="7"/>
      <c r="R1124" s="2"/>
      <c r="S1124" s="2"/>
      <c r="T1124" s="2"/>
      <c r="U1124" s="2"/>
      <c r="V1124" s="2"/>
      <c r="X1124" s="38"/>
      <c r="Y1124" s="38"/>
      <c r="Z1124" s="38"/>
      <c r="AA1124" s="38"/>
      <c r="AB1124" s="38"/>
      <c r="AD1124" s="2"/>
      <c r="AE1124" s="2"/>
      <c r="AF1124" s="2"/>
      <c r="AG1124" s="2"/>
      <c r="AH1124" s="2"/>
      <c r="AJ1124" s="215"/>
      <c r="AK1124" s="215"/>
      <c r="AL1124" s="215"/>
      <c r="AM1124" s="215"/>
      <c r="AO1124" s="10"/>
      <c r="AP1124" s="10"/>
      <c r="AQ1124" s="10"/>
      <c r="AR1124" s="10"/>
      <c r="AS1124" s="10"/>
      <c r="AU1124" s="2"/>
      <c r="AV1124" s="2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</row>
    <row r="1125" spans="1:73" customFormat="1" ht="12.75" hidden="1" customHeight="1" x14ac:dyDescent="0.2">
      <c r="A1125" s="1"/>
      <c r="B1125" s="1"/>
      <c r="C1125" s="1"/>
      <c r="D1125" s="7"/>
      <c r="E1125" s="7"/>
      <c r="F1125" s="6"/>
      <c r="G1125" s="7"/>
      <c r="H1125" s="2"/>
      <c r="I1125" s="2"/>
      <c r="J1125" s="2"/>
      <c r="K1125" s="2"/>
      <c r="L1125" s="178"/>
      <c r="M1125" s="2"/>
      <c r="N1125" s="7"/>
      <c r="P1125" s="7"/>
      <c r="R1125" s="2"/>
      <c r="S1125" s="2"/>
      <c r="T1125" s="2"/>
      <c r="U1125" s="2"/>
      <c r="V1125" s="2"/>
      <c r="X1125" s="38"/>
      <c r="Y1125" s="38"/>
      <c r="Z1125" s="38"/>
      <c r="AA1125" s="38"/>
      <c r="AB1125" s="38"/>
      <c r="AD1125" s="2"/>
      <c r="AE1125" s="2"/>
      <c r="AF1125" s="2"/>
      <c r="AG1125" s="2"/>
      <c r="AH1125" s="2"/>
      <c r="AJ1125" s="215"/>
      <c r="AK1125" s="215"/>
      <c r="AL1125" s="215"/>
      <c r="AM1125" s="215"/>
      <c r="AO1125" s="10"/>
      <c r="AP1125" s="10"/>
      <c r="AQ1125" s="10"/>
      <c r="AR1125" s="10"/>
      <c r="AS1125" s="10"/>
      <c r="AU1125" s="2"/>
      <c r="AV1125" s="2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</row>
    <row r="1126" spans="1:73" customFormat="1" ht="12.75" hidden="1" customHeight="1" x14ac:dyDescent="0.2">
      <c r="A1126" s="1"/>
      <c r="B1126" s="1"/>
      <c r="C1126" s="1"/>
      <c r="D1126" s="7"/>
      <c r="E1126" s="7"/>
      <c r="F1126" s="6"/>
      <c r="G1126" s="7"/>
      <c r="H1126" s="2"/>
      <c r="I1126" s="2"/>
      <c r="J1126" s="2"/>
      <c r="K1126" s="2"/>
      <c r="L1126" s="178"/>
      <c r="M1126" s="2"/>
      <c r="N1126" s="7"/>
      <c r="P1126" s="7"/>
      <c r="R1126" s="2"/>
      <c r="S1126" s="2"/>
      <c r="T1126" s="2"/>
      <c r="U1126" s="2"/>
      <c r="V1126" s="2"/>
      <c r="X1126" s="38"/>
      <c r="Y1126" s="38"/>
      <c r="Z1126" s="38"/>
      <c r="AA1126" s="38"/>
      <c r="AB1126" s="38"/>
      <c r="AD1126" s="2"/>
      <c r="AE1126" s="2"/>
      <c r="AF1126" s="2"/>
      <c r="AG1126" s="2"/>
      <c r="AH1126" s="2"/>
      <c r="AJ1126" s="215"/>
      <c r="AK1126" s="215"/>
      <c r="AL1126" s="215"/>
      <c r="AM1126" s="215"/>
      <c r="AO1126" s="10"/>
      <c r="AP1126" s="10"/>
      <c r="AQ1126" s="10"/>
      <c r="AR1126" s="10"/>
      <c r="AS1126" s="10"/>
      <c r="AU1126" s="2"/>
      <c r="AV1126" s="2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</row>
    <row r="1127" spans="1:73" customFormat="1" ht="12.75" hidden="1" customHeight="1" x14ac:dyDescent="0.2">
      <c r="A1127" s="1"/>
      <c r="B1127" s="1"/>
      <c r="C1127" s="1"/>
      <c r="D1127" s="7"/>
      <c r="E1127" s="7"/>
      <c r="F1127" s="6"/>
      <c r="G1127" s="7"/>
      <c r="H1127" s="2"/>
      <c r="I1127" s="2"/>
      <c r="J1127" s="2"/>
      <c r="K1127" s="2"/>
      <c r="L1127" s="178"/>
      <c r="M1127" s="2"/>
      <c r="N1127" s="7"/>
      <c r="P1127" s="7"/>
      <c r="R1127" s="2"/>
      <c r="S1127" s="2"/>
      <c r="T1127" s="2"/>
      <c r="U1127" s="2"/>
      <c r="V1127" s="2"/>
      <c r="X1127" s="38"/>
      <c r="Y1127" s="38"/>
      <c r="Z1127" s="38"/>
      <c r="AA1127" s="38"/>
      <c r="AB1127" s="38"/>
      <c r="AD1127" s="2"/>
      <c r="AE1127" s="2"/>
      <c r="AF1127" s="2"/>
      <c r="AG1127" s="2"/>
      <c r="AH1127" s="2"/>
      <c r="AJ1127" s="215"/>
      <c r="AK1127" s="215"/>
      <c r="AL1127" s="215"/>
      <c r="AM1127" s="215"/>
      <c r="AO1127" s="10"/>
      <c r="AP1127" s="10"/>
      <c r="AQ1127" s="10"/>
      <c r="AR1127" s="10"/>
      <c r="AS1127" s="10"/>
      <c r="AU1127" s="2"/>
      <c r="AV1127" s="2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</row>
    <row r="1128" spans="1:73" customFormat="1" ht="12.75" hidden="1" customHeight="1" x14ac:dyDescent="0.2">
      <c r="A1128" s="1"/>
      <c r="B1128" s="1"/>
      <c r="C1128" s="1"/>
      <c r="D1128" s="7"/>
      <c r="E1128" s="7"/>
      <c r="F1128" s="6"/>
      <c r="G1128" s="7"/>
      <c r="H1128" s="2"/>
      <c r="I1128" s="2"/>
      <c r="J1128" s="2"/>
      <c r="K1128" s="2"/>
      <c r="L1128" s="178"/>
      <c r="M1128" s="2"/>
      <c r="N1128" s="7"/>
      <c r="P1128" s="7"/>
      <c r="R1128" s="2"/>
      <c r="S1128" s="2"/>
      <c r="T1128" s="2"/>
      <c r="U1128" s="2"/>
      <c r="V1128" s="2"/>
      <c r="X1128" s="38"/>
      <c r="Y1128" s="38"/>
      <c r="Z1128" s="38"/>
      <c r="AA1128" s="38"/>
      <c r="AB1128" s="38"/>
      <c r="AD1128" s="2"/>
      <c r="AE1128" s="2"/>
      <c r="AF1128" s="2"/>
      <c r="AG1128" s="2"/>
      <c r="AH1128" s="2"/>
      <c r="AJ1128" s="215"/>
      <c r="AK1128" s="215"/>
      <c r="AL1128" s="215"/>
      <c r="AM1128" s="215"/>
      <c r="AO1128" s="10"/>
      <c r="AP1128" s="10"/>
      <c r="AQ1128" s="10"/>
      <c r="AR1128" s="10"/>
      <c r="AS1128" s="10"/>
      <c r="AU1128" s="2"/>
      <c r="AV1128" s="2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</row>
    <row r="1129" spans="1:73" customFormat="1" ht="12.75" hidden="1" customHeight="1" x14ac:dyDescent="0.2">
      <c r="A1129" s="1"/>
      <c r="B1129" s="1"/>
      <c r="C1129" s="1"/>
      <c r="D1129" s="7"/>
      <c r="E1129" s="7"/>
      <c r="F1129" s="6"/>
      <c r="G1129" s="7"/>
      <c r="H1129" s="2"/>
      <c r="I1129" s="2"/>
      <c r="J1129" s="2"/>
      <c r="K1129" s="2"/>
      <c r="L1129" s="178"/>
      <c r="M1129" s="2"/>
      <c r="N1129" s="7"/>
      <c r="P1129" s="7"/>
      <c r="R1129" s="2"/>
      <c r="S1129" s="2"/>
      <c r="T1129" s="2"/>
      <c r="U1129" s="2"/>
      <c r="V1129" s="2"/>
      <c r="X1129" s="38"/>
      <c r="Y1129" s="38"/>
      <c r="Z1129" s="38"/>
      <c r="AA1129" s="38"/>
      <c r="AB1129" s="38"/>
      <c r="AD1129" s="2"/>
      <c r="AE1129" s="2"/>
      <c r="AF1129" s="2"/>
      <c r="AG1129" s="2"/>
      <c r="AH1129" s="2"/>
      <c r="AJ1129" s="215"/>
      <c r="AK1129" s="215"/>
      <c r="AL1129" s="215"/>
      <c r="AM1129" s="215"/>
      <c r="AO1129" s="10"/>
      <c r="AP1129" s="10"/>
      <c r="AQ1129" s="10"/>
      <c r="AR1129" s="10"/>
      <c r="AS1129" s="10"/>
      <c r="AU1129" s="2"/>
      <c r="AV1129" s="2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</row>
    <row r="1130" spans="1:73" customFormat="1" ht="12.75" hidden="1" customHeight="1" x14ac:dyDescent="0.2">
      <c r="A1130" s="1"/>
      <c r="B1130" s="1"/>
      <c r="C1130" s="1"/>
      <c r="D1130" s="7"/>
      <c r="E1130" s="7"/>
      <c r="F1130" s="6"/>
      <c r="G1130" s="7"/>
      <c r="H1130" s="2"/>
      <c r="I1130" s="2"/>
      <c r="J1130" s="2"/>
      <c r="K1130" s="2"/>
      <c r="L1130" s="178"/>
      <c r="M1130" s="2"/>
      <c r="N1130" s="7"/>
      <c r="P1130" s="7"/>
      <c r="R1130" s="2"/>
      <c r="S1130" s="2"/>
      <c r="T1130" s="2"/>
      <c r="U1130" s="2"/>
      <c r="V1130" s="2"/>
      <c r="X1130" s="38"/>
      <c r="Y1130" s="38"/>
      <c r="Z1130" s="38"/>
      <c r="AA1130" s="38"/>
      <c r="AB1130" s="38"/>
      <c r="AD1130" s="2"/>
      <c r="AE1130" s="2"/>
      <c r="AF1130" s="2"/>
      <c r="AG1130" s="2"/>
      <c r="AH1130" s="2"/>
      <c r="AJ1130" s="215"/>
      <c r="AK1130" s="215"/>
      <c r="AL1130" s="215"/>
      <c r="AM1130" s="215"/>
      <c r="AO1130" s="10"/>
      <c r="AP1130" s="10"/>
      <c r="AQ1130" s="10"/>
      <c r="AR1130" s="10"/>
      <c r="AS1130" s="10"/>
      <c r="AU1130" s="2"/>
      <c r="AV1130" s="2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</row>
    <row r="1131" spans="1:73" customFormat="1" ht="12.75" hidden="1" customHeight="1" x14ac:dyDescent="0.2">
      <c r="A1131" s="1"/>
      <c r="B1131" s="1"/>
      <c r="C1131" s="1"/>
      <c r="D1131" s="7"/>
      <c r="E1131" s="7"/>
      <c r="F1131" s="6"/>
      <c r="G1131" s="7"/>
      <c r="H1131" s="2"/>
      <c r="I1131" s="2"/>
      <c r="J1131" s="2"/>
      <c r="K1131" s="2"/>
      <c r="L1131" s="178"/>
      <c r="M1131" s="2"/>
      <c r="N1131" s="7"/>
      <c r="P1131" s="7"/>
      <c r="R1131" s="2"/>
      <c r="S1131" s="2"/>
      <c r="T1131" s="2"/>
      <c r="U1131" s="2"/>
      <c r="V1131" s="2"/>
      <c r="X1131" s="38"/>
      <c r="Y1131" s="38"/>
      <c r="Z1131" s="38"/>
      <c r="AA1131" s="38"/>
      <c r="AB1131" s="38"/>
      <c r="AD1131" s="2"/>
      <c r="AE1131" s="2"/>
      <c r="AF1131" s="2"/>
      <c r="AG1131" s="2"/>
      <c r="AH1131" s="2"/>
      <c r="AJ1131" s="215"/>
      <c r="AK1131" s="215"/>
      <c r="AL1131" s="215"/>
      <c r="AM1131" s="215"/>
      <c r="AO1131" s="10"/>
      <c r="AP1131" s="10"/>
      <c r="AQ1131" s="10"/>
      <c r="AR1131" s="10"/>
      <c r="AS1131" s="10"/>
      <c r="AU1131" s="2"/>
      <c r="AV1131" s="2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</row>
    <row r="1132" spans="1:73" customFormat="1" ht="12.75" hidden="1" customHeight="1" x14ac:dyDescent="0.2">
      <c r="A1132" s="1"/>
      <c r="B1132" s="1"/>
      <c r="C1132" s="1"/>
      <c r="D1132" s="7"/>
      <c r="E1132" s="7"/>
      <c r="F1132" s="6"/>
      <c r="G1132" s="7"/>
      <c r="H1132" s="2"/>
      <c r="I1132" s="2"/>
      <c r="J1132" s="2"/>
      <c r="K1132" s="2"/>
      <c r="L1132" s="178"/>
      <c r="M1132" s="2"/>
      <c r="N1132" s="7"/>
      <c r="P1132" s="7"/>
      <c r="R1132" s="2"/>
      <c r="S1132" s="2"/>
      <c r="T1132" s="2"/>
      <c r="U1132" s="2"/>
      <c r="V1132" s="2"/>
      <c r="X1132" s="38"/>
      <c r="Y1132" s="38"/>
      <c r="Z1132" s="38"/>
      <c r="AA1132" s="38"/>
      <c r="AB1132" s="38"/>
      <c r="AD1132" s="2"/>
      <c r="AE1132" s="2"/>
      <c r="AF1132" s="2"/>
      <c r="AG1132" s="2"/>
      <c r="AH1132" s="2"/>
      <c r="AJ1132" s="215"/>
      <c r="AK1132" s="215"/>
      <c r="AL1132" s="215"/>
      <c r="AM1132" s="215"/>
      <c r="AO1132" s="10"/>
      <c r="AP1132" s="10"/>
      <c r="AQ1132" s="10"/>
      <c r="AR1132" s="10"/>
      <c r="AS1132" s="10"/>
      <c r="AU1132" s="2"/>
      <c r="AV1132" s="2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</row>
    <row r="1133" spans="1:73" customFormat="1" ht="12.75" hidden="1" customHeight="1" x14ac:dyDescent="0.2">
      <c r="A1133" s="1"/>
      <c r="B1133" s="1"/>
      <c r="C1133" s="1"/>
      <c r="D1133" s="7"/>
      <c r="E1133" s="7"/>
      <c r="F1133" s="6"/>
      <c r="G1133" s="7"/>
      <c r="H1133" s="2"/>
      <c r="I1133" s="2"/>
      <c r="J1133" s="2"/>
      <c r="K1133" s="2"/>
      <c r="L1133" s="178"/>
      <c r="M1133" s="2"/>
      <c r="N1133" s="7"/>
      <c r="P1133" s="7"/>
      <c r="R1133" s="2"/>
      <c r="S1133" s="2"/>
      <c r="T1133" s="2"/>
      <c r="U1133" s="2"/>
      <c r="V1133" s="2"/>
      <c r="X1133" s="38"/>
      <c r="Y1133" s="38"/>
      <c r="Z1133" s="38"/>
      <c r="AA1133" s="38"/>
      <c r="AB1133" s="38"/>
      <c r="AD1133" s="2"/>
      <c r="AE1133" s="2"/>
      <c r="AF1133" s="2"/>
      <c r="AG1133" s="2"/>
      <c r="AH1133" s="2"/>
      <c r="AJ1133" s="215"/>
      <c r="AK1133" s="215"/>
      <c r="AL1133" s="215"/>
      <c r="AM1133" s="215"/>
      <c r="AO1133" s="10"/>
      <c r="AP1133" s="10"/>
      <c r="AQ1133" s="10"/>
      <c r="AR1133" s="10"/>
      <c r="AS1133" s="10"/>
      <c r="AU1133" s="2"/>
      <c r="AV1133" s="2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</row>
    <row r="1134" spans="1:73" customFormat="1" ht="12.75" hidden="1" customHeight="1" x14ac:dyDescent="0.2">
      <c r="A1134" s="1"/>
      <c r="B1134" s="1"/>
      <c r="C1134" s="1"/>
      <c r="D1134" s="7"/>
      <c r="E1134" s="7"/>
      <c r="F1134" s="6"/>
      <c r="G1134" s="7"/>
      <c r="H1134" s="2"/>
      <c r="I1134" s="2"/>
      <c r="J1134" s="2"/>
      <c r="K1134" s="2"/>
      <c r="L1134" s="178"/>
      <c r="M1134" s="2"/>
      <c r="N1134" s="7"/>
      <c r="P1134" s="7"/>
      <c r="R1134" s="2"/>
      <c r="S1134" s="2"/>
      <c r="T1134" s="2"/>
      <c r="U1134" s="2"/>
      <c r="V1134" s="2"/>
      <c r="X1134" s="38"/>
      <c r="Y1134" s="38"/>
      <c r="Z1134" s="38"/>
      <c r="AA1134" s="38"/>
      <c r="AB1134" s="38"/>
      <c r="AD1134" s="2"/>
      <c r="AE1134" s="2"/>
      <c r="AF1134" s="2"/>
      <c r="AG1134" s="2"/>
      <c r="AH1134" s="2"/>
      <c r="AJ1134" s="215"/>
      <c r="AK1134" s="215"/>
      <c r="AL1134" s="215"/>
      <c r="AM1134" s="215"/>
      <c r="AO1134" s="10"/>
      <c r="AP1134" s="10"/>
      <c r="AQ1134" s="10"/>
      <c r="AR1134" s="10"/>
      <c r="AS1134" s="10"/>
      <c r="AU1134" s="2"/>
      <c r="AV1134" s="2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</row>
    <row r="1135" spans="1:73" customFormat="1" ht="12.75" hidden="1" customHeight="1" x14ac:dyDescent="0.2">
      <c r="A1135" s="1"/>
      <c r="B1135" s="1"/>
      <c r="C1135" s="1"/>
      <c r="D1135" s="7"/>
      <c r="E1135" s="7"/>
      <c r="F1135" s="6"/>
      <c r="G1135" s="7"/>
      <c r="H1135" s="2"/>
      <c r="I1135" s="2"/>
      <c r="J1135" s="2"/>
      <c r="K1135" s="2"/>
      <c r="L1135" s="178"/>
      <c r="M1135" s="2"/>
      <c r="N1135" s="7"/>
      <c r="P1135" s="7"/>
      <c r="R1135" s="2"/>
      <c r="S1135" s="2"/>
      <c r="T1135" s="2"/>
      <c r="U1135" s="2"/>
      <c r="V1135" s="2"/>
      <c r="X1135" s="38"/>
      <c r="Y1135" s="38"/>
      <c r="Z1135" s="38"/>
      <c r="AA1135" s="38"/>
      <c r="AB1135" s="38"/>
      <c r="AD1135" s="2"/>
      <c r="AE1135" s="2"/>
      <c r="AF1135" s="2"/>
      <c r="AG1135" s="2"/>
      <c r="AH1135" s="2"/>
      <c r="AJ1135" s="215"/>
      <c r="AK1135" s="215"/>
      <c r="AL1135" s="215"/>
      <c r="AM1135" s="215"/>
      <c r="AO1135" s="10"/>
      <c r="AP1135" s="10"/>
      <c r="AQ1135" s="10"/>
      <c r="AR1135" s="10"/>
      <c r="AS1135" s="10"/>
      <c r="AU1135" s="2"/>
      <c r="AV1135" s="2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</row>
    <row r="1136" spans="1:73" customFormat="1" ht="12.75" hidden="1" customHeight="1" x14ac:dyDescent="0.2">
      <c r="A1136" s="1"/>
      <c r="B1136" s="1"/>
      <c r="C1136" s="1"/>
      <c r="D1136" s="7"/>
      <c r="E1136" s="7"/>
      <c r="F1136" s="6"/>
      <c r="G1136" s="7"/>
      <c r="H1136" s="2"/>
      <c r="I1136" s="2"/>
      <c r="J1136" s="2"/>
      <c r="K1136" s="2"/>
      <c r="L1136" s="178"/>
      <c r="M1136" s="2"/>
      <c r="N1136" s="7"/>
      <c r="P1136" s="7"/>
      <c r="R1136" s="2"/>
      <c r="S1136" s="2"/>
      <c r="T1136" s="2"/>
      <c r="U1136" s="2"/>
      <c r="V1136" s="2"/>
      <c r="X1136" s="38"/>
      <c r="Y1136" s="38"/>
      <c r="Z1136" s="38"/>
      <c r="AA1136" s="38"/>
      <c r="AB1136" s="38"/>
      <c r="AD1136" s="2"/>
      <c r="AE1136" s="2"/>
      <c r="AF1136" s="2"/>
      <c r="AG1136" s="2"/>
      <c r="AH1136" s="2"/>
      <c r="AJ1136" s="215"/>
      <c r="AK1136" s="215"/>
      <c r="AL1136" s="215"/>
      <c r="AM1136" s="215"/>
      <c r="AO1136" s="10"/>
      <c r="AP1136" s="10"/>
      <c r="AQ1136" s="10"/>
      <c r="AR1136" s="10"/>
      <c r="AS1136" s="10"/>
      <c r="AU1136" s="2"/>
      <c r="AV1136" s="2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</row>
    <row r="1137" spans="1:73" customFormat="1" ht="12.75" hidden="1" customHeight="1" x14ac:dyDescent="0.2">
      <c r="A1137" s="1"/>
      <c r="B1137" s="1"/>
      <c r="C1137" s="1"/>
      <c r="D1137" s="7"/>
      <c r="E1137" s="7"/>
      <c r="F1137" s="6"/>
      <c r="G1137" s="7"/>
      <c r="H1137" s="2"/>
      <c r="I1137" s="2"/>
      <c r="J1137" s="2"/>
      <c r="K1137" s="2"/>
      <c r="L1137" s="178"/>
      <c r="M1137" s="2"/>
      <c r="N1137" s="7"/>
      <c r="P1137" s="7"/>
      <c r="R1137" s="2"/>
      <c r="S1137" s="2"/>
      <c r="T1137" s="2"/>
      <c r="U1137" s="2"/>
      <c r="V1137" s="2"/>
      <c r="X1137" s="38"/>
      <c r="Y1137" s="38"/>
      <c r="Z1137" s="38"/>
      <c r="AA1137" s="38"/>
      <c r="AB1137" s="38"/>
      <c r="AD1137" s="2"/>
      <c r="AE1137" s="2"/>
      <c r="AF1137" s="2"/>
      <c r="AG1137" s="2"/>
      <c r="AH1137" s="2"/>
      <c r="AJ1137" s="215"/>
      <c r="AK1137" s="215"/>
      <c r="AL1137" s="215"/>
      <c r="AM1137" s="215"/>
      <c r="AO1137" s="10"/>
      <c r="AP1137" s="10"/>
      <c r="AQ1137" s="10"/>
      <c r="AR1137" s="10"/>
      <c r="AS1137" s="10"/>
      <c r="AU1137" s="2"/>
      <c r="AV1137" s="2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</row>
    <row r="1138" spans="1:73" customFormat="1" ht="12.75" hidden="1" customHeight="1" x14ac:dyDescent="0.2">
      <c r="A1138" s="1"/>
      <c r="B1138" s="1"/>
      <c r="C1138" s="1"/>
      <c r="D1138" s="7"/>
      <c r="E1138" s="7"/>
      <c r="F1138" s="6"/>
      <c r="G1138" s="7"/>
      <c r="H1138" s="2"/>
      <c r="I1138" s="2"/>
      <c r="J1138" s="2"/>
      <c r="K1138" s="2"/>
      <c r="L1138" s="178"/>
      <c r="M1138" s="2"/>
      <c r="N1138" s="7"/>
      <c r="P1138" s="7"/>
      <c r="R1138" s="2"/>
      <c r="S1138" s="2"/>
      <c r="T1138" s="2"/>
      <c r="U1138" s="2"/>
      <c r="V1138" s="2"/>
      <c r="X1138" s="38"/>
      <c r="Y1138" s="38"/>
      <c r="Z1138" s="38"/>
      <c r="AA1138" s="38"/>
      <c r="AB1138" s="38"/>
      <c r="AD1138" s="2"/>
      <c r="AE1138" s="2"/>
      <c r="AF1138" s="2"/>
      <c r="AG1138" s="2"/>
      <c r="AH1138" s="2"/>
      <c r="AJ1138" s="215"/>
      <c r="AK1138" s="215"/>
      <c r="AL1138" s="215"/>
      <c r="AM1138" s="215"/>
      <c r="AO1138" s="10"/>
      <c r="AP1138" s="10"/>
      <c r="AQ1138" s="10"/>
      <c r="AR1138" s="10"/>
      <c r="AS1138" s="10"/>
      <c r="AU1138" s="2"/>
      <c r="AV1138" s="2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</row>
    <row r="1139" spans="1:73" customFormat="1" ht="12.75" hidden="1" customHeight="1" x14ac:dyDescent="0.2">
      <c r="A1139" s="1"/>
      <c r="B1139" s="1"/>
      <c r="C1139" s="1"/>
      <c r="D1139" s="7"/>
      <c r="E1139" s="7"/>
      <c r="F1139" s="6"/>
      <c r="G1139" s="7"/>
      <c r="H1139" s="2"/>
      <c r="I1139" s="2"/>
      <c r="J1139" s="2"/>
      <c r="K1139" s="2"/>
      <c r="L1139" s="178"/>
      <c r="M1139" s="2"/>
      <c r="N1139" s="7"/>
      <c r="P1139" s="7"/>
      <c r="R1139" s="2"/>
      <c r="S1139" s="2"/>
      <c r="T1139" s="2"/>
      <c r="U1139" s="2"/>
      <c r="V1139" s="2"/>
      <c r="X1139" s="38"/>
      <c r="Y1139" s="38"/>
      <c r="Z1139" s="38"/>
      <c r="AA1139" s="38"/>
      <c r="AB1139" s="38"/>
      <c r="AD1139" s="2"/>
      <c r="AE1139" s="2"/>
      <c r="AF1139" s="2"/>
      <c r="AG1139" s="2"/>
      <c r="AH1139" s="2"/>
      <c r="AJ1139" s="215"/>
      <c r="AK1139" s="215"/>
      <c r="AL1139" s="215"/>
      <c r="AM1139" s="215"/>
      <c r="AO1139" s="10"/>
      <c r="AP1139" s="10"/>
      <c r="AQ1139" s="10"/>
      <c r="AR1139" s="10"/>
      <c r="AS1139" s="10"/>
      <c r="AU1139" s="2"/>
      <c r="AV1139" s="2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</row>
    <row r="1140" spans="1:73" customFormat="1" ht="12.75" hidden="1" customHeight="1" x14ac:dyDescent="0.2">
      <c r="A1140" s="1"/>
      <c r="B1140" s="1"/>
      <c r="C1140" s="1"/>
      <c r="D1140" s="7"/>
      <c r="E1140" s="7"/>
      <c r="F1140" s="6"/>
      <c r="G1140" s="7"/>
      <c r="H1140" s="2"/>
      <c r="I1140" s="2"/>
      <c r="J1140" s="2"/>
      <c r="K1140" s="2"/>
      <c r="L1140" s="178"/>
      <c r="M1140" s="2"/>
      <c r="N1140" s="7"/>
      <c r="P1140" s="7"/>
      <c r="R1140" s="2"/>
      <c r="S1140" s="2"/>
      <c r="T1140" s="2"/>
      <c r="U1140" s="2"/>
      <c r="V1140" s="2"/>
      <c r="X1140" s="38"/>
      <c r="Y1140" s="38"/>
      <c r="Z1140" s="38"/>
      <c r="AA1140" s="38"/>
      <c r="AB1140" s="38"/>
      <c r="AD1140" s="2"/>
      <c r="AE1140" s="2"/>
      <c r="AF1140" s="2"/>
      <c r="AG1140" s="2"/>
      <c r="AH1140" s="2"/>
      <c r="AJ1140" s="215"/>
      <c r="AK1140" s="215"/>
      <c r="AL1140" s="215"/>
      <c r="AM1140" s="215"/>
      <c r="AO1140" s="10"/>
      <c r="AP1140" s="10"/>
      <c r="AQ1140" s="10"/>
      <c r="AR1140" s="10"/>
      <c r="AS1140" s="10"/>
      <c r="AU1140" s="2"/>
      <c r="AV1140" s="2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</row>
    <row r="1141" spans="1:73" customFormat="1" ht="12.75" hidden="1" customHeight="1" x14ac:dyDescent="0.2">
      <c r="A1141" s="1"/>
      <c r="B1141" s="1"/>
      <c r="C1141" s="1"/>
      <c r="D1141" s="7"/>
      <c r="E1141" s="7"/>
      <c r="F1141" s="6"/>
      <c r="G1141" s="7"/>
      <c r="H1141" s="2"/>
      <c r="I1141" s="2"/>
      <c r="J1141" s="2"/>
      <c r="K1141" s="2"/>
      <c r="L1141" s="178"/>
      <c r="M1141" s="2"/>
      <c r="N1141" s="7"/>
      <c r="P1141" s="7"/>
      <c r="R1141" s="2"/>
      <c r="S1141" s="2"/>
      <c r="T1141" s="2"/>
      <c r="U1141" s="2"/>
      <c r="V1141" s="2"/>
      <c r="X1141" s="38"/>
      <c r="Y1141" s="38"/>
      <c r="Z1141" s="38"/>
      <c r="AA1141" s="38"/>
      <c r="AB1141" s="38"/>
      <c r="AD1141" s="2"/>
      <c r="AE1141" s="2"/>
      <c r="AF1141" s="2"/>
      <c r="AG1141" s="2"/>
      <c r="AH1141" s="2"/>
      <c r="AJ1141" s="215"/>
      <c r="AK1141" s="215"/>
      <c r="AL1141" s="215"/>
      <c r="AM1141" s="215"/>
      <c r="AO1141" s="10"/>
      <c r="AP1141" s="10"/>
      <c r="AQ1141" s="10"/>
      <c r="AR1141" s="10"/>
      <c r="AS1141" s="10"/>
      <c r="AU1141" s="2"/>
      <c r="AV1141" s="2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</row>
    <row r="1142" spans="1:73" customFormat="1" ht="12.75" hidden="1" customHeight="1" x14ac:dyDescent="0.2">
      <c r="A1142" s="1"/>
      <c r="B1142" s="1"/>
      <c r="C1142" s="1"/>
      <c r="D1142" s="7"/>
      <c r="E1142" s="7"/>
      <c r="F1142" s="6"/>
      <c r="G1142" s="7"/>
      <c r="H1142" s="2"/>
      <c r="I1142" s="2"/>
      <c r="J1142" s="2"/>
      <c r="K1142" s="2"/>
      <c r="L1142" s="178"/>
      <c r="M1142" s="2"/>
      <c r="N1142" s="7"/>
      <c r="P1142" s="7"/>
      <c r="R1142" s="2"/>
      <c r="S1142" s="2"/>
      <c r="T1142" s="2"/>
      <c r="U1142" s="2"/>
      <c r="V1142" s="2"/>
      <c r="X1142" s="38"/>
      <c r="Y1142" s="38"/>
      <c r="Z1142" s="38"/>
      <c r="AA1142" s="38"/>
      <c r="AB1142" s="38"/>
      <c r="AD1142" s="2"/>
      <c r="AE1142" s="2"/>
      <c r="AF1142" s="2"/>
      <c r="AG1142" s="2"/>
      <c r="AH1142" s="2"/>
      <c r="AJ1142" s="215"/>
      <c r="AK1142" s="215"/>
      <c r="AL1142" s="215"/>
      <c r="AM1142" s="215"/>
      <c r="AO1142" s="10"/>
      <c r="AP1142" s="10"/>
      <c r="AQ1142" s="10"/>
      <c r="AR1142" s="10"/>
      <c r="AS1142" s="10"/>
      <c r="AU1142" s="2"/>
      <c r="AV1142" s="2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</row>
    <row r="1143" spans="1:73" customFormat="1" ht="12.75" hidden="1" customHeight="1" x14ac:dyDescent="0.2">
      <c r="A1143" s="1"/>
      <c r="B1143" s="1"/>
      <c r="C1143" s="1"/>
      <c r="D1143" s="7"/>
      <c r="E1143" s="7"/>
      <c r="F1143" s="6"/>
      <c r="G1143" s="7"/>
      <c r="H1143" s="2"/>
      <c r="I1143" s="2"/>
      <c r="J1143" s="2"/>
      <c r="K1143" s="2"/>
      <c r="L1143" s="178"/>
      <c r="M1143" s="2"/>
      <c r="N1143" s="7"/>
      <c r="P1143" s="7"/>
      <c r="R1143" s="2"/>
      <c r="S1143" s="2"/>
      <c r="T1143" s="2"/>
      <c r="U1143" s="2"/>
      <c r="V1143" s="2"/>
      <c r="X1143" s="38"/>
      <c r="Y1143" s="38"/>
      <c r="Z1143" s="38"/>
      <c r="AA1143" s="38"/>
      <c r="AB1143" s="38"/>
      <c r="AD1143" s="2"/>
      <c r="AE1143" s="2"/>
      <c r="AF1143" s="2"/>
      <c r="AG1143" s="2"/>
      <c r="AH1143" s="2"/>
      <c r="AJ1143" s="215"/>
      <c r="AK1143" s="215"/>
      <c r="AL1143" s="215"/>
      <c r="AM1143" s="215"/>
      <c r="AO1143" s="10"/>
      <c r="AP1143" s="10"/>
      <c r="AQ1143" s="10"/>
      <c r="AR1143" s="10"/>
      <c r="AS1143" s="10"/>
      <c r="AU1143" s="2"/>
      <c r="AV1143" s="2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</row>
    <row r="1144" spans="1:73" customFormat="1" ht="12.75" hidden="1" customHeight="1" x14ac:dyDescent="0.2">
      <c r="A1144" s="1"/>
      <c r="B1144" s="1"/>
      <c r="C1144" s="1"/>
      <c r="D1144" s="7"/>
      <c r="E1144" s="7"/>
      <c r="F1144" s="6"/>
      <c r="G1144" s="7"/>
      <c r="H1144" s="2"/>
      <c r="I1144" s="2"/>
      <c r="J1144" s="2"/>
      <c r="K1144" s="2"/>
      <c r="L1144" s="178"/>
      <c r="M1144" s="2"/>
      <c r="N1144" s="7"/>
      <c r="P1144" s="7"/>
      <c r="R1144" s="2"/>
      <c r="S1144" s="2"/>
      <c r="T1144" s="2"/>
      <c r="U1144" s="2"/>
      <c r="V1144" s="2"/>
      <c r="X1144" s="38"/>
      <c r="Y1144" s="38"/>
      <c r="Z1144" s="38"/>
      <c r="AA1144" s="38"/>
      <c r="AB1144" s="38"/>
      <c r="AD1144" s="2"/>
      <c r="AE1144" s="2"/>
      <c r="AF1144" s="2"/>
      <c r="AG1144" s="2"/>
      <c r="AH1144" s="2"/>
      <c r="AJ1144" s="215"/>
      <c r="AK1144" s="215"/>
      <c r="AL1144" s="215"/>
      <c r="AM1144" s="215"/>
      <c r="AO1144" s="10"/>
      <c r="AP1144" s="10"/>
      <c r="AQ1144" s="10"/>
      <c r="AR1144" s="10"/>
      <c r="AS1144" s="10"/>
      <c r="AU1144" s="2"/>
      <c r="AV1144" s="2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</row>
    <row r="1145" spans="1:73" customFormat="1" ht="12.75" hidden="1" customHeight="1" x14ac:dyDescent="0.2">
      <c r="A1145" s="1"/>
      <c r="B1145" s="1"/>
      <c r="C1145" s="1"/>
      <c r="D1145" s="7"/>
      <c r="E1145" s="7"/>
      <c r="F1145" s="6"/>
      <c r="G1145" s="7"/>
      <c r="H1145" s="2"/>
      <c r="I1145" s="2"/>
      <c r="J1145" s="2"/>
      <c r="K1145" s="2"/>
      <c r="L1145" s="178"/>
      <c r="M1145" s="2"/>
      <c r="N1145" s="7"/>
      <c r="P1145" s="7"/>
      <c r="R1145" s="2"/>
      <c r="S1145" s="2"/>
      <c r="T1145" s="2"/>
      <c r="U1145" s="2"/>
      <c r="V1145" s="2"/>
      <c r="X1145" s="38"/>
      <c r="Y1145" s="38"/>
      <c r="Z1145" s="38"/>
      <c r="AA1145" s="38"/>
      <c r="AB1145" s="38"/>
      <c r="AD1145" s="2"/>
      <c r="AE1145" s="2"/>
      <c r="AF1145" s="2"/>
      <c r="AG1145" s="2"/>
      <c r="AH1145" s="2"/>
      <c r="AJ1145" s="215"/>
      <c r="AK1145" s="215"/>
      <c r="AL1145" s="215"/>
      <c r="AM1145" s="215"/>
      <c r="AO1145" s="10"/>
      <c r="AP1145" s="10"/>
      <c r="AQ1145" s="10"/>
      <c r="AR1145" s="10"/>
      <c r="AS1145" s="10"/>
      <c r="AU1145" s="2"/>
      <c r="AV1145" s="2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</row>
    <row r="1146" spans="1:73" customFormat="1" ht="12.75" hidden="1" customHeight="1" x14ac:dyDescent="0.2">
      <c r="A1146" s="1"/>
      <c r="B1146" s="1"/>
      <c r="C1146" s="1"/>
      <c r="D1146" s="7"/>
      <c r="E1146" s="7"/>
      <c r="F1146" s="6"/>
      <c r="G1146" s="7"/>
      <c r="H1146" s="2"/>
      <c r="I1146" s="2"/>
      <c r="J1146" s="2"/>
      <c r="K1146" s="2"/>
      <c r="L1146" s="178"/>
      <c r="M1146" s="2"/>
      <c r="N1146" s="7"/>
      <c r="P1146" s="7"/>
      <c r="R1146" s="2"/>
      <c r="S1146" s="2"/>
      <c r="T1146" s="2"/>
      <c r="U1146" s="2"/>
      <c r="V1146" s="2"/>
      <c r="X1146" s="38"/>
      <c r="Y1146" s="38"/>
      <c r="Z1146" s="38"/>
      <c r="AA1146" s="38"/>
      <c r="AB1146" s="38"/>
      <c r="AD1146" s="2"/>
      <c r="AE1146" s="2"/>
      <c r="AF1146" s="2"/>
      <c r="AG1146" s="2"/>
      <c r="AH1146" s="2"/>
      <c r="AJ1146" s="215"/>
      <c r="AK1146" s="215"/>
      <c r="AL1146" s="215"/>
      <c r="AM1146" s="215"/>
      <c r="AO1146" s="10"/>
      <c r="AP1146" s="10"/>
      <c r="AQ1146" s="10"/>
      <c r="AR1146" s="10"/>
      <c r="AS1146" s="10"/>
      <c r="AU1146" s="2"/>
      <c r="AV1146" s="2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</row>
    <row r="1147" spans="1:73" customFormat="1" ht="12.75" hidden="1" customHeight="1" x14ac:dyDescent="0.2">
      <c r="A1147" s="1"/>
      <c r="B1147" s="1"/>
      <c r="C1147" s="1"/>
      <c r="D1147" s="7"/>
      <c r="E1147" s="7"/>
      <c r="F1147" s="6"/>
      <c r="G1147" s="7"/>
      <c r="H1147" s="2"/>
      <c r="I1147" s="2"/>
      <c r="J1147" s="2"/>
      <c r="K1147" s="2"/>
      <c r="L1147" s="178"/>
      <c r="M1147" s="2"/>
      <c r="N1147" s="7"/>
      <c r="P1147" s="7"/>
      <c r="R1147" s="2"/>
      <c r="S1147" s="2"/>
      <c r="T1147" s="2"/>
      <c r="U1147" s="2"/>
      <c r="V1147" s="2"/>
      <c r="X1147" s="38"/>
      <c r="Y1147" s="38"/>
      <c r="Z1147" s="38"/>
      <c r="AA1147" s="38"/>
      <c r="AB1147" s="38"/>
      <c r="AD1147" s="2"/>
      <c r="AE1147" s="2"/>
      <c r="AF1147" s="2"/>
      <c r="AG1147" s="2"/>
      <c r="AH1147" s="2"/>
      <c r="AJ1147" s="215"/>
      <c r="AK1147" s="215"/>
      <c r="AL1147" s="215"/>
      <c r="AM1147" s="215"/>
      <c r="AO1147" s="10"/>
      <c r="AP1147" s="10"/>
      <c r="AQ1147" s="10"/>
      <c r="AR1147" s="10"/>
      <c r="AS1147" s="10"/>
      <c r="AU1147" s="2"/>
      <c r="AV1147" s="2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</row>
    <row r="1148" spans="1:73" customFormat="1" ht="12.75" hidden="1" customHeight="1" x14ac:dyDescent="0.2">
      <c r="A1148" s="1"/>
      <c r="B1148" s="1"/>
      <c r="C1148" s="1"/>
      <c r="D1148" s="7"/>
      <c r="E1148" s="7"/>
      <c r="F1148" s="6"/>
      <c r="G1148" s="7"/>
      <c r="H1148" s="2"/>
      <c r="I1148" s="2"/>
      <c r="J1148" s="2"/>
      <c r="K1148" s="2"/>
      <c r="L1148" s="178"/>
      <c r="M1148" s="2"/>
      <c r="N1148" s="7"/>
      <c r="P1148" s="7"/>
      <c r="R1148" s="2"/>
      <c r="S1148" s="2"/>
      <c r="T1148" s="2"/>
      <c r="U1148" s="2"/>
      <c r="V1148" s="2"/>
      <c r="X1148" s="38"/>
      <c r="Y1148" s="38"/>
      <c r="Z1148" s="38"/>
      <c r="AA1148" s="38"/>
      <c r="AB1148" s="38"/>
      <c r="AD1148" s="2"/>
      <c r="AE1148" s="2"/>
      <c r="AF1148" s="2"/>
      <c r="AG1148" s="2"/>
      <c r="AH1148" s="2"/>
      <c r="AJ1148" s="215"/>
      <c r="AK1148" s="215"/>
      <c r="AL1148" s="215"/>
      <c r="AM1148" s="215"/>
      <c r="AO1148" s="10"/>
      <c r="AP1148" s="10"/>
      <c r="AQ1148" s="10"/>
      <c r="AR1148" s="10"/>
      <c r="AS1148" s="10"/>
      <c r="AU1148" s="2"/>
      <c r="AV1148" s="2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</row>
    <row r="1149" spans="1:73" customFormat="1" ht="12.75" hidden="1" customHeight="1" x14ac:dyDescent="0.2">
      <c r="A1149" s="1"/>
      <c r="B1149" s="1"/>
      <c r="C1149" s="1"/>
      <c r="D1149" s="7"/>
      <c r="E1149" s="7"/>
      <c r="F1149" s="6"/>
      <c r="G1149" s="7"/>
      <c r="H1149" s="2"/>
      <c r="I1149" s="2"/>
      <c r="J1149" s="2"/>
      <c r="K1149" s="2"/>
      <c r="L1149" s="178"/>
      <c r="M1149" s="2"/>
      <c r="N1149" s="7"/>
      <c r="P1149" s="7"/>
      <c r="R1149" s="2"/>
      <c r="S1149" s="2"/>
      <c r="T1149" s="2"/>
      <c r="U1149" s="2"/>
      <c r="V1149" s="2"/>
      <c r="X1149" s="38"/>
      <c r="Y1149" s="38"/>
      <c r="Z1149" s="38"/>
      <c r="AA1149" s="38"/>
      <c r="AB1149" s="38"/>
      <c r="AD1149" s="2"/>
      <c r="AE1149" s="2"/>
      <c r="AF1149" s="2"/>
      <c r="AG1149" s="2"/>
      <c r="AH1149" s="2"/>
      <c r="AJ1149" s="215"/>
      <c r="AK1149" s="215"/>
      <c r="AL1149" s="215"/>
      <c r="AM1149" s="215"/>
      <c r="AO1149" s="10"/>
      <c r="AP1149" s="10"/>
      <c r="AQ1149" s="10"/>
      <c r="AR1149" s="10"/>
      <c r="AS1149" s="10"/>
      <c r="AU1149" s="2"/>
      <c r="AV1149" s="2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</row>
    <row r="1150" spans="1:73" customFormat="1" ht="12.75" hidden="1" customHeight="1" x14ac:dyDescent="0.2">
      <c r="A1150" s="1"/>
      <c r="B1150" s="1"/>
      <c r="C1150" s="1"/>
      <c r="D1150" s="7"/>
      <c r="E1150" s="7"/>
      <c r="F1150" s="6"/>
      <c r="G1150" s="7"/>
      <c r="H1150" s="2"/>
      <c r="I1150" s="2"/>
      <c r="J1150" s="2"/>
      <c r="K1150" s="2"/>
      <c r="L1150" s="178"/>
      <c r="M1150" s="2"/>
      <c r="N1150" s="7"/>
      <c r="P1150" s="7"/>
      <c r="R1150" s="2"/>
      <c r="S1150" s="2"/>
      <c r="T1150" s="2"/>
      <c r="U1150" s="2"/>
      <c r="V1150" s="2"/>
      <c r="X1150" s="38"/>
      <c r="Y1150" s="38"/>
      <c r="Z1150" s="38"/>
      <c r="AA1150" s="38"/>
      <c r="AB1150" s="38"/>
      <c r="AD1150" s="2"/>
      <c r="AE1150" s="2"/>
      <c r="AF1150" s="2"/>
      <c r="AG1150" s="2"/>
      <c r="AH1150" s="2"/>
      <c r="AJ1150" s="215"/>
      <c r="AK1150" s="215"/>
      <c r="AL1150" s="215"/>
      <c r="AM1150" s="215"/>
      <c r="AO1150" s="10"/>
      <c r="AP1150" s="10"/>
      <c r="AQ1150" s="10"/>
      <c r="AR1150" s="10"/>
      <c r="AS1150" s="10"/>
      <c r="AU1150" s="2"/>
      <c r="AV1150" s="2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</row>
    <row r="1151" spans="1:73" customFormat="1" ht="12.75" hidden="1" customHeight="1" x14ac:dyDescent="0.2">
      <c r="A1151" s="1"/>
      <c r="B1151" s="1"/>
      <c r="C1151" s="1"/>
      <c r="D1151" s="7"/>
      <c r="E1151" s="7"/>
      <c r="F1151" s="6"/>
      <c r="G1151" s="7"/>
      <c r="H1151" s="2"/>
      <c r="I1151" s="2"/>
      <c r="J1151" s="2"/>
      <c r="K1151" s="2"/>
      <c r="L1151" s="178"/>
      <c r="M1151" s="2"/>
      <c r="N1151" s="7"/>
      <c r="P1151" s="7"/>
      <c r="R1151" s="2"/>
      <c r="S1151" s="2"/>
      <c r="T1151" s="2"/>
      <c r="U1151" s="2"/>
      <c r="V1151" s="2"/>
      <c r="X1151" s="38"/>
      <c r="Y1151" s="38"/>
      <c r="Z1151" s="38"/>
      <c r="AA1151" s="38"/>
      <c r="AB1151" s="38"/>
      <c r="AD1151" s="2"/>
      <c r="AE1151" s="2"/>
      <c r="AF1151" s="2"/>
      <c r="AG1151" s="2"/>
      <c r="AH1151" s="2"/>
      <c r="AJ1151" s="215"/>
      <c r="AK1151" s="215"/>
      <c r="AL1151" s="215"/>
      <c r="AM1151" s="215"/>
      <c r="AO1151" s="10"/>
      <c r="AP1151" s="10"/>
      <c r="AQ1151" s="10"/>
      <c r="AR1151" s="10"/>
      <c r="AS1151" s="10"/>
      <c r="AU1151" s="2"/>
      <c r="AV1151" s="2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</row>
    <row r="1152" spans="1:73" customFormat="1" ht="12.75" hidden="1" customHeight="1" x14ac:dyDescent="0.2">
      <c r="A1152" s="1"/>
      <c r="B1152" s="1"/>
      <c r="C1152" s="1"/>
      <c r="D1152" s="7"/>
      <c r="E1152" s="7"/>
      <c r="F1152" s="6"/>
      <c r="G1152" s="7"/>
      <c r="H1152" s="2"/>
      <c r="I1152" s="2"/>
      <c r="J1152" s="2"/>
      <c r="K1152" s="2"/>
      <c r="L1152" s="178"/>
      <c r="M1152" s="2"/>
      <c r="N1152" s="7"/>
      <c r="P1152" s="7"/>
      <c r="R1152" s="2"/>
      <c r="S1152" s="2"/>
      <c r="T1152" s="2"/>
      <c r="U1152" s="2"/>
      <c r="V1152" s="2"/>
      <c r="X1152" s="38"/>
      <c r="Y1152" s="38"/>
      <c r="Z1152" s="38"/>
      <c r="AA1152" s="38"/>
      <c r="AB1152" s="38"/>
      <c r="AD1152" s="2"/>
      <c r="AE1152" s="2"/>
      <c r="AF1152" s="2"/>
      <c r="AG1152" s="2"/>
      <c r="AH1152" s="2"/>
      <c r="AJ1152" s="215"/>
      <c r="AK1152" s="215"/>
      <c r="AL1152" s="215"/>
      <c r="AM1152" s="215"/>
      <c r="AO1152" s="10"/>
      <c r="AP1152" s="10"/>
      <c r="AQ1152" s="10"/>
      <c r="AR1152" s="10"/>
      <c r="AS1152" s="10"/>
      <c r="AU1152" s="2"/>
      <c r="AV1152" s="2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</row>
    <row r="1153" spans="1:73" customFormat="1" ht="12.75" hidden="1" customHeight="1" x14ac:dyDescent="0.2">
      <c r="A1153" s="1"/>
      <c r="B1153" s="1"/>
      <c r="C1153" s="1"/>
      <c r="D1153" s="7"/>
      <c r="E1153" s="7"/>
      <c r="F1153" s="6"/>
      <c r="G1153" s="7"/>
      <c r="H1153" s="2"/>
      <c r="I1153" s="2"/>
      <c r="J1153" s="2"/>
      <c r="K1153" s="2"/>
      <c r="L1153" s="178"/>
      <c r="M1153" s="2"/>
      <c r="N1153" s="7"/>
      <c r="P1153" s="7"/>
      <c r="R1153" s="2"/>
      <c r="S1153" s="2"/>
      <c r="T1153" s="2"/>
      <c r="U1153" s="2"/>
      <c r="V1153" s="2"/>
      <c r="X1153" s="38"/>
      <c r="Y1153" s="38"/>
      <c r="Z1153" s="38"/>
      <c r="AA1153" s="38"/>
      <c r="AB1153" s="38"/>
      <c r="AD1153" s="2"/>
      <c r="AE1153" s="2"/>
      <c r="AF1153" s="2"/>
      <c r="AG1153" s="2"/>
      <c r="AH1153" s="2"/>
      <c r="AJ1153" s="215"/>
      <c r="AK1153" s="215"/>
      <c r="AL1153" s="215"/>
      <c r="AM1153" s="215"/>
      <c r="AO1153" s="10"/>
      <c r="AP1153" s="10"/>
      <c r="AQ1153" s="10"/>
      <c r="AR1153" s="10"/>
      <c r="AS1153" s="10"/>
      <c r="AU1153" s="2"/>
      <c r="AV1153" s="2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</row>
    <row r="1154" spans="1:73" customFormat="1" ht="12.75" hidden="1" customHeight="1" x14ac:dyDescent="0.2">
      <c r="A1154" s="1"/>
      <c r="B1154" s="1"/>
      <c r="C1154" s="1"/>
      <c r="D1154" s="7"/>
      <c r="E1154" s="7"/>
      <c r="F1154" s="6"/>
      <c r="G1154" s="7"/>
      <c r="H1154" s="2"/>
      <c r="I1154" s="2"/>
      <c r="J1154" s="2"/>
      <c r="K1154" s="2"/>
      <c r="L1154" s="178"/>
      <c r="M1154" s="2"/>
      <c r="N1154" s="7"/>
      <c r="P1154" s="7"/>
      <c r="R1154" s="2"/>
      <c r="S1154" s="2"/>
      <c r="T1154" s="2"/>
      <c r="U1154" s="2"/>
      <c r="V1154" s="2"/>
      <c r="X1154" s="38"/>
      <c r="Y1154" s="38"/>
      <c r="Z1154" s="38"/>
      <c r="AA1154" s="38"/>
      <c r="AB1154" s="38"/>
      <c r="AD1154" s="2"/>
      <c r="AE1154" s="2"/>
      <c r="AF1154" s="2"/>
      <c r="AG1154" s="2"/>
      <c r="AH1154" s="2"/>
      <c r="AJ1154" s="215"/>
      <c r="AK1154" s="215"/>
      <c r="AL1154" s="215"/>
      <c r="AM1154" s="215"/>
      <c r="AO1154" s="10"/>
      <c r="AP1154" s="10"/>
      <c r="AQ1154" s="10"/>
      <c r="AR1154" s="10"/>
      <c r="AS1154" s="10"/>
      <c r="AU1154" s="2"/>
      <c r="AV1154" s="2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</row>
    <row r="1155" spans="1:73" customFormat="1" ht="12.75" hidden="1" customHeight="1" x14ac:dyDescent="0.2">
      <c r="A1155" s="1"/>
      <c r="B1155" s="1"/>
      <c r="C1155" s="1"/>
      <c r="D1155" s="7"/>
      <c r="E1155" s="7"/>
      <c r="F1155" s="6"/>
      <c r="G1155" s="7"/>
      <c r="H1155" s="2"/>
      <c r="I1155" s="2"/>
      <c r="J1155" s="2"/>
      <c r="K1155" s="2"/>
      <c r="L1155" s="178"/>
      <c r="M1155" s="2"/>
      <c r="N1155" s="7"/>
      <c r="P1155" s="7"/>
      <c r="R1155" s="2"/>
      <c r="S1155" s="2"/>
      <c r="T1155" s="2"/>
      <c r="U1155" s="2"/>
      <c r="V1155" s="2"/>
      <c r="X1155" s="38"/>
      <c r="Y1155" s="38"/>
      <c r="Z1155" s="38"/>
      <c r="AA1155" s="38"/>
      <c r="AB1155" s="38"/>
      <c r="AD1155" s="2"/>
      <c r="AE1155" s="2"/>
      <c r="AF1155" s="2"/>
      <c r="AG1155" s="2"/>
      <c r="AH1155" s="2"/>
      <c r="AJ1155" s="215"/>
      <c r="AK1155" s="215"/>
      <c r="AL1155" s="215"/>
      <c r="AM1155" s="215"/>
      <c r="AO1155" s="10"/>
      <c r="AP1155" s="10"/>
      <c r="AQ1155" s="10"/>
      <c r="AR1155" s="10"/>
      <c r="AS1155" s="10"/>
      <c r="AU1155" s="2"/>
      <c r="AV1155" s="2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</row>
    <row r="1156" spans="1:73" customFormat="1" ht="12.75" hidden="1" customHeight="1" x14ac:dyDescent="0.2">
      <c r="A1156" s="1"/>
      <c r="B1156" s="1"/>
      <c r="C1156" s="1"/>
      <c r="D1156" s="7"/>
      <c r="E1156" s="7"/>
      <c r="F1156" s="6"/>
      <c r="G1156" s="7"/>
      <c r="H1156" s="2"/>
      <c r="I1156" s="2"/>
      <c r="J1156" s="2"/>
      <c r="K1156" s="2"/>
      <c r="L1156" s="178"/>
      <c r="M1156" s="2"/>
      <c r="N1156" s="7"/>
      <c r="P1156" s="7"/>
      <c r="R1156" s="2"/>
      <c r="S1156" s="2"/>
      <c r="T1156" s="2"/>
      <c r="U1156" s="2"/>
      <c r="V1156" s="2"/>
      <c r="X1156" s="38"/>
      <c r="Y1156" s="38"/>
      <c r="Z1156" s="38"/>
      <c r="AA1156" s="38"/>
      <c r="AB1156" s="38"/>
      <c r="AD1156" s="2"/>
      <c r="AE1156" s="2"/>
      <c r="AF1156" s="2"/>
      <c r="AG1156" s="2"/>
      <c r="AH1156" s="2"/>
      <c r="AJ1156" s="215"/>
      <c r="AK1156" s="215"/>
      <c r="AL1156" s="215"/>
      <c r="AM1156" s="215"/>
      <c r="AO1156" s="10"/>
      <c r="AP1156" s="10"/>
      <c r="AQ1156" s="10"/>
      <c r="AR1156" s="10"/>
      <c r="AS1156" s="10"/>
      <c r="AU1156" s="2"/>
      <c r="AV1156" s="2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</row>
    <row r="1157" spans="1:73" customFormat="1" ht="12.75" hidden="1" customHeight="1" x14ac:dyDescent="0.2">
      <c r="A1157" s="1"/>
      <c r="B1157" s="1"/>
      <c r="C1157" s="1"/>
      <c r="D1157" s="7"/>
      <c r="E1157" s="7"/>
      <c r="F1157" s="6"/>
      <c r="G1157" s="7"/>
      <c r="H1157" s="2"/>
      <c r="I1157" s="2"/>
      <c r="J1157" s="2"/>
      <c r="K1157" s="2"/>
      <c r="L1157" s="178"/>
      <c r="M1157" s="2"/>
      <c r="N1157" s="7"/>
      <c r="P1157" s="7"/>
      <c r="R1157" s="2"/>
      <c r="S1157" s="2"/>
      <c r="T1157" s="2"/>
      <c r="U1157" s="2"/>
      <c r="V1157" s="2"/>
      <c r="X1157" s="38"/>
      <c r="Y1157" s="38"/>
      <c r="Z1157" s="38"/>
      <c r="AA1157" s="38"/>
      <c r="AB1157" s="38"/>
      <c r="AD1157" s="2"/>
      <c r="AE1157" s="2"/>
      <c r="AF1157" s="2"/>
      <c r="AG1157" s="2"/>
      <c r="AH1157" s="2"/>
      <c r="AJ1157" s="215"/>
      <c r="AK1157" s="215"/>
      <c r="AL1157" s="215"/>
      <c r="AM1157" s="215"/>
      <c r="AO1157" s="10"/>
      <c r="AP1157" s="10"/>
      <c r="AQ1157" s="10"/>
      <c r="AR1157" s="10"/>
      <c r="AS1157" s="10"/>
      <c r="AU1157" s="2"/>
      <c r="AV1157" s="2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</row>
    <row r="1158" spans="1:73" customFormat="1" ht="12.75" hidden="1" customHeight="1" x14ac:dyDescent="0.2">
      <c r="A1158" s="1"/>
      <c r="B1158" s="1"/>
      <c r="C1158" s="1"/>
      <c r="D1158" s="7"/>
      <c r="E1158" s="7"/>
      <c r="F1158" s="6"/>
      <c r="G1158" s="7"/>
      <c r="H1158" s="2"/>
      <c r="I1158" s="2"/>
      <c r="J1158" s="2"/>
      <c r="K1158" s="2"/>
      <c r="L1158" s="178"/>
      <c r="M1158" s="2"/>
      <c r="N1158" s="7"/>
      <c r="P1158" s="7"/>
      <c r="R1158" s="2"/>
      <c r="S1158" s="2"/>
      <c r="T1158" s="2"/>
      <c r="U1158" s="2"/>
      <c r="V1158" s="2"/>
      <c r="X1158" s="38"/>
      <c r="Y1158" s="38"/>
      <c r="Z1158" s="38"/>
      <c r="AA1158" s="38"/>
      <c r="AB1158" s="38"/>
      <c r="AD1158" s="2"/>
      <c r="AE1158" s="2"/>
      <c r="AF1158" s="2"/>
      <c r="AG1158" s="2"/>
      <c r="AH1158" s="2"/>
      <c r="AJ1158" s="215"/>
      <c r="AK1158" s="215"/>
      <c r="AL1158" s="215"/>
      <c r="AM1158" s="215"/>
      <c r="AO1158" s="10"/>
      <c r="AP1158" s="10"/>
      <c r="AQ1158" s="10"/>
      <c r="AR1158" s="10"/>
      <c r="AS1158" s="10"/>
      <c r="AU1158" s="2"/>
      <c r="AV1158" s="2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</row>
    <row r="1159" spans="1:73" customFormat="1" ht="12.75" hidden="1" customHeight="1" x14ac:dyDescent="0.2">
      <c r="A1159" s="1"/>
      <c r="B1159" s="1"/>
      <c r="C1159" s="1"/>
      <c r="D1159" s="7"/>
      <c r="E1159" s="7"/>
      <c r="F1159" s="6"/>
      <c r="G1159" s="7"/>
      <c r="H1159" s="2"/>
      <c r="I1159" s="2"/>
      <c r="J1159" s="2"/>
      <c r="K1159" s="2"/>
      <c r="L1159" s="178"/>
      <c r="M1159" s="2"/>
      <c r="N1159" s="7"/>
      <c r="P1159" s="7"/>
      <c r="R1159" s="2"/>
      <c r="S1159" s="2"/>
      <c r="T1159" s="2"/>
      <c r="U1159" s="2"/>
      <c r="V1159" s="2"/>
      <c r="X1159" s="38"/>
      <c r="Y1159" s="38"/>
      <c r="Z1159" s="38"/>
      <c r="AA1159" s="38"/>
      <c r="AB1159" s="38"/>
      <c r="AD1159" s="2"/>
      <c r="AE1159" s="2"/>
      <c r="AF1159" s="2"/>
      <c r="AG1159" s="2"/>
      <c r="AH1159" s="2"/>
      <c r="AJ1159" s="215"/>
      <c r="AK1159" s="215"/>
      <c r="AL1159" s="215"/>
      <c r="AM1159" s="215"/>
      <c r="AO1159" s="10"/>
      <c r="AP1159" s="10"/>
      <c r="AQ1159" s="10"/>
      <c r="AR1159" s="10"/>
      <c r="AS1159" s="10"/>
      <c r="AU1159" s="2"/>
      <c r="AV1159" s="2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</row>
    <row r="1160" spans="1:73" customFormat="1" ht="12.75" hidden="1" customHeight="1" x14ac:dyDescent="0.2">
      <c r="A1160" s="1"/>
      <c r="B1160" s="1"/>
      <c r="C1160" s="1"/>
      <c r="D1160" s="7"/>
      <c r="E1160" s="7"/>
      <c r="F1160" s="6"/>
      <c r="G1160" s="7"/>
      <c r="H1160" s="2"/>
      <c r="I1160" s="2"/>
      <c r="J1160" s="2"/>
      <c r="K1160" s="2"/>
      <c r="L1160" s="178"/>
      <c r="M1160" s="2"/>
      <c r="N1160" s="7"/>
      <c r="P1160" s="7"/>
      <c r="R1160" s="2"/>
      <c r="S1160" s="2"/>
      <c r="T1160" s="2"/>
      <c r="U1160" s="2"/>
      <c r="V1160" s="2"/>
      <c r="X1160" s="38"/>
      <c r="Y1160" s="38"/>
      <c r="Z1160" s="38"/>
      <c r="AA1160" s="38"/>
      <c r="AB1160" s="38"/>
      <c r="AD1160" s="2"/>
      <c r="AE1160" s="2"/>
      <c r="AF1160" s="2"/>
      <c r="AG1160" s="2"/>
      <c r="AH1160" s="2"/>
      <c r="AJ1160" s="215"/>
      <c r="AK1160" s="215"/>
      <c r="AL1160" s="215"/>
      <c r="AM1160" s="215"/>
      <c r="AO1160" s="10"/>
      <c r="AP1160" s="10"/>
      <c r="AQ1160" s="10"/>
      <c r="AR1160" s="10"/>
      <c r="AS1160" s="10"/>
      <c r="AU1160" s="2"/>
      <c r="AV1160" s="2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</row>
    <row r="1161" spans="1:73" customFormat="1" ht="12.75" hidden="1" customHeight="1" x14ac:dyDescent="0.2">
      <c r="A1161" s="1"/>
      <c r="B1161" s="1"/>
      <c r="C1161" s="1"/>
      <c r="D1161" s="7"/>
      <c r="E1161" s="7"/>
      <c r="F1161" s="6"/>
      <c r="G1161" s="7"/>
      <c r="H1161" s="2"/>
      <c r="I1161" s="2"/>
      <c r="J1161" s="2"/>
      <c r="K1161" s="2"/>
      <c r="L1161" s="178"/>
      <c r="M1161" s="2"/>
      <c r="N1161" s="7"/>
      <c r="P1161" s="7"/>
      <c r="R1161" s="2"/>
      <c r="S1161" s="2"/>
      <c r="T1161" s="2"/>
      <c r="U1161" s="2"/>
      <c r="V1161" s="2"/>
      <c r="X1161" s="38"/>
      <c r="Y1161" s="38"/>
      <c r="Z1161" s="38"/>
      <c r="AA1161" s="38"/>
      <c r="AB1161" s="38"/>
      <c r="AD1161" s="2"/>
      <c r="AE1161" s="2"/>
      <c r="AF1161" s="2"/>
      <c r="AG1161" s="2"/>
      <c r="AH1161" s="2"/>
      <c r="AJ1161" s="215"/>
      <c r="AK1161" s="215"/>
      <c r="AL1161" s="215"/>
      <c r="AM1161" s="215"/>
      <c r="AO1161" s="10"/>
      <c r="AP1161" s="10"/>
      <c r="AQ1161" s="10"/>
      <c r="AR1161" s="10"/>
      <c r="AS1161" s="10"/>
      <c r="AU1161" s="2"/>
      <c r="AV1161" s="2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</row>
    <row r="1162" spans="1:73" customFormat="1" ht="12.75" hidden="1" customHeight="1" x14ac:dyDescent="0.2">
      <c r="A1162" s="1"/>
      <c r="B1162" s="1"/>
      <c r="C1162" s="1"/>
      <c r="D1162" s="7"/>
      <c r="E1162" s="7"/>
      <c r="F1162" s="6"/>
      <c r="G1162" s="7"/>
      <c r="H1162" s="2"/>
      <c r="I1162" s="2"/>
      <c r="J1162" s="2"/>
      <c r="K1162" s="2"/>
      <c r="L1162" s="178"/>
      <c r="M1162" s="2"/>
      <c r="N1162" s="7"/>
      <c r="P1162" s="7"/>
      <c r="R1162" s="2"/>
      <c r="S1162" s="2"/>
      <c r="T1162" s="2"/>
      <c r="U1162" s="2"/>
      <c r="V1162" s="2"/>
      <c r="X1162" s="38"/>
      <c r="Y1162" s="38"/>
      <c r="Z1162" s="38"/>
      <c r="AA1162" s="38"/>
      <c r="AB1162" s="38"/>
      <c r="AD1162" s="2"/>
      <c r="AE1162" s="2"/>
      <c r="AF1162" s="2"/>
      <c r="AG1162" s="2"/>
      <c r="AH1162" s="2"/>
      <c r="AJ1162" s="215"/>
      <c r="AK1162" s="215"/>
      <c r="AL1162" s="215"/>
      <c r="AM1162" s="215"/>
      <c r="AO1162" s="10"/>
      <c r="AP1162" s="10"/>
      <c r="AQ1162" s="10"/>
      <c r="AR1162" s="10"/>
      <c r="AS1162" s="10"/>
      <c r="AU1162" s="2"/>
      <c r="AV1162" s="2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</row>
    <row r="1163" spans="1:73" customFormat="1" ht="12.75" hidden="1" customHeight="1" x14ac:dyDescent="0.2">
      <c r="A1163" s="1"/>
      <c r="B1163" s="1"/>
      <c r="C1163" s="1"/>
      <c r="D1163" s="7"/>
      <c r="E1163" s="7"/>
      <c r="F1163" s="6"/>
      <c r="G1163" s="7"/>
      <c r="H1163" s="2"/>
      <c r="I1163" s="2"/>
      <c r="J1163" s="2"/>
      <c r="K1163" s="2"/>
      <c r="L1163" s="178"/>
      <c r="M1163" s="2"/>
      <c r="N1163" s="7"/>
      <c r="P1163" s="7"/>
      <c r="R1163" s="2"/>
      <c r="S1163" s="2"/>
      <c r="T1163" s="2"/>
      <c r="U1163" s="2"/>
      <c r="V1163" s="2"/>
      <c r="X1163" s="38"/>
      <c r="Y1163" s="38"/>
      <c r="Z1163" s="38"/>
      <c r="AA1163" s="38"/>
      <c r="AB1163" s="38"/>
      <c r="AD1163" s="2"/>
      <c r="AE1163" s="2"/>
      <c r="AF1163" s="2"/>
      <c r="AG1163" s="2"/>
      <c r="AH1163" s="2"/>
      <c r="AJ1163" s="215"/>
      <c r="AK1163" s="215"/>
      <c r="AL1163" s="215"/>
      <c r="AM1163" s="215"/>
      <c r="AO1163" s="10"/>
      <c r="AP1163" s="10"/>
      <c r="AQ1163" s="10"/>
      <c r="AR1163" s="10"/>
      <c r="AS1163" s="10"/>
      <c r="AU1163" s="2"/>
      <c r="AV1163" s="2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</row>
    <row r="1164" spans="1:73" customFormat="1" ht="12.75" hidden="1" customHeight="1" x14ac:dyDescent="0.2">
      <c r="A1164" s="1"/>
      <c r="B1164" s="1"/>
      <c r="C1164" s="1"/>
      <c r="D1164" s="7"/>
      <c r="E1164" s="7"/>
      <c r="F1164" s="6"/>
      <c r="G1164" s="7"/>
      <c r="H1164" s="2"/>
      <c r="I1164" s="2"/>
      <c r="J1164" s="2"/>
      <c r="K1164" s="2"/>
      <c r="L1164" s="178"/>
      <c r="M1164" s="2"/>
      <c r="N1164" s="7"/>
      <c r="P1164" s="7"/>
      <c r="R1164" s="2"/>
      <c r="S1164" s="2"/>
      <c r="T1164" s="2"/>
      <c r="U1164" s="2"/>
      <c r="V1164" s="2"/>
      <c r="X1164" s="38"/>
      <c r="Y1164" s="38"/>
      <c r="Z1164" s="38"/>
      <c r="AA1164" s="38"/>
      <c r="AB1164" s="38"/>
      <c r="AD1164" s="2"/>
      <c r="AE1164" s="2"/>
      <c r="AF1164" s="2"/>
      <c r="AG1164" s="2"/>
      <c r="AH1164" s="2"/>
      <c r="AJ1164" s="215"/>
      <c r="AK1164" s="215"/>
      <c r="AL1164" s="215"/>
      <c r="AM1164" s="215"/>
      <c r="AO1164" s="10"/>
      <c r="AP1164" s="10"/>
      <c r="AQ1164" s="10"/>
      <c r="AR1164" s="10"/>
      <c r="AS1164" s="10"/>
      <c r="AU1164" s="2"/>
      <c r="AV1164" s="2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</row>
    <row r="1165" spans="1:73" customFormat="1" ht="12.75" hidden="1" customHeight="1" x14ac:dyDescent="0.2">
      <c r="A1165" s="1"/>
      <c r="B1165" s="1"/>
      <c r="C1165" s="1"/>
      <c r="D1165" s="7"/>
      <c r="E1165" s="7"/>
      <c r="F1165" s="6"/>
      <c r="G1165" s="7"/>
      <c r="H1165" s="2"/>
      <c r="I1165" s="2"/>
      <c r="J1165" s="2"/>
      <c r="K1165" s="2"/>
      <c r="L1165" s="178"/>
      <c r="M1165" s="2"/>
      <c r="N1165" s="7"/>
      <c r="P1165" s="7"/>
      <c r="R1165" s="2"/>
      <c r="S1165" s="2"/>
      <c r="T1165" s="2"/>
      <c r="U1165" s="2"/>
      <c r="V1165" s="2"/>
      <c r="X1165" s="38"/>
      <c r="Y1165" s="38"/>
      <c r="Z1165" s="38"/>
      <c r="AA1165" s="38"/>
      <c r="AB1165" s="38"/>
      <c r="AD1165" s="2"/>
      <c r="AE1165" s="2"/>
      <c r="AF1165" s="2"/>
      <c r="AG1165" s="2"/>
      <c r="AH1165" s="2"/>
      <c r="AJ1165" s="215"/>
      <c r="AK1165" s="215"/>
      <c r="AL1165" s="215"/>
      <c r="AM1165" s="215"/>
      <c r="AO1165" s="10"/>
      <c r="AP1165" s="10"/>
      <c r="AQ1165" s="10"/>
      <c r="AR1165" s="10"/>
      <c r="AS1165" s="10"/>
      <c r="AU1165" s="2"/>
      <c r="AV1165" s="2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</row>
    <row r="1166" spans="1:73" customFormat="1" ht="12.75" hidden="1" customHeight="1" x14ac:dyDescent="0.2">
      <c r="A1166" s="1"/>
      <c r="B1166" s="1"/>
      <c r="C1166" s="1"/>
      <c r="D1166" s="7"/>
      <c r="E1166" s="7"/>
      <c r="F1166" s="6"/>
      <c r="G1166" s="7"/>
      <c r="H1166" s="2"/>
      <c r="I1166" s="2"/>
      <c r="J1166" s="2"/>
      <c r="K1166" s="2"/>
      <c r="L1166" s="178"/>
      <c r="M1166" s="2"/>
      <c r="N1166" s="7"/>
      <c r="P1166" s="7"/>
      <c r="R1166" s="2"/>
      <c r="S1166" s="2"/>
      <c r="T1166" s="2"/>
      <c r="U1166" s="2"/>
      <c r="V1166" s="2"/>
      <c r="X1166" s="38"/>
      <c r="Y1166" s="38"/>
      <c r="Z1166" s="38"/>
      <c r="AA1166" s="38"/>
      <c r="AB1166" s="38"/>
      <c r="AD1166" s="2"/>
      <c r="AE1166" s="2"/>
      <c r="AF1166" s="2"/>
      <c r="AG1166" s="2"/>
      <c r="AH1166" s="2"/>
      <c r="AJ1166" s="215"/>
      <c r="AK1166" s="215"/>
      <c r="AL1166" s="215"/>
      <c r="AM1166" s="215"/>
      <c r="AO1166" s="10"/>
      <c r="AP1166" s="10"/>
      <c r="AQ1166" s="10"/>
      <c r="AR1166" s="10"/>
      <c r="AS1166" s="10"/>
      <c r="AU1166" s="2"/>
      <c r="AV1166" s="2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</row>
    <row r="1167" spans="1:73" customFormat="1" ht="12.75" hidden="1" customHeight="1" x14ac:dyDescent="0.2">
      <c r="A1167" s="1"/>
      <c r="B1167" s="1"/>
      <c r="C1167" s="1"/>
      <c r="D1167" s="7"/>
      <c r="E1167" s="7"/>
      <c r="F1167" s="6"/>
      <c r="G1167" s="7"/>
      <c r="H1167" s="2"/>
      <c r="I1167" s="2"/>
      <c r="J1167" s="2"/>
      <c r="K1167" s="2"/>
      <c r="L1167" s="178"/>
      <c r="M1167" s="2"/>
      <c r="N1167" s="7"/>
      <c r="P1167" s="7"/>
      <c r="R1167" s="2"/>
      <c r="S1167" s="2"/>
      <c r="T1167" s="2"/>
      <c r="U1167" s="2"/>
      <c r="V1167" s="2"/>
      <c r="X1167" s="38"/>
      <c r="Y1167" s="38"/>
      <c r="Z1167" s="38"/>
      <c r="AA1167" s="38"/>
      <c r="AB1167" s="38"/>
      <c r="AD1167" s="2"/>
      <c r="AE1167" s="2"/>
      <c r="AF1167" s="2"/>
      <c r="AG1167" s="2"/>
      <c r="AH1167" s="2"/>
      <c r="AJ1167" s="215"/>
      <c r="AK1167" s="215"/>
      <c r="AL1167" s="215"/>
      <c r="AM1167" s="215"/>
      <c r="AO1167" s="10"/>
      <c r="AP1167" s="10"/>
      <c r="AQ1167" s="10"/>
      <c r="AR1167" s="10"/>
      <c r="AS1167" s="10"/>
      <c r="AU1167" s="2"/>
      <c r="AV1167" s="2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</row>
    <row r="1168" spans="1:73" customFormat="1" ht="12.75" hidden="1" customHeight="1" x14ac:dyDescent="0.2">
      <c r="A1168" s="1"/>
      <c r="B1168" s="1"/>
      <c r="C1168" s="1"/>
      <c r="D1168" s="7"/>
      <c r="E1168" s="7"/>
      <c r="F1168" s="6"/>
      <c r="G1168" s="7"/>
      <c r="H1168" s="2"/>
      <c r="I1168" s="2"/>
      <c r="J1168" s="2"/>
      <c r="K1168" s="2"/>
      <c r="L1168" s="178"/>
      <c r="M1168" s="2"/>
      <c r="N1168" s="7"/>
      <c r="P1168" s="7"/>
      <c r="R1168" s="2"/>
      <c r="S1168" s="2"/>
      <c r="T1168" s="2"/>
      <c r="U1168" s="2"/>
      <c r="V1168" s="2"/>
      <c r="X1168" s="38"/>
      <c r="Y1168" s="38"/>
      <c r="Z1168" s="38"/>
      <c r="AA1168" s="38"/>
      <c r="AB1168" s="38"/>
      <c r="AD1168" s="2"/>
      <c r="AE1168" s="2"/>
      <c r="AF1168" s="2"/>
      <c r="AG1168" s="2"/>
      <c r="AH1168" s="2"/>
      <c r="AJ1168" s="215"/>
      <c r="AK1168" s="215"/>
      <c r="AL1168" s="215"/>
      <c r="AM1168" s="215"/>
      <c r="AO1168" s="10"/>
      <c r="AP1168" s="10"/>
      <c r="AQ1168" s="10"/>
      <c r="AR1168" s="10"/>
      <c r="AS1168" s="10"/>
      <c r="AU1168" s="2"/>
      <c r="AV1168" s="2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</row>
    <row r="1169" spans="1:73" customFormat="1" ht="12.75" hidden="1" customHeight="1" x14ac:dyDescent="0.2">
      <c r="A1169" s="1"/>
      <c r="B1169" s="1"/>
      <c r="C1169" s="1"/>
      <c r="D1169" s="7"/>
      <c r="E1169" s="7"/>
      <c r="F1169" s="6"/>
      <c r="G1169" s="7"/>
      <c r="H1169" s="2"/>
      <c r="I1169" s="2"/>
      <c r="J1169" s="2"/>
      <c r="K1169" s="2"/>
      <c r="L1169" s="178"/>
      <c r="M1169" s="2"/>
      <c r="N1169" s="7"/>
      <c r="P1169" s="7"/>
      <c r="R1169" s="2"/>
      <c r="S1169" s="2"/>
      <c r="T1169" s="2"/>
      <c r="U1169" s="2"/>
      <c r="V1169" s="2"/>
      <c r="X1169" s="38"/>
      <c r="Y1169" s="38"/>
      <c r="Z1169" s="38"/>
      <c r="AA1169" s="38"/>
      <c r="AB1169" s="38"/>
      <c r="AD1169" s="2"/>
      <c r="AE1169" s="2"/>
      <c r="AF1169" s="2"/>
      <c r="AG1169" s="2"/>
      <c r="AH1169" s="2"/>
      <c r="AJ1169" s="215"/>
      <c r="AK1169" s="215"/>
      <c r="AL1169" s="215"/>
      <c r="AM1169" s="215"/>
      <c r="AO1169" s="10"/>
      <c r="AP1169" s="10"/>
      <c r="AQ1169" s="10"/>
      <c r="AR1169" s="10"/>
      <c r="AS1169" s="10"/>
      <c r="AU1169" s="2"/>
      <c r="AV1169" s="2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</row>
    <row r="1170" spans="1:73" customFormat="1" ht="12.75" hidden="1" customHeight="1" x14ac:dyDescent="0.2">
      <c r="A1170" s="1"/>
      <c r="B1170" s="1"/>
      <c r="C1170" s="1"/>
      <c r="D1170" s="7"/>
      <c r="E1170" s="7"/>
      <c r="F1170" s="6"/>
      <c r="G1170" s="7"/>
      <c r="H1170" s="2"/>
      <c r="I1170" s="2"/>
      <c r="J1170" s="2"/>
      <c r="K1170" s="2"/>
      <c r="L1170" s="178"/>
      <c r="M1170" s="2"/>
      <c r="N1170" s="7"/>
      <c r="P1170" s="7"/>
      <c r="R1170" s="2"/>
      <c r="S1170" s="2"/>
      <c r="T1170" s="2"/>
      <c r="U1170" s="2"/>
      <c r="V1170" s="2"/>
      <c r="X1170" s="38"/>
      <c r="Y1170" s="38"/>
      <c r="Z1170" s="38"/>
      <c r="AA1170" s="38"/>
      <c r="AB1170" s="38"/>
      <c r="AD1170" s="2"/>
      <c r="AE1170" s="2"/>
      <c r="AF1170" s="2"/>
      <c r="AG1170" s="2"/>
      <c r="AH1170" s="2"/>
      <c r="AJ1170" s="215"/>
      <c r="AK1170" s="215"/>
      <c r="AL1170" s="215"/>
      <c r="AM1170" s="215"/>
      <c r="AO1170" s="10"/>
      <c r="AP1170" s="10"/>
      <c r="AQ1170" s="10"/>
      <c r="AR1170" s="10"/>
      <c r="AS1170" s="10"/>
      <c r="AU1170" s="2"/>
      <c r="AV1170" s="2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</row>
    <row r="1171" spans="1:73" customFormat="1" ht="12.75" hidden="1" customHeight="1" x14ac:dyDescent="0.2">
      <c r="A1171" s="1"/>
      <c r="B1171" s="1"/>
      <c r="C1171" s="1"/>
      <c r="D1171" s="7"/>
      <c r="E1171" s="7"/>
      <c r="F1171" s="6"/>
      <c r="G1171" s="7"/>
      <c r="H1171" s="2"/>
      <c r="I1171" s="2"/>
      <c r="J1171" s="2"/>
      <c r="K1171" s="2"/>
      <c r="L1171" s="178"/>
      <c r="M1171" s="2"/>
      <c r="N1171" s="7"/>
      <c r="P1171" s="7"/>
      <c r="R1171" s="2"/>
      <c r="S1171" s="2"/>
      <c r="T1171" s="2"/>
      <c r="U1171" s="2"/>
      <c r="V1171" s="2"/>
      <c r="X1171" s="38"/>
      <c r="Y1171" s="38"/>
      <c r="Z1171" s="38"/>
      <c r="AA1171" s="38"/>
      <c r="AB1171" s="38"/>
      <c r="AD1171" s="2"/>
      <c r="AE1171" s="2"/>
      <c r="AF1171" s="2"/>
      <c r="AG1171" s="2"/>
      <c r="AH1171" s="2"/>
      <c r="AJ1171" s="215"/>
      <c r="AK1171" s="215"/>
      <c r="AL1171" s="215"/>
      <c r="AM1171" s="215"/>
      <c r="AO1171" s="10"/>
      <c r="AP1171" s="10"/>
      <c r="AQ1171" s="10"/>
      <c r="AR1171" s="10"/>
      <c r="AS1171" s="10"/>
      <c r="AU1171" s="2"/>
      <c r="AV1171" s="2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</row>
    <row r="1172" spans="1:73" customFormat="1" ht="12.75" hidden="1" customHeight="1" x14ac:dyDescent="0.2">
      <c r="A1172" s="1"/>
      <c r="B1172" s="1"/>
      <c r="C1172" s="1"/>
      <c r="D1172" s="7"/>
      <c r="E1172" s="7"/>
      <c r="F1172" s="6"/>
      <c r="G1172" s="7"/>
      <c r="H1172" s="2"/>
      <c r="I1172" s="2"/>
      <c r="J1172" s="2"/>
      <c r="K1172" s="2"/>
      <c r="L1172" s="178"/>
      <c r="M1172" s="2"/>
      <c r="N1172" s="7"/>
      <c r="P1172" s="7"/>
      <c r="R1172" s="2"/>
      <c r="S1172" s="2"/>
      <c r="T1172" s="2"/>
      <c r="U1172" s="2"/>
      <c r="V1172" s="2"/>
      <c r="X1172" s="38"/>
      <c r="Y1172" s="38"/>
      <c r="Z1172" s="38"/>
      <c r="AA1172" s="38"/>
      <c r="AB1172" s="38"/>
      <c r="AD1172" s="2"/>
      <c r="AE1172" s="2"/>
      <c r="AF1172" s="2"/>
      <c r="AG1172" s="2"/>
      <c r="AH1172" s="2"/>
      <c r="AJ1172" s="215"/>
      <c r="AK1172" s="215"/>
      <c r="AL1172" s="215"/>
      <c r="AM1172" s="215"/>
      <c r="AO1172" s="10"/>
      <c r="AP1172" s="10"/>
      <c r="AQ1172" s="10"/>
      <c r="AR1172" s="10"/>
      <c r="AS1172" s="10"/>
      <c r="AU1172" s="2"/>
      <c r="AV1172" s="2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</row>
    <row r="1173" spans="1:73" customFormat="1" ht="12.75" hidden="1" customHeight="1" x14ac:dyDescent="0.2">
      <c r="A1173" s="1"/>
      <c r="B1173" s="1"/>
      <c r="C1173" s="1"/>
      <c r="D1173" s="7"/>
      <c r="E1173" s="7"/>
      <c r="F1173" s="6"/>
      <c r="G1173" s="7"/>
      <c r="H1173" s="2"/>
      <c r="I1173" s="2"/>
      <c r="J1173" s="2"/>
      <c r="K1173" s="2"/>
      <c r="L1173" s="178"/>
      <c r="M1173" s="2"/>
      <c r="N1173" s="7"/>
      <c r="P1173" s="7"/>
      <c r="R1173" s="2"/>
      <c r="S1173" s="2"/>
      <c r="T1173" s="2"/>
      <c r="U1173" s="2"/>
      <c r="V1173" s="2"/>
      <c r="X1173" s="38"/>
      <c r="Y1173" s="38"/>
      <c r="Z1173" s="38"/>
      <c r="AA1173" s="38"/>
      <c r="AB1173" s="38"/>
      <c r="AD1173" s="2"/>
      <c r="AE1173" s="2"/>
      <c r="AF1173" s="2"/>
      <c r="AG1173" s="2"/>
      <c r="AH1173" s="2"/>
      <c r="AJ1173" s="215"/>
      <c r="AK1173" s="215"/>
      <c r="AL1173" s="215"/>
      <c r="AM1173" s="215"/>
      <c r="AO1173" s="10"/>
      <c r="AP1173" s="10"/>
      <c r="AQ1173" s="10"/>
      <c r="AR1173" s="10"/>
      <c r="AS1173" s="10"/>
      <c r="AU1173" s="2"/>
      <c r="AV1173" s="2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</row>
    <row r="1174" spans="1:73" customFormat="1" ht="12.75" hidden="1" customHeight="1" x14ac:dyDescent="0.2">
      <c r="A1174" s="1"/>
      <c r="B1174" s="1"/>
      <c r="C1174" s="1"/>
      <c r="D1174" s="7"/>
      <c r="E1174" s="7"/>
      <c r="F1174" s="6"/>
      <c r="G1174" s="7"/>
      <c r="H1174" s="2"/>
      <c r="I1174" s="2"/>
      <c r="J1174" s="2"/>
      <c r="K1174" s="2"/>
      <c r="L1174" s="178"/>
      <c r="M1174" s="2"/>
      <c r="N1174" s="7"/>
      <c r="P1174" s="7"/>
      <c r="R1174" s="2"/>
      <c r="S1174" s="2"/>
      <c r="T1174" s="2"/>
      <c r="U1174" s="2"/>
      <c r="V1174" s="2"/>
      <c r="X1174" s="38"/>
      <c r="Y1174" s="38"/>
      <c r="Z1174" s="38"/>
      <c r="AA1174" s="38"/>
      <c r="AB1174" s="38"/>
      <c r="AD1174" s="2"/>
      <c r="AE1174" s="2"/>
      <c r="AF1174" s="2"/>
      <c r="AG1174" s="2"/>
      <c r="AH1174" s="2"/>
      <c r="AJ1174" s="215"/>
      <c r="AK1174" s="215"/>
      <c r="AL1174" s="215"/>
      <c r="AM1174" s="215"/>
      <c r="AO1174" s="10"/>
      <c r="AP1174" s="10"/>
      <c r="AQ1174" s="10"/>
      <c r="AR1174" s="10"/>
      <c r="AS1174" s="10"/>
      <c r="AU1174" s="2"/>
      <c r="AV1174" s="2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</row>
    <row r="1175" spans="1:73" customFormat="1" ht="12.75" hidden="1" customHeight="1" x14ac:dyDescent="0.2">
      <c r="A1175" s="1"/>
      <c r="B1175" s="1"/>
      <c r="C1175" s="1"/>
      <c r="D1175" s="7"/>
      <c r="E1175" s="7"/>
      <c r="F1175" s="6"/>
      <c r="G1175" s="7"/>
      <c r="H1175" s="2"/>
      <c r="I1175" s="2"/>
      <c r="J1175" s="2"/>
      <c r="K1175" s="2"/>
      <c r="L1175" s="178"/>
      <c r="M1175" s="2"/>
      <c r="N1175" s="7"/>
      <c r="P1175" s="7"/>
      <c r="R1175" s="2"/>
      <c r="S1175" s="2"/>
      <c r="T1175" s="2"/>
      <c r="U1175" s="2"/>
      <c r="V1175" s="2"/>
      <c r="X1175" s="38"/>
      <c r="Y1175" s="38"/>
      <c r="Z1175" s="38"/>
      <c r="AA1175" s="38"/>
      <c r="AB1175" s="38"/>
      <c r="AD1175" s="2"/>
      <c r="AE1175" s="2"/>
      <c r="AF1175" s="2"/>
      <c r="AG1175" s="2"/>
      <c r="AH1175" s="2"/>
      <c r="AJ1175" s="215"/>
      <c r="AK1175" s="215"/>
      <c r="AL1175" s="215"/>
      <c r="AM1175" s="215"/>
      <c r="AO1175" s="10"/>
      <c r="AP1175" s="10"/>
      <c r="AQ1175" s="10"/>
      <c r="AR1175" s="10"/>
      <c r="AS1175" s="10"/>
      <c r="AU1175" s="2"/>
      <c r="AV1175" s="2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</row>
    <row r="1176" spans="1:73" customFormat="1" ht="12.75" hidden="1" customHeight="1" x14ac:dyDescent="0.2">
      <c r="A1176" s="1"/>
      <c r="B1176" s="1"/>
      <c r="C1176" s="1"/>
      <c r="D1176" s="7"/>
      <c r="E1176" s="7"/>
      <c r="F1176" s="6"/>
      <c r="G1176" s="7"/>
      <c r="H1176" s="2"/>
      <c r="I1176" s="2"/>
      <c r="J1176" s="2"/>
      <c r="K1176" s="2"/>
      <c r="L1176" s="178"/>
      <c r="M1176" s="2"/>
      <c r="N1176" s="7"/>
      <c r="P1176" s="7"/>
      <c r="R1176" s="2"/>
      <c r="S1176" s="2"/>
      <c r="T1176" s="2"/>
      <c r="U1176" s="2"/>
      <c r="V1176" s="2"/>
      <c r="X1176" s="38"/>
      <c r="Y1176" s="38"/>
      <c r="Z1176" s="38"/>
      <c r="AA1176" s="38"/>
      <c r="AB1176" s="38"/>
      <c r="AD1176" s="2"/>
      <c r="AE1176" s="2"/>
      <c r="AF1176" s="2"/>
      <c r="AG1176" s="2"/>
      <c r="AH1176" s="2"/>
      <c r="AJ1176" s="215"/>
      <c r="AK1176" s="215"/>
      <c r="AL1176" s="215"/>
      <c r="AM1176" s="215"/>
      <c r="AO1176" s="10"/>
      <c r="AP1176" s="10"/>
      <c r="AQ1176" s="10"/>
      <c r="AR1176" s="10"/>
      <c r="AS1176" s="10"/>
      <c r="AU1176" s="2"/>
      <c r="AV1176" s="2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</row>
    <row r="1177" spans="1:73" customFormat="1" ht="12.75" hidden="1" customHeight="1" x14ac:dyDescent="0.2">
      <c r="A1177" s="1"/>
      <c r="B1177" s="1"/>
      <c r="C1177" s="1"/>
      <c r="D1177" s="7"/>
      <c r="E1177" s="7"/>
      <c r="F1177" s="6"/>
      <c r="G1177" s="7"/>
      <c r="H1177" s="2"/>
      <c r="I1177" s="2"/>
      <c r="J1177" s="2"/>
      <c r="K1177" s="2"/>
      <c r="L1177" s="178"/>
      <c r="M1177" s="2"/>
      <c r="N1177" s="7"/>
      <c r="P1177" s="7"/>
      <c r="R1177" s="2"/>
      <c r="S1177" s="2"/>
      <c r="T1177" s="2"/>
      <c r="U1177" s="2"/>
      <c r="V1177" s="2"/>
      <c r="X1177" s="38"/>
      <c r="Y1177" s="38"/>
      <c r="Z1177" s="38"/>
      <c r="AA1177" s="38"/>
      <c r="AB1177" s="38"/>
      <c r="AD1177" s="2"/>
      <c r="AE1177" s="2"/>
      <c r="AF1177" s="2"/>
      <c r="AG1177" s="2"/>
      <c r="AH1177" s="2"/>
      <c r="AJ1177" s="215"/>
      <c r="AK1177" s="215"/>
      <c r="AL1177" s="215"/>
      <c r="AM1177" s="215"/>
      <c r="AO1177" s="10"/>
      <c r="AP1177" s="10"/>
      <c r="AQ1177" s="10"/>
      <c r="AR1177" s="10"/>
      <c r="AS1177" s="10"/>
      <c r="AU1177" s="2"/>
      <c r="AV1177" s="2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</row>
    <row r="1178" spans="1:73" customFormat="1" ht="12.75" hidden="1" customHeight="1" x14ac:dyDescent="0.2">
      <c r="A1178" s="1"/>
      <c r="B1178" s="1"/>
      <c r="C1178" s="1"/>
      <c r="D1178" s="7"/>
      <c r="E1178" s="7"/>
      <c r="F1178" s="6"/>
      <c r="G1178" s="7"/>
      <c r="H1178" s="2"/>
      <c r="I1178" s="2"/>
      <c r="J1178" s="2"/>
      <c r="K1178" s="2"/>
      <c r="L1178" s="178"/>
      <c r="M1178" s="2"/>
      <c r="N1178" s="7"/>
      <c r="P1178" s="7"/>
      <c r="R1178" s="2"/>
      <c r="S1178" s="2"/>
      <c r="T1178" s="2"/>
      <c r="U1178" s="2"/>
      <c r="V1178" s="2"/>
      <c r="X1178" s="38"/>
      <c r="Y1178" s="38"/>
      <c r="Z1178" s="38"/>
      <c r="AA1178" s="38"/>
      <c r="AB1178" s="38"/>
      <c r="AD1178" s="2"/>
      <c r="AE1178" s="2"/>
      <c r="AF1178" s="2"/>
      <c r="AG1178" s="2"/>
      <c r="AH1178" s="2"/>
      <c r="AJ1178" s="215"/>
      <c r="AK1178" s="215"/>
      <c r="AL1178" s="215"/>
      <c r="AM1178" s="215"/>
      <c r="AO1178" s="10"/>
      <c r="AP1178" s="10"/>
      <c r="AQ1178" s="10"/>
      <c r="AR1178" s="10"/>
      <c r="AS1178" s="10"/>
      <c r="AU1178" s="2"/>
      <c r="AV1178" s="2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</row>
    <row r="1179" spans="1:73" customFormat="1" ht="12.75" hidden="1" customHeight="1" x14ac:dyDescent="0.2">
      <c r="A1179" s="1"/>
      <c r="B1179" s="1"/>
      <c r="C1179" s="1"/>
      <c r="D1179" s="7"/>
      <c r="E1179" s="7"/>
      <c r="F1179" s="6"/>
      <c r="G1179" s="7"/>
      <c r="H1179" s="2"/>
      <c r="I1179" s="2"/>
      <c r="J1179" s="2"/>
      <c r="K1179" s="2"/>
      <c r="L1179" s="178"/>
      <c r="M1179" s="2"/>
      <c r="N1179" s="7"/>
      <c r="P1179" s="7"/>
      <c r="R1179" s="2"/>
      <c r="S1179" s="2"/>
      <c r="T1179" s="2"/>
      <c r="U1179" s="2"/>
      <c r="V1179" s="2"/>
      <c r="X1179" s="38"/>
      <c r="Y1179" s="38"/>
      <c r="Z1179" s="38"/>
      <c r="AA1179" s="38"/>
      <c r="AB1179" s="38"/>
      <c r="AD1179" s="2"/>
      <c r="AE1179" s="2"/>
      <c r="AF1179" s="2"/>
      <c r="AG1179" s="2"/>
      <c r="AH1179" s="2"/>
      <c r="AJ1179" s="215"/>
      <c r="AK1179" s="215"/>
      <c r="AL1179" s="215"/>
      <c r="AM1179" s="215"/>
      <c r="AO1179" s="10"/>
      <c r="AP1179" s="10"/>
      <c r="AQ1179" s="10"/>
      <c r="AR1179" s="10"/>
      <c r="AS1179" s="10"/>
      <c r="AU1179" s="2"/>
      <c r="AV1179" s="2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</row>
    <row r="1180" spans="1:73" customFormat="1" ht="12.75" hidden="1" customHeight="1" x14ac:dyDescent="0.2">
      <c r="A1180" s="1"/>
      <c r="B1180" s="1"/>
      <c r="C1180" s="1"/>
      <c r="D1180" s="7"/>
      <c r="E1180" s="7"/>
      <c r="F1180" s="6"/>
      <c r="G1180" s="7"/>
      <c r="H1180" s="2"/>
      <c r="I1180" s="2"/>
      <c r="J1180" s="2"/>
      <c r="K1180" s="2"/>
      <c r="L1180" s="178"/>
      <c r="M1180" s="2"/>
      <c r="N1180" s="7"/>
      <c r="P1180" s="7"/>
      <c r="R1180" s="2"/>
      <c r="S1180" s="2"/>
      <c r="T1180" s="2"/>
      <c r="U1180" s="2"/>
      <c r="V1180" s="2"/>
      <c r="X1180" s="38"/>
      <c r="Y1180" s="38"/>
      <c r="Z1180" s="38"/>
      <c r="AA1180" s="38"/>
      <c r="AB1180" s="38"/>
      <c r="AD1180" s="2"/>
      <c r="AE1180" s="2"/>
      <c r="AF1180" s="2"/>
      <c r="AG1180" s="2"/>
      <c r="AH1180" s="2"/>
      <c r="AJ1180" s="215"/>
      <c r="AK1180" s="215"/>
      <c r="AL1180" s="215"/>
      <c r="AM1180" s="215"/>
      <c r="AO1180" s="10"/>
      <c r="AP1180" s="10"/>
      <c r="AQ1180" s="10"/>
      <c r="AR1180" s="10"/>
      <c r="AS1180" s="10"/>
      <c r="AU1180" s="2"/>
      <c r="AV1180" s="2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</row>
    <row r="1181" spans="1:73" customFormat="1" ht="12.75" hidden="1" customHeight="1" x14ac:dyDescent="0.2">
      <c r="A1181" s="1"/>
      <c r="B1181" s="1"/>
      <c r="C1181" s="1"/>
      <c r="D1181" s="7"/>
      <c r="E1181" s="7"/>
      <c r="F1181" s="6"/>
      <c r="G1181" s="7"/>
      <c r="H1181" s="2"/>
      <c r="I1181" s="2"/>
      <c r="J1181" s="2"/>
      <c r="K1181" s="2"/>
      <c r="L1181" s="178"/>
      <c r="M1181" s="2"/>
      <c r="N1181" s="7"/>
      <c r="P1181" s="7"/>
      <c r="R1181" s="2"/>
      <c r="S1181" s="2"/>
      <c r="T1181" s="2"/>
      <c r="U1181" s="2"/>
      <c r="V1181" s="2"/>
      <c r="X1181" s="38"/>
      <c r="Y1181" s="38"/>
      <c r="Z1181" s="38"/>
      <c r="AA1181" s="38"/>
      <c r="AB1181" s="38"/>
      <c r="AD1181" s="2"/>
      <c r="AE1181" s="2"/>
      <c r="AF1181" s="2"/>
      <c r="AG1181" s="2"/>
      <c r="AH1181" s="2"/>
      <c r="AJ1181" s="215"/>
      <c r="AK1181" s="215"/>
      <c r="AL1181" s="215"/>
      <c r="AM1181" s="215"/>
      <c r="AO1181" s="10"/>
      <c r="AP1181" s="10"/>
      <c r="AQ1181" s="10"/>
      <c r="AR1181" s="10"/>
      <c r="AS1181" s="10"/>
      <c r="AU1181" s="2"/>
      <c r="AV1181" s="2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</row>
    <row r="1182" spans="1:73" customFormat="1" ht="12.75" hidden="1" customHeight="1" x14ac:dyDescent="0.2">
      <c r="A1182" s="1"/>
      <c r="B1182" s="1"/>
      <c r="C1182" s="1"/>
      <c r="D1182" s="7"/>
      <c r="E1182" s="7"/>
      <c r="F1182" s="6"/>
      <c r="G1182" s="7"/>
      <c r="H1182" s="2"/>
      <c r="I1182" s="2"/>
      <c r="J1182" s="2"/>
      <c r="K1182" s="2"/>
      <c r="L1182" s="178"/>
      <c r="M1182" s="2"/>
      <c r="N1182" s="7"/>
      <c r="P1182" s="7"/>
      <c r="R1182" s="2"/>
      <c r="S1182" s="2"/>
      <c r="T1182" s="2"/>
      <c r="U1182" s="2"/>
      <c r="V1182" s="2"/>
      <c r="X1182" s="38"/>
      <c r="Y1182" s="38"/>
      <c r="Z1182" s="38"/>
      <c r="AA1182" s="38"/>
      <c r="AB1182" s="38"/>
      <c r="AD1182" s="2"/>
      <c r="AE1182" s="2"/>
      <c r="AF1182" s="2"/>
      <c r="AG1182" s="2"/>
      <c r="AH1182" s="2"/>
      <c r="AJ1182" s="215"/>
      <c r="AK1182" s="215"/>
      <c r="AL1182" s="215"/>
      <c r="AM1182" s="215"/>
      <c r="AO1182" s="10"/>
      <c r="AP1182" s="10"/>
      <c r="AQ1182" s="10"/>
      <c r="AR1182" s="10"/>
      <c r="AS1182" s="10"/>
      <c r="AU1182" s="2"/>
      <c r="AV1182" s="2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</row>
    <row r="1183" spans="1:73" customFormat="1" ht="12.75" hidden="1" customHeight="1" x14ac:dyDescent="0.2">
      <c r="A1183" s="1"/>
      <c r="B1183" s="1"/>
      <c r="C1183" s="1"/>
      <c r="D1183" s="7"/>
      <c r="E1183" s="7"/>
      <c r="F1183" s="6"/>
      <c r="G1183" s="7"/>
      <c r="H1183" s="2"/>
      <c r="I1183" s="2"/>
      <c r="J1183" s="2"/>
      <c r="K1183" s="2"/>
      <c r="L1183" s="178"/>
      <c r="M1183" s="2"/>
      <c r="N1183" s="7"/>
      <c r="P1183" s="7"/>
      <c r="R1183" s="2"/>
      <c r="S1183" s="2"/>
      <c r="T1183" s="2"/>
      <c r="U1183" s="2"/>
      <c r="V1183" s="2"/>
      <c r="X1183" s="38"/>
      <c r="Y1183" s="38"/>
      <c r="Z1183" s="38"/>
      <c r="AA1183" s="38"/>
      <c r="AB1183" s="38"/>
      <c r="AD1183" s="2"/>
      <c r="AE1183" s="2"/>
      <c r="AF1183" s="2"/>
      <c r="AG1183" s="2"/>
      <c r="AH1183" s="2"/>
      <c r="AJ1183" s="215"/>
      <c r="AK1183" s="215"/>
      <c r="AL1183" s="215"/>
      <c r="AM1183" s="215"/>
      <c r="AO1183" s="10"/>
      <c r="AP1183" s="10"/>
      <c r="AQ1183" s="10"/>
      <c r="AR1183" s="10"/>
      <c r="AS1183" s="10"/>
      <c r="AU1183" s="2"/>
      <c r="AV1183" s="2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</row>
    <row r="1184" spans="1:73" customFormat="1" ht="12.75" hidden="1" customHeight="1" x14ac:dyDescent="0.2">
      <c r="A1184" s="1"/>
      <c r="B1184" s="1"/>
      <c r="C1184" s="1"/>
      <c r="D1184" s="7"/>
      <c r="E1184" s="7"/>
      <c r="F1184" s="6"/>
      <c r="G1184" s="7"/>
      <c r="H1184" s="2"/>
      <c r="I1184" s="2"/>
      <c r="J1184" s="2"/>
      <c r="K1184" s="2"/>
      <c r="L1184" s="178"/>
      <c r="M1184" s="2"/>
      <c r="N1184" s="7"/>
      <c r="P1184" s="7"/>
      <c r="R1184" s="2"/>
      <c r="S1184" s="2"/>
      <c r="T1184" s="2"/>
      <c r="U1184" s="2"/>
      <c r="V1184" s="2"/>
      <c r="X1184" s="38"/>
      <c r="Y1184" s="38"/>
      <c r="Z1184" s="38"/>
      <c r="AA1184" s="38"/>
      <c r="AB1184" s="38"/>
      <c r="AD1184" s="2"/>
      <c r="AE1184" s="2"/>
      <c r="AF1184" s="2"/>
      <c r="AG1184" s="2"/>
      <c r="AH1184" s="2"/>
      <c r="AJ1184" s="215"/>
      <c r="AK1184" s="215"/>
      <c r="AL1184" s="215"/>
      <c r="AM1184" s="215"/>
      <c r="AO1184" s="10"/>
      <c r="AP1184" s="10"/>
      <c r="AQ1184" s="10"/>
      <c r="AR1184" s="10"/>
      <c r="AS1184" s="10"/>
      <c r="AU1184" s="2"/>
      <c r="AV1184" s="2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</row>
    <row r="1185" spans="1:73" customFormat="1" ht="12.75" hidden="1" customHeight="1" x14ac:dyDescent="0.2">
      <c r="A1185" s="1"/>
      <c r="B1185" s="1"/>
      <c r="C1185" s="1"/>
      <c r="D1185" s="7"/>
      <c r="E1185" s="7"/>
      <c r="F1185" s="6"/>
      <c r="G1185" s="7"/>
      <c r="H1185" s="2"/>
      <c r="I1185" s="2"/>
      <c r="J1185" s="2"/>
      <c r="K1185" s="2"/>
      <c r="L1185" s="178"/>
      <c r="M1185" s="2"/>
      <c r="N1185" s="7"/>
      <c r="P1185" s="7"/>
      <c r="R1185" s="2"/>
      <c r="S1185" s="2"/>
      <c r="T1185" s="2"/>
      <c r="U1185" s="2"/>
      <c r="V1185" s="2"/>
      <c r="X1185" s="38"/>
      <c r="Y1185" s="38"/>
      <c r="Z1185" s="38"/>
      <c r="AA1185" s="38"/>
      <c r="AB1185" s="38"/>
      <c r="AD1185" s="2"/>
      <c r="AE1185" s="2"/>
      <c r="AF1185" s="2"/>
      <c r="AG1185" s="2"/>
      <c r="AH1185" s="2"/>
      <c r="AJ1185" s="215"/>
      <c r="AK1185" s="215"/>
      <c r="AL1185" s="215"/>
      <c r="AM1185" s="215"/>
      <c r="AO1185" s="10"/>
      <c r="AP1185" s="10"/>
      <c r="AQ1185" s="10"/>
      <c r="AR1185" s="10"/>
      <c r="AS1185" s="10"/>
      <c r="AU1185" s="2"/>
      <c r="AV1185" s="2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</row>
    <row r="1186" spans="1:73" customFormat="1" ht="12.75" hidden="1" customHeight="1" x14ac:dyDescent="0.2">
      <c r="A1186" s="1"/>
      <c r="B1186" s="1"/>
      <c r="C1186" s="1"/>
      <c r="D1186" s="7"/>
      <c r="E1186" s="7"/>
      <c r="F1186" s="6"/>
      <c r="G1186" s="7"/>
      <c r="H1186" s="2"/>
      <c r="I1186" s="2"/>
      <c r="J1186" s="2"/>
      <c r="K1186" s="2"/>
      <c r="L1186" s="178"/>
      <c r="M1186" s="2"/>
      <c r="N1186" s="7"/>
      <c r="P1186" s="7"/>
      <c r="R1186" s="2"/>
      <c r="S1186" s="2"/>
      <c r="T1186" s="2"/>
      <c r="U1186" s="2"/>
      <c r="V1186" s="2"/>
      <c r="X1186" s="38"/>
      <c r="Y1186" s="38"/>
      <c r="Z1186" s="38"/>
      <c r="AA1186" s="38"/>
      <c r="AB1186" s="38"/>
      <c r="AD1186" s="2"/>
      <c r="AE1186" s="2"/>
      <c r="AF1186" s="2"/>
      <c r="AG1186" s="2"/>
      <c r="AH1186" s="2"/>
      <c r="AJ1186" s="215"/>
      <c r="AK1186" s="215"/>
      <c r="AL1186" s="215"/>
      <c r="AM1186" s="215"/>
      <c r="AO1186" s="10"/>
      <c r="AP1186" s="10"/>
      <c r="AQ1186" s="10"/>
      <c r="AR1186" s="10"/>
      <c r="AS1186" s="10"/>
      <c r="AU1186" s="2"/>
      <c r="AV1186" s="2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</row>
    <row r="1187" spans="1:73" customFormat="1" ht="12.75" hidden="1" customHeight="1" x14ac:dyDescent="0.2">
      <c r="A1187" s="1"/>
      <c r="B1187" s="1"/>
      <c r="C1187" s="1"/>
      <c r="D1187" s="7"/>
      <c r="E1187" s="7"/>
      <c r="F1187" s="6"/>
      <c r="G1187" s="7"/>
      <c r="H1187" s="2"/>
      <c r="I1187" s="2"/>
      <c r="J1187" s="2"/>
      <c r="K1187" s="2"/>
      <c r="L1187" s="178"/>
      <c r="M1187" s="2"/>
      <c r="N1187" s="7"/>
      <c r="P1187" s="7"/>
      <c r="R1187" s="2"/>
      <c r="S1187" s="2"/>
      <c r="T1187" s="2"/>
      <c r="U1187" s="2"/>
      <c r="V1187" s="2"/>
      <c r="X1187" s="38"/>
      <c r="Y1187" s="38"/>
      <c r="Z1187" s="38"/>
      <c r="AA1187" s="38"/>
      <c r="AB1187" s="38"/>
      <c r="AD1187" s="2"/>
      <c r="AE1187" s="2"/>
      <c r="AF1187" s="2"/>
      <c r="AG1187" s="2"/>
      <c r="AH1187" s="2"/>
      <c r="AJ1187" s="215"/>
      <c r="AK1187" s="215"/>
      <c r="AL1187" s="215"/>
      <c r="AM1187" s="215"/>
      <c r="AO1187" s="10"/>
      <c r="AP1187" s="10"/>
      <c r="AQ1187" s="10"/>
      <c r="AR1187" s="10"/>
      <c r="AS1187" s="10"/>
      <c r="AU1187" s="2"/>
      <c r="AV1187" s="2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</row>
    <row r="1188" spans="1:73" customFormat="1" ht="12.75" hidden="1" customHeight="1" x14ac:dyDescent="0.2">
      <c r="A1188" s="1"/>
      <c r="B1188" s="1"/>
      <c r="C1188" s="1"/>
      <c r="D1188" s="7"/>
      <c r="E1188" s="7"/>
      <c r="F1188" s="6"/>
      <c r="G1188" s="7"/>
      <c r="H1188" s="2"/>
      <c r="I1188" s="2"/>
      <c r="J1188" s="2"/>
      <c r="K1188" s="2"/>
      <c r="L1188" s="178"/>
      <c r="M1188" s="2"/>
      <c r="N1188" s="7"/>
      <c r="P1188" s="7"/>
      <c r="R1188" s="2"/>
      <c r="S1188" s="2"/>
      <c r="T1188" s="2"/>
      <c r="U1188" s="2"/>
      <c r="V1188" s="2"/>
      <c r="X1188" s="38"/>
      <c r="Y1188" s="38"/>
      <c r="Z1188" s="38"/>
      <c r="AA1188" s="38"/>
      <c r="AB1188" s="38"/>
      <c r="AD1188" s="2"/>
      <c r="AE1188" s="2"/>
      <c r="AF1188" s="2"/>
      <c r="AG1188" s="2"/>
      <c r="AH1188" s="2"/>
      <c r="AJ1188" s="215"/>
      <c r="AK1188" s="215"/>
      <c r="AL1188" s="215"/>
      <c r="AM1188" s="215"/>
      <c r="AO1188" s="10"/>
      <c r="AP1188" s="10"/>
      <c r="AQ1188" s="10"/>
      <c r="AR1188" s="10"/>
      <c r="AS1188" s="10"/>
      <c r="AU1188" s="2"/>
      <c r="AV1188" s="2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</row>
    <row r="1189" spans="1:73" customFormat="1" ht="12.75" hidden="1" customHeight="1" x14ac:dyDescent="0.2">
      <c r="A1189" s="1"/>
      <c r="B1189" s="1"/>
      <c r="C1189" s="1"/>
      <c r="D1189" s="7"/>
      <c r="E1189" s="7"/>
      <c r="F1189" s="6"/>
      <c r="G1189" s="7"/>
      <c r="H1189" s="2"/>
      <c r="I1189" s="2"/>
      <c r="J1189" s="2"/>
      <c r="K1189" s="2"/>
      <c r="L1189" s="178"/>
      <c r="M1189" s="2"/>
      <c r="N1189" s="7"/>
      <c r="P1189" s="7"/>
      <c r="R1189" s="2"/>
      <c r="S1189" s="2"/>
      <c r="T1189" s="2"/>
      <c r="U1189" s="2"/>
      <c r="V1189" s="2"/>
      <c r="X1189" s="38"/>
      <c r="Y1189" s="38"/>
      <c r="Z1189" s="38"/>
      <c r="AA1189" s="38"/>
      <c r="AB1189" s="38"/>
      <c r="AD1189" s="2"/>
      <c r="AE1189" s="2"/>
      <c r="AF1189" s="2"/>
      <c r="AG1189" s="2"/>
      <c r="AH1189" s="2"/>
      <c r="AJ1189" s="215"/>
      <c r="AK1189" s="215"/>
      <c r="AL1189" s="215"/>
      <c r="AM1189" s="215"/>
      <c r="AO1189" s="10"/>
      <c r="AP1189" s="10"/>
      <c r="AQ1189" s="10"/>
      <c r="AR1189" s="10"/>
      <c r="AS1189" s="10"/>
      <c r="AU1189" s="2"/>
      <c r="AV1189" s="2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</row>
    <row r="1190" spans="1:73" customFormat="1" ht="12.75" hidden="1" customHeight="1" x14ac:dyDescent="0.2">
      <c r="A1190" s="1"/>
      <c r="B1190" s="1"/>
      <c r="C1190" s="1"/>
      <c r="D1190" s="7"/>
      <c r="E1190" s="7"/>
      <c r="F1190" s="6"/>
      <c r="G1190" s="7"/>
      <c r="H1190" s="2"/>
      <c r="I1190" s="2"/>
      <c r="J1190" s="2"/>
      <c r="K1190" s="2"/>
      <c r="L1190" s="178"/>
      <c r="M1190" s="2"/>
      <c r="N1190" s="7"/>
      <c r="P1190" s="7"/>
      <c r="R1190" s="2"/>
      <c r="S1190" s="2"/>
      <c r="T1190" s="2"/>
      <c r="U1190" s="2"/>
      <c r="V1190" s="2"/>
      <c r="X1190" s="38"/>
      <c r="Y1190" s="38"/>
      <c r="Z1190" s="38"/>
      <c r="AA1190" s="38"/>
      <c r="AB1190" s="38"/>
      <c r="AD1190" s="2"/>
      <c r="AE1190" s="2"/>
      <c r="AF1190" s="2"/>
      <c r="AG1190" s="2"/>
      <c r="AH1190" s="2"/>
      <c r="AJ1190" s="215"/>
      <c r="AK1190" s="215"/>
      <c r="AL1190" s="215"/>
      <c r="AM1190" s="215"/>
      <c r="AO1190" s="10"/>
      <c r="AP1190" s="10"/>
      <c r="AQ1190" s="10"/>
      <c r="AR1190" s="10"/>
      <c r="AS1190" s="10"/>
      <c r="AU1190" s="2"/>
      <c r="AV1190" s="2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</row>
    <row r="1191" spans="1:73" customFormat="1" ht="12.75" hidden="1" customHeight="1" x14ac:dyDescent="0.2">
      <c r="A1191" s="1"/>
      <c r="B1191" s="1"/>
      <c r="C1191" s="1"/>
      <c r="D1191" s="7"/>
      <c r="E1191" s="7"/>
      <c r="F1191" s="6"/>
      <c r="G1191" s="7"/>
      <c r="H1191" s="2"/>
      <c r="I1191" s="2"/>
      <c r="J1191" s="2"/>
      <c r="K1191" s="2"/>
      <c r="L1191" s="178"/>
      <c r="M1191" s="2"/>
      <c r="N1191" s="7"/>
      <c r="P1191" s="7"/>
      <c r="R1191" s="2"/>
      <c r="S1191" s="2"/>
      <c r="T1191" s="2"/>
      <c r="U1191" s="2"/>
      <c r="V1191" s="2"/>
      <c r="X1191" s="38"/>
      <c r="Y1191" s="38"/>
      <c r="Z1191" s="38"/>
      <c r="AA1191" s="38"/>
      <c r="AB1191" s="38"/>
      <c r="AD1191" s="2"/>
      <c r="AE1191" s="2"/>
      <c r="AF1191" s="2"/>
      <c r="AG1191" s="2"/>
      <c r="AH1191" s="2"/>
      <c r="AJ1191" s="215"/>
      <c r="AK1191" s="215"/>
      <c r="AL1191" s="215"/>
      <c r="AM1191" s="215"/>
      <c r="AO1191" s="10"/>
      <c r="AP1191" s="10"/>
      <c r="AQ1191" s="10"/>
      <c r="AR1191" s="10"/>
      <c r="AS1191" s="10"/>
      <c r="AU1191" s="2"/>
      <c r="AV1191" s="2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</row>
    <row r="1192" spans="1:73" customFormat="1" ht="12.75" hidden="1" customHeight="1" x14ac:dyDescent="0.2">
      <c r="A1192" s="1"/>
      <c r="B1192" s="1"/>
      <c r="C1192" s="1"/>
      <c r="D1192" s="7"/>
      <c r="E1192" s="7"/>
      <c r="F1192" s="6"/>
      <c r="G1192" s="7"/>
      <c r="H1192" s="2"/>
      <c r="I1192" s="2"/>
      <c r="J1192" s="2"/>
      <c r="K1192" s="2"/>
      <c r="L1192" s="178"/>
      <c r="M1192" s="2"/>
      <c r="N1192" s="7"/>
      <c r="P1192" s="7"/>
      <c r="R1192" s="2"/>
      <c r="S1192" s="2"/>
      <c r="T1192" s="2"/>
      <c r="U1192" s="2"/>
      <c r="V1192" s="2"/>
      <c r="X1192" s="38"/>
      <c r="Y1192" s="38"/>
      <c r="Z1192" s="38"/>
      <c r="AA1192" s="38"/>
      <c r="AB1192" s="38"/>
      <c r="AD1192" s="2"/>
      <c r="AE1192" s="2"/>
      <c r="AF1192" s="2"/>
      <c r="AG1192" s="2"/>
      <c r="AH1192" s="2"/>
      <c r="AJ1192" s="215"/>
      <c r="AK1192" s="215"/>
      <c r="AL1192" s="215"/>
      <c r="AM1192" s="215"/>
      <c r="AO1192" s="10"/>
      <c r="AP1192" s="10"/>
      <c r="AQ1192" s="10"/>
      <c r="AR1192" s="10"/>
      <c r="AS1192" s="10"/>
      <c r="AU1192" s="2"/>
      <c r="AV1192" s="2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</row>
    <row r="1193" spans="1:73" customFormat="1" ht="12.75" hidden="1" customHeight="1" x14ac:dyDescent="0.2">
      <c r="A1193" s="1"/>
      <c r="B1193" s="1"/>
      <c r="C1193" s="1"/>
      <c r="D1193" s="7"/>
      <c r="E1193" s="7"/>
      <c r="F1193" s="6"/>
      <c r="G1193" s="7"/>
      <c r="H1193" s="2"/>
      <c r="I1193" s="2"/>
      <c r="J1193" s="2"/>
      <c r="K1193" s="2"/>
      <c r="L1193" s="178"/>
      <c r="M1193" s="2"/>
      <c r="N1193" s="7"/>
      <c r="P1193" s="7"/>
      <c r="R1193" s="2"/>
      <c r="S1193" s="2"/>
      <c r="T1193" s="2"/>
      <c r="U1193" s="2"/>
      <c r="V1193" s="2"/>
      <c r="X1193" s="38"/>
      <c r="Y1193" s="38"/>
      <c r="Z1193" s="38"/>
      <c r="AA1193" s="38"/>
      <c r="AB1193" s="38"/>
      <c r="AD1193" s="2"/>
      <c r="AE1193" s="2"/>
      <c r="AF1193" s="2"/>
      <c r="AG1193" s="2"/>
      <c r="AH1193" s="2"/>
      <c r="AJ1193" s="215"/>
      <c r="AK1193" s="215"/>
      <c r="AL1193" s="215"/>
      <c r="AM1193" s="215"/>
      <c r="AO1193" s="10"/>
      <c r="AP1193" s="10"/>
      <c r="AQ1193" s="10"/>
      <c r="AR1193" s="10"/>
      <c r="AS1193" s="10"/>
      <c r="AU1193" s="2"/>
      <c r="AV1193" s="2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</row>
    <row r="1194" spans="1:73" customFormat="1" ht="12.75" hidden="1" customHeight="1" x14ac:dyDescent="0.2">
      <c r="A1194" s="1"/>
      <c r="B1194" s="1"/>
      <c r="C1194" s="1"/>
      <c r="D1194" s="7"/>
      <c r="E1194" s="7"/>
      <c r="F1194" s="6"/>
      <c r="G1194" s="7"/>
      <c r="H1194" s="2"/>
      <c r="I1194" s="2"/>
      <c r="J1194" s="2"/>
      <c r="K1194" s="2"/>
      <c r="L1194" s="178"/>
      <c r="M1194" s="2"/>
      <c r="N1194" s="7"/>
      <c r="P1194" s="7"/>
      <c r="R1194" s="2"/>
      <c r="S1194" s="2"/>
      <c r="T1194" s="2"/>
      <c r="U1194" s="2"/>
      <c r="V1194" s="2"/>
      <c r="X1194" s="38"/>
      <c r="Y1194" s="38"/>
      <c r="Z1194" s="38"/>
      <c r="AA1194" s="38"/>
      <c r="AB1194" s="38"/>
      <c r="AD1194" s="2"/>
      <c r="AE1194" s="2"/>
      <c r="AF1194" s="2"/>
      <c r="AG1194" s="2"/>
      <c r="AH1194" s="2"/>
      <c r="AJ1194" s="215"/>
      <c r="AK1194" s="215"/>
      <c r="AL1194" s="215"/>
      <c r="AM1194" s="215"/>
      <c r="AO1194" s="10"/>
      <c r="AP1194" s="10"/>
      <c r="AQ1194" s="10"/>
      <c r="AR1194" s="10"/>
      <c r="AS1194" s="10"/>
      <c r="AU1194" s="2"/>
      <c r="AV1194" s="2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</row>
    <row r="1195" spans="1:73" customFormat="1" ht="12.75" hidden="1" customHeight="1" x14ac:dyDescent="0.2">
      <c r="A1195" s="1"/>
      <c r="B1195" s="1"/>
      <c r="C1195" s="1"/>
      <c r="D1195" s="7"/>
      <c r="E1195" s="7"/>
      <c r="F1195" s="6"/>
      <c r="G1195" s="7"/>
      <c r="H1195" s="2"/>
      <c r="I1195" s="2"/>
      <c r="J1195" s="2"/>
      <c r="K1195" s="2"/>
      <c r="L1195" s="178"/>
      <c r="M1195" s="2"/>
      <c r="N1195" s="7"/>
      <c r="P1195" s="7"/>
      <c r="R1195" s="2"/>
      <c r="S1195" s="2"/>
      <c r="T1195" s="2"/>
      <c r="U1195" s="2"/>
      <c r="V1195" s="2"/>
      <c r="X1195" s="38"/>
      <c r="Y1195" s="38"/>
      <c r="Z1195" s="38"/>
      <c r="AA1195" s="38"/>
      <c r="AB1195" s="38"/>
      <c r="AD1195" s="2"/>
      <c r="AE1195" s="2"/>
      <c r="AF1195" s="2"/>
      <c r="AG1195" s="2"/>
      <c r="AH1195" s="2"/>
      <c r="AJ1195" s="215"/>
      <c r="AK1195" s="215"/>
      <c r="AL1195" s="215"/>
      <c r="AM1195" s="215"/>
      <c r="AO1195" s="10"/>
      <c r="AP1195" s="10"/>
      <c r="AQ1195" s="10"/>
      <c r="AR1195" s="10"/>
      <c r="AS1195" s="10"/>
      <c r="AU1195" s="2"/>
      <c r="AV1195" s="2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</row>
    <row r="1196" spans="1:73" customFormat="1" ht="12.75" hidden="1" customHeight="1" x14ac:dyDescent="0.2">
      <c r="A1196" s="1"/>
      <c r="B1196" s="1"/>
      <c r="C1196" s="1"/>
      <c r="D1196" s="7"/>
      <c r="E1196" s="7"/>
      <c r="F1196" s="6"/>
      <c r="G1196" s="7"/>
      <c r="H1196" s="2"/>
      <c r="I1196" s="2"/>
      <c r="J1196" s="2"/>
      <c r="K1196" s="2"/>
      <c r="L1196" s="178"/>
      <c r="M1196" s="2"/>
      <c r="N1196" s="7"/>
      <c r="P1196" s="7"/>
      <c r="R1196" s="2"/>
      <c r="S1196" s="2"/>
      <c r="T1196" s="2"/>
      <c r="U1196" s="2"/>
      <c r="V1196" s="2"/>
      <c r="X1196" s="38"/>
      <c r="Y1196" s="38"/>
      <c r="Z1196" s="38"/>
      <c r="AA1196" s="38"/>
      <c r="AB1196" s="38"/>
      <c r="AD1196" s="2"/>
      <c r="AE1196" s="2"/>
      <c r="AF1196" s="2"/>
      <c r="AG1196" s="2"/>
      <c r="AH1196" s="2"/>
      <c r="AJ1196" s="215"/>
      <c r="AK1196" s="215"/>
      <c r="AL1196" s="215"/>
      <c r="AM1196" s="215"/>
      <c r="AO1196" s="10"/>
      <c r="AP1196" s="10"/>
      <c r="AQ1196" s="10"/>
      <c r="AR1196" s="10"/>
      <c r="AS1196" s="10"/>
      <c r="AU1196" s="2"/>
      <c r="AV1196" s="2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</row>
    <row r="1197" spans="1:73" customFormat="1" ht="12.75" hidden="1" customHeight="1" x14ac:dyDescent="0.2">
      <c r="A1197" s="1"/>
      <c r="B1197" s="1"/>
      <c r="C1197" s="1"/>
      <c r="D1197" s="7"/>
      <c r="E1197" s="7"/>
      <c r="F1197" s="6"/>
      <c r="G1197" s="7"/>
      <c r="H1197" s="2"/>
      <c r="I1197" s="2"/>
      <c r="J1197" s="2"/>
      <c r="K1197" s="2"/>
      <c r="L1197" s="178"/>
      <c r="M1197" s="2"/>
      <c r="N1197" s="7"/>
      <c r="P1197" s="7"/>
      <c r="R1197" s="2"/>
      <c r="S1197" s="2"/>
      <c r="T1197" s="2"/>
      <c r="U1197" s="2"/>
      <c r="V1197" s="2"/>
      <c r="X1197" s="38"/>
      <c r="Y1197" s="38"/>
      <c r="Z1197" s="38"/>
      <c r="AA1197" s="38"/>
      <c r="AB1197" s="38"/>
      <c r="AD1197" s="2"/>
      <c r="AE1197" s="2"/>
      <c r="AF1197" s="2"/>
      <c r="AG1197" s="2"/>
      <c r="AH1197" s="2"/>
      <c r="AJ1197" s="215"/>
      <c r="AK1197" s="215"/>
      <c r="AL1197" s="215"/>
      <c r="AM1197" s="215"/>
      <c r="AO1197" s="10"/>
      <c r="AP1197" s="10"/>
      <c r="AQ1197" s="10"/>
      <c r="AR1197" s="10"/>
      <c r="AS1197" s="10"/>
      <c r="AU1197" s="2"/>
      <c r="AV1197" s="2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</row>
    <row r="1198" spans="1:73" customFormat="1" ht="12.75" hidden="1" customHeight="1" x14ac:dyDescent="0.2">
      <c r="A1198" s="1"/>
      <c r="B1198" s="1"/>
      <c r="C1198" s="1"/>
      <c r="D1198" s="7"/>
      <c r="E1198" s="7"/>
      <c r="F1198" s="6"/>
      <c r="G1198" s="7"/>
      <c r="H1198" s="2"/>
      <c r="I1198" s="2"/>
      <c r="J1198" s="2"/>
      <c r="K1198" s="2"/>
      <c r="L1198" s="178"/>
      <c r="M1198" s="2"/>
      <c r="N1198" s="7"/>
      <c r="P1198" s="7"/>
      <c r="R1198" s="2"/>
      <c r="S1198" s="2"/>
      <c r="T1198" s="2"/>
      <c r="U1198" s="2"/>
      <c r="V1198" s="2"/>
      <c r="X1198" s="38"/>
      <c r="Y1198" s="38"/>
      <c r="Z1198" s="38"/>
      <c r="AA1198" s="38"/>
      <c r="AB1198" s="38"/>
      <c r="AD1198" s="2"/>
      <c r="AE1198" s="2"/>
      <c r="AF1198" s="2"/>
      <c r="AG1198" s="2"/>
      <c r="AH1198" s="2"/>
      <c r="AJ1198" s="215"/>
      <c r="AK1198" s="215"/>
      <c r="AL1198" s="215"/>
      <c r="AM1198" s="215"/>
      <c r="AO1198" s="10"/>
      <c r="AP1198" s="10"/>
      <c r="AQ1198" s="10"/>
      <c r="AR1198" s="10"/>
      <c r="AS1198" s="10"/>
      <c r="AU1198" s="2"/>
      <c r="AV1198" s="2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</row>
    <row r="1199" spans="1:73" customFormat="1" ht="12.75" hidden="1" customHeight="1" x14ac:dyDescent="0.2">
      <c r="A1199" s="1"/>
      <c r="B1199" s="1"/>
      <c r="C1199" s="1"/>
      <c r="D1199" s="7"/>
      <c r="E1199" s="7"/>
      <c r="F1199" s="6"/>
      <c r="G1199" s="7"/>
      <c r="H1199" s="2"/>
      <c r="I1199" s="2"/>
      <c r="J1199" s="2"/>
      <c r="K1199" s="2"/>
      <c r="L1199" s="178"/>
      <c r="M1199" s="2"/>
      <c r="N1199" s="7"/>
      <c r="P1199" s="7"/>
      <c r="R1199" s="2"/>
      <c r="S1199" s="2"/>
      <c r="T1199" s="2"/>
      <c r="U1199" s="2"/>
      <c r="V1199" s="2"/>
      <c r="X1199" s="38"/>
      <c r="Y1199" s="38"/>
      <c r="Z1199" s="38"/>
      <c r="AA1199" s="38"/>
      <c r="AB1199" s="38"/>
      <c r="AD1199" s="2"/>
      <c r="AE1199" s="2"/>
      <c r="AF1199" s="2"/>
      <c r="AG1199" s="2"/>
      <c r="AH1199" s="2"/>
      <c r="AJ1199" s="215"/>
      <c r="AK1199" s="215"/>
      <c r="AL1199" s="215"/>
      <c r="AM1199" s="215"/>
      <c r="AO1199" s="10"/>
      <c r="AP1199" s="10"/>
      <c r="AQ1199" s="10"/>
      <c r="AR1199" s="10"/>
      <c r="AS1199" s="10"/>
      <c r="AU1199" s="2"/>
      <c r="AV1199" s="2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</row>
    <row r="1200" spans="1:73" customFormat="1" ht="12.75" hidden="1" customHeight="1" x14ac:dyDescent="0.2">
      <c r="A1200" s="1"/>
      <c r="B1200" s="1"/>
      <c r="C1200" s="1"/>
      <c r="D1200" s="7"/>
      <c r="E1200" s="7"/>
      <c r="F1200" s="6"/>
      <c r="G1200" s="7"/>
      <c r="H1200" s="2"/>
      <c r="I1200" s="2"/>
      <c r="J1200" s="2"/>
      <c r="K1200" s="2"/>
      <c r="L1200" s="178"/>
      <c r="M1200" s="2"/>
      <c r="N1200" s="7"/>
      <c r="P1200" s="7"/>
      <c r="R1200" s="2"/>
      <c r="S1200" s="2"/>
      <c r="T1200" s="2"/>
      <c r="U1200" s="2"/>
      <c r="V1200" s="2"/>
      <c r="X1200" s="38"/>
      <c r="Y1200" s="38"/>
      <c r="Z1200" s="38"/>
      <c r="AA1200" s="38"/>
      <c r="AB1200" s="38"/>
      <c r="AD1200" s="2"/>
      <c r="AE1200" s="2"/>
      <c r="AF1200" s="2"/>
      <c r="AG1200" s="2"/>
      <c r="AH1200" s="2"/>
      <c r="AJ1200" s="215"/>
      <c r="AK1200" s="215"/>
      <c r="AL1200" s="215"/>
      <c r="AM1200" s="215"/>
      <c r="AO1200" s="10"/>
      <c r="AP1200" s="10"/>
      <c r="AQ1200" s="10"/>
      <c r="AR1200" s="10"/>
      <c r="AS1200" s="10"/>
      <c r="AU1200" s="2"/>
      <c r="AV1200" s="2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</row>
    <row r="1201" spans="1:73" customFormat="1" ht="12.75" hidden="1" customHeight="1" x14ac:dyDescent="0.2">
      <c r="A1201" s="1"/>
      <c r="B1201" s="1"/>
      <c r="C1201" s="1"/>
      <c r="D1201" s="7"/>
      <c r="E1201" s="7"/>
      <c r="F1201" s="6"/>
      <c r="G1201" s="7"/>
      <c r="H1201" s="2"/>
      <c r="I1201" s="2"/>
      <c r="J1201" s="2"/>
      <c r="K1201" s="2"/>
      <c r="L1201" s="178"/>
      <c r="M1201" s="2"/>
      <c r="N1201" s="7"/>
      <c r="P1201" s="7"/>
      <c r="R1201" s="2"/>
      <c r="S1201" s="2"/>
      <c r="T1201" s="2"/>
      <c r="U1201" s="2"/>
      <c r="V1201" s="2"/>
      <c r="X1201" s="38"/>
      <c r="Y1201" s="38"/>
      <c r="Z1201" s="38"/>
      <c r="AA1201" s="38"/>
      <c r="AB1201" s="38"/>
      <c r="AD1201" s="2"/>
      <c r="AE1201" s="2"/>
      <c r="AF1201" s="2"/>
      <c r="AG1201" s="2"/>
      <c r="AH1201" s="2"/>
      <c r="AJ1201" s="215"/>
      <c r="AK1201" s="215"/>
      <c r="AL1201" s="215"/>
      <c r="AM1201" s="215"/>
      <c r="AO1201" s="10"/>
      <c r="AP1201" s="10"/>
      <c r="AQ1201" s="10"/>
      <c r="AR1201" s="10"/>
      <c r="AS1201" s="10"/>
      <c r="AU1201" s="2"/>
      <c r="AV1201" s="2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</row>
    <row r="1202" spans="1:73" customFormat="1" ht="12.75" hidden="1" customHeight="1" x14ac:dyDescent="0.2">
      <c r="A1202" s="1"/>
      <c r="B1202" s="1"/>
      <c r="C1202" s="1"/>
      <c r="D1202" s="7"/>
      <c r="E1202" s="7"/>
      <c r="F1202" s="6"/>
      <c r="G1202" s="7"/>
      <c r="H1202" s="2"/>
      <c r="I1202" s="2"/>
      <c r="J1202" s="2"/>
      <c r="K1202" s="2"/>
      <c r="L1202" s="178"/>
      <c r="M1202" s="2"/>
      <c r="N1202" s="7"/>
      <c r="P1202" s="7"/>
      <c r="R1202" s="2"/>
      <c r="S1202" s="2"/>
      <c r="T1202" s="2"/>
      <c r="U1202" s="2"/>
      <c r="V1202" s="2"/>
      <c r="X1202" s="38"/>
      <c r="Y1202" s="38"/>
      <c r="Z1202" s="38"/>
      <c r="AA1202" s="38"/>
      <c r="AB1202" s="38"/>
      <c r="AD1202" s="2"/>
      <c r="AE1202" s="2"/>
      <c r="AF1202" s="2"/>
      <c r="AG1202" s="2"/>
      <c r="AH1202" s="2"/>
      <c r="AJ1202" s="215"/>
      <c r="AK1202" s="215"/>
      <c r="AL1202" s="215"/>
      <c r="AM1202" s="215"/>
      <c r="AO1202" s="10"/>
      <c r="AP1202" s="10"/>
      <c r="AQ1202" s="10"/>
      <c r="AR1202" s="10"/>
      <c r="AS1202" s="10"/>
      <c r="AU1202" s="2"/>
      <c r="AV1202" s="2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</row>
    <row r="1203" spans="1:73" customFormat="1" ht="12.75" hidden="1" customHeight="1" x14ac:dyDescent="0.2">
      <c r="A1203" s="1"/>
      <c r="B1203" s="1"/>
      <c r="C1203" s="1"/>
      <c r="D1203" s="7"/>
      <c r="E1203" s="7"/>
      <c r="F1203" s="6"/>
      <c r="G1203" s="7"/>
      <c r="H1203" s="2"/>
      <c r="I1203" s="2"/>
      <c r="J1203" s="2"/>
      <c r="K1203" s="2"/>
      <c r="L1203" s="178"/>
      <c r="M1203" s="2"/>
      <c r="N1203" s="7"/>
      <c r="P1203" s="7"/>
      <c r="R1203" s="2"/>
      <c r="S1203" s="2"/>
      <c r="T1203" s="2"/>
      <c r="U1203" s="2"/>
      <c r="V1203" s="2"/>
      <c r="X1203" s="38"/>
      <c r="Y1203" s="38"/>
      <c r="Z1203" s="38"/>
      <c r="AA1203" s="38"/>
      <c r="AB1203" s="38"/>
      <c r="AD1203" s="2"/>
      <c r="AE1203" s="2"/>
      <c r="AF1203" s="2"/>
      <c r="AG1203" s="2"/>
      <c r="AH1203" s="2"/>
      <c r="AJ1203" s="215"/>
      <c r="AK1203" s="215"/>
      <c r="AL1203" s="215"/>
      <c r="AM1203" s="215"/>
      <c r="AO1203" s="10"/>
      <c r="AP1203" s="10"/>
      <c r="AQ1203" s="10"/>
      <c r="AR1203" s="10"/>
      <c r="AS1203" s="10"/>
      <c r="AU1203" s="2"/>
      <c r="AV1203" s="2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</row>
    <row r="1204" spans="1:73" customFormat="1" ht="12.75" hidden="1" customHeight="1" x14ac:dyDescent="0.2">
      <c r="A1204" s="1"/>
      <c r="B1204" s="1"/>
      <c r="C1204" s="1"/>
      <c r="D1204" s="7"/>
      <c r="E1204" s="7"/>
      <c r="F1204" s="6"/>
      <c r="G1204" s="7"/>
      <c r="H1204" s="2"/>
      <c r="I1204" s="2"/>
      <c r="J1204" s="2"/>
      <c r="K1204" s="2"/>
      <c r="L1204" s="178"/>
      <c r="M1204" s="2"/>
      <c r="N1204" s="7"/>
      <c r="P1204" s="7"/>
      <c r="R1204" s="2"/>
      <c r="S1204" s="2"/>
      <c r="T1204" s="2"/>
      <c r="U1204" s="2"/>
      <c r="V1204" s="2"/>
      <c r="X1204" s="38"/>
      <c r="Y1204" s="38"/>
      <c r="Z1204" s="38"/>
      <c r="AA1204" s="38"/>
      <c r="AB1204" s="38"/>
      <c r="AD1204" s="2"/>
      <c r="AE1204" s="2"/>
      <c r="AF1204" s="2"/>
      <c r="AG1204" s="2"/>
      <c r="AH1204" s="2"/>
      <c r="AJ1204" s="215"/>
      <c r="AK1204" s="215"/>
      <c r="AL1204" s="215"/>
      <c r="AM1204" s="215"/>
      <c r="AO1204" s="10"/>
      <c r="AP1204" s="10"/>
      <c r="AQ1204" s="10"/>
      <c r="AR1204" s="10"/>
      <c r="AS1204" s="10"/>
      <c r="AU1204" s="2"/>
      <c r="AV1204" s="2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</row>
    <row r="1205" spans="1:73" customFormat="1" ht="12.75" hidden="1" customHeight="1" x14ac:dyDescent="0.2">
      <c r="A1205" s="1"/>
      <c r="B1205" s="1"/>
      <c r="C1205" s="1"/>
      <c r="D1205" s="7"/>
      <c r="E1205" s="7"/>
      <c r="F1205" s="6"/>
      <c r="G1205" s="7"/>
      <c r="H1205" s="2"/>
      <c r="I1205" s="2"/>
      <c r="J1205" s="2"/>
      <c r="K1205" s="2"/>
      <c r="L1205" s="178"/>
      <c r="M1205" s="2"/>
      <c r="N1205" s="7"/>
      <c r="P1205" s="7"/>
      <c r="R1205" s="2"/>
      <c r="S1205" s="2"/>
      <c r="T1205" s="2"/>
      <c r="U1205" s="2"/>
      <c r="V1205" s="2"/>
      <c r="X1205" s="38"/>
      <c r="Y1205" s="38"/>
      <c r="Z1205" s="38"/>
      <c r="AA1205" s="38"/>
      <c r="AB1205" s="38"/>
      <c r="AD1205" s="2"/>
      <c r="AE1205" s="2"/>
      <c r="AF1205" s="2"/>
      <c r="AG1205" s="2"/>
      <c r="AH1205" s="2"/>
      <c r="AJ1205" s="215"/>
      <c r="AK1205" s="215"/>
      <c r="AL1205" s="215"/>
      <c r="AM1205" s="215"/>
      <c r="AO1205" s="10"/>
      <c r="AP1205" s="10"/>
      <c r="AQ1205" s="10"/>
      <c r="AR1205" s="10"/>
      <c r="AS1205" s="10"/>
      <c r="AU1205" s="2"/>
      <c r="AV1205" s="2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</row>
    <row r="1206" spans="1:73" customFormat="1" ht="12.75" hidden="1" customHeight="1" x14ac:dyDescent="0.2">
      <c r="A1206" s="1"/>
      <c r="B1206" s="1"/>
      <c r="C1206" s="1"/>
      <c r="D1206" s="7"/>
      <c r="E1206" s="7"/>
      <c r="F1206" s="6"/>
      <c r="G1206" s="7"/>
      <c r="H1206" s="2"/>
      <c r="I1206" s="2"/>
      <c r="J1206" s="2"/>
      <c r="K1206" s="2"/>
      <c r="L1206" s="178"/>
      <c r="M1206" s="2"/>
      <c r="N1206" s="7"/>
      <c r="P1206" s="7"/>
      <c r="R1206" s="2"/>
      <c r="S1206" s="2"/>
      <c r="T1206" s="2"/>
      <c r="U1206" s="2"/>
      <c r="V1206" s="2"/>
      <c r="X1206" s="38"/>
      <c r="Y1206" s="38"/>
      <c r="Z1206" s="38"/>
      <c r="AA1206" s="38"/>
      <c r="AB1206" s="38"/>
      <c r="AD1206" s="2"/>
      <c r="AE1206" s="2"/>
      <c r="AF1206" s="2"/>
      <c r="AG1206" s="2"/>
      <c r="AH1206" s="2"/>
      <c r="AJ1206" s="215"/>
      <c r="AK1206" s="215"/>
      <c r="AL1206" s="215"/>
      <c r="AM1206" s="215"/>
      <c r="AO1206" s="10"/>
      <c r="AP1206" s="10"/>
      <c r="AQ1206" s="10"/>
      <c r="AR1206" s="10"/>
      <c r="AS1206" s="10"/>
      <c r="AU1206" s="2"/>
      <c r="AV1206" s="2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</row>
    <row r="1207" spans="1:73" customFormat="1" ht="12.75" hidden="1" customHeight="1" x14ac:dyDescent="0.2">
      <c r="A1207" s="1"/>
      <c r="B1207" s="1"/>
      <c r="C1207" s="1"/>
      <c r="D1207" s="7"/>
      <c r="E1207" s="7"/>
      <c r="F1207" s="6"/>
      <c r="G1207" s="7"/>
      <c r="H1207" s="2"/>
      <c r="I1207" s="2"/>
      <c r="J1207" s="2"/>
      <c r="K1207" s="2"/>
      <c r="L1207" s="178"/>
      <c r="M1207" s="2"/>
      <c r="N1207" s="7"/>
      <c r="P1207" s="7"/>
      <c r="R1207" s="2"/>
      <c r="S1207" s="2"/>
      <c r="T1207" s="2"/>
      <c r="U1207" s="2"/>
      <c r="V1207" s="2"/>
      <c r="X1207" s="38"/>
      <c r="Y1207" s="38"/>
      <c r="Z1207" s="38"/>
      <c r="AA1207" s="38"/>
      <c r="AB1207" s="38"/>
      <c r="AD1207" s="2"/>
      <c r="AE1207" s="2"/>
      <c r="AF1207" s="2"/>
      <c r="AG1207" s="2"/>
      <c r="AH1207" s="2"/>
      <c r="AJ1207" s="215"/>
      <c r="AK1207" s="215"/>
      <c r="AL1207" s="215"/>
      <c r="AM1207" s="215"/>
      <c r="AO1207" s="10"/>
      <c r="AP1207" s="10"/>
      <c r="AQ1207" s="10"/>
      <c r="AR1207" s="10"/>
      <c r="AS1207" s="10"/>
      <c r="AU1207" s="2"/>
      <c r="AV1207" s="2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</row>
    <row r="1208" spans="1:73" customFormat="1" ht="12.75" hidden="1" customHeight="1" x14ac:dyDescent="0.2">
      <c r="A1208" s="1"/>
      <c r="B1208" s="1"/>
      <c r="C1208" s="1"/>
      <c r="D1208" s="7"/>
      <c r="E1208" s="7"/>
      <c r="F1208" s="6"/>
      <c r="G1208" s="7"/>
      <c r="H1208" s="2"/>
      <c r="I1208" s="2"/>
      <c r="J1208" s="2"/>
      <c r="K1208" s="2"/>
      <c r="L1208" s="178"/>
      <c r="M1208" s="2"/>
      <c r="N1208" s="7"/>
      <c r="P1208" s="7"/>
      <c r="R1208" s="2"/>
      <c r="S1208" s="2"/>
      <c r="T1208" s="2"/>
      <c r="U1208" s="2"/>
      <c r="V1208" s="2"/>
      <c r="X1208" s="38"/>
      <c r="Y1208" s="38"/>
      <c r="Z1208" s="38"/>
      <c r="AA1208" s="38"/>
      <c r="AB1208" s="38"/>
      <c r="AD1208" s="2"/>
      <c r="AE1208" s="2"/>
      <c r="AF1208" s="2"/>
      <c r="AG1208" s="2"/>
      <c r="AH1208" s="2"/>
      <c r="AJ1208" s="215"/>
      <c r="AK1208" s="215"/>
      <c r="AL1208" s="215"/>
      <c r="AM1208" s="215"/>
      <c r="AO1208" s="10"/>
      <c r="AP1208" s="10"/>
      <c r="AQ1208" s="10"/>
      <c r="AR1208" s="10"/>
      <c r="AS1208" s="10"/>
      <c r="AU1208" s="2"/>
      <c r="AV1208" s="2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</row>
    <row r="1209" spans="1:73" customFormat="1" ht="12.75" hidden="1" customHeight="1" x14ac:dyDescent="0.2">
      <c r="A1209" s="1"/>
      <c r="B1209" s="1"/>
      <c r="C1209" s="1"/>
      <c r="D1209" s="7"/>
      <c r="E1209" s="7"/>
      <c r="F1209" s="6"/>
      <c r="G1209" s="7"/>
      <c r="H1209" s="2"/>
      <c r="I1209" s="2"/>
      <c r="J1209" s="2"/>
      <c r="K1209" s="2"/>
      <c r="L1209" s="178"/>
      <c r="M1209" s="2"/>
      <c r="N1209" s="7"/>
      <c r="P1209" s="7"/>
      <c r="R1209" s="2"/>
      <c r="S1209" s="2"/>
      <c r="T1209" s="2"/>
      <c r="U1209" s="2"/>
      <c r="V1209" s="2"/>
      <c r="X1209" s="38"/>
      <c r="Y1209" s="38"/>
      <c r="Z1209" s="38"/>
      <c r="AA1209" s="38"/>
      <c r="AB1209" s="38"/>
      <c r="AD1209" s="2"/>
      <c r="AE1209" s="2"/>
      <c r="AF1209" s="2"/>
      <c r="AG1209" s="2"/>
      <c r="AH1209" s="2"/>
      <c r="AJ1209" s="215"/>
      <c r="AK1209" s="215"/>
      <c r="AL1209" s="215"/>
      <c r="AM1209" s="215"/>
      <c r="AO1209" s="10"/>
      <c r="AP1209" s="10"/>
      <c r="AQ1209" s="10"/>
      <c r="AR1209" s="10"/>
      <c r="AS1209" s="10"/>
      <c r="AU1209" s="2"/>
      <c r="AV1209" s="2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</row>
    <row r="1210" spans="1:73" customFormat="1" ht="12.75" hidden="1" customHeight="1" x14ac:dyDescent="0.2">
      <c r="A1210" s="1"/>
      <c r="B1210" s="1"/>
      <c r="C1210" s="1"/>
      <c r="D1210" s="7"/>
      <c r="E1210" s="7"/>
      <c r="F1210" s="6"/>
      <c r="G1210" s="7"/>
      <c r="H1210" s="2"/>
      <c r="I1210" s="2"/>
      <c r="J1210" s="2"/>
      <c r="K1210" s="2"/>
      <c r="L1210" s="178"/>
      <c r="M1210" s="2"/>
      <c r="N1210" s="7"/>
      <c r="P1210" s="7"/>
      <c r="R1210" s="2"/>
      <c r="S1210" s="2"/>
      <c r="T1210" s="2"/>
      <c r="U1210" s="2"/>
      <c r="V1210" s="2"/>
      <c r="X1210" s="38"/>
      <c r="Y1210" s="38"/>
      <c r="Z1210" s="38"/>
      <c r="AA1210" s="38"/>
      <c r="AB1210" s="38"/>
      <c r="AD1210" s="2"/>
      <c r="AE1210" s="2"/>
      <c r="AF1210" s="2"/>
      <c r="AG1210" s="2"/>
      <c r="AH1210" s="2"/>
      <c r="AJ1210" s="215"/>
      <c r="AK1210" s="215"/>
      <c r="AL1210" s="215"/>
      <c r="AM1210" s="215"/>
      <c r="AO1210" s="10"/>
      <c r="AP1210" s="10"/>
      <c r="AQ1210" s="10"/>
      <c r="AR1210" s="10"/>
      <c r="AS1210" s="10"/>
      <c r="AU1210" s="2"/>
      <c r="AV1210" s="2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</row>
    <row r="1211" spans="1:73" customFormat="1" ht="12.75" hidden="1" customHeight="1" x14ac:dyDescent="0.2">
      <c r="A1211" s="1"/>
      <c r="B1211" s="1"/>
      <c r="C1211" s="1"/>
      <c r="D1211" s="7"/>
      <c r="E1211" s="7"/>
      <c r="F1211" s="6"/>
      <c r="G1211" s="7"/>
      <c r="H1211" s="2"/>
      <c r="I1211" s="2"/>
      <c r="J1211" s="2"/>
      <c r="K1211" s="2"/>
      <c r="L1211" s="178"/>
      <c r="M1211" s="2"/>
      <c r="N1211" s="7"/>
      <c r="P1211" s="7"/>
      <c r="R1211" s="2"/>
      <c r="S1211" s="2"/>
      <c r="T1211" s="2"/>
      <c r="U1211" s="2"/>
      <c r="V1211" s="2"/>
      <c r="X1211" s="38"/>
      <c r="Y1211" s="38"/>
      <c r="Z1211" s="38"/>
      <c r="AA1211" s="38"/>
      <c r="AB1211" s="38"/>
      <c r="AD1211" s="2"/>
      <c r="AE1211" s="2"/>
      <c r="AF1211" s="2"/>
      <c r="AG1211" s="2"/>
      <c r="AH1211" s="2"/>
      <c r="AJ1211" s="215"/>
      <c r="AK1211" s="215"/>
      <c r="AL1211" s="215"/>
      <c r="AM1211" s="215"/>
      <c r="AO1211" s="10"/>
      <c r="AP1211" s="10"/>
      <c r="AQ1211" s="10"/>
      <c r="AR1211" s="10"/>
      <c r="AS1211" s="10"/>
      <c r="AU1211" s="2"/>
      <c r="AV1211" s="2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</row>
    <row r="1212" spans="1:73" customFormat="1" ht="12.75" hidden="1" customHeight="1" x14ac:dyDescent="0.2">
      <c r="A1212" s="1"/>
      <c r="B1212" s="1"/>
      <c r="C1212" s="1"/>
      <c r="D1212" s="7"/>
      <c r="E1212" s="7"/>
      <c r="F1212" s="6"/>
      <c r="G1212" s="7"/>
      <c r="H1212" s="2"/>
      <c r="I1212" s="2"/>
      <c r="J1212" s="2"/>
      <c r="K1212" s="2"/>
      <c r="L1212" s="178"/>
      <c r="M1212" s="2"/>
      <c r="N1212" s="7"/>
      <c r="P1212" s="7"/>
      <c r="R1212" s="2"/>
      <c r="S1212" s="2"/>
      <c r="T1212" s="2"/>
      <c r="U1212" s="2"/>
      <c r="V1212" s="2"/>
      <c r="X1212" s="38"/>
      <c r="Y1212" s="38"/>
      <c r="Z1212" s="38"/>
      <c r="AA1212" s="38"/>
      <c r="AB1212" s="38"/>
      <c r="AD1212" s="2"/>
      <c r="AE1212" s="2"/>
      <c r="AF1212" s="2"/>
      <c r="AG1212" s="2"/>
      <c r="AH1212" s="2"/>
      <c r="AJ1212" s="215"/>
      <c r="AK1212" s="215"/>
      <c r="AL1212" s="215"/>
      <c r="AM1212" s="215"/>
      <c r="AO1212" s="10"/>
      <c r="AP1212" s="10"/>
      <c r="AQ1212" s="10"/>
      <c r="AR1212" s="10"/>
      <c r="AS1212" s="10"/>
      <c r="AU1212" s="2"/>
      <c r="AV1212" s="2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</row>
    <row r="1213" spans="1:73" customFormat="1" ht="12.75" hidden="1" customHeight="1" x14ac:dyDescent="0.2">
      <c r="A1213" s="1"/>
      <c r="B1213" s="1"/>
      <c r="C1213" s="1"/>
      <c r="D1213" s="7"/>
      <c r="E1213" s="7"/>
      <c r="F1213" s="6"/>
      <c r="G1213" s="7"/>
      <c r="H1213" s="2"/>
      <c r="I1213" s="2"/>
      <c r="J1213" s="2"/>
      <c r="K1213" s="2"/>
      <c r="L1213" s="178"/>
      <c r="M1213" s="2"/>
      <c r="N1213" s="7"/>
      <c r="P1213" s="7"/>
      <c r="R1213" s="2"/>
      <c r="S1213" s="2"/>
      <c r="T1213" s="2"/>
      <c r="U1213" s="2"/>
      <c r="V1213" s="2"/>
      <c r="X1213" s="38"/>
      <c r="Y1213" s="38"/>
      <c r="Z1213" s="38"/>
      <c r="AA1213" s="38"/>
      <c r="AB1213" s="38"/>
      <c r="AD1213" s="2"/>
      <c r="AE1213" s="2"/>
      <c r="AF1213" s="2"/>
      <c r="AG1213" s="2"/>
      <c r="AH1213" s="2"/>
      <c r="AJ1213" s="215"/>
      <c r="AK1213" s="215"/>
      <c r="AL1213" s="215"/>
      <c r="AM1213" s="215"/>
      <c r="AO1213" s="10"/>
      <c r="AP1213" s="10"/>
      <c r="AQ1213" s="10"/>
      <c r="AR1213" s="10"/>
      <c r="AS1213" s="10"/>
      <c r="AU1213" s="2"/>
      <c r="AV1213" s="2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</row>
    <row r="1214" spans="1:73" customFormat="1" ht="12.75" hidden="1" customHeight="1" x14ac:dyDescent="0.2">
      <c r="A1214" s="1"/>
      <c r="B1214" s="1"/>
      <c r="C1214" s="1"/>
      <c r="D1214" s="7"/>
      <c r="E1214" s="7"/>
      <c r="F1214" s="6"/>
      <c r="G1214" s="7"/>
      <c r="H1214" s="2"/>
      <c r="I1214" s="2"/>
      <c r="J1214" s="2"/>
      <c r="K1214" s="2"/>
      <c r="L1214" s="178"/>
      <c r="M1214" s="2"/>
      <c r="N1214" s="7"/>
      <c r="P1214" s="7"/>
      <c r="R1214" s="2"/>
      <c r="S1214" s="2"/>
      <c r="T1214" s="2"/>
      <c r="U1214" s="2"/>
      <c r="V1214" s="2"/>
      <c r="X1214" s="38"/>
      <c r="Y1214" s="38"/>
      <c r="Z1214" s="38"/>
      <c r="AA1214" s="38"/>
      <c r="AB1214" s="38"/>
      <c r="AD1214" s="2"/>
      <c r="AE1214" s="2"/>
      <c r="AF1214" s="2"/>
      <c r="AG1214" s="2"/>
      <c r="AH1214" s="2"/>
      <c r="AJ1214" s="215"/>
      <c r="AK1214" s="215"/>
      <c r="AL1214" s="215"/>
      <c r="AM1214" s="215"/>
      <c r="AO1214" s="10"/>
      <c r="AP1214" s="10"/>
      <c r="AQ1214" s="10"/>
      <c r="AR1214" s="10"/>
      <c r="AS1214" s="10"/>
      <c r="AU1214" s="2"/>
      <c r="AV1214" s="2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</row>
    <row r="1215" spans="1:73" customFormat="1" ht="12.75" hidden="1" customHeight="1" x14ac:dyDescent="0.2">
      <c r="A1215" s="1"/>
      <c r="B1215" s="1"/>
      <c r="C1215" s="1"/>
      <c r="D1215" s="7"/>
      <c r="E1215" s="7"/>
      <c r="F1215" s="6"/>
      <c r="G1215" s="7"/>
      <c r="H1215" s="2"/>
      <c r="I1215" s="2"/>
      <c r="J1215" s="2"/>
      <c r="K1215" s="2"/>
      <c r="L1215" s="178"/>
      <c r="M1215" s="2"/>
      <c r="N1215" s="7"/>
      <c r="P1215" s="7"/>
      <c r="R1215" s="2"/>
      <c r="S1215" s="2"/>
      <c r="T1215" s="2"/>
      <c r="U1215" s="2"/>
      <c r="V1215" s="2"/>
      <c r="X1215" s="38"/>
      <c r="Y1215" s="38"/>
      <c r="Z1215" s="38"/>
      <c r="AA1215" s="38"/>
      <c r="AB1215" s="38"/>
      <c r="AD1215" s="2"/>
      <c r="AE1215" s="2"/>
      <c r="AF1215" s="2"/>
      <c r="AG1215" s="2"/>
      <c r="AH1215" s="2"/>
      <c r="AJ1215" s="215"/>
      <c r="AK1215" s="215"/>
      <c r="AL1215" s="215"/>
      <c r="AM1215" s="215"/>
      <c r="AO1215" s="10"/>
      <c r="AP1215" s="10"/>
      <c r="AQ1215" s="10"/>
      <c r="AR1215" s="10"/>
      <c r="AS1215" s="10"/>
      <c r="AU1215" s="2"/>
      <c r="AV1215" s="2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</row>
    <row r="1216" spans="1:73" customFormat="1" ht="12.75" hidden="1" customHeight="1" x14ac:dyDescent="0.2">
      <c r="A1216" s="1"/>
      <c r="B1216" s="1"/>
      <c r="C1216" s="1"/>
      <c r="D1216" s="7"/>
      <c r="E1216" s="7"/>
      <c r="F1216" s="6"/>
      <c r="G1216" s="7"/>
      <c r="H1216" s="2"/>
      <c r="I1216" s="2"/>
      <c r="J1216" s="2"/>
      <c r="K1216" s="2"/>
      <c r="L1216" s="178"/>
      <c r="M1216" s="2"/>
      <c r="N1216" s="7"/>
      <c r="P1216" s="7"/>
      <c r="R1216" s="2"/>
      <c r="S1216" s="2"/>
      <c r="T1216" s="2"/>
      <c r="U1216" s="2"/>
      <c r="V1216" s="2"/>
      <c r="X1216" s="38"/>
      <c r="Y1216" s="38"/>
      <c r="Z1216" s="38"/>
      <c r="AA1216" s="38"/>
      <c r="AB1216" s="38"/>
      <c r="AD1216" s="2"/>
      <c r="AE1216" s="2"/>
      <c r="AF1216" s="2"/>
      <c r="AG1216" s="2"/>
      <c r="AH1216" s="2"/>
      <c r="AJ1216" s="215"/>
      <c r="AK1216" s="215"/>
      <c r="AL1216" s="215"/>
      <c r="AM1216" s="215"/>
      <c r="AO1216" s="10"/>
      <c r="AP1216" s="10"/>
      <c r="AQ1216" s="10"/>
      <c r="AR1216" s="10"/>
      <c r="AS1216" s="10"/>
      <c r="AU1216" s="2"/>
      <c r="AV1216" s="2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</row>
    <row r="1217" spans="1:73" customFormat="1" ht="12.75" hidden="1" customHeight="1" x14ac:dyDescent="0.2">
      <c r="A1217" s="1"/>
      <c r="B1217" s="1"/>
      <c r="C1217" s="1"/>
      <c r="D1217" s="7"/>
      <c r="E1217" s="7"/>
      <c r="F1217" s="6"/>
      <c r="G1217" s="7"/>
      <c r="H1217" s="2"/>
      <c r="I1217" s="2"/>
      <c r="J1217" s="2"/>
      <c r="K1217" s="2"/>
      <c r="L1217" s="178"/>
      <c r="M1217" s="2"/>
      <c r="N1217" s="7"/>
      <c r="P1217" s="7"/>
      <c r="R1217" s="2"/>
      <c r="S1217" s="2"/>
      <c r="T1217" s="2"/>
      <c r="U1217" s="2"/>
      <c r="V1217" s="2"/>
      <c r="X1217" s="38"/>
      <c r="Y1217" s="38"/>
      <c r="Z1217" s="38"/>
      <c r="AA1217" s="38"/>
      <c r="AB1217" s="38"/>
      <c r="AD1217" s="2"/>
      <c r="AE1217" s="2"/>
      <c r="AF1217" s="2"/>
      <c r="AG1217" s="2"/>
      <c r="AH1217" s="2"/>
      <c r="AJ1217" s="215"/>
      <c r="AK1217" s="215"/>
      <c r="AL1217" s="215"/>
      <c r="AM1217" s="215"/>
      <c r="AO1217" s="10"/>
      <c r="AP1217" s="10"/>
      <c r="AQ1217" s="10"/>
      <c r="AR1217" s="10"/>
      <c r="AS1217" s="10"/>
      <c r="AU1217" s="2"/>
      <c r="AV1217" s="2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</row>
    <row r="1218" spans="1:73" customFormat="1" ht="12.75" hidden="1" customHeight="1" x14ac:dyDescent="0.2">
      <c r="A1218" s="1"/>
      <c r="B1218" s="1"/>
      <c r="C1218" s="1"/>
      <c r="D1218" s="7"/>
      <c r="E1218" s="7"/>
      <c r="F1218" s="6"/>
      <c r="G1218" s="7"/>
      <c r="H1218" s="2"/>
      <c r="I1218" s="2"/>
      <c r="J1218" s="2"/>
      <c r="K1218" s="2"/>
      <c r="L1218" s="178"/>
      <c r="M1218" s="2"/>
      <c r="N1218" s="7"/>
      <c r="P1218" s="7"/>
      <c r="R1218" s="2"/>
      <c r="S1218" s="2"/>
      <c r="T1218" s="2"/>
      <c r="U1218" s="2"/>
      <c r="V1218" s="2"/>
      <c r="X1218" s="38"/>
      <c r="Y1218" s="38"/>
      <c r="Z1218" s="38"/>
      <c r="AA1218" s="38"/>
      <c r="AB1218" s="38"/>
      <c r="AD1218" s="2"/>
      <c r="AE1218" s="2"/>
      <c r="AF1218" s="2"/>
      <c r="AG1218" s="2"/>
      <c r="AH1218" s="2"/>
      <c r="AJ1218" s="215"/>
      <c r="AK1218" s="215"/>
      <c r="AL1218" s="215"/>
      <c r="AM1218" s="215"/>
      <c r="AO1218" s="10"/>
      <c r="AP1218" s="10"/>
      <c r="AQ1218" s="10"/>
      <c r="AR1218" s="10"/>
      <c r="AS1218" s="10"/>
      <c r="AU1218" s="2"/>
      <c r="AV1218" s="2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</row>
    <row r="1219" spans="1:73" customFormat="1" ht="12.75" hidden="1" customHeight="1" x14ac:dyDescent="0.2">
      <c r="A1219" s="1"/>
      <c r="B1219" s="1"/>
      <c r="C1219" s="1"/>
      <c r="D1219" s="7"/>
      <c r="E1219" s="7"/>
      <c r="F1219" s="6"/>
      <c r="G1219" s="7"/>
      <c r="H1219" s="2"/>
      <c r="I1219" s="2"/>
      <c r="J1219" s="2"/>
      <c r="K1219" s="2"/>
      <c r="L1219" s="178"/>
      <c r="M1219" s="2"/>
      <c r="N1219" s="7"/>
      <c r="P1219" s="7"/>
      <c r="R1219" s="2"/>
      <c r="S1219" s="2"/>
      <c r="T1219" s="2"/>
      <c r="U1219" s="2"/>
      <c r="V1219" s="2"/>
      <c r="X1219" s="38"/>
      <c r="Y1219" s="38"/>
      <c r="Z1219" s="38"/>
      <c r="AA1219" s="38"/>
      <c r="AB1219" s="38"/>
      <c r="AD1219" s="2"/>
      <c r="AE1219" s="2"/>
      <c r="AF1219" s="2"/>
      <c r="AG1219" s="2"/>
      <c r="AH1219" s="2"/>
      <c r="AJ1219" s="215"/>
      <c r="AK1219" s="215"/>
      <c r="AL1219" s="215"/>
      <c r="AM1219" s="215"/>
      <c r="AO1219" s="10"/>
      <c r="AP1219" s="10"/>
      <c r="AQ1219" s="10"/>
      <c r="AR1219" s="10"/>
      <c r="AS1219" s="10"/>
      <c r="AU1219" s="2"/>
      <c r="AV1219" s="2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</row>
    <row r="1220" spans="1:73" customFormat="1" ht="12.75" hidden="1" customHeight="1" x14ac:dyDescent="0.2">
      <c r="A1220" s="1"/>
      <c r="B1220" s="1"/>
      <c r="C1220" s="1"/>
      <c r="D1220" s="7"/>
      <c r="E1220" s="7"/>
      <c r="F1220" s="6"/>
      <c r="G1220" s="7"/>
      <c r="H1220" s="2"/>
      <c r="I1220" s="2"/>
      <c r="J1220" s="2"/>
      <c r="K1220" s="2"/>
      <c r="L1220" s="178"/>
      <c r="M1220" s="2"/>
      <c r="N1220" s="7"/>
      <c r="P1220" s="7"/>
      <c r="R1220" s="2"/>
      <c r="S1220" s="2"/>
      <c r="T1220" s="2"/>
      <c r="U1220" s="2"/>
      <c r="V1220" s="2"/>
      <c r="X1220" s="38"/>
      <c r="Y1220" s="38"/>
      <c r="Z1220" s="38"/>
      <c r="AA1220" s="38"/>
      <c r="AB1220" s="38"/>
      <c r="AD1220" s="2"/>
      <c r="AE1220" s="2"/>
      <c r="AF1220" s="2"/>
      <c r="AG1220" s="2"/>
      <c r="AH1220" s="2"/>
      <c r="AJ1220" s="215"/>
      <c r="AK1220" s="215"/>
      <c r="AL1220" s="215"/>
      <c r="AM1220" s="215"/>
      <c r="AO1220" s="10"/>
      <c r="AP1220" s="10"/>
      <c r="AQ1220" s="10"/>
      <c r="AR1220" s="10"/>
      <c r="AS1220" s="10"/>
      <c r="AU1220" s="2"/>
      <c r="AV1220" s="2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</row>
    <row r="1221" spans="1:73" customFormat="1" ht="12.75" hidden="1" customHeight="1" x14ac:dyDescent="0.2">
      <c r="A1221" s="1"/>
      <c r="B1221" s="1"/>
      <c r="C1221" s="1"/>
      <c r="D1221" s="7"/>
      <c r="E1221" s="7"/>
      <c r="F1221" s="6"/>
      <c r="G1221" s="7"/>
      <c r="H1221" s="2"/>
      <c r="I1221" s="2"/>
      <c r="J1221" s="2"/>
      <c r="K1221" s="2"/>
      <c r="L1221" s="178"/>
      <c r="M1221" s="2"/>
      <c r="N1221" s="7"/>
      <c r="P1221" s="7"/>
      <c r="R1221" s="2"/>
      <c r="S1221" s="2"/>
      <c r="T1221" s="2"/>
      <c r="U1221" s="2"/>
      <c r="V1221" s="2"/>
      <c r="X1221" s="38"/>
      <c r="Y1221" s="38"/>
      <c r="Z1221" s="38"/>
      <c r="AA1221" s="38"/>
      <c r="AB1221" s="38"/>
      <c r="AD1221" s="2"/>
      <c r="AE1221" s="2"/>
      <c r="AF1221" s="2"/>
      <c r="AG1221" s="2"/>
      <c r="AH1221" s="2"/>
      <c r="AJ1221" s="215"/>
      <c r="AK1221" s="215"/>
      <c r="AL1221" s="215"/>
      <c r="AM1221" s="215"/>
      <c r="AO1221" s="10"/>
      <c r="AP1221" s="10"/>
      <c r="AQ1221" s="10"/>
      <c r="AR1221" s="10"/>
      <c r="AS1221" s="10"/>
      <c r="AU1221" s="2"/>
      <c r="AV1221" s="2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</row>
    <row r="1222" spans="1:73" customFormat="1" ht="12.75" hidden="1" customHeight="1" x14ac:dyDescent="0.2">
      <c r="A1222" s="1"/>
      <c r="B1222" s="1"/>
      <c r="C1222" s="1"/>
      <c r="D1222" s="7"/>
      <c r="E1222" s="7"/>
      <c r="F1222" s="6"/>
      <c r="G1222" s="7"/>
      <c r="H1222" s="2"/>
      <c r="I1222" s="2"/>
      <c r="J1222" s="2"/>
      <c r="K1222" s="2"/>
      <c r="L1222" s="178"/>
      <c r="M1222" s="2"/>
      <c r="N1222" s="7"/>
      <c r="P1222" s="7"/>
      <c r="R1222" s="2"/>
      <c r="S1222" s="2"/>
      <c r="T1222" s="2"/>
      <c r="U1222" s="2"/>
      <c r="V1222" s="2"/>
      <c r="X1222" s="38"/>
      <c r="Y1222" s="38"/>
      <c r="Z1222" s="38"/>
      <c r="AA1222" s="38"/>
      <c r="AB1222" s="38"/>
      <c r="AD1222" s="2"/>
      <c r="AE1222" s="2"/>
      <c r="AF1222" s="2"/>
      <c r="AG1222" s="2"/>
      <c r="AH1222" s="2"/>
      <c r="AJ1222" s="215"/>
      <c r="AK1222" s="215"/>
      <c r="AL1222" s="215"/>
      <c r="AM1222" s="215"/>
      <c r="AO1222" s="10"/>
      <c r="AP1222" s="10"/>
      <c r="AQ1222" s="10"/>
      <c r="AR1222" s="10"/>
      <c r="AS1222" s="10"/>
      <c r="AU1222" s="2"/>
      <c r="AV1222" s="2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</row>
    <row r="1223" spans="1:73" customFormat="1" ht="12.75" hidden="1" customHeight="1" x14ac:dyDescent="0.2">
      <c r="A1223" s="1"/>
      <c r="B1223" s="1"/>
      <c r="C1223" s="1"/>
      <c r="D1223" s="7"/>
      <c r="E1223" s="7"/>
      <c r="F1223" s="6"/>
      <c r="G1223" s="7"/>
      <c r="H1223" s="2"/>
      <c r="I1223" s="2"/>
      <c r="J1223" s="2"/>
      <c r="K1223" s="2"/>
      <c r="L1223" s="178"/>
      <c r="M1223" s="2"/>
      <c r="N1223" s="7"/>
      <c r="P1223" s="7"/>
      <c r="R1223" s="2"/>
      <c r="S1223" s="2"/>
      <c r="T1223" s="2"/>
      <c r="U1223" s="2"/>
      <c r="V1223" s="2"/>
      <c r="X1223" s="38"/>
      <c r="Y1223" s="38"/>
      <c r="Z1223" s="38"/>
      <c r="AA1223" s="38"/>
      <c r="AB1223" s="38"/>
      <c r="AD1223" s="2"/>
      <c r="AE1223" s="2"/>
      <c r="AF1223" s="2"/>
      <c r="AG1223" s="2"/>
      <c r="AH1223" s="2"/>
      <c r="AJ1223" s="215"/>
      <c r="AK1223" s="215"/>
      <c r="AL1223" s="215"/>
      <c r="AM1223" s="215"/>
      <c r="AO1223" s="10"/>
      <c r="AP1223" s="10"/>
      <c r="AQ1223" s="10"/>
      <c r="AR1223" s="10"/>
      <c r="AS1223" s="10"/>
      <c r="AU1223" s="2"/>
      <c r="AV1223" s="2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</row>
    <row r="1224" spans="1:73" customFormat="1" ht="12.75" hidden="1" customHeight="1" x14ac:dyDescent="0.2">
      <c r="A1224" s="1"/>
      <c r="B1224" s="1"/>
      <c r="C1224" s="1"/>
      <c r="D1224" s="7"/>
      <c r="E1224" s="7"/>
      <c r="F1224" s="6"/>
      <c r="G1224" s="7"/>
      <c r="H1224" s="2"/>
      <c r="I1224" s="2"/>
      <c r="J1224" s="2"/>
      <c r="K1224" s="2"/>
      <c r="L1224" s="178"/>
      <c r="M1224" s="2"/>
      <c r="N1224" s="7"/>
      <c r="P1224" s="7"/>
      <c r="R1224" s="2"/>
      <c r="S1224" s="2"/>
      <c r="T1224" s="2"/>
      <c r="U1224" s="2"/>
      <c r="V1224" s="2"/>
      <c r="X1224" s="38"/>
      <c r="Y1224" s="38"/>
      <c r="Z1224" s="38"/>
      <c r="AA1224" s="38"/>
      <c r="AB1224" s="38"/>
      <c r="AD1224" s="2"/>
      <c r="AE1224" s="2"/>
      <c r="AF1224" s="2"/>
      <c r="AG1224" s="2"/>
      <c r="AH1224" s="2"/>
      <c r="AJ1224" s="215"/>
      <c r="AK1224" s="215"/>
      <c r="AL1224" s="215"/>
      <c r="AM1224" s="215"/>
      <c r="AO1224" s="10"/>
      <c r="AP1224" s="10"/>
      <c r="AQ1224" s="10"/>
      <c r="AR1224" s="10"/>
      <c r="AS1224" s="10"/>
      <c r="AU1224" s="2"/>
      <c r="AV1224" s="2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</row>
    <row r="1225" spans="1:73" customFormat="1" ht="12.75" hidden="1" customHeight="1" x14ac:dyDescent="0.2">
      <c r="A1225" s="1"/>
      <c r="B1225" s="1"/>
      <c r="C1225" s="1"/>
      <c r="D1225" s="7"/>
      <c r="E1225" s="7"/>
      <c r="F1225" s="6"/>
      <c r="G1225" s="7"/>
      <c r="H1225" s="2"/>
      <c r="I1225" s="2"/>
      <c r="J1225" s="2"/>
      <c r="K1225" s="2"/>
      <c r="L1225" s="178"/>
      <c r="M1225" s="2"/>
      <c r="N1225" s="7"/>
      <c r="P1225" s="7"/>
      <c r="R1225" s="2"/>
      <c r="S1225" s="2"/>
      <c r="T1225" s="2"/>
      <c r="U1225" s="2"/>
      <c r="V1225" s="2"/>
      <c r="X1225" s="38"/>
      <c r="Y1225" s="38"/>
      <c r="Z1225" s="38"/>
      <c r="AA1225" s="38"/>
      <c r="AB1225" s="38"/>
      <c r="AD1225" s="2"/>
      <c r="AE1225" s="2"/>
      <c r="AF1225" s="2"/>
      <c r="AG1225" s="2"/>
      <c r="AH1225" s="2"/>
      <c r="AJ1225" s="215"/>
      <c r="AK1225" s="215"/>
      <c r="AL1225" s="215"/>
      <c r="AM1225" s="215"/>
      <c r="AO1225" s="10"/>
      <c r="AP1225" s="10"/>
      <c r="AQ1225" s="10"/>
      <c r="AR1225" s="10"/>
      <c r="AS1225" s="10"/>
      <c r="AU1225" s="2"/>
      <c r="AV1225" s="2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</row>
    <row r="1226" spans="1:73" customFormat="1" ht="12.75" hidden="1" customHeight="1" x14ac:dyDescent="0.2">
      <c r="A1226" s="1"/>
      <c r="B1226" s="1"/>
      <c r="C1226" s="1"/>
      <c r="D1226" s="7"/>
      <c r="E1226" s="7"/>
      <c r="F1226" s="6"/>
      <c r="G1226" s="7"/>
      <c r="H1226" s="2"/>
      <c r="I1226" s="2"/>
      <c r="J1226" s="2"/>
      <c r="K1226" s="2"/>
      <c r="L1226" s="178"/>
      <c r="M1226" s="2"/>
      <c r="N1226" s="7"/>
      <c r="P1226" s="7"/>
      <c r="R1226" s="2"/>
      <c r="S1226" s="2"/>
      <c r="T1226" s="2"/>
      <c r="U1226" s="2"/>
      <c r="V1226" s="2"/>
      <c r="X1226" s="38"/>
      <c r="Y1226" s="38"/>
      <c r="Z1226" s="38"/>
      <c r="AA1226" s="38"/>
      <c r="AB1226" s="38"/>
      <c r="AD1226" s="2"/>
      <c r="AE1226" s="2"/>
      <c r="AF1226" s="2"/>
      <c r="AG1226" s="2"/>
      <c r="AH1226" s="2"/>
      <c r="AJ1226" s="215"/>
      <c r="AK1226" s="215"/>
      <c r="AL1226" s="215"/>
      <c r="AM1226" s="215"/>
      <c r="AO1226" s="10"/>
      <c r="AP1226" s="10"/>
      <c r="AQ1226" s="10"/>
      <c r="AR1226" s="10"/>
      <c r="AS1226" s="10"/>
      <c r="AU1226" s="2"/>
      <c r="AV1226" s="2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</row>
    <row r="1227" spans="1:73" customFormat="1" ht="12.75" hidden="1" customHeight="1" x14ac:dyDescent="0.2">
      <c r="A1227" s="1"/>
      <c r="B1227" s="1"/>
      <c r="C1227" s="1"/>
      <c r="D1227" s="7"/>
      <c r="E1227" s="7"/>
      <c r="F1227" s="6"/>
      <c r="G1227" s="7"/>
      <c r="H1227" s="2"/>
      <c r="I1227" s="2"/>
      <c r="J1227" s="2"/>
      <c r="K1227" s="2"/>
      <c r="L1227" s="178"/>
      <c r="M1227" s="2"/>
      <c r="N1227" s="7"/>
      <c r="P1227" s="7"/>
      <c r="R1227" s="2"/>
      <c r="S1227" s="2"/>
      <c r="T1227" s="2"/>
      <c r="U1227" s="2"/>
      <c r="V1227" s="2"/>
      <c r="X1227" s="38"/>
      <c r="Y1227" s="38"/>
      <c r="Z1227" s="38"/>
      <c r="AA1227" s="38"/>
      <c r="AB1227" s="38"/>
      <c r="AD1227" s="2"/>
      <c r="AE1227" s="2"/>
      <c r="AF1227" s="2"/>
      <c r="AG1227" s="2"/>
      <c r="AH1227" s="2"/>
      <c r="AJ1227" s="215"/>
      <c r="AK1227" s="215"/>
      <c r="AL1227" s="215"/>
      <c r="AM1227" s="215"/>
      <c r="AO1227" s="10"/>
      <c r="AP1227" s="10"/>
      <c r="AQ1227" s="10"/>
      <c r="AR1227" s="10"/>
      <c r="AS1227" s="10"/>
      <c r="AU1227" s="2"/>
      <c r="AV1227" s="2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</row>
    <row r="1228" spans="1:73" customFormat="1" ht="12.75" hidden="1" customHeight="1" x14ac:dyDescent="0.2">
      <c r="A1228" s="1"/>
      <c r="B1228" s="1"/>
      <c r="C1228" s="1"/>
      <c r="D1228" s="7"/>
      <c r="E1228" s="7"/>
      <c r="F1228" s="6"/>
      <c r="G1228" s="7"/>
      <c r="H1228" s="2"/>
      <c r="I1228" s="2"/>
      <c r="J1228" s="2"/>
      <c r="K1228" s="2"/>
      <c r="L1228" s="178"/>
      <c r="M1228" s="2"/>
      <c r="N1228" s="7"/>
      <c r="P1228" s="7"/>
      <c r="R1228" s="2"/>
      <c r="S1228" s="2"/>
      <c r="T1228" s="2"/>
      <c r="U1228" s="2"/>
      <c r="V1228" s="2"/>
      <c r="X1228" s="38"/>
      <c r="Y1228" s="38"/>
      <c r="Z1228" s="38"/>
      <c r="AA1228" s="38"/>
      <c r="AB1228" s="38"/>
      <c r="AD1228" s="2"/>
      <c r="AE1228" s="2"/>
      <c r="AF1228" s="2"/>
      <c r="AG1228" s="2"/>
      <c r="AH1228" s="2"/>
      <c r="AJ1228" s="215"/>
      <c r="AK1228" s="215"/>
      <c r="AL1228" s="215"/>
      <c r="AM1228" s="215"/>
      <c r="AO1228" s="10"/>
      <c r="AP1228" s="10"/>
      <c r="AQ1228" s="10"/>
      <c r="AR1228" s="10"/>
      <c r="AS1228" s="10"/>
      <c r="AU1228" s="2"/>
      <c r="AV1228" s="2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</row>
    <row r="1229" spans="1:73" customFormat="1" ht="12.75" hidden="1" customHeight="1" x14ac:dyDescent="0.2">
      <c r="A1229" s="1"/>
      <c r="B1229" s="1"/>
      <c r="C1229" s="1"/>
      <c r="D1229" s="7"/>
      <c r="E1229" s="7"/>
      <c r="F1229" s="6"/>
      <c r="G1229" s="7"/>
      <c r="H1229" s="2"/>
      <c r="I1229" s="2"/>
      <c r="J1229" s="2"/>
      <c r="K1229" s="2"/>
      <c r="L1229" s="178"/>
      <c r="M1229" s="2"/>
      <c r="N1229" s="7"/>
      <c r="P1229" s="7"/>
      <c r="R1229" s="2"/>
      <c r="S1229" s="2"/>
      <c r="T1229" s="2"/>
      <c r="U1229" s="2"/>
      <c r="V1229" s="2"/>
      <c r="X1229" s="38"/>
      <c r="Y1229" s="38"/>
      <c r="Z1229" s="38"/>
      <c r="AA1229" s="38"/>
      <c r="AB1229" s="38"/>
      <c r="AD1229" s="2"/>
      <c r="AE1229" s="2"/>
      <c r="AF1229" s="2"/>
      <c r="AG1229" s="2"/>
      <c r="AH1229" s="2"/>
      <c r="AJ1229" s="215"/>
      <c r="AK1229" s="215"/>
      <c r="AL1229" s="215"/>
      <c r="AM1229" s="215"/>
      <c r="AO1229" s="10"/>
      <c r="AP1229" s="10"/>
      <c r="AQ1229" s="10"/>
      <c r="AR1229" s="10"/>
      <c r="AS1229" s="10"/>
      <c r="AU1229" s="2"/>
      <c r="AV1229" s="2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</row>
    <row r="1230" spans="1:73" customFormat="1" ht="12.75" hidden="1" customHeight="1" x14ac:dyDescent="0.2">
      <c r="A1230" s="1"/>
      <c r="B1230" s="1"/>
      <c r="C1230" s="1"/>
      <c r="D1230" s="7"/>
      <c r="E1230" s="7"/>
      <c r="F1230" s="6"/>
      <c r="G1230" s="7"/>
      <c r="H1230" s="2"/>
      <c r="I1230" s="2"/>
      <c r="J1230" s="2"/>
      <c r="K1230" s="2"/>
      <c r="L1230" s="178"/>
      <c r="M1230" s="2"/>
      <c r="N1230" s="7"/>
      <c r="P1230" s="7"/>
      <c r="R1230" s="2"/>
      <c r="S1230" s="2"/>
      <c r="T1230" s="2"/>
      <c r="U1230" s="2"/>
      <c r="V1230" s="2"/>
      <c r="X1230" s="38"/>
      <c r="Y1230" s="38"/>
      <c r="Z1230" s="38"/>
      <c r="AA1230" s="38"/>
      <c r="AB1230" s="38"/>
      <c r="AD1230" s="2"/>
      <c r="AE1230" s="2"/>
      <c r="AF1230" s="2"/>
      <c r="AG1230" s="2"/>
      <c r="AH1230" s="2"/>
      <c r="AJ1230" s="215"/>
      <c r="AK1230" s="215"/>
      <c r="AL1230" s="215"/>
      <c r="AM1230" s="215"/>
      <c r="AO1230" s="10"/>
      <c r="AP1230" s="10"/>
      <c r="AQ1230" s="10"/>
      <c r="AR1230" s="10"/>
      <c r="AS1230" s="10"/>
      <c r="AU1230" s="2"/>
      <c r="AV1230" s="2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</row>
    <row r="1231" spans="1:73" customFormat="1" ht="12.75" hidden="1" customHeight="1" x14ac:dyDescent="0.2">
      <c r="A1231" s="1"/>
      <c r="B1231" s="1"/>
      <c r="C1231" s="1"/>
      <c r="D1231" s="7"/>
      <c r="E1231" s="7"/>
      <c r="F1231" s="6"/>
      <c r="G1231" s="7"/>
      <c r="H1231" s="2"/>
      <c r="I1231" s="2"/>
      <c r="J1231" s="2"/>
      <c r="K1231" s="2"/>
      <c r="L1231" s="178"/>
      <c r="M1231" s="2"/>
      <c r="N1231" s="7"/>
      <c r="P1231" s="7"/>
      <c r="R1231" s="2"/>
      <c r="S1231" s="2"/>
      <c r="T1231" s="2"/>
      <c r="U1231" s="2"/>
      <c r="V1231" s="2"/>
      <c r="X1231" s="38"/>
      <c r="Y1231" s="38"/>
      <c r="Z1231" s="38"/>
      <c r="AA1231" s="38"/>
      <c r="AB1231" s="38"/>
      <c r="AD1231" s="2"/>
      <c r="AE1231" s="2"/>
      <c r="AF1231" s="2"/>
      <c r="AG1231" s="2"/>
      <c r="AH1231" s="2"/>
      <c r="AJ1231" s="215"/>
      <c r="AK1231" s="215"/>
      <c r="AL1231" s="215"/>
      <c r="AM1231" s="215"/>
      <c r="AO1231" s="10"/>
      <c r="AP1231" s="10"/>
      <c r="AQ1231" s="10"/>
      <c r="AR1231" s="10"/>
      <c r="AS1231" s="10"/>
      <c r="AU1231" s="2"/>
      <c r="AV1231" s="2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</row>
    <row r="1232" spans="1:73" customFormat="1" ht="12.75" hidden="1" customHeight="1" x14ac:dyDescent="0.2">
      <c r="A1232" s="1"/>
      <c r="B1232" s="1"/>
      <c r="C1232" s="1"/>
      <c r="D1232" s="7"/>
      <c r="E1232" s="7"/>
      <c r="F1232" s="6"/>
      <c r="G1232" s="7"/>
      <c r="H1232" s="2"/>
      <c r="I1232" s="2"/>
      <c r="J1232" s="2"/>
      <c r="K1232" s="2"/>
      <c r="L1232" s="178"/>
      <c r="M1232" s="2"/>
      <c r="N1232" s="7"/>
      <c r="P1232" s="7"/>
      <c r="R1232" s="2"/>
      <c r="S1232" s="2"/>
      <c r="T1232" s="2"/>
      <c r="U1232" s="2"/>
      <c r="V1232" s="2"/>
      <c r="X1232" s="38"/>
      <c r="Y1232" s="38"/>
      <c r="Z1232" s="38"/>
      <c r="AA1232" s="38"/>
      <c r="AB1232" s="38"/>
      <c r="AD1232" s="2"/>
      <c r="AE1232" s="2"/>
      <c r="AF1232" s="2"/>
      <c r="AG1232" s="2"/>
      <c r="AH1232" s="2"/>
      <c r="AJ1232" s="215"/>
      <c r="AK1232" s="215"/>
      <c r="AL1232" s="215"/>
      <c r="AM1232" s="215"/>
      <c r="AO1232" s="10"/>
      <c r="AP1232" s="10"/>
      <c r="AQ1232" s="10"/>
      <c r="AR1232" s="10"/>
      <c r="AS1232" s="10"/>
      <c r="AU1232" s="2"/>
      <c r="AV1232" s="2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</row>
    <row r="1233" spans="1:73" customFormat="1" ht="12.75" hidden="1" customHeight="1" x14ac:dyDescent="0.2">
      <c r="A1233" s="1"/>
      <c r="B1233" s="1"/>
      <c r="C1233" s="1"/>
      <c r="D1233" s="7"/>
      <c r="E1233" s="7"/>
      <c r="F1233" s="6"/>
      <c r="G1233" s="7"/>
      <c r="H1233" s="2"/>
      <c r="I1233" s="2"/>
      <c r="J1233" s="2"/>
      <c r="K1233" s="2"/>
      <c r="L1233" s="178"/>
      <c r="M1233" s="2"/>
      <c r="N1233" s="7"/>
      <c r="P1233" s="7"/>
      <c r="R1233" s="2"/>
      <c r="S1233" s="2"/>
      <c r="T1233" s="2"/>
      <c r="U1233" s="2"/>
      <c r="V1233" s="2"/>
      <c r="X1233" s="38"/>
      <c r="Y1233" s="38"/>
      <c r="Z1233" s="38"/>
      <c r="AA1233" s="38"/>
      <c r="AB1233" s="38"/>
      <c r="AD1233" s="2"/>
      <c r="AE1233" s="2"/>
      <c r="AF1233" s="2"/>
      <c r="AG1233" s="2"/>
      <c r="AH1233" s="2"/>
      <c r="AJ1233" s="215"/>
      <c r="AK1233" s="215"/>
      <c r="AL1233" s="215"/>
      <c r="AM1233" s="215"/>
      <c r="AO1233" s="10"/>
      <c r="AP1233" s="10"/>
      <c r="AQ1233" s="10"/>
      <c r="AR1233" s="10"/>
      <c r="AS1233" s="10"/>
      <c r="AU1233" s="2"/>
      <c r="AV1233" s="2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</row>
    <row r="1234" spans="1:73" customFormat="1" ht="12.75" hidden="1" customHeight="1" x14ac:dyDescent="0.2">
      <c r="A1234" s="1"/>
      <c r="B1234" s="1"/>
      <c r="C1234" s="1"/>
      <c r="D1234" s="7"/>
      <c r="E1234" s="7"/>
      <c r="F1234" s="6"/>
      <c r="G1234" s="7"/>
      <c r="H1234" s="2"/>
      <c r="I1234" s="2"/>
      <c r="J1234" s="2"/>
      <c r="K1234" s="2"/>
      <c r="L1234" s="178"/>
      <c r="M1234" s="2"/>
      <c r="N1234" s="7"/>
      <c r="P1234" s="7"/>
      <c r="R1234" s="2"/>
      <c r="S1234" s="2"/>
      <c r="T1234" s="2"/>
      <c r="U1234" s="2"/>
      <c r="V1234" s="2"/>
      <c r="X1234" s="38"/>
      <c r="Y1234" s="38"/>
      <c r="Z1234" s="38"/>
      <c r="AA1234" s="38"/>
      <c r="AB1234" s="38"/>
      <c r="AD1234" s="2"/>
      <c r="AE1234" s="2"/>
      <c r="AF1234" s="2"/>
      <c r="AG1234" s="2"/>
      <c r="AH1234" s="2"/>
      <c r="AJ1234" s="215"/>
      <c r="AK1234" s="215"/>
      <c r="AL1234" s="215"/>
      <c r="AM1234" s="215"/>
      <c r="AO1234" s="10"/>
      <c r="AP1234" s="10"/>
      <c r="AQ1234" s="10"/>
      <c r="AR1234" s="10"/>
      <c r="AS1234" s="10"/>
      <c r="AU1234" s="2"/>
      <c r="AV1234" s="2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</row>
    <row r="1235" spans="1:73" customFormat="1" ht="12.75" hidden="1" customHeight="1" x14ac:dyDescent="0.2">
      <c r="A1235" s="1"/>
      <c r="B1235" s="1"/>
      <c r="C1235" s="1"/>
      <c r="D1235" s="7"/>
      <c r="E1235" s="7"/>
      <c r="F1235" s="6"/>
      <c r="G1235" s="7"/>
      <c r="H1235" s="2"/>
      <c r="I1235" s="2"/>
      <c r="J1235" s="2"/>
      <c r="K1235" s="2"/>
      <c r="L1235" s="178"/>
      <c r="M1235" s="2"/>
      <c r="N1235" s="7"/>
      <c r="P1235" s="7"/>
      <c r="R1235" s="2"/>
      <c r="S1235" s="2"/>
      <c r="T1235" s="2"/>
      <c r="U1235" s="2"/>
      <c r="V1235" s="2"/>
      <c r="X1235" s="38"/>
      <c r="Y1235" s="38"/>
      <c r="Z1235" s="38"/>
      <c r="AA1235" s="38"/>
      <c r="AB1235" s="38"/>
      <c r="AD1235" s="2"/>
      <c r="AE1235" s="2"/>
      <c r="AF1235" s="2"/>
      <c r="AG1235" s="2"/>
      <c r="AH1235" s="2"/>
      <c r="AJ1235" s="215"/>
      <c r="AK1235" s="215"/>
      <c r="AL1235" s="215"/>
      <c r="AM1235" s="215"/>
      <c r="AO1235" s="10"/>
      <c r="AP1235" s="10"/>
      <c r="AQ1235" s="10"/>
      <c r="AR1235" s="10"/>
      <c r="AS1235" s="10"/>
      <c r="AU1235" s="2"/>
      <c r="AV1235" s="2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</row>
    <row r="1236" spans="1:73" customFormat="1" ht="12.75" hidden="1" customHeight="1" x14ac:dyDescent="0.2">
      <c r="A1236" s="1"/>
      <c r="B1236" s="1"/>
      <c r="C1236" s="1"/>
      <c r="D1236" s="7"/>
      <c r="E1236" s="7"/>
      <c r="F1236" s="6"/>
      <c r="G1236" s="7"/>
      <c r="H1236" s="2"/>
      <c r="I1236" s="2"/>
      <c r="J1236" s="2"/>
      <c r="K1236" s="2"/>
      <c r="L1236" s="178"/>
      <c r="M1236" s="2"/>
      <c r="N1236" s="7"/>
      <c r="P1236" s="7"/>
      <c r="R1236" s="2"/>
      <c r="S1236" s="2"/>
      <c r="T1236" s="2"/>
      <c r="U1236" s="2"/>
      <c r="V1236" s="2"/>
      <c r="X1236" s="38"/>
      <c r="Y1236" s="38"/>
      <c r="Z1236" s="38"/>
      <c r="AA1236" s="38"/>
      <c r="AB1236" s="38"/>
      <c r="AD1236" s="2"/>
      <c r="AE1236" s="2"/>
      <c r="AF1236" s="2"/>
      <c r="AG1236" s="2"/>
      <c r="AH1236" s="2"/>
      <c r="AJ1236" s="215"/>
      <c r="AK1236" s="215"/>
      <c r="AL1236" s="215"/>
      <c r="AM1236" s="215"/>
      <c r="AO1236" s="10"/>
      <c r="AP1236" s="10"/>
      <c r="AQ1236" s="10"/>
      <c r="AR1236" s="10"/>
      <c r="AS1236" s="10"/>
      <c r="AU1236" s="2"/>
      <c r="AV1236" s="2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</row>
    <row r="1237" spans="1:73" customFormat="1" ht="12.75" hidden="1" customHeight="1" x14ac:dyDescent="0.2">
      <c r="A1237" s="1"/>
      <c r="B1237" s="1"/>
      <c r="C1237" s="1"/>
      <c r="D1237" s="7"/>
      <c r="E1237" s="7"/>
      <c r="F1237" s="6"/>
      <c r="G1237" s="7"/>
      <c r="H1237" s="2"/>
      <c r="I1237" s="2"/>
      <c r="J1237" s="2"/>
      <c r="K1237" s="2"/>
      <c r="L1237" s="178"/>
      <c r="M1237" s="2"/>
      <c r="N1237" s="7"/>
      <c r="P1237" s="7"/>
      <c r="R1237" s="2"/>
      <c r="S1237" s="2"/>
      <c r="T1237" s="2"/>
      <c r="U1237" s="2"/>
      <c r="V1237" s="2"/>
      <c r="X1237" s="38"/>
      <c r="Y1237" s="38"/>
      <c r="Z1237" s="38"/>
      <c r="AA1237" s="38"/>
      <c r="AB1237" s="38"/>
      <c r="AD1237" s="2"/>
      <c r="AE1237" s="2"/>
      <c r="AF1237" s="2"/>
      <c r="AG1237" s="2"/>
      <c r="AH1237" s="2"/>
      <c r="AJ1237" s="215"/>
      <c r="AK1237" s="215"/>
      <c r="AL1237" s="215"/>
      <c r="AM1237" s="215"/>
      <c r="AO1237" s="10"/>
      <c r="AP1237" s="10"/>
      <c r="AQ1237" s="10"/>
      <c r="AR1237" s="10"/>
      <c r="AS1237" s="10"/>
      <c r="AU1237" s="2"/>
      <c r="AV1237" s="2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</row>
    <row r="1238" spans="1:73" customFormat="1" ht="12.75" hidden="1" customHeight="1" x14ac:dyDescent="0.2">
      <c r="A1238" s="1"/>
      <c r="B1238" s="1"/>
      <c r="C1238" s="1"/>
      <c r="D1238" s="7"/>
      <c r="E1238" s="7"/>
      <c r="F1238" s="6"/>
      <c r="G1238" s="7"/>
      <c r="H1238" s="2"/>
      <c r="I1238" s="2"/>
      <c r="J1238" s="2"/>
      <c r="K1238" s="2"/>
      <c r="L1238" s="178"/>
      <c r="M1238" s="2"/>
      <c r="N1238" s="7"/>
      <c r="P1238" s="7"/>
      <c r="R1238" s="2"/>
      <c r="S1238" s="2"/>
      <c r="T1238" s="2"/>
      <c r="U1238" s="2"/>
      <c r="V1238" s="2"/>
      <c r="X1238" s="38"/>
      <c r="Y1238" s="38"/>
      <c r="Z1238" s="38"/>
      <c r="AA1238" s="38"/>
      <c r="AB1238" s="38"/>
      <c r="AD1238" s="2"/>
      <c r="AE1238" s="2"/>
      <c r="AF1238" s="2"/>
      <c r="AG1238" s="2"/>
      <c r="AH1238" s="2"/>
      <c r="AJ1238" s="215"/>
      <c r="AK1238" s="215"/>
      <c r="AL1238" s="215"/>
      <c r="AM1238" s="215"/>
      <c r="AO1238" s="10"/>
      <c r="AP1238" s="10"/>
      <c r="AQ1238" s="10"/>
      <c r="AR1238" s="10"/>
      <c r="AS1238" s="10"/>
      <c r="AU1238" s="2"/>
      <c r="AV1238" s="2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</row>
    <row r="1239" spans="1:73" customFormat="1" ht="12.75" hidden="1" customHeight="1" x14ac:dyDescent="0.2">
      <c r="A1239" s="1"/>
      <c r="B1239" s="1"/>
      <c r="C1239" s="1"/>
      <c r="D1239" s="7"/>
      <c r="E1239" s="7"/>
      <c r="F1239" s="6"/>
      <c r="G1239" s="7"/>
      <c r="H1239" s="2"/>
      <c r="I1239" s="2"/>
      <c r="J1239" s="2"/>
      <c r="K1239" s="2"/>
      <c r="L1239" s="178"/>
      <c r="M1239" s="2"/>
      <c r="N1239" s="7"/>
      <c r="P1239" s="7"/>
      <c r="R1239" s="2"/>
      <c r="S1239" s="2"/>
      <c r="T1239" s="2"/>
      <c r="U1239" s="2"/>
      <c r="V1239" s="2"/>
      <c r="X1239" s="38"/>
      <c r="Y1239" s="38"/>
      <c r="Z1239" s="38"/>
      <c r="AA1239" s="38"/>
      <c r="AB1239" s="38"/>
      <c r="AD1239" s="2"/>
      <c r="AE1239" s="2"/>
      <c r="AF1239" s="2"/>
      <c r="AG1239" s="2"/>
      <c r="AH1239" s="2"/>
      <c r="AJ1239" s="215"/>
      <c r="AK1239" s="215"/>
      <c r="AL1239" s="215"/>
      <c r="AM1239" s="215"/>
      <c r="AO1239" s="10"/>
      <c r="AP1239" s="10"/>
      <c r="AQ1239" s="10"/>
      <c r="AR1239" s="10"/>
      <c r="AS1239" s="10"/>
      <c r="AU1239" s="2"/>
      <c r="AV1239" s="2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</row>
    <row r="1240" spans="1:73" customFormat="1" ht="12.75" hidden="1" customHeight="1" x14ac:dyDescent="0.2">
      <c r="A1240" s="1"/>
      <c r="B1240" s="1"/>
      <c r="C1240" s="1"/>
      <c r="D1240" s="7"/>
      <c r="E1240" s="7"/>
      <c r="F1240" s="6"/>
      <c r="G1240" s="7"/>
      <c r="H1240" s="2"/>
      <c r="I1240" s="2"/>
      <c r="J1240" s="2"/>
      <c r="K1240" s="2"/>
      <c r="L1240" s="178"/>
      <c r="M1240" s="2"/>
      <c r="N1240" s="7"/>
      <c r="P1240" s="7"/>
      <c r="R1240" s="2"/>
      <c r="S1240" s="2"/>
      <c r="T1240" s="2"/>
      <c r="U1240" s="2"/>
      <c r="V1240" s="2"/>
      <c r="X1240" s="38"/>
      <c r="Y1240" s="38"/>
      <c r="Z1240" s="38"/>
      <c r="AA1240" s="38"/>
      <c r="AB1240" s="38"/>
      <c r="AD1240" s="2"/>
      <c r="AE1240" s="2"/>
      <c r="AF1240" s="2"/>
      <c r="AG1240" s="2"/>
      <c r="AH1240" s="2"/>
      <c r="AJ1240" s="215"/>
      <c r="AK1240" s="215"/>
      <c r="AL1240" s="215"/>
      <c r="AM1240" s="215"/>
      <c r="AO1240" s="10"/>
      <c r="AP1240" s="10"/>
      <c r="AQ1240" s="10"/>
      <c r="AR1240" s="10"/>
      <c r="AS1240" s="10"/>
      <c r="AU1240" s="2"/>
      <c r="AV1240" s="2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</row>
    <row r="1241" spans="1:73" customFormat="1" ht="12.75" hidden="1" customHeight="1" x14ac:dyDescent="0.2">
      <c r="A1241" s="1"/>
      <c r="B1241" s="1"/>
      <c r="C1241" s="1"/>
      <c r="D1241" s="7"/>
      <c r="E1241" s="7"/>
      <c r="F1241" s="6"/>
      <c r="G1241" s="7"/>
      <c r="H1241" s="2"/>
      <c r="I1241" s="2"/>
      <c r="J1241" s="2"/>
      <c r="K1241" s="2"/>
      <c r="L1241" s="178"/>
      <c r="M1241" s="2"/>
      <c r="N1241" s="7"/>
      <c r="P1241" s="7"/>
      <c r="R1241" s="2"/>
      <c r="S1241" s="2"/>
      <c r="T1241" s="2"/>
      <c r="U1241" s="2"/>
      <c r="V1241" s="2"/>
      <c r="X1241" s="38"/>
      <c r="Y1241" s="38"/>
      <c r="Z1241" s="38"/>
      <c r="AA1241" s="38"/>
      <c r="AB1241" s="38"/>
      <c r="AD1241" s="2"/>
      <c r="AE1241" s="2"/>
      <c r="AF1241" s="2"/>
      <c r="AG1241" s="2"/>
      <c r="AH1241" s="2"/>
      <c r="AJ1241" s="215"/>
      <c r="AK1241" s="215"/>
      <c r="AL1241" s="215"/>
      <c r="AM1241" s="215"/>
      <c r="AO1241" s="10"/>
      <c r="AP1241" s="10"/>
      <c r="AQ1241" s="10"/>
      <c r="AR1241" s="10"/>
      <c r="AS1241" s="10"/>
      <c r="AU1241" s="2"/>
      <c r="AV1241" s="2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</row>
    <row r="1242" spans="1:73" customFormat="1" ht="12.75" hidden="1" customHeight="1" x14ac:dyDescent="0.2">
      <c r="A1242" s="1"/>
      <c r="B1242" s="1"/>
      <c r="C1242" s="1"/>
      <c r="D1242" s="7"/>
      <c r="E1242" s="7"/>
      <c r="F1242" s="6"/>
      <c r="G1242" s="7"/>
      <c r="H1242" s="2"/>
      <c r="I1242" s="2"/>
      <c r="J1242" s="2"/>
      <c r="K1242" s="2"/>
      <c r="L1242" s="178"/>
      <c r="M1242" s="2"/>
      <c r="N1242" s="7"/>
      <c r="P1242" s="7"/>
      <c r="R1242" s="2"/>
      <c r="S1242" s="2"/>
      <c r="T1242" s="2"/>
      <c r="U1242" s="2"/>
      <c r="V1242" s="2"/>
      <c r="X1242" s="38"/>
      <c r="Y1242" s="38"/>
      <c r="Z1242" s="38"/>
      <c r="AA1242" s="38"/>
      <c r="AB1242" s="38"/>
      <c r="AD1242" s="2"/>
      <c r="AE1242" s="2"/>
      <c r="AF1242" s="2"/>
      <c r="AG1242" s="2"/>
      <c r="AH1242" s="2"/>
      <c r="AJ1242" s="215"/>
      <c r="AK1242" s="215"/>
      <c r="AL1242" s="215"/>
      <c r="AM1242" s="215"/>
      <c r="AO1242" s="10"/>
      <c r="AP1242" s="10"/>
      <c r="AQ1242" s="10"/>
      <c r="AR1242" s="10"/>
      <c r="AS1242" s="10"/>
      <c r="AU1242" s="2"/>
      <c r="AV1242" s="2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</row>
    <row r="1243" spans="1:73" customFormat="1" ht="12.75" hidden="1" customHeight="1" x14ac:dyDescent="0.2">
      <c r="A1243" s="1"/>
      <c r="B1243" s="1"/>
      <c r="C1243" s="1"/>
      <c r="D1243" s="7"/>
      <c r="E1243" s="7"/>
      <c r="F1243" s="6"/>
      <c r="G1243" s="7"/>
      <c r="H1243" s="2"/>
      <c r="I1243" s="2"/>
      <c r="J1243" s="2"/>
      <c r="K1243" s="2"/>
      <c r="L1243" s="178"/>
      <c r="M1243" s="2"/>
      <c r="N1243" s="7"/>
      <c r="P1243" s="7"/>
      <c r="R1243" s="2"/>
      <c r="S1243" s="2"/>
      <c r="T1243" s="2"/>
      <c r="U1243" s="2"/>
      <c r="V1243" s="2"/>
      <c r="X1243" s="38"/>
      <c r="Y1243" s="38"/>
      <c r="Z1243" s="38"/>
      <c r="AA1243" s="38"/>
      <c r="AB1243" s="38"/>
      <c r="AD1243" s="2"/>
      <c r="AE1243" s="2"/>
      <c r="AF1243" s="2"/>
      <c r="AG1243" s="2"/>
      <c r="AH1243" s="2"/>
      <c r="AJ1243" s="215"/>
      <c r="AK1243" s="215"/>
      <c r="AL1243" s="215"/>
      <c r="AM1243" s="215"/>
      <c r="AO1243" s="10"/>
      <c r="AP1243" s="10"/>
      <c r="AQ1243" s="10"/>
      <c r="AR1243" s="10"/>
      <c r="AS1243" s="10"/>
      <c r="AU1243" s="2"/>
      <c r="AV1243" s="2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</row>
    <row r="1244" spans="1:73" customFormat="1" ht="12.75" hidden="1" customHeight="1" x14ac:dyDescent="0.2">
      <c r="A1244" s="1"/>
      <c r="B1244" s="1"/>
      <c r="C1244" s="1"/>
      <c r="D1244" s="7"/>
      <c r="E1244" s="7"/>
      <c r="F1244" s="6"/>
      <c r="G1244" s="7"/>
      <c r="H1244" s="2"/>
      <c r="I1244" s="2"/>
      <c r="J1244" s="2"/>
      <c r="K1244" s="2"/>
      <c r="L1244" s="178"/>
      <c r="M1244" s="2"/>
      <c r="N1244" s="7"/>
      <c r="P1244" s="7"/>
      <c r="R1244" s="2"/>
      <c r="S1244" s="2"/>
      <c r="T1244" s="2"/>
      <c r="U1244" s="2"/>
      <c r="V1244" s="2"/>
      <c r="X1244" s="38"/>
      <c r="Y1244" s="38"/>
      <c r="Z1244" s="38"/>
      <c r="AA1244" s="38"/>
      <c r="AB1244" s="38"/>
      <c r="AD1244" s="2"/>
      <c r="AE1244" s="2"/>
      <c r="AF1244" s="2"/>
      <c r="AG1244" s="2"/>
      <c r="AH1244" s="2"/>
      <c r="AJ1244" s="215"/>
      <c r="AK1244" s="215"/>
      <c r="AL1244" s="215"/>
      <c r="AM1244" s="215"/>
      <c r="AO1244" s="10"/>
      <c r="AP1244" s="10"/>
      <c r="AQ1244" s="10"/>
      <c r="AR1244" s="10"/>
      <c r="AS1244" s="10"/>
      <c r="AU1244" s="2"/>
      <c r="AV1244" s="2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</row>
    <row r="1245" spans="1:73" customFormat="1" ht="12.75" hidden="1" customHeight="1" x14ac:dyDescent="0.2">
      <c r="A1245" s="1"/>
      <c r="B1245" s="1"/>
      <c r="C1245" s="1"/>
      <c r="D1245" s="7"/>
      <c r="E1245" s="7"/>
      <c r="F1245" s="6"/>
      <c r="G1245" s="7"/>
      <c r="H1245" s="2"/>
      <c r="I1245" s="2"/>
      <c r="J1245" s="2"/>
      <c r="K1245" s="2"/>
      <c r="L1245" s="178"/>
      <c r="M1245" s="2"/>
      <c r="N1245" s="7"/>
      <c r="P1245" s="7"/>
      <c r="R1245" s="2"/>
      <c r="S1245" s="2"/>
      <c r="T1245" s="2"/>
      <c r="U1245" s="2"/>
      <c r="V1245" s="2"/>
      <c r="X1245" s="38"/>
      <c r="Y1245" s="38"/>
      <c r="Z1245" s="38"/>
      <c r="AA1245" s="38"/>
      <c r="AB1245" s="38"/>
      <c r="AD1245" s="2"/>
      <c r="AE1245" s="2"/>
      <c r="AF1245" s="2"/>
      <c r="AG1245" s="2"/>
      <c r="AH1245" s="2"/>
      <c r="AJ1245" s="215"/>
      <c r="AK1245" s="215"/>
      <c r="AL1245" s="215"/>
      <c r="AM1245" s="215"/>
      <c r="AO1245" s="10"/>
      <c r="AP1245" s="10"/>
      <c r="AQ1245" s="10"/>
      <c r="AR1245" s="10"/>
      <c r="AS1245" s="10"/>
      <c r="AU1245" s="2"/>
      <c r="AV1245" s="2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</row>
    <row r="1246" spans="1:73" customFormat="1" ht="12.75" hidden="1" customHeight="1" x14ac:dyDescent="0.2">
      <c r="A1246" s="1"/>
      <c r="B1246" s="1"/>
      <c r="C1246" s="1"/>
      <c r="D1246" s="7"/>
      <c r="E1246" s="7"/>
      <c r="F1246" s="6"/>
      <c r="G1246" s="7"/>
      <c r="H1246" s="2"/>
      <c r="I1246" s="2"/>
      <c r="J1246" s="2"/>
      <c r="K1246" s="2"/>
      <c r="L1246" s="178"/>
      <c r="M1246" s="2"/>
      <c r="N1246" s="7"/>
      <c r="P1246" s="7"/>
      <c r="R1246" s="2"/>
      <c r="S1246" s="2"/>
      <c r="T1246" s="2"/>
      <c r="U1246" s="2"/>
      <c r="V1246" s="2"/>
      <c r="X1246" s="38"/>
      <c r="Y1246" s="38"/>
      <c r="Z1246" s="38"/>
      <c r="AA1246" s="38"/>
      <c r="AB1246" s="38"/>
      <c r="AD1246" s="2"/>
      <c r="AE1246" s="2"/>
      <c r="AF1246" s="2"/>
      <c r="AG1246" s="2"/>
      <c r="AH1246" s="2"/>
      <c r="AJ1246" s="215"/>
      <c r="AK1246" s="215"/>
      <c r="AL1246" s="215"/>
      <c r="AM1246" s="215"/>
      <c r="AO1246" s="10"/>
      <c r="AP1246" s="10"/>
      <c r="AQ1246" s="10"/>
      <c r="AR1246" s="10"/>
      <c r="AS1246" s="10"/>
      <c r="AU1246" s="2"/>
      <c r="AV1246" s="2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</row>
    <row r="1247" spans="1:73" customFormat="1" ht="12.75" hidden="1" customHeight="1" x14ac:dyDescent="0.2">
      <c r="A1247" s="1"/>
      <c r="B1247" s="1"/>
      <c r="C1247" s="1"/>
      <c r="D1247" s="7"/>
      <c r="E1247" s="7"/>
      <c r="F1247" s="6"/>
      <c r="G1247" s="7"/>
      <c r="H1247" s="2"/>
      <c r="I1247" s="2"/>
      <c r="J1247" s="2"/>
      <c r="K1247" s="2"/>
      <c r="L1247" s="178"/>
      <c r="M1247" s="2"/>
      <c r="N1247" s="7"/>
      <c r="P1247" s="7"/>
      <c r="R1247" s="2"/>
      <c r="S1247" s="2"/>
      <c r="T1247" s="2"/>
      <c r="U1247" s="2"/>
      <c r="V1247" s="2"/>
      <c r="X1247" s="38"/>
      <c r="Y1247" s="38"/>
      <c r="Z1247" s="38"/>
      <c r="AA1247" s="38"/>
      <c r="AB1247" s="38"/>
      <c r="AD1247" s="2"/>
      <c r="AE1247" s="2"/>
      <c r="AF1247" s="2"/>
      <c r="AG1247" s="2"/>
      <c r="AH1247" s="2"/>
      <c r="AJ1247" s="215"/>
      <c r="AK1247" s="215"/>
      <c r="AL1247" s="215"/>
      <c r="AM1247" s="215"/>
      <c r="AO1247" s="10"/>
      <c r="AP1247" s="10"/>
      <c r="AQ1247" s="10"/>
      <c r="AR1247" s="10"/>
      <c r="AS1247" s="10"/>
      <c r="AU1247" s="2"/>
      <c r="AV1247" s="2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</row>
    <row r="1248" spans="1:73" customFormat="1" ht="12.75" hidden="1" customHeight="1" x14ac:dyDescent="0.2">
      <c r="A1248" s="1"/>
      <c r="B1248" s="1"/>
      <c r="C1248" s="1"/>
      <c r="D1248" s="7"/>
      <c r="E1248" s="7"/>
      <c r="F1248" s="6"/>
      <c r="G1248" s="7"/>
      <c r="H1248" s="2"/>
      <c r="I1248" s="2"/>
      <c r="J1248" s="2"/>
      <c r="K1248" s="2"/>
      <c r="L1248" s="178"/>
      <c r="M1248" s="2"/>
      <c r="N1248" s="7"/>
      <c r="P1248" s="7"/>
      <c r="R1248" s="2"/>
      <c r="S1248" s="2"/>
      <c r="T1248" s="2"/>
      <c r="U1248" s="2"/>
      <c r="V1248" s="2"/>
      <c r="X1248" s="38"/>
      <c r="Y1248" s="38"/>
      <c r="Z1248" s="38"/>
      <c r="AA1248" s="38"/>
      <c r="AB1248" s="38"/>
      <c r="AD1248" s="2"/>
      <c r="AE1248" s="2"/>
      <c r="AF1248" s="2"/>
      <c r="AG1248" s="2"/>
      <c r="AH1248" s="2"/>
      <c r="AJ1248" s="215"/>
      <c r="AK1248" s="215"/>
      <c r="AL1248" s="215"/>
      <c r="AM1248" s="215"/>
      <c r="AO1248" s="10"/>
      <c r="AP1248" s="10"/>
      <c r="AQ1248" s="10"/>
      <c r="AR1248" s="10"/>
      <c r="AS1248" s="10"/>
      <c r="AU1248" s="2"/>
      <c r="AV1248" s="2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</row>
    <row r="1249" spans="1:73" customFormat="1" ht="12.75" hidden="1" customHeight="1" x14ac:dyDescent="0.2">
      <c r="A1249" s="1"/>
      <c r="B1249" s="1"/>
      <c r="C1249" s="1"/>
      <c r="D1249" s="7"/>
      <c r="E1249" s="7"/>
      <c r="F1249" s="6"/>
      <c r="G1249" s="7"/>
      <c r="H1249" s="2"/>
      <c r="I1249" s="2"/>
      <c r="J1249" s="2"/>
      <c r="K1249" s="2"/>
      <c r="L1249" s="178"/>
      <c r="M1249" s="2"/>
      <c r="N1249" s="7"/>
      <c r="P1249" s="7"/>
      <c r="R1249" s="2"/>
      <c r="S1249" s="2"/>
      <c r="T1249" s="2"/>
      <c r="U1249" s="2"/>
      <c r="V1249" s="2"/>
      <c r="X1249" s="38"/>
      <c r="Y1249" s="38"/>
      <c r="Z1249" s="38"/>
      <c r="AA1249" s="38"/>
      <c r="AB1249" s="38"/>
      <c r="AD1249" s="2"/>
      <c r="AE1249" s="2"/>
      <c r="AF1249" s="2"/>
      <c r="AG1249" s="2"/>
      <c r="AH1249" s="2"/>
      <c r="AJ1249" s="215"/>
      <c r="AK1249" s="215"/>
      <c r="AL1249" s="215"/>
      <c r="AM1249" s="215"/>
      <c r="AO1249" s="10"/>
      <c r="AP1249" s="10"/>
      <c r="AQ1249" s="10"/>
      <c r="AR1249" s="10"/>
      <c r="AS1249" s="10"/>
      <c r="AU1249" s="2"/>
      <c r="AV1249" s="2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</row>
    <row r="1250" spans="1:73" customFormat="1" ht="12.75" hidden="1" customHeight="1" x14ac:dyDescent="0.2">
      <c r="A1250" s="1"/>
      <c r="B1250" s="1"/>
      <c r="C1250" s="1"/>
      <c r="D1250" s="7"/>
      <c r="E1250" s="7"/>
      <c r="F1250" s="6"/>
      <c r="G1250" s="7"/>
      <c r="H1250" s="2"/>
      <c r="I1250" s="2"/>
      <c r="J1250" s="2"/>
      <c r="K1250" s="2"/>
      <c r="L1250" s="178"/>
      <c r="M1250" s="2"/>
      <c r="N1250" s="7"/>
      <c r="P1250" s="7"/>
      <c r="R1250" s="2"/>
      <c r="S1250" s="2"/>
      <c r="T1250" s="2"/>
      <c r="U1250" s="2"/>
      <c r="V1250" s="2"/>
      <c r="X1250" s="38"/>
      <c r="Y1250" s="38"/>
      <c r="Z1250" s="38"/>
      <c r="AA1250" s="38"/>
      <c r="AB1250" s="38"/>
      <c r="AD1250" s="2"/>
      <c r="AE1250" s="2"/>
      <c r="AF1250" s="2"/>
      <c r="AG1250" s="2"/>
      <c r="AH1250" s="2"/>
      <c r="AJ1250" s="215"/>
      <c r="AK1250" s="215"/>
      <c r="AL1250" s="215"/>
      <c r="AM1250" s="215"/>
      <c r="AO1250" s="10"/>
      <c r="AP1250" s="10"/>
      <c r="AQ1250" s="10"/>
      <c r="AR1250" s="10"/>
      <c r="AS1250" s="10"/>
      <c r="AU1250" s="2"/>
      <c r="AV1250" s="2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</row>
    <row r="1251" spans="1:73" customFormat="1" ht="12.75" hidden="1" customHeight="1" x14ac:dyDescent="0.2">
      <c r="A1251" s="1"/>
      <c r="B1251" s="1"/>
      <c r="C1251" s="1"/>
      <c r="D1251" s="7"/>
      <c r="E1251" s="7"/>
      <c r="F1251" s="6"/>
      <c r="G1251" s="7"/>
      <c r="H1251" s="2"/>
      <c r="I1251" s="2"/>
      <c r="J1251" s="2"/>
      <c r="K1251" s="2"/>
      <c r="L1251" s="178"/>
      <c r="M1251" s="2"/>
      <c r="N1251" s="7"/>
      <c r="P1251" s="7"/>
      <c r="R1251" s="2"/>
      <c r="S1251" s="2"/>
      <c r="T1251" s="2"/>
      <c r="U1251" s="2"/>
      <c r="V1251" s="2"/>
      <c r="X1251" s="38"/>
      <c r="Y1251" s="38"/>
      <c r="Z1251" s="38"/>
      <c r="AA1251" s="38"/>
      <c r="AB1251" s="38"/>
      <c r="AD1251" s="2"/>
      <c r="AE1251" s="2"/>
      <c r="AF1251" s="2"/>
      <c r="AG1251" s="2"/>
      <c r="AH1251" s="2"/>
      <c r="AJ1251" s="215"/>
      <c r="AK1251" s="215"/>
      <c r="AL1251" s="215"/>
      <c r="AM1251" s="215"/>
      <c r="AO1251" s="10"/>
      <c r="AP1251" s="10"/>
      <c r="AQ1251" s="10"/>
      <c r="AR1251" s="10"/>
      <c r="AS1251" s="10"/>
      <c r="AU1251" s="2"/>
      <c r="AV1251" s="2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</row>
    <row r="1252" spans="1:73" customFormat="1" ht="12.75" hidden="1" customHeight="1" x14ac:dyDescent="0.2">
      <c r="A1252" s="1"/>
      <c r="B1252" s="1"/>
      <c r="C1252" s="1"/>
      <c r="D1252" s="7"/>
      <c r="E1252" s="7"/>
      <c r="F1252" s="6"/>
      <c r="G1252" s="7"/>
      <c r="H1252" s="2"/>
      <c r="I1252" s="2"/>
      <c r="J1252" s="2"/>
      <c r="K1252" s="2"/>
      <c r="L1252" s="178"/>
      <c r="M1252" s="2"/>
      <c r="N1252" s="7"/>
      <c r="P1252" s="7"/>
      <c r="R1252" s="2"/>
      <c r="S1252" s="2"/>
      <c r="T1252" s="2"/>
      <c r="U1252" s="2"/>
      <c r="V1252" s="2"/>
      <c r="X1252" s="38"/>
      <c r="Y1252" s="38"/>
      <c r="Z1252" s="38"/>
      <c r="AA1252" s="38"/>
      <c r="AB1252" s="38"/>
      <c r="AD1252" s="2"/>
      <c r="AE1252" s="2"/>
      <c r="AF1252" s="2"/>
      <c r="AG1252" s="2"/>
      <c r="AH1252" s="2"/>
      <c r="AJ1252" s="215"/>
      <c r="AK1252" s="215"/>
      <c r="AL1252" s="215"/>
      <c r="AM1252" s="215"/>
      <c r="AO1252" s="10"/>
      <c r="AP1252" s="10"/>
      <c r="AQ1252" s="10"/>
      <c r="AR1252" s="10"/>
      <c r="AS1252" s="10"/>
      <c r="AU1252" s="2"/>
      <c r="AV1252" s="2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</row>
    <row r="1253" spans="1:73" customFormat="1" ht="12.75" hidden="1" customHeight="1" x14ac:dyDescent="0.2">
      <c r="A1253" s="1"/>
      <c r="B1253" s="1"/>
      <c r="C1253" s="1"/>
      <c r="D1253" s="7"/>
      <c r="E1253" s="7"/>
      <c r="F1253" s="6"/>
      <c r="G1253" s="7"/>
      <c r="H1253" s="2"/>
      <c r="I1253" s="2"/>
      <c r="J1253" s="2"/>
      <c r="K1253" s="2"/>
      <c r="L1253" s="178"/>
      <c r="M1253" s="2"/>
      <c r="N1253" s="7"/>
      <c r="P1253" s="7"/>
      <c r="R1253" s="2"/>
      <c r="S1253" s="2"/>
      <c r="T1253" s="2"/>
      <c r="U1253" s="2"/>
      <c r="V1253" s="2"/>
      <c r="X1253" s="38"/>
      <c r="Y1253" s="38"/>
      <c r="Z1253" s="38"/>
      <c r="AA1253" s="38"/>
      <c r="AB1253" s="38"/>
      <c r="AD1253" s="2"/>
      <c r="AE1253" s="2"/>
      <c r="AF1253" s="2"/>
      <c r="AG1253" s="2"/>
      <c r="AH1253" s="2"/>
      <c r="AJ1253" s="215"/>
      <c r="AK1253" s="215"/>
      <c r="AL1253" s="215"/>
      <c r="AM1253" s="215"/>
      <c r="AO1253" s="10"/>
      <c r="AP1253" s="10"/>
      <c r="AQ1253" s="10"/>
      <c r="AR1253" s="10"/>
      <c r="AS1253" s="10"/>
      <c r="AU1253" s="2"/>
      <c r="AV1253" s="2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</row>
    <row r="1254" spans="1:73" customFormat="1" ht="12.75" hidden="1" customHeight="1" x14ac:dyDescent="0.2">
      <c r="A1254" s="1"/>
      <c r="B1254" s="1"/>
      <c r="C1254" s="1"/>
      <c r="D1254" s="7"/>
      <c r="E1254" s="7"/>
      <c r="F1254" s="6"/>
      <c r="G1254" s="7"/>
      <c r="H1254" s="2"/>
      <c r="I1254" s="2"/>
      <c r="J1254" s="2"/>
      <c r="K1254" s="2"/>
      <c r="L1254" s="178"/>
      <c r="M1254" s="2"/>
      <c r="N1254" s="7"/>
      <c r="P1254" s="7"/>
      <c r="R1254" s="2"/>
      <c r="S1254" s="2"/>
      <c r="T1254" s="2"/>
      <c r="U1254" s="2"/>
      <c r="V1254" s="2"/>
      <c r="X1254" s="38"/>
      <c r="Y1254" s="38"/>
      <c r="Z1254" s="38"/>
      <c r="AA1254" s="38"/>
      <c r="AB1254" s="38"/>
      <c r="AD1254" s="2"/>
      <c r="AE1254" s="2"/>
      <c r="AF1254" s="2"/>
      <c r="AG1254" s="2"/>
      <c r="AH1254" s="2"/>
      <c r="AJ1254" s="215"/>
      <c r="AK1254" s="215"/>
      <c r="AL1254" s="215"/>
      <c r="AM1254" s="215"/>
      <c r="AO1254" s="10"/>
      <c r="AP1254" s="10"/>
      <c r="AQ1254" s="10"/>
      <c r="AR1254" s="10"/>
      <c r="AS1254" s="10"/>
      <c r="AU1254" s="2"/>
      <c r="AV1254" s="2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</row>
    <row r="1255" spans="1:73" customFormat="1" ht="12.75" hidden="1" customHeight="1" x14ac:dyDescent="0.2">
      <c r="A1255" s="1"/>
      <c r="B1255" s="1"/>
      <c r="C1255" s="1"/>
      <c r="D1255" s="7"/>
      <c r="E1255" s="7"/>
      <c r="F1255" s="6"/>
      <c r="G1255" s="7"/>
      <c r="H1255" s="2"/>
      <c r="I1255" s="2"/>
      <c r="J1255" s="2"/>
      <c r="K1255" s="2"/>
      <c r="L1255" s="178"/>
      <c r="M1255" s="2"/>
      <c r="N1255" s="7"/>
      <c r="P1255" s="7"/>
      <c r="R1255" s="2"/>
      <c r="S1255" s="2"/>
      <c r="T1255" s="2"/>
      <c r="U1255" s="2"/>
      <c r="V1255" s="2"/>
      <c r="X1255" s="38"/>
      <c r="Y1255" s="38"/>
      <c r="Z1255" s="38"/>
      <c r="AA1255" s="38"/>
      <c r="AB1255" s="38"/>
      <c r="AD1255" s="2"/>
      <c r="AE1255" s="2"/>
      <c r="AF1255" s="2"/>
      <c r="AG1255" s="2"/>
      <c r="AH1255" s="2"/>
      <c r="AJ1255" s="215"/>
      <c r="AK1255" s="215"/>
      <c r="AL1255" s="215"/>
      <c r="AM1255" s="215"/>
      <c r="AO1255" s="10"/>
      <c r="AP1255" s="10"/>
      <c r="AQ1255" s="10"/>
      <c r="AR1255" s="10"/>
      <c r="AS1255" s="10"/>
      <c r="AU1255" s="2"/>
      <c r="AV1255" s="2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</row>
    <row r="1256" spans="1:73" customFormat="1" ht="12.75" hidden="1" customHeight="1" x14ac:dyDescent="0.2">
      <c r="A1256" s="1"/>
      <c r="B1256" s="1"/>
      <c r="C1256" s="1"/>
      <c r="D1256" s="7"/>
      <c r="E1256" s="7"/>
      <c r="F1256" s="6"/>
      <c r="G1256" s="7"/>
      <c r="H1256" s="2"/>
      <c r="I1256" s="2"/>
      <c r="J1256" s="2"/>
      <c r="K1256" s="2"/>
      <c r="L1256" s="178"/>
      <c r="M1256" s="2"/>
      <c r="N1256" s="7"/>
      <c r="P1256" s="7"/>
      <c r="R1256" s="2"/>
      <c r="S1256" s="2"/>
      <c r="T1256" s="2"/>
      <c r="U1256" s="2"/>
      <c r="V1256" s="2"/>
      <c r="X1256" s="38"/>
      <c r="Y1256" s="38"/>
      <c r="Z1256" s="38"/>
      <c r="AA1256" s="38"/>
      <c r="AB1256" s="38"/>
      <c r="AD1256" s="2"/>
      <c r="AE1256" s="2"/>
      <c r="AF1256" s="2"/>
      <c r="AG1256" s="2"/>
      <c r="AH1256" s="2"/>
      <c r="AJ1256" s="215"/>
      <c r="AK1256" s="215"/>
      <c r="AL1256" s="215"/>
      <c r="AM1256" s="215"/>
      <c r="AO1256" s="10"/>
      <c r="AP1256" s="10"/>
      <c r="AQ1256" s="10"/>
      <c r="AR1256" s="10"/>
      <c r="AS1256" s="10"/>
      <c r="AU1256" s="2"/>
      <c r="AV1256" s="2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</row>
    <row r="1257" spans="1:73" customFormat="1" ht="12.75" hidden="1" customHeight="1" x14ac:dyDescent="0.2">
      <c r="A1257" s="1"/>
      <c r="B1257" s="1"/>
      <c r="C1257" s="1"/>
      <c r="D1257" s="7"/>
      <c r="E1257" s="7"/>
      <c r="F1257" s="6"/>
      <c r="G1257" s="7"/>
      <c r="H1257" s="2"/>
      <c r="I1257" s="2"/>
      <c r="J1257" s="2"/>
      <c r="K1257" s="2"/>
      <c r="L1257" s="178"/>
      <c r="M1257" s="2"/>
      <c r="N1257" s="7"/>
      <c r="P1257" s="7"/>
      <c r="R1257" s="2"/>
      <c r="S1257" s="2"/>
      <c r="T1257" s="2"/>
      <c r="U1257" s="2"/>
      <c r="V1257" s="2"/>
      <c r="X1257" s="38"/>
      <c r="Y1257" s="38"/>
      <c r="Z1257" s="38"/>
      <c r="AA1257" s="38"/>
      <c r="AB1257" s="38"/>
      <c r="AD1257" s="2"/>
      <c r="AE1257" s="2"/>
      <c r="AF1257" s="2"/>
      <c r="AG1257" s="2"/>
      <c r="AH1257" s="2"/>
      <c r="AJ1257" s="215"/>
      <c r="AK1257" s="215"/>
      <c r="AL1257" s="215"/>
      <c r="AM1257" s="215"/>
      <c r="AO1257" s="10"/>
      <c r="AP1257" s="10"/>
      <c r="AQ1257" s="10"/>
      <c r="AR1257" s="10"/>
      <c r="AS1257" s="10"/>
      <c r="AU1257" s="2"/>
      <c r="AV1257" s="2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</row>
    <row r="1258" spans="1:73" customFormat="1" ht="12.75" hidden="1" customHeight="1" x14ac:dyDescent="0.2">
      <c r="A1258" s="1"/>
      <c r="B1258" s="1"/>
      <c r="C1258" s="1"/>
      <c r="D1258" s="7"/>
      <c r="E1258" s="7"/>
      <c r="F1258" s="6"/>
      <c r="G1258" s="7"/>
      <c r="H1258" s="2"/>
      <c r="I1258" s="2"/>
      <c r="J1258" s="2"/>
      <c r="K1258" s="2"/>
      <c r="L1258" s="178"/>
      <c r="M1258" s="2"/>
      <c r="N1258" s="7"/>
      <c r="P1258" s="7"/>
      <c r="R1258" s="2"/>
      <c r="S1258" s="2"/>
      <c r="T1258" s="2"/>
      <c r="U1258" s="2"/>
      <c r="V1258" s="2"/>
      <c r="X1258" s="38"/>
      <c r="Y1258" s="38"/>
      <c r="Z1258" s="38"/>
      <c r="AA1258" s="38"/>
      <c r="AB1258" s="38"/>
      <c r="AD1258" s="2"/>
      <c r="AE1258" s="2"/>
      <c r="AF1258" s="2"/>
      <c r="AG1258" s="2"/>
      <c r="AH1258" s="2"/>
      <c r="AJ1258" s="215"/>
      <c r="AK1258" s="215"/>
      <c r="AL1258" s="215"/>
      <c r="AM1258" s="215"/>
      <c r="AO1258" s="10"/>
      <c r="AP1258" s="10"/>
      <c r="AQ1258" s="10"/>
      <c r="AR1258" s="10"/>
      <c r="AS1258" s="10"/>
      <c r="AU1258" s="2"/>
      <c r="AV1258" s="2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</row>
    <row r="1259" spans="1:73" customFormat="1" ht="12.75" hidden="1" customHeight="1" x14ac:dyDescent="0.2">
      <c r="A1259" s="1"/>
      <c r="B1259" s="1"/>
      <c r="C1259" s="1"/>
      <c r="D1259" s="7"/>
      <c r="E1259" s="7"/>
      <c r="F1259" s="6"/>
      <c r="G1259" s="7"/>
      <c r="H1259" s="2"/>
      <c r="I1259" s="2"/>
      <c r="J1259" s="2"/>
      <c r="K1259" s="2"/>
      <c r="L1259" s="178"/>
      <c r="M1259" s="2"/>
      <c r="N1259" s="7"/>
      <c r="P1259" s="7"/>
      <c r="R1259" s="2"/>
      <c r="S1259" s="2"/>
      <c r="T1259" s="2"/>
      <c r="U1259" s="2"/>
      <c r="V1259" s="2"/>
      <c r="X1259" s="38"/>
      <c r="Y1259" s="38"/>
      <c r="Z1259" s="38"/>
      <c r="AA1259" s="38"/>
      <c r="AB1259" s="38"/>
      <c r="AD1259" s="2"/>
      <c r="AE1259" s="2"/>
      <c r="AF1259" s="2"/>
      <c r="AG1259" s="2"/>
      <c r="AH1259" s="2"/>
      <c r="AJ1259" s="215"/>
      <c r="AK1259" s="215"/>
      <c r="AL1259" s="215"/>
      <c r="AM1259" s="215"/>
      <c r="AO1259" s="10"/>
      <c r="AP1259" s="10"/>
      <c r="AQ1259" s="10"/>
      <c r="AR1259" s="10"/>
      <c r="AS1259" s="10"/>
      <c r="AU1259" s="2"/>
      <c r="AV1259" s="2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</row>
    <row r="1260" spans="1:73" customFormat="1" ht="12.75" hidden="1" customHeight="1" x14ac:dyDescent="0.2">
      <c r="A1260" s="1"/>
      <c r="B1260" s="1"/>
      <c r="C1260" s="1"/>
      <c r="D1260" s="7"/>
      <c r="E1260" s="7"/>
      <c r="F1260" s="6"/>
      <c r="G1260" s="7"/>
      <c r="H1260" s="2"/>
      <c r="I1260" s="2"/>
      <c r="J1260" s="2"/>
      <c r="K1260" s="2"/>
      <c r="L1260" s="178"/>
      <c r="M1260" s="2"/>
      <c r="N1260" s="7"/>
      <c r="P1260" s="7"/>
      <c r="R1260" s="2"/>
      <c r="S1260" s="2"/>
      <c r="T1260" s="2"/>
      <c r="U1260" s="2"/>
      <c r="V1260" s="2"/>
      <c r="X1260" s="38"/>
      <c r="Y1260" s="38"/>
      <c r="Z1260" s="38"/>
      <c r="AA1260" s="38"/>
      <c r="AB1260" s="38"/>
      <c r="AD1260" s="2"/>
      <c r="AE1260" s="2"/>
      <c r="AF1260" s="2"/>
      <c r="AG1260" s="2"/>
      <c r="AH1260" s="2"/>
      <c r="AJ1260" s="215"/>
      <c r="AK1260" s="215"/>
      <c r="AL1260" s="215"/>
      <c r="AM1260" s="215"/>
      <c r="AO1260" s="10"/>
      <c r="AP1260" s="10"/>
      <c r="AQ1260" s="10"/>
      <c r="AR1260" s="10"/>
      <c r="AS1260" s="10"/>
      <c r="AU1260" s="2"/>
      <c r="AV1260" s="2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</row>
    <row r="1261" spans="1:73" customFormat="1" ht="12.75" hidden="1" customHeight="1" x14ac:dyDescent="0.2">
      <c r="A1261" s="1"/>
      <c r="B1261" s="1"/>
      <c r="C1261" s="1"/>
      <c r="D1261" s="7"/>
      <c r="E1261" s="7"/>
      <c r="F1261" s="6"/>
      <c r="G1261" s="7"/>
      <c r="H1261" s="2"/>
      <c r="I1261" s="2"/>
      <c r="J1261" s="2"/>
      <c r="K1261" s="2"/>
      <c r="L1261" s="178"/>
      <c r="M1261" s="2"/>
      <c r="N1261" s="7"/>
      <c r="P1261" s="7"/>
      <c r="R1261" s="2"/>
      <c r="S1261" s="2"/>
      <c r="T1261" s="2"/>
      <c r="U1261" s="2"/>
      <c r="V1261" s="2"/>
      <c r="X1261" s="38"/>
      <c r="Y1261" s="38"/>
      <c r="Z1261" s="38"/>
      <c r="AA1261" s="38"/>
      <c r="AB1261" s="38"/>
      <c r="AD1261" s="2"/>
      <c r="AE1261" s="2"/>
      <c r="AF1261" s="2"/>
      <c r="AG1261" s="2"/>
      <c r="AH1261" s="2"/>
      <c r="AJ1261" s="215"/>
      <c r="AK1261" s="215"/>
      <c r="AL1261" s="215"/>
      <c r="AM1261" s="215"/>
      <c r="AO1261" s="10"/>
      <c r="AP1261" s="10"/>
      <c r="AQ1261" s="10"/>
      <c r="AR1261" s="10"/>
      <c r="AS1261" s="10"/>
      <c r="AU1261" s="2"/>
      <c r="AV1261" s="2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</row>
    <row r="1262" spans="1:73" customFormat="1" ht="12.75" hidden="1" customHeight="1" x14ac:dyDescent="0.2">
      <c r="A1262" s="1"/>
      <c r="B1262" s="1"/>
      <c r="C1262" s="1"/>
      <c r="D1262" s="7"/>
      <c r="E1262" s="7"/>
      <c r="F1262" s="6"/>
      <c r="G1262" s="7"/>
      <c r="H1262" s="2"/>
      <c r="I1262" s="2"/>
      <c r="J1262" s="2"/>
      <c r="K1262" s="2"/>
      <c r="L1262" s="178"/>
      <c r="M1262" s="2"/>
      <c r="N1262" s="7"/>
      <c r="P1262" s="7"/>
      <c r="R1262" s="2"/>
      <c r="S1262" s="2"/>
      <c r="T1262" s="2"/>
      <c r="U1262" s="2"/>
      <c r="V1262" s="2"/>
      <c r="X1262" s="38"/>
      <c r="Y1262" s="38"/>
      <c r="Z1262" s="38"/>
      <c r="AA1262" s="38"/>
      <c r="AB1262" s="38"/>
      <c r="AD1262" s="2"/>
      <c r="AE1262" s="2"/>
      <c r="AF1262" s="2"/>
      <c r="AG1262" s="2"/>
      <c r="AH1262" s="2"/>
      <c r="AJ1262" s="215"/>
      <c r="AK1262" s="215"/>
      <c r="AL1262" s="215"/>
      <c r="AM1262" s="215"/>
      <c r="AO1262" s="10"/>
      <c r="AP1262" s="10"/>
      <c r="AQ1262" s="10"/>
      <c r="AR1262" s="10"/>
      <c r="AS1262" s="10"/>
      <c r="AU1262" s="2"/>
      <c r="AV1262" s="2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</row>
    <row r="1263" spans="1:73" customFormat="1" ht="12.75" hidden="1" customHeight="1" x14ac:dyDescent="0.2">
      <c r="A1263" s="1"/>
      <c r="B1263" s="1"/>
      <c r="C1263" s="1"/>
      <c r="D1263" s="7"/>
      <c r="E1263" s="7"/>
      <c r="F1263" s="6"/>
      <c r="G1263" s="7"/>
      <c r="H1263" s="2"/>
      <c r="I1263" s="2"/>
      <c r="J1263" s="2"/>
      <c r="K1263" s="2"/>
      <c r="L1263" s="178"/>
      <c r="M1263" s="2"/>
      <c r="N1263" s="7"/>
      <c r="P1263" s="7"/>
      <c r="R1263" s="2"/>
      <c r="S1263" s="2"/>
      <c r="T1263" s="2"/>
      <c r="U1263" s="2"/>
      <c r="V1263" s="2"/>
      <c r="X1263" s="38"/>
      <c r="Y1263" s="38"/>
      <c r="Z1263" s="38"/>
      <c r="AA1263" s="38"/>
      <c r="AB1263" s="38"/>
      <c r="AD1263" s="2"/>
      <c r="AE1263" s="2"/>
      <c r="AF1263" s="2"/>
      <c r="AG1263" s="2"/>
      <c r="AH1263" s="2"/>
      <c r="AJ1263" s="215"/>
      <c r="AK1263" s="215"/>
      <c r="AL1263" s="215"/>
      <c r="AM1263" s="215"/>
      <c r="AO1263" s="10"/>
      <c r="AP1263" s="10"/>
      <c r="AQ1263" s="10"/>
      <c r="AR1263" s="10"/>
      <c r="AS1263" s="10"/>
      <c r="AU1263" s="2"/>
      <c r="AV1263" s="2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</row>
    <row r="1264" spans="1:73" customFormat="1" ht="12.75" hidden="1" customHeight="1" x14ac:dyDescent="0.2">
      <c r="A1264" s="1"/>
      <c r="B1264" s="1"/>
      <c r="C1264" s="1"/>
      <c r="D1264" s="7"/>
      <c r="E1264" s="7"/>
      <c r="F1264" s="6"/>
      <c r="G1264" s="7"/>
      <c r="H1264" s="2"/>
      <c r="I1264" s="2"/>
      <c r="J1264" s="2"/>
      <c r="K1264" s="2"/>
      <c r="L1264" s="178"/>
      <c r="M1264" s="2"/>
      <c r="N1264" s="7"/>
      <c r="P1264" s="7"/>
      <c r="R1264" s="2"/>
      <c r="S1264" s="2"/>
      <c r="T1264" s="2"/>
      <c r="U1264" s="2"/>
      <c r="V1264" s="2"/>
      <c r="X1264" s="38"/>
      <c r="Y1264" s="38"/>
      <c r="Z1264" s="38"/>
      <c r="AA1264" s="38"/>
      <c r="AB1264" s="38"/>
      <c r="AD1264" s="2"/>
      <c r="AE1264" s="2"/>
      <c r="AF1264" s="2"/>
      <c r="AG1264" s="2"/>
      <c r="AH1264" s="2"/>
      <c r="AJ1264" s="215"/>
      <c r="AK1264" s="215"/>
      <c r="AL1264" s="215"/>
      <c r="AM1264" s="215"/>
      <c r="AO1264" s="10"/>
      <c r="AP1264" s="10"/>
      <c r="AQ1264" s="10"/>
      <c r="AR1264" s="10"/>
      <c r="AS1264" s="10"/>
      <c r="AU1264" s="2"/>
      <c r="AV1264" s="2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</row>
    <row r="1265" spans="1:73" customFormat="1" ht="12.75" hidden="1" customHeight="1" x14ac:dyDescent="0.2">
      <c r="A1265" s="1"/>
      <c r="B1265" s="1"/>
      <c r="C1265" s="1"/>
      <c r="D1265" s="7"/>
      <c r="E1265" s="7"/>
      <c r="F1265" s="6"/>
      <c r="G1265" s="7"/>
      <c r="H1265" s="2"/>
      <c r="I1265" s="2"/>
      <c r="J1265" s="2"/>
      <c r="K1265" s="2"/>
      <c r="L1265" s="178"/>
      <c r="M1265" s="2"/>
      <c r="N1265" s="7"/>
      <c r="P1265" s="7"/>
      <c r="R1265" s="2"/>
      <c r="S1265" s="2"/>
      <c r="T1265" s="2"/>
      <c r="U1265" s="2"/>
      <c r="V1265" s="2"/>
      <c r="X1265" s="38"/>
      <c r="Y1265" s="38"/>
      <c r="Z1265" s="38"/>
      <c r="AA1265" s="38"/>
      <c r="AB1265" s="38"/>
      <c r="AD1265" s="2"/>
      <c r="AE1265" s="2"/>
      <c r="AF1265" s="2"/>
      <c r="AG1265" s="2"/>
      <c r="AH1265" s="2"/>
      <c r="AJ1265" s="215"/>
      <c r="AK1265" s="215"/>
      <c r="AL1265" s="215"/>
      <c r="AM1265" s="215"/>
      <c r="AO1265" s="10"/>
      <c r="AP1265" s="10"/>
      <c r="AQ1265" s="10"/>
      <c r="AR1265" s="10"/>
      <c r="AS1265" s="10"/>
      <c r="AU1265" s="2"/>
      <c r="AV1265" s="2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</row>
    <row r="1266" spans="1:73" customFormat="1" ht="12.75" hidden="1" customHeight="1" x14ac:dyDescent="0.2">
      <c r="A1266" s="1"/>
      <c r="B1266" s="1"/>
      <c r="C1266" s="1"/>
      <c r="D1266" s="7"/>
      <c r="E1266" s="7"/>
      <c r="F1266" s="6"/>
      <c r="G1266" s="7"/>
      <c r="H1266" s="2"/>
      <c r="I1266" s="2"/>
      <c r="J1266" s="2"/>
      <c r="K1266" s="2"/>
      <c r="L1266" s="178"/>
      <c r="M1266" s="2"/>
      <c r="N1266" s="7"/>
      <c r="P1266" s="7"/>
      <c r="R1266" s="2"/>
      <c r="S1266" s="2"/>
      <c r="T1266" s="2"/>
      <c r="U1266" s="2"/>
      <c r="V1266" s="2"/>
      <c r="X1266" s="38"/>
      <c r="Y1266" s="38"/>
      <c r="Z1266" s="38"/>
      <c r="AA1266" s="38"/>
      <c r="AB1266" s="38"/>
      <c r="AD1266" s="2"/>
      <c r="AE1266" s="2"/>
      <c r="AF1266" s="2"/>
      <c r="AG1266" s="2"/>
      <c r="AH1266" s="2"/>
      <c r="AJ1266" s="215"/>
      <c r="AK1266" s="215"/>
      <c r="AL1266" s="215"/>
      <c r="AM1266" s="215"/>
      <c r="AO1266" s="10"/>
      <c r="AP1266" s="10"/>
      <c r="AQ1266" s="10"/>
      <c r="AR1266" s="10"/>
      <c r="AS1266" s="10"/>
      <c r="AU1266" s="2"/>
      <c r="AV1266" s="2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</row>
    <row r="1267" spans="1:73" customFormat="1" ht="12.75" hidden="1" customHeight="1" x14ac:dyDescent="0.2">
      <c r="A1267" s="1"/>
      <c r="B1267" s="1"/>
      <c r="C1267" s="1"/>
      <c r="D1267" s="7"/>
      <c r="E1267" s="7"/>
      <c r="F1267" s="6"/>
      <c r="G1267" s="7"/>
      <c r="H1267" s="2"/>
      <c r="I1267" s="2"/>
      <c r="J1267" s="2"/>
      <c r="K1267" s="2"/>
      <c r="L1267" s="178"/>
      <c r="M1267" s="2"/>
      <c r="N1267" s="7"/>
      <c r="P1267" s="7"/>
      <c r="R1267" s="2"/>
      <c r="S1267" s="2"/>
      <c r="T1267" s="2"/>
      <c r="U1267" s="2"/>
      <c r="V1267" s="2"/>
      <c r="X1267" s="38"/>
      <c r="Y1267" s="38"/>
      <c r="Z1267" s="38"/>
      <c r="AA1267" s="38"/>
      <c r="AB1267" s="38"/>
      <c r="AD1267" s="2"/>
      <c r="AE1267" s="2"/>
      <c r="AF1267" s="2"/>
      <c r="AG1267" s="2"/>
      <c r="AH1267" s="2"/>
      <c r="AJ1267" s="215"/>
      <c r="AK1267" s="215"/>
      <c r="AL1267" s="215"/>
      <c r="AM1267" s="215"/>
      <c r="AO1267" s="10"/>
      <c r="AP1267" s="10"/>
      <c r="AQ1267" s="10"/>
      <c r="AR1267" s="10"/>
      <c r="AS1267" s="10"/>
      <c r="AU1267" s="2"/>
      <c r="AV1267" s="2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</row>
    <row r="1268" spans="1:73" customFormat="1" ht="12.75" hidden="1" customHeight="1" x14ac:dyDescent="0.2">
      <c r="A1268" s="1"/>
      <c r="B1268" s="1"/>
      <c r="C1268" s="1"/>
      <c r="D1268" s="7"/>
      <c r="E1268" s="7"/>
      <c r="F1268" s="6"/>
      <c r="G1268" s="7"/>
      <c r="H1268" s="2"/>
      <c r="I1268" s="2"/>
      <c r="J1268" s="2"/>
      <c r="K1268" s="2"/>
      <c r="L1268" s="178"/>
      <c r="M1268" s="2"/>
      <c r="N1268" s="7"/>
      <c r="P1268" s="7"/>
      <c r="R1268" s="2"/>
      <c r="S1268" s="2"/>
      <c r="T1268" s="2"/>
      <c r="U1268" s="2"/>
      <c r="V1268" s="2"/>
      <c r="X1268" s="38"/>
      <c r="Y1268" s="38"/>
      <c r="Z1268" s="38"/>
      <c r="AA1268" s="38"/>
      <c r="AB1268" s="38"/>
      <c r="AD1268" s="2"/>
      <c r="AE1268" s="2"/>
      <c r="AF1268" s="2"/>
      <c r="AG1268" s="2"/>
      <c r="AH1268" s="2"/>
      <c r="AJ1268" s="215"/>
      <c r="AK1268" s="215"/>
      <c r="AL1268" s="215"/>
      <c r="AM1268" s="215"/>
      <c r="AO1268" s="10"/>
      <c r="AP1268" s="10"/>
      <c r="AQ1268" s="10"/>
      <c r="AR1268" s="10"/>
      <c r="AS1268" s="10"/>
      <c r="AU1268" s="2"/>
      <c r="AV1268" s="2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</row>
    <row r="1269" spans="1:73" customFormat="1" ht="12.75" hidden="1" customHeight="1" x14ac:dyDescent="0.2">
      <c r="A1269" s="1"/>
      <c r="B1269" s="1"/>
      <c r="C1269" s="1"/>
      <c r="D1269" s="7"/>
      <c r="E1269" s="7"/>
      <c r="F1269" s="6"/>
      <c r="G1269" s="7"/>
      <c r="H1269" s="2"/>
      <c r="I1269" s="2"/>
      <c r="J1269" s="2"/>
      <c r="K1269" s="2"/>
      <c r="L1269" s="178"/>
      <c r="M1269" s="2"/>
      <c r="N1269" s="7"/>
      <c r="P1269" s="7"/>
      <c r="R1269" s="2"/>
      <c r="S1269" s="2"/>
      <c r="T1269" s="2"/>
      <c r="U1269" s="2"/>
      <c r="V1269" s="2"/>
      <c r="X1269" s="38"/>
      <c r="Y1269" s="38"/>
      <c r="Z1269" s="38"/>
      <c r="AA1269" s="38"/>
      <c r="AB1269" s="38"/>
      <c r="AD1269" s="2"/>
      <c r="AE1269" s="2"/>
      <c r="AF1269" s="2"/>
      <c r="AG1269" s="2"/>
      <c r="AH1269" s="2"/>
      <c r="AJ1269" s="215"/>
      <c r="AK1269" s="215"/>
      <c r="AL1269" s="215"/>
      <c r="AM1269" s="215"/>
      <c r="AO1269" s="10"/>
      <c r="AP1269" s="10"/>
      <c r="AQ1269" s="10"/>
      <c r="AR1269" s="10"/>
      <c r="AS1269" s="10"/>
      <c r="AU1269" s="2"/>
      <c r="AV1269" s="2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</row>
    <row r="1270" spans="1:73" customFormat="1" ht="12.75" hidden="1" customHeight="1" x14ac:dyDescent="0.2">
      <c r="A1270" s="1"/>
      <c r="B1270" s="1"/>
      <c r="C1270" s="1"/>
      <c r="D1270" s="7"/>
      <c r="E1270" s="7"/>
      <c r="F1270" s="6"/>
      <c r="G1270" s="7"/>
      <c r="H1270" s="2"/>
      <c r="I1270" s="2"/>
      <c r="J1270" s="2"/>
      <c r="K1270" s="2"/>
      <c r="L1270" s="178"/>
      <c r="M1270" s="2"/>
      <c r="N1270" s="7"/>
      <c r="P1270" s="7"/>
      <c r="R1270" s="2"/>
      <c r="S1270" s="2"/>
      <c r="T1270" s="2"/>
      <c r="U1270" s="2"/>
      <c r="V1270" s="2"/>
      <c r="X1270" s="38"/>
      <c r="Y1270" s="38"/>
      <c r="Z1270" s="38"/>
      <c r="AA1270" s="38"/>
      <c r="AB1270" s="38"/>
      <c r="AD1270" s="2"/>
      <c r="AE1270" s="2"/>
      <c r="AF1270" s="2"/>
      <c r="AG1270" s="2"/>
      <c r="AH1270" s="2"/>
      <c r="AJ1270" s="215"/>
      <c r="AK1270" s="215"/>
      <c r="AL1270" s="215"/>
      <c r="AM1270" s="215"/>
      <c r="AO1270" s="10"/>
      <c r="AP1270" s="10"/>
      <c r="AQ1270" s="10"/>
      <c r="AR1270" s="10"/>
      <c r="AS1270" s="10"/>
      <c r="AU1270" s="2"/>
      <c r="AV1270" s="2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</row>
    <row r="1271" spans="1:73" customFormat="1" ht="12.75" hidden="1" customHeight="1" x14ac:dyDescent="0.2">
      <c r="A1271" s="1"/>
      <c r="B1271" s="1"/>
      <c r="C1271" s="1"/>
      <c r="D1271" s="7"/>
      <c r="E1271" s="7"/>
      <c r="F1271" s="6"/>
      <c r="G1271" s="7"/>
      <c r="H1271" s="2"/>
      <c r="I1271" s="2"/>
      <c r="J1271" s="2"/>
      <c r="K1271" s="2"/>
      <c r="L1271" s="178"/>
      <c r="M1271" s="2"/>
      <c r="N1271" s="7"/>
      <c r="P1271" s="7"/>
      <c r="R1271" s="2"/>
      <c r="S1271" s="2"/>
      <c r="T1271" s="2"/>
      <c r="U1271" s="2"/>
      <c r="V1271" s="2"/>
      <c r="X1271" s="38"/>
      <c r="Y1271" s="38"/>
      <c r="Z1271" s="38"/>
      <c r="AA1271" s="38"/>
      <c r="AB1271" s="38"/>
      <c r="AD1271" s="2"/>
      <c r="AE1271" s="2"/>
      <c r="AF1271" s="2"/>
      <c r="AG1271" s="2"/>
      <c r="AH1271" s="2"/>
      <c r="AJ1271" s="215"/>
      <c r="AK1271" s="215"/>
      <c r="AL1271" s="215"/>
      <c r="AM1271" s="215"/>
      <c r="AO1271" s="10"/>
      <c r="AP1271" s="10"/>
      <c r="AQ1271" s="10"/>
      <c r="AR1271" s="10"/>
      <c r="AS1271" s="10"/>
      <c r="AU1271" s="2"/>
      <c r="AV1271" s="2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</row>
    <row r="1272" spans="1:73" customFormat="1" ht="12.75" hidden="1" customHeight="1" x14ac:dyDescent="0.2">
      <c r="A1272" s="1"/>
      <c r="B1272" s="1"/>
      <c r="C1272" s="1"/>
      <c r="D1272" s="7"/>
      <c r="E1272" s="7"/>
      <c r="F1272" s="6"/>
      <c r="G1272" s="7"/>
      <c r="H1272" s="2"/>
      <c r="I1272" s="2"/>
      <c r="J1272" s="2"/>
      <c r="K1272" s="2"/>
      <c r="L1272" s="178"/>
      <c r="M1272" s="2"/>
      <c r="N1272" s="7"/>
      <c r="P1272" s="7"/>
      <c r="R1272" s="2"/>
      <c r="S1272" s="2"/>
      <c r="T1272" s="2"/>
      <c r="U1272" s="2"/>
      <c r="V1272" s="2"/>
      <c r="X1272" s="38"/>
      <c r="Y1272" s="38"/>
      <c r="Z1272" s="38"/>
      <c r="AA1272" s="38"/>
      <c r="AB1272" s="38"/>
      <c r="AD1272" s="2"/>
      <c r="AE1272" s="2"/>
      <c r="AF1272" s="2"/>
      <c r="AG1272" s="2"/>
      <c r="AH1272" s="2"/>
      <c r="AJ1272" s="215"/>
      <c r="AK1272" s="215"/>
      <c r="AL1272" s="215"/>
      <c r="AM1272" s="215"/>
      <c r="AO1272" s="10"/>
      <c r="AP1272" s="10"/>
      <c r="AQ1272" s="10"/>
      <c r="AR1272" s="10"/>
      <c r="AS1272" s="10"/>
      <c r="AU1272" s="2"/>
      <c r="AV1272" s="2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</row>
    <row r="1273" spans="1:73" customFormat="1" ht="12.75" hidden="1" customHeight="1" x14ac:dyDescent="0.2">
      <c r="A1273" s="1"/>
      <c r="B1273" s="1"/>
      <c r="C1273" s="1"/>
      <c r="D1273" s="7"/>
      <c r="E1273" s="7"/>
      <c r="F1273" s="6"/>
      <c r="G1273" s="7"/>
      <c r="H1273" s="2"/>
      <c r="I1273" s="2"/>
      <c r="J1273" s="2"/>
      <c r="K1273" s="2"/>
      <c r="L1273" s="178"/>
      <c r="M1273" s="2"/>
      <c r="N1273" s="7"/>
      <c r="P1273" s="7"/>
      <c r="R1273" s="2"/>
      <c r="S1273" s="2"/>
      <c r="T1273" s="2"/>
      <c r="U1273" s="2"/>
      <c r="V1273" s="2"/>
      <c r="X1273" s="38"/>
      <c r="Y1273" s="38"/>
      <c r="Z1273" s="38"/>
      <c r="AA1273" s="38"/>
      <c r="AB1273" s="38"/>
      <c r="AD1273" s="2"/>
      <c r="AE1273" s="2"/>
      <c r="AF1273" s="2"/>
      <c r="AG1273" s="2"/>
      <c r="AH1273" s="2"/>
      <c r="AJ1273" s="215"/>
      <c r="AK1273" s="215"/>
      <c r="AL1273" s="215"/>
      <c r="AM1273" s="215"/>
      <c r="AO1273" s="10"/>
      <c r="AP1273" s="10"/>
      <c r="AQ1273" s="10"/>
      <c r="AR1273" s="10"/>
      <c r="AS1273" s="10"/>
      <c r="AU1273" s="2"/>
      <c r="AV1273" s="2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</row>
    <row r="1274" spans="1:73" customFormat="1" ht="12.75" hidden="1" customHeight="1" x14ac:dyDescent="0.2">
      <c r="A1274" s="1"/>
      <c r="B1274" s="1"/>
      <c r="C1274" s="1"/>
      <c r="D1274" s="7"/>
      <c r="E1274" s="7"/>
      <c r="F1274" s="6"/>
      <c r="G1274" s="7"/>
      <c r="H1274" s="2"/>
      <c r="I1274" s="2"/>
      <c r="J1274" s="2"/>
      <c r="K1274" s="2"/>
      <c r="L1274" s="178"/>
      <c r="M1274" s="2"/>
      <c r="N1274" s="7"/>
      <c r="P1274" s="7"/>
      <c r="R1274" s="2"/>
      <c r="S1274" s="2"/>
      <c r="T1274" s="2"/>
      <c r="U1274" s="2"/>
      <c r="V1274" s="2"/>
      <c r="X1274" s="38"/>
      <c r="Y1274" s="38"/>
      <c r="Z1274" s="38"/>
      <c r="AA1274" s="38"/>
      <c r="AB1274" s="38"/>
      <c r="AD1274" s="2"/>
      <c r="AE1274" s="2"/>
      <c r="AF1274" s="2"/>
      <c r="AG1274" s="2"/>
      <c r="AH1274" s="2"/>
      <c r="AJ1274" s="215"/>
      <c r="AK1274" s="215"/>
      <c r="AL1274" s="215"/>
      <c r="AM1274" s="215"/>
      <c r="AO1274" s="10"/>
      <c r="AP1274" s="10"/>
      <c r="AQ1274" s="10"/>
      <c r="AR1274" s="10"/>
      <c r="AS1274" s="10"/>
      <c r="AU1274" s="2"/>
      <c r="AV1274" s="2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</row>
    <row r="1275" spans="1:73" customFormat="1" ht="12.75" hidden="1" customHeight="1" x14ac:dyDescent="0.2">
      <c r="A1275" s="1"/>
      <c r="B1275" s="1"/>
      <c r="C1275" s="1"/>
      <c r="D1275" s="7"/>
      <c r="E1275" s="7"/>
      <c r="F1275" s="6"/>
      <c r="G1275" s="7"/>
      <c r="H1275" s="2"/>
      <c r="I1275" s="2"/>
      <c r="J1275" s="2"/>
      <c r="K1275" s="2"/>
      <c r="L1275" s="178"/>
      <c r="M1275" s="2"/>
      <c r="N1275" s="7"/>
      <c r="P1275" s="7"/>
      <c r="R1275" s="2"/>
      <c r="S1275" s="2"/>
      <c r="T1275" s="2"/>
      <c r="U1275" s="2"/>
      <c r="V1275" s="2"/>
      <c r="X1275" s="38"/>
      <c r="Y1275" s="38"/>
      <c r="Z1275" s="38"/>
      <c r="AA1275" s="38"/>
      <c r="AB1275" s="38"/>
      <c r="AD1275" s="2"/>
      <c r="AE1275" s="2"/>
      <c r="AF1275" s="2"/>
      <c r="AG1275" s="2"/>
      <c r="AH1275" s="2"/>
      <c r="AJ1275" s="215"/>
      <c r="AK1275" s="215"/>
      <c r="AL1275" s="215"/>
      <c r="AM1275" s="215"/>
      <c r="AO1275" s="10"/>
      <c r="AP1275" s="10"/>
      <c r="AQ1275" s="10"/>
      <c r="AR1275" s="10"/>
      <c r="AS1275" s="10"/>
      <c r="AU1275" s="2"/>
      <c r="AV1275" s="2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</row>
    <row r="1276" spans="1:73" customFormat="1" ht="12.75" hidden="1" customHeight="1" x14ac:dyDescent="0.2">
      <c r="A1276" s="1"/>
      <c r="B1276" s="1"/>
      <c r="C1276" s="1"/>
      <c r="D1276" s="7"/>
      <c r="E1276" s="7"/>
      <c r="F1276" s="6"/>
      <c r="G1276" s="7"/>
      <c r="H1276" s="2"/>
      <c r="I1276" s="2"/>
      <c r="J1276" s="2"/>
      <c r="K1276" s="2"/>
      <c r="L1276" s="178"/>
      <c r="M1276" s="2"/>
      <c r="N1276" s="7"/>
      <c r="P1276" s="7"/>
      <c r="R1276" s="2"/>
      <c r="S1276" s="2"/>
      <c r="T1276" s="2"/>
      <c r="U1276" s="2"/>
      <c r="V1276" s="2"/>
      <c r="X1276" s="38"/>
      <c r="Y1276" s="38"/>
      <c r="Z1276" s="38"/>
      <c r="AA1276" s="38"/>
      <c r="AB1276" s="38"/>
      <c r="AD1276" s="2"/>
      <c r="AE1276" s="2"/>
      <c r="AF1276" s="2"/>
      <c r="AG1276" s="2"/>
      <c r="AH1276" s="2"/>
      <c r="AJ1276" s="215"/>
      <c r="AK1276" s="215"/>
      <c r="AL1276" s="215"/>
      <c r="AM1276" s="215"/>
      <c r="AO1276" s="10"/>
      <c r="AP1276" s="10"/>
      <c r="AQ1276" s="10"/>
      <c r="AR1276" s="10"/>
      <c r="AS1276" s="10"/>
      <c r="AU1276" s="2"/>
      <c r="AV1276" s="2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</row>
    <row r="1277" spans="1:73" customFormat="1" ht="12.75" hidden="1" customHeight="1" x14ac:dyDescent="0.2">
      <c r="A1277" s="1"/>
      <c r="B1277" s="1"/>
      <c r="C1277" s="1"/>
      <c r="D1277" s="7"/>
      <c r="E1277" s="7"/>
      <c r="F1277" s="6"/>
      <c r="G1277" s="7"/>
      <c r="H1277" s="2"/>
      <c r="I1277" s="2"/>
      <c r="J1277" s="2"/>
      <c r="K1277" s="2"/>
      <c r="L1277" s="178"/>
      <c r="M1277" s="2"/>
      <c r="N1277" s="7"/>
      <c r="P1277" s="7"/>
      <c r="R1277" s="2"/>
      <c r="S1277" s="2"/>
      <c r="T1277" s="2"/>
      <c r="U1277" s="2"/>
      <c r="V1277" s="2"/>
      <c r="X1277" s="38"/>
      <c r="Y1277" s="38"/>
      <c r="Z1277" s="38"/>
      <c r="AA1277" s="38"/>
      <c r="AB1277" s="38"/>
      <c r="AD1277" s="2"/>
      <c r="AE1277" s="2"/>
      <c r="AF1277" s="2"/>
      <c r="AG1277" s="2"/>
      <c r="AH1277" s="2"/>
      <c r="AJ1277" s="215"/>
      <c r="AK1277" s="215"/>
      <c r="AL1277" s="215"/>
      <c r="AM1277" s="215"/>
      <c r="AO1277" s="10"/>
      <c r="AP1277" s="10"/>
      <c r="AQ1277" s="10"/>
      <c r="AR1277" s="10"/>
      <c r="AS1277" s="10"/>
      <c r="AU1277" s="2"/>
      <c r="AV1277" s="2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</row>
    <row r="1278" spans="1:73" customFormat="1" ht="12.75" hidden="1" customHeight="1" x14ac:dyDescent="0.2">
      <c r="A1278" s="1"/>
      <c r="B1278" s="1"/>
      <c r="C1278" s="1"/>
      <c r="D1278" s="7"/>
      <c r="E1278" s="7"/>
      <c r="F1278" s="6"/>
      <c r="G1278" s="7"/>
      <c r="H1278" s="2"/>
      <c r="I1278" s="2"/>
      <c r="J1278" s="2"/>
      <c r="K1278" s="2"/>
      <c r="L1278" s="178"/>
      <c r="M1278" s="2"/>
      <c r="N1278" s="7"/>
      <c r="P1278" s="7"/>
      <c r="R1278" s="2"/>
      <c r="S1278" s="2"/>
      <c r="T1278" s="2"/>
      <c r="U1278" s="2"/>
      <c r="V1278" s="2"/>
      <c r="X1278" s="38"/>
      <c r="Y1278" s="38"/>
      <c r="Z1278" s="38"/>
      <c r="AA1278" s="38"/>
      <c r="AB1278" s="38"/>
      <c r="AD1278" s="2"/>
      <c r="AE1278" s="2"/>
      <c r="AF1278" s="2"/>
      <c r="AG1278" s="2"/>
      <c r="AH1278" s="2"/>
      <c r="AJ1278" s="215"/>
      <c r="AK1278" s="215"/>
      <c r="AL1278" s="215"/>
      <c r="AM1278" s="215"/>
      <c r="AO1278" s="10"/>
      <c r="AP1278" s="10"/>
      <c r="AQ1278" s="10"/>
      <c r="AR1278" s="10"/>
      <c r="AS1278" s="10"/>
      <c r="AU1278" s="2"/>
      <c r="AV1278" s="2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</row>
    <row r="1279" spans="1:73" customFormat="1" ht="12.75" hidden="1" customHeight="1" x14ac:dyDescent="0.2">
      <c r="A1279" s="1"/>
      <c r="B1279" s="1"/>
      <c r="C1279" s="1"/>
      <c r="D1279" s="7"/>
      <c r="E1279" s="7"/>
      <c r="F1279" s="6"/>
      <c r="G1279" s="7"/>
      <c r="H1279" s="2"/>
      <c r="I1279" s="2"/>
      <c r="J1279" s="2"/>
      <c r="K1279" s="2"/>
      <c r="L1279" s="178"/>
      <c r="M1279" s="2"/>
      <c r="N1279" s="7"/>
      <c r="P1279" s="7"/>
      <c r="R1279" s="2"/>
      <c r="S1279" s="2"/>
      <c r="T1279" s="2"/>
      <c r="U1279" s="2"/>
      <c r="V1279" s="2"/>
      <c r="X1279" s="38"/>
      <c r="Y1279" s="38"/>
      <c r="Z1279" s="38"/>
      <c r="AA1279" s="38"/>
      <c r="AB1279" s="38"/>
      <c r="AD1279" s="2"/>
      <c r="AE1279" s="2"/>
      <c r="AF1279" s="2"/>
      <c r="AG1279" s="2"/>
      <c r="AH1279" s="2"/>
      <c r="AJ1279" s="215"/>
      <c r="AK1279" s="215"/>
      <c r="AL1279" s="215"/>
      <c r="AM1279" s="215"/>
      <c r="AO1279" s="10"/>
      <c r="AP1279" s="10"/>
      <c r="AQ1279" s="10"/>
      <c r="AR1279" s="10"/>
      <c r="AS1279" s="10"/>
      <c r="AU1279" s="2"/>
      <c r="AV1279" s="2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</row>
    <row r="1280" spans="1:73" customFormat="1" ht="12.75" hidden="1" customHeight="1" x14ac:dyDescent="0.2">
      <c r="A1280" s="1"/>
      <c r="B1280" s="1"/>
      <c r="C1280" s="1"/>
      <c r="D1280" s="7"/>
      <c r="E1280" s="7"/>
      <c r="F1280" s="6"/>
      <c r="G1280" s="7"/>
      <c r="H1280" s="2"/>
      <c r="I1280" s="2"/>
      <c r="J1280" s="2"/>
      <c r="K1280" s="2"/>
      <c r="L1280" s="178"/>
      <c r="M1280" s="2"/>
      <c r="N1280" s="7"/>
      <c r="P1280" s="7"/>
      <c r="R1280" s="2"/>
      <c r="S1280" s="2"/>
      <c r="T1280" s="2"/>
      <c r="U1280" s="2"/>
      <c r="V1280" s="2"/>
      <c r="X1280" s="38"/>
      <c r="Y1280" s="38"/>
      <c r="Z1280" s="38"/>
      <c r="AA1280" s="38"/>
      <c r="AB1280" s="38"/>
      <c r="AD1280" s="2"/>
      <c r="AE1280" s="2"/>
      <c r="AF1280" s="2"/>
      <c r="AG1280" s="2"/>
      <c r="AH1280" s="2"/>
      <c r="AJ1280" s="215"/>
      <c r="AK1280" s="215"/>
      <c r="AL1280" s="215"/>
      <c r="AM1280" s="215"/>
      <c r="AO1280" s="10"/>
      <c r="AP1280" s="10"/>
      <c r="AQ1280" s="10"/>
      <c r="AR1280" s="10"/>
      <c r="AS1280" s="10"/>
      <c r="AU1280" s="2"/>
      <c r="AV1280" s="2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</row>
    <row r="1281" spans="1:73" customFormat="1" ht="12.75" hidden="1" customHeight="1" x14ac:dyDescent="0.2">
      <c r="A1281" s="1"/>
      <c r="B1281" s="1"/>
      <c r="C1281" s="1"/>
      <c r="D1281" s="7"/>
      <c r="E1281" s="7"/>
      <c r="F1281" s="6"/>
      <c r="G1281" s="7"/>
      <c r="H1281" s="2"/>
      <c r="I1281" s="2"/>
      <c r="J1281" s="2"/>
      <c r="K1281" s="2"/>
      <c r="L1281" s="178"/>
      <c r="M1281" s="2"/>
      <c r="N1281" s="7"/>
      <c r="P1281" s="7"/>
      <c r="R1281" s="2"/>
      <c r="S1281" s="2"/>
      <c r="T1281" s="2"/>
      <c r="U1281" s="2"/>
      <c r="V1281" s="2"/>
      <c r="X1281" s="38"/>
      <c r="Y1281" s="38"/>
      <c r="Z1281" s="38"/>
      <c r="AA1281" s="38"/>
      <c r="AB1281" s="38"/>
      <c r="AD1281" s="2"/>
      <c r="AE1281" s="2"/>
      <c r="AF1281" s="2"/>
      <c r="AG1281" s="2"/>
      <c r="AH1281" s="2"/>
      <c r="AJ1281" s="215"/>
      <c r="AK1281" s="215"/>
      <c r="AL1281" s="215"/>
      <c r="AM1281" s="215"/>
      <c r="AO1281" s="10"/>
      <c r="AP1281" s="10"/>
      <c r="AQ1281" s="10"/>
      <c r="AR1281" s="10"/>
      <c r="AS1281" s="10"/>
      <c r="AU1281" s="2"/>
      <c r="AV1281" s="2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</row>
    <row r="1282" spans="1:73" customFormat="1" ht="12.75" hidden="1" customHeight="1" x14ac:dyDescent="0.2">
      <c r="A1282" s="1"/>
      <c r="B1282" s="1"/>
      <c r="C1282" s="1"/>
      <c r="D1282" s="7"/>
      <c r="E1282" s="7"/>
      <c r="F1282" s="6"/>
      <c r="G1282" s="7"/>
      <c r="H1282" s="2"/>
      <c r="I1282" s="2"/>
      <c r="J1282" s="2"/>
      <c r="K1282" s="2"/>
      <c r="L1282" s="178"/>
      <c r="M1282" s="2"/>
      <c r="N1282" s="7"/>
      <c r="P1282" s="7"/>
      <c r="R1282" s="2"/>
      <c r="S1282" s="2"/>
      <c r="T1282" s="2"/>
      <c r="U1282" s="2"/>
      <c r="V1282" s="2"/>
      <c r="X1282" s="38"/>
      <c r="Y1282" s="38"/>
      <c r="Z1282" s="38"/>
      <c r="AA1282" s="38"/>
      <c r="AB1282" s="38"/>
      <c r="AD1282" s="2"/>
      <c r="AE1282" s="2"/>
      <c r="AF1282" s="2"/>
      <c r="AG1282" s="2"/>
      <c r="AH1282" s="2"/>
      <c r="AJ1282" s="215"/>
      <c r="AK1282" s="215"/>
      <c r="AL1282" s="215"/>
      <c r="AM1282" s="215"/>
      <c r="AO1282" s="10"/>
      <c r="AP1282" s="10"/>
      <c r="AQ1282" s="10"/>
      <c r="AR1282" s="10"/>
      <c r="AS1282" s="10"/>
      <c r="AU1282" s="2"/>
      <c r="AV1282" s="2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</row>
    <row r="1283" spans="1:73" customFormat="1" ht="12.75" hidden="1" customHeight="1" x14ac:dyDescent="0.2">
      <c r="A1283" s="1"/>
      <c r="B1283" s="1"/>
      <c r="C1283" s="1"/>
      <c r="D1283" s="7"/>
      <c r="E1283" s="7"/>
      <c r="F1283" s="6"/>
      <c r="G1283" s="7"/>
      <c r="H1283" s="2"/>
      <c r="I1283" s="2"/>
      <c r="J1283" s="2"/>
      <c r="K1283" s="2"/>
      <c r="L1283" s="178"/>
      <c r="M1283" s="2"/>
      <c r="N1283" s="7"/>
      <c r="P1283" s="7"/>
      <c r="R1283" s="2"/>
      <c r="S1283" s="2"/>
      <c r="T1283" s="2"/>
      <c r="U1283" s="2"/>
      <c r="V1283" s="2"/>
      <c r="X1283" s="38"/>
      <c r="Y1283" s="38"/>
      <c r="Z1283" s="38"/>
      <c r="AA1283" s="38"/>
      <c r="AB1283" s="38"/>
      <c r="AD1283" s="2"/>
      <c r="AE1283" s="2"/>
      <c r="AF1283" s="2"/>
      <c r="AG1283" s="2"/>
      <c r="AH1283" s="2"/>
      <c r="AJ1283" s="215"/>
      <c r="AK1283" s="215"/>
      <c r="AL1283" s="215"/>
      <c r="AM1283" s="215"/>
      <c r="AO1283" s="10"/>
      <c r="AP1283" s="10"/>
      <c r="AQ1283" s="10"/>
      <c r="AR1283" s="10"/>
      <c r="AS1283" s="10"/>
      <c r="AU1283" s="2"/>
      <c r="AV1283" s="2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</row>
    <row r="1284" spans="1:73" customFormat="1" ht="12.75" hidden="1" customHeight="1" x14ac:dyDescent="0.2">
      <c r="A1284" s="1"/>
      <c r="B1284" s="1"/>
      <c r="C1284" s="1"/>
      <c r="D1284" s="7"/>
      <c r="E1284" s="7"/>
      <c r="F1284" s="6"/>
      <c r="G1284" s="7"/>
      <c r="H1284" s="2"/>
      <c r="I1284" s="2"/>
      <c r="J1284" s="2"/>
      <c r="K1284" s="2"/>
      <c r="L1284" s="178"/>
      <c r="M1284" s="2"/>
      <c r="N1284" s="7"/>
      <c r="P1284" s="7"/>
      <c r="R1284" s="2"/>
      <c r="S1284" s="2"/>
      <c r="T1284" s="2"/>
      <c r="U1284" s="2"/>
      <c r="V1284" s="2"/>
      <c r="X1284" s="38"/>
      <c r="Y1284" s="38"/>
      <c r="Z1284" s="38"/>
      <c r="AA1284" s="38"/>
      <c r="AB1284" s="38"/>
      <c r="AD1284" s="2"/>
      <c r="AE1284" s="2"/>
      <c r="AF1284" s="2"/>
      <c r="AG1284" s="2"/>
      <c r="AH1284" s="2"/>
      <c r="AJ1284" s="215"/>
      <c r="AK1284" s="215"/>
      <c r="AL1284" s="215"/>
      <c r="AM1284" s="215"/>
      <c r="AO1284" s="10"/>
      <c r="AP1284" s="10"/>
      <c r="AQ1284" s="10"/>
      <c r="AR1284" s="10"/>
      <c r="AS1284" s="10"/>
      <c r="AU1284" s="2"/>
      <c r="AV1284" s="2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</row>
    <row r="1285" spans="1:73" customFormat="1" ht="12.75" hidden="1" customHeight="1" x14ac:dyDescent="0.2">
      <c r="A1285" s="1"/>
      <c r="B1285" s="1"/>
      <c r="C1285" s="1"/>
      <c r="D1285" s="7"/>
      <c r="E1285" s="7"/>
      <c r="F1285" s="6"/>
      <c r="G1285" s="7"/>
      <c r="H1285" s="2"/>
      <c r="I1285" s="2"/>
      <c r="J1285" s="2"/>
      <c r="K1285" s="2"/>
      <c r="L1285" s="178"/>
      <c r="M1285" s="2"/>
      <c r="N1285" s="7"/>
      <c r="P1285" s="7"/>
      <c r="R1285" s="2"/>
      <c r="S1285" s="2"/>
      <c r="T1285" s="2"/>
      <c r="U1285" s="2"/>
      <c r="V1285" s="2"/>
      <c r="X1285" s="38"/>
      <c r="Y1285" s="38"/>
      <c r="Z1285" s="38"/>
      <c r="AA1285" s="38"/>
      <c r="AB1285" s="38"/>
      <c r="AD1285" s="2"/>
      <c r="AE1285" s="2"/>
      <c r="AF1285" s="2"/>
      <c r="AG1285" s="2"/>
      <c r="AH1285" s="2"/>
      <c r="AJ1285" s="215"/>
      <c r="AK1285" s="215"/>
      <c r="AL1285" s="215"/>
      <c r="AM1285" s="215"/>
      <c r="AO1285" s="10"/>
      <c r="AP1285" s="10"/>
      <c r="AQ1285" s="10"/>
      <c r="AR1285" s="10"/>
      <c r="AS1285" s="10"/>
      <c r="AU1285" s="2"/>
      <c r="AV1285" s="2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</row>
    <row r="1286" spans="1:73" customFormat="1" ht="12.75" hidden="1" customHeight="1" x14ac:dyDescent="0.2">
      <c r="A1286" s="1"/>
      <c r="B1286" s="1"/>
      <c r="C1286" s="1"/>
      <c r="D1286" s="7"/>
      <c r="E1286" s="7"/>
      <c r="F1286" s="6"/>
      <c r="G1286" s="7"/>
      <c r="H1286" s="2"/>
      <c r="I1286" s="2"/>
      <c r="J1286" s="2"/>
      <c r="K1286" s="2"/>
      <c r="L1286" s="178"/>
      <c r="M1286" s="2"/>
      <c r="N1286" s="7"/>
      <c r="P1286" s="7"/>
      <c r="R1286" s="2"/>
      <c r="S1286" s="2"/>
      <c r="T1286" s="2"/>
      <c r="U1286" s="2"/>
      <c r="V1286" s="2"/>
      <c r="X1286" s="38"/>
      <c r="Y1286" s="38"/>
      <c r="Z1286" s="38"/>
      <c r="AA1286" s="38"/>
      <c r="AB1286" s="38"/>
      <c r="AD1286" s="2"/>
      <c r="AE1286" s="2"/>
      <c r="AF1286" s="2"/>
      <c r="AG1286" s="2"/>
      <c r="AH1286" s="2"/>
      <c r="AJ1286" s="215"/>
      <c r="AK1286" s="215"/>
      <c r="AL1286" s="215"/>
      <c r="AM1286" s="215"/>
      <c r="AO1286" s="10"/>
      <c r="AP1286" s="10"/>
      <c r="AQ1286" s="10"/>
      <c r="AR1286" s="10"/>
      <c r="AS1286" s="10"/>
      <c r="AU1286" s="2"/>
      <c r="AV1286" s="2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</row>
    <row r="1287" spans="1:73" customFormat="1" ht="12.75" hidden="1" customHeight="1" x14ac:dyDescent="0.2">
      <c r="A1287" s="1"/>
      <c r="B1287" s="1"/>
      <c r="C1287" s="1"/>
      <c r="D1287" s="7"/>
      <c r="E1287" s="7"/>
      <c r="F1287" s="6"/>
      <c r="G1287" s="7"/>
      <c r="H1287" s="2"/>
      <c r="I1287" s="2"/>
      <c r="J1287" s="2"/>
      <c r="K1287" s="2"/>
      <c r="L1287" s="178"/>
      <c r="M1287" s="2"/>
      <c r="N1287" s="7"/>
      <c r="P1287" s="7"/>
      <c r="R1287" s="2"/>
      <c r="S1287" s="2"/>
      <c r="T1287" s="2"/>
      <c r="U1287" s="2"/>
      <c r="V1287" s="2"/>
      <c r="X1287" s="38"/>
      <c r="Y1287" s="38"/>
      <c r="Z1287" s="38"/>
      <c r="AA1287" s="38"/>
      <c r="AB1287" s="38"/>
      <c r="AD1287" s="2"/>
      <c r="AE1287" s="2"/>
      <c r="AF1287" s="2"/>
      <c r="AG1287" s="2"/>
      <c r="AH1287" s="2"/>
      <c r="AJ1287" s="215"/>
      <c r="AK1287" s="215"/>
      <c r="AL1287" s="215"/>
      <c r="AM1287" s="215"/>
      <c r="AO1287" s="10"/>
      <c r="AP1287" s="10"/>
      <c r="AQ1287" s="10"/>
      <c r="AR1287" s="10"/>
      <c r="AS1287" s="10"/>
      <c r="AU1287" s="2"/>
      <c r="AV1287" s="2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</row>
    <row r="1288" spans="1:73" customFormat="1" ht="12.75" hidden="1" customHeight="1" x14ac:dyDescent="0.2">
      <c r="A1288" s="1"/>
      <c r="B1288" s="1"/>
      <c r="C1288" s="1"/>
      <c r="D1288" s="7"/>
      <c r="E1288" s="7"/>
      <c r="F1288" s="6"/>
      <c r="G1288" s="7"/>
      <c r="H1288" s="2"/>
      <c r="I1288" s="2"/>
      <c r="J1288" s="2"/>
      <c r="K1288" s="2"/>
      <c r="L1288" s="178"/>
      <c r="M1288" s="2"/>
      <c r="N1288" s="7"/>
      <c r="P1288" s="7"/>
      <c r="R1288" s="2"/>
      <c r="S1288" s="2"/>
      <c r="T1288" s="2"/>
      <c r="U1288" s="2"/>
      <c r="V1288" s="2"/>
      <c r="X1288" s="38"/>
      <c r="Y1288" s="38"/>
      <c r="Z1288" s="38"/>
      <c r="AA1288" s="38"/>
      <c r="AB1288" s="38"/>
      <c r="AD1288" s="2"/>
      <c r="AE1288" s="2"/>
      <c r="AF1288" s="2"/>
      <c r="AG1288" s="2"/>
      <c r="AH1288" s="2"/>
      <c r="AJ1288" s="215"/>
      <c r="AK1288" s="215"/>
      <c r="AL1288" s="215"/>
      <c r="AM1288" s="215"/>
      <c r="AO1288" s="10"/>
      <c r="AP1288" s="10"/>
      <c r="AQ1288" s="10"/>
      <c r="AR1288" s="10"/>
      <c r="AS1288" s="10"/>
      <c r="AU1288" s="2"/>
      <c r="AV1288" s="2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</row>
    <row r="1289" spans="1:73" customFormat="1" ht="12.75" hidden="1" customHeight="1" x14ac:dyDescent="0.2">
      <c r="A1289" s="1"/>
      <c r="B1289" s="1"/>
      <c r="C1289" s="1"/>
      <c r="D1289" s="7"/>
      <c r="E1289" s="7"/>
      <c r="F1289" s="6"/>
      <c r="G1289" s="7"/>
      <c r="H1289" s="2"/>
      <c r="I1289" s="2"/>
      <c r="J1289" s="2"/>
      <c r="K1289" s="2"/>
      <c r="L1289" s="178"/>
      <c r="M1289" s="2"/>
      <c r="N1289" s="7"/>
      <c r="P1289" s="7"/>
      <c r="R1289" s="2"/>
      <c r="S1289" s="2"/>
      <c r="T1289" s="2"/>
      <c r="U1289" s="2"/>
      <c r="V1289" s="2"/>
      <c r="X1289" s="38"/>
      <c r="Y1289" s="38"/>
      <c r="Z1289" s="38"/>
      <c r="AA1289" s="38"/>
      <c r="AB1289" s="38"/>
      <c r="AD1289" s="2"/>
      <c r="AE1289" s="2"/>
      <c r="AF1289" s="2"/>
      <c r="AG1289" s="2"/>
      <c r="AH1289" s="2"/>
      <c r="AJ1289" s="215"/>
      <c r="AK1289" s="215"/>
      <c r="AL1289" s="215"/>
      <c r="AM1289" s="215"/>
      <c r="AO1289" s="10"/>
      <c r="AP1289" s="10"/>
      <c r="AQ1289" s="10"/>
      <c r="AR1289" s="10"/>
      <c r="AS1289" s="10"/>
      <c r="AU1289" s="2"/>
      <c r="AV1289" s="2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</row>
    <row r="1290" spans="1:73" customFormat="1" ht="12.75" hidden="1" customHeight="1" x14ac:dyDescent="0.2">
      <c r="A1290" s="1"/>
      <c r="B1290" s="1"/>
      <c r="C1290" s="1"/>
      <c r="D1290" s="7"/>
      <c r="E1290" s="7"/>
      <c r="F1290" s="6"/>
      <c r="G1290" s="7"/>
      <c r="H1290" s="2"/>
      <c r="I1290" s="2"/>
      <c r="J1290" s="2"/>
      <c r="K1290" s="2"/>
      <c r="L1290" s="178"/>
      <c r="M1290" s="2"/>
      <c r="N1290" s="7"/>
      <c r="P1290" s="7"/>
      <c r="R1290" s="2"/>
      <c r="S1290" s="2"/>
      <c r="T1290" s="2"/>
      <c r="U1290" s="2"/>
      <c r="V1290" s="2"/>
      <c r="X1290" s="38"/>
      <c r="Y1290" s="38"/>
      <c r="Z1290" s="38"/>
      <c r="AA1290" s="38"/>
      <c r="AB1290" s="38"/>
      <c r="AD1290" s="2"/>
      <c r="AE1290" s="2"/>
      <c r="AF1290" s="2"/>
      <c r="AG1290" s="2"/>
      <c r="AH1290" s="2"/>
      <c r="AJ1290" s="215"/>
      <c r="AK1290" s="215"/>
      <c r="AL1290" s="215"/>
      <c r="AM1290" s="215"/>
      <c r="AO1290" s="10"/>
      <c r="AP1290" s="10"/>
      <c r="AQ1290" s="10"/>
      <c r="AR1290" s="10"/>
      <c r="AS1290" s="10"/>
      <c r="AU1290" s="2"/>
      <c r="AV1290" s="2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</row>
    <row r="1291" spans="1:73" customFormat="1" ht="12.75" hidden="1" customHeight="1" x14ac:dyDescent="0.2">
      <c r="A1291" s="1"/>
      <c r="B1291" s="1"/>
      <c r="C1291" s="1"/>
      <c r="D1291" s="7"/>
      <c r="E1291" s="7"/>
      <c r="F1291" s="6"/>
      <c r="G1291" s="7"/>
      <c r="H1291" s="2"/>
      <c r="I1291" s="2"/>
      <c r="J1291" s="2"/>
      <c r="K1291" s="2"/>
      <c r="L1291" s="178"/>
      <c r="M1291" s="2"/>
      <c r="N1291" s="7"/>
      <c r="P1291" s="7"/>
      <c r="R1291" s="2"/>
      <c r="S1291" s="2"/>
      <c r="T1291" s="2"/>
      <c r="U1291" s="2"/>
      <c r="V1291" s="2"/>
      <c r="X1291" s="38"/>
      <c r="Y1291" s="38"/>
      <c r="Z1291" s="38"/>
      <c r="AA1291" s="38"/>
      <c r="AB1291" s="38"/>
      <c r="AD1291" s="2"/>
      <c r="AE1291" s="2"/>
      <c r="AF1291" s="2"/>
      <c r="AG1291" s="2"/>
      <c r="AH1291" s="2"/>
      <c r="AJ1291" s="215"/>
      <c r="AK1291" s="215"/>
      <c r="AL1291" s="215"/>
      <c r="AM1291" s="215"/>
      <c r="AO1291" s="10"/>
      <c r="AP1291" s="10"/>
      <c r="AQ1291" s="10"/>
      <c r="AR1291" s="10"/>
      <c r="AS1291" s="10"/>
      <c r="AU1291" s="2"/>
      <c r="AV1291" s="2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</row>
    <row r="1292" spans="1:73" customFormat="1" ht="12.75" hidden="1" customHeight="1" x14ac:dyDescent="0.2">
      <c r="A1292" s="1"/>
      <c r="B1292" s="1"/>
      <c r="C1292" s="1"/>
      <c r="D1292" s="7"/>
      <c r="E1292" s="7"/>
      <c r="F1292" s="6"/>
      <c r="G1292" s="7"/>
      <c r="H1292" s="2"/>
      <c r="I1292" s="2"/>
      <c r="J1292" s="2"/>
      <c r="K1292" s="2"/>
      <c r="L1292" s="178"/>
      <c r="M1292" s="2"/>
      <c r="N1292" s="7"/>
      <c r="P1292" s="7"/>
      <c r="R1292" s="2"/>
      <c r="S1292" s="2"/>
      <c r="T1292" s="2"/>
      <c r="U1292" s="2"/>
      <c r="V1292" s="2"/>
      <c r="X1292" s="38"/>
      <c r="Y1292" s="38"/>
      <c r="Z1292" s="38"/>
      <c r="AA1292" s="38"/>
      <c r="AB1292" s="38"/>
      <c r="AD1292" s="2"/>
      <c r="AE1292" s="2"/>
      <c r="AF1292" s="2"/>
      <c r="AG1292" s="2"/>
      <c r="AH1292" s="2"/>
      <c r="AJ1292" s="215"/>
      <c r="AK1292" s="215"/>
      <c r="AL1292" s="215"/>
      <c r="AM1292" s="215"/>
      <c r="AO1292" s="10"/>
      <c r="AP1292" s="10"/>
      <c r="AQ1292" s="10"/>
      <c r="AR1292" s="10"/>
      <c r="AS1292" s="10"/>
      <c r="AU1292" s="2"/>
      <c r="AV1292" s="2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</row>
    <row r="1293" spans="1:73" customFormat="1" ht="12.75" hidden="1" customHeight="1" x14ac:dyDescent="0.2">
      <c r="A1293" s="1"/>
      <c r="B1293" s="1"/>
      <c r="C1293" s="1"/>
      <c r="D1293" s="7"/>
      <c r="E1293" s="7"/>
      <c r="F1293" s="6"/>
      <c r="G1293" s="7"/>
      <c r="H1293" s="2"/>
      <c r="I1293" s="2"/>
      <c r="J1293" s="2"/>
      <c r="K1293" s="2"/>
      <c r="L1293" s="178"/>
      <c r="M1293" s="2"/>
      <c r="N1293" s="7"/>
      <c r="P1293" s="7"/>
      <c r="R1293" s="2"/>
      <c r="S1293" s="2"/>
      <c r="T1293" s="2"/>
      <c r="U1293" s="2"/>
      <c r="V1293" s="2"/>
      <c r="X1293" s="38"/>
      <c r="Y1293" s="38"/>
      <c r="Z1293" s="38"/>
      <c r="AA1293" s="38"/>
      <c r="AB1293" s="38"/>
      <c r="AD1293" s="2"/>
      <c r="AE1293" s="2"/>
      <c r="AF1293" s="2"/>
      <c r="AG1293" s="2"/>
      <c r="AH1293" s="2"/>
      <c r="AJ1293" s="215"/>
      <c r="AK1293" s="215"/>
      <c r="AL1293" s="215"/>
      <c r="AM1293" s="215"/>
      <c r="AO1293" s="10"/>
      <c r="AP1293" s="10"/>
      <c r="AQ1293" s="10"/>
      <c r="AR1293" s="10"/>
      <c r="AS1293" s="10"/>
      <c r="AU1293" s="2"/>
      <c r="AV1293" s="2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</row>
    <row r="1294" spans="1:73" customFormat="1" ht="12.75" hidden="1" customHeight="1" x14ac:dyDescent="0.2">
      <c r="A1294" s="1"/>
      <c r="B1294" s="1"/>
      <c r="C1294" s="1"/>
      <c r="D1294" s="7"/>
      <c r="E1294" s="7"/>
      <c r="F1294" s="6"/>
      <c r="G1294" s="7"/>
      <c r="H1294" s="2"/>
      <c r="I1294" s="2"/>
      <c r="J1294" s="2"/>
      <c r="K1294" s="2"/>
      <c r="L1294" s="178"/>
      <c r="M1294" s="2"/>
      <c r="N1294" s="7"/>
      <c r="P1294" s="7"/>
      <c r="R1294" s="2"/>
      <c r="S1294" s="2"/>
      <c r="T1294" s="2"/>
      <c r="U1294" s="2"/>
      <c r="V1294" s="2"/>
      <c r="X1294" s="38"/>
      <c r="Y1294" s="38"/>
      <c r="Z1294" s="38"/>
      <c r="AA1294" s="38"/>
      <c r="AB1294" s="38"/>
      <c r="AD1294" s="2"/>
      <c r="AE1294" s="2"/>
      <c r="AF1294" s="2"/>
      <c r="AG1294" s="2"/>
      <c r="AH1294" s="2"/>
      <c r="AJ1294" s="215"/>
      <c r="AK1294" s="215"/>
      <c r="AL1294" s="215"/>
      <c r="AM1294" s="215"/>
      <c r="AO1294" s="10"/>
      <c r="AP1294" s="10"/>
      <c r="AQ1294" s="10"/>
      <c r="AR1294" s="10"/>
      <c r="AS1294" s="10"/>
      <c r="AU1294" s="2"/>
      <c r="AV1294" s="2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</row>
    <row r="1295" spans="1:73" customFormat="1" ht="12.75" hidden="1" customHeight="1" x14ac:dyDescent="0.2">
      <c r="A1295" s="1"/>
      <c r="B1295" s="1"/>
      <c r="C1295" s="1"/>
      <c r="D1295" s="7"/>
      <c r="E1295" s="7"/>
      <c r="F1295" s="6"/>
      <c r="G1295" s="7"/>
      <c r="H1295" s="2"/>
      <c r="I1295" s="2"/>
      <c r="J1295" s="2"/>
      <c r="K1295" s="2"/>
      <c r="L1295" s="178"/>
      <c r="M1295" s="2"/>
      <c r="N1295" s="7"/>
      <c r="P1295" s="7"/>
      <c r="R1295" s="2"/>
      <c r="S1295" s="2"/>
      <c r="T1295" s="2"/>
      <c r="U1295" s="2"/>
      <c r="V1295" s="2"/>
      <c r="X1295" s="38"/>
      <c r="Y1295" s="38"/>
      <c r="Z1295" s="38"/>
      <c r="AA1295" s="38"/>
      <c r="AB1295" s="38"/>
      <c r="AD1295" s="2"/>
      <c r="AE1295" s="2"/>
      <c r="AF1295" s="2"/>
      <c r="AG1295" s="2"/>
      <c r="AH1295" s="2"/>
      <c r="AJ1295" s="215"/>
      <c r="AK1295" s="215"/>
      <c r="AL1295" s="215"/>
      <c r="AM1295" s="215"/>
      <c r="AO1295" s="10"/>
      <c r="AP1295" s="10"/>
      <c r="AQ1295" s="10"/>
      <c r="AR1295" s="10"/>
      <c r="AS1295" s="10"/>
      <c r="AU1295" s="2"/>
      <c r="AV1295" s="2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</row>
    <row r="1296" spans="1:73" customFormat="1" ht="12.75" hidden="1" customHeight="1" x14ac:dyDescent="0.2">
      <c r="A1296" s="1"/>
      <c r="B1296" s="1"/>
      <c r="C1296" s="1"/>
      <c r="D1296" s="7"/>
      <c r="E1296" s="7"/>
      <c r="F1296" s="6"/>
      <c r="G1296" s="7"/>
      <c r="H1296" s="2"/>
      <c r="I1296" s="2"/>
      <c r="J1296" s="2"/>
      <c r="K1296" s="2"/>
      <c r="L1296" s="178"/>
      <c r="M1296" s="2"/>
      <c r="N1296" s="7"/>
      <c r="P1296" s="7"/>
      <c r="R1296" s="2"/>
      <c r="S1296" s="2"/>
      <c r="T1296" s="2"/>
      <c r="U1296" s="2"/>
      <c r="V1296" s="2"/>
      <c r="X1296" s="38"/>
      <c r="Y1296" s="38"/>
      <c r="Z1296" s="38"/>
      <c r="AA1296" s="38"/>
      <c r="AB1296" s="38"/>
      <c r="AD1296" s="2"/>
      <c r="AE1296" s="2"/>
      <c r="AF1296" s="2"/>
      <c r="AG1296" s="2"/>
      <c r="AH1296" s="2"/>
      <c r="AJ1296" s="215"/>
      <c r="AK1296" s="215"/>
      <c r="AL1296" s="215"/>
      <c r="AM1296" s="215"/>
      <c r="AO1296" s="10"/>
      <c r="AP1296" s="10"/>
      <c r="AQ1296" s="10"/>
      <c r="AR1296" s="10"/>
      <c r="AS1296" s="10"/>
      <c r="AU1296" s="2"/>
      <c r="AV1296" s="2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</row>
    <row r="1297" spans="1:73" customFormat="1" ht="12.75" hidden="1" customHeight="1" x14ac:dyDescent="0.2">
      <c r="A1297" s="1"/>
      <c r="B1297" s="1"/>
      <c r="C1297" s="1"/>
      <c r="D1297" s="7"/>
      <c r="E1297" s="7"/>
      <c r="F1297" s="6"/>
      <c r="G1297" s="7"/>
      <c r="H1297" s="2"/>
      <c r="I1297" s="2"/>
      <c r="J1297" s="2"/>
      <c r="K1297" s="2"/>
      <c r="L1297" s="178"/>
      <c r="M1297" s="2"/>
      <c r="N1297" s="7"/>
      <c r="P1297" s="7"/>
      <c r="R1297" s="2"/>
      <c r="S1297" s="2"/>
      <c r="T1297" s="2"/>
      <c r="U1297" s="2"/>
      <c r="V1297" s="2"/>
      <c r="X1297" s="38"/>
      <c r="Y1297" s="38"/>
      <c r="Z1297" s="38"/>
      <c r="AA1297" s="38"/>
      <c r="AB1297" s="38"/>
      <c r="AD1297" s="2"/>
      <c r="AE1297" s="2"/>
      <c r="AF1297" s="2"/>
      <c r="AG1297" s="2"/>
      <c r="AH1297" s="2"/>
      <c r="AJ1297" s="215"/>
      <c r="AK1297" s="215"/>
      <c r="AL1297" s="215"/>
      <c r="AM1297" s="215"/>
      <c r="AO1297" s="10"/>
      <c r="AP1297" s="10"/>
      <c r="AQ1297" s="10"/>
      <c r="AR1297" s="10"/>
      <c r="AS1297" s="10"/>
      <c r="AU1297" s="2"/>
      <c r="AV1297" s="2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</row>
    <row r="1298" spans="1:73" customFormat="1" ht="12.75" hidden="1" customHeight="1" x14ac:dyDescent="0.2">
      <c r="A1298" s="1"/>
      <c r="B1298" s="1"/>
      <c r="C1298" s="1"/>
      <c r="D1298" s="7"/>
      <c r="E1298" s="7"/>
      <c r="F1298" s="6"/>
      <c r="G1298" s="7"/>
      <c r="H1298" s="2"/>
      <c r="I1298" s="2"/>
      <c r="J1298" s="2"/>
      <c r="K1298" s="2"/>
      <c r="L1298" s="178"/>
      <c r="M1298" s="2"/>
      <c r="N1298" s="7"/>
      <c r="P1298" s="7"/>
      <c r="R1298" s="2"/>
      <c r="S1298" s="2"/>
      <c r="T1298" s="2"/>
      <c r="U1298" s="2"/>
      <c r="V1298" s="2"/>
      <c r="X1298" s="38"/>
      <c r="Y1298" s="38"/>
      <c r="Z1298" s="38"/>
      <c r="AA1298" s="38"/>
      <c r="AB1298" s="38"/>
      <c r="AD1298" s="2"/>
      <c r="AE1298" s="2"/>
      <c r="AF1298" s="2"/>
      <c r="AG1298" s="2"/>
      <c r="AH1298" s="2"/>
      <c r="AJ1298" s="215"/>
      <c r="AK1298" s="215"/>
      <c r="AL1298" s="215"/>
      <c r="AM1298" s="215"/>
      <c r="AO1298" s="10"/>
      <c r="AP1298" s="10"/>
      <c r="AQ1298" s="10"/>
      <c r="AR1298" s="10"/>
      <c r="AS1298" s="10"/>
      <c r="AU1298" s="2"/>
      <c r="AV1298" s="2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</row>
    <row r="1299" spans="1:73" customFormat="1" ht="12.75" hidden="1" customHeight="1" x14ac:dyDescent="0.2">
      <c r="A1299" s="1"/>
      <c r="B1299" s="1"/>
      <c r="C1299" s="1"/>
      <c r="D1299" s="7"/>
      <c r="E1299" s="7"/>
      <c r="F1299" s="6"/>
      <c r="G1299" s="7"/>
      <c r="H1299" s="2"/>
      <c r="I1299" s="2"/>
      <c r="J1299" s="2"/>
      <c r="K1299" s="2"/>
      <c r="L1299" s="178"/>
      <c r="M1299" s="2"/>
      <c r="N1299" s="7"/>
      <c r="P1299" s="7"/>
      <c r="R1299" s="2"/>
      <c r="S1299" s="2"/>
      <c r="T1299" s="2"/>
      <c r="U1299" s="2"/>
      <c r="V1299" s="2"/>
      <c r="X1299" s="38"/>
      <c r="Y1299" s="38"/>
      <c r="Z1299" s="38"/>
      <c r="AA1299" s="38"/>
      <c r="AB1299" s="38"/>
      <c r="AD1299" s="2"/>
      <c r="AE1299" s="2"/>
      <c r="AF1299" s="2"/>
      <c r="AG1299" s="2"/>
      <c r="AH1299" s="2"/>
      <c r="AJ1299" s="215"/>
      <c r="AK1299" s="215"/>
      <c r="AL1299" s="215"/>
      <c r="AM1299" s="215"/>
      <c r="AO1299" s="10"/>
      <c r="AP1299" s="10"/>
      <c r="AQ1299" s="10"/>
      <c r="AR1299" s="10"/>
      <c r="AS1299" s="10"/>
      <c r="AU1299" s="2"/>
      <c r="AV1299" s="2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</row>
    <row r="1300" spans="1:73" customFormat="1" ht="12.75" hidden="1" customHeight="1" x14ac:dyDescent="0.2">
      <c r="A1300" s="1"/>
      <c r="B1300" s="1"/>
      <c r="C1300" s="1"/>
      <c r="D1300" s="7"/>
      <c r="E1300" s="7"/>
      <c r="F1300" s="6"/>
      <c r="G1300" s="7"/>
      <c r="H1300" s="2"/>
      <c r="I1300" s="2"/>
      <c r="J1300" s="2"/>
      <c r="K1300" s="2"/>
      <c r="L1300" s="178"/>
      <c r="M1300" s="2"/>
      <c r="N1300" s="7"/>
      <c r="P1300" s="7"/>
      <c r="R1300" s="2"/>
      <c r="S1300" s="2"/>
      <c r="T1300" s="2"/>
      <c r="U1300" s="2"/>
      <c r="V1300" s="2"/>
      <c r="X1300" s="38"/>
      <c r="Y1300" s="38"/>
      <c r="Z1300" s="38"/>
      <c r="AA1300" s="38"/>
      <c r="AB1300" s="38"/>
      <c r="AD1300" s="2"/>
      <c r="AE1300" s="2"/>
      <c r="AF1300" s="2"/>
      <c r="AG1300" s="2"/>
      <c r="AH1300" s="2"/>
      <c r="AJ1300" s="215"/>
      <c r="AK1300" s="215"/>
      <c r="AL1300" s="215"/>
      <c r="AM1300" s="215"/>
      <c r="AO1300" s="10"/>
      <c r="AP1300" s="10"/>
      <c r="AQ1300" s="10"/>
      <c r="AR1300" s="10"/>
      <c r="AS1300" s="10"/>
      <c r="AU1300" s="2"/>
      <c r="AV1300" s="2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</row>
    <row r="1301" spans="1:73" customFormat="1" ht="12.75" hidden="1" customHeight="1" x14ac:dyDescent="0.2">
      <c r="A1301" s="1"/>
      <c r="B1301" s="1"/>
      <c r="C1301" s="1"/>
      <c r="D1301" s="7"/>
      <c r="E1301" s="7"/>
      <c r="F1301" s="6"/>
      <c r="G1301" s="7"/>
      <c r="H1301" s="2"/>
      <c r="I1301" s="2"/>
      <c r="J1301" s="2"/>
      <c r="K1301" s="2"/>
      <c r="L1301" s="178"/>
      <c r="M1301" s="2"/>
      <c r="N1301" s="7"/>
      <c r="P1301" s="7"/>
      <c r="R1301" s="2"/>
      <c r="S1301" s="2"/>
      <c r="T1301" s="2"/>
      <c r="U1301" s="2"/>
      <c r="V1301" s="2"/>
      <c r="X1301" s="38"/>
      <c r="Y1301" s="38"/>
      <c r="Z1301" s="38"/>
      <c r="AA1301" s="38"/>
      <c r="AB1301" s="38"/>
      <c r="AD1301" s="2"/>
      <c r="AE1301" s="2"/>
      <c r="AF1301" s="2"/>
      <c r="AG1301" s="2"/>
      <c r="AH1301" s="2"/>
      <c r="AJ1301" s="215"/>
      <c r="AK1301" s="215"/>
      <c r="AL1301" s="215"/>
      <c r="AM1301" s="215"/>
      <c r="AO1301" s="10"/>
      <c r="AP1301" s="10"/>
      <c r="AQ1301" s="10"/>
      <c r="AR1301" s="10"/>
      <c r="AS1301" s="10"/>
      <c r="AU1301" s="2"/>
      <c r="AV1301" s="2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</row>
    <row r="1302" spans="1:73" customFormat="1" ht="12.75" hidden="1" customHeight="1" x14ac:dyDescent="0.2">
      <c r="A1302" s="1"/>
      <c r="B1302" s="1"/>
      <c r="C1302" s="1"/>
      <c r="D1302" s="7"/>
      <c r="E1302" s="7"/>
      <c r="F1302" s="6"/>
      <c r="G1302" s="7"/>
      <c r="H1302" s="2"/>
      <c r="I1302" s="2"/>
      <c r="J1302" s="2"/>
      <c r="K1302" s="2"/>
      <c r="L1302" s="178"/>
      <c r="M1302" s="2"/>
      <c r="N1302" s="7"/>
      <c r="P1302" s="7"/>
      <c r="R1302" s="2"/>
      <c r="S1302" s="2"/>
      <c r="T1302" s="2"/>
      <c r="U1302" s="2"/>
      <c r="V1302" s="2"/>
      <c r="X1302" s="38"/>
      <c r="Y1302" s="38"/>
      <c r="Z1302" s="38"/>
      <c r="AA1302" s="38"/>
      <c r="AB1302" s="38"/>
      <c r="AD1302" s="2"/>
      <c r="AE1302" s="2"/>
      <c r="AF1302" s="2"/>
      <c r="AG1302" s="2"/>
      <c r="AH1302" s="2"/>
      <c r="AJ1302" s="215"/>
      <c r="AK1302" s="215"/>
      <c r="AL1302" s="215"/>
      <c r="AM1302" s="215"/>
      <c r="AO1302" s="10"/>
      <c r="AP1302" s="10"/>
      <c r="AQ1302" s="10"/>
      <c r="AR1302" s="10"/>
      <c r="AS1302" s="10"/>
      <c r="AU1302" s="2"/>
      <c r="AV1302" s="2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</row>
    <row r="1303" spans="1:73" customFormat="1" ht="12.75" hidden="1" customHeight="1" x14ac:dyDescent="0.2">
      <c r="A1303" s="1"/>
      <c r="B1303" s="1"/>
      <c r="C1303" s="1"/>
      <c r="D1303" s="7"/>
      <c r="E1303" s="7"/>
      <c r="F1303" s="6"/>
      <c r="G1303" s="7"/>
      <c r="H1303" s="2"/>
      <c r="I1303" s="2"/>
      <c r="J1303" s="2"/>
      <c r="K1303" s="2"/>
      <c r="L1303" s="178"/>
      <c r="M1303" s="2"/>
      <c r="N1303" s="7"/>
      <c r="P1303" s="7"/>
      <c r="R1303" s="2"/>
      <c r="S1303" s="2"/>
      <c r="T1303" s="2"/>
      <c r="U1303" s="2"/>
      <c r="V1303" s="2"/>
      <c r="X1303" s="38"/>
      <c r="Y1303" s="38"/>
      <c r="Z1303" s="38"/>
      <c r="AA1303" s="38"/>
      <c r="AB1303" s="38"/>
      <c r="AD1303" s="2"/>
      <c r="AE1303" s="2"/>
      <c r="AF1303" s="2"/>
      <c r="AG1303" s="2"/>
      <c r="AH1303" s="2"/>
      <c r="AJ1303" s="215"/>
      <c r="AK1303" s="215"/>
      <c r="AL1303" s="215"/>
      <c r="AM1303" s="215"/>
      <c r="AO1303" s="10"/>
      <c r="AP1303" s="10"/>
      <c r="AQ1303" s="10"/>
      <c r="AR1303" s="10"/>
      <c r="AS1303" s="10"/>
      <c r="AU1303" s="2"/>
      <c r="AV1303" s="2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</row>
    <row r="1304" spans="1:73" customFormat="1" ht="12.75" hidden="1" customHeight="1" x14ac:dyDescent="0.2">
      <c r="A1304" s="1"/>
      <c r="B1304" s="1"/>
      <c r="C1304" s="1"/>
      <c r="D1304" s="7"/>
      <c r="E1304" s="7"/>
      <c r="F1304" s="6"/>
      <c r="G1304" s="7"/>
      <c r="H1304" s="2"/>
      <c r="I1304" s="2"/>
      <c r="J1304" s="2"/>
      <c r="K1304" s="2"/>
      <c r="L1304" s="178"/>
      <c r="M1304" s="2"/>
      <c r="N1304" s="7"/>
      <c r="P1304" s="7"/>
      <c r="R1304" s="2"/>
      <c r="S1304" s="2"/>
      <c r="T1304" s="2"/>
      <c r="U1304" s="2"/>
      <c r="V1304" s="2"/>
      <c r="X1304" s="38"/>
      <c r="Y1304" s="38"/>
      <c r="Z1304" s="38"/>
      <c r="AA1304" s="38"/>
      <c r="AB1304" s="38"/>
      <c r="AD1304" s="2"/>
      <c r="AE1304" s="2"/>
      <c r="AF1304" s="2"/>
      <c r="AG1304" s="2"/>
      <c r="AH1304" s="2"/>
      <c r="AJ1304" s="215"/>
      <c r="AK1304" s="215"/>
      <c r="AL1304" s="215"/>
      <c r="AM1304" s="215"/>
      <c r="AO1304" s="10"/>
      <c r="AP1304" s="10"/>
      <c r="AQ1304" s="10"/>
      <c r="AR1304" s="10"/>
      <c r="AS1304" s="10"/>
      <c r="AU1304" s="2"/>
      <c r="AV1304" s="2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</row>
    <row r="1305" spans="1:73" customFormat="1" ht="12.75" hidden="1" customHeight="1" x14ac:dyDescent="0.2">
      <c r="A1305" s="1"/>
      <c r="B1305" s="1"/>
      <c r="C1305" s="1"/>
      <c r="D1305" s="7"/>
      <c r="E1305" s="7"/>
      <c r="F1305" s="6"/>
      <c r="G1305" s="7"/>
      <c r="H1305" s="2"/>
      <c r="I1305" s="2"/>
      <c r="J1305" s="2"/>
      <c r="K1305" s="2"/>
      <c r="L1305" s="178"/>
      <c r="M1305" s="2"/>
      <c r="N1305" s="7"/>
      <c r="P1305" s="7"/>
      <c r="R1305" s="2"/>
      <c r="S1305" s="2"/>
      <c r="T1305" s="2"/>
      <c r="U1305" s="2"/>
      <c r="V1305" s="2"/>
      <c r="X1305" s="38"/>
      <c r="Y1305" s="38"/>
      <c r="Z1305" s="38"/>
      <c r="AA1305" s="38"/>
      <c r="AB1305" s="38"/>
      <c r="AD1305" s="2"/>
      <c r="AE1305" s="2"/>
      <c r="AF1305" s="2"/>
      <c r="AG1305" s="2"/>
      <c r="AH1305" s="2"/>
      <c r="AJ1305" s="215"/>
      <c r="AK1305" s="215"/>
      <c r="AL1305" s="215"/>
      <c r="AM1305" s="215"/>
      <c r="AO1305" s="10"/>
      <c r="AP1305" s="10"/>
      <c r="AQ1305" s="10"/>
      <c r="AR1305" s="10"/>
      <c r="AS1305" s="10"/>
      <c r="AU1305" s="2"/>
      <c r="AV1305" s="2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</row>
    <row r="1306" spans="1:73" customFormat="1" ht="12.75" hidden="1" customHeight="1" x14ac:dyDescent="0.2">
      <c r="A1306" s="1"/>
      <c r="B1306" s="1"/>
      <c r="C1306" s="1"/>
      <c r="D1306" s="7"/>
      <c r="E1306" s="7"/>
      <c r="F1306" s="6"/>
      <c r="G1306" s="7"/>
      <c r="H1306" s="2"/>
      <c r="I1306" s="2"/>
      <c r="J1306" s="2"/>
      <c r="K1306" s="2"/>
      <c r="L1306" s="178"/>
      <c r="M1306" s="2"/>
      <c r="N1306" s="7"/>
      <c r="P1306" s="7"/>
      <c r="R1306" s="2"/>
      <c r="S1306" s="2"/>
      <c r="T1306" s="2"/>
      <c r="U1306" s="2"/>
      <c r="V1306" s="2"/>
      <c r="X1306" s="38"/>
      <c r="Y1306" s="38"/>
      <c r="Z1306" s="38"/>
      <c r="AA1306" s="38"/>
      <c r="AB1306" s="38"/>
      <c r="AD1306" s="2"/>
      <c r="AE1306" s="2"/>
      <c r="AF1306" s="2"/>
      <c r="AG1306" s="2"/>
      <c r="AH1306" s="2"/>
      <c r="AJ1306" s="215"/>
      <c r="AK1306" s="215"/>
      <c r="AL1306" s="215"/>
      <c r="AM1306" s="215"/>
      <c r="AO1306" s="10"/>
      <c r="AP1306" s="10"/>
      <c r="AQ1306" s="10"/>
      <c r="AR1306" s="10"/>
      <c r="AS1306" s="10"/>
      <c r="AU1306" s="2"/>
      <c r="AV1306" s="2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</row>
    <row r="1307" spans="1:73" customFormat="1" ht="12.75" hidden="1" customHeight="1" x14ac:dyDescent="0.2">
      <c r="A1307" s="1"/>
      <c r="B1307" s="1"/>
      <c r="C1307" s="1"/>
      <c r="D1307" s="7"/>
      <c r="E1307" s="7"/>
      <c r="F1307" s="6"/>
      <c r="G1307" s="7"/>
      <c r="H1307" s="2"/>
      <c r="I1307" s="2"/>
      <c r="J1307" s="2"/>
      <c r="K1307" s="2"/>
      <c r="L1307" s="178"/>
      <c r="M1307" s="2"/>
      <c r="N1307" s="7"/>
      <c r="P1307" s="7"/>
      <c r="R1307" s="2"/>
      <c r="S1307" s="2"/>
      <c r="T1307" s="2"/>
      <c r="U1307" s="2"/>
      <c r="V1307" s="2"/>
      <c r="X1307" s="38"/>
      <c r="Y1307" s="38"/>
      <c r="Z1307" s="38"/>
      <c r="AA1307" s="38"/>
      <c r="AB1307" s="38"/>
      <c r="AD1307" s="2"/>
      <c r="AE1307" s="2"/>
      <c r="AF1307" s="2"/>
      <c r="AG1307" s="2"/>
      <c r="AH1307" s="2"/>
      <c r="AJ1307" s="215"/>
      <c r="AK1307" s="215"/>
      <c r="AL1307" s="215"/>
      <c r="AM1307" s="215"/>
      <c r="AO1307" s="10"/>
      <c r="AP1307" s="10"/>
      <c r="AQ1307" s="10"/>
      <c r="AR1307" s="10"/>
      <c r="AS1307" s="10"/>
      <c r="AU1307" s="2"/>
      <c r="AV1307" s="2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</row>
    <row r="1308" spans="1:73" customFormat="1" ht="12.75" hidden="1" customHeight="1" x14ac:dyDescent="0.2">
      <c r="A1308" s="1"/>
      <c r="B1308" s="1"/>
      <c r="C1308" s="1"/>
      <c r="D1308" s="7"/>
      <c r="E1308" s="7"/>
      <c r="F1308" s="6"/>
      <c r="G1308" s="7"/>
      <c r="H1308" s="2"/>
      <c r="I1308" s="2"/>
      <c r="J1308" s="2"/>
      <c r="K1308" s="2"/>
      <c r="L1308" s="178"/>
      <c r="M1308" s="2"/>
      <c r="N1308" s="7"/>
      <c r="P1308" s="7"/>
      <c r="R1308" s="2"/>
      <c r="S1308" s="2"/>
      <c r="T1308" s="2"/>
      <c r="U1308" s="2"/>
      <c r="V1308" s="2"/>
      <c r="X1308" s="38"/>
      <c r="Y1308" s="38"/>
      <c r="Z1308" s="38"/>
      <c r="AA1308" s="38"/>
      <c r="AB1308" s="38"/>
      <c r="AD1308" s="2"/>
      <c r="AE1308" s="2"/>
      <c r="AF1308" s="2"/>
      <c r="AG1308" s="2"/>
      <c r="AH1308" s="2"/>
      <c r="AJ1308" s="215"/>
      <c r="AK1308" s="215"/>
      <c r="AL1308" s="215"/>
      <c r="AM1308" s="215"/>
      <c r="AO1308" s="10"/>
      <c r="AP1308" s="10"/>
      <c r="AQ1308" s="10"/>
      <c r="AR1308" s="10"/>
      <c r="AS1308" s="10"/>
      <c r="AU1308" s="2"/>
      <c r="AV1308" s="2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</row>
    <row r="1309" spans="1:73" customFormat="1" ht="12.75" hidden="1" customHeight="1" x14ac:dyDescent="0.2">
      <c r="A1309" s="1"/>
      <c r="B1309" s="1"/>
      <c r="C1309" s="1"/>
      <c r="D1309" s="7"/>
      <c r="E1309" s="7"/>
      <c r="F1309" s="6"/>
      <c r="G1309" s="7"/>
      <c r="H1309" s="2"/>
      <c r="I1309" s="2"/>
      <c r="J1309" s="2"/>
      <c r="K1309" s="2"/>
      <c r="L1309" s="178"/>
      <c r="M1309" s="2"/>
      <c r="N1309" s="7"/>
      <c r="P1309" s="7"/>
      <c r="R1309" s="2"/>
      <c r="S1309" s="2"/>
      <c r="T1309" s="2"/>
      <c r="U1309" s="2"/>
      <c r="V1309" s="2"/>
      <c r="X1309" s="38"/>
      <c r="Y1309" s="38"/>
      <c r="Z1309" s="38"/>
      <c r="AA1309" s="38"/>
      <c r="AB1309" s="38"/>
      <c r="AD1309" s="2"/>
      <c r="AE1309" s="2"/>
      <c r="AF1309" s="2"/>
      <c r="AG1309" s="2"/>
      <c r="AH1309" s="2"/>
      <c r="AJ1309" s="215"/>
      <c r="AK1309" s="215"/>
      <c r="AL1309" s="215"/>
      <c r="AM1309" s="215"/>
      <c r="AO1309" s="10"/>
      <c r="AP1309" s="10"/>
      <c r="AQ1309" s="10"/>
      <c r="AR1309" s="10"/>
      <c r="AS1309" s="10"/>
      <c r="AU1309" s="2"/>
      <c r="AV1309" s="2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</row>
    <row r="1310" spans="1:73" customFormat="1" ht="12.75" hidden="1" customHeight="1" x14ac:dyDescent="0.2">
      <c r="A1310" s="1"/>
      <c r="B1310" s="1"/>
      <c r="C1310" s="1"/>
      <c r="D1310" s="7"/>
      <c r="E1310" s="7"/>
      <c r="F1310" s="6"/>
      <c r="G1310" s="7"/>
      <c r="H1310" s="2"/>
      <c r="I1310" s="2"/>
      <c r="J1310" s="2"/>
      <c r="K1310" s="2"/>
      <c r="L1310" s="178"/>
      <c r="M1310" s="2"/>
      <c r="N1310" s="7"/>
      <c r="P1310" s="7"/>
      <c r="R1310" s="2"/>
      <c r="S1310" s="2"/>
      <c r="T1310" s="2"/>
      <c r="U1310" s="2"/>
      <c r="V1310" s="2"/>
      <c r="X1310" s="38"/>
      <c r="Y1310" s="38"/>
      <c r="Z1310" s="38"/>
      <c r="AA1310" s="38"/>
      <c r="AB1310" s="38"/>
      <c r="AD1310" s="2"/>
      <c r="AE1310" s="2"/>
      <c r="AF1310" s="2"/>
      <c r="AG1310" s="2"/>
      <c r="AH1310" s="2"/>
      <c r="AJ1310" s="215"/>
      <c r="AK1310" s="215"/>
      <c r="AL1310" s="215"/>
      <c r="AM1310" s="215"/>
      <c r="AO1310" s="10"/>
      <c r="AP1310" s="10"/>
      <c r="AQ1310" s="10"/>
      <c r="AR1310" s="10"/>
      <c r="AS1310" s="10"/>
      <c r="AU1310" s="2"/>
      <c r="AV1310" s="2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</row>
    <row r="1311" spans="1:73" customFormat="1" ht="12.75" hidden="1" customHeight="1" x14ac:dyDescent="0.2">
      <c r="A1311" s="1"/>
      <c r="B1311" s="1"/>
      <c r="C1311" s="1"/>
      <c r="D1311" s="7"/>
      <c r="E1311" s="7"/>
      <c r="F1311" s="6"/>
      <c r="G1311" s="7"/>
      <c r="H1311" s="2"/>
      <c r="I1311" s="2"/>
      <c r="J1311" s="2"/>
      <c r="K1311" s="2"/>
      <c r="L1311" s="178"/>
      <c r="M1311" s="2"/>
      <c r="N1311" s="7"/>
      <c r="P1311" s="7"/>
      <c r="R1311" s="2"/>
      <c r="S1311" s="2"/>
      <c r="T1311" s="2"/>
      <c r="U1311" s="2"/>
      <c r="V1311" s="2"/>
      <c r="X1311" s="38"/>
      <c r="Y1311" s="38"/>
      <c r="Z1311" s="38"/>
      <c r="AA1311" s="38"/>
      <c r="AB1311" s="38"/>
      <c r="AD1311" s="2"/>
      <c r="AE1311" s="2"/>
      <c r="AF1311" s="2"/>
      <c r="AG1311" s="2"/>
      <c r="AH1311" s="2"/>
      <c r="AJ1311" s="215"/>
      <c r="AK1311" s="215"/>
      <c r="AL1311" s="215"/>
      <c r="AM1311" s="215"/>
      <c r="AO1311" s="10"/>
      <c r="AP1311" s="10"/>
      <c r="AQ1311" s="10"/>
      <c r="AR1311" s="10"/>
      <c r="AS1311" s="10"/>
      <c r="AU1311" s="2"/>
      <c r="AV1311" s="2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</row>
    <row r="1312" spans="1:73" customFormat="1" ht="12.75" hidden="1" customHeight="1" x14ac:dyDescent="0.2">
      <c r="A1312" s="1"/>
      <c r="B1312" s="1"/>
      <c r="C1312" s="1"/>
      <c r="D1312" s="7"/>
      <c r="E1312" s="7"/>
      <c r="F1312" s="6"/>
      <c r="G1312" s="7"/>
      <c r="H1312" s="2"/>
      <c r="I1312" s="2"/>
      <c r="J1312" s="2"/>
      <c r="K1312" s="2"/>
      <c r="L1312" s="178"/>
      <c r="M1312" s="2"/>
      <c r="N1312" s="7"/>
      <c r="P1312" s="7"/>
      <c r="R1312" s="2"/>
      <c r="S1312" s="2"/>
      <c r="T1312" s="2"/>
      <c r="U1312" s="2"/>
      <c r="V1312" s="2"/>
      <c r="X1312" s="38"/>
      <c r="Y1312" s="38"/>
      <c r="Z1312" s="38"/>
      <c r="AA1312" s="38"/>
      <c r="AB1312" s="38"/>
      <c r="AD1312" s="2"/>
      <c r="AE1312" s="2"/>
      <c r="AF1312" s="2"/>
      <c r="AG1312" s="2"/>
      <c r="AH1312" s="2"/>
      <c r="AJ1312" s="215"/>
      <c r="AK1312" s="215"/>
      <c r="AL1312" s="215"/>
      <c r="AM1312" s="215"/>
      <c r="AO1312" s="10"/>
      <c r="AP1312" s="10"/>
      <c r="AQ1312" s="10"/>
      <c r="AR1312" s="10"/>
      <c r="AS1312" s="10"/>
      <c r="AU1312" s="2"/>
      <c r="AV1312" s="2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</row>
    <row r="1313" spans="1:73" customFormat="1" ht="12.75" hidden="1" customHeight="1" x14ac:dyDescent="0.2">
      <c r="A1313" s="1"/>
      <c r="B1313" s="1"/>
      <c r="C1313" s="1"/>
      <c r="D1313" s="7"/>
      <c r="E1313" s="7"/>
      <c r="F1313" s="6"/>
      <c r="G1313" s="7"/>
      <c r="H1313" s="2"/>
      <c r="I1313" s="2"/>
      <c r="J1313" s="2"/>
      <c r="K1313" s="2"/>
      <c r="L1313" s="178"/>
      <c r="M1313" s="2"/>
      <c r="N1313" s="7"/>
      <c r="P1313" s="7"/>
      <c r="R1313" s="2"/>
      <c r="S1313" s="2"/>
      <c r="T1313" s="2"/>
      <c r="U1313" s="2"/>
      <c r="V1313" s="2"/>
      <c r="X1313" s="38"/>
      <c r="Y1313" s="38"/>
      <c r="Z1313" s="38"/>
      <c r="AA1313" s="38"/>
      <c r="AB1313" s="38"/>
      <c r="AD1313" s="2"/>
      <c r="AE1313" s="2"/>
      <c r="AF1313" s="2"/>
      <c r="AG1313" s="2"/>
      <c r="AH1313" s="2"/>
      <c r="AJ1313" s="215"/>
      <c r="AK1313" s="215"/>
      <c r="AL1313" s="215"/>
      <c r="AM1313" s="215"/>
      <c r="AO1313" s="10"/>
      <c r="AP1313" s="10"/>
      <c r="AQ1313" s="10"/>
      <c r="AR1313" s="10"/>
      <c r="AS1313" s="10"/>
      <c r="AU1313" s="2"/>
      <c r="AV1313" s="2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</row>
    <row r="1314" spans="1:73" customFormat="1" ht="12.75" hidden="1" customHeight="1" x14ac:dyDescent="0.2">
      <c r="A1314" s="1"/>
      <c r="B1314" s="1"/>
      <c r="C1314" s="1"/>
      <c r="D1314" s="7"/>
      <c r="E1314" s="7"/>
      <c r="F1314" s="6"/>
      <c r="G1314" s="7"/>
      <c r="H1314" s="2"/>
      <c r="I1314" s="2"/>
      <c r="J1314" s="2"/>
      <c r="K1314" s="2"/>
      <c r="L1314" s="178"/>
      <c r="M1314" s="2"/>
      <c r="N1314" s="7"/>
      <c r="P1314" s="7"/>
      <c r="R1314" s="2"/>
      <c r="S1314" s="2"/>
      <c r="T1314" s="2"/>
      <c r="U1314" s="2"/>
      <c r="V1314" s="2"/>
      <c r="X1314" s="38"/>
      <c r="Y1314" s="38"/>
      <c r="Z1314" s="38"/>
      <c r="AA1314" s="38"/>
      <c r="AB1314" s="38"/>
      <c r="AD1314" s="2"/>
      <c r="AE1314" s="2"/>
      <c r="AF1314" s="2"/>
      <c r="AG1314" s="2"/>
      <c r="AH1314" s="2"/>
      <c r="AJ1314" s="215"/>
      <c r="AK1314" s="215"/>
      <c r="AL1314" s="215"/>
      <c r="AM1314" s="215"/>
      <c r="AO1314" s="10"/>
      <c r="AP1314" s="10"/>
      <c r="AQ1314" s="10"/>
      <c r="AR1314" s="10"/>
      <c r="AS1314" s="10"/>
      <c r="AU1314" s="2"/>
      <c r="AV1314" s="2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</row>
    <row r="1315" spans="1:73" customFormat="1" ht="12.75" hidden="1" customHeight="1" x14ac:dyDescent="0.2">
      <c r="A1315" s="1"/>
      <c r="B1315" s="1"/>
      <c r="C1315" s="1"/>
      <c r="D1315" s="7"/>
      <c r="E1315" s="7"/>
      <c r="F1315" s="6"/>
      <c r="G1315" s="7"/>
      <c r="H1315" s="2"/>
      <c r="I1315" s="2"/>
      <c r="J1315" s="2"/>
      <c r="K1315" s="2"/>
      <c r="L1315" s="178"/>
      <c r="M1315" s="2"/>
      <c r="N1315" s="7"/>
      <c r="P1315" s="7"/>
      <c r="R1315" s="2"/>
      <c r="S1315" s="2"/>
      <c r="T1315" s="2"/>
      <c r="U1315" s="2"/>
      <c r="V1315" s="2"/>
      <c r="X1315" s="38"/>
      <c r="Y1315" s="38"/>
      <c r="Z1315" s="38"/>
      <c r="AA1315" s="38"/>
      <c r="AB1315" s="38"/>
      <c r="AD1315" s="2"/>
      <c r="AE1315" s="2"/>
      <c r="AF1315" s="2"/>
      <c r="AG1315" s="2"/>
      <c r="AH1315" s="2"/>
      <c r="AJ1315" s="215"/>
      <c r="AK1315" s="215"/>
      <c r="AL1315" s="215"/>
      <c r="AM1315" s="215"/>
      <c r="AO1315" s="10"/>
      <c r="AP1315" s="10"/>
      <c r="AQ1315" s="10"/>
      <c r="AR1315" s="10"/>
      <c r="AS1315" s="10"/>
      <c r="AU1315" s="2"/>
      <c r="AV1315" s="2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</row>
    <row r="1316" spans="1:73" customFormat="1" ht="12.75" hidden="1" customHeight="1" x14ac:dyDescent="0.2">
      <c r="A1316" s="1"/>
      <c r="B1316" s="1"/>
      <c r="C1316" s="1"/>
      <c r="D1316" s="7"/>
      <c r="E1316" s="7"/>
      <c r="F1316" s="6"/>
      <c r="G1316" s="7"/>
      <c r="H1316" s="2"/>
      <c r="I1316" s="2"/>
      <c r="J1316" s="2"/>
      <c r="K1316" s="2"/>
      <c r="L1316" s="178"/>
      <c r="M1316" s="2"/>
      <c r="N1316" s="7"/>
      <c r="P1316" s="7"/>
      <c r="R1316" s="2"/>
      <c r="S1316" s="2"/>
      <c r="T1316" s="2"/>
      <c r="U1316" s="2"/>
      <c r="V1316" s="2"/>
      <c r="X1316" s="38"/>
      <c r="Y1316" s="38"/>
      <c r="Z1316" s="38"/>
      <c r="AA1316" s="38"/>
      <c r="AB1316" s="38"/>
      <c r="AD1316" s="2"/>
      <c r="AE1316" s="2"/>
      <c r="AF1316" s="2"/>
      <c r="AG1316" s="2"/>
      <c r="AH1316" s="2"/>
      <c r="AJ1316" s="215"/>
      <c r="AK1316" s="215"/>
      <c r="AL1316" s="215"/>
      <c r="AM1316" s="215"/>
      <c r="AO1316" s="10"/>
      <c r="AP1316" s="10"/>
      <c r="AQ1316" s="10"/>
      <c r="AR1316" s="10"/>
      <c r="AS1316" s="10"/>
      <c r="AU1316" s="2"/>
      <c r="AV1316" s="2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</row>
    <row r="1317" spans="1:73" customFormat="1" ht="12.75" hidden="1" customHeight="1" x14ac:dyDescent="0.2">
      <c r="A1317" s="1"/>
      <c r="B1317" s="1"/>
      <c r="C1317" s="1"/>
      <c r="D1317" s="7"/>
      <c r="E1317" s="7"/>
      <c r="F1317" s="6"/>
      <c r="G1317" s="7"/>
      <c r="H1317" s="2"/>
      <c r="I1317" s="2"/>
      <c r="J1317" s="2"/>
      <c r="K1317" s="2"/>
      <c r="L1317" s="178"/>
      <c r="M1317" s="2"/>
      <c r="N1317" s="7"/>
      <c r="P1317" s="7"/>
      <c r="R1317" s="2"/>
      <c r="S1317" s="2"/>
      <c r="T1317" s="2"/>
      <c r="U1317" s="2"/>
      <c r="V1317" s="2"/>
      <c r="X1317" s="38"/>
      <c r="Y1317" s="38"/>
      <c r="Z1317" s="38"/>
      <c r="AA1317" s="38"/>
      <c r="AB1317" s="38"/>
      <c r="AD1317" s="2"/>
      <c r="AE1317" s="2"/>
      <c r="AF1317" s="2"/>
      <c r="AG1317" s="2"/>
      <c r="AH1317" s="2"/>
      <c r="AJ1317" s="215"/>
      <c r="AK1317" s="215"/>
      <c r="AL1317" s="215"/>
      <c r="AM1317" s="215"/>
      <c r="AO1317" s="10"/>
      <c r="AP1317" s="10"/>
      <c r="AQ1317" s="10"/>
      <c r="AR1317" s="10"/>
      <c r="AS1317" s="10"/>
      <c r="AU1317" s="2"/>
      <c r="AV1317" s="2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</row>
    <row r="1318" spans="1:73" customFormat="1" ht="12.75" hidden="1" customHeight="1" x14ac:dyDescent="0.2">
      <c r="A1318" s="1"/>
      <c r="B1318" s="1"/>
      <c r="C1318" s="1"/>
      <c r="D1318" s="7"/>
      <c r="E1318" s="7"/>
      <c r="F1318" s="6"/>
      <c r="G1318" s="7"/>
      <c r="H1318" s="2"/>
      <c r="I1318" s="2"/>
      <c r="J1318" s="2"/>
      <c r="K1318" s="2"/>
      <c r="L1318" s="178"/>
      <c r="M1318" s="2"/>
      <c r="N1318" s="7"/>
      <c r="P1318" s="7"/>
      <c r="R1318" s="2"/>
      <c r="S1318" s="2"/>
      <c r="T1318" s="2"/>
      <c r="U1318" s="2"/>
      <c r="V1318" s="2"/>
      <c r="X1318" s="38"/>
      <c r="Y1318" s="38"/>
      <c r="Z1318" s="38"/>
      <c r="AA1318" s="38"/>
      <c r="AB1318" s="38"/>
      <c r="AD1318" s="2"/>
      <c r="AE1318" s="2"/>
      <c r="AF1318" s="2"/>
      <c r="AG1318" s="2"/>
      <c r="AH1318" s="2"/>
      <c r="AJ1318" s="215"/>
      <c r="AK1318" s="215"/>
      <c r="AL1318" s="215"/>
      <c r="AM1318" s="215"/>
      <c r="AO1318" s="10"/>
      <c r="AP1318" s="10"/>
      <c r="AQ1318" s="10"/>
      <c r="AR1318" s="10"/>
      <c r="AS1318" s="10"/>
      <c r="AU1318" s="2"/>
      <c r="AV1318" s="2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</row>
    <row r="1319" spans="1:73" customFormat="1" ht="12.75" hidden="1" customHeight="1" x14ac:dyDescent="0.2">
      <c r="A1319" s="1"/>
      <c r="B1319" s="1"/>
      <c r="C1319" s="1"/>
      <c r="D1319" s="7"/>
      <c r="E1319" s="7"/>
      <c r="F1319" s="6"/>
      <c r="G1319" s="7"/>
      <c r="H1319" s="2"/>
      <c r="I1319" s="2"/>
      <c r="J1319" s="2"/>
      <c r="K1319" s="2"/>
      <c r="L1319" s="178"/>
      <c r="M1319" s="2"/>
      <c r="N1319" s="7"/>
      <c r="P1319" s="7"/>
      <c r="R1319" s="2"/>
      <c r="S1319" s="2"/>
      <c r="T1319" s="2"/>
      <c r="U1319" s="2"/>
      <c r="V1319" s="2"/>
      <c r="X1319" s="38"/>
      <c r="Y1319" s="38"/>
      <c r="Z1319" s="38"/>
      <c r="AA1319" s="38"/>
      <c r="AB1319" s="38"/>
      <c r="AD1319" s="2"/>
      <c r="AE1319" s="2"/>
      <c r="AF1319" s="2"/>
      <c r="AG1319" s="2"/>
      <c r="AH1319" s="2"/>
      <c r="AJ1319" s="215"/>
      <c r="AK1319" s="215"/>
      <c r="AL1319" s="215"/>
      <c r="AM1319" s="215"/>
      <c r="AO1319" s="10"/>
      <c r="AP1319" s="10"/>
      <c r="AQ1319" s="10"/>
      <c r="AR1319" s="10"/>
      <c r="AS1319" s="10"/>
      <c r="AU1319" s="2"/>
      <c r="AV1319" s="2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</row>
    <row r="1320" spans="1:73" customFormat="1" ht="12.75" hidden="1" customHeight="1" x14ac:dyDescent="0.2">
      <c r="A1320" s="1"/>
      <c r="B1320" s="1"/>
      <c r="C1320" s="1"/>
      <c r="D1320" s="7"/>
      <c r="E1320" s="7"/>
      <c r="F1320" s="6"/>
      <c r="G1320" s="7"/>
      <c r="H1320" s="2"/>
      <c r="I1320" s="2"/>
      <c r="J1320" s="2"/>
      <c r="K1320" s="2"/>
      <c r="L1320" s="178"/>
      <c r="M1320" s="2"/>
      <c r="N1320" s="7"/>
      <c r="P1320" s="7"/>
      <c r="R1320" s="2"/>
      <c r="S1320" s="2"/>
      <c r="T1320" s="2"/>
      <c r="U1320" s="2"/>
      <c r="V1320" s="2"/>
      <c r="X1320" s="38"/>
      <c r="Y1320" s="38"/>
      <c r="Z1320" s="38"/>
      <c r="AA1320" s="38"/>
      <c r="AB1320" s="38"/>
      <c r="AD1320" s="2"/>
      <c r="AE1320" s="2"/>
      <c r="AF1320" s="2"/>
      <c r="AG1320" s="2"/>
      <c r="AH1320" s="2"/>
      <c r="AJ1320" s="215"/>
      <c r="AK1320" s="215"/>
      <c r="AL1320" s="215"/>
      <c r="AM1320" s="215"/>
      <c r="AO1320" s="10"/>
      <c r="AP1320" s="10"/>
      <c r="AQ1320" s="10"/>
      <c r="AR1320" s="10"/>
      <c r="AS1320" s="10"/>
      <c r="AU1320" s="2"/>
      <c r="AV1320" s="2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</row>
    <row r="1321" spans="1:73" customFormat="1" ht="12.75" hidden="1" customHeight="1" x14ac:dyDescent="0.2">
      <c r="A1321" s="1"/>
      <c r="B1321" s="1"/>
      <c r="C1321" s="1"/>
      <c r="D1321" s="7"/>
      <c r="E1321" s="7"/>
      <c r="F1321" s="6"/>
      <c r="G1321" s="7"/>
      <c r="H1321" s="2"/>
      <c r="I1321" s="2"/>
      <c r="J1321" s="2"/>
      <c r="K1321" s="2"/>
      <c r="L1321" s="178"/>
      <c r="M1321" s="2"/>
      <c r="N1321" s="7"/>
      <c r="P1321" s="7"/>
      <c r="R1321" s="2"/>
      <c r="S1321" s="2"/>
      <c r="T1321" s="2"/>
      <c r="U1321" s="2"/>
      <c r="V1321" s="2"/>
      <c r="X1321" s="38"/>
      <c r="Y1321" s="38"/>
      <c r="Z1321" s="38"/>
      <c r="AA1321" s="38"/>
      <c r="AB1321" s="38"/>
      <c r="AD1321" s="2"/>
      <c r="AE1321" s="2"/>
      <c r="AF1321" s="2"/>
      <c r="AG1321" s="2"/>
      <c r="AH1321" s="2"/>
      <c r="AJ1321" s="215"/>
      <c r="AK1321" s="215"/>
      <c r="AL1321" s="215"/>
      <c r="AM1321" s="215"/>
      <c r="AO1321" s="10"/>
      <c r="AP1321" s="10"/>
      <c r="AQ1321" s="10"/>
      <c r="AR1321" s="10"/>
      <c r="AS1321" s="10"/>
      <c r="AU1321" s="2"/>
      <c r="AV1321" s="2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</row>
    <row r="1322" spans="1:73" customFormat="1" ht="12.75" hidden="1" customHeight="1" x14ac:dyDescent="0.2">
      <c r="A1322" s="1"/>
      <c r="B1322" s="1"/>
      <c r="C1322" s="1"/>
      <c r="D1322" s="7"/>
      <c r="E1322" s="7"/>
      <c r="F1322" s="6"/>
      <c r="G1322" s="7"/>
      <c r="H1322" s="2"/>
      <c r="I1322" s="2"/>
      <c r="J1322" s="2"/>
      <c r="K1322" s="2"/>
      <c r="L1322" s="178"/>
      <c r="M1322" s="2"/>
      <c r="N1322" s="7"/>
      <c r="P1322" s="7"/>
      <c r="R1322" s="2"/>
      <c r="S1322" s="2"/>
      <c r="T1322" s="2"/>
      <c r="U1322" s="2"/>
      <c r="V1322" s="2"/>
      <c r="X1322" s="38"/>
      <c r="Y1322" s="38"/>
      <c r="Z1322" s="38"/>
      <c r="AA1322" s="38"/>
      <c r="AB1322" s="38"/>
      <c r="AD1322" s="2"/>
      <c r="AE1322" s="2"/>
      <c r="AF1322" s="2"/>
      <c r="AG1322" s="2"/>
      <c r="AH1322" s="2"/>
      <c r="AJ1322" s="215"/>
      <c r="AK1322" s="215"/>
      <c r="AL1322" s="215"/>
      <c r="AM1322" s="215"/>
      <c r="AO1322" s="10"/>
      <c r="AP1322" s="10"/>
      <c r="AQ1322" s="10"/>
      <c r="AR1322" s="10"/>
      <c r="AS1322" s="10"/>
      <c r="AU1322" s="2"/>
      <c r="AV1322" s="2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</row>
    <row r="1323" spans="1:73" customFormat="1" ht="12.75" hidden="1" customHeight="1" x14ac:dyDescent="0.2">
      <c r="A1323" s="1"/>
      <c r="B1323" s="1"/>
      <c r="C1323" s="1"/>
      <c r="D1323" s="7"/>
      <c r="E1323" s="7"/>
      <c r="F1323" s="6"/>
      <c r="G1323" s="7"/>
      <c r="H1323" s="2"/>
      <c r="I1323" s="2"/>
      <c r="J1323" s="2"/>
      <c r="K1323" s="2"/>
      <c r="L1323" s="178"/>
      <c r="M1323" s="2"/>
      <c r="N1323" s="7"/>
      <c r="P1323" s="7"/>
      <c r="R1323" s="2"/>
      <c r="S1323" s="2"/>
      <c r="T1323" s="2"/>
      <c r="U1323" s="2"/>
      <c r="V1323" s="2"/>
      <c r="X1323" s="38"/>
      <c r="Y1323" s="38"/>
      <c r="Z1323" s="38"/>
      <c r="AA1323" s="38"/>
      <c r="AB1323" s="38"/>
      <c r="AD1323" s="2"/>
      <c r="AE1323" s="2"/>
      <c r="AF1323" s="2"/>
      <c r="AG1323" s="2"/>
      <c r="AH1323" s="2"/>
      <c r="AJ1323" s="215"/>
      <c r="AK1323" s="215"/>
      <c r="AL1323" s="215"/>
      <c r="AM1323" s="215"/>
      <c r="AO1323" s="10"/>
      <c r="AP1323" s="10"/>
      <c r="AQ1323" s="10"/>
      <c r="AR1323" s="10"/>
      <c r="AS1323" s="10"/>
      <c r="AU1323" s="2"/>
      <c r="AV1323" s="2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</row>
    <row r="1324" spans="1:73" customFormat="1" ht="12.75" hidden="1" customHeight="1" x14ac:dyDescent="0.2">
      <c r="A1324" s="1"/>
      <c r="B1324" s="1"/>
      <c r="C1324" s="1"/>
      <c r="D1324" s="7"/>
      <c r="E1324" s="7"/>
      <c r="F1324" s="6"/>
      <c r="G1324" s="7"/>
      <c r="H1324" s="2"/>
      <c r="I1324" s="2"/>
      <c r="J1324" s="2"/>
      <c r="K1324" s="2"/>
      <c r="L1324" s="178"/>
      <c r="M1324" s="2"/>
      <c r="N1324" s="7"/>
      <c r="P1324" s="7"/>
      <c r="R1324" s="2"/>
      <c r="S1324" s="2"/>
      <c r="T1324" s="2"/>
      <c r="U1324" s="2"/>
      <c r="V1324" s="2"/>
      <c r="X1324" s="38"/>
      <c r="Y1324" s="38"/>
      <c r="Z1324" s="38"/>
      <c r="AA1324" s="38"/>
      <c r="AB1324" s="38"/>
      <c r="AD1324" s="2"/>
      <c r="AE1324" s="2"/>
      <c r="AF1324" s="2"/>
      <c r="AG1324" s="2"/>
      <c r="AH1324" s="2"/>
      <c r="AJ1324" s="215"/>
      <c r="AK1324" s="215"/>
      <c r="AL1324" s="215"/>
      <c r="AM1324" s="215"/>
      <c r="AO1324" s="10"/>
      <c r="AP1324" s="10"/>
      <c r="AQ1324" s="10"/>
      <c r="AR1324" s="10"/>
      <c r="AS1324" s="10"/>
      <c r="AU1324" s="2"/>
      <c r="AV1324" s="2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</row>
    <row r="1325" spans="1:73" customFormat="1" ht="12.75" hidden="1" customHeight="1" x14ac:dyDescent="0.2">
      <c r="A1325" s="1"/>
      <c r="B1325" s="1"/>
      <c r="C1325" s="1"/>
      <c r="D1325" s="7"/>
      <c r="E1325" s="7"/>
      <c r="F1325" s="6"/>
      <c r="G1325" s="7"/>
      <c r="H1325" s="2"/>
      <c r="I1325" s="2"/>
      <c r="J1325" s="2"/>
      <c r="K1325" s="2"/>
      <c r="L1325" s="178"/>
      <c r="M1325" s="2"/>
      <c r="N1325" s="7"/>
      <c r="P1325" s="7"/>
      <c r="R1325" s="2"/>
      <c r="S1325" s="2"/>
      <c r="T1325" s="2"/>
      <c r="U1325" s="2"/>
      <c r="V1325" s="2"/>
      <c r="X1325" s="38"/>
      <c r="Y1325" s="38"/>
      <c r="Z1325" s="38"/>
      <c r="AA1325" s="38"/>
      <c r="AB1325" s="38"/>
      <c r="AD1325" s="2"/>
      <c r="AE1325" s="2"/>
      <c r="AF1325" s="2"/>
      <c r="AG1325" s="2"/>
      <c r="AH1325" s="2"/>
      <c r="AJ1325" s="215"/>
      <c r="AK1325" s="215"/>
      <c r="AL1325" s="215"/>
      <c r="AM1325" s="215"/>
      <c r="AO1325" s="10"/>
      <c r="AP1325" s="10"/>
      <c r="AQ1325" s="10"/>
      <c r="AR1325" s="10"/>
      <c r="AS1325" s="10"/>
      <c r="AU1325" s="2"/>
      <c r="AV1325" s="2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</row>
    <row r="1326" spans="1:73" customFormat="1" ht="12.75" hidden="1" customHeight="1" x14ac:dyDescent="0.2">
      <c r="A1326" s="1"/>
      <c r="B1326" s="1"/>
      <c r="C1326" s="1"/>
      <c r="D1326" s="7"/>
      <c r="E1326" s="7"/>
      <c r="F1326" s="6"/>
      <c r="G1326" s="7"/>
      <c r="H1326" s="2"/>
      <c r="I1326" s="2"/>
      <c r="J1326" s="2"/>
      <c r="K1326" s="2"/>
      <c r="L1326" s="178"/>
      <c r="M1326" s="2"/>
      <c r="N1326" s="7"/>
      <c r="P1326" s="7"/>
      <c r="R1326" s="2"/>
      <c r="S1326" s="2"/>
      <c r="T1326" s="2"/>
      <c r="U1326" s="2"/>
      <c r="V1326" s="2"/>
      <c r="X1326" s="38"/>
      <c r="Y1326" s="38"/>
      <c r="Z1326" s="38"/>
      <c r="AA1326" s="38"/>
      <c r="AB1326" s="38"/>
      <c r="AD1326" s="2"/>
      <c r="AE1326" s="2"/>
      <c r="AF1326" s="2"/>
      <c r="AG1326" s="2"/>
      <c r="AH1326" s="2"/>
      <c r="AJ1326" s="215"/>
      <c r="AK1326" s="215"/>
      <c r="AL1326" s="215"/>
      <c r="AM1326" s="215"/>
      <c r="AO1326" s="10"/>
      <c r="AP1326" s="10"/>
      <c r="AQ1326" s="10"/>
      <c r="AR1326" s="10"/>
      <c r="AS1326" s="10"/>
      <c r="AU1326" s="2"/>
      <c r="AV1326" s="2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</row>
    <row r="1327" spans="1:73" customFormat="1" ht="12.75" hidden="1" customHeight="1" x14ac:dyDescent="0.2">
      <c r="A1327" s="1"/>
      <c r="B1327" s="1"/>
      <c r="C1327" s="1"/>
      <c r="D1327" s="7"/>
      <c r="E1327" s="7"/>
      <c r="F1327" s="6"/>
      <c r="G1327" s="7"/>
      <c r="H1327" s="2"/>
      <c r="I1327" s="2"/>
      <c r="J1327" s="2"/>
      <c r="K1327" s="2"/>
      <c r="L1327" s="178"/>
      <c r="M1327" s="2"/>
      <c r="N1327" s="7"/>
      <c r="P1327" s="7"/>
      <c r="R1327" s="2"/>
      <c r="S1327" s="2"/>
      <c r="T1327" s="2"/>
      <c r="U1327" s="2"/>
      <c r="V1327" s="2"/>
      <c r="X1327" s="38"/>
      <c r="Y1327" s="38"/>
      <c r="Z1327" s="38"/>
      <c r="AA1327" s="38"/>
      <c r="AB1327" s="38"/>
      <c r="AD1327" s="2"/>
      <c r="AE1327" s="2"/>
      <c r="AF1327" s="2"/>
      <c r="AG1327" s="2"/>
      <c r="AH1327" s="2"/>
      <c r="AJ1327" s="215"/>
      <c r="AK1327" s="215"/>
      <c r="AL1327" s="215"/>
      <c r="AM1327" s="215"/>
      <c r="AO1327" s="10"/>
      <c r="AP1327" s="10"/>
      <c r="AQ1327" s="10"/>
      <c r="AR1327" s="10"/>
      <c r="AS1327" s="10"/>
      <c r="AU1327" s="2"/>
      <c r="AV1327" s="2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</row>
    <row r="1328" spans="1:73" customFormat="1" ht="12.75" hidden="1" customHeight="1" x14ac:dyDescent="0.2">
      <c r="A1328" s="1"/>
      <c r="B1328" s="1"/>
      <c r="C1328" s="1"/>
      <c r="D1328" s="7"/>
      <c r="E1328" s="7"/>
      <c r="F1328" s="6"/>
      <c r="G1328" s="7"/>
      <c r="H1328" s="2"/>
      <c r="I1328" s="2"/>
      <c r="J1328" s="2"/>
      <c r="K1328" s="2"/>
      <c r="L1328" s="178"/>
      <c r="M1328" s="2"/>
      <c r="N1328" s="7"/>
      <c r="P1328" s="7"/>
      <c r="R1328" s="2"/>
      <c r="S1328" s="2"/>
      <c r="T1328" s="2"/>
      <c r="U1328" s="2"/>
      <c r="V1328" s="2"/>
      <c r="X1328" s="38"/>
      <c r="Y1328" s="38"/>
      <c r="Z1328" s="38"/>
      <c r="AA1328" s="38"/>
      <c r="AB1328" s="38"/>
      <c r="AD1328" s="2"/>
      <c r="AE1328" s="2"/>
      <c r="AF1328" s="2"/>
      <c r="AG1328" s="2"/>
      <c r="AH1328" s="2"/>
      <c r="AJ1328" s="215"/>
      <c r="AK1328" s="215"/>
      <c r="AL1328" s="215"/>
      <c r="AM1328" s="215"/>
      <c r="AO1328" s="10"/>
      <c r="AP1328" s="10"/>
      <c r="AQ1328" s="10"/>
      <c r="AR1328" s="10"/>
      <c r="AS1328" s="10"/>
      <c r="AU1328" s="2"/>
      <c r="AV1328" s="2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</row>
    <row r="1329" spans="1:73" customFormat="1" ht="12.75" hidden="1" customHeight="1" x14ac:dyDescent="0.2">
      <c r="A1329" s="1"/>
      <c r="B1329" s="1"/>
      <c r="C1329" s="1"/>
      <c r="D1329" s="7"/>
      <c r="E1329" s="7"/>
      <c r="F1329" s="6"/>
      <c r="G1329" s="7"/>
      <c r="H1329" s="2"/>
      <c r="I1329" s="2"/>
      <c r="J1329" s="2"/>
      <c r="K1329" s="2"/>
      <c r="L1329" s="178"/>
      <c r="M1329" s="2"/>
      <c r="N1329" s="7"/>
      <c r="P1329" s="7"/>
      <c r="R1329" s="2"/>
      <c r="S1329" s="2"/>
      <c r="T1329" s="2"/>
      <c r="U1329" s="2"/>
      <c r="V1329" s="2"/>
      <c r="X1329" s="38"/>
      <c r="Y1329" s="38"/>
      <c r="Z1329" s="38"/>
      <c r="AA1329" s="38"/>
      <c r="AB1329" s="38"/>
      <c r="AD1329" s="2"/>
      <c r="AE1329" s="2"/>
      <c r="AF1329" s="2"/>
      <c r="AG1329" s="2"/>
      <c r="AH1329" s="2"/>
      <c r="AJ1329" s="215"/>
      <c r="AK1329" s="215"/>
      <c r="AL1329" s="215"/>
      <c r="AM1329" s="215"/>
      <c r="AO1329" s="10"/>
      <c r="AP1329" s="10"/>
      <c r="AQ1329" s="10"/>
      <c r="AR1329" s="10"/>
      <c r="AS1329" s="10"/>
      <c r="AU1329" s="2"/>
      <c r="AV1329" s="2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</row>
    <row r="1330" spans="1:73" customFormat="1" ht="12.75" hidden="1" customHeight="1" x14ac:dyDescent="0.2">
      <c r="A1330" s="1"/>
      <c r="B1330" s="1"/>
      <c r="C1330" s="1"/>
      <c r="D1330" s="7"/>
      <c r="E1330" s="7"/>
      <c r="F1330" s="6"/>
      <c r="G1330" s="7"/>
      <c r="H1330" s="2"/>
      <c r="I1330" s="2"/>
      <c r="J1330" s="2"/>
      <c r="K1330" s="2"/>
      <c r="L1330" s="178"/>
      <c r="M1330" s="2"/>
      <c r="N1330" s="7"/>
      <c r="P1330" s="7"/>
      <c r="R1330" s="2"/>
      <c r="S1330" s="2"/>
      <c r="T1330" s="2"/>
      <c r="U1330" s="2"/>
      <c r="V1330" s="2"/>
      <c r="X1330" s="38"/>
      <c r="Y1330" s="38"/>
      <c r="Z1330" s="38"/>
      <c r="AA1330" s="38"/>
      <c r="AB1330" s="38"/>
      <c r="AD1330" s="2"/>
      <c r="AE1330" s="2"/>
      <c r="AF1330" s="2"/>
      <c r="AG1330" s="2"/>
      <c r="AH1330" s="2"/>
      <c r="AJ1330" s="215"/>
      <c r="AK1330" s="215"/>
      <c r="AL1330" s="215"/>
      <c r="AM1330" s="215"/>
      <c r="AO1330" s="10"/>
      <c r="AP1330" s="10"/>
      <c r="AQ1330" s="10"/>
      <c r="AR1330" s="10"/>
      <c r="AS1330" s="10"/>
      <c r="AU1330" s="2"/>
      <c r="AV1330" s="2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</row>
    <row r="1331" spans="1:73" customFormat="1" ht="12.75" hidden="1" customHeight="1" x14ac:dyDescent="0.2">
      <c r="A1331" s="1"/>
      <c r="B1331" s="1"/>
      <c r="C1331" s="1"/>
      <c r="D1331" s="7"/>
      <c r="E1331" s="7"/>
      <c r="F1331" s="6"/>
      <c r="G1331" s="7"/>
      <c r="H1331" s="2"/>
      <c r="I1331" s="2"/>
      <c r="J1331" s="2"/>
      <c r="K1331" s="2"/>
      <c r="L1331" s="178"/>
      <c r="M1331" s="2"/>
      <c r="N1331" s="7"/>
      <c r="P1331" s="7"/>
      <c r="R1331" s="2"/>
      <c r="S1331" s="2"/>
      <c r="T1331" s="2"/>
      <c r="U1331" s="2"/>
      <c r="V1331" s="2"/>
      <c r="X1331" s="38"/>
      <c r="Y1331" s="38"/>
      <c r="Z1331" s="38"/>
      <c r="AA1331" s="38"/>
      <c r="AB1331" s="38"/>
      <c r="AD1331" s="2"/>
      <c r="AE1331" s="2"/>
      <c r="AF1331" s="2"/>
      <c r="AG1331" s="2"/>
      <c r="AH1331" s="2"/>
      <c r="AJ1331" s="215"/>
      <c r="AK1331" s="215"/>
      <c r="AL1331" s="215"/>
      <c r="AM1331" s="215"/>
      <c r="AO1331" s="10"/>
      <c r="AP1331" s="10"/>
      <c r="AQ1331" s="10"/>
      <c r="AR1331" s="10"/>
      <c r="AS1331" s="10"/>
      <c r="AU1331" s="2"/>
      <c r="AV1331" s="2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</row>
    <row r="1332" spans="1:73" customFormat="1" ht="12.75" hidden="1" customHeight="1" x14ac:dyDescent="0.2">
      <c r="A1332" s="1"/>
      <c r="B1332" s="1"/>
      <c r="C1332" s="1"/>
      <c r="D1332" s="7"/>
      <c r="E1332" s="7"/>
      <c r="F1332" s="6"/>
      <c r="G1332" s="7"/>
      <c r="H1332" s="2"/>
      <c r="I1332" s="2"/>
      <c r="J1332" s="2"/>
      <c r="K1332" s="2"/>
      <c r="L1332" s="178"/>
      <c r="M1332" s="2"/>
      <c r="N1332" s="7"/>
      <c r="P1332" s="7"/>
      <c r="R1332" s="2"/>
      <c r="S1332" s="2"/>
      <c r="T1332" s="2"/>
      <c r="U1332" s="2"/>
      <c r="V1332" s="2"/>
      <c r="X1332" s="38"/>
      <c r="Y1332" s="38"/>
      <c r="Z1332" s="38"/>
      <c r="AA1332" s="38"/>
      <c r="AB1332" s="38"/>
      <c r="AD1332" s="2"/>
      <c r="AE1332" s="2"/>
      <c r="AF1332" s="2"/>
      <c r="AG1332" s="2"/>
      <c r="AH1332" s="2"/>
      <c r="AJ1332" s="215"/>
      <c r="AK1332" s="215"/>
      <c r="AL1332" s="215"/>
      <c r="AM1332" s="215"/>
      <c r="AO1332" s="10"/>
      <c r="AP1332" s="10"/>
      <c r="AQ1332" s="10"/>
      <c r="AR1332" s="10"/>
      <c r="AS1332" s="10"/>
      <c r="AU1332" s="2"/>
      <c r="AV1332" s="2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</row>
    <row r="1333" spans="1:73" customFormat="1" ht="12.75" hidden="1" customHeight="1" x14ac:dyDescent="0.2">
      <c r="A1333" s="1"/>
      <c r="B1333" s="1"/>
      <c r="C1333" s="1"/>
      <c r="D1333" s="7"/>
      <c r="E1333" s="7"/>
      <c r="F1333" s="6"/>
      <c r="G1333" s="7"/>
      <c r="H1333" s="2"/>
      <c r="I1333" s="2"/>
      <c r="J1333" s="2"/>
      <c r="K1333" s="2"/>
      <c r="L1333" s="178"/>
      <c r="M1333" s="2"/>
      <c r="N1333" s="7"/>
      <c r="P1333" s="7"/>
      <c r="R1333" s="2"/>
      <c r="S1333" s="2"/>
      <c r="T1333" s="2"/>
      <c r="U1333" s="2"/>
      <c r="V1333" s="2"/>
      <c r="X1333" s="38"/>
      <c r="Y1333" s="38"/>
      <c r="Z1333" s="38"/>
      <c r="AA1333" s="38"/>
      <c r="AB1333" s="38"/>
      <c r="AD1333" s="2"/>
      <c r="AE1333" s="2"/>
      <c r="AF1333" s="2"/>
      <c r="AG1333" s="2"/>
      <c r="AH1333" s="2"/>
      <c r="AJ1333" s="215"/>
      <c r="AK1333" s="215"/>
      <c r="AL1333" s="215"/>
      <c r="AM1333" s="215"/>
      <c r="AO1333" s="10"/>
      <c r="AP1333" s="10"/>
      <c r="AQ1333" s="10"/>
      <c r="AR1333" s="10"/>
      <c r="AS1333" s="10"/>
      <c r="AU1333" s="2"/>
      <c r="AV1333" s="2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</row>
    <row r="1334" spans="1:73" customFormat="1" ht="12.75" hidden="1" customHeight="1" x14ac:dyDescent="0.2">
      <c r="A1334" s="1"/>
      <c r="B1334" s="1"/>
      <c r="C1334" s="1"/>
      <c r="D1334" s="7"/>
      <c r="E1334" s="7"/>
      <c r="F1334" s="6"/>
      <c r="G1334" s="7"/>
      <c r="H1334" s="2"/>
      <c r="I1334" s="2"/>
      <c r="J1334" s="2"/>
      <c r="K1334" s="2"/>
      <c r="L1334" s="178"/>
      <c r="M1334" s="2"/>
      <c r="N1334" s="7"/>
      <c r="P1334" s="7"/>
      <c r="R1334" s="2"/>
      <c r="S1334" s="2"/>
      <c r="T1334" s="2"/>
      <c r="U1334" s="2"/>
      <c r="V1334" s="2"/>
      <c r="X1334" s="38"/>
      <c r="Y1334" s="38"/>
      <c r="Z1334" s="38"/>
      <c r="AA1334" s="38"/>
      <c r="AB1334" s="38"/>
      <c r="AD1334" s="2"/>
      <c r="AE1334" s="2"/>
      <c r="AF1334" s="2"/>
      <c r="AG1334" s="2"/>
      <c r="AH1334" s="2"/>
      <c r="AJ1334" s="215"/>
      <c r="AK1334" s="215"/>
      <c r="AL1334" s="215"/>
      <c r="AM1334" s="215"/>
      <c r="AO1334" s="10"/>
      <c r="AP1334" s="10"/>
      <c r="AQ1334" s="10"/>
      <c r="AR1334" s="10"/>
      <c r="AS1334" s="10"/>
      <c r="AU1334" s="2"/>
      <c r="AV1334" s="2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</row>
    <row r="1335" spans="1:73" customFormat="1" ht="12.75" hidden="1" customHeight="1" x14ac:dyDescent="0.2">
      <c r="A1335" s="1"/>
      <c r="B1335" s="1"/>
      <c r="C1335" s="1"/>
      <c r="D1335" s="7"/>
      <c r="E1335" s="7"/>
      <c r="F1335" s="6"/>
      <c r="G1335" s="7"/>
      <c r="H1335" s="2"/>
      <c r="I1335" s="2"/>
      <c r="J1335" s="2"/>
      <c r="K1335" s="2"/>
      <c r="L1335" s="178"/>
      <c r="M1335" s="2"/>
      <c r="N1335" s="7"/>
      <c r="P1335" s="7"/>
      <c r="R1335" s="2"/>
      <c r="S1335" s="2"/>
      <c r="T1335" s="2"/>
      <c r="U1335" s="2"/>
      <c r="V1335" s="2"/>
      <c r="X1335" s="38"/>
      <c r="Y1335" s="38"/>
      <c r="Z1335" s="38"/>
      <c r="AA1335" s="38"/>
      <c r="AB1335" s="38"/>
      <c r="AD1335" s="2"/>
      <c r="AE1335" s="2"/>
      <c r="AF1335" s="2"/>
      <c r="AG1335" s="2"/>
      <c r="AH1335" s="2"/>
      <c r="AJ1335" s="215"/>
      <c r="AK1335" s="215"/>
      <c r="AL1335" s="215"/>
      <c r="AM1335" s="215"/>
      <c r="AO1335" s="10"/>
      <c r="AP1335" s="10"/>
      <c r="AQ1335" s="10"/>
      <c r="AR1335" s="10"/>
      <c r="AS1335" s="10"/>
      <c r="AU1335" s="2"/>
      <c r="AV1335" s="2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</row>
    <row r="1336" spans="1:73" customFormat="1" ht="12.75" hidden="1" customHeight="1" x14ac:dyDescent="0.2">
      <c r="A1336" s="1"/>
      <c r="B1336" s="1"/>
      <c r="C1336" s="1"/>
      <c r="D1336" s="7"/>
      <c r="E1336" s="7"/>
      <c r="F1336" s="6"/>
      <c r="G1336" s="7"/>
      <c r="H1336" s="2"/>
      <c r="I1336" s="2"/>
      <c r="J1336" s="2"/>
      <c r="K1336" s="2"/>
      <c r="L1336" s="178"/>
      <c r="M1336" s="2"/>
      <c r="N1336" s="7"/>
      <c r="P1336" s="7"/>
      <c r="R1336" s="2"/>
      <c r="S1336" s="2"/>
      <c r="T1336" s="2"/>
      <c r="U1336" s="2"/>
      <c r="V1336" s="2"/>
      <c r="X1336" s="38"/>
      <c r="Y1336" s="38"/>
      <c r="Z1336" s="38"/>
      <c r="AA1336" s="38"/>
      <c r="AB1336" s="38"/>
      <c r="AD1336" s="2"/>
      <c r="AE1336" s="2"/>
      <c r="AF1336" s="2"/>
      <c r="AG1336" s="2"/>
      <c r="AH1336" s="2"/>
      <c r="AJ1336" s="215"/>
      <c r="AK1336" s="215"/>
      <c r="AL1336" s="215"/>
      <c r="AM1336" s="215"/>
      <c r="AO1336" s="10"/>
      <c r="AP1336" s="10"/>
      <c r="AQ1336" s="10"/>
      <c r="AR1336" s="10"/>
      <c r="AS1336" s="10"/>
      <c r="AU1336" s="2"/>
      <c r="AV1336" s="2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</row>
    <row r="1337" spans="1:73" customFormat="1" ht="12.75" hidden="1" customHeight="1" x14ac:dyDescent="0.2">
      <c r="A1337" s="1"/>
      <c r="B1337" s="1"/>
      <c r="C1337" s="1"/>
      <c r="D1337" s="7"/>
      <c r="E1337" s="7"/>
      <c r="F1337" s="6"/>
      <c r="G1337" s="7"/>
      <c r="H1337" s="2"/>
      <c r="I1337" s="2"/>
      <c r="J1337" s="2"/>
      <c r="K1337" s="2"/>
      <c r="L1337" s="178"/>
      <c r="M1337" s="2"/>
      <c r="N1337" s="7"/>
      <c r="P1337" s="7"/>
      <c r="R1337" s="2"/>
      <c r="S1337" s="2"/>
      <c r="T1337" s="2"/>
      <c r="U1337" s="2"/>
      <c r="V1337" s="2"/>
      <c r="X1337" s="38"/>
      <c r="Y1337" s="38"/>
      <c r="Z1337" s="38"/>
      <c r="AA1337" s="38"/>
      <c r="AB1337" s="38"/>
      <c r="AD1337" s="2"/>
      <c r="AE1337" s="2"/>
      <c r="AF1337" s="2"/>
      <c r="AG1337" s="2"/>
      <c r="AH1337" s="2"/>
      <c r="AJ1337" s="215"/>
      <c r="AK1337" s="215"/>
      <c r="AL1337" s="215"/>
      <c r="AM1337" s="215"/>
      <c r="AO1337" s="10"/>
      <c r="AP1337" s="10"/>
      <c r="AQ1337" s="10"/>
      <c r="AR1337" s="10"/>
      <c r="AS1337" s="10"/>
      <c r="AU1337" s="2"/>
      <c r="AV1337" s="2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</row>
    <row r="1338" spans="1:73" customFormat="1" ht="12.75" hidden="1" customHeight="1" x14ac:dyDescent="0.2">
      <c r="A1338" s="1"/>
      <c r="B1338" s="1"/>
      <c r="C1338" s="1"/>
      <c r="D1338" s="7"/>
      <c r="E1338" s="7"/>
      <c r="F1338" s="6"/>
      <c r="G1338" s="7"/>
      <c r="H1338" s="2"/>
      <c r="I1338" s="2"/>
      <c r="J1338" s="2"/>
      <c r="K1338" s="2"/>
      <c r="L1338" s="178"/>
      <c r="M1338" s="2"/>
      <c r="N1338" s="7"/>
      <c r="P1338" s="7"/>
      <c r="R1338" s="2"/>
      <c r="S1338" s="2"/>
      <c r="T1338" s="2"/>
      <c r="U1338" s="2"/>
      <c r="V1338" s="2"/>
      <c r="X1338" s="38"/>
      <c r="Y1338" s="38"/>
      <c r="Z1338" s="38"/>
      <c r="AA1338" s="38"/>
      <c r="AB1338" s="38"/>
      <c r="AD1338" s="2"/>
      <c r="AE1338" s="2"/>
      <c r="AF1338" s="2"/>
      <c r="AG1338" s="2"/>
      <c r="AH1338" s="2"/>
      <c r="AJ1338" s="215"/>
      <c r="AK1338" s="215"/>
      <c r="AL1338" s="215"/>
      <c r="AM1338" s="215"/>
      <c r="AO1338" s="10"/>
      <c r="AP1338" s="10"/>
      <c r="AQ1338" s="10"/>
      <c r="AR1338" s="10"/>
      <c r="AS1338" s="10"/>
      <c r="AU1338" s="2"/>
      <c r="AV1338" s="2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</row>
    <row r="1339" spans="1:73" customFormat="1" ht="12.75" hidden="1" customHeight="1" x14ac:dyDescent="0.2">
      <c r="A1339" s="1"/>
      <c r="B1339" s="1"/>
      <c r="C1339" s="1"/>
      <c r="D1339" s="7"/>
      <c r="E1339" s="7"/>
      <c r="F1339" s="6"/>
      <c r="G1339" s="7"/>
      <c r="H1339" s="2"/>
      <c r="I1339" s="2"/>
      <c r="J1339" s="2"/>
      <c r="K1339" s="2"/>
      <c r="L1339" s="178"/>
      <c r="M1339" s="2"/>
      <c r="N1339" s="7"/>
      <c r="P1339" s="7"/>
      <c r="R1339" s="2"/>
      <c r="S1339" s="2"/>
      <c r="T1339" s="2"/>
      <c r="U1339" s="2"/>
      <c r="V1339" s="2"/>
      <c r="X1339" s="38"/>
      <c r="Y1339" s="38"/>
      <c r="Z1339" s="38"/>
      <c r="AA1339" s="38"/>
      <c r="AB1339" s="38"/>
      <c r="AD1339" s="2"/>
      <c r="AE1339" s="2"/>
      <c r="AF1339" s="2"/>
      <c r="AG1339" s="2"/>
      <c r="AH1339" s="2"/>
      <c r="AJ1339" s="215"/>
      <c r="AK1339" s="215"/>
      <c r="AL1339" s="215"/>
      <c r="AM1339" s="215"/>
      <c r="AO1339" s="10"/>
      <c r="AP1339" s="10"/>
      <c r="AQ1339" s="10"/>
      <c r="AR1339" s="10"/>
      <c r="AS1339" s="10"/>
      <c r="AU1339" s="2"/>
      <c r="AV1339" s="2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</row>
    <row r="1340" spans="1:73" customFormat="1" ht="12.75" hidden="1" customHeight="1" x14ac:dyDescent="0.2">
      <c r="A1340" s="1"/>
      <c r="B1340" s="1"/>
      <c r="C1340" s="1"/>
      <c r="D1340" s="7"/>
      <c r="E1340" s="7"/>
      <c r="F1340" s="6"/>
      <c r="G1340" s="7"/>
      <c r="H1340" s="2"/>
      <c r="I1340" s="2"/>
      <c r="J1340" s="2"/>
      <c r="K1340" s="2"/>
      <c r="L1340" s="178"/>
      <c r="M1340" s="2"/>
      <c r="N1340" s="7"/>
      <c r="P1340" s="7"/>
      <c r="R1340" s="2"/>
      <c r="S1340" s="2"/>
      <c r="T1340" s="2"/>
      <c r="U1340" s="2"/>
      <c r="V1340" s="2"/>
      <c r="X1340" s="38"/>
      <c r="Y1340" s="38"/>
      <c r="Z1340" s="38"/>
      <c r="AA1340" s="38"/>
      <c r="AB1340" s="38"/>
      <c r="AD1340" s="2"/>
      <c r="AE1340" s="2"/>
      <c r="AF1340" s="2"/>
      <c r="AG1340" s="2"/>
      <c r="AH1340" s="2"/>
      <c r="AJ1340" s="215"/>
      <c r="AK1340" s="215"/>
      <c r="AL1340" s="215"/>
      <c r="AM1340" s="215"/>
      <c r="AO1340" s="10"/>
      <c r="AP1340" s="10"/>
      <c r="AQ1340" s="10"/>
      <c r="AR1340" s="10"/>
      <c r="AS1340" s="10"/>
      <c r="AU1340" s="2"/>
      <c r="AV1340" s="2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</row>
    <row r="1341" spans="1:73" customFormat="1" ht="12.75" hidden="1" customHeight="1" x14ac:dyDescent="0.2">
      <c r="A1341" s="1"/>
      <c r="B1341" s="1"/>
      <c r="C1341" s="1"/>
      <c r="D1341" s="7"/>
      <c r="E1341" s="7"/>
      <c r="F1341" s="6"/>
      <c r="G1341" s="7"/>
      <c r="H1341" s="2"/>
      <c r="I1341" s="2"/>
      <c r="J1341" s="2"/>
      <c r="K1341" s="2"/>
      <c r="L1341" s="178"/>
      <c r="M1341" s="2"/>
      <c r="N1341" s="7"/>
      <c r="P1341" s="7"/>
      <c r="R1341" s="2"/>
      <c r="S1341" s="2"/>
      <c r="T1341" s="2"/>
      <c r="U1341" s="2"/>
      <c r="V1341" s="2"/>
      <c r="X1341" s="38"/>
      <c r="Y1341" s="38"/>
      <c r="Z1341" s="38"/>
      <c r="AA1341" s="38"/>
      <c r="AB1341" s="38"/>
      <c r="AD1341" s="2"/>
      <c r="AE1341" s="2"/>
      <c r="AF1341" s="2"/>
      <c r="AG1341" s="2"/>
      <c r="AH1341" s="2"/>
      <c r="AJ1341" s="215"/>
      <c r="AK1341" s="215"/>
      <c r="AL1341" s="215"/>
      <c r="AM1341" s="215"/>
      <c r="AO1341" s="10"/>
      <c r="AP1341" s="10"/>
      <c r="AQ1341" s="10"/>
      <c r="AR1341" s="10"/>
      <c r="AS1341" s="10"/>
      <c r="AU1341" s="2"/>
      <c r="AV1341" s="2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</row>
    <row r="1342" spans="1:73" customFormat="1" ht="12.75" hidden="1" customHeight="1" x14ac:dyDescent="0.2">
      <c r="A1342" s="1"/>
      <c r="B1342" s="1"/>
      <c r="C1342" s="1"/>
      <c r="D1342" s="7"/>
      <c r="E1342" s="7"/>
      <c r="F1342" s="6"/>
      <c r="G1342" s="7"/>
      <c r="H1342" s="2"/>
      <c r="I1342" s="2"/>
      <c r="J1342" s="2"/>
      <c r="K1342" s="2"/>
      <c r="L1342" s="178"/>
      <c r="M1342" s="2"/>
      <c r="N1342" s="7"/>
      <c r="P1342" s="7"/>
      <c r="R1342" s="2"/>
      <c r="S1342" s="2"/>
      <c r="T1342" s="2"/>
      <c r="U1342" s="2"/>
      <c r="V1342" s="2"/>
      <c r="X1342" s="38"/>
      <c r="Y1342" s="38"/>
      <c r="Z1342" s="38"/>
      <c r="AA1342" s="38"/>
      <c r="AB1342" s="38"/>
      <c r="AD1342" s="2"/>
      <c r="AE1342" s="2"/>
      <c r="AF1342" s="2"/>
      <c r="AG1342" s="2"/>
      <c r="AH1342" s="2"/>
      <c r="AJ1342" s="215"/>
      <c r="AK1342" s="215"/>
      <c r="AL1342" s="215"/>
      <c r="AM1342" s="215"/>
      <c r="AO1342" s="10"/>
      <c r="AP1342" s="10"/>
      <c r="AQ1342" s="10"/>
      <c r="AR1342" s="10"/>
      <c r="AS1342" s="10"/>
      <c r="AU1342" s="2"/>
      <c r="AV1342" s="2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</row>
    <row r="1343" spans="1:73" customFormat="1" ht="12.75" hidden="1" customHeight="1" x14ac:dyDescent="0.2">
      <c r="A1343" s="1"/>
      <c r="B1343" s="1"/>
      <c r="C1343" s="1"/>
      <c r="D1343" s="7"/>
      <c r="E1343" s="7"/>
      <c r="F1343" s="6"/>
      <c r="G1343" s="7"/>
      <c r="H1343" s="2"/>
      <c r="I1343" s="2"/>
      <c r="J1343" s="2"/>
      <c r="K1343" s="2"/>
      <c r="L1343" s="178"/>
      <c r="M1343" s="2"/>
      <c r="N1343" s="7"/>
      <c r="P1343" s="7"/>
      <c r="R1343" s="2"/>
      <c r="S1343" s="2"/>
      <c r="T1343" s="2"/>
      <c r="U1343" s="2"/>
      <c r="V1343" s="2"/>
      <c r="X1343" s="38"/>
      <c r="Y1343" s="38"/>
      <c r="Z1343" s="38"/>
      <c r="AA1343" s="38"/>
      <c r="AB1343" s="38"/>
      <c r="AD1343" s="2"/>
      <c r="AE1343" s="2"/>
      <c r="AF1343" s="2"/>
      <c r="AG1343" s="2"/>
      <c r="AH1343" s="2"/>
      <c r="AJ1343" s="215"/>
      <c r="AK1343" s="215"/>
      <c r="AL1343" s="215"/>
      <c r="AM1343" s="215"/>
      <c r="AO1343" s="10"/>
      <c r="AP1343" s="10"/>
      <c r="AQ1343" s="10"/>
      <c r="AR1343" s="10"/>
      <c r="AS1343" s="10"/>
      <c r="AU1343" s="2"/>
      <c r="AV1343" s="2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</row>
    <row r="1344" spans="1:73" customFormat="1" ht="12.75" hidden="1" customHeight="1" x14ac:dyDescent="0.2">
      <c r="A1344" s="1"/>
      <c r="B1344" s="1"/>
      <c r="C1344" s="1"/>
      <c r="D1344" s="7"/>
      <c r="E1344" s="7"/>
      <c r="F1344" s="6"/>
      <c r="G1344" s="7"/>
      <c r="H1344" s="2"/>
      <c r="I1344" s="2"/>
      <c r="J1344" s="2"/>
      <c r="K1344" s="2"/>
      <c r="L1344" s="178"/>
      <c r="M1344" s="2"/>
      <c r="N1344" s="7"/>
      <c r="P1344" s="7"/>
      <c r="R1344" s="2"/>
      <c r="S1344" s="2"/>
      <c r="T1344" s="2"/>
      <c r="U1344" s="2"/>
      <c r="V1344" s="2"/>
      <c r="X1344" s="38"/>
      <c r="Y1344" s="38"/>
      <c r="Z1344" s="38"/>
      <c r="AA1344" s="38"/>
      <c r="AB1344" s="38"/>
      <c r="AD1344" s="2"/>
      <c r="AE1344" s="2"/>
      <c r="AF1344" s="2"/>
      <c r="AG1344" s="2"/>
      <c r="AH1344" s="2"/>
      <c r="AJ1344" s="215"/>
      <c r="AK1344" s="215"/>
      <c r="AL1344" s="215"/>
      <c r="AM1344" s="215"/>
      <c r="AO1344" s="10"/>
      <c r="AP1344" s="10"/>
      <c r="AQ1344" s="10"/>
      <c r="AR1344" s="10"/>
      <c r="AS1344" s="10"/>
      <c r="AU1344" s="2"/>
      <c r="AV1344" s="2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</row>
    <row r="1345" spans="1:73" customFormat="1" ht="12.75" hidden="1" customHeight="1" x14ac:dyDescent="0.2">
      <c r="A1345" s="1"/>
      <c r="B1345" s="1"/>
      <c r="C1345" s="1"/>
      <c r="D1345" s="7"/>
      <c r="E1345" s="7"/>
      <c r="F1345" s="6"/>
      <c r="G1345" s="7"/>
      <c r="H1345" s="2"/>
      <c r="I1345" s="2"/>
      <c r="J1345" s="2"/>
      <c r="K1345" s="2"/>
      <c r="L1345" s="178"/>
      <c r="M1345" s="2"/>
      <c r="N1345" s="7"/>
      <c r="P1345" s="7"/>
      <c r="R1345" s="2"/>
      <c r="S1345" s="2"/>
      <c r="T1345" s="2"/>
      <c r="U1345" s="2"/>
      <c r="V1345" s="2"/>
      <c r="X1345" s="38"/>
      <c r="Y1345" s="38"/>
      <c r="Z1345" s="38"/>
      <c r="AA1345" s="38"/>
      <c r="AB1345" s="38"/>
      <c r="AD1345" s="2"/>
      <c r="AE1345" s="2"/>
      <c r="AF1345" s="2"/>
      <c r="AG1345" s="2"/>
      <c r="AH1345" s="2"/>
      <c r="AJ1345" s="215"/>
      <c r="AK1345" s="215"/>
      <c r="AL1345" s="215"/>
      <c r="AM1345" s="215"/>
      <c r="AO1345" s="10"/>
      <c r="AP1345" s="10"/>
      <c r="AQ1345" s="10"/>
      <c r="AR1345" s="10"/>
      <c r="AS1345" s="10"/>
      <c r="AU1345" s="2"/>
      <c r="AV1345" s="2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</row>
    <row r="1346" spans="1:73" customFormat="1" ht="12.75" hidden="1" customHeight="1" x14ac:dyDescent="0.2">
      <c r="A1346" s="1"/>
      <c r="B1346" s="1"/>
      <c r="C1346" s="1"/>
      <c r="D1346" s="7"/>
      <c r="E1346" s="7"/>
      <c r="F1346" s="6"/>
      <c r="G1346" s="7"/>
      <c r="H1346" s="2"/>
      <c r="I1346" s="2"/>
      <c r="J1346" s="2"/>
      <c r="K1346" s="2"/>
      <c r="L1346" s="178"/>
      <c r="M1346" s="2"/>
      <c r="N1346" s="7"/>
      <c r="P1346" s="7"/>
      <c r="R1346" s="2"/>
      <c r="S1346" s="2"/>
      <c r="T1346" s="2"/>
      <c r="U1346" s="2"/>
      <c r="V1346" s="2"/>
      <c r="X1346" s="38"/>
      <c r="Y1346" s="38"/>
      <c r="Z1346" s="38"/>
      <c r="AA1346" s="38"/>
      <c r="AB1346" s="38"/>
      <c r="AD1346" s="2"/>
      <c r="AE1346" s="2"/>
      <c r="AF1346" s="2"/>
      <c r="AG1346" s="2"/>
      <c r="AH1346" s="2"/>
      <c r="AJ1346" s="215"/>
      <c r="AK1346" s="215"/>
      <c r="AL1346" s="215"/>
      <c r="AM1346" s="215"/>
      <c r="AO1346" s="10"/>
      <c r="AP1346" s="10"/>
      <c r="AQ1346" s="10"/>
      <c r="AR1346" s="10"/>
      <c r="AS1346" s="10"/>
      <c r="AU1346" s="2"/>
      <c r="AV1346" s="2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</row>
    <row r="1347" spans="1:73" customFormat="1" ht="12.75" hidden="1" customHeight="1" x14ac:dyDescent="0.2">
      <c r="A1347" s="1"/>
      <c r="B1347" s="1"/>
      <c r="C1347" s="1"/>
      <c r="D1347" s="7"/>
      <c r="E1347" s="7"/>
      <c r="F1347" s="6"/>
      <c r="G1347" s="7"/>
      <c r="H1347" s="2"/>
      <c r="I1347" s="2"/>
      <c r="J1347" s="2"/>
      <c r="K1347" s="2"/>
      <c r="L1347" s="178"/>
      <c r="M1347" s="2"/>
      <c r="N1347" s="7"/>
      <c r="P1347" s="7"/>
      <c r="R1347" s="2"/>
      <c r="S1347" s="2"/>
      <c r="T1347" s="2"/>
      <c r="U1347" s="2"/>
      <c r="V1347" s="2"/>
      <c r="X1347" s="38"/>
      <c r="Y1347" s="38"/>
      <c r="Z1347" s="38"/>
      <c r="AA1347" s="38"/>
      <c r="AB1347" s="38"/>
      <c r="AD1347" s="2"/>
      <c r="AE1347" s="2"/>
      <c r="AF1347" s="2"/>
      <c r="AG1347" s="2"/>
      <c r="AH1347" s="2"/>
      <c r="AJ1347" s="215"/>
      <c r="AK1347" s="215"/>
      <c r="AL1347" s="215"/>
      <c r="AM1347" s="215"/>
      <c r="AO1347" s="10"/>
      <c r="AP1347" s="10"/>
      <c r="AQ1347" s="10"/>
      <c r="AR1347" s="10"/>
      <c r="AS1347" s="10"/>
      <c r="AU1347" s="2"/>
      <c r="AV1347" s="2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</row>
    <row r="1348" spans="1:73" customFormat="1" ht="12.75" hidden="1" customHeight="1" x14ac:dyDescent="0.2">
      <c r="A1348" s="1"/>
      <c r="B1348" s="1"/>
      <c r="C1348" s="1"/>
      <c r="D1348" s="7"/>
      <c r="E1348" s="7"/>
      <c r="F1348" s="6"/>
      <c r="G1348" s="7"/>
      <c r="H1348" s="2"/>
      <c r="I1348" s="2"/>
      <c r="J1348" s="2"/>
      <c r="K1348" s="2"/>
      <c r="L1348" s="178"/>
      <c r="M1348" s="2"/>
      <c r="N1348" s="7"/>
      <c r="P1348" s="7"/>
      <c r="R1348" s="2"/>
      <c r="S1348" s="2"/>
      <c r="T1348" s="2"/>
      <c r="U1348" s="2"/>
      <c r="V1348" s="2"/>
      <c r="X1348" s="38"/>
      <c r="Y1348" s="38"/>
      <c r="Z1348" s="38"/>
      <c r="AA1348" s="38"/>
      <c r="AB1348" s="38"/>
      <c r="AD1348" s="2"/>
      <c r="AE1348" s="2"/>
      <c r="AF1348" s="2"/>
      <c r="AG1348" s="2"/>
      <c r="AH1348" s="2"/>
      <c r="AJ1348" s="215"/>
      <c r="AK1348" s="215"/>
      <c r="AL1348" s="215"/>
      <c r="AM1348" s="215"/>
      <c r="AO1348" s="10"/>
      <c r="AP1348" s="10"/>
      <c r="AQ1348" s="10"/>
      <c r="AR1348" s="10"/>
      <c r="AS1348" s="10"/>
      <c r="AU1348" s="2"/>
      <c r="AV1348" s="2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</row>
    <row r="1349" spans="1:73" customFormat="1" ht="12.75" hidden="1" customHeight="1" x14ac:dyDescent="0.2">
      <c r="A1349" s="1"/>
      <c r="B1349" s="1"/>
      <c r="C1349" s="1"/>
      <c r="D1349" s="7"/>
      <c r="E1349" s="7"/>
      <c r="F1349" s="6"/>
      <c r="G1349" s="7"/>
      <c r="H1349" s="2"/>
      <c r="I1349" s="2"/>
      <c r="J1349" s="2"/>
      <c r="K1349" s="2"/>
      <c r="L1349" s="178"/>
      <c r="M1349" s="2"/>
      <c r="N1349" s="7"/>
      <c r="P1349" s="7"/>
      <c r="R1349" s="2"/>
      <c r="S1349" s="2"/>
      <c r="T1349" s="2"/>
      <c r="U1349" s="2"/>
      <c r="V1349" s="2"/>
      <c r="X1349" s="38"/>
      <c r="Y1349" s="38"/>
      <c r="Z1349" s="38"/>
      <c r="AA1349" s="38"/>
      <c r="AB1349" s="38"/>
      <c r="AD1349" s="2"/>
      <c r="AE1349" s="2"/>
      <c r="AF1349" s="2"/>
      <c r="AG1349" s="2"/>
      <c r="AH1349" s="2"/>
      <c r="AJ1349" s="215"/>
      <c r="AK1349" s="215"/>
      <c r="AL1349" s="215"/>
      <c r="AM1349" s="215"/>
      <c r="AO1349" s="10"/>
      <c r="AP1349" s="10"/>
      <c r="AQ1349" s="10"/>
      <c r="AR1349" s="10"/>
      <c r="AS1349" s="10"/>
      <c r="AU1349" s="2"/>
      <c r="AV1349" s="2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</row>
    <row r="1350" spans="1:73" customFormat="1" ht="12.75" hidden="1" customHeight="1" x14ac:dyDescent="0.2">
      <c r="A1350" s="1"/>
      <c r="B1350" s="1"/>
      <c r="C1350" s="1"/>
      <c r="D1350" s="7"/>
      <c r="E1350" s="7"/>
      <c r="F1350" s="6"/>
      <c r="G1350" s="7"/>
      <c r="H1350" s="2"/>
      <c r="I1350" s="2"/>
      <c r="J1350" s="2"/>
      <c r="K1350" s="2"/>
      <c r="L1350" s="178"/>
      <c r="M1350" s="2"/>
      <c r="N1350" s="7"/>
      <c r="P1350" s="7"/>
      <c r="R1350" s="2"/>
      <c r="S1350" s="2"/>
      <c r="T1350" s="2"/>
      <c r="U1350" s="2"/>
      <c r="V1350" s="2"/>
      <c r="X1350" s="38"/>
      <c r="Y1350" s="38"/>
      <c r="Z1350" s="38"/>
      <c r="AA1350" s="38"/>
      <c r="AB1350" s="38"/>
      <c r="AD1350" s="2"/>
      <c r="AE1350" s="2"/>
      <c r="AF1350" s="2"/>
      <c r="AG1350" s="2"/>
      <c r="AH1350" s="2"/>
      <c r="AJ1350" s="215"/>
      <c r="AK1350" s="215"/>
      <c r="AL1350" s="215"/>
      <c r="AM1350" s="215"/>
      <c r="AO1350" s="10"/>
      <c r="AP1350" s="10"/>
      <c r="AQ1350" s="10"/>
      <c r="AR1350" s="10"/>
      <c r="AS1350" s="10"/>
      <c r="AU1350" s="2"/>
      <c r="AV1350" s="2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</row>
    <row r="1351" spans="1:73" customFormat="1" ht="12.75" hidden="1" customHeight="1" x14ac:dyDescent="0.2">
      <c r="A1351" s="1"/>
      <c r="B1351" s="1"/>
      <c r="C1351" s="1"/>
      <c r="D1351" s="7"/>
      <c r="E1351" s="7"/>
      <c r="F1351" s="6"/>
      <c r="G1351" s="7"/>
      <c r="H1351" s="2"/>
      <c r="I1351" s="2"/>
      <c r="J1351" s="2"/>
      <c r="K1351" s="2"/>
      <c r="L1351" s="178"/>
      <c r="M1351" s="2"/>
      <c r="N1351" s="7"/>
      <c r="P1351" s="7"/>
      <c r="R1351" s="2"/>
      <c r="S1351" s="2"/>
      <c r="T1351" s="2"/>
      <c r="U1351" s="2"/>
      <c r="V1351" s="2"/>
      <c r="X1351" s="38"/>
      <c r="Y1351" s="38"/>
      <c r="Z1351" s="38"/>
      <c r="AA1351" s="38"/>
      <c r="AB1351" s="38"/>
      <c r="AD1351" s="2"/>
      <c r="AE1351" s="2"/>
      <c r="AF1351" s="2"/>
      <c r="AG1351" s="2"/>
      <c r="AH1351" s="2"/>
      <c r="AJ1351" s="215"/>
      <c r="AK1351" s="215"/>
      <c r="AL1351" s="215"/>
      <c r="AM1351" s="215"/>
      <c r="AO1351" s="10"/>
      <c r="AP1351" s="10"/>
      <c r="AQ1351" s="10"/>
      <c r="AR1351" s="10"/>
      <c r="AS1351" s="10"/>
      <c r="AU1351" s="2"/>
      <c r="AV1351" s="2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</row>
    <row r="1352" spans="1:73" customFormat="1" ht="12.75" hidden="1" customHeight="1" x14ac:dyDescent="0.2">
      <c r="A1352" s="1"/>
      <c r="B1352" s="1"/>
      <c r="C1352" s="1"/>
      <c r="D1352" s="7"/>
      <c r="E1352" s="7"/>
      <c r="F1352" s="6"/>
      <c r="G1352" s="7"/>
      <c r="H1352" s="2"/>
      <c r="I1352" s="2"/>
      <c r="J1352" s="2"/>
      <c r="K1352" s="2"/>
      <c r="L1352" s="178"/>
      <c r="M1352" s="2"/>
      <c r="N1352" s="7"/>
      <c r="P1352" s="7"/>
      <c r="R1352" s="2"/>
      <c r="S1352" s="2"/>
      <c r="T1352" s="2"/>
      <c r="U1352" s="2"/>
      <c r="V1352" s="2"/>
      <c r="X1352" s="38"/>
      <c r="Y1352" s="38"/>
      <c r="Z1352" s="38"/>
      <c r="AA1352" s="38"/>
      <c r="AB1352" s="38"/>
      <c r="AD1352" s="2"/>
      <c r="AE1352" s="2"/>
      <c r="AF1352" s="2"/>
      <c r="AG1352" s="2"/>
      <c r="AH1352" s="2"/>
      <c r="AJ1352" s="215"/>
      <c r="AK1352" s="215"/>
      <c r="AL1352" s="215"/>
      <c r="AM1352" s="215"/>
      <c r="AO1352" s="10"/>
      <c r="AP1352" s="10"/>
      <c r="AQ1352" s="10"/>
      <c r="AR1352" s="10"/>
      <c r="AS1352" s="10"/>
      <c r="AU1352" s="2"/>
      <c r="AV1352" s="2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</row>
    <row r="1353" spans="1:73" customFormat="1" ht="12.75" hidden="1" customHeight="1" x14ac:dyDescent="0.2">
      <c r="A1353" s="1"/>
      <c r="B1353" s="1"/>
      <c r="C1353" s="1"/>
      <c r="D1353" s="7"/>
      <c r="E1353" s="7"/>
      <c r="F1353" s="6"/>
      <c r="G1353" s="7"/>
      <c r="H1353" s="2"/>
      <c r="I1353" s="2"/>
      <c r="J1353" s="2"/>
      <c r="K1353" s="2"/>
      <c r="L1353" s="178"/>
      <c r="M1353" s="2"/>
      <c r="N1353" s="7"/>
      <c r="P1353" s="7"/>
      <c r="R1353" s="2"/>
      <c r="S1353" s="2"/>
      <c r="T1353" s="2"/>
      <c r="U1353" s="2"/>
      <c r="V1353" s="2"/>
      <c r="X1353" s="38"/>
      <c r="Y1353" s="38"/>
      <c r="Z1353" s="38"/>
      <c r="AA1353" s="38"/>
      <c r="AB1353" s="38"/>
      <c r="AD1353" s="2"/>
      <c r="AE1353" s="2"/>
      <c r="AF1353" s="2"/>
      <c r="AG1353" s="2"/>
      <c r="AH1353" s="2"/>
      <c r="AJ1353" s="215"/>
      <c r="AK1353" s="215"/>
      <c r="AL1353" s="215"/>
      <c r="AM1353" s="215"/>
      <c r="AO1353" s="10"/>
      <c r="AP1353" s="10"/>
      <c r="AQ1353" s="10"/>
      <c r="AR1353" s="10"/>
      <c r="AS1353" s="10"/>
      <c r="AU1353" s="2"/>
      <c r="AV1353" s="2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</row>
    <row r="1354" spans="1:73" customFormat="1" ht="12.75" hidden="1" customHeight="1" x14ac:dyDescent="0.2">
      <c r="A1354" s="1"/>
      <c r="B1354" s="1"/>
      <c r="C1354" s="1"/>
      <c r="D1354" s="7"/>
      <c r="E1354" s="7"/>
      <c r="F1354" s="6"/>
      <c r="G1354" s="7"/>
      <c r="H1354" s="2"/>
      <c r="I1354" s="2"/>
      <c r="J1354" s="2"/>
      <c r="K1354" s="2"/>
      <c r="L1354" s="178"/>
      <c r="M1354" s="2"/>
      <c r="N1354" s="7"/>
      <c r="P1354" s="7"/>
      <c r="R1354" s="2"/>
      <c r="S1354" s="2"/>
      <c r="T1354" s="2"/>
      <c r="U1354" s="2"/>
      <c r="V1354" s="2"/>
      <c r="X1354" s="38"/>
      <c r="Y1354" s="38"/>
      <c r="Z1354" s="38"/>
      <c r="AA1354" s="38"/>
      <c r="AB1354" s="38"/>
      <c r="AD1354" s="2"/>
      <c r="AE1354" s="2"/>
      <c r="AF1354" s="2"/>
      <c r="AG1354" s="2"/>
      <c r="AH1354" s="2"/>
      <c r="AJ1354" s="215"/>
      <c r="AK1354" s="215"/>
      <c r="AL1354" s="215"/>
      <c r="AM1354" s="215"/>
      <c r="AO1354" s="10"/>
      <c r="AP1354" s="10"/>
      <c r="AQ1354" s="10"/>
      <c r="AR1354" s="10"/>
      <c r="AS1354" s="10"/>
      <c r="AU1354" s="2"/>
      <c r="AV1354" s="2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</row>
    <row r="1355" spans="1:73" customFormat="1" ht="12.75" hidden="1" customHeight="1" x14ac:dyDescent="0.2">
      <c r="A1355" s="1"/>
      <c r="B1355" s="1"/>
      <c r="C1355" s="1"/>
      <c r="D1355" s="7"/>
      <c r="E1355" s="7"/>
      <c r="F1355" s="6"/>
      <c r="G1355" s="7"/>
      <c r="H1355" s="2"/>
      <c r="I1355" s="2"/>
      <c r="J1355" s="2"/>
      <c r="K1355" s="2"/>
      <c r="L1355" s="178"/>
      <c r="M1355" s="2"/>
      <c r="N1355" s="7"/>
      <c r="P1355" s="7"/>
      <c r="R1355" s="2"/>
      <c r="S1355" s="2"/>
      <c r="T1355" s="2"/>
      <c r="U1355" s="2"/>
      <c r="V1355" s="2"/>
      <c r="X1355" s="38"/>
      <c r="Y1355" s="38"/>
      <c r="Z1355" s="38"/>
      <c r="AA1355" s="38"/>
      <c r="AB1355" s="38"/>
      <c r="AD1355" s="2"/>
      <c r="AE1355" s="2"/>
      <c r="AF1355" s="2"/>
      <c r="AG1355" s="2"/>
      <c r="AH1355" s="2"/>
      <c r="AJ1355" s="215"/>
      <c r="AK1355" s="215"/>
      <c r="AL1355" s="215"/>
      <c r="AM1355" s="215"/>
      <c r="AO1355" s="10"/>
      <c r="AP1355" s="10"/>
      <c r="AQ1355" s="10"/>
      <c r="AR1355" s="10"/>
      <c r="AS1355" s="10"/>
      <c r="AU1355" s="2"/>
      <c r="AV1355" s="2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</row>
    <row r="1356" spans="1:73" customFormat="1" ht="12.75" hidden="1" customHeight="1" x14ac:dyDescent="0.2">
      <c r="A1356" s="1"/>
      <c r="B1356" s="1"/>
      <c r="C1356" s="1"/>
      <c r="D1356" s="7"/>
      <c r="E1356" s="7"/>
      <c r="F1356" s="6"/>
      <c r="G1356" s="7"/>
      <c r="H1356" s="2"/>
      <c r="I1356" s="2"/>
      <c r="J1356" s="2"/>
      <c r="K1356" s="2"/>
      <c r="L1356" s="178"/>
      <c r="M1356" s="2"/>
      <c r="N1356" s="7"/>
      <c r="P1356" s="7"/>
      <c r="R1356" s="2"/>
      <c r="S1356" s="2"/>
      <c r="T1356" s="2"/>
      <c r="U1356" s="2"/>
      <c r="V1356" s="2"/>
      <c r="X1356" s="38"/>
      <c r="Y1356" s="38"/>
      <c r="Z1356" s="38"/>
      <c r="AA1356" s="38"/>
      <c r="AB1356" s="38"/>
      <c r="AD1356" s="2"/>
      <c r="AE1356" s="2"/>
      <c r="AF1356" s="2"/>
      <c r="AG1356" s="2"/>
      <c r="AH1356" s="2"/>
      <c r="AJ1356" s="215"/>
      <c r="AK1356" s="215"/>
      <c r="AL1356" s="215"/>
      <c r="AM1356" s="215"/>
      <c r="AO1356" s="10"/>
      <c r="AP1356" s="10"/>
      <c r="AQ1356" s="10"/>
      <c r="AR1356" s="10"/>
      <c r="AS1356" s="10"/>
      <c r="AU1356" s="2"/>
      <c r="AV1356" s="2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</row>
    <row r="1357" spans="1:73" customFormat="1" ht="12.75" hidden="1" customHeight="1" x14ac:dyDescent="0.2">
      <c r="A1357" s="1"/>
      <c r="B1357" s="1"/>
      <c r="C1357" s="1"/>
      <c r="D1357" s="7"/>
      <c r="E1357" s="7"/>
      <c r="F1357" s="6"/>
      <c r="G1357" s="7"/>
      <c r="H1357" s="2"/>
      <c r="I1357" s="2"/>
      <c r="J1357" s="2"/>
      <c r="K1357" s="2"/>
      <c r="L1357" s="178"/>
      <c r="M1357" s="2"/>
      <c r="N1357" s="7"/>
      <c r="P1357" s="7"/>
      <c r="R1357" s="2"/>
      <c r="S1357" s="2"/>
      <c r="T1357" s="2"/>
      <c r="U1357" s="2"/>
      <c r="V1357" s="2"/>
      <c r="X1357" s="38"/>
      <c r="Y1357" s="38"/>
      <c r="Z1357" s="38"/>
      <c r="AA1357" s="38"/>
      <c r="AB1357" s="38"/>
      <c r="AD1357" s="2"/>
      <c r="AE1357" s="2"/>
      <c r="AF1357" s="2"/>
      <c r="AG1357" s="2"/>
      <c r="AH1357" s="2"/>
      <c r="AJ1357" s="215"/>
      <c r="AK1357" s="215"/>
      <c r="AL1357" s="215"/>
      <c r="AM1357" s="215"/>
      <c r="AO1357" s="10"/>
      <c r="AP1357" s="10"/>
      <c r="AQ1357" s="10"/>
      <c r="AR1357" s="10"/>
      <c r="AS1357" s="10"/>
      <c r="AU1357" s="2"/>
      <c r="AV1357" s="2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</row>
    <row r="1358" spans="1:73" customFormat="1" ht="12.75" hidden="1" customHeight="1" x14ac:dyDescent="0.2">
      <c r="A1358" s="1"/>
      <c r="B1358" s="1"/>
      <c r="C1358" s="1"/>
      <c r="D1358" s="7"/>
      <c r="E1358" s="7"/>
      <c r="F1358" s="6"/>
      <c r="G1358" s="7"/>
      <c r="H1358" s="2"/>
      <c r="I1358" s="2"/>
      <c r="J1358" s="2"/>
      <c r="K1358" s="2"/>
      <c r="L1358" s="178"/>
      <c r="M1358" s="2"/>
      <c r="N1358" s="7"/>
      <c r="P1358" s="7"/>
      <c r="R1358" s="2"/>
      <c r="S1358" s="2"/>
      <c r="T1358" s="2"/>
      <c r="U1358" s="2"/>
      <c r="V1358" s="2"/>
      <c r="X1358" s="38"/>
      <c r="Y1358" s="38"/>
      <c r="Z1358" s="38"/>
      <c r="AA1358" s="38"/>
      <c r="AB1358" s="38"/>
      <c r="AD1358" s="2"/>
      <c r="AE1358" s="2"/>
      <c r="AF1358" s="2"/>
      <c r="AG1358" s="2"/>
      <c r="AH1358" s="2"/>
      <c r="AJ1358" s="215"/>
      <c r="AK1358" s="215"/>
      <c r="AL1358" s="215"/>
      <c r="AM1358" s="215"/>
      <c r="AO1358" s="10"/>
      <c r="AP1358" s="10"/>
      <c r="AQ1358" s="10"/>
      <c r="AR1358" s="10"/>
      <c r="AS1358" s="10"/>
      <c r="AU1358" s="2"/>
      <c r="AV1358" s="2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</row>
    <row r="1359" spans="1:73" customFormat="1" ht="12.75" hidden="1" customHeight="1" x14ac:dyDescent="0.2">
      <c r="A1359" s="1"/>
      <c r="B1359" s="1"/>
      <c r="C1359" s="1"/>
      <c r="D1359" s="7"/>
      <c r="E1359" s="7"/>
      <c r="F1359" s="6"/>
      <c r="G1359" s="7"/>
      <c r="H1359" s="2"/>
      <c r="I1359" s="2"/>
      <c r="J1359" s="2"/>
      <c r="K1359" s="2"/>
      <c r="L1359" s="178"/>
      <c r="M1359" s="2"/>
      <c r="N1359" s="7"/>
      <c r="P1359" s="7"/>
      <c r="R1359" s="2"/>
      <c r="S1359" s="2"/>
      <c r="T1359" s="2"/>
      <c r="U1359" s="2"/>
      <c r="V1359" s="2"/>
      <c r="X1359" s="38"/>
      <c r="Y1359" s="38"/>
      <c r="Z1359" s="38"/>
      <c r="AA1359" s="38"/>
      <c r="AB1359" s="38"/>
      <c r="AD1359" s="2"/>
      <c r="AE1359" s="2"/>
      <c r="AF1359" s="2"/>
      <c r="AG1359" s="2"/>
      <c r="AH1359" s="2"/>
      <c r="AJ1359" s="215"/>
      <c r="AK1359" s="215"/>
      <c r="AL1359" s="215"/>
      <c r="AM1359" s="215"/>
      <c r="AO1359" s="10"/>
      <c r="AP1359" s="10"/>
      <c r="AQ1359" s="10"/>
      <c r="AR1359" s="10"/>
      <c r="AS1359" s="10"/>
      <c r="AU1359" s="2"/>
      <c r="AV1359" s="2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</row>
    <row r="1360" spans="1:73" customFormat="1" ht="12.75" hidden="1" customHeight="1" x14ac:dyDescent="0.2">
      <c r="A1360" s="1"/>
      <c r="B1360" s="1"/>
      <c r="C1360" s="1"/>
      <c r="D1360" s="7"/>
      <c r="E1360" s="7"/>
      <c r="F1360" s="6"/>
      <c r="G1360" s="7"/>
      <c r="H1360" s="2"/>
      <c r="I1360" s="2"/>
      <c r="J1360" s="2"/>
      <c r="K1360" s="2"/>
      <c r="L1360" s="178"/>
      <c r="M1360" s="2"/>
      <c r="N1360" s="7"/>
      <c r="P1360" s="7"/>
      <c r="R1360" s="2"/>
      <c r="S1360" s="2"/>
      <c r="T1360" s="2"/>
      <c r="U1360" s="2"/>
      <c r="V1360" s="2"/>
      <c r="X1360" s="38"/>
      <c r="Y1360" s="38"/>
      <c r="Z1360" s="38"/>
      <c r="AA1360" s="38"/>
      <c r="AB1360" s="38"/>
      <c r="AD1360" s="2"/>
      <c r="AE1360" s="2"/>
      <c r="AF1360" s="2"/>
      <c r="AG1360" s="2"/>
      <c r="AH1360" s="2"/>
      <c r="AJ1360" s="215"/>
      <c r="AK1360" s="215"/>
      <c r="AL1360" s="215"/>
      <c r="AM1360" s="215"/>
      <c r="AO1360" s="10"/>
      <c r="AP1360" s="10"/>
      <c r="AQ1360" s="10"/>
      <c r="AR1360" s="10"/>
      <c r="AS1360" s="10"/>
      <c r="AU1360" s="2"/>
      <c r="AV1360" s="2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</row>
    <row r="1361" spans="1:73" customFormat="1" ht="12.75" hidden="1" customHeight="1" x14ac:dyDescent="0.2">
      <c r="A1361" s="1"/>
      <c r="B1361" s="1"/>
      <c r="C1361" s="1"/>
      <c r="D1361" s="7"/>
      <c r="E1361" s="7"/>
      <c r="F1361" s="6"/>
      <c r="G1361" s="7"/>
      <c r="H1361" s="2"/>
      <c r="I1361" s="2"/>
      <c r="J1361" s="2"/>
      <c r="K1361" s="2"/>
      <c r="L1361" s="178"/>
      <c r="M1361" s="2"/>
      <c r="N1361" s="7"/>
      <c r="P1361" s="7"/>
      <c r="R1361" s="2"/>
      <c r="S1361" s="2"/>
      <c r="T1361" s="2"/>
      <c r="U1361" s="2"/>
      <c r="V1361" s="2"/>
      <c r="X1361" s="38"/>
      <c r="Y1361" s="38"/>
      <c r="Z1361" s="38"/>
      <c r="AA1361" s="38"/>
      <c r="AB1361" s="38"/>
      <c r="AD1361" s="2"/>
      <c r="AE1361" s="2"/>
      <c r="AF1361" s="2"/>
      <c r="AG1361" s="2"/>
      <c r="AH1361" s="2"/>
      <c r="AJ1361" s="215"/>
      <c r="AK1361" s="215"/>
      <c r="AL1361" s="215"/>
      <c r="AM1361" s="215"/>
      <c r="AO1361" s="10"/>
      <c r="AP1361" s="10"/>
      <c r="AQ1361" s="10"/>
      <c r="AR1361" s="10"/>
      <c r="AS1361" s="10"/>
      <c r="AU1361" s="2"/>
      <c r="AV1361" s="2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</row>
    <row r="1362" spans="1:73" customFormat="1" ht="12.75" hidden="1" customHeight="1" x14ac:dyDescent="0.2">
      <c r="A1362" s="1"/>
      <c r="B1362" s="1"/>
      <c r="C1362" s="1"/>
      <c r="D1362" s="7"/>
      <c r="E1362" s="7"/>
      <c r="F1362" s="6"/>
      <c r="G1362" s="7"/>
      <c r="H1362" s="2"/>
      <c r="I1362" s="2"/>
      <c r="J1362" s="2"/>
      <c r="K1362" s="2"/>
      <c r="L1362" s="178"/>
      <c r="M1362" s="2"/>
      <c r="N1362" s="7"/>
      <c r="P1362" s="7"/>
      <c r="R1362" s="2"/>
      <c r="S1362" s="2"/>
      <c r="T1362" s="2"/>
      <c r="U1362" s="2"/>
      <c r="V1362" s="2"/>
      <c r="X1362" s="38"/>
      <c r="Y1362" s="38"/>
      <c r="Z1362" s="38"/>
      <c r="AA1362" s="38"/>
      <c r="AB1362" s="38"/>
      <c r="AD1362" s="2"/>
      <c r="AE1362" s="2"/>
      <c r="AF1362" s="2"/>
      <c r="AG1362" s="2"/>
      <c r="AH1362" s="2"/>
      <c r="AJ1362" s="215"/>
      <c r="AK1362" s="215"/>
      <c r="AL1362" s="215"/>
      <c r="AM1362" s="215"/>
      <c r="AO1362" s="10"/>
      <c r="AP1362" s="10"/>
      <c r="AQ1362" s="10"/>
      <c r="AR1362" s="10"/>
      <c r="AS1362" s="10"/>
      <c r="AU1362" s="2"/>
      <c r="AV1362" s="2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</row>
    <row r="1363" spans="1:73" customFormat="1" ht="12.75" hidden="1" customHeight="1" x14ac:dyDescent="0.2">
      <c r="A1363" s="1"/>
      <c r="B1363" s="1"/>
      <c r="C1363" s="1"/>
      <c r="D1363" s="7"/>
      <c r="E1363" s="7"/>
      <c r="F1363" s="6"/>
      <c r="G1363" s="7"/>
      <c r="H1363" s="2"/>
      <c r="I1363" s="2"/>
      <c r="J1363" s="2"/>
      <c r="K1363" s="2"/>
      <c r="L1363" s="178"/>
      <c r="M1363" s="2"/>
      <c r="N1363" s="7"/>
      <c r="P1363" s="7"/>
      <c r="R1363" s="2"/>
      <c r="S1363" s="2"/>
      <c r="T1363" s="2"/>
      <c r="U1363" s="2"/>
      <c r="V1363" s="2"/>
      <c r="X1363" s="38"/>
      <c r="Y1363" s="38"/>
      <c r="Z1363" s="38"/>
      <c r="AA1363" s="38"/>
      <c r="AB1363" s="38"/>
      <c r="AD1363" s="2"/>
      <c r="AE1363" s="2"/>
      <c r="AF1363" s="2"/>
      <c r="AG1363" s="2"/>
      <c r="AH1363" s="2"/>
      <c r="AJ1363" s="215"/>
      <c r="AK1363" s="215"/>
      <c r="AL1363" s="215"/>
      <c r="AM1363" s="215"/>
      <c r="AO1363" s="10"/>
      <c r="AP1363" s="10"/>
      <c r="AQ1363" s="10"/>
      <c r="AR1363" s="10"/>
      <c r="AS1363" s="10"/>
      <c r="AU1363" s="2"/>
      <c r="AV1363" s="2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</row>
    <row r="1364" spans="1:73" customFormat="1" ht="12.75" hidden="1" customHeight="1" x14ac:dyDescent="0.2">
      <c r="A1364" s="1"/>
      <c r="B1364" s="1"/>
      <c r="C1364" s="1"/>
      <c r="D1364" s="7"/>
      <c r="E1364" s="7"/>
      <c r="F1364" s="6"/>
      <c r="G1364" s="7"/>
      <c r="H1364" s="2"/>
      <c r="I1364" s="2"/>
      <c r="J1364" s="2"/>
      <c r="K1364" s="2"/>
      <c r="L1364" s="178"/>
      <c r="M1364" s="2"/>
      <c r="N1364" s="7"/>
      <c r="P1364" s="7"/>
      <c r="R1364" s="2"/>
      <c r="S1364" s="2"/>
      <c r="T1364" s="2"/>
      <c r="U1364" s="2"/>
      <c r="V1364" s="2"/>
      <c r="X1364" s="38"/>
      <c r="Y1364" s="38"/>
      <c r="Z1364" s="38"/>
      <c r="AA1364" s="38"/>
      <c r="AB1364" s="38"/>
      <c r="AD1364" s="2"/>
      <c r="AE1364" s="2"/>
      <c r="AF1364" s="2"/>
      <c r="AG1364" s="2"/>
      <c r="AH1364" s="2"/>
      <c r="AJ1364" s="215"/>
      <c r="AK1364" s="215"/>
      <c r="AL1364" s="215"/>
      <c r="AM1364" s="215"/>
      <c r="AO1364" s="10"/>
      <c r="AP1364" s="10"/>
      <c r="AQ1364" s="10"/>
      <c r="AR1364" s="10"/>
      <c r="AS1364" s="10"/>
      <c r="AU1364" s="2"/>
      <c r="AV1364" s="2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</row>
    <row r="1365" spans="1:73" customFormat="1" ht="12.75" hidden="1" customHeight="1" x14ac:dyDescent="0.2">
      <c r="A1365" s="1"/>
      <c r="B1365" s="1"/>
      <c r="C1365" s="1"/>
      <c r="D1365" s="7"/>
      <c r="E1365" s="7"/>
      <c r="F1365" s="6"/>
      <c r="G1365" s="7"/>
      <c r="H1365" s="2"/>
      <c r="I1365" s="2"/>
      <c r="J1365" s="2"/>
      <c r="K1365" s="2"/>
      <c r="L1365" s="178"/>
      <c r="M1365" s="2"/>
      <c r="N1365" s="7"/>
      <c r="P1365" s="7"/>
      <c r="R1365" s="2"/>
      <c r="S1365" s="2"/>
      <c r="T1365" s="2"/>
      <c r="U1365" s="2"/>
      <c r="V1365" s="2"/>
      <c r="X1365" s="38"/>
      <c r="Y1365" s="38"/>
      <c r="Z1365" s="38"/>
      <c r="AA1365" s="38"/>
      <c r="AB1365" s="38"/>
      <c r="AD1365" s="2"/>
      <c r="AE1365" s="2"/>
      <c r="AF1365" s="2"/>
      <c r="AG1365" s="2"/>
      <c r="AH1365" s="2"/>
      <c r="AJ1365" s="215"/>
      <c r="AK1365" s="215"/>
      <c r="AL1365" s="215"/>
      <c r="AM1365" s="215"/>
      <c r="AO1365" s="10"/>
      <c r="AP1365" s="10"/>
      <c r="AQ1365" s="10"/>
      <c r="AR1365" s="10"/>
      <c r="AS1365" s="10"/>
      <c r="AU1365" s="2"/>
      <c r="AV1365" s="2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</row>
    <row r="1366" spans="1:73" customFormat="1" ht="12.75" hidden="1" customHeight="1" x14ac:dyDescent="0.2">
      <c r="A1366" s="1"/>
      <c r="B1366" s="1"/>
      <c r="C1366" s="1"/>
      <c r="D1366" s="7"/>
      <c r="E1366" s="7"/>
      <c r="F1366" s="6"/>
      <c r="G1366" s="7"/>
      <c r="H1366" s="2"/>
      <c r="I1366" s="2"/>
      <c r="J1366" s="2"/>
      <c r="K1366" s="2"/>
      <c r="L1366" s="178"/>
      <c r="M1366" s="2"/>
      <c r="N1366" s="7"/>
      <c r="P1366" s="7"/>
      <c r="R1366" s="2"/>
      <c r="S1366" s="2"/>
      <c r="T1366" s="2"/>
      <c r="U1366" s="2"/>
      <c r="V1366" s="2"/>
      <c r="X1366" s="38"/>
      <c r="Y1366" s="38"/>
      <c r="Z1366" s="38"/>
      <c r="AA1366" s="38"/>
      <c r="AB1366" s="38"/>
      <c r="AD1366" s="2"/>
      <c r="AE1366" s="2"/>
      <c r="AF1366" s="2"/>
      <c r="AG1366" s="2"/>
      <c r="AH1366" s="2"/>
      <c r="AJ1366" s="215"/>
      <c r="AK1366" s="215"/>
      <c r="AL1366" s="215"/>
      <c r="AM1366" s="215"/>
      <c r="AO1366" s="10"/>
      <c r="AP1366" s="10"/>
      <c r="AQ1366" s="10"/>
      <c r="AR1366" s="10"/>
      <c r="AS1366" s="10"/>
      <c r="AU1366" s="2"/>
      <c r="AV1366" s="2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</row>
    <row r="1367" spans="1:73" customFormat="1" ht="12.75" hidden="1" customHeight="1" x14ac:dyDescent="0.2">
      <c r="A1367" s="1"/>
      <c r="B1367" s="1"/>
      <c r="C1367" s="1"/>
      <c r="D1367" s="7"/>
      <c r="E1367" s="7"/>
      <c r="F1367" s="6"/>
      <c r="G1367" s="7"/>
      <c r="H1367" s="2"/>
      <c r="I1367" s="2"/>
      <c r="J1367" s="2"/>
      <c r="K1367" s="2"/>
      <c r="L1367" s="178"/>
      <c r="M1367" s="2"/>
      <c r="N1367" s="7"/>
      <c r="P1367" s="7"/>
      <c r="R1367" s="2"/>
      <c r="S1367" s="2"/>
      <c r="T1367" s="2"/>
      <c r="U1367" s="2"/>
      <c r="V1367" s="2"/>
      <c r="X1367" s="38"/>
      <c r="Y1367" s="38"/>
      <c r="Z1367" s="38"/>
      <c r="AA1367" s="38"/>
      <c r="AB1367" s="38"/>
      <c r="AD1367" s="2"/>
      <c r="AE1367" s="2"/>
      <c r="AF1367" s="2"/>
      <c r="AG1367" s="2"/>
      <c r="AH1367" s="2"/>
      <c r="AJ1367" s="215"/>
      <c r="AK1367" s="215"/>
      <c r="AL1367" s="215"/>
      <c r="AM1367" s="215"/>
      <c r="AO1367" s="10"/>
      <c r="AP1367" s="10"/>
      <c r="AQ1367" s="10"/>
      <c r="AR1367" s="10"/>
      <c r="AS1367" s="10"/>
      <c r="AU1367" s="2"/>
      <c r="AV1367" s="2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</row>
    <row r="1368" spans="1:73" customFormat="1" ht="12.75" hidden="1" customHeight="1" x14ac:dyDescent="0.2">
      <c r="A1368" s="1"/>
      <c r="B1368" s="1"/>
      <c r="C1368" s="1"/>
      <c r="D1368" s="7"/>
      <c r="E1368" s="7"/>
      <c r="F1368" s="6"/>
      <c r="G1368" s="7"/>
      <c r="H1368" s="2"/>
      <c r="I1368" s="2"/>
      <c r="J1368" s="2"/>
      <c r="K1368" s="2"/>
      <c r="L1368" s="178"/>
      <c r="M1368" s="2"/>
      <c r="N1368" s="7"/>
      <c r="P1368" s="7"/>
      <c r="R1368" s="2"/>
      <c r="S1368" s="2"/>
      <c r="T1368" s="2"/>
      <c r="U1368" s="2"/>
      <c r="V1368" s="2"/>
      <c r="X1368" s="38"/>
      <c r="Y1368" s="38"/>
      <c r="Z1368" s="38"/>
      <c r="AA1368" s="38"/>
      <c r="AB1368" s="38"/>
      <c r="AD1368" s="2"/>
      <c r="AE1368" s="2"/>
      <c r="AF1368" s="2"/>
      <c r="AG1368" s="2"/>
      <c r="AH1368" s="2"/>
      <c r="AJ1368" s="215"/>
      <c r="AK1368" s="215"/>
      <c r="AL1368" s="215"/>
      <c r="AM1368" s="215"/>
      <c r="AO1368" s="10"/>
      <c r="AP1368" s="10"/>
      <c r="AQ1368" s="10"/>
      <c r="AR1368" s="10"/>
      <c r="AS1368" s="10"/>
      <c r="AU1368" s="2"/>
      <c r="AV1368" s="2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</row>
    <row r="1369" spans="1:73" customFormat="1" ht="12.75" hidden="1" customHeight="1" x14ac:dyDescent="0.2">
      <c r="A1369" s="1"/>
      <c r="B1369" s="1"/>
      <c r="C1369" s="1"/>
      <c r="D1369" s="7"/>
      <c r="E1369" s="7"/>
      <c r="F1369" s="6"/>
      <c r="G1369" s="7"/>
      <c r="H1369" s="2"/>
      <c r="I1369" s="2"/>
      <c r="J1369" s="2"/>
      <c r="K1369" s="2"/>
      <c r="L1369" s="178"/>
      <c r="M1369" s="2"/>
      <c r="N1369" s="7"/>
      <c r="P1369" s="7"/>
      <c r="R1369" s="2"/>
      <c r="S1369" s="2"/>
      <c r="T1369" s="2"/>
      <c r="U1369" s="2"/>
      <c r="V1369" s="2"/>
      <c r="X1369" s="38"/>
      <c r="Y1369" s="38"/>
      <c r="Z1369" s="38"/>
      <c r="AA1369" s="38"/>
      <c r="AB1369" s="38"/>
      <c r="AD1369" s="2"/>
      <c r="AE1369" s="2"/>
      <c r="AF1369" s="2"/>
      <c r="AG1369" s="2"/>
      <c r="AH1369" s="2"/>
      <c r="AJ1369" s="215"/>
      <c r="AK1369" s="215"/>
      <c r="AL1369" s="215"/>
      <c r="AM1369" s="215"/>
      <c r="AO1369" s="10"/>
      <c r="AP1369" s="10"/>
      <c r="AQ1369" s="10"/>
      <c r="AR1369" s="10"/>
      <c r="AS1369" s="10"/>
      <c r="AU1369" s="2"/>
      <c r="AV1369" s="2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</row>
    <row r="1370" spans="1:73" customFormat="1" ht="12.75" hidden="1" customHeight="1" x14ac:dyDescent="0.2">
      <c r="A1370" s="1"/>
      <c r="B1370" s="1"/>
      <c r="C1370" s="1"/>
      <c r="D1370" s="7"/>
      <c r="E1370" s="7"/>
      <c r="F1370" s="6"/>
      <c r="G1370" s="7"/>
      <c r="H1370" s="2"/>
      <c r="I1370" s="2"/>
      <c r="J1370" s="2"/>
      <c r="K1370" s="2"/>
      <c r="L1370" s="178"/>
      <c r="M1370" s="2"/>
      <c r="N1370" s="7"/>
      <c r="P1370" s="7"/>
      <c r="R1370" s="2"/>
      <c r="S1370" s="2"/>
      <c r="T1370" s="2"/>
      <c r="U1370" s="2"/>
      <c r="V1370" s="2"/>
      <c r="X1370" s="38"/>
      <c r="Y1370" s="38"/>
      <c r="Z1370" s="38"/>
      <c r="AA1370" s="38"/>
      <c r="AB1370" s="38"/>
      <c r="AD1370" s="2"/>
      <c r="AE1370" s="2"/>
      <c r="AF1370" s="2"/>
      <c r="AG1370" s="2"/>
      <c r="AH1370" s="2"/>
      <c r="AJ1370" s="215"/>
      <c r="AK1370" s="215"/>
      <c r="AL1370" s="215"/>
      <c r="AM1370" s="215"/>
      <c r="AO1370" s="10"/>
      <c r="AP1370" s="10"/>
      <c r="AQ1370" s="10"/>
      <c r="AR1370" s="10"/>
      <c r="AS1370" s="10"/>
      <c r="AU1370" s="2"/>
      <c r="AV1370" s="2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</row>
    <row r="1371" spans="1:73" customFormat="1" ht="12.75" hidden="1" customHeight="1" x14ac:dyDescent="0.2">
      <c r="A1371" s="1"/>
      <c r="B1371" s="1"/>
      <c r="C1371" s="1"/>
      <c r="D1371" s="7"/>
      <c r="E1371" s="7"/>
      <c r="F1371" s="6"/>
      <c r="G1371" s="7"/>
      <c r="H1371" s="2"/>
      <c r="I1371" s="2"/>
      <c r="J1371" s="2"/>
      <c r="K1371" s="2"/>
      <c r="L1371" s="178"/>
      <c r="M1371" s="2"/>
      <c r="N1371" s="7"/>
      <c r="P1371" s="7"/>
      <c r="R1371" s="2"/>
      <c r="S1371" s="2"/>
      <c r="T1371" s="2"/>
      <c r="U1371" s="2"/>
      <c r="V1371" s="2"/>
      <c r="X1371" s="38"/>
      <c r="Y1371" s="38"/>
      <c r="Z1371" s="38"/>
      <c r="AA1371" s="38"/>
      <c r="AB1371" s="38"/>
      <c r="AD1371" s="2"/>
      <c r="AE1371" s="2"/>
      <c r="AF1371" s="2"/>
      <c r="AG1371" s="2"/>
      <c r="AH1371" s="2"/>
      <c r="AJ1371" s="215"/>
      <c r="AK1371" s="215"/>
      <c r="AL1371" s="215"/>
      <c r="AM1371" s="215"/>
      <c r="AO1371" s="10"/>
      <c r="AP1371" s="10"/>
      <c r="AQ1371" s="10"/>
      <c r="AR1371" s="10"/>
      <c r="AS1371" s="10"/>
      <c r="AU1371" s="2"/>
      <c r="AV1371" s="2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</row>
    <row r="1372" spans="1:73" customFormat="1" ht="12.75" hidden="1" customHeight="1" x14ac:dyDescent="0.2">
      <c r="A1372" s="1"/>
      <c r="B1372" s="1"/>
      <c r="C1372" s="1"/>
      <c r="D1372" s="7"/>
      <c r="E1372" s="7"/>
      <c r="F1372" s="6"/>
      <c r="G1372" s="7"/>
      <c r="H1372" s="2"/>
      <c r="I1372" s="2"/>
      <c r="J1372" s="2"/>
      <c r="K1372" s="2"/>
      <c r="L1372" s="178"/>
      <c r="M1372" s="2"/>
      <c r="N1372" s="7"/>
      <c r="P1372" s="7"/>
      <c r="R1372" s="2"/>
      <c r="S1372" s="2"/>
      <c r="T1372" s="2"/>
      <c r="U1372" s="2"/>
      <c r="V1372" s="2"/>
      <c r="X1372" s="38"/>
      <c r="Y1372" s="38"/>
      <c r="Z1372" s="38"/>
      <c r="AA1372" s="38"/>
      <c r="AB1372" s="38"/>
      <c r="AD1372" s="2"/>
      <c r="AE1372" s="2"/>
      <c r="AF1372" s="2"/>
      <c r="AG1372" s="2"/>
      <c r="AH1372" s="2"/>
      <c r="AJ1372" s="215"/>
      <c r="AK1372" s="215"/>
      <c r="AL1372" s="215"/>
      <c r="AM1372" s="215"/>
      <c r="AO1372" s="10"/>
      <c r="AP1372" s="10"/>
      <c r="AQ1372" s="10"/>
      <c r="AR1372" s="10"/>
      <c r="AS1372" s="10"/>
      <c r="AU1372" s="2"/>
      <c r="AV1372" s="2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</row>
    <row r="1373" spans="1:73" customFormat="1" ht="12.75" hidden="1" customHeight="1" x14ac:dyDescent="0.2">
      <c r="A1373" s="1"/>
      <c r="B1373" s="1"/>
      <c r="C1373" s="1"/>
      <c r="D1373" s="7"/>
      <c r="E1373" s="7"/>
      <c r="F1373" s="6"/>
      <c r="G1373" s="7"/>
      <c r="H1373" s="2"/>
      <c r="I1373" s="2"/>
      <c r="J1373" s="2"/>
      <c r="K1373" s="2"/>
      <c r="L1373" s="178"/>
      <c r="M1373" s="2"/>
      <c r="N1373" s="7"/>
      <c r="P1373" s="7"/>
      <c r="R1373" s="2"/>
      <c r="S1373" s="2"/>
      <c r="T1373" s="2"/>
      <c r="U1373" s="2"/>
      <c r="V1373" s="2"/>
      <c r="X1373" s="38"/>
      <c r="Y1373" s="38"/>
      <c r="Z1373" s="38"/>
      <c r="AA1373" s="38"/>
      <c r="AB1373" s="38"/>
      <c r="AD1373" s="2"/>
      <c r="AE1373" s="2"/>
      <c r="AF1373" s="2"/>
      <c r="AG1373" s="2"/>
      <c r="AH1373" s="2"/>
      <c r="AJ1373" s="215"/>
      <c r="AK1373" s="215"/>
      <c r="AL1373" s="215"/>
      <c r="AM1373" s="215"/>
      <c r="AO1373" s="10"/>
      <c r="AP1373" s="10"/>
      <c r="AQ1373" s="10"/>
      <c r="AR1373" s="10"/>
      <c r="AS1373" s="10"/>
      <c r="AU1373" s="2"/>
      <c r="AV1373" s="2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</row>
    <row r="1374" spans="1:73" customFormat="1" ht="12.75" hidden="1" customHeight="1" x14ac:dyDescent="0.2">
      <c r="A1374" s="1"/>
      <c r="B1374" s="1"/>
      <c r="C1374" s="1"/>
      <c r="D1374" s="7"/>
      <c r="E1374" s="7"/>
      <c r="F1374" s="6"/>
      <c r="G1374" s="7"/>
      <c r="H1374" s="2"/>
      <c r="I1374" s="2"/>
      <c r="J1374" s="2"/>
      <c r="K1374" s="2"/>
      <c r="L1374" s="178"/>
      <c r="M1374" s="2"/>
      <c r="N1374" s="7"/>
      <c r="P1374" s="7"/>
      <c r="R1374" s="2"/>
      <c r="S1374" s="2"/>
      <c r="T1374" s="2"/>
      <c r="U1374" s="2"/>
      <c r="V1374" s="2"/>
      <c r="X1374" s="38"/>
      <c r="Y1374" s="38"/>
      <c r="Z1374" s="38"/>
      <c r="AA1374" s="38"/>
      <c r="AB1374" s="38"/>
      <c r="AD1374" s="2"/>
      <c r="AE1374" s="2"/>
      <c r="AF1374" s="2"/>
      <c r="AG1374" s="2"/>
      <c r="AH1374" s="2"/>
      <c r="AJ1374" s="215"/>
      <c r="AK1374" s="215"/>
      <c r="AL1374" s="215"/>
      <c r="AM1374" s="215"/>
      <c r="AO1374" s="10"/>
      <c r="AP1374" s="10"/>
      <c r="AQ1374" s="10"/>
      <c r="AR1374" s="10"/>
      <c r="AS1374" s="10"/>
      <c r="AU1374" s="2"/>
      <c r="AV1374" s="2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</row>
    <row r="1375" spans="1:73" customFormat="1" ht="12.75" hidden="1" customHeight="1" x14ac:dyDescent="0.2">
      <c r="A1375" s="1"/>
      <c r="B1375" s="1"/>
      <c r="C1375" s="1"/>
      <c r="D1375" s="7"/>
      <c r="E1375" s="7"/>
      <c r="F1375" s="6"/>
      <c r="G1375" s="7"/>
      <c r="H1375" s="2"/>
      <c r="I1375" s="2"/>
      <c r="J1375" s="2"/>
      <c r="K1375" s="2"/>
      <c r="L1375" s="178"/>
      <c r="M1375" s="2"/>
      <c r="N1375" s="7"/>
      <c r="P1375" s="7"/>
      <c r="R1375" s="2"/>
      <c r="S1375" s="2"/>
      <c r="T1375" s="2"/>
      <c r="U1375" s="2"/>
      <c r="V1375" s="2"/>
      <c r="X1375" s="38"/>
      <c r="Y1375" s="38"/>
      <c r="Z1375" s="38"/>
      <c r="AA1375" s="38"/>
      <c r="AB1375" s="38"/>
      <c r="AD1375" s="2"/>
      <c r="AE1375" s="2"/>
      <c r="AF1375" s="2"/>
      <c r="AG1375" s="2"/>
      <c r="AH1375" s="2"/>
      <c r="AJ1375" s="215"/>
      <c r="AK1375" s="215"/>
      <c r="AL1375" s="215"/>
      <c r="AM1375" s="215"/>
      <c r="AO1375" s="10"/>
      <c r="AP1375" s="10"/>
      <c r="AQ1375" s="10"/>
      <c r="AR1375" s="10"/>
      <c r="AS1375" s="10"/>
      <c r="AU1375" s="2"/>
      <c r="AV1375" s="2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</row>
    <row r="1376" spans="1:73" customFormat="1" ht="12.75" hidden="1" customHeight="1" x14ac:dyDescent="0.2">
      <c r="A1376" s="1"/>
      <c r="B1376" s="1"/>
      <c r="C1376" s="1"/>
      <c r="D1376" s="7"/>
      <c r="E1376" s="7"/>
      <c r="F1376" s="6"/>
      <c r="G1376" s="7"/>
      <c r="H1376" s="2"/>
      <c r="I1376" s="2"/>
      <c r="J1376" s="2"/>
      <c r="K1376" s="2"/>
      <c r="L1376" s="178"/>
      <c r="M1376" s="2"/>
      <c r="N1376" s="7"/>
      <c r="P1376" s="7"/>
      <c r="R1376" s="2"/>
      <c r="S1376" s="2"/>
      <c r="T1376" s="2"/>
      <c r="U1376" s="2"/>
      <c r="V1376" s="2"/>
      <c r="X1376" s="38"/>
      <c r="Y1376" s="38"/>
      <c r="Z1376" s="38"/>
      <c r="AA1376" s="38"/>
      <c r="AB1376" s="38"/>
      <c r="AD1376" s="2"/>
      <c r="AE1376" s="2"/>
      <c r="AF1376" s="2"/>
      <c r="AG1376" s="2"/>
      <c r="AH1376" s="2"/>
      <c r="AJ1376" s="215"/>
      <c r="AK1376" s="215"/>
      <c r="AL1376" s="215"/>
      <c r="AM1376" s="215"/>
      <c r="AO1376" s="10"/>
      <c r="AP1376" s="10"/>
      <c r="AQ1376" s="10"/>
      <c r="AR1376" s="10"/>
      <c r="AS1376" s="10"/>
      <c r="AU1376" s="2"/>
      <c r="AV1376" s="2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</row>
    <row r="1377" spans="1:73" customFormat="1" ht="12.75" hidden="1" customHeight="1" x14ac:dyDescent="0.2">
      <c r="A1377" s="1"/>
      <c r="B1377" s="1"/>
      <c r="C1377" s="1"/>
      <c r="D1377" s="7"/>
      <c r="E1377" s="7"/>
      <c r="F1377" s="6"/>
      <c r="G1377" s="7"/>
      <c r="H1377" s="2"/>
      <c r="I1377" s="2"/>
      <c r="J1377" s="2"/>
      <c r="K1377" s="2"/>
      <c r="L1377" s="178"/>
      <c r="M1377" s="2"/>
      <c r="N1377" s="7"/>
      <c r="P1377" s="7"/>
      <c r="R1377" s="2"/>
      <c r="S1377" s="2"/>
      <c r="T1377" s="2"/>
      <c r="U1377" s="2"/>
      <c r="V1377" s="2"/>
      <c r="X1377" s="38"/>
      <c r="Y1377" s="38"/>
      <c r="Z1377" s="38"/>
      <c r="AA1377" s="38"/>
      <c r="AB1377" s="38"/>
      <c r="AD1377" s="2"/>
      <c r="AE1377" s="2"/>
      <c r="AF1377" s="2"/>
      <c r="AG1377" s="2"/>
      <c r="AH1377" s="2"/>
      <c r="AJ1377" s="215"/>
      <c r="AK1377" s="215"/>
      <c r="AL1377" s="215"/>
      <c r="AM1377" s="215"/>
      <c r="AO1377" s="10"/>
      <c r="AP1377" s="10"/>
      <c r="AQ1377" s="10"/>
      <c r="AR1377" s="10"/>
      <c r="AS1377" s="10"/>
      <c r="AU1377" s="2"/>
      <c r="AV1377" s="2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</row>
    <row r="1378" spans="1:73" customFormat="1" ht="12.75" hidden="1" customHeight="1" x14ac:dyDescent="0.2">
      <c r="A1378" s="1"/>
      <c r="B1378" s="1"/>
      <c r="C1378" s="1"/>
      <c r="D1378" s="7"/>
      <c r="E1378" s="7"/>
      <c r="F1378" s="6"/>
      <c r="G1378" s="7"/>
      <c r="H1378" s="2"/>
      <c r="I1378" s="2"/>
      <c r="J1378" s="2"/>
      <c r="K1378" s="2"/>
      <c r="L1378" s="178"/>
      <c r="M1378" s="2"/>
      <c r="N1378" s="7"/>
      <c r="P1378" s="7"/>
      <c r="R1378" s="2"/>
      <c r="S1378" s="2"/>
      <c r="T1378" s="2"/>
      <c r="U1378" s="2"/>
      <c r="V1378" s="2"/>
      <c r="X1378" s="38"/>
      <c r="Y1378" s="38"/>
      <c r="Z1378" s="38"/>
      <c r="AA1378" s="38"/>
      <c r="AB1378" s="38"/>
      <c r="AD1378" s="2"/>
      <c r="AE1378" s="2"/>
      <c r="AF1378" s="2"/>
      <c r="AG1378" s="2"/>
      <c r="AH1378" s="2"/>
      <c r="AJ1378" s="215"/>
      <c r="AK1378" s="215"/>
      <c r="AL1378" s="215"/>
      <c r="AM1378" s="215"/>
      <c r="AO1378" s="10"/>
      <c r="AP1378" s="10"/>
      <c r="AQ1378" s="10"/>
      <c r="AR1378" s="10"/>
      <c r="AS1378" s="10"/>
      <c r="AU1378" s="2"/>
      <c r="AV1378" s="2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</row>
    <row r="1379" spans="1:73" customFormat="1" ht="12.75" hidden="1" customHeight="1" x14ac:dyDescent="0.2">
      <c r="A1379" s="1"/>
      <c r="B1379" s="1"/>
      <c r="C1379" s="1"/>
      <c r="D1379" s="7"/>
      <c r="E1379" s="7"/>
      <c r="F1379" s="6"/>
      <c r="G1379" s="7"/>
      <c r="H1379" s="2"/>
      <c r="I1379" s="2"/>
      <c r="J1379" s="2"/>
      <c r="K1379" s="2"/>
      <c r="L1379" s="178"/>
      <c r="M1379" s="2"/>
      <c r="N1379" s="7"/>
      <c r="P1379" s="7"/>
      <c r="R1379" s="2"/>
      <c r="S1379" s="2"/>
      <c r="T1379" s="2"/>
      <c r="U1379" s="2"/>
      <c r="V1379" s="2"/>
      <c r="X1379" s="38"/>
      <c r="Y1379" s="38"/>
      <c r="Z1379" s="38"/>
      <c r="AA1379" s="38"/>
      <c r="AB1379" s="38"/>
      <c r="AD1379" s="2"/>
      <c r="AE1379" s="2"/>
      <c r="AF1379" s="2"/>
      <c r="AG1379" s="2"/>
      <c r="AH1379" s="2"/>
      <c r="AJ1379" s="215"/>
      <c r="AK1379" s="215"/>
      <c r="AL1379" s="215"/>
      <c r="AM1379" s="215"/>
      <c r="AO1379" s="10"/>
      <c r="AP1379" s="10"/>
      <c r="AQ1379" s="10"/>
      <c r="AR1379" s="10"/>
      <c r="AS1379" s="10"/>
      <c r="AU1379" s="2"/>
      <c r="AV1379" s="2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</row>
    <row r="1380" spans="1:73" customFormat="1" ht="12.75" hidden="1" customHeight="1" x14ac:dyDescent="0.2">
      <c r="A1380" s="1"/>
      <c r="B1380" s="1"/>
      <c r="C1380" s="1"/>
      <c r="D1380" s="7"/>
      <c r="E1380" s="7"/>
      <c r="F1380" s="6"/>
      <c r="G1380" s="7"/>
      <c r="H1380" s="2"/>
      <c r="I1380" s="2"/>
      <c r="J1380" s="2"/>
      <c r="K1380" s="2"/>
      <c r="L1380" s="178"/>
      <c r="M1380" s="2"/>
      <c r="N1380" s="7"/>
      <c r="P1380" s="7"/>
      <c r="R1380" s="2"/>
      <c r="S1380" s="2"/>
      <c r="T1380" s="2"/>
      <c r="U1380" s="2"/>
      <c r="V1380" s="2"/>
      <c r="X1380" s="38"/>
      <c r="Y1380" s="38"/>
      <c r="Z1380" s="38"/>
      <c r="AA1380" s="38"/>
      <c r="AB1380" s="38"/>
      <c r="AD1380" s="2"/>
      <c r="AE1380" s="2"/>
      <c r="AF1380" s="2"/>
      <c r="AG1380" s="2"/>
      <c r="AH1380" s="2"/>
      <c r="AJ1380" s="215"/>
      <c r="AK1380" s="215"/>
      <c r="AL1380" s="215"/>
      <c r="AM1380" s="215"/>
      <c r="AO1380" s="10"/>
      <c r="AP1380" s="10"/>
      <c r="AQ1380" s="10"/>
      <c r="AR1380" s="10"/>
      <c r="AS1380" s="10"/>
      <c r="AU1380" s="2"/>
      <c r="AV1380" s="2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</row>
    <row r="1381" spans="1:73" customFormat="1" ht="12.75" hidden="1" customHeight="1" x14ac:dyDescent="0.2">
      <c r="A1381" s="1"/>
      <c r="B1381" s="1"/>
      <c r="C1381" s="1"/>
      <c r="D1381" s="7"/>
      <c r="E1381" s="7"/>
      <c r="F1381" s="6"/>
      <c r="G1381" s="7"/>
      <c r="H1381" s="2"/>
      <c r="I1381" s="2"/>
      <c r="J1381" s="2"/>
      <c r="K1381" s="2"/>
      <c r="L1381" s="178"/>
      <c r="M1381" s="2"/>
      <c r="N1381" s="7"/>
      <c r="P1381" s="7"/>
      <c r="R1381" s="2"/>
      <c r="S1381" s="2"/>
      <c r="T1381" s="2"/>
      <c r="U1381" s="2"/>
      <c r="V1381" s="2"/>
      <c r="X1381" s="38"/>
      <c r="Y1381" s="38"/>
      <c r="Z1381" s="38"/>
      <c r="AA1381" s="38"/>
      <c r="AB1381" s="38"/>
      <c r="AD1381" s="2"/>
      <c r="AE1381" s="2"/>
      <c r="AF1381" s="2"/>
      <c r="AG1381" s="2"/>
      <c r="AH1381" s="2"/>
      <c r="AJ1381" s="215"/>
      <c r="AK1381" s="215"/>
      <c r="AL1381" s="215"/>
      <c r="AM1381" s="215"/>
      <c r="AO1381" s="10"/>
      <c r="AP1381" s="10"/>
      <c r="AQ1381" s="10"/>
      <c r="AR1381" s="10"/>
      <c r="AS1381" s="10"/>
      <c r="AU1381" s="2"/>
      <c r="AV1381" s="2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</row>
    <row r="1382" spans="1:73" customFormat="1" ht="12.75" hidden="1" customHeight="1" x14ac:dyDescent="0.2">
      <c r="A1382" s="1"/>
      <c r="B1382" s="1"/>
      <c r="C1382" s="1"/>
      <c r="D1382" s="7"/>
      <c r="E1382" s="7"/>
      <c r="F1382" s="6"/>
      <c r="G1382" s="7"/>
      <c r="H1382" s="2"/>
      <c r="I1382" s="2"/>
      <c r="J1382" s="2"/>
      <c r="K1382" s="2"/>
      <c r="L1382" s="178"/>
      <c r="M1382" s="2"/>
      <c r="N1382" s="7"/>
      <c r="P1382" s="7"/>
      <c r="R1382" s="2"/>
      <c r="S1382" s="2"/>
      <c r="T1382" s="2"/>
      <c r="U1382" s="2"/>
      <c r="V1382" s="2"/>
      <c r="X1382" s="38"/>
      <c r="Y1382" s="38"/>
      <c r="Z1382" s="38"/>
      <c r="AA1382" s="38"/>
      <c r="AB1382" s="38"/>
      <c r="AD1382" s="2"/>
      <c r="AE1382" s="2"/>
      <c r="AF1382" s="2"/>
      <c r="AG1382" s="2"/>
      <c r="AH1382" s="2"/>
      <c r="AJ1382" s="215"/>
      <c r="AK1382" s="215"/>
      <c r="AL1382" s="215"/>
      <c r="AM1382" s="215"/>
      <c r="AO1382" s="10"/>
      <c r="AP1382" s="10"/>
      <c r="AQ1382" s="10"/>
      <c r="AR1382" s="10"/>
      <c r="AS1382" s="10"/>
      <c r="AU1382" s="2"/>
      <c r="AV1382" s="2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</row>
    <row r="1383" spans="1:73" customFormat="1" ht="12.75" hidden="1" customHeight="1" x14ac:dyDescent="0.2">
      <c r="A1383" s="1"/>
      <c r="B1383" s="1"/>
      <c r="C1383" s="1"/>
      <c r="D1383" s="7"/>
      <c r="E1383" s="7"/>
      <c r="F1383" s="6"/>
      <c r="G1383" s="7"/>
      <c r="H1383" s="2"/>
      <c r="I1383" s="2"/>
      <c r="J1383" s="2"/>
      <c r="K1383" s="2"/>
      <c r="L1383" s="178"/>
      <c r="M1383" s="2"/>
      <c r="N1383" s="7"/>
      <c r="P1383" s="7"/>
      <c r="R1383" s="2"/>
      <c r="S1383" s="2"/>
      <c r="T1383" s="2"/>
      <c r="U1383" s="2"/>
      <c r="V1383" s="2"/>
      <c r="X1383" s="38"/>
      <c r="Y1383" s="38"/>
      <c r="Z1383" s="38"/>
      <c r="AA1383" s="38"/>
      <c r="AB1383" s="38"/>
      <c r="AD1383" s="2"/>
      <c r="AE1383" s="2"/>
      <c r="AF1383" s="2"/>
      <c r="AG1383" s="2"/>
      <c r="AH1383" s="2"/>
      <c r="AJ1383" s="215"/>
      <c r="AK1383" s="215"/>
      <c r="AL1383" s="215"/>
      <c r="AM1383" s="215"/>
      <c r="AO1383" s="10"/>
      <c r="AP1383" s="10"/>
      <c r="AQ1383" s="10"/>
      <c r="AR1383" s="10"/>
      <c r="AS1383" s="10"/>
      <c r="AU1383" s="2"/>
      <c r="AV1383" s="2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</row>
    <row r="1384" spans="1:73" customFormat="1" ht="12.75" hidden="1" customHeight="1" x14ac:dyDescent="0.2">
      <c r="A1384" s="1"/>
      <c r="B1384" s="1"/>
      <c r="C1384" s="1"/>
      <c r="D1384" s="7"/>
      <c r="E1384" s="7"/>
      <c r="F1384" s="6"/>
      <c r="G1384" s="7"/>
      <c r="H1384" s="2"/>
      <c r="I1384" s="2"/>
      <c r="J1384" s="2"/>
      <c r="K1384" s="2"/>
      <c r="L1384" s="178"/>
      <c r="M1384" s="2"/>
      <c r="N1384" s="7"/>
      <c r="P1384" s="7"/>
      <c r="R1384" s="2"/>
      <c r="S1384" s="2"/>
      <c r="T1384" s="2"/>
      <c r="U1384" s="2"/>
      <c r="V1384" s="2"/>
      <c r="X1384" s="38"/>
      <c r="Y1384" s="38"/>
      <c r="Z1384" s="38"/>
      <c r="AA1384" s="38"/>
      <c r="AB1384" s="38"/>
      <c r="AD1384" s="2"/>
      <c r="AE1384" s="2"/>
      <c r="AF1384" s="2"/>
      <c r="AG1384" s="2"/>
      <c r="AH1384" s="2"/>
      <c r="AJ1384" s="215"/>
      <c r="AK1384" s="215"/>
      <c r="AL1384" s="215"/>
      <c r="AM1384" s="215"/>
      <c r="AO1384" s="10"/>
      <c r="AP1384" s="10"/>
      <c r="AQ1384" s="10"/>
      <c r="AR1384" s="10"/>
      <c r="AS1384" s="10"/>
      <c r="AU1384" s="2"/>
      <c r="AV1384" s="2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</row>
    <row r="1385" spans="1:73" customFormat="1" ht="12.75" hidden="1" customHeight="1" x14ac:dyDescent="0.2">
      <c r="A1385" s="1"/>
      <c r="B1385" s="1"/>
      <c r="C1385" s="1"/>
      <c r="D1385" s="7"/>
      <c r="E1385" s="7"/>
      <c r="F1385" s="6"/>
      <c r="G1385" s="7"/>
      <c r="H1385" s="2"/>
      <c r="I1385" s="2"/>
      <c r="J1385" s="2"/>
      <c r="K1385" s="2"/>
      <c r="L1385" s="178"/>
      <c r="M1385" s="2"/>
      <c r="N1385" s="7"/>
      <c r="P1385" s="7"/>
      <c r="R1385" s="2"/>
      <c r="S1385" s="2"/>
      <c r="T1385" s="2"/>
      <c r="U1385" s="2"/>
      <c r="V1385" s="2"/>
      <c r="X1385" s="38"/>
      <c r="Y1385" s="38"/>
      <c r="Z1385" s="38"/>
      <c r="AA1385" s="38"/>
      <c r="AB1385" s="38"/>
      <c r="AD1385" s="2"/>
      <c r="AE1385" s="2"/>
      <c r="AF1385" s="2"/>
      <c r="AG1385" s="2"/>
      <c r="AH1385" s="2"/>
      <c r="AJ1385" s="215"/>
      <c r="AK1385" s="215"/>
      <c r="AL1385" s="215"/>
      <c r="AM1385" s="215"/>
      <c r="AO1385" s="10"/>
      <c r="AP1385" s="10"/>
      <c r="AQ1385" s="10"/>
      <c r="AR1385" s="10"/>
      <c r="AS1385" s="10"/>
      <c r="AU1385" s="2"/>
      <c r="AV1385" s="2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</row>
    <row r="1386" spans="1:73" customFormat="1" ht="12.75" hidden="1" customHeight="1" x14ac:dyDescent="0.2">
      <c r="A1386" s="1"/>
      <c r="B1386" s="1"/>
      <c r="C1386" s="1"/>
      <c r="D1386" s="7"/>
      <c r="E1386" s="7"/>
      <c r="F1386" s="6"/>
      <c r="G1386" s="7"/>
      <c r="H1386" s="2"/>
      <c r="I1386" s="2"/>
      <c r="J1386" s="2"/>
      <c r="K1386" s="2"/>
      <c r="L1386" s="178"/>
      <c r="M1386" s="2"/>
      <c r="N1386" s="7"/>
      <c r="P1386" s="7"/>
      <c r="R1386" s="2"/>
      <c r="S1386" s="2"/>
      <c r="T1386" s="2"/>
      <c r="U1386" s="2"/>
      <c r="V1386" s="2"/>
      <c r="X1386" s="38"/>
      <c r="Y1386" s="38"/>
      <c r="Z1386" s="38"/>
      <c r="AA1386" s="38"/>
      <c r="AB1386" s="38"/>
      <c r="AD1386" s="2"/>
      <c r="AE1386" s="2"/>
      <c r="AF1386" s="2"/>
      <c r="AG1386" s="2"/>
      <c r="AH1386" s="2"/>
      <c r="AJ1386" s="215"/>
      <c r="AK1386" s="215"/>
      <c r="AL1386" s="215"/>
      <c r="AM1386" s="215"/>
      <c r="AO1386" s="10"/>
      <c r="AP1386" s="10"/>
      <c r="AQ1386" s="10"/>
      <c r="AR1386" s="10"/>
      <c r="AS1386" s="10"/>
      <c r="AU1386" s="2"/>
      <c r="AV1386" s="2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</row>
    <row r="1387" spans="1:73" customFormat="1" ht="12.75" hidden="1" customHeight="1" x14ac:dyDescent="0.2">
      <c r="A1387" s="1"/>
      <c r="B1387" s="1"/>
      <c r="C1387" s="1"/>
      <c r="D1387" s="7"/>
      <c r="E1387" s="7"/>
      <c r="F1387" s="6"/>
      <c r="G1387" s="7"/>
      <c r="H1387" s="2"/>
      <c r="I1387" s="2"/>
      <c r="J1387" s="2"/>
      <c r="K1387" s="2"/>
      <c r="L1387" s="178"/>
      <c r="M1387" s="2"/>
      <c r="N1387" s="7"/>
      <c r="P1387" s="7"/>
      <c r="R1387" s="2"/>
      <c r="S1387" s="2"/>
      <c r="T1387" s="2"/>
      <c r="U1387" s="2"/>
      <c r="V1387" s="2"/>
      <c r="X1387" s="38"/>
      <c r="Y1387" s="38"/>
      <c r="Z1387" s="38"/>
      <c r="AA1387" s="38"/>
      <c r="AB1387" s="38"/>
      <c r="AD1387" s="2"/>
      <c r="AE1387" s="2"/>
      <c r="AF1387" s="2"/>
      <c r="AG1387" s="2"/>
      <c r="AH1387" s="2"/>
      <c r="AJ1387" s="215"/>
      <c r="AK1387" s="215"/>
      <c r="AL1387" s="215"/>
      <c r="AM1387" s="215"/>
      <c r="AO1387" s="10"/>
      <c r="AP1387" s="10"/>
      <c r="AQ1387" s="10"/>
      <c r="AR1387" s="10"/>
      <c r="AS1387" s="10"/>
      <c r="AU1387" s="2"/>
      <c r="AV1387" s="2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</row>
    <row r="1388" spans="1:73" customFormat="1" ht="12.75" hidden="1" customHeight="1" x14ac:dyDescent="0.2">
      <c r="A1388" s="1"/>
      <c r="B1388" s="1"/>
      <c r="C1388" s="1"/>
      <c r="D1388" s="7"/>
      <c r="E1388" s="7"/>
      <c r="F1388" s="6"/>
      <c r="G1388" s="7"/>
      <c r="H1388" s="2"/>
      <c r="I1388" s="2"/>
      <c r="J1388" s="2"/>
      <c r="K1388" s="2"/>
      <c r="L1388" s="178"/>
      <c r="M1388" s="2"/>
      <c r="N1388" s="7"/>
      <c r="P1388" s="7"/>
      <c r="R1388" s="2"/>
      <c r="S1388" s="2"/>
      <c r="T1388" s="2"/>
      <c r="U1388" s="2"/>
      <c r="V1388" s="2"/>
      <c r="X1388" s="38"/>
      <c r="Y1388" s="38"/>
      <c r="Z1388" s="38"/>
      <c r="AA1388" s="38"/>
      <c r="AB1388" s="38"/>
      <c r="AD1388" s="2"/>
      <c r="AE1388" s="2"/>
      <c r="AF1388" s="2"/>
      <c r="AG1388" s="2"/>
      <c r="AH1388" s="2"/>
      <c r="AJ1388" s="215"/>
      <c r="AK1388" s="215"/>
      <c r="AL1388" s="215"/>
      <c r="AM1388" s="215"/>
      <c r="AO1388" s="10"/>
      <c r="AP1388" s="10"/>
      <c r="AQ1388" s="10"/>
      <c r="AR1388" s="10"/>
      <c r="AS1388" s="10"/>
      <c r="AU1388" s="2"/>
      <c r="AV1388" s="2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</row>
    <row r="1389" spans="1:73" customFormat="1" ht="12.75" hidden="1" customHeight="1" x14ac:dyDescent="0.2">
      <c r="A1389" s="1"/>
      <c r="B1389" s="1"/>
      <c r="C1389" s="1"/>
      <c r="D1389" s="7"/>
      <c r="E1389" s="7"/>
      <c r="F1389" s="6"/>
      <c r="G1389" s="7"/>
      <c r="H1389" s="2"/>
      <c r="I1389" s="2"/>
      <c r="J1389" s="2"/>
      <c r="K1389" s="2"/>
      <c r="L1389" s="178"/>
      <c r="M1389" s="2"/>
      <c r="N1389" s="7"/>
      <c r="P1389" s="7"/>
      <c r="R1389" s="2"/>
      <c r="S1389" s="2"/>
      <c r="T1389" s="2"/>
      <c r="U1389" s="2"/>
      <c r="V1389" s="2"/>
      <c r="X1389" s="38"/>
      <c r="Y1389" s="38"/>
      <c r="Z1389" s="38"/>
      <c r="AA1389" s="38"/>
      <c r="AB1389" s="38"/>
      <c r="AD1389" s="2"/>
      <c r="AE1389" s="2"/>
      <c r="AF1389" s="2"/>
      <c r="AG1389" s="2"/>
      <c r="AH1389" s="2"/>
      <c r="AJ1389" s="215"/>
      <c r="AK1389" s="215"/>
      <c r="AL1389" s="215"/>
      <c r="AM1389" s="215"/>
      <c r="AO1389" s="10"/>
      <c r="AP1389" s="10"/>
      <c r="AQ1389" s="10"/>
      <c r="AR1389" s="10"/>
      <c r="AS1389" s="10"/>
      <c r="AU1389" s="2"/>
      <c r="AV1389" s="2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</row>
    <row r="1390" spans="1:73" customFormat="1" ht="12.75" hidden="1" customHeight="1" x14ac:dyDescent="0.2">
      <c r="A1390" s="1"/>
      <c r="B1390" s="1"/>
      <c r="C1390" s="1"/>
      <c r="D1390" s="7"/>
      <c r="E1390" s="7"/>
      <c r="F1390" s="6"/>
      <c r="G1390" s="7"/>
      <c r="H1390" s="2"/>
      <c r="I1390" s="2"/>
      <c r="J1390" s="2"/>
      <c r="K1390" s="2"/>
      <c r="L1390" s="178"/>
      <c r="M1390" s="2"/>
      <c r="N1390" s="7"/>
      <c r="P1390" s="7"/>
      <c r="R1390" s="2"/>
      <c r="S1390" s="2"/>
      <c r="T1390" s="2"/>
      <c r="U1390" s="2"/>
      <c r="V1390" s="2"/>
      <c r="X1390" s="38"/>
      <c r="Y1390" s="38"/>
      <c r="Z1390" s="38"/>
      <c r="AA1390" s="38"/>
      <c r="AB1390" s="38"/>
      <c r="AD1390" s="2"/>
      <c r="AE1390" s="2"/>
      <c r="AF1390" s="2"/>
      <c r="AG1390" s="2"/>
      <c r="AH1390" s="2"/>
      <c r="AJ1390" s="215"/>
      <c r="AK1390" s="215"/>
      <c r="AL1390" s="215"/>
      <c r="AM1390" s="215"/>
      <c r="AO1390" s="10"/>
      <c r="AP1390" s="10"/>
      <c r="AQ1390" s="10"/>
      <c r="AR1390" s="10"/>
      <c r="AS1390" s="10"/>
      <c r="AU1390" s="2"/>
      <c r="AV1390" s="2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</row>
    <row r="1391" spans="1:73" customFormat="1" ht="12.75" hidden="1" customHeight="1" x14ac:dyDescent="0.2">
      <c r="A1391" s="1"/>
      <c r="B1391" s="1"/>
      <c r="C1391" s="1"/>
      <c r="D1391" s="7"/>
      <c r="E1391" s="7"/>
      <c r="F1391" s="6"/>
      <c r="G1391" s="7"/>
      <c r="H1391" s="2"/>
      <c r="I1391" s="2"/>
      <c r="J1391" s="2"/>
      <c r="K1391" s="2"/>
      <c r="L1391" s="178"/>
      <c r="M1391" s="2"/>
      <c r="N1391" s="7"/>
      <c r="P1391" s="7"/>
      <c r="R1391" s="2"/>
      <c r="S1391" s="2"/>
      <c r="T1391" s="2"/>
      <c r="U1391" s="2"/>
      <c r="V1391" s="2"/>
      <c r="X1391" s="38"/>
      <c r="Y1391" s="38"/>
      <c r="Z1391" s="38"/>
      <c r="AA1391" s="38"/>
      <c r="AB1391" s="38"/>
      <c r="AD1391" s="2"/>
      <c r="AE1391" s="2"/>
      <c r="AF1391" s="2"/>
      <c r="AG1391" s="2"/>
      <c r="AH1391" s="2"/>
      <c r="AJ1391" s="215"/>
      <c r="AK1391" s="215"/>
      <c r="AL1391" s="215"/>
      <c r="AM1391" s="215"/>
      <c r="AO1391" s="10"/>
      <c r="AP1391" s="10"/>
      <c r="AQ1391" s="10"/>
      <c r="AR1391" s="10"/>
      <c r="AS1391" s="10"/>
      <c r="AU1391" s="2"/>
      <c r="AV1391" s="2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</row>
    <row r="1392" spans="1:73" customFormat="1" ht="12.75" hidden="1" customHeight="1" x14ac:dyDescent="0.2">
      <c r="A1392" s="1"/>
      <c r="B1392" s="1"/>
      <c r="C1392" s="1"/>
      <c r="D1392" s="7"/>
      <c r="E1392" s="7"/>
      <c r="F1392" s="6"/>
      <c r="G1392" s="7"/>
      <c r="H1392" s="2"/>
      <c r="I1392" s="2"/>
      <c r="J1392" s="2"/>
      <c r="K1392" s="2"/>
      <c r="L1392" s="178"/>
      <c r="M1392" s="2"/>
      <c r="N1392" s="7"/>
      <c r="P1392" s="7"/>
      <c r="R1392" s="2"/>
      <c r="S1392" s="2"/>
      <c r="T1392" s="2"/>
      <c r="U1392" s="2"/>
      <c r="V1392" s="2"/>
      <c r="X1392" s="38"/>
      <c r="Y1392" s="38"/>
      <c r="Z1392" s="38"/>
      <c r="AA1392" s="38"/>
      <c r="AB1392" s="38"/>
      <c r="AD1392" s="2"/>
      <c r="AE1392" s="2"/>
      <c r="AF1392" s="2"/>
      <c r="AG1392" s="2"/>
      <c r="AH1392" s="2"/>
      <c r="AJ1392" s="215"/>
      <c r="AK1392" s="215"/>
      <c r="AL1392" s="215"/>
      <c r="AM1392" s="215"/>
      <c r="AO1392" s="10"/>
      <c r="AP1392" s="10"/>
      <c r="AQ1392" s="10"/>
      <c r="AR1392" s="10"/>
      <c r="AS1392" s="10"/>
      <c r="AU1392" s="2"/>
      <c r="AV1392" s="2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</row>
    <row r="1393" spans="1:73" customFormat="1" ht="12.75" hidden="1" customHeight="1" x14ac:dyDescent="0.2">
      <c r="A1393" s="1"/>
      <c r="B1393" s="1"/>
      <c r="C1393" s="1"/>
      <c r="D1393" s="7"/>
      <c r="E1393" s="7"/>
      <c r="F1393" s="6"/>
      <c r="G1393" s="7"/>
      <c r="H1393" s="2"/>
      <c r="I1393" s="2"/>
      <c r="J1393" s="2"/>
      <c r="K1393" s="2"/>
      <c r="L1393" s="178"/>
      <c r="M1393" s="2"/>
      <c r="N1393" s="7"/>
      <c r="P1393" s="7"/>
      <c r="R1393" s="2"/>
      <c r="S1393" s="2"/>
      <c r="T1393" s="2"/>
      <c r="U1393" s="2"/>
      <c r="V1393" s="2"/>
      <c r="X1393" s="38"/>
      <c r="Y1393" s="38"/>
      <c r="Z1393" s="38"/>
      <c r="AA1393" s="38"/>
      <c r="AB1393" s="38"/>
      <c r="AD1393" s="2"/>
      <c r="AE1393" s="2"/>
      <c r="AF1393" s="2"/>
      <c r="AG1393" s="2"/>
      <c r="AH1393" s="2"/>
      <c r="AJ1393" s="215"/>
      <c r="AK1393" s="215"/>
      <c r="AL1393" s="215"/>
      <c r="AM1393" s="215"/>
      <c r="AO1393" s="10"/>
      <c r="AP1393" s="10"/>
      <c r="AQ1393" s="10"/>
      <c r="AR1393" s="10"/>
      <c r="AS1393" s="10"/>
      <c r="AU1393" s="2"/>
      <c r="AV1393" s="2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</row>
    <row r="1394" spans="1:73" customFormat="1" ht="12.75" hidden="1" customHeight="1" x14ac:dyDescent="0.2">
      <c r="A1394" s="1"/>
      <c r="B1394" s="1"/>
      <c r="C1394" s="1"/>
      <c r="D1394" s="7"/>
      <c r="E1394" s="7"/>
      <c r="F1394" s="6"/>
      <c r="G1394" s="7"/>
      <c r="H1394" s="2"/>
      <c r="I1394" s="2"/>
      <c r="J1394" s="2"/>
      <c r="K1394" s="2"/>
      <c r="L1394" s="178"/>
      <c r="M1394" s="2"/>
      <c r="N1394" s="7"/>
      <c r="P1394" s="7"/>
      <c r="R1394" s="2"/>
      <c r="S1394" s="2"/>
      <c r="T1394" s="2"/>
      <c r="U1394" s="2"/>
      <c r="V1394" s="2"/>
      <c r="X1394" s="38"/>
      <c r="Y1394" s="38"/>
      <c r="Z1394" s="38"/>
      <c r="AA1394" s="38"/>
      <c r="AB1394" s="38"/>
      <c r="AD1394" s="2"/>
      <c r="AE1394" s="2"/>
      <c r="AF1394" s="2"/>
      <c r="AG1394" s="2"/>
      <c r="AH1394" s="2"/>
      <c r="AJ1394" s="215"/>
      <c r="AK1394" s="215"/>
      <c r="AL1394" s="215"/>
      <c r="AM1394" s="215"/>
      <c r="AO1394" s="10"/>
      <c r="AP1394" s="10"/>
      <c r="AQ1394" s="10"/>
      <c r="AR1394" s="10"/>
      <c r="AS1394" s="10"/>
      <c r="AU1394" s="2"/>
      <c r="AV1394" s="2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</row>
    <row r="1395" spans="1:73" customFormat="1" ht="12.75" hidden="1" customHeight="1" x14ac:dyDescent="0.2">
      <c r="A1395" s="1"/>
      <c r="B1395" s="1"/>
      <c r="C1395" s="1"/>
      <c r="D1395" s="7"/>
      <c r="E1395" s="7"/>
      <c r="F1395" s="6"/>
      <c r="G1395" s="7"/>
      <c r="H1395" s="2"/>
      <c r="I1395" s="2"/>
      <c r="J1395" s="2"/>
      <c r="K1395" s="2"/>
      <c r="L1395" s="178"/>
      <c r="M1395" s="2"/>
      <c r="N1395" s="7"/>
      <c r="P1395" s="7"/>
      <c r="R1395" s="2"/>
      <c r="S1395" s="2"/>
      <c r="T1395" s="2"/>
      <c r="U1395" s="2"/>
      <c r="V1395" s="2"/>
      <c r="X1395" s="38"/>
      <c r="Y1395" s="38"/>
      <c r="Z1395" s="38"/>
      <c r="AA1395" s="38"/>
      <c r="AB1395" s="38"/>
      <c r="AD1395" s="2"/>
      <c r="AE1395" s="2"/>
      <c r="AF1395" s="2"/>
      <c r="AG1395" s="2"/>
      <c r="AH1395" s="2"/>
      <c r="AJ1395" s="215"/>
      <c r="AK1395" s="215"/>
      <c r="AL1395" s="215"/>
      <c r="AM1395" s="215"/>
      <c r="AO1395" s="10"/>
      <c r="AP1395" s="10"/>
      <c r="AQ1395" s="10"/>
      <c r="AR1395" s="10"/>
      <c r="AS1395" s="10"/>
      <c r="AU1395" s="2"/>
      <c r="AV1395" s="2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</row>
    <row r="1396" spans="1:73" customFormat="1" ht="12.75" hidden="1" customHeight="1" x14ac:dyDescent="0.2">
      <c r="A1396" s="1"/>
      <c r="B1396" s="1"/>
      <c r="C1396" s="1"/>
      <c r="D1396" s="7"/>
      <c r="E1396" s="7"/>
      <c r="F1396" s="6"/>
      <c r="G1396" s="7"/>
      <c r="H1396" s="2"/>
      <c r="I1396" s="2"/>
      <c r="J1396" s="2"/>
      <c r="K1396" s="2"/>
      <c r="L1396" s="178"/>
      <c r="M1396" s="2"/>
      <c r="N1396" s="7"/>
      <c r="P1396" s="7"/>
      <c r="R1396" s="2"/>
      <c r="S1396" s="2"/>
      <c r="T1396" s="2"/>
      <c r="U1396" s="2"/>
      <c r="V1396" s="2"/>
      <c r="X1396" s="38"/>
      <c r="Y1396" s="38"/>
      <c r="Z1396" s="38"/>
      <c r="AA1396" s="38"/>
      <c r="AB1396" s="38"/>
      <c r="AD1396" s="2"/>
      <c r="AE1396" s="2"/>
      <c r="AF1396" s="2"/>
      <c r="AG1396" s="2"/>
      <c r="AH1396" s="2"/>
      <c r="AJ1396" s="215"/>
      <c r="AK1396" s="215"/>
      <c r="AL1396" s="215"/>
      <c r="AM1396" s="215"/>
      <c r="AO1396" s="10"/>
      <c r="AP1396" s="10"/>
      <c r="AQ1396" s="10"/>
      <c r="AR1396" s="10"/>
      <c r="AS1396" s="10"/>
      <c r="AU1396" s="2"/>
      <c r="AV1396" s="2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</row>
    <row r="1397" spans="1:73" customFormat="1" ht="12.75" hidden="1" customHeight="1" x14ac:dyDescent="0.2">
      <c r="A1397" s="1"/>
      <c r="B1397" s="1"/>
      <c r="C1397" s="1"/>
      <c r="D1397" s="7"/>
      <c r="E1397" s="7"/>
      <c r="F1397" s="6"/>
      <c r="G1397" s="7"/>
      <c r="H1397" s="2"/>
      <c r="I1397" s="2"/>
      <c r="J1397" s="2"/>
      <c r="K1397" s="2"/>
      <c r="L1397" s="178"/>
      <c r="M1397" s="2"/>
      <c r="N1397" s="7"/>
      <c r="P1397" s="7"/>
      <c r="R1397" s="2"/>
      <c r="S1397" s="2"/>
      <c r="T1397" s="2"/>
      <c r="U1397" s="2"/>
      <c r="V1397" s="2"/>
      <c r="X1397" s="38"/>
      <c r="Y1397" s="38"/>
      <c r="Z1397" s="38"/>
      <c r="AA1397" s="38"/>
      <c r="AB1397" s="38"/>
      <c r="AD1397" s="2"/>
      <c r="AE1397" s="2"/>
      <c r="AF1397" s="2"/>
      <c r="AG1397" s="2"/>
      <c r="AH1397" s="2"/>
      <c r="AJ1397" s="215"/>
      <c r="AK1397" s="215"/>
      <c r="AL1397" s="215"/>
      <c r="AM1397" s="215"/>
      <c r="AO1397" s="10"/>
      <c r="AP1397" s="10"/>
      <c r="AQ1397" s="10"/>
      <c r="AR1397" s="10"/>
      <c r="AS1397" s="10"/>
      <c r="AU1397" s="2"/>
      <c r="AV1397" s="2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</row>
    <row r="1398" spans="1:73" customFormat="1" ht="12.75" hidden="1" customHeight="1" x14ac:dyDescent="0.2">
      <c r="A1398" s="1"/>
      <c r="B1398" s="1"/>
      <c r="C1398" s="1"/>
      <c r="D1398" s="7"/>
      <c r="E1398" s="7"/>
      <c r="F1398" s="6"/>
      <c r="G1398" s="7"/>
      <c r="H1398" s="2"/>
      <c r="I1398" s="2"/>
      <c r="J1398" s="2"/>
      <c r="K1398" s="2"/>
      <c r="L1398" s="178"/>
      <c r="M1398" s="2"/>
      <c r="N1398" s="7"/>
      <c r="P1398" s="7"/>
      <c r="R1398" s="2"/>
      <c r="S1398" s="2"/>
      <c r="T1398" s="2"/>
      <c r="U1398" s="2"/>
      <c r="V1398" s="2"/>
      <c r="X1398" s="38"/>
      <c r="Y1398" s="38"/>
      <c r="Z1398" s="38"/>
      <c r="AA1398" s="38"/>
      <c r="AB1398" s="38"/>
      <c r="AD1398" s="2"/>
      <c r="AE1398" s="2"/>
      <c r="AF1398" s="2"/>
      <c r="AG1398" s="2"/>
      <c r="AH1398" s="2"/>
      <c r="AJ1398" s="215"/>
      <c r="AK1398" s="215"/>
      <c r="AL1398" s="215"/>
      <c r="AM1398" s="215"/>
      <c r="AO1398" s="10"/>
      <c r="AP1398" s="10"/>
      <c r="AQ1398" s="10"/>
      <c r="AR1398" s="10"/>
      <c r="AS1398" s="10"/>
      <c r="AU1398" s="2"/>
      <c r="AV1398" s="2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</row>
    <row r="1399" spans="1:73" customFormat="1" ht="12.75" hidden="1" customHeight="1" x14ac:dyDescent="0.2">
      <c r="A1399" s="1"/>
      <c r="B1399" s="1"/>
      <c r="C1399" s="1"/>
      <c r="D1399" s="7"/>
      <c r="E1399" s="7"/>
      <c r="F1399" s="6"/>
      <c r="G1399" s="7"/>
      <c r="H1399" s="2"/>
      <c r="I1399" s="2"/>
      <c r="J1399" s="2"/>
      <c r="K1399" s="2"/>
      <c r="L1399" s="178"/>
      <c r="M1399" s="2"/>
      <c r="N1399" s="7"/>
      <c r="P1399" s="7"/>
      <c r="R1399" s="2"/>
      <c r="S1399" s="2"/>
      <c r="T1399" s="2"/>
      <c r="U1399" s="2"/>
      <c r="V1399" s="2"/>
      <c r="X1399" s="38"/>
      <c r="Y1399" s="38"/>
      <c r="Z1399" s="38"/>
      <c r="AA1399" s="38"/>
      <c r="AB1399" s="38"/>
      <c r="AD1399" s="2"/>
      <c r="AE1399" s="2"/>
      <c r="AF1399" s="2"/>
      <c r="AG1399" s="2"/>
      <c r="AH1399" s="2"/>
      <c r="AJ1399" s="215"/>
      <c r="AK1399" s="215"/>
      <c r="AL1399" s="215"/>
      <c r="AM1399" s="215"/>
      <c r="AO1399" s="10"/>
      <c r="AP1399" s="10"/>
      <c r="AQ1399" s="10"/>
      <c r="AR1399" s="10"/>
      <c r="AS1399" s="10"/>
      <c r="AU1399" s="2"/>
      <c r="AV1399" s="2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</row>
    <row r="1400" spans="1:73" customFormat="1" ht="12.75" hidden="1" customHeight="1" x14ac:dyDescent="0.2">
      <c r="A1400" s="1"/>
      <c r="B1400" s="1"/>
      <c r="C1400" s="1"/>
      <c r="D1400" s="7"/>
      <c r="E1400" s="7"/>
      <c r="F1400" s="6"/>
      <c r="G1400" s="7"/>
      <c r="H1400" s="2"/>
      <c r="I1400" s="2"/>
      <c r="J1400" s="2"/>
      <c r="K1400" s="2"/>
      <c r="L1400" s="178"/>
      <c r="M1400" s="2"/>
      <c r="N1400" s="7"/>
      <c r="P1400" s="7"/>
      <c r="R1400" s="2"/>
      <c r="S1400" s="2"/>
      <c r="T1400" s="2"/>
      <c r="U1400" s="2"/>
      <c r="V1400" s="2"/>
      <c r="X1400" s="38"/>
      <c r="Y1400" s="38"/>
      <c r="Z1400" s="38"/>
      <c r="AA1400" s="38"/>
      <c r="AB1400" s="38"/>
      <c r="AD1400" s="2"/>
      <c r="AE1400" s="2"/>
      <c r="AF1400" s="2"/>
      <c r="AG1400" s="2"/>
      <c r="AH1400" s="2"/>
      <c r="AJ1400" s="215"/>
      <c r="AK1400" s="215"/>
      <c r="AL1400" s="215"/>
      <c r="AM1400" s="215"/>
      <c r="AO1400" s="10"/>
      <c r="AP1400" s="10"/>
      <c r="AQ1400" s="10"/>
      <c r="AR1400" s="10"/>
      <c r="AS1400" s="10"/>
      <c r="AU1400" s="2"/>
      <c r="AV1400" s="2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</row>
    <row r="1401" spans="1:73" customFormat="1" ht="12.75" hidden="1" customHeight="1" x14ac:dyDescent="0.2">
      <c r="A1401" s="1"/>
      <c r="B1401" s="1"/>
      <c r="C1401" s="1"/>
      <c r="D1401" s="7"/>
      <c r="E1401" s="7"/>
      <c r="F1401" s="6"/>
      <c r="G1401" s="7"/>
      <c r="H1401" s="2"/>
      <c r="I1401" s="2"/>
      <c r="J1401" s="2"/>
      <c r="K1401" s="2"/>
      <c r="L1401" s="178"/>
      <c r="M1401" s="2"/>
      <c r="N1401" s="7"/>
      <c r="P1401" s="7"/>
      <c r="R1401" s="2"/>
      <c r="S1401" s="2"/>
      <c r="T1401" s="2"/>
      <c r="U1401" s="2"/>
      <c r="V1401" s="2"/>
      <c r="X1401" s="38"/>
      <c r="Y1401" s="38"/>
      <c r="Z1401" s="38"/>
      <c r="AA1401" s="38"/>
      <c r="AB1401" s="38"/>
      <c r="AD1401" s="2"/>
      <c r="AE1401" s="2"/>
      <c r="AF1401" s="2"/>
      <c r="AG1401" s="2"/>
      <c r="AH1401" s="2"/>
      <c r="AJ1401" s="215"/>
      <c r="AK1401" s="215"/>
      <c r="AL1401" s="215"/>
      <c r="AM1401" s="215"/>
      <c r="AO1401" s="10"/>
      <c r="AP1401" s="10"/>
      <c r="AQ1401" s="10"/>
      <c r="AR1401" s="10"/>
      <c r="AS1401" s="10"/>
      <c r="AU1401" s="2"/>
      <c r="AV1401" s="2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</row>
    <row r="1402" spans="1:73" customFormat="1" ht="12.75" hidden="1" customHeight="1" x14ac:dyDescent="0.2">
      <c r="A1402" s="1"/>
      <c r="B1402" s="1"/>
      <c r="C1402" s="1"/>
      <c r="D1402" s="7"/>
      <c r="E1402" s="7"/>
      <c r="F1402" s="6"/>
      <c r="G1402" s="7"/>
      <c r="H1402" s="2"/>
      <c r="I1402" s="2"/>
      <c r="J1402" s="2"/>
      <c r="K1402" s="2"/>
      <c r="L1402" s="178"/>
      <c r="M1402" s="2"/>
      <c r="N1402" s="7"/>
      <c r="P1402" s="7"/>
      <c r="R1402" s="2"/>
      <c r="S1402" s="2"/>
      <c r="T1402" s="2"/>
      <c r="U1402" s="2"/>
      <c r="V1402" s="2"/>
      <c r="X1402" s="38"/>
      <c r="Y1402" s="38"/>
      <c r="Z1402" s="38"/>
      <c r="AA1402" s="38"/>
      <c r="AB1402" s="38"/>
      <c r="AD1402" s="2"/>
      <c r="AE1402" s="2"/>
      <c r="AF1402" s="2"/>
      <c r="AG1402" s="2"/>
      <c r="AH1402" s="2"/>
      <c r="AJ1402" s="215"/>
      <c r="AK1402" s="215"/>
      <c r="AL1402" s="215"/>
      <c r="AM1402" s="215"/>
      <c r="AO1402" s="10"/>
      <c r="AP1402" s="10"/>
      <c r="AQ1402" s="10"/>
      <c r="AR1402" s="10"/>
      <c r="AS1402" s="10"/>
      <c r="AU1402" s="2"/>
      <c r="AV1402" s="2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</row>
    <row r="1403" spans="1:73" customFormat="1" ht="12.75" hidden="1" customHeight="1" x14ac:dyDescent="0.2">
      <c r="A1403" s="1"/>
      <c r="B1403" s="1"/>
      <c r="C1403" s="1"/>
      <c r="D1403" s="7"/>
      <c r="E1403" s="7"/>
      <c r="F1403" s="6"/>
      <c r="G1403" s="7"/>
      <c r="H1403" s="2"/>
      <c r="I1403" s="2"/>
      <c r="J1403" s="2"/>
      <c r="K1403" s="2"/>
      <c r="L1403" s="178"/>
      <c r="M1403" s="2"/>
      <c r="N1403" s="7"/>
      <c r="P1403" s="7"/>
      <c r="R1403" s="2"/>
      <c r="S1403" s="2"/>
      <c r="T1403" s="2"/>
      <c r="U1403" s="2"/>
      <c r="V1403" s="2"/>
      <c r="X1403" s="38"/>
      <c r="Y1403" s="38"/>
      <c r="Z1403" s="38"/>
      <c r="AA1403" s="38"/>
      <c r="AB1403" s="38"/>
      <c r="AD1403" s="2"/>
      <c r="AE1403" s="2"/>
      <c r="AF1403" s="2"/>
      <c r="AG1403" s="2"/>
      <c r="AH1403" s="2"/>
      <c r="AJ1403" s="215"/>
      <c r="AK1403" s="215"/>
      <c r="AL1403" s="215"/>
      <c r="AM1403" s="215"/>
      <c r="AO1403" s="10"/>
      <c r="AP1403" s="10"/>
      <c r="AQ1403" s="10"/>
      <c r="AR1403" s="10"/>
      <c r="AS1403" s="10"/>
      <c r="AU1403" s="2"/>
      <c r="AV1403" s="2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</row>
    <row r="1404" spans="1:73" customFormat="1" ht="12.75" hidden="1" customHeight="1" x14ac:dyDescent="0.2">
      <c r="A1404" s="1"/>
      <c r="B1404" s="1"/>
      <c r="C1404" s="1"/>
      <c r="D1404" s="7"/>
      <c r="E1404" s="7"/>
      <c r="F1404" s="6"/>
      <c r="G1404" s="7"/>
      <c r="H1404" s="2"/>
      <c r="I1404" s="2"/>
      <c r="J1404" s="2"/>
      <c r="K1404" s="2"/>
      <c r="L1404" s="178"/>
      <c r="M1404" s="2"/>
      <c r="N1404" s="7"/>
      <c r="P1404" s="7"/>
      <c r="R1404" s="2"/>
      <c r="S1404" s="2"/>
      <c r="T1404" s="2"/>
      <c r="U1404" s="2"/>
      <c r="V1404" s="2"/>
      <c r="X1404" s="38"/>
      <c r="Y1404" s="38"/>
      <c r="Z1404" s="38"/>
      <c r="AA1404" s="38"/>
      <c r="AB1404" s="38"/>
      <c r="AD1404" s="2"/>
      <c r="AE1404" s="2"/>
      <c r="AF1404" s="2"/>
      <c r="AG1404" s="2"/>
      <c r="AH1404" s="2"/>
      <c r="AJ1404" s="215"/>
      <c r="AK1404" s="215"/>
      <c r="AL1404" s="215"/>
      <c r="AM1404" s="215"/>
      <c r="AO1404" s="10"/>
      <c r="AP1404" s="10"/>
      <c r="AQ1404" s="10"/>
      <c r="AR1404" s="10"/>
      <c r="AS1404" s="10"/>
      <c r="AU1404" s="2"/>
      <c r="AV1404" s="2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</row>
    <row r="1405" spans="1:73" customFormat="1" ht="12.75" hidden="1" customHeight="1" x14ac:dyDescent="0.2">
      <c r="A1405" s="1"/>
      <c r="B1405" s="1"/>
      <c r="C1405" s="1"/>
      <c r="D1405" s="7"/>
      <c r="E1405" s="7"/>
      <c r="F1405" s="6"/>
      <c r="G1405" s="7"/>
      <c r="H1405" s="2"/>
      <c r="I1405" s="2"/>
      <c r="J1405" s="2"/>
      <c r="K1405" s="2"/>
      <c r="L1405" s="178"/>
      <c r="M1405" s="2"/>
      <c r="N1405" s="7"/>
      <c r="P1405" s="7"/>
      <c r="R1405" s="2"/>
      <c r="S1405" s="2"/>
      <c r="T1405" s="2"/>
      <c r="U1405" s="2"/>
      <c r="V1405" s="2"/>
      <c r="X1405" s="38"/>
      <c r="Y1405" s="38"/>
      <c r="Z1405" s="38"/>
      <c r="AA1405" s="38"/>
      <c r="AB1405" s="38"/>
      <c r="AD1405" s="2"/>
      <c r="AE1405" s="2"/>
      <c r="AF1405" s="2"/>
      <c r="AG1405" s="2"/>
      <c r="AH1405" s="2"/>
      <c r="AJ1405" s="215"/>
      <c r="AK1405" s="215"/>
      <c r="AL1405" s="215"/>
      <c r="AM1405" s="215"/>
      <c r="AO1405" s="10"/>
      <c r="AP1405" s="10"/>
      <c r="AQ1405" s="10"/>
      <c r="AR1405" s="10"/>
      <c r="AS1405" s="10"/>
      <c r="AU1405" s="2"/>
      <c r="AV1405" s="2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</row>
    <row r="1406" spans="1:73" customFormat="1" ht="12.75" hidden="1" customHeight="1" x14ac:dyDescent="0.2">
      <c r="A1406" s="1"/>
      <c r="B1406" s="1"/>
      <c r="C1406" s="1"/>
      <c r="D1406" s="7"/>
      <c r="E1406" s="7"/>
      <c r="F1406" s="6"/>
      <c r="G1406" s="7"/>
      <c r="H1406" s="2"/>
      <c r="I1406" s="2"/>
      <c r="J1406" s="2"/>
      <c r="K1406" s="2"/>
      <c r="L1406" s="178"/>
      <c r="M1406" s="2"/>
      <c r="N1406" s="7"/>
      <c r="P1406" s="7"/>
      <c r="R1406" s="2"/>
      <c r="S1406" s="2"/>
      <c r="T1406" s="2"/>
      <c r="U1406" s="2"/>
      <c r="V1406" s="2"/>
      <c r="X1406" s="38"/>
      <c r="Y1406" s="38"/>
      <c r="Z1406" s="38"/>
      <c r="AA1406" s="38"/>
      <c r="AB1406" s="38"/>
      <c r="AD1406" s="2"/>
      <c r="AE1406" s="2"/>
      <c r="AF1406" s="2"/>
      <c r="AG1406" s="2"/>
      <c r="AH1406" s="2"/>
      <c r="AJ1406" s="215"/>
      <c r="AK1406" s="215"/>
      <c r="AL1406" s="215"/>
      <c r="AM1406" s="215"/>
      <c r="AO1406" s="10"/>
      <c r="AP1406" s="10"/>
      <c r="AQ1406" s="10"/>
      <c r="AR1406" s="10"/>
      <c r="AS1406" s="10"/>
      <c r="AU1406" s="2"/>
      <c r="AV1406" s="2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</row>
    <row r="1407" spans="1:73" customFormat="1" ht="12.75" hidden="1" customHeight="1" x14ac:dyDescent="0.2">
      <c r="A1407" s="1"/>
      <c r="B1407" s="1"/>
      <c r="C1407" s="1"/>
      <c r="D1407" s="7"/>
      <c r="E1407" s="7"/>
      <c r="F1407" s="6"/>
      <c r="G1407" s="7"/>
      <c r="H1407" s="2"/>
      <c r="I1407" s="2"/>
      <c r="J1407" s="2"/>
      <c r="K1407" s="2"/>
      <c r="L1407" s="178"/>
      <c r="M1407" s="2"/>
      <c r="N1407" s="7"/>
      <c r="P1407" s="7"/>
      <c r="R1407" s="2"/>
      <c r="S1407" s="2"/>
      <c r="T1407" s="2"/>
      <c r="U1407" s="2"/>
      <c r="V1407" s="2"/>
      <c r="X1407" s="38"/>
      <c r="Y1407" s="38"/>
      <c r="Z1407" s="38"/>
      <c r="AA1407" s="38"/>
      <c r="AB1407" s="38"/>
      <c r="AD1407" s="2"/>
      <c r="AE1407" s="2"/>
      <c r="AF1407" s="2"/>
      <c r="AG1407" s="2"/>
      <c r="AH1407" s="2"/>
      <c r="AJ1407" s="215"/>
      <c r="AK1407" s="215"/>
      <c r="AL1407" s="215"/>
      <c r="AM1407" s="215"/>
      <c r="AO1407" s="10"/>
      <c r="AP1407" s="10"/>
      <c r="AQ1407" s="10"/>
      <c r="AR1407" s="10"/>
      <c r="AS1407" s="10"/>
      <c r="AU1407" s="2"/>
      <c r="AV1407" s="2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</row>
    <row r="1408" spans="1:73" customFormat="1" ht="12.75" hidden="1" customHeight="1" x14ac:dyDescent="0.2">
      <c r="A1408" s="1"/>
      <c r="B1408" s="1"/>
      <c r="C1408" s="1"/>
      <c r="D1408" s="7"/>
      <c r="E1408" s="7"/>
      <c r="F1408" s="6"/>
      <c r="G1408" s="7"/>
      <c r="H1408" s="2"/>
      <c r="I1408" s="2"/>
      <c r="J1408" s="2"/>
      <c r="K1408" s="2"/>
      <c r="L1408" s="178"/>
      <c r="M1408" s="2"/>
      <c r="N1408" s="7"/>
      <c r="P1408" s="7"/>
      <c r="R1408" s="2"/>
      <c r="S1408" s="2"/>
      <c r="T1408" s="2"/>
      <c r="U1408" s="2"/>
      <c r="V1408" s="2"/>
      <c r="X1408" s="38"/>
      <c r="Y1408" s="38"/>
      <c r="Z1408" s="38"/>
      <c r="AA1408" s="38"/>
      <c r="AB1408" s="38"/>
      <c r="AD1408" s="2"/>
      <c r="AE1408" s="2"/>
      <c r="AF1408" s="2"/>
      <c r="AG1408" s="2"/>
      <c r="AH1408" s="2"/>
      <c r="AJ1408" s="215"/>
      <c r="AK1408" s="215"/>
      <c r="AL1408" s="215"/>
      <c r="AM1408" s="215"/>
      <c r="AO1408" s="10"/>
      <c r="AP1408" s="10"/>
      <c r="AQ1408" s="10"/>
      <c r="AR1408" s="10"/>
      <c r="AS1408" s="10"/>
      <c r="AU1408" s="2"/>
      <c r="AV1408" s="2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</row>
    <row r="1409" spans="1:73" customFormat="1" ht="12.75" hidden="1" customHeight="1" x14ac:dyDescent="0.2">
      <c r="A1409" s="1"/>
      <c r="B1409" s="1"/>
      <c r="C1409" s="1"/>
      <c r="D1409" s="7"/>
      <c r="E1409" s="7"/>
      <c r="F1409" s="6"/>
      <c r="G1409" s="7"/>
      <c r="H1409" s="2"/>
      <c r="I1409" s="2"/>
      <c r="J1409" s="2"/>
      <c r="K1409" s="2"/>
      <c r="L1409" s="178"/>
      <c r="M1409" s="2"/>
      <c r="N1409" s="7"/>
      <c r="P1409" s="7"/>
      <c r="R1409" s="2"/>
      <c r="S1409" s="2"/>
      <c r="T1409" s="2"/>
      <c r="U1409" s="2"/>
      <c r="V1409" s="2"/>
      <c r="X1409" s="38"/>
      <c r="Y1409" s="38"/>
      <c r="Z1409" s="38"/>
      <c r="AA1409" s="38"/>
      <c r="AB1409" s="38"/>
      <c r="AD1409" s="2"/>
      <c r="AE1409" s="2"/>
      <c r="AF1409" s="2"/>
      <c r="AG1409" s="2"/>
      <c r="AH1409" s="2"/>
      <c r="AJ1409" s="215"/>
      <c r="AK1409" s="215"/>
      <c r="AL1409" s="215"/>
      <c r="AM1409" s="215"/>
      <c r="AO1409" s="10"/>
      <c r="AP1409" s="10"/>
      <c r="AQ1409" s="10"/>
      <c r="AR1409" s="10"/>
      <c r="AS1409" s="10"/>
      <c r="AU1409" s="2"/>
      <c r="AV1409" s="2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</row>
    <row r="1410" spans="1:73" customFormat="1" ht="12.75" hidden="1" customHeight="1" x14ac:dyDescent="0.2">
      <c r="A1410" s="1"/>
      <c r="B1410" s="1"/>
      <c r="C1410" s="1"/>
      <c r="D1410" s="7"/>
      <c r="E1410" s="7"/>
      <c r="F1410" s="6"/>
      <c r="G1410" s="7"/>
      <c r="H1410" s="2"/>
      <c r="I1410" s="2"/>
      <c r="J1410" s="2"/>
      <c r="K1410" s="2"/>
      <c r="L1410" s="178"/>
      <c r="M1410" s="2"/>
      <c r="N1410" s="7"/>
      <c r="P1410" s="7"/>
      <c r="R1410" s="2"/>
      <c r="S1410" s="2"/>
      <c r="T1410" s="2"/>
      <c r="U1410" s="2"/>
      <c r="V1410" s="2"/>
      <c r="X1410" s="38"/>
      <c r="Y1410" s="38"/>
      <c r="Z1410" s="38"/>
      <c r="AA1410" s="38"/>
      <c r="AB1410" s="38"/>
      <c r="AD1410" s="2"/>
      <c r="AE1410" s="2"/>
      <c r="AF1410" s="2"/>
      <c r="AG1410" s="2"/>
      <c r="AH1410" s="2"/>
      <c r="AJ1410" s="215"/>
      <c r="AK1410" s="215"/>
      <c r="AL1410" s="215"/>
      <c r="AM1410" s="215"/>
      <c r="AO1410" s="10"/>
      <c r="AP1410" s="10"/>
      <c r="AQ1410" s="10"/>
      <c r="AR1410" s="10"/>
      <c r="AS1410" s="10"/>
      <c r="AU1410" s="2"/>
      <c r="AV1410" s="2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</row>
    <row r="1411" spans="1:73" customFormat="1" ht="12.75" hidden="1" customHeight="1" x14ac:dyDescent="0.2">
      <c r="A1411" s="1"/>
      <c r="B1411" s="1"/>
      <c r="C1411" s="1"/>
      <c r="D1411" s="7"/>
      <c r="E1411" s="7"/>
      <c r="F1411" s="6"/>
      <c r="G1411" s="7"/>
      <c r="H1411" s="2"/>
      <c r="I1411" s="2"/>
      <c r="J1411" s="2"/>
      <c r="K1411" s="2"/>
      <c r="L1411" s="178"/>
      <c r="M1411" s="2"/>
      <c r="N1411" s="7"/>
      <c r="P1411" s="7"/>
      <c r="R1411" s="2"/>
      <c r="S1411" s="2"/>
      <c r="T1411" s="2"/>
      <c r="U1411" s="2"/>
      <c r="V1411" s="2"/>
      <c r="X1411" s="38"/>
      <c r="Y1411" s="38"/>
      <c r="Z1411" s="38"/>
      <c r="AA1411" s="38"/>
      <c r="AB1411" s="38"/>
      <c r="AD1411" s="2"/>
      <c r="AE1411" s="2"/>
      <c r="AF1411" s="2"/>
      <c r="AG1411" s="2"/>
      <c r="AH1411" s="2"/>
      <c r="AJ1411" s="215"/>
      <c r="AK1411" s="215"/>
      <c r="AL1411" s="215"/>
      <c r="AM1411" s="215"/>
      <c r="AO1411" s="10"/>
      <c r="AP1411" s="10"/>
      <c r="AQ1411" s="10"/>
      <c r="AR1411" s="10"/>
      <c r="AS1411" s="10"/>
      <c r="AU1411" s="2"/>
      <c r="AV1411" s="2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</row>
    <row r="1412" spans="1:73" customFormat="1" ht="12.75" hidden="1" customHeight="1" x14ac:dyDescent="0.2">
      <c r="A1412" s="1"/>
      <c r="B1412" s="1"/>
      <c r="C1412" s="1"/>
      <c r="D1412" s="7"/>
      <c r="E1412" s="7"/>
      <c r="F1412" s="6"/>
      <c r="G1412" s="7"/>
      <c r="H1412" s="2"/>
      <c r="I1412" s="2"/>
      <c r="J1412" s="2"/>
      <c r="K1412" s="2"/>
      <c r="L1412" s="178"/>
      <c r="M1412" s="2"/>
      <c r="N1412" s="7"/>
      <c r="P1412" s="7"/>
      <c r="R1412" s="2"/>
      <c r="S1412" s="2"/>
      <c r="T1412" s="2"/>
      <c r="U1412" s="2"/>
      <c r="V1412" s="2"/>
      <c r="X1412" s="38"/>
      <c r="Y1412" s="38"/>
      <c r="Z1412" s="38"/>
      <c r="AA1412" s="38"/>
      <c r="AB1412" s="38"/>
      <c r="AD1412" s="2"/>
      <c r="AE1412" s="2"/>
      <c r="AF1412" s="2"/>
      <c r="AG1412" s="2"/>
      <c r="AH1412" s="2"/>
      <c r="AJ1412" s="215"/>
      <c r="AK1412" s="215"/>
      <c r="AL1412" s="215"/>
      <c r="AM1412" s="215"/>
      <c r="AO1412" s="10"/>
      <c r="AP1412" s="10"/>
      <c r="AQ1412" s="10"/>
      <c r="AR1412" s="10"/>
      <c r="AS1412" s="10"/>
      <c r="AU1412" s="2"/>
      <c r="AV1412" s="2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</row>
    <row r="1413" spans="1:73" customFormat="1" ht="12.75" hidden="1" customHeight="1" x14ac:dyDescent="0.2">
      <c r="A1413" s="1"/>
      <c r="B1413" s="1"/>
      <c r="C1413" s="1"/>
      <c r="D1413" s="7"/>
      <c r="E1413" s="7"/>
      <c r="F1413" s="6"/>
      <c r="G1413" s="7"/>
      <c r="H1413" s="2"/>
      <c r="I1413" s="2"/>
      <c r="J1413" s="2"/>
      <c r="K1413" s="2"/>
      <c r="L1413" s="178"/>
      <c r="M1413" s="2"/>
      <c r="N1413" s="7"/>
      <c r="P1413" s="7"/>
      <c r="R1413" s="2"/>
      <c r="S1413" s="2"/>
      <c r="T1413" s="2"/>
      <c r="U1413" s="2"/>
      <c r="V1413" s="2"/>
      <c r="X1413" s="38"/>
      <c r="Y1413" s="38"/>
      <c r="Z1413" s="38"/>
      <c r="AA1413" s="38"/>
      <c r="AB1413" s="38"/>
      <c r="AD1413" s="2"/>
      <c r="AE1413" s="2"/>
      <c r="AF1413" s="2"/>
      <c r="AG1413" s="2"/>
      <c r="AH1413" s="2"/>
      <c r="AJ1413" s="215"/>
      <c r="AK1413" s="215"/>
      <c r="AL1413" s="215"/>
      <c r="AM1413" s="215"/>
      <c r="AO1413" s="10"/>
      <c r="AP1413" s="10"/>
      <c r="AQ1413" s="10"/>
      <c r="AR1413" s="10"/>
      <c r="AS1413" s="10"/>
      <c r="AU1413" s="2"/>
      <c r="AV1413" s="2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</row>
    <row r="1414" spans="1:73" customFormat="1" ht="12.75" hidden="1" customHeight="1" x14ac:dyDescent="0.2">
      <c r="A1414" s="1"/>
      <c r="B1414" s="1"/>
      <c r="C1414" s="1"/>
      <c r="D1414" s="7"/>
      <c r="E1414" s="7"/>
      <c r="F1414" s="6"/>
      <c r="G1414" s="7"/>
      <c r="H1414" s="2"/>
      <c r="I1414" s="2"/>
      <c r="J1414" s="2"/>
      <c r="K1414" s="2"/>
      <c r="L1414" s="178"/>
      <c r="M1414" s="2"/>
      <c r="N1414" s="7"/>
      <c r="P1414" s="7"/>
      <c r="R1414" s="2"/>
      <c r="S1414" s="2"/>
      <c r="T1414" s="2"/>
      <c r="U1414" s="2"/>
      <c r="V1414" s="2"/>
      <c r="X1414" s="38"/>
      <c r="Y1414" s="38"/>
      <c r="Z1414" s="38"/>
      <c r="AA1414" s="38"/>
      <c r="AB1414" s="38"/>
      <c r="AD1414" s="2"/>
      <c r="AE1414" s="2"/>
      <c r="AF1414" s="2"/>
      <c r="AG1414" s="2"/>
      <c r="AH1414" s="2"/>
      <c r="AJ1414" s="215"/>
      <c r="AK1414" s="215"/>
      <c r="AL1414" s="215"/>
      <c r="AM1414" s="215"/>
      <c r="AO1414" s="10"/>
      <c r="AP1414" s="10"/>
      <c r="AQ1414" s="10"/>
      <c r="AR1414" s="10"/>
      <c r="AS1414" s="10"/>
      <c r="AU1414" s="2"/>
      <c r="AV1414" s="2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</row>
    <row r="1415" spans="1:73" customFormat="1" ht="12.75" hidden="1" customHeight="1" x14ac:dyDescent="0.2">
      <c r="A1415" s="1"/>
      <c r="B1415" s="1"/>
      <c r="C1415" s="1"/>
      <c r="D1415" s="7"/>
      <c r="E1415" s="7"/>
      <c r="F1415" s="6"/>
      <c r="G1415" s="7"/>
      <c r="H1415" s="2"/>
      <c r="I1415" s="2"/>
      <c r="J1415" s="2"/>
      <c r="K1415" s="2"/>
      <c r="L1415" s="178"/>
      <c r="M1415" s="2"/>
      <c r="N1415" s="7"/>
      <c r="P1415" s="7"/>
      <c r="R1415" s="2"/>
      <c r="S1415" s="2"/>
      <c r="T1415" s="2"/>
      <c r="U1415" s="2"/>
      <c r="V1415" s="2"/>
      <c r="X1415" s="38"/>
      <c r="Y1415" s="38"/>
      <c r="Z1415" s="38"/>
      <c r="AA1415" s="38"/>
      <c r="AB1415" s="38"/>
      <c r="AD1415" s="2"/>
      <c r="AE1415" s="2"/>
      <c r="AF1415" s="2"/>
      <c r="AG1415" s="2"/>
      <c r="AH1415" s="2"/>
      <c r="AJ1415" s="215"/>
      <c r="AK1415" s="215"/>
      <c r="AL1415" s="215"/>
      <c r="AM1415" s="215"/>
      <c r="AO1415" s="10"/>
      <c r="AP1415" s="10"/>
      <c r="AQ1415" s="10"/>
      <c r="AR1415" s="10"/>
      <c r="AS1415" s="10"/>
      <c r="AU1415" s="2"/>
      <c r="AV1415" s="2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</row>
    <row r="1416" spans="1:73" customFormat="1" ht="12.75" hidden="1" customHeight="1" x14ac:dyDescent="0.2">
      <c r="A1416" s="1"/>
      <c r="B1416" s="1"/>
      <c r="C1416" s="1"/>
      <c r="D1416" s="7"/>
      <c r="E1416" s="7"/>
      <c r="F1416" s="6"/>
      <c r="G1416" s="7"/>
      <c r="H1416" s="2"/>
      <c r="I1416" s="2"/>
      <c r="J1416" s="2"/>
      <c r="K1416" s="2"/>
      <c r="L1416" s="178"/>
      <c r="M1416" s="2"/>
      <c r="N1416" s="7"/>
      <c r="P1416" s="7"/>
      <c r="R1416" s="2"/>
      <c r="S1416" s="2"/>
      <c r="T1416" s="2"/>
      <c r="U1416" s="2"/>
      <c r="V1416" s="2"/>
      <c r="X1416" s="38"/>
      <c r="Y1416" s="38"/>
      <c r="Z1416" s="38"/>
      <c r="AA1416" s="38"/>
      <c r="AB1416" s="38"/>
      <c r="AD1416" s="2"/>
      <c r="AE1416" s="2"/>
      <c r="AF1416" s="2"/>
      <c r="AG1416" s="2"/>
      <c r="AH1416" s="2"/>
      <c r="AJ1416" s="215"/>
      <c r="AK1416" s="215"/>
      <c r="AL1416" s="215"/>
      <c r="AM1416" s="215"/>
      <c r="AO1416" s="10"/>
      <c r="AP1416" s="10"/>
      <c r="AQ1416" s="10"/>
      <c r="AR1416" s="10"/>
      <c r="AS1416" s="10"/>
      <c r="AU1416" s="2"/>
      <c r="AV1416" s="2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</row>
    <row r="1417" spans="1:73" customFormat="1" ht="12.75" hidden="1" customHeight="1" x14ac:dyDescent="0.2">
      <c r="A1417" s="1"/>
      <c r="B1417" s="1"/>
      <c r="C1417" s="1"/>
      <c r="D1417" s="7"/>
      <c r="E1417" s="7"/>
      <c r="F1417" s="6"/>
      <c r="G1417" s="7"/>
      <c r="H1417" s="2"/>
      <c r="I1417" s="2"/>
      <c r="J1417" s="2"/>
      <c r="K1417" s="2"/>
      <c r="L1417" s="178"/>
      <c r="M1417" s="2"/>
      <c r="N1417" s="7"/>
      <c r="P1417" s="7"/>
      <c r="R1417" s="2"/>
      <c r="S1417" s="2"/>
      <c r="T1417" s="2"/>
      <c r="U1417" s="2"/>
      <c r="V1417" s="2"/>
      <c r="X1417" s="38"/>
      <c r="Y1417" s="38"/>
      <c r="Z1417" s="38"/>
      <c r="AA1417" s="38"/>
      <c r="AB1417" s="38"/>
      <c r="AD1417" s="2"/>
      <c r="AE1417" s="2"/>
      <c r="AF1417" s="2"/>
      <c r="AG1417" s="2"/>
      <c r="AH1417" s="2"/>
      <c r="AJ1417" s="215"/>
      <c r="AK1417" s="215"/>
      <c r="AL1417" s="215"/>
      <c r="AM1417" s="215"/>
      <c r="AO1417" s="10"/>
      <c r="AP1417" s="10"/>
      <c r="AQ1417" s="10"/>
      <c r="AR1417" s="10"/>
      <c r="AS1417" s="10"/>
      <c r="AU1417" s="2"/>
      <c r="AV1417" s="2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</row>
    <row r="1418" spans="1:73" customFormat="1" ht="12.75" hidden="1" customHeight="1" x14ac:dyDescent="0.2">
      <c r="A1418" s="1"/>
      <c r="B1418" s="1"/>
      <c r="C1418" s="1"/>
      <c r="D1418" s="7"/>
      <c r="E1418" s="7"/>
      <c r="F1418" s="6"/>
      <c r="G1418" s="7"/>
      <c r="H1418" s="2"/>
      <c r="I1418" s="2"/>
      <c r="J1418" s="2"/>
      <c r="K1418" s="2"/>
      <c r="L1418" s="178"/>
      <c r="M1418" s="2"/>
      <c r="N1418" s="7"/>
      <c r="P1418" s="7"/>
      <c r="R1418" s="2"/>
      <c r="S1418" s="2"/>
      <c r="T1418" s="2"/>
      <c r="U1418" s="2"/>
      <c r="V1418" s="2"/>
      <c r="X1418" s="38"/>
      <c r="Y1418" s="38"/>
      <c r="Z1418" s="38"/>
      <c r="AA1418" s="38"/>
      <c r="AB1418" s="38"/>
      <c r="AD1418" s="2"/>
      <c r="AE1418" s="2"/>
      <c r="AF1418" s="2"/>
      <c r="AG1418" s="2"/>
      <c r="AH1418" s="2"/>
      <c r="AJ1418" s="215"/>
      <c r="AK1418" s="215"/>
      <c r="AL1418" s="215"/>
      <c r="AM1418" s="215"/>
      <c r="AO1418" s="10"/>
      <c r="AP1418" s="10"/>
      <c r="AQ1418" s="10"/>
      <c r="AR1418" s="10"/>
      <c r="AS1418" s="10"/>
      <c r="AU1418" s="2"/>
      <c r="AV1418" s="2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</row>
    <row r="1419" spans="1:73" customFormat="1" ht="12.75" hidden="1" customHeight="1" x14ac:dyDescent="0.2">
      <c r="A1419" s="1"/>
      <c r="B1419" s="1"/>
      <c r="C1419" s="1"/>
      <c r="D1419" s="7"/>
      <c r="E1419" s="7"/>
      <c r="F1419" s="6"/>
      <c r="G1419" s="7"/>
      <c r="H1419" s="2"/>
      <c r="I1419" s="2"/>
      <c r="J1419" s="2"/>
      <c r="K1419" s="2"/>
      <c r="L1419" s="178"/>
      <c r="M1419" s="2"/>
      <c r="N1419" s="7"/>
      <c r="P1419" s="7"/>
      <c r="R1419" s="2"/>
      <c r="S1419" s="2"/>
      <c r="T1419" s="2"/>
      <c r="U1419" s="2"/>
      <c r="V1419" s="2"/>
      <c r="X1419" s="38"/>
      <c r="Y1419" s="38"/>
      <c r="Z1419" s="38"/>
      <c r="AA1419" s="38"/>
      <c r="AB1419" s="38"/>
      <c r="AD1419" s="2"/>
      <c r="AE1419" s="2"/>
      <c r="AF1419" s="2"/>
      <c r="AG1419" s="2"/>
      <c r="AH1419" s="2"/>
      <c r="AJ1419" s="215"/>
      <c r="AK1419" s="215"/>
      <c r="AL1419" s="215"/>
      <c r="AM1419" s="215"/>
      <c r="AO1419" s="10"/>
      <c r="AP1419" s="10"/>
      <c r="AQ1419" s="10"/>
      <c r="AR1419" s="10"/>
      <c r="AS1419" s="10"/>
      <c r="AU1419" s="2"/>
      <c r="AV1419" s="2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</row>
    <row r="1420" spans="1:73" customFormat="1" ht="12.75" hidden="1" customHeight="1" x14ac:dyDescent="0.2">
      <c r="A1420" s="1"/>
      <c r="B1420" s="1"/>
      <c r="C1420" s="1"/>
      <c r="D1420" s="7"/>
      <c r="E1420" s="7"/>
      <c r="F1420" s="6"/>
      <c r="G1420" s="7"/>
      <c r="H1420" s="2"/>
      <c r="I1420" s="2"/>
      <c r="J1420" s="2"/>
      <c r="K1420" s="2"/>
      <c r="L1420" s="178"/>
      <c r="M1420" s="2"/>
      <c r="N1420" s="7"/>
      <c r="P1420" s="7"/>
      <c r="R1420" s="2"/>
      <c r="S1420" s="2"/>
      <c r="T1420" s="2"/>
      <c r="U1420" s="2"/>
      <c r="V1420" s="2"/>
      <c r="X1420" s="38"/>
      <c r="Y1420" s="38"/>
      <c r="Z1420" s="38"/>
      <c r="AA1420" s="38"/>
      <c r="AB1420" s="38"/>
      <c r="AD1420" s="2"/>
      <c r="AE1420" s="2"/>
      <c r="AF1420" s="2"/>
      <c r="AG1420" s="2"/>
      <c r="AH1420" s="2"/>
      <c r="AJ1420" s="215"/>
      <c r="AK1420" s="215"/>
      <c r="AL1420" s="215"/>
      <c r="AM1420" s="215"/>
      <c r="AO1420" s="10"/>
      <c r="AP1420" s="10"/>
      <c r="AQ1420" s="10"/>
      <c r="AR1420" s="10"/>
      <c r="AS1420" s="10"/>
      <c r="AU1420" s="2"/>
      <c r="AV1420" s="2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</row>
    <row r="1421" spans="1:73" customFormat="1" ht="12.75" hidden="1" customHeight="1" x14ac:dyDescent="0.2">
      <c r="A1421" s="1"/>
      <c r="B1421" s="1"/>
      <c r="C1421" s="1"/>
      <c r="D1421" s="7"/>
      <c r="E1421" s="7"/>
      <c r="F1421" s="6"/>
      <c r="G1421" s="7"/>
      <c r="H1421" s="2"/>
      <c r="I1421" s="2"/>
      <c r="J1421" s="2"/>
      <c r="K1421" s="2"/>
      <c r="L1421" s="178"/>
      <c r="M1421" s="2"/>
      <c r="N1421" s="7"/>
      <c r="P1421" s="7"/>
      <c r="R1421" s="2"/>
      <c r="S1421" s="2"/>
      <c r="T1421" s="2"/>
      <c r="U1421" s="2"/>
      <c r="V1421" s="2"/>
      <c r="X1421" s="38"/>
      <c r="Y1421" s="38"/>
      <c r="Z1421" s="38"/>
      <c r="AA1421" s="38"/>
      <c r="AB1421" s="38"/>
      <c r="AD1421" s="2"/>
      <c r="AE1421" s="2"/>
      <c r="AF1421" s="2"/>
      <c r="AG1421" s="2"/>
      <c r="AH1421" s="2"/>
      <c r="AJ1421" s="215"/>
      <c r="AK1421" s="215"/>
      <c r="AL1421" s="215"/>
      <c r="AM1421" s="215"/>
      <c r="AO1421" s="10"/>
      <c r="AP1421" s="10"/>
      <c r="AQ1421" s="10"/>
      <c r="AR1421" s="10"/>
      <c r="AS1421" s="10"/>
      <c r="AU1421" s="2"/>
      <c r="AV1421" s="2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</row>
    <row r="1422" spans="1:73" customFormat="1" ht="12.75" hidden="1" customHeight="1" x14ac:dyDescent="0.2">
      <c r="A1422" s="1"/>
      <c r="B1422" s="1"/>
      <c r="C1422" s="1"/>
      <c r="D1422" s="7"/>
      <c r="E1422" s="7"/>
      <c r="F1422" s="6"/>
      <c r="G1422" s="7"/>
      <c r="H1422" s="2"/>
      <c r="I1422" s="2"/>
      <c r="J1422" s="2"/>
      <c r="K1422" s="2"/>
      <c r="L1422" s="178"/>
      <c r="M1422" s="2"/>
      <c r="N1422" s="7"/>
      <c r="P1422" s="7"/>
      <c r="R1422" s="2"/>
      <c r="S1422" s="2"/>
      <c r="T1422" s="2"/>
      <c r="U1422" s="2"/>
      <c r="V1422" s="2"/>
      <c r="X1422" s="38"/>
      <c r="Y1422" s="38"/>
      <c r="Z1422" s="38"/>
      <c r="AA1422" s="38"/>
      <c r="AB1422" s="38"/>
      <c r="AD1422" s="2"/>
      <c r="AE1422" s="2"/>
      <c r="AF1422" s="2"/>
      <c r="AG1422" s="2"/>
      <c r="AH1422" s="2"/>
      <c r="AJ1422" s="215"/>
      <c r="AK1422" s="215"/>
      <c r="AL1422" s="215"/>
      <c r="AM1422" s="215"/>
      <c r="AO1422" s="10"/>
      <c r="AP1422" s="10"/>
      <c r="AQ1422" s="10"/>
      <c r="AR1422" s="10"/>
      <c r="AS1422" s="10"/>
      <c r="AU1422" s="2"/>
      <c r="AV1422" s="2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</row>
    <row r="1423" spans="1:73" customFormat="1" ht="12.75" hidden="1" customHeight="1" x14ac:dyDescent="0.2">
      <c r="A1423" s="1"/>
      <c r="B1423" s="1"/>
      <c r="C1423" s="1"/>
      <c r="D1423" s="7"/>
      <c r="E1423" s="7"/>
      <c r="F1423" s="6"/>
      <c r="G1423" s="7"/>
      <c r="H1423" s="2"/>
      <c r="I1423" s="2"/>
      <c r="J1423" s="2"/>
      <c r="K1423" s="2"/>
      <c r="L1423" s="178"/>
      <c r="M1423" s="2"/>
      <c r="N1423" s="7"/>
      <c r="P1423" s="7"/>
      <c r="R1423" s="2"/>
      <c r="S1423" s="2"/>
      <c r="T1423" s="2"/>
      <c r="U1423" s="2"/>
      <c r="V1423" s="2"/>
      <c r="X1423" s="38"/>
      <c r="Y1423" s="38"/>
      <c r="Z1423" s="38"/>
      <c r="AA1423" s="38"/>
      <c r="AB1423" s="38"/>
      <c r="AD1423" s="2"/>
      <c r="AE1423" s="2"/>
      <c r="AF1423" s="2"/>
      <c r="AG1423" s="2"/>
      <c r="AH1423" s="2"/>
      <c r="AJ1423" s="215"/>
      <c r="AK1423" s="215"/>
      <c r="AL1423" s="215"/>
      <c r="AM1423" s="215"/>
      <c r="AO1423" s="10"/>
      <c r="AP1423" s="10"/>
      <c r="AQ1423" s="10"/>
      <c r="AR1423" s="10"/>
      <c r="AS1423" s="10"/>
      <c r="AU1423" s="2"/>
      <c r="AV1423" s="2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</row>
    <row r="1424" spans="1:73" customFormat="1" ht="12.75" hidden="1" customHeight="1" x14ac:dyDescent="0.2">
      <c r="A1424" s="1"/>
      <c r="B1424" s="1"/>
      <c r="C1424" s="1"/>
      <c r="D1424" s="7"/>
      <c r="E1424" s="7"/>
      <c r="F1424" s="6"/>
      <c r="G1424" s="7"/>
      <c r="H1424" s="2"/>
      <c r="I1424" s="2"/>
      <c r="J1424" s="2"/>
      <c r="K1424" s="2"/>
      <c r="L1424" s="178"/>
      <c r="M1424" s="2"/>
      <c r="N1424" s="7"/>
      <c r="P1424" s="7"/>
      <c r="R1424" s="2"/>
      <c r="S1424" s="2"/>
      <c r="T1424" s="2"/>
      <c r="U1424" s="2"/>
      <c r="V1424" s="2"/>
      <c r="X1424" s="38"/>
      <c r="Y1424" s="38"/>
      <c r="Z1424" s="38"/>
      <c r="AA1424" s="38"/>
      <c r="AB1424" s="38"/>
      <c r="AD1424" s="2"/>
      <c r="AE1424" s="2"/>
      <c r="AF1424" s="2"/>
      <c r="AG1424" s="2"/>
      <c r="AH1424" s="2"/>
      <c r="AJ1424" s="215"/>
      <c r="AK1424" s="215"/>
      <c r="AL1424" s="215"/>
      <c r="AM1424" s="215"/>
      <c r="AO1424" s="10"/>
      <c r="AP1424" s="10"/>
      <c r="AQ1424" s="10"/>
      <c r="AR1424" s="10"/>
      <c r="AS1424" s="10"/>
      <c r="AU1424" s="2"/>
      <c r="AV1424" s="2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</row>
    <row r="1425" spans="1:73" customFormat="1" ht="12.75" hidden="1" customHeight="1" x14ac:dyDescent="0.2">
      <c r="A1425" s="1"/>
      <c r="B1425" s="1"/>
      <c r="C1425" s="1"/>
      <c r="D1425" s="7"/>
      <c r="E1425" s="7"/>
      <c r="F1425" s="6"/>
      <c r="G1425" s="7"/>
      <c r="H1425" s="2"/>
      <c r="I1425" s="2"/>
      <c r="J1425" s="2"/>
      <c r="K1425" s="2"/>
      <c r="L1425" s="178"/>
      <c r="M1425" s="2"/>
      <c r="N1425" s="7"/>
      <c r="P1425" s="7"/>
      <c r="R1425" s="2"/>
      <c r="S1425" s="2"/>
      <c r="T1425" s="2"/>
      <c r="U1425" s="2"/>
      <c r="V1425" s="2"/>
      <c r="X1425" s="38"/>
      <c r="Y1425" s="38"/>
      <c r="Z1425" s="38"/>
      <c r="AA1425" s="38"/>
      <c r="AB1425" s="38"/>
      <c r="AD1425" s="2"/>
      <c r="AE1425" s="2"/>
      <c r="AF1425" s="2"/>
      <c r="AG1425" s="2"/>
      <c r="AH1425" s="2"/>
      <c r="AJ1425" s="215"/>
      <c r="AK1425" s="215"/>
      <c r="AL1425" s="215"/>
      <c r="AM1425" s="215"/>
      <c r="AO1425" s="10"/>
      <c r="AP1425" s="10"/>
      <c r="AQ1425" s="10"/>
      <c r="AR1425" s="10"/>
      <c r="AS1425" s="10"/>
      <c r="AU1425" s="2"/>
      <c r="AV1425" s="2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</row>
    <row r="1426" spans="1:73" customFormat="1" ht="12.75" hidden="1" customHeight="1" x14ac:dyDescent="0.2">
      <c r="A1426" s="1"/>
      <c r="B1426" s="1"/>
      <c r="C1426" s="1"/>
      <c r="D1426" s="7"/>
      <c r="E1426" s="7"/>
      <c r="F1426" s="6"/>
      <c r="G1426" s="7"/>
      <c r="H1426" s="2"/>
      <c r="I1426" s="2"/>
      <c r="J1426" s="2"/>
      <c r="K1426" s="2"/>
      <c r="L1426" s="178"/>
      <c r="M1426" s="2"/>
      <c r="N1426" s="7"/>
      <c r="P1426" s="7"/>
      <c r="R1426" s="2"/>
      <c r="S1426" s="2"/>
      <c r="T1426" s="2"/>
      <c r="U1426" s="2"/>
      <c r="V1426" s="2"/>
      <c r="X1426" s="38"/>
      <c r="Y1426" s="38"/>
      <c r="Z1426" s="38"/>
      <c r="AA1426" s="38"/>
      <c r="AB1426" s="38"/>
      <c r="AD1426" s="2"/>
      <c r="AE1426" s="2"/>
      <c r="AF1426" s="2"/>
      <c r="AG1426" s="2"/>
      <c r="AH1426" s="2"/>
      <c r="AJ1426" s="215"/>
      <c r="AK1426" s="215"/>
      <c r="AL1426" s="215"/>
      <c r="AM1426" s="215"/>
      <c r="AO1426" s="10"/>
      <c r="AP1426" s="10"/>
      <c r="AQ1426" s="10"/>
      <c r="AR1426" s="10"/>
      <c r="AS1426" s="10"/>
      <c r="AU1426" s="2"/>
      <c r="AV1426" s="2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</row>
    <row r="1427" spans="1:73" customFormat="1" ht="12.75" hidden="1" customHeight="1" x14ac:dyDescent="0.2">
      <c r="A1427" s="1"/>
      <c r="B1427" s="1"/>
      <c r="C1427" s="1"/>
      <c r="D1427" s="7"/>
      <c r="E1427" s="7"/>
      <c r="F1427" s="6"/>
      <c r="G1427" s="7"/>
      <c r="H1427" s="2"/>
      <c r="I1427" s="2"/>
      <c r="J1427" s="2"/>
      <c r="K1427" s="2"/>
      <c r="L1427" s="178"/>
      <c r="M1427" s="2"/>
      <c r="N1427" s="7"/>
      <c r="P1427" s="7"/>
      <c r="R1427" s="2"/>
      <c r="S1427" s="2"/>
      <c r="T1427" s="2"/>
      <c r="U1427" s="2"/>
      <c r="V1427" s="2"/>
      <c r="X1427" s="38"/>
      <c r="Y1427" s="38"/>
      <c r="Z1427" s="38"/>
      <c r="AA1427" s="38"/>
      <c r="AB1427" s="38"/>
      <c r="AD1427" s="2"/>
      <c r="AE1427" s="2"/>
      <c r="AF1427" s="2"/>
      <c r="AG1427" s="2"/>
      <c r="AH1427" s="2"/>
      <c r="AJ1427" s="215"/>
      <c r="AK1427" s="215"/>
      <c r="AL1427" s="215"/>
      <c r="AM1427" s="215"/>
      <c r="AO1427" s="10"/>
      <c r="AP1427" s="10"/>
      <c r="AQ1427" s="10"/>
      <c r="AR1427" s="10"/>
      <c r="AS1427" s="10"/>
      <c r="AU1427" s="2"/>
      <c r="AV1427" s="2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</row>
    <row r="1428" spans="1:73" customFormat="1" ht="12.75" hidden="1" customHeight="1" x14ac:dyDescent="0.2">
      <c r="A1428" s="1"/>
      <c r="B1428" s="1"/>
      <c r="C1428" s="1"/>
      <c r="D1428" s="7"/>
      <c r="E1428" s="7"/>
      <c r="F1428" s="6"/>
      <c r="G1428" s="7"/>
      <c r="H1428" s="2"/>
      <c r="I1428" s="2"/>
      <c r="J1428" s="2"/>
      <c r="K1428" s="2"/>
      <c r="L1428" s="178"/>
      <c r="M1428" s="2"/>
      <c r="N1428" s="7"/>
      <c r="P1428" s="7"/>
      <c r="R1428" s="2"/>
      <c r="S1428" s="2"/>
      <c r="T1428" s="2"/>
      <c r="U1428" s="2"/>
      <c r="V1428" s="2"/>
      <c r="X1428" s="38"/>
      <c r="Y1428" s="38"/>
      <c r="Z1428" s="38"/>
      <c r="AA1428" s="38"/>
      <c r="AB1428" s="38"/>
      <c r="AD1428" s="2"/>
      <c r="AE1428" s="2"/>
      <c r="AF1428" s="2"/>
      <c r="AG1428" s="2"/>
      <c r="AH1428" s="2"/>
      <c r="AJ1428" s="215"/>
      <c r="AK1428" s="215"/>
      <c r="AL1428" s="215"/>
      <c r="AM1428" s="215"/>
      <c r="AO1428" s="10"/>
      <c r="AP1428" s="10"/>
      <c r="AQ1428" s="10"/>
      <c r="AR1428" s="10"/>
      <c r="AS1428" s="10"/>
      <c r="AU1428" s="2"/>
      <c r="AV1428" s="2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</row>
    <row r="1429" spans="1:73" customFormat="1" ht="12.75" hidden="1" customHeight="1" x14ac:dyDescent="0.2">
      <c r="A1429" s="1"/>
      <c r="B1429" s="1"/>
      <c r="C1429" s="1"/>
      <c r="D1429" s="7"/>
      <c r="E1429" s="7"/>
      <c r="F1429" s="6"/>
      <c r="G1429" s="7"/>
      <c r="H1429" s="2"/>
      <c r="I1429" s="2"/>
      <c r="J1429" s="2"/>
      <c r="K1429" s="2"/>
      <c r="L1429" s="178"/>
      <c r="M1429" s="2"/>
      <c r="N1429" s="7"/>
      <c r="P1429" s="7"/>
      <c r="R1429" s="2"/>
      <c r="S1429" s="2"/>
      <c r="T1429" s="2"/>
      <c r="U1429" s="2"/>
      <c r="V1429" s="2"/>
      <c r="X1429" s="38"/>
      <c r="Y1429" s="38"/>
      <c r="Z1429" s="38"/>
      <c r="AA1429" s="38"/>
      <c r="AB1429" s="38"/>
      <c r="AD1429" s="2"/>
      <c r="AE1429" s="2"/>
      <c r="AF1429" s="2"/>
      <c r="AG1429" s="2"/>
      <c r="AH1429" s="2"/>
      <c r="AJ1429" s="215"/>
      <c r="AK1429" s="215"/>
      <c r="AL1429" s="215"/>
      <c r="AM1429" s="215"/>
      <c r="AO1429" s="10"/>
      <c r="AP1429" s="10"/>
      <c r="AQ1429" s="10"/>
      <c r="AR1429" s="10"/>
      <c r="AS1429" s="10"/>
      <c r="AU1429" s="2"/>
      <c r="AV1429" s="2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</row>
    <row r="1430" spans="1:73" customFormat="1" ht="12.75" hidden="1" customHeight="1" x14ac:dyDescent="0.2">
      <c r="A1430" s="1"/>
      <c r="B1430" s="1"/>
      <c r="C1430" s="1"/>
      <c r="D1430" s="7"/>
      <c r="E1430" s="7"/>
      <c r="F1430" s="6"/>
      <c r="G1430" s="7"/>
      <c r="H1430" s="2"/>
      <c r="I1430" s="2"/>
      <c r="J1430" s="2"/>
      <c r="K1430" s="2"/>
      <c r="L1430" s="178"/>
      <c r="M1430" s="2"/>
      <c r="N1430" s="7"/>
      <c r="P1430" s="7"/>
      <c r="R1430" s="2"/>
      <c r="S1430" s="2"/>
      <c r="T1430" s="2"/>
      <c r="U1430" s="2"/>
      <c r="V1430" s="2"/>
      <c r="X1430" s="38"/>
      <c r="Y1430" s="38"/>
      <c r="Z1430" s="38"/>
      <c r="AA1430" s="38"/>
      <c r="AB1430" s="38"/>
      <c r="AD1430" s="2"/>
      <c r="AE1430" s="2"/>
      <c r="AF1430" s="2"/>
      <c r="AG1430" s="2"/>
      <c r="AH1430" s="2"/>
      <c r="AJ1430" s="215"/>
      <c r="AK1430" s="215"/>
      <c r="AL1430" s="215"/>
      <c r="AM1430" s="215"/>
      <c r="AO1430" s="10"/>
      <c r="AP1430" s="10"/>
      <c r="AQ1430" s="10"/>
      <c r="AR1430" s="10"/>
      <c r="AS1430" s="10"/>
      <c r="AU1430" s="2"/>
      <c r="AV1430" s="2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</row>
    <row r="1431" spans="1:73" customFormat="1" ht="12.75" hidden="1" customHeight="1" x14ac:dyDescent="0.2">
      <c r="A1431" s="1"/>
      <c r="B1431" s="1"/>
      <c r="C1431" s="1"/>
      <c r="D1431" s="7"/>
      <c r="E1431" s="7"/>
      <c r="F1431" s="6"/>
      <c r="G1431" s="7"/>
      <c r="H1431" s="2"/>
      <c r="I1431" s="2"/>
      <c r="J1431" s="2"/>
      <c r="K1431" s="2"/>
      <c r="L1431" s="178"/>
      <c r="M1431" s="2"/>
      <c r="N1431" s="7"/>
      <c r="P1431" s="7"/>
      <c r="R1431" s="2"/>
      <c r="S1431" s="2"/>
      <c r="T1431" s="2"/>
      <c r="U1431" s="2"/>
      <c r="V1431" s="2"/>
      <c r="X1431" s="38"/>
      <c r="Y1431" s="38"/>
      <c r="Z1431" s="38"/>
      <c r="AA1431" s="38"/>
      <c r="AB1431" s="38"/>
      <c r="AD1431" s="2"/>
      <c r="AE1431" s="2"/>
      <c r="AF1431" s="2"/>
      <c r="AG1431" s="2"/>
      <c r="AH1431" s="2"/>
      <c r="AJ1431" s="215"/>
      <c r="AK1431" s="215"/>
      <c r="AL1431" s="215"/>
      <c r="AM1431" s="215"/>
      <c r="AO1431" s="10"/>
      <c r="AP1431" s="10"/>
      <c r="AQ1431" s="10"/>
      <c r="AR1431" s="10"/>
      <c r="AS1431" s="10"/>
      <c r="AU1431" s="2"/>
      <c r="AV1431" s="2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</row>
    <row r="1432" spans="1:73" customFormat="1" ht="12.75" hidden="1" customHeight="1" x14ac:dyDescent="0.2">
      <c r="A1432" s="1"/>
      <c r="B1432" s="1"/>
      <c r="C1432" s="1"/>
      <c r="D1432" s="7"/>
      <c r="E1432" s="7"/>
      <c r="F1432" s="6"/>
      <c r="G1432" s="7"/>
      <c r="H1432" s="2"/>
      <c r="I1432" s="2"/>
      <c r="J1432" s="2"/>
      <c r="K1432" s="2"/>
      <c r="L1432" s="178"/>
      <c r="M1432" s="2"/>
      <c r="N1432" s="7"/>
      <c r="P1432" s="7"/>
      <c r="R1432" s="2"/>
      <c r="S1432" s="2"/>
      <c r="T1432" s="2"/>
      <c r="U1432" s="2"/>
      <c r="V1432" s="2"/>
      <c r="X1432" s="38"/>
      <c r="Y1432" s="38"/>
      <c r="Z1432" s="38"/>
      <c r="AA1432" s="38"/>
      <c r="AB1432" s="38"/>
      <c r="AD1432" s="2"/>
      <c r="AE1432" s="2"/>
      <c r="AF1432" s="2"/>
      <c r="AG1432" s="2"/>
      <c r="AH1432" s="2"/>
      <c r="AJ1432" s="215"/>
      <c r="AK1432" s="215"/>
      <c r="AL1432" s="215"/>
      <c r="AM1432" s="215"/>
      <c r="AO1432" s="10"/>
      <c r="AP1432" s="10"/>
      <c r="AQ1432" s="10"/>
      <c r="AR1432" s="10"/>
      <c r="AS1432" s="10"/>
      <c r="AU1432" s="2"/>
      <c r="AV1432" s="2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</row>
    <row r="1433" spans="1:73" customFormat="1" ht="12.75" hidden="1" customHeight="1" x14ac:dyDescent="0.2">
      <c r="A1433" s="1"/>
      <c r="B1433" s="1"/>
      <c r="C1433" s="1"/>
      <c r="D1433" s="7"/>
      <c r="E1433" s="7"/>
      <c r="F1433" s="6"/>
      <c r="G1433" s="7"/>
      <c r="H1433" s="2"/>
      <c r="I1433" s="2"/>
      <c r="J1433" s="2"/>
      <c r="K1433" s="2"/>
      <c r="L1433" s="178"/>
      <c r="M1433" s="2"/>
      <c r="N1433" s="7"/>
      <c r="P1433" s="7"/>
      <c r="R1433" s="2"/>
      <c r="S1433" s="2"/>
      <c r="T1433" s="2"/>
      <c r="U1433" s="2"/>
      <c r="V1433" s="2"/>
      <c r="X1433" s="38"/>
      <c r="Y1433" s="38"/>
      <c r="Z1433" s="38"/>
      <c r="AA1433" s="38"/>
      <c r="AB1433" s="38"/>
      <c r="AD1433" s="2"/>
      <c r="AE1433" s="2"/>
      <c r="AF1433" s="2"/>
      <c r="AG1433" s="2"/>
      <c r="AH1433" s="2"/>
      <c r="AJ1433" s="215"/>
      <c r="AK1433" s="215"/>
      <c r="AL1433" s="215"/>
      <c r="AM1433" s="215"/>
      <c r="AO1433" s="10"/>
      <c r="AP1433" s="10"/>
      <c r="AQ1433" s="10"/>
      <c r="AR1433" s="10"/>
      <c r="AS1433" s="10"/>
      <c r="AU1433" s="2"/>
      <c r="AV1433" s="2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</row>
    <row r="1434" spans="1:73" customFormat="1" ht="12.75" hidden="1" customHeight="1" x14ac:dyDescent="0.2">
      <c r="A1434" s="1"/>
      <c r="B1434" s="1"/>
      <c r="C1434" s="1"/>
      <c r="D1434" s="7"/>
      <c r="E1434" s="7"/>
      <c r="F1434" s="6"/>
      <c r="G1434" s="7"/>
      <c r="H1434" s="2"/>
      <c r="I1434" s="2"/>
      <c r="J1434" s="2"/>
      <c r="K1434" s="2"/>
      <c r="L1434" s="178"/>
      <c r="M1434" s="2"/>
      <c r="N1434" s="7"/>
      <c r="P1434" s="7"/>
      <c r="R1434" s="2"/>
      <c r="S1434" s="2"/>
      <c r="T1434" s="2"/>
      <c r="U1434" s="2"/>
      <c r="V1434" s="2"/>
      <c r="X1434" s="38"/>
      <c r="Y1434" s="38"/>
      <c r="Z1434" s="38"/>
      <c r="AA1434" s="38"/>
      <c r="AB1434" s="38"/>
      <c r="AD1434" s="2"/>
      <c r="AE1434" s="2"/>
      <c r="AF1434" s="2"/>
      <c r="AG1434" s="2"/>
      <c r="AH1434" s="2"/>
      <c r="AJ1434" s="215"/>
      <c r="AK1434" s="215"/>
      <c r="AL1434" s="215"/>
      <c r="AM1434" s="215"/>
      <c r="AO1434" s="10"/>
      <c r="AP1434" s="10"/>
      <c r="AQ1434" s="10"/>
      <c r="AR1434" s="10"/>
      <c r="AS1434" s="10"/>
      <c r="AU1434" s="2"/>
      <c r="AV1434" s="2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</row>
    <row r="1435" spans="1:73" customFormat="1" ht="12.75" hidden="1" customHeight="1" x14ac:dyDescent="0.2">
      <c r="A1435" s="1"/>
      <c r="B1435" s="1"/>
      <c r="C1435" s="1"/>
      <c r="D1435" s="7"/>
      <c r="E1435" s="7"/>
      <c r="F1435" s="6"/>
      <c r="G1435" s="7"/>
      <c r="H1435" s="2"/>
      <c r="I1435" s="2"/>
      <c r="J1435" s="2"/>
      <c r="K1435" s="2"/>
      <c r="L1435" s="178"/>
      <c r="M1435" s="2"/>
      <c r="N1435" s="7"/>
      <c r="P1435" s="7"/>
      <c r="R1435" s="2"/>
      <c r="S1435" s="2"/>
      <c r="T1435" s="2"/>
      <c r="U1435" s="2"/>
      <c r="V1435" s="2"/>
      <c r="X1435" s="38"/>
      <c r="Y1435" s="38"/>
      <c r="Z1435" s="38"/>
      <c r="AA1435" s="38"/>
      <c r="AB1435" s="38"/>
      <c r="AD1435" s="2"/>
      <c r="AE1435" s="2"/>
      <c r="AF1435" s="2"/>
      <c r="AG1435" s="2"/>
      <c r="AH1435" s="2"/>
      <c r="AJ1435" s="215"/>
      <c r="AK1435" s="215"/>
      <c r="AL1435" s="215"/>
      <c r="AM1435" s="215"/>
      <c r="AO1435" s="10"/>
      <c r="AP1435" s="10"/>
      <c r="AQ1435" s="10"/>
      <c r="AR1435" s="10"/>
      <c r="AS1435" s="10"/>
      <c r="AU1435" s="2"/>
      <c r="AV1435" s="2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</row>
    <row r="1436" spans="1:73" customFormat="1" ht="12.75" hidden="1" customHeight="1" x14ac:dyDescent="0.2">
      <c r="A1436" s="1"/>
      <c r="B1436" s="1"/>
      <c r="C1436" s="1"/>
      <c r="D1436" s="7"/>
      <c r="E1436" s="7"/>
      <c r="F1436" s="6"/>
      <c r="G1436" s="7"/>
      <c r="H1436" s="2"/>
      <c r="I1436" s="2"/>
      <c r="J1436" s="2"/>
      <c r="K1436" s="2"/>
      <c r="L1436" s="178"/>
      <c r="M1436" s="2"/>
      <c r="N1436" s="7"/>
      <c r="P1436" s="7"/>
      <c r="R1436" s="2"/>
      <c r="S1436" s="2"/>
      <c r="T1436" s="2"/>
      <c r="U1436" s="2"/>
      <c r="V1436" s="2"/>
      <c r="X1436" s="38"/>
      <c r="Y1436" s="38"/>
      <c r="Z1436" s="38"/>
      <c r="AA1436" s="38"/>
      <c r="AB1436" s="38"/>
      <c r="AD1436" s="2"/>
      <c r="AE1436" s="2"/>
      <c r="AF1436" s="2"/>
      <c r="AG1436" s="2"/>
      <c r="AH1436" s="2"/>
      <c r="AJ1436" s="215"/>
      <c r="AK1436" s="215"/>
      <c r="AL1436" s="215"/>
      <c r="AM1436" s="215"/>
      <c r="AO1436" s="10"/>
      <c r="AP1436" s="10"/>
      <c r="AQ1436" s="10"/>
      <c r="AR1436" s="10"/>
      <c r="AS1436" s="10"/>
      <c r="AU1436" s="2"/>
      <c r="AV1436" s="2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</row>
    <row r="1437" spans="1:73" customFormat="1" ht="12.75" hidden="1" customHeight="1" x14ac:dyDescent="0.2">
      <c r="A1437" s="1"/>
      <c r="B1437" s="1"/>
      <c r="C1437" s="1"/>
      <c r="D1437" s="7"/>
      <c r="E1437" s="7"/>
      <c r="F1437" s="6"/>
      <c r="G1437" s="7"/>
      <c r="H1437" s="2"/>
      <c r="I1437" s="2"/>
      <c r="J1437" s="2"/>
      <c r="K1437" s="2"/>
      <c r="L1437" s="178"/>
      <c r="M1437" s="2"/>
      <c r="N1437" s="7"/>
      <c r="P1437" s="7"/>
      <c r="R1437" s="2"/>
      <c r="S1437" s="2"/>
      <c r="T1437" s="2"/>
      <c r="U1437" s="2"/>
      <c r="V1437" s="2"/>
      <c r="X1437" s="38"/>
      <c r="Y1437" s="38"/>
      <c r="Z1437" s="38"/>
      <c r="AA1437" s="38"/>
      <c r="AB1437" s="38"/>
      <c r="AD1437" s="2"/>
      <c r="AE1437" s="2"/>
      <c r="AF1437" s="2"/>
      <c r="AG1437" s="2"/>
      <c r="AH1437" s="2"/>
      <c r="AJ1437" s="215"/>
      <c r="AK1437" s="215"/>
      <c r="AL1437" s="215"/>
      <c r="AM1437" s="215"/>
      <c r="AO1437" s="10"/>
      <c r="AP1437" s="10"/>
      <c r="AQ1437" s="10"/>
      <c r="AR1437" s="10"/>
      <c r="AS1437" s="10"/>
      <c r="AU1437" s="2"/>
      <c r="AV1437" s="2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</row>
    <row r="1438" spans="1:73" customFormat="1" ht="12.75" hidden="1" customHeight="1" x14ac:dyDescent="0.2">
      <c r="A1438" s="1"/>
      <c r="B1438" s="1"/>
      <c r="C1438" s="1"/>
      <c r="D1438" s="7"/>
      <c r="E1438" s="7"/>
      <c r="F1438" s="6"/>
      <c r="G1438" s="7"/>
      <c r="H1438" s="2"/>
      <c r="I1438" s="2"/>
      <c r="J1438" s="2"/>
      <c r="K1438" s="2"/>
      <c r="L1438" s="178"/>
      <c r="M1438" s="2"/>
      <c r="N1438" s="7"/>
      <c r="P1438" s="7"/>
      <c r="R1438" s="2"/>
      <c r="S1438" s="2"/>
      <c r="T1438" s="2"/>
      <c r="U1438" s="2"/>
      <c r="V1438" s="2"/>
      <c r="X1438" s="38"/>
      <c r="Y1438" s="38"/>
      <c r="Z1438" s="38"/>
      <c r="AA1438" s="38"/>
      <c r="AB1438" s="38"/>
      <c r="AD1438" s="2"/>
      <c r="AE1438" s="2"/>
      <c r="AF1438" s="2"/>
      <c r="AG1438" s="2"/>
      <c r="AH1438" s="2"/>
      <c r="AJ1438" s="215"/>
      <c r="AK1438" s="215"/>
      <c r="AL1438" s="215"/>
      <c r="AM1438" s="215"/>
      <c r="AO1438" s="10"/>
      <c r="AP1438" s="10"/>
      <c r="AQ1438" s="10"/>
      <c r="AR1438" s="10"/>
      <c r="AS1438" s="10"/>
      <c r="AU1438" s="2"/>
      <c r="AV1438" s="2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</row>
    <row r="1439" spans="1:73" customFormat="1" ht="12.75" hidden="1" customHeight="1" x14ac:dyDescent="0.2">
      <c r="A1439" s="1"/>
      <c r="B1439" s="1"/>
      <c r="C1439" s="1"/>
      <c r="D1439" s="7"/>
      <c r="E1439" s="7"/>
      <c r="F1439" s="6"/>
      <c r="G1439" s="7"/>
      <c r="H1439" s="2"/>
      <c r="I1439" s="2"/>
      <c r="J1439" s="2"/>
      <c r="K1439" s="2"/>
      <c r="L1439" s="178"/>
      <c r="M1439" s="2"/>
      <c r="N1439" s="7"/>
      <c r="P1439" s="7"/>
      <c r="R1439" s="2"/>
      <c r="S1439" s="2"/>
      <c r="T1439" s="2"/>
      <c r="U1439" s="2"/>
      <c r="V1439" s="2"/>
      <c r="X1439" s="38"/>
      <c r="Y1439" s="38"/>
      <c r="Z1439" s="38"/>
      <c r="AA1439" s="38"/>
      <c r="AB1439" s="38"/>
      <c r="AD1439" s="2"/>
      <c r="AE1439" s="2"/>
      <c r="AF1439" s="2"/>
      <c r="AG1439" s="2"/>
      <c r="AH1439" s="2"/>
      <c r="AJ1439" s="215"/>
      <c r="AK1439" s="215"/>
      <c r="AL1439" s="215"/>
      <c r="AM1439" s="215"/>
      <c r="AO1439" s="10"/>
      <c r="AP1439" s="10"/>
      <c r="AQ1439" s="10"/>
      <c r="AR1439" s="10"/>
      <c r="AS1439" s="10"/>
      <c r="AU1439" s="2"/>
      <c r="AV1439" s="2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</row>
    <row r="1440" spans="1:73" customFormat="1" ht="12.75" hidden="1" customHeight="1" x14ac:dyDescent="0.2">
      <c r="A1440" s="1"/>
      <c r="B1440" s="1"/>
      <c r="C1440" s="1"/>
      <c r="D1440" s="7"/>
      <c r="E1440" s="7"/>
      <c r="F1440" s="6"/>
      <c r="G1440" s="7"/>
      <c r="H1440" s="2"/>
      <c r="I1440" s="2"/>
      <c r="J1440" s="2"/>
      <c r="K1440" s="2"/>
      <c r="L1440" s="178"/>
      <c r="M1440" s="2"/>
      <c r="N1440" s="7"/>
      <c r="P1440" s="7"/>
      <c r="R1440" s="2"/>
      <c r="S1440" s="2"/>
      <c r="T1440" s="2"/>
      <c r="U1440" s="2"/>
      <c r="V1440" s="2"/>
      <c r="X1440" s="38"/>
      <c r="Y1440" s="38"/>
      <c r="Z1440" s="38"/>
      <c r="AA1440" s="38"/>
      <c r="AB1440" s="38"/>
      <c r="AD1440" s="2"/>
      <c r="AE1440" s="2"/>
      <c r="AF1440" s="2"/>
      <c r="AG1440" s="2"/>
      <c r="AH1440" s="2"/>
      <c r="AJ1440" s="215"/>
      <c r="AK1440" s="215"/>
      <c r="AL1440" s="215"/>
      <c r="AM1440" s="215"/>
      <c r="AO1440" s="10"/>
      <c r="AP1440" s="10"/>
      <c r="AQ1440" s="10"/>
      <c r="AR1440" s="10"/>
      <c r="AS1440" s="10"/>
      <c r="AU1440" s="2"/>
      <c r="AV1440" s="2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</row>
    <row r="1441" spans="1:73" customFormat="1" ht="12.75" hidden="1" customHeight="1" x14ac:dyDescent="0.2">
      <c r="A1441" s="1"/>
      <c r="B1441" s="1"/>
      <c r="C1441" s="1"/>
      <c r="D1441" s="7"/>
      <c r="E1441" s="7"/>
      <c r="F1441" s="6"/>
      <c r="G1441" s="7"/>
      <c r="H1441" s="2"/>
      <c r="I1441" s="2"/>
      <c r="J1441" s="2"/>
      <c r="K1441" s="2"/>
      <c r="L1441" s="178"/>
      <c r="M1441" s="2"/>
      <c r="N1441" s="7"/>
      <c r="P1441" s="7"/>
      <c r="R1441" s="2"/>
      <c r="S1441" s="2"/>
      <c r="T1441" s="2"/>
      <c r="U1441" s="2"/>
      <c r="V1441" s="2"/>
      <c r="X1441" s="38"/>
      <c r="Y1441" s="38"/>
      <c r="Z1441" s="38"/>
      <c r="AA1441" s="38"/>
      <c r="AB1441" s="38"/>
      <c r="AD1441" s="2"/>
      <c r="AE1441" s="2"/>
      <c r="AF1441" s="2"/>
      <c r="AG1441" s="2"/>
      <c r="AH1441" s="2"/>
      <c r="AJ1441" s="215"/>
      <c r="AK1441" s="215"/>
      <c r="AL1441" s="215"/>
      <c r="AM1441" s="215"/>
      <c r="AO1441" s="10"/>
      <c r="AP1441" s="10"/>
      <c r="AQ1441" s="10"/>
      <c r="AR1441" s="10"/>
      <c r="AS1441" s="10"/>
      <c r="AU1441" s="2"/>
      <c r="AV1441" s="2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</row>
    <row r="1442" spans="1:73" customFormat="1" ht="12.75" hidden="1" customHeight="1" x14ac:dyDescent="0.2">
      <c r="A1442" s="1"/>
      <c r="B1442" s="1"/>
      <c r="C1442" s="1"/>
      <c r="D1442" s="7"/>
      <c r="E1442" s="7"/>
      <c r="F1442" s="6"/>
      <c r="G1442" s="7"/>
      <c r="H1442" s="2"/>
      <c r="I1442" s="2"/>
      <c r="J1442" s="2"/>
      <c r="K1442" s="2"/>
      <c r="L1442" s="178"/>
      <c r="M1442" s="2"/>
      <c r="N1442" s="7"/>
      <c r="P1442" s="7"/>
      <c r="R1442" s="2"/>
      <c r="S1442" s="2"/>
      <c r="T1442" s="2"/>
      <c r="U1442" s="2"/>
      <c r="V1442" s="2"/>
      <c r="X1442" s="38"/>
      <c r="Y1442" s="38"/>
      <c r="Z1442" s="38"/>
      <c r="AA1442" s="38"/>
      <c r="AB1442" s="38"/>
      <c r="AD1442" s="2"/>
      <c r="AE1442" s="2"/>
      <c r="AF1442" s="2"/>
      <c r="AG1442" s="2"/>
      <c r="AH1442" s="2"/>
      <c r="AJ1442" s="215"/>
      <c r="AK1442" s="215"/>
      <c r="AL1442" s="215"/>
      <c r="AM1442" s="215"/>
      <c r="AO1442" s="10"/>
      <c r="AP1442" s="10"/>
      <c r="AQ1442" s="10"/>
      <c r="AR1442" s="10"/>
      <c r="AS1442" s="10"/>
      <c r="AU1442" s="2"/>
      <c r="AV1442" s="2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</row>
    <row r="1443" spans="1:73" customFormat="1" ht="12.75" hidden="1" customHeight="1" x14ac:dyDescent="0.2">
      <c r="A1443" s="1"/>
      <c r="B1443" s="1"/>
      <c r="C1443" s="1"/>
      <c r="D1443" s="7"/>
      <c r="E1443" s="7"/>
      <c r="F1443" s="6"/>
      <c r="G1443" s="7"/>
      <c r="H1443" s="2"/>
      <c r="I1443" s="2"/>
      <c r="J1443" s="2"/>
      <c r="K1443" s="2"/>
      <c r="L1443" s="178"/>
      <c r="M1443" s="2"/>
      <c r="N1443" s="7"/>
      <c r="P1443" s="7"/>
      <c r="R1443" s="2"/>
      <c r="S1443" s="2"/>
      <c r="T1443" s="2"/>
      <c r="U1443" s="2"/>
      <c r="V1443" s="2"/>
      <c r="X1443" s="38"/>
      <c r="Y1443" s="38"/>
      <c r="Z1443" s="38"/>
      <c r="AA1443" s="38"/>
      <c r="AB1443" s="38"/>
      <c r="AD1443" s="2"/>
      <c r="AE1443" s="2"/>
      <c r="AF1443" s="2"/>
      <c r="AG1443" s="2"/>
      <c r="AH1443" s="2"/>
      <c r="AJ1443" s="215"/>
      <c r="AK1443" s="215"/>
      <c r="AL1443" s="215"/>
      <c r="AM1443" s="215"/>
      <c r="AO1443" s="10"/>
      <c r="AP1443" s="10"/>
      <c r="AQ1443" s="10"/>
      <c r="AR1443" s="10"/>
      <c r="AS1443" s="10"/>
      <c r="AU1443" s="2"/>
      <c r="AV1443" s="2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</row>
    <row r="1444" spans="1:73" customFormat="1" ht="12.75" hidden="1" customHeight="1" x14ac:dyDescent="0.2">
      <c r="A1444" s="1"/>
      <c r="B1444" s="1"/>
      <c r="C1444" s="1"/>
      <c r="D1444" s="7"/>
      <c r="E1444" s="7"/>
      <c r="F1444" s="6"/>
      <c r="G1444" s="7"/>
      <c r="H1444" s="2"/>
      <c r="I1444" s="2"/>
      <c r="J1444" s="2"/>
      <c r="K1444" s="2"/>
      <c r="L1444" s="178"/>
      <c r="M1444" s="2"/>
      <c r="N1444" s="7"/>
      <c r="P1444" s="7"/>
      <c r="R1444" s="2"/>
      <c r="S1444" s="2"/>
      <c r="T1444" s="2"/>
      <c r="U1444" s="2"/>
      <c r="V1444" s="2"/>
      <c r="X1444" s="38"/>
      <c r="Y1444" s="38"/>
      <c r="Z1444" s="38"/>
      <c r="AA1444" s="38"/>
      <c r="AB1444" s="38"/>
      <c r="AD1444" s="2"/>
      <c r="AE1444" s="2"/>
      <c r="AF1444" s="2"/>
      <c r="AG1444" s="2"/>
      <c r="AH1444" s="2"/>
      <c r="AJ1444" s="215"/>
      <c r="AK1444" s="215"/>
      <c r="AL1444" s="215"/>
      <c r="AM1444" s="215"/>
      <c r="AO1444" s="10"/>
      <c r="AP1444" s="10"/>
      <c r="AQ1444" s="10"/>
      <c r="AR1444" s="10"/>
      <c r="AS1444" s="10"/>
      <c r="AU1444" s="2"/>
      <c r="AV1444" s="2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</row>
    <row r="1445" spans="1:73" customFormat="1" ht="12.75" hidden="1" customHeight="1" x14ac:dyDescent="0.2">
      <c r="A1445" s="1"/>
      <c r="B1445" s="1"/>
      <c r="C1445" s="1"/>
      <c r="D1445" s="7"/>
      <c r="E1445" s="7"/>
      <c r="F1445" s="6"/>
      <c r="G1445" s="7"/>
      <c r="H1445" s="2"/>
      <c r="I1445" s="2"/>
      <c r="J1445" s="2"/>
      <c r="K1445" s="2"/>
      <c r="L1445" s="178"/>
      <c r="M1445" s="2"/>
      <c r="N1445" s="7"/>
      <c r="P1445" s="7"/>
      <c r="R1445" s="2"/>
      <c r="S1445" s="2"/>
      <c r="T1445" s="2"/>
      <c r="U1445" s="2"/>
      <c r="V1445" s="2"/>
      <c r="X1445" s="38"/>
      <c r="Y1445" s="38"/>
      <c r="Z1445" s="38"/>
      <c r="AA1445" s="38"/>
      <c r="AB1445" s="38"/>
      <c r="AD1445" s="2"/>
      <c r="AE1445" s="2"/>
      <c r="AF1445" s="2"/>
      <c r="AG1445" s="2"/>
      <c r="AH1445" s="2"/>
      <c r="AJ1445" s="215"/>
      <c r="AK1445" s="215"/>
      <c r="AL1445" s="215"/>
      <c r="AM1445" s="215"/>
      <c r="AO1445" s="10"/>
      <c r="AP1445" s="10"/>
      <c r="AQ1445" s="10"/>
      <c r="AR1445" s="10"/>
      <c r="AS1445" s="10"/>
      <c r="AU1445" s="2"/>
      <c r="AV1445" s="2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</row>
    <row r="1446" spans="1:73" customFormat="1" ht="12.75" hidden="1" customHeight="1" x14ac:dyDescent="0.2">
      <c r="A1446" s="1"/>
      <c r="B1446" s="1"/>
      <c r="C1446" s="1"/>
      <c r="D1446" s="7"/>
      <c r="E1446" s="7"/>
      <c r="F1446" s="6"/>
      <c r="G1446" s="7"/>
      <c r="H1446" s="2"/>
      <c r="I1446" s="2"/>
      <c r="J1446" s="2"/>
      <c r="K1446" s="2"/>
      <c r="L1446" s="178"/>
      <c r="M1446" s="2"/>
      <c r="N1446" s="7"/>
      <c r="P1446" s="7"/>
      <c r="R1446" s="2"/>
      <c r="S1446" s="2"/>
      <c r="T1446" s="2"/>
      <c r="U1446" s="2"/>
      <c r="V1446" s="2"/>
      <c r="X1446" s="38"/>
      <c r="Y1446" s="38"/>
      <c r="Z1446" s="38"/>
      <c r="AA1446" s="38"/>
      <c r="AB1446" s="38"/>
      <c r="AD1446" s="2"/>
      <c r="AE1446" s="2"/>
      <c r="AF1446" s="2"/>
      <c r="AG1446" s="2"/>
      <c r="AH1446" s="2"/>
      <c r="AJ1446" s="215"/>
      <c r="AK1446" s="215"/>
      <c r="AL1446" s="215"/>
      <c r="AM1446" s="215"/>
      <c r="AO1446" s="10"/>
      <c r="AP1446" s="10"/>
      <c r="AQ1446" s="10"/>
      <c r="AR1446" s="10"/>
      <c r="AS1446" s="10"/>
      <c r="AU1446" s="2"/>
      <c r="AV1446" s="2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</row>
    <row r="1447" spans="1:73" customFormat="1" ht="12.75" hidden="1" customHeight="1" x14ac:dyDescent="0.2">
      <c r="A1447" s="1"/>
      <c r="B1447" s="1"/>
      <c r="C1447" s="1"/>
      <c r="D1447" s="7"/>
      <c r="E1447" s="7"/>
      <c r="F1447" s="6"/>
      <c r="G1447" s="7"/>
      <c r="H1447" s="2"/>
      <c r="I1447" s="2"/>
      <c r="J1447" s="2"/>
      <c r="K1447" s="2"/>
      <c r="L1447" s="178"/>
      <c r="M1447" s="2"/>
      <c r="N1447" s="7"/>
      <c r="P1447" s="7"/>
      <c r="R1447" s="2"/>
      <c r="S1447" s="2"/>
      <c r="T1447" s="2"/>
      <c r="U1447" s="2"/>
      <c r="V1447" s="2"/>
      <c r="X1447" s="38"/>
      <c r="Y1447" s="38"/>
      <c r="Z1447" s="38"/>
      <c r="AA1447" s="38"/>
      <c r="AB1447" s="38"/>
      <c r="AD1447" s="2"/>
      <c r="AE1447" s="2"/>
      <c r="AF1447" s="2"/>
      <c r="AG1447" s="2"/>
      <c r="AH1447" s="2"/>
      <c r="AJ1447" s="215"/>
      <c r="AK1447" s="215"/>
      <c r="AL1447" s="215"/>
      <c r="AM1447" s="215"/>
      <c r="AO1447" s="10"/>
      <c r="AP1447" s="10"/>
      <c r="AQ1447" s="10"/>
      <c r="AR1447" s="10"/>
      <c r="AS1447" s="10"/>
      <c r="AU1447" s="2"/>
      <c r="AV1447" s="2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</row>
    <row r="1448" spans="1:73" customFormat="1" ht="12.75" hidden="1" customHeight="1" x14ac:dyDescent="0.2">
      <c r="A1448" s="1"/>
      <c r="B1448" s="1"/>
      <c r="C1448" s="1"/>
      <c r="D1448" s="7"/>
      <c r="E1448" s="7"/>
      <c r="F1448" s="6"/>
      <c r="G1448" s="7"/>
      <c r="H1448" s="2"/>
      <c r="I1448" s="2"/>
      <c r="J1448" s="2"/>
      <c r="K1448" s="2"/>
      <c r="L1448" s="178"/>
      <c r="M1448" s="2"/>
      <c r="N1448" s="7"/>
      <c r="P1448" s="7"/>
      <c r="R1448" s="2"/>
      <c r="S1448" s="2"/>
      <c r="T1448" s="2"/>
      <c r="U1448" s="2"/>
      <c r="V1448" s="2"/>
      <c r="X1448" s="38"/>
      <c r="Y1448" s="38"/>
      <c r="Z1448" s="38"/>
      <c r="AA1448" s="38"/>
      <c r="AB1448" s="38"/>
      <c r="AD1448" s="2"/>
      <c r="AE1448" s="2"/>
      <c r="AF1448" s="2"/>
      <c r="AG1448" s="2"/>
      <c r="AH1448" s="2"/>
      <c r="AJ1448" s="215"/>
      <c r="AK1448" s="215"/>
      <c r="AL1448" s="215"/>
      <c r="AM1448" s="215"/>
      <c r="AO1448" s="10"/>
      <c r="AP1448" s="10"/>
      <c r="AQ1448" s="10"/>
      <c r="AR1448" s="10"/>
      <c r="AS1448" s="10"/>
      <c r="AU1448" s="2"/>
      <c r="AV1448" s="2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</row>
    <row r="1449" spans="1:73" customFormat="1" ht="12.75" hidden="1" customHeight="1" x14ac:dyDescent="0.2">
      <c r="A1449" s="1"/>
      <c r="B1449" s="1"/>
      <c r="C1449" s="1"/>
      <c r="D1449" s="7"/>
      <c r="E1449" s="7"/>
      <c r="F1449" s="6"/>
      <c r="G1449" s="7"/>
      <c r="H1449" s="2"/>
      <c r="I1449" s="2"/>
      <c r="J1449" s="2"/>
      <c r="K1449" s="2"/>
      <c r="L1449" s="178"/>
      <c r="M1449" s="2"/>
      <c r="N1449" s="7"/>
      <c r="P1449" s="7"/>
      <c r="R1449" s="2"/>
      <c r="S1449" s="2"/>
      <c r="T1449" s="2"/>
      <c r="U1449" s="2"/>
      <c r="V1449" s="2"/>
      <c r="X1449" s="38"/>
      <c r="Y1449" s="38"/>
      <c r="Z1449" s="38"/>
      <c r="AA1449" s="38"/>
      <c r="AB1449" s="38"/>
      <c r="AD1449" s="2"/>
      <c r="AE1449" s="2"/>
      <c r="AF1449" s="2"/>
      <c r="AG1449" s="2"/>
      <c r="AH1449" s="2"/>
      <c r="AJ1449" s="215"/>
      <c r="AK1449" s="215"/>
      <c r="AL1449" s="215"/>
      <c r="AM1449" s="215"/>
      <c r="AO1449" s="10"/>
      <c r="AP1449" s="10"/>
      <c r="AQ1449" s="10"/>
      <c r="AR1449" s="10"/>
      <c r="AS1449" s="10"/>
      <c r="AU1449" s="2"/>
      <c r="AV1449" s="2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</row>
    <row r="1450" spans="1:73" customFormat="1" ht="12.75" hidden="1" customHeight="1" x14ac:dyDescent="0.2">
      <c r="A1450" s="1"/>
      <c r="B1450" s="1"/>
      <c r="C1450" s="1"/>
      <c r="D1450" s="7"/>
      <c r="E1450" s="7"/>
      <c r="F1450" s="6"/>
      <c r="G1450" s="7"/>
      <c r="H1450" s="2"/>
      <c r="I1450" s="2"/>
      <c r="J1450" s="2"/>
      <c r="K1450" s="2"/>
      <c r="L1450" s="178"/>
      <c r="M1450" s="2"/>
      <c r="N1450" s="7"/>
      <c r="P1450" s="7"/>
      <c r="R1450" s="2"/>
      <c r="S1450" s="2"/>
      <c r="T1450" s="2"/>
      <c r="U1450" s="2"/>
      <c r="V1450" s="2"/>
      <c r="X1450" s="38"/>
      <c r="Y1450" s="38"/>
      <c r="Z1450" s="38"/>
      <c r="AA1450" s="38"/>
      <c r="AB1450" s="38"/>
      <c r="AD1450" s="2"/>
      <c r="AE1450" s="2"/>
      <c r="AF1450" s="2"/>
      <c r="AG1450" s="2"/>
      <c r="AH1450" s="2"/>
      <c r="AJ1450" s="215"/>
      <c r="AK1450" s="215"/>
      <c r="AL1450" s="215"/>
      <c r="AM1450" s="215"/>
      <c r="AO1450" s="10"/>
      <c r="AP1450" s="10"/>
      <c r="AQ1450" s="10"/>
      <c r="AR1450" s="10"/>
      <c r="AS1450" s="10"/>
      <c r="AU1450" s="2"/>
      <c r="AV1450" s="2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</row>
    <row r="1451" spans="1:73" customFormat="1" ht="12.75" hidden="1" customHeight="1" x14ac:dyDescent="0.2">
      <c r="A1451" s="1"/>
      <c r="B1451" s="1"/>
      <c r="C1451" s="1"/>
      <c r="D1451" s="7"/>
      <c r="E1451" s="7"/>
      <c r="F1451" s="6"/>
      <c r="G1451" s="7"/>
      <c r="H1451" s="2"/>
      <c r="I1451" s="2"/>
      <c r="J1451" s="2"/>
      <c r="K1451" s="2"/>
      <c r="L1451" s="178"/>
      <c r="M1451" s="2"/>
      <c r="N1451" s="7"/>
      <c r="P1451" s="7"/>
      <c r="R1451" s="2"/>
      <c r="S1451" s="2"/>
      <c r="T1451" s="2"/>
      <c r="U1451" s="2"/>
      <c r="V1451" s="2"/>
      <c r="X1451" s="38"/>
      <c r="Y1451" s="38"/>
      <c r="Z1451" s="38"/>
      <c r="AA1451" s="38"/>
      <c r="AB1451" s="38"/>
      <c r="AD1451" s="2"/>
      <c r="AE1451" s="2"/>
      <c r="AF1451" s="2"/>
      <c r="AG1451" s="2"/>
      <c r="AH1451" s="2"/>
      <c r="AJ1451" s="215"/>
      <c r="AK1451" s="215"/>
      <c r="AL1451" s="215"/>
      <c r="AM1451" s="215"/>
      <c r="AO1451" s="10"/>
      <c r="AP1451" s="10"/>
      <c r="AQ1451" s="10"/>
      <c r="AR1451" s="10"/>
      <c r="AS1451" s="10"/>
      <c r="AU1451" s="2"/>
      <c r="AV1451" s="2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</row>
    <row r="1452" spans="1:73" customFormat="1" ht="12.75" hidden="1" customHeight="1" x14ac:dyDescent="0.2">
      <c r="A1452" s="1"/>
      <c r="B1452" s="1"/>
      <c r="C1452" s="1"/>
      <c r="D1452" s="7"/>
      <c r="E1452" s="7"/>
      <c r="F1452" s="6"/>
      <c r="G1452" s="7"/>
      <c r="H1452" s="2"/>
      <c r="I1452" s="2"/>
      <c r="J1452" s="2"/>
      <c r="K1452" s="2"/>
      <c r="L1452" s="178"/>
      <c r="M1452" s="2"/>
      <c r="N1452" s="7"/>
      <c r="P1452" s="7"/>
      <c r="R1452" s="2"/>
      <c r="S1452" s="2"/>
      <c r="T1452" s="2"/>
      <c r="U1452" s="2"/>
      <c r="V1452" s="2"/>
      <c r="X1452" s="38"/>
      <c r="Y1452" s="38"/>
      <c r="Z1452" s="38"/>
      <c r="AA1452" s="38"/>
      <c r="AB1452" s="38"/>
      <c r="AD1452" s="2"/>
      <c r="AE1452" s="2"/>
      <c r="AF1452" s="2"/>
      <c r="AG1452" s="2"/>
      <c r="AH1452" s="2"/>
      <c r="AJ1452" s="215"/>
      <c r="AK1452" s="215"/>
      <c r="AL1452" s="215"/>
      <c r="AM1452" s="215"/>
      <c r="AO1452" s="10"/>
      <c r="AP1452" s="10"/>
      <c r="AQ1452" s="10"/>
      <c r="AR1452" s="10"/>
      <c r="AS1452" s="10"/>
      <c r="AU1452" s="2"/>
      <c r="AV1452" s="2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</row>
    <row r="1453" spans="1:73" customFormat="1" ht="12.75" hidden="1" customHeight="1" x14ac:dyDescent="0.2">
      <c r="A1453" s="1"/>
      <c r="B1453" s="1"/>
      <c r="C1453" s="1"/>
      <c r="D1453" s="7"/>
      <c r="E1453" s="7"/>
      <c r="F1453" s="6"/>
      <c r="G1453" s="7"/>
      <c r="H1453" s="2"/>
      <c r="I1453" s="2"/>
      <c r="J1453" s="2"/>
      <c r="K1453" s="2"/>
      <c r="L1453" s="178"/>
      <c r="M1453" s="2"/>
      <c r="N1453" s="7"/>
      <c r="P1453" s="7"/>
      <c r="R1453" s="2"/>
      <c r="S1453" s="2"/>
      <c r="T1453" s="2"/>
      <c r="U1453" s="2"/>
      <c r="V1453" s="2"/>
      <c r="X1453" s="38"/>
      <c r="Y1453" s="38"/>
      <c r="Z1453" s="38"/>
      <c r="AA1453" s="38"/>
      <c r="AB1453" s="38"/>
      <c r="AD1453" s="2"/>
      <c r="AE1453" s="2"/>
      <c r="AF1453" s="2"/>
      <c r="AG1453" s="2"/>
      <c r="AH1453" s="2"/>
      <c r="AJ1453" s="215"/>
      <c r="AK1453" s="215"/>
      <c r="AL1453" s="215"/>
      <c r="AM1453" s="215"/>
      <c r="AO1453" s="10"/>
      <c r="AP1453" s="10"/>
      <c r="AQ1453" s="10"/>
      <c r="AR1453" s="10"/>
      <c r="AS1453" s="10"/>
      <c r="AU1453" s="2"/>
      <c r="AV1453" s="2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</row>
    <row r="1454" spans="1:73" customFormat="1" ht="12.75" hidden="1" customHeight="1" x14ac:dyDescent="0.2">
      <c r="A1454" s="1"/>
      <c r="B1454" s="1"/>
      <c r="C1454" s="1"/>
      <c r="D1454" s="7"/>
      <c r="E1454" s="7"/>
      <c r="F1454" s="6"/>
      <c r="G1454" s="7"/>
      <c r="H1454" s="2"/>
      <c r="I1454" s="2"/>
      <c r="J1454" s="2"/>
      <c r="K1454" s="2"/>
      <c r="L1454" s="178"/>
      <c r="M1454" s="2"/>
      <c r="N1454" s="7"/>
      <c r="P1454" s="7"/>
      <c r="R1454" s="2"/>
      <c r="S1454" s="2"/>
      <c r="T1454" s="2"/>
      <c r="U1454" s="2"/>
      <c r="V1454" s="2"/>
      <c r="X1454" s="38"/>
      <c r="Y1454" s="38"/>
      <c r="Z1454" s="38"/>
      <c r="AA1454" s="38"/>
      <c r="AB1454" s="38"/>
      <c r="AD1454" s="2"/>
      <c r="AE1454" s="2"/>
      <c r="AF1454" s="2"/>
      <c r="AG1454" s="2"/>
      <c r="AH1454" s="2"/>
      <c r="AJ1454" s="215"/>
      <c r="AK1454" s="215"/>
      <c r="AL1454" s="215"/>
      <c r="AM1454" s="215"/>
      <c r="AO1454" s="10"/>
      <c r="AP1454" s="10"/>
      <c r="AQ1454" s="10"/>
      <c r="AR1454" s="10"/>
      <c r="AS1454" s="10"/>
      <c r="AU1454" s="2"/>
      <c r="AV1454" s="2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</row>
    <row r="1455" spans="1:73" customFormat="1" ht="12.75" hidden="1" customHeight="1" x14ac:dyDescent="0.2">
      <c r="A1455" s="1"/>
      <c r="B1455" s="1"/>
      <c r="C1455" s="1"/>
      <c r="D1455" s="7"/>
      <c r="E1455" s="7"/>
      <c r="F1455" s="6"/>
      <c r="G1455" s="7"/>
      <c r="H1455" s="2"/>
      <c r="I1455" s="2"/>
      <c r="J1455" s="2"/>
      <c r="K1455" s="2"/>
      <c r="L1455" s="178"/>
      <c r="M1455" s="2"/>
      <c r="N1455" s="7"/>
      <c r="P1455" s="7"/>
      <c r="R1455" s="2"/>
      <c r="S1455" s="2"/>
      <c r="T1455" s="2"/>
      <c r="U1455" s="2"/>
      <c r="V1455" s="2"/>
      <c r="X1455" s="38"/>
      <c r="Y1455" s="38"/>
      <c r="Z1455" s="38"/>
      <c r="AA1455" s="38"/>
      <c r="AB1455" s="38"/>
      <c r="AD1455" s="2"/>
      <c r="AE1455" s="2"/>
      <c r="AF1455" s="2"/>
      <c r="AG1455" s="2"/>
      <c r="AH1455" s="2"/>
      <c r="AJ1455" s="215"/>
      <c r="AK1455" s="215"/>
      <c r="AL1455" s="215"/>
      <c r="AM1455" s="215"/>
      <c r="AO1455" s="10"/>
      <c r="AP1455" s="10"/>
      <c r="AQ1455" s="10"/>
      <c r="AR1455" s="10"/>
      <c r="AS1455" s="10"/>
      <c r="AU1455" s="2"/>
      <c r="AV1455" s="2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</row>
    <row r="1456" spans="1:73" customFormat="1" ht="12.75" hidden="1" customHeight="1" x14ac:dyDescent="0.2">
      <c r="A1456" s="1"/>
      <c r="B1456" s="1"/>
      <c r="C1456" s="1"/>
      <c r="D1456" s="7"/>
      <c r="E1456" s="7"/>
      <c r="F1456" s="6"/>
      <c r="G1456" s="7"/>
      <c r="H1456" s="2"/>
      <c r="I1456" s="2"/>
      <c r="J1456" s="2"/>
      <c r="K1456" s="2"/>
      <c r="L1456" s="178"/>
      <c r="M1456" s="2"/>
      <c r="N1456" s="7"/>
      <c r="P1456" s="7"/>
      <c r="R1456" s="2"/>
      <c r="S1456" s="2"/>
      <c r="T1456" s="2"/>
      <c r="U1456" s="2"/>
      <c r="V1456" s="2"/>
      <c r="X1456" s="38"/>
      <c r="Y1456" s="38"/>
      <c r="Z1456" s="38"/>
      <c r="AA1456" s="38"/>
      <c r="AB1456" s="38"/>
      <c r="AD1456" s="2"/>
      <c r="AE1456" s="2"/>
      <c r="AF1456" s="2"/>
      <c r="AG1456" s="2"/>
      <c r="AH1456" s="2"/>
      <c r="AJ1456" s="215"/>
      <c r="AK1456" s="215"/>
      <c r="AL1456" s="215"/>
      <c r="AM1456" s="215"/>
      <c r="AO1456" s="10"/>
      <c r="AP1456" s="10"/>
      <c r="AQ1456" s="10"/>
      <c r="AR1456" s="10"/>
      <c r="AS1456" s="10"/>
      <c r="AU1456" s="2"/>
      <c r="AV1456" s="2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</row>
    <row r="1457" spans="1:73" customFormat="1" ht="12.75" hidden="1" customHeight="1" x14ac:dyDescent="0.2">
      <c r="A1457" s="1"/>
      <c r="B1457" s="1"/>
      <c r="C1457" s="1"/>
      <c r="D1457" s="7"/>
      <c r="E1457" s="7"/>
      <c r="F1457" s="6"/>
      <c r="G1457" s="7"/>
      <c r="H1457" s="2"/>
      <c r="I1457" s="2"/>
      <c r="J1457" s="2"/>
      <c r="K1457" s="2"/>
      <c r="L1457" s="178"/>
      <c r="M1457" s="2"/>
      <c r="N1457" s="7"/>
      <c r="P1457" s="7"/>
      <c r="R1457" s="2"/>
      <c r="S1457" s="2"/>
      <c r="T1457" s="2"/>
      <c r="U1457" s="2"/>
      <c r="V1457" s="2"/>
      <c r="X1457" s="38"/>
      <c r="Y1457" s="38"/>
      <c r="Z1457" s="38"/>
      <c r="AA1457" s="38"/>
      <c r="AB1457" s="38"/>
      <c r="AD1457" s="2"/>
      <c r="AE1457" s="2"/>
      <c r="AF1457" s="2"/>
      <c r="AG1457" s="2"/>
      <c r="AH1457" s="2"/>
      <c r="AJ1457" s="215"/>
      <c r="AK1457" s="215"/>
      <c r="AL1457" s="215"/>
      <c r="AM1457" s="215"/>
      <c r="AO1457" s="10"/>
      <c r="AP1457" s="10"/>
      <c r="AQ1457" s="10"/>
      <c r="AR1457" s="10"/>
      <c r="AS1457" s="10"/>
      <c r="AU1457" s="2"/>
      <c r="AV1457" s="2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</row>
    <row r="1458" spans="1:73" customFormat="1" ht="12.75" hidden="1" customHeight="1" x14ac:dyDescent="0.2">
      <c r="A1458" s="1"/>
      <c r="B1458" s="1"/>
      <c r="C1458" s="1"/>
      <c r="D1458" s="7"/>
      <c r="E1458" s="7"/>
      <c r="F1458" s="6"/>
      <c r="G1458" s="7"/>
      <c r="H1458" s="2"/>
      <c r="I1458" s="2"/>
      <c r="J1458" s="2"/>
      <c r="K1458" s="2"/>
      <c r="L1458" s="178"/>
      <c r="M1458" s="2"/>
      <c r="N1458" s="7"/>
      <c r="P1458" s="7"/>
      <c r="R1458" s="2"/>
      <c r="S1458" s="2"/>
      <c r="T1458" s="2"/>
      <c r="U1458" s="2"/>
      <c r="V1458" s="2"/>
      <c r="X1458" s="38"/>
      <c r="Y1458" s="38"/>
      <c r="Z1458" s="38"/>
      <c r="AA1458" s="38"/>
      <c r="AB1458" s="38"/>
      <c r="AD1458" s="2"/>
      <c r="AE1458" s="2"/>
      <c r="AF1458" s="2"/>
      <c r="AG1458" s="2"/>
      <c r="AH1458" s="2"/>
      <c r="AJ1458" s="215"/>
      <c r="AK1458" s="215"/>
      <c r="AL1458" s="215"/>
      <c r="AM1458" s="215"/>
      <c r="AO1458" s="10"/>
      <c r="AP1458" s="10"/>
      <c r="AQ1458" s="10"/>
      <c r="AR1458" s="10"/>
      <c r="AS1458" s="10"/>
      <c r="AU1458" s="2"/>
      <c r="AV1458" s="2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</row>
    <row r="1459" spans="1:73" customFormat="1" ht="12.75" hidden="1" customHeight="1" x14ac:dyDescent="0.2">
      <c r="A1459" s="1"/>
      <c r="B1459" s="1"/>
      <c r="C1459" s="1"/>
      <c r="D1459" s="7"/>
      <c r="E1459" s="7"/>
      <c r="F1459" s="6"/>
      <c r="G1459" s="7"/>
      <c r="H1459" s="2"/>
      <c r="I1459" s="2"/>
      <c r="J1459" s="2"/>
      <c r="K1459" s="2"/>
      <c r="L1459" s="178"/>
      <c r="M1459" s="2"/>
      <c r="N1459" s="7"/>
      <c r="P1459" s="7"/>
      <c r="R1459" s="2"/>
      <c r="S1459" s="2"/>
      <c r="T1459" s="2"/>
      <c r="U1459" s="2"/>
      <c r="V1459" s="2"/>
      <c r="X1459" s="38"/>
      <c r="Y1459" s="38"/>
      <c r="Z1459" s="38"/>
      <c r="AA1459" s="38"/>
      <c r="AB1459" s="38"/>
      <c r="AD1459" s="2"/>
      <c r="AE1459" s="2"/>
      <c r="AF1459" s="2"/>
      <c r="AG1459" s="2"/>
      <c r="AH1459" s="2"/>
      <c r="AJ1459" s="215"/>
      <c r="AK1459" s="215"/>
      <c r="AL1459" s="215"/>
      <c r="AM1459" s="215"/>
      <c r="AO1459" s="10"/>
      <c r="AP1459" s="10"/>
      <c r="AQ1459" s="10"/>
      <c r="AR1459" s="10"/>
      <c r="AS1459" s="10"/>
      <c r="AU1459" s="2"/>
      <c r="AV1459" s="2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</row>
    <row r="1460" spans="1:73" customFormat="1" ht="12.75" hidden="1" customHeight="1" x14ac:dyDescent="0.2">
      <c r="A1460" s="1"/>
      <c r="B1460" s="1"/>
      <c r="C1460" s="1"/>
      <c r="D1460" s="7"/>
      <c r="E1460" s="7"/>
      <c r="F1460" s="6"/>
      <c r="G1460" s="7"/>
      <c r="H1460" s="2"/>
      <c r="I1460" s="2"/>
      <c r="J1460" s="2"/>
      <c r="K1460" s="2"/>
      <c r="L1460" s="178"/>
      <c r="M1460" s="2"/>
      <c r="N1460" s="7"/>
      <c r="P1460" s="7"/>
      <c r="R1460" s="2"/>
      <c r="S1460" s="2"/>
      <c r="T1460" s="2"/>
      <c r="U1460" s="2"/>
      <c r="V1460" s="2"/>
      <c r="X1460" s="38"/>
      <c r="Y1460" s="38"/>
      <c r="Z1460" s="38"/>
      <c r="AA1460" s="38"/>
      <c r="AB1460" s="38"/>
      <c r="AD1460" s="2"/>
      <c r="AE1460" s="2"/>
      <c r="AF1460" s="2"/>
      <c r="AG1460" s="2"/>
      <c r="AH1460" s="2"/>
      <c r="AJ1460" s="215"/>
      <c r="AK1460" s="215"/>
      <c r="AL1460" s="215"/>
      <c r="AM1460" s="215"/>
      <c r="AO1460" s="10"/>
      <c r="AP1460" s="10"/>
      <c r="AQ1460" s="10"/>
      <c r="AR1460" s="10"/>
      <c r="AS1460" s="10"/>
      <c r="AU1460" s="2"/>
      <c r="AV1460" s="2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</row>
    <row r="1461" spans="1:73" customFormat="1" ht="12.75" hidden="1" customHeight="1" x14ac:dyDescent="0.2">
      <c r="A1461" s="1"/>
      <c r="B1461" s="1"/>
      <c r="C1461" s="1"/>
      <c r="D1461" s="7"/>
      <c r="E1461" s="7"/>
      <c r="F1461" s="6"/>
      <c r="G1461" s="7"/>
      <c r="H1461" s="2"/>
      <c r="I1461" s="2"/>
      <c r="J1461" s="2"/>
      <c r="K1461" s="2"/>
      <c r="L1461" s="178"/>
      <c r="M1461" s="2"/>
      <c r="N1461" s="7"/>
      <c r="P1461" s="7"/>
      <c r="R1461" s="2"/>
      <c r="S1461" s="2"/>
      <c r="T1461" s="2"/>
      <c r="U1461" s="2"/>
      <c r="V1461" s="2"/>
      <c r="X1461" s="38"/>
      <c r="Y1461" s="38"/>
      <c r="Z1461" s="38"/>
      <c r="AA1461" s="38"/>
      <c r="AB1461" s="38"/>
      <c r="AD1461" s="2"/>
      <c r="AE1461" s="2"/>
      <c r="AF1461" s="2"/>
      <c r="AG1461" s="2"/>
      <c r="AH1461" s="2"/>
      <c r="AJ1461" s="215"/>
      <c r="AK1461" s="215"/>
      <c r="AL1461" s="215"/>
      <c r="AM1461" s="215"/>
      <c r="AO1461" s="10"/>
      <c r="AP1461" s="10"/>
      <c r="AQ1461" s="10"/>
      <c r="AR1461" s="10"/>
      <c r="AS1461" s="10"/>
      <c r="AU1461" s="2"/>
      <c r="AV1461" s="2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</row>
    <row r="1462" spans="1:73" customFormat="1" ht="12.75" hidden="1" customHeight="1" x14ac:dyDescent="0.2">
      <c r="A1462" s="1"/>
      <c r="B1462" s="1"/>
      <c r="C1462" s="1"/>
      <c r="D1462" s="7"/>
      <c r="E1462" s="7"/>
      <c r="F1462" s="6"/>
      <c r="G1462" s="7"/>
      <c r="H1462" s="2"/>
      <c r="I1462" s="2"/>
      <c r="J1462" s="2"/>
      <c r="K1462" s="2"/>
      <c r="L1462" s="178"/>
      <c r="M1462" s="2"/>
      <c r="N1462" s="7"/>
      <c r="P1462" s="7"/>
      <c r="R1462" s="2"/>
      <c r="S1462" s="2"/>
      <c r="T1462" s="2"/>
      <c r="U1462" s="2"/>
      <c r="V1462" s="2"/>
      <c r="X1462" s="38"/>
      <c r="Y1462" s="38"/>
      <c r="Z1462" s="38"/>
      <c r="AA1462" s="38"/>
      <c r="AB1462" s="38"/>
      <c r="AD1462" s="2"/>
      <c r="AE1462" s="2"/>
      <c r="AF1462" s="2"/>
      <c r="AG1462" s="2"/>
      <c r="AH1462" s="2"/>
      <c r="AJ1462" s="215"/>
      <c r="AK1462" s="215"/>
      <c r="AL1462" s="215"/>
      <c r="AM1462" s="215"/>
      <c r="AO1462" s="10"/>
      <c r="AP1462" s="10"/>
      <c r="AQ1462" s="10"/>
      <c r="AR1462" s="10"/>
      <c r="AS1462" s="10"/>
      <c r="AU1462" s="2"/>
      <c r="AV1462" s="2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</row>
    <row r="1463" spans="1:73" customFormat="1" ht="12.75" hidden="1" customHeight="1" x14ac:dyDescent="0.2">
      <c r="A1463" s="1"/>
      <c r="B1463" s="1"/>
      <c r="C1463" s="1"/>
      <c r="D1463" s="7"/>
      <c r="E1463" s="7"/>
      <c r="F1463" s="6"/>
      <c r="G1463" s="7"/>
      <c r="H1463" s="2"/>
      <c r="I1463" s="2"/>
      <c r="J1463" s="2"/>
      <c r="K1463" s="2"/>
      <c r="L1463" s="178"/>
      <c r="M1463" s="2"/>
      <c r="N1463" s="7"/>
      <c r="P1463" s="7"/>
      <c r="R1463" s="2"/>
      <c r="S1463" s="2"/>
      <c r="T1463" s="2"/>
      <c r="U1463" s="2"/>
      <c r="V1463" s="2"/>
      <c r="X1463" s="38"/>
      <c r="Y1463" s="38"/>
      <c r="Z1463" s="38"/>
      <c r="AA1463" s="38"/>
      <c r="AB1463" s="38"/>
      <c r="AD1463" s="2"/>
      <c r="AE1463" s="2"/>
      <c r="AF1463" s="2"/>
      <c r="AG1463" s="2"/>
      <c r="AH1463" s="2"/>
      <c r="AJ1463" s="215"/>
      <c r="AK1463" s="215"/>
      <c r="AL1463" s="215"/>
      <c r="AM1463" s="215"/>
      <c r="AO1463" s="10"/>
      <c r="AP1463" s="10"/>
      <c r="AQ1463" s="10"/>
      <c r="AR1463" s="10"/>
      <c r="AS1463" s="10"/>
      <c r="AU1463" s="2"/>
      <c r="AV1463" s="2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</row>
    <row r="1464" spans="1:73" customFormat="1" ht="12.75" hidden="1" customHeight="1" x14ac:dyDescent="0.2">
      <c r="A1464" s="1"/>
      <c r="B1464" s="1"/>
      <c r="C1464" s="1"/>
      <c r="D1464" s="7"/>
      <c r="E1464" s="7"/>
      <c r="F1464" s="6"/>
      <c r="G1464" s="7"/>
      <c r="H1464" s="2"/>
      <c r="I1464" s="2"/>
      <c r="J1464" s="2"/>
      <c r="K1464" s="2"/>
      <c r="L1464" s="178"/>
      <c r="M1464" s="2"/>
      <c r="N1464" s="7"/>
      <c r="P1464" s="7"/>
      <c r="R1464" s="2"/>
      <c r="S1464" s="2"/>
      <c r="T1464" s="2"/>
      <c r="U1464" s="2"/>
      <c r="V1464" s="2"/>
      <c r="X1464" s="38"/>
      <c r="Y1464" s="38"/>
      <c r="Z1464" s="38"/>
      <c r="AA1464" s="38"/>
      <c r="AB1464" s="38"/>
      <c r="AD1464" s="2"/>
      <c r="AE1464" s="2"/>
      <c r="AF1464" s="2"/>
      <c r="AG1464" s="2"/>
      <c r="AH1464" s="2"/>
      <c r="AJ1464" s="215"/>
      <c r="AK1464" s="215"/>
      <c r="AL1464" s="215"/>
      <c r="AM1464" s="215"/>
      <c r="AO1464" s="10"/>
      <c r="AP1464" s="10"/>
      <c r="AQ1464" s="10"/>
      <c r="AR1464" s="10"/>
      <c r="AS1464" s="10"/>
      <c r="AU1464" s="2"/>
      <c r="AV1464" s="2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</row>
    <row r="1465" spans="1:73" customFormat="1" ht="12.75" hidden="1" customHeight="1" x14ac:dyDescent="0.2">
      <c r="A1465" s="1"/>
      <c r="B1465" s="1"/>
      <c r="C1465" s="1"/>
      <c r="D1465" s="7"/>
      <c r="E1465" s="7"/>
      <c r="F1465" s="6"/>
      <c r="G1465" s="7"/>
      <c r="H1465" s="2"/>
      <c r="I1465" s="2"/>
      <c r="J1465" s="2"/>
      <c r="K1465" s="2"/>
      <c r="L1465" s="178"/>
      <c r="M1465" s="2"/>
      <c r="N1465" s="7"/>
      <c r="P1465" s="7"/>
      <c r="R1465" s="2"/>
      <c r="S1465" s="2"/>
      <c r="T1465" s="2"/>
      <c r="U1465" s="2"/>
      <c r="V1465" s="2"/>
      <c r="X1465" s="38"/>
      <c r="Y1465" s="38"/>
      <c r="Z1465" s="38"/>
      <c r="AA1465" s="38"/>
      <c r="AB1465" s="38"/>
      <c r="AD1465" s="2"/>
      <c r="AE1465" s="2"/>
      <c r="AF1465" s="2"/>
      <c r="AG1465" s="2"/>
      <c r="AH1465" s="2"/>
      <c r="AJ1465" s="215"/>
      <c r="AK1465" s="215"/>
      <c r="AL1465" s="215"/>
      <c r="AM1465" s="215"/>
      <c r="AO1465" s="10"/>
      <c r="AP1465" s="10"/>
      <c r="AQ1465" s="10"/>
      <c r="AR1465" s="10"/>
      <c r="AS1465" s="10"/>
      <c r="AU1465" s="2"/>
      <c r="AV1465" s="2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</row>
    <row r="1466" spans="1:73" customFormat="1" ht="12.75" hidden="1" customHeight="1" x14ac:dyDescent="0.2">
      <c r="A1466" s="1"/>
      <c r="B1466" s="1"/>
      <c r="C1466" s="1"/>
      <c r="D1466" s="7"/>
      <c r="E1466" s="7"/>
      <c r="F1466" s="6"/>
      <c r="G1466" s="7"/>
      <c r="H1466" s="2"/>
      <c r="I1466" s="2"/>
      <c r="J1466" s="2"/>
      <c r="K1466" s="2"/>
      <c r="L1466" s="178"/>
      <c r="M1466" s="2"/>
      <c r="N1466" s="7"/>
      <c r="P1466" s="7"/>
      <c r="R1466" s="2"/>
      <c r="S1466" s="2"/>
      <c r="T1466" s="2"/>
      <c r="U1466" s="2"/>
      <c r="V1466" s="2"/>
      <c r="X1466" s="38"/>
      <c r="Y1466" s="38"/>
      <c r="Z1466" s="38"/>
      <c r="AA1466" s="38"/>
      <c r="AB1466" s="38"/>
      <c r="AD1466" s="2"/>
      <c r="AE1466" s="2"/>
      <c r="AF1466" s="2"/>
      <c r="AG1466" s="2"/>
      <c r="AH1466" s="2"/>
      <c r="AJ1466" s="215"/>
      <c r="AK1466" s="215"/>
      <c r="AL1466" s="215"/>
      <c r="AM1466" s="215"/>
      <c r="AO1466" s="10"/>
      <c r="AP1466" s="10"/>
      <c r="AQ1466" s="10"/>
      <c r="AR1466" s="10"/>
      <c r="AS1466" s="10"/>
      <c r="AU1466" s="2"/>
      <c r="AV1466" s="2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</row>
    <row r="1467" spans="1:73" customFormat="1" ht="12.75" hidden="1" customHeight="1" x14ac:dyDescent="0.2">
      <c r="A1467" s="1"/>
      <c r="B1467" s="1"/>
      <c r="C1467" s="1"/>
      <c r="D1467" s="7"/>
      <c r="E1467" s="7"/>
      <c r="F1467" s="6"/>
      <c r="G1467" s="7"/>
      <c r="H1467" s="2"/>
      <c r="I1467" s="2"/>
      <c r="J1467" s="2"/>
      <c r="K1467" s="2"/>
      <c r="L1467" s="178"/>
      <c r="M1467" s="2"/>
      <c r="N1467" s="7"/>
      <c r="P1467" s="7"/>
      <c r="R1467" s="2"/>
      <c r="S1467" s="2"/>
      <c r="T1467" s="2"/>
      <c r="U1467" s="2"/>
      <c r="V1467" s="2"/>
      <c r="X1467" s="38"/>
      <c r="Y1467" s="38"/>
      <c r="Z1467" s="38"/>
      <c r="AA1467" s="38"/>
      <c r="AB1467" s="38"/>
      <c r="AD1467" s="2"/>
      <c r="AE1467" s="2"/>
      <c r="AF1467" s="2"/>
      <c r="AG1467" s="2"/>
      <c r="AH1467" s="2"/>
      <c r="AJ1467" s="215"/>
      <c r="AK1467" s="215"/>
      <c r="AL1467" s="215"/>
      <c r="AM1467" s="215"/>
      <c r="AO1467" s="10"/>
      <c r="AP1467" s="10"/>
      <c r="AQ1467" s="10"/>
      <c r="AR1467" s="10"/>
      <c r="AS1467" s="10"/>
      <c r="AU1467" s="2"/>
      <c r="AV1467" s="2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</row>
    <row r="1468" spans="1:73" customFormat="1" ht="12.75" hidden="1" customHeight="1" x14ac:dyDescent="0.2">
      <c r="A1468" s="1"/>
      <c r="B1468" s="1"/>
      <c r="C1468" s="1"/>
      <c r="D1468" s="7"/>
      <c r="E1468" s="7"/>
      <c r="F1468" s="6"/>
      <c r="G1468" s="7"/>
      <c r="H1468" s="2"/>
      <c r="I1468" s="2"/>
      <c r="J1468" s="2"/>
      <c r="K1468" s="2"/>
      <c r="L1468" s="178"/>
      <c r="M1468" s="2"/>
      <c r="N1468" s="7"/>
      <c r="P1468" s="7"/>
      <c r="R1468" s="2"/>
      <c r="S1468" s="2"/>
      <c r="T1468" s="2"/>
      <c r="U1468" s="2"/>
      <c r="V1468" s="2"/>
      <c r="X1468" s="38"/>
      <c r="Y1468" s="38"/>
      <c r="Z1468" s="38"/>
      <c r="AA1468" s="38"/>
      <c r="AB1468" s="38"/>
      <c r="AD1468" s="2"/>
      <c r="AE1468" s="2"/>
      <c r="AF1468" s="2"/>
      <c r="AG1468" s="2"/>
      <c r="AH1468" s="2"/>
      <c r="AJ1468" s="215"/>
      <c r="AK1468" s="215"/>
      <c r="AL1468" s="215"/>
      <c r="AM1468" s="215"/>
      <c r="AO1468" s="10"/>
      <c r="AP1468" s="10"/>
      <c r="AQ1468" s="10"/>
      <c r="AR1468" s="10"/>
      <c r="AS1468" s="10"/>
      <c r="AU1468" s="2"/>
      <c r="AV1468" s="2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</row>
    <row r="1469" spans="1:73" customFormat="1" ht="12.75" hidden="1" customHeight="1" x14ac:dyDescent="0.2">
      <c r="A1469" s="1"/>
      <c r="B1469" s="1"/>
      <c r="C1469" s="1"/>
      <c r="D1469" s="7"/>
      <c r="E1469" s="7"/>
      <c r="F1469" s="6"/>
      <c r="G1469" s="7"/>
      <c r="H1469" s="2"/>
      <c r="I1469" s="2"/>
      <c r="J1469" s="2"/>
      <c r="K1469" s="2"/>
      <c r="L1469" s="178"/>
      <c r="M1469" s="2"/>
      <c r="N1469" s="7"/>
      <c r="P1469" s="7"/>
      <c r="R1469" s="2"/>
      <c r="S1469" s="2"/>
      <c r="T1469" s="2"/>
      <c r="U1469" s="2"/>
      <c r="V1469" s="2"/>
      <c r="X1469" s="38"/>
      <c r="Y1469" s="38"/>
      <c r="Z1469" s="38"/>
      <c r="AA1469" s="38"/>
      <c r="AB1469" s="38"/>
      <c r="AD1469" s="2"/>
      <c r="AE1469" s="2"/>
      <c r="AF1469" s="2"/>
      <c r="AG1469" s="2"/>
      <c r="AH1469" s="2"/>
      <c r="AJ1469" s="215"/>
      <c r="AK1469" s="215"/>
      <c r="AL1469" s="215"/>
      <c r="AM1469" s="215"/>
      <c r="AO1469" s="10"/>
      <c r="AP1469" s="10"/>
      <c r="AQ1469" s="10"/>
      <c r="AR1469" s="10"/>
      <c r="AS1469" s="10"/>
      <c r="AU1469" s="2"/>
      <c r="AV1469" s="2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</row>
    <row r="1470" spans="1:73" customFormat="1" ht="12.75" hidden="1" customHeight="1" x14ac:dyDescent="0.2">
      <c r="A1470" s="1"/>
      <c r="B1470" s="1"/>
      <c r="C1470" s="1"/>
      <c r="D1470" s="7"/>
      <c r="E1470" s="7"/>
      <c r="F1470" s="6"/>
      <c r="G1470" s="7"/>
      <c r="H1470" s="2"/>
      <c r="I1470" s="2"/>
      <c r="J1470" s="2"/>
      <c r="K1470" s="2"/>
      <c r="L1470" s="178"/>
      <c r="M1470" s="2"/>
      <c r="N1470" s="7"/>
      <c r="P1470" s="7"/>
      <c r="R1470" s="2"/>
      <c r="S1470" s="2"/>
      <c r="T1470" s="2"/>
      <c r="U1470" s="2"/>
      <c r="V1470" s="2"/>
      <c r="X1470" s="38"/>
      <c r="Y1470" s="38"/>
      <c r="Z1470" s="38"/>
      <c r="AA1470" s="38"/>
      <c r="AB1470" s="38"/>
      <c r="AD1470" s="2"/>
      <c r="AE1470" s="2"/>
      <c r="AF1470" s="2"/>
      <c r="AG1470" s="2"/>
      <c r="AH1470" s="2"/>
      <c r="AJ1470" s="215"/>
      <c r="AK1470" s="215"/>
      <c r="AL1470" s="215"/>
      <c r="AM1470" s="215"/>
      <c r="AO1470" s="10"/>
      <c r="AP1470" s="10"/>
      <c r="AQ1470" s="10"/>
      <c r="AR1470" s="10"/>
      <c r="AS1470" s="10"/>
      <c r="AU1470" s="2"/>
      <c r="AV1470" s="2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</row>
    <row r="1471" spans="1:73" customFormat="1" ht="12.75" hidden="1" customHeight="1" x14ac:dyDescent="0.2">
      <c r="A1471" s="1"/>
      <c r="B1471" s="1"/>
      <c r="C1471" s="1"/>
      <c r="D1471" s="7"/>
      <c r="E1471" s="7"/>
      <c r="F1471" s="6"/>
      <c r="G1471" s="7"/>
      <c r="H1471" s="2"/>
      <c r="I1471" s="2"/>
      <c r="J1471" s="2"/>
      <c r="K1471" s="2"/>
      <c r="L1471" s="178"/>
      <c r="M1471" s="2"/>
      <c r="N1471" s="7"/>
      <c r="P1471" s="7"/>
      <c r="R1471" s="2"/>
      <c r="S1471" s="2"/>
      <c r="T1471" s="2"/>
      <c r="U1471" s="2"/>
      <c r="V1471" s="2"/>
      <c r="X1471" s="38"/>
      <c r="Y1471" s="38"/>
      <c r="Z1471" s="38"/>
      <c r="AA1471" s="38"/>
      <c r="AB1471" s="38"/>
      <c r="AD1471" s="2"/>
      <c r="AE1471" s="2"/>
      <c r="AF1471" s="2"/>
      <c r="AG1471" s="2"/>
      <c r="AH1471" s="2"/>
      <c r="AJ1471" s="215"/>
      <c r="AK1471" s="215"/>
      <c r="AL1471" s="215"/>
      <c r="AM1471" s="215"/>
      <c r="AO1471" s="10"/>
      <c r="AP1471" s="10"/>
      <c r="AQ1471" s="10"/>
      <c r="AR1471" s="10"/>
      <c r="AS1471" s="10"/>
      <c r="AU1471" s="2"/>
      <c r="AV1471" s="2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</row>
    <row r="1472" spans="1:73" customFormat="1" ht="12.75" hidden="1" customHeight="1" x14ac:dyDescent="0.2">
      <c r="A1472" s="1"/>
      <c r="B1472" s="1"/>
      <c r="C1472" s="1"/>
      <c r="D1472" s="7"/>
      <c r="E1472" s="7"/>
      <c r="F1472" s="6"/>
      <c r="G1472" s="7"/>
      <c r="H1472" s="2"/>
      <c r="I1472" s="2"/>
      <c r="J1472" s="2"/>
      <c r="K1472" s="2"/>
      <c r="L1472" s="178"/>
      <c r="M1472" s="2"/>
      <c r="N1472" s="7"/>
      <c r="P1472" s="7"/>
      <c r="R1472" s="2"/>
      <c r="S1472" s="2"/>
      <c r="T1472" s="2"/>
      <c r="U1472" s="2"/>
      <c r="V1472" s="2"/>
      <c r="X1472" s="38"/>
      <c r="Y1472" s="38"/>
      <c r="Z1472" s="38"/>
      <c r="AA1472" s="38"/>
      <c r="AB1472" s="38"/>
      <c r="AD1472" s="2"/>
      <c r="AE1472" s="2"/>
      <c r="AF1472" s="2"/>
      <c r="AG1472" s="2"/>
      <c r="AH1472" s="2"/>
      <c r="AJ1472" s="215"/>
      <c r="AK1472" s="215"/>
      <c r="AL1472" s="215"/>
      <c r="AM1472" s="215"/>
      <c r="AO1472" s="10"/>
      <c r="AP1472" s="10"/>
      <c r="AQ1472" s="10"/>
      <c r="AR1472" s="10"/>
      <c r="AS1472" s="10"/>
      <c r="AU1472" s="2"/>
      <c r="AV1472" s="2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</row>
    <row r="1473" spans="1:73" customFormat="1" ht="12.75" hidden="1" customHeight="1" x14ac:dyDescent="0.2">
      <c r="A1473" s="1"/>
      <c r="B1473" s="1"/>
      <c r="C1473" s="1"/>
      <c r="D1473" s="7"/>
      <c r="E1473" s="7"/>
      <c r="F1473" s="6"/>
      <c r="G1473" s="7"/>
      <c r="H1473" s="2"/>
      <c r="I1473" s="2"/>
      <c r="J1473" s="2"/>
      <c r="K1473" s="2"/>
      <c r="L1473" s="178"/>
      <c r="M1473" s="2"/>
      <c r="N1473" s="7"/>
      <c r="P1473" s="7"/>
      <c r="R1473" s="2"/>
      <c r="S1473" s="2"/>
      <c r="T1473" s="2"/>
      <c r="U1473" s="2"/>
      <c r="V1473" s="2"/>
      <c r="X1473" s="38"/>
      <c r="Y1473" s="38"/>
      <c r="Z1473" s="38"/>
      <c r="AA1473" s="38"/>
      <c r="AB1473" s="38"/>
      <c r="AD1473" s="2"/>
      <c r="AE1473" s="2"/>
      <c r="AF1473" s="2"/>
      <c r="AG1473" s="2"/>
      <c r="AH1473" s="2"/>
      <c r="AJ1473" s="215"/>
      <c r="AK1473" s="215"/>
      <c r="AL1473" s="215"/>
      <c r="AM1473" s="215"/>
      <c r="AO1473" s="10"/>
      <c r="AP1473" s="10"/>
      <c r="AQ1473" s="10"/>
      <c r="AR1473" s="10"/>
      <c r="AS1473" s="10"/>
      <c r="AU1473" s="2"/>
      <c r="AV1473" s="2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</row>
    <row r="1474" spans="1:73" customFormat="1" ht="12.75" hidden="1" customHeight="1" x14ac:dyDescent="0.2">
      <c r="A1474" s="1"/>
      <c r="B1474" s="1"/>
      <c r="C1474" s="1"/>
      <c r="D1474" s="7"/>
      <c r="E1474" s="7"/>
      <c r="F1474" s="6"/>
      <c r="G1474" s="7"/>
      <c r="H1474" s="2"/>
      <c r="I1474" s="2"/>
      <c r="J1474" s="2"/>
      <c r="K1474" s="2"/>
      <c r="L1474" s="178"/>
      <c r="M1474" s="2"/>
      <c r="N1474" s="7"/>
      <c r="P1474" s="7"/>
      <c r="R1474" s="2"/>
      <c r="S1474" s="2"/>
      <c r="T1474" s="2"/>
      <c r="U1474" s="2"/>
      <c r="V1474" s="2"/>
      <c r="X1474" s="38"/>
      <c r="Y1474" s="38"/>
      <c r="Z1474" s="38"/>
      <c r="AA1474" s="38"/>
      <c r="AB1474" s="38"/>
      <c r="AD1474" s="2"/>
      <c r="AE1474" s="2"/>
      <c r="AF1474" s="2"/>
      <c r="AG1474" s="2"/>
      <c r="AH1474" s="2"/>
      <c r="AJ1474" s="215"/>
      <c r="AK1474" s="215"/>
      <c r="AL1474" s="215"/>
      <c r="AM1474" s="215"/>
      <c r="AO1474" s="10"/>
      <c r="AP1474" s="10"/>
      <c r="AQ1474" s="10"/>
      <c r="AR1474" s="10"/>
      <c r="AS1474" s="10"/>
      <c r="AU1474" s="2"/>
      <c r="AV1474" s="2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</row>
    <row r="1475" spans="1:73" customFormat="1" ht="12.75" hidden="1" customHeight="1" x14ac:dyDescent="0.2">
      <c r="A1475" s="1"/>
      <c r="B1475" s="1"/>
      <c r="C1475" s="1"/>
      <c r="D1475" s="7"/>
      <c r="E1475" s="7"/>
      <c r="F1475" s="6"/>
      <c r="G1475" s="7"/>
      <c r="H1475" s="2"/>
      <c r="I1475" s="2"/>
      <c r="J1475" s="2"/>
      <c r="K1475" s="2"/>
      <c r="L1475" s="178"/>
      <c r="M1475" s="2"/>
      <c r="N1475" s="7"/>
      <c r="P1475" s="7"/>
      <c r="R1475" s="2"/>
      <c r="S1475" s="2"/>
      <c r="T1475" s="2"/>
      <c r="U1475" s="2"/>
      <c r="V1475" s="2"/>
      <c r="X1475" s="38"/>
      <c r="Y1475" s="38"/>
      <c r="Z1475" s="38"/>
      <c r="AA1475" s="38"/>
      <c r="AB1475" s="38"/>
      <c r="AD1475" s="2"/>
      <c r="AE1475" s="2"/>
      <c r="AF1475" s="2"/>
      <c r="AG1475" s="2"/>
      <c r="AH1475" s="2"/>
      <c r="AJ1475" s="215"/>
      <c r="AK1475" s="215"/>
      <c r="AL1475" s="215"/>
      <c r="AM1475" s="215"/>
      <c r="AO1475" s="10"/>
      <c r="AP1475" s="10"/>
      <c r="AQ1475" s="10"/>
      <c r="AR1475" s="10"/>
      <c r="AS1475" s="10"/>
      <c r="AU1475" s="2"/>
      <c r="AV1475" s="2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</row>
    <row r="1476" spans="1:73" customFormat="1" ht="12.75" hidden="1" customHeight="1" x14ac:dyDescent="0.2">
      <c r="A1476" s="1"/>
      <c r="B1476" s="1"/>
      <c r="C1476" s="1"/>
      <c r="D1476" s="7"/>
      <c r="E1476" s="7"/>
      <c r="F1476" s="6"/>
      <c r="G1476" s="7"/>
      <c r="H1476" s="2"/>
      <c r="I1476" s="2"/>
      <c r="J1476" s="2"/>
      <c r="K1476" s="2"/>
      <c r="L1476" s="178"/>
      <c r="M1476" s="2"/>
      <c r="N1476" s="7"/>
      <c r="P1476" s="7"/>
      <c r="R1476" s="2"/>
      <c r="S1476" s="2"/>
      <c r="T1476" s="2"/>
      <c r="U1476" s="2"/>
      <c r="V1476" s="2"/>
      <c r="X1476" s="38"/>
      <c r="Y1476" s="38"/>
      <c r="Z1476" s="38"/>
      <c r="AA1476" s="38"/>
      <c r="AB1476" s="38"/>
      <c r="AD1476" s="2"/>
      <c r="AE1476" s="2"/>
      <c r="AF1476" s="2"/>
      <c r="AG1476" s="2"/>
      <c r="AH1476" s="2"/>
      <c r="AJ1476" s="215"/>
      <c r="AK1476" s="215"/>
      <c r="AL1476" s="215"/>
      <c r="AM1476" s="215"/>
      <c r="AO1476" s="10"/>
      <c r="AP1476" s="10"/>
      <c r="AQ1476" s="10"/>
      <c r="AR1476" s="10"/>
      <c r="AS1476" s="10"/>
      <c r="AU1476" s="2"/>
      <c r="AV1476" s="2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</row>
    <row r="1477" spans="1:73" customFormat="1" ht="12.75" hidden="1" customHeight="1" x14ac:dyDescent="0.2">
      <c r="A1477" s="1"/>
      <c r="B1477" s="1"/>
      <c r="C1477" s="1"/>
      <c r="D1477" s="7"/>
      <c r="E1477" s="7"/>
      <c r="F1477" s="6"/>
      <c r="G1477" s="7"/>
      <c r="H1477" s="2"/>
      <c r="I1477" s="2"/>
      <c r="J1477" s="2"/>
      <c r="K1477" s="2"/>
      <c r="L1477" s="178"/>
      <c r="M1477" s="2"/>
      <c r="N1477" s="7"/>
      <c r="P1477" s="7"/>
      <c r="R1477" s="2"/>
      <c r="S1477" s="2"/>
      <c r="T1477" s="2"/>
      <c r="U1477" s="2"/>
      <c r="V1477" s="2"/>
      <c r="X1477" s="38"/>
      <c r="Y1477" s="38"/>
      <c r="Z1477" s="38"/>
      <c r="AA1477" s="38"/>
      <c r="AB1477" s="38"/>
      <c r="AD1477" s="2"/>
      <c r="AE1477" s="2"/>
      <c r="AF1477" s="2"/>
      <c r="AG1477" s="2"/>
      <c r="AH1477" s="2"/>
      <c r="AJ1477" s="215"/>
      <c r="AK1477" s="215"/>
      <c r="AL1477" s="215"/>
      <c r="AM1477" s="215"/>
      <c r="AO1477" s="10"/>
      <c r="AP1477" s="10"/>
      <c r="AQ1477" s="10"/>
      <c r="AR1477" s="10"/>
      <c r="AS1477" s="10"/>
      <c r="AU1477" s="2"/>
      <c r="AV1477" s="2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</row>
    <row r="1478" spans="1:73" customFormat="1" ht="12.75" hidden="1" customHeight="1" x14ac:dyDescent="0.2">
      <c r="A1478" s="1"/>
      <c r="B1478" s="1"/>
      <c r="C1478" s="1"/>
      <c r="D1478" s="7"/>
      <c r="E1478" s="7"/>
      <c r="F1478" s="6"/>
      <c r="G1478" s="7"/>
      <c r="H1478" s="2"/>
      <c r="I1478" s="2"/>
      <c r="J1478" s="2"/>
      <c r="K1478" s="2"/>
      <c r="L1478" s="178"/>
      <c r="M1478" s="2"/>
      <c r="N1478" s="7"/>
      <c r="P1478" s="7"/>
      <c r="R1478" s="2"/>
      <c r="S1478" s="2"/>
      <c r="T1478" s="2"/>
      <c r="U1478" s="2"/>
      <c r="V1478" s="2"/>
      <c r="X1478" s="38"/>
      <c r="Y1478" s="38"/>
      <c r="Z1478" s="38"/>
      <c r="AA1478" s="38"/>
      <c r="AB1478" s="38"/>
      <c r="AD1478" s="2"/>
      <c r="AE1478" s="2"/>
      <c r="AF1478" s="2"/>
      <c r="AG1478" s="2"/>
      <c r="AH1478" s="2"/>
      <c r="AJ1478" s="215"/>
      <c r="AK1478" s="215"/>
      <c r="AL1478" s="215"/>
      <c r="AM1478" s="215"/>
      <c r="AO1478" s="10"/>
      <c r="AP1478" s="10"/>
      <c r="AQ1478" s="10"/>
      <c r="AR1478" s="10"/>
      <c r="AS1478" s="10"/>
      <c r="AU1478" s="2"/>
      <c r="AV1478" s="2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</row>
    <row r="1479" spans="1:73" customFormat="1" ht="12.75" hidden="1" customHeight="1" x14ac:dyDescent="0.2">
      <c r="A1479" s="1"/>
      <c r="B1479" s="1"/>
      <c r="C1479" s="1"/>
      <c r="D1479" s="7"/>
      <c r="E1479" s="7"/>
      <c r="F1479" s="6"/>
      <c r="G1479" s="7"/>
      <c r="H1479" s="2"/>
      <c r="I1479" s="2"/>
      <c r="J1479" s="2"/>
      <c r="K1479" s="2"/>
      <c r="L1479" s="178"/>
      <c r="M1479" s="2"/>
      <c r="N1479" s="7"/>
      <c r="P1479" s="7"/>
      <c r="R1479" s="2"/>
      <c r="S1479" s="2"/>
      <c r="T1479" s="2"/>
      <c r="U1479" s="2"/>
      <c r="V1479" s="2"/>
      <c r="X1479" s="38"/>
      <c r="Y1479" s="38"/>
      <c r="Z1479" s="38"/>
      <c r="AA1479" s="38"/>
      <c r="AB1479" s="38"/>
      <c r="AD1479" s="2"/>
      <c r="AE1479" s="2"/>
      <c r="AF1479" s="2"/>
      <c r="AG1479" s="2"/>
      <c r="AH1479" s="2"/>
      <c r="AJ1479" s="215"/>
      <c r="AK1479" s="215"/>
      <c r="AL1479" s="215"/>
      <c r="AM1479" s="215"/>
      <c r="AO1479" s="10"/>
      <c r="AP1479" s="10"/>
      <c r="AQ1479" s="10"/>
      <c r="AR1479" s="10"/>
      <c r="AS1479" s="10"/>
      <c r="AU1479" s="2"/>
      <c r="AV1479" s="2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</row>
    <row r="1480" spans="1:73" customFormat="1" ht="12.75" hidden="1" customHeight="1" x14ac:dyDescent="0.2">
      <c r="A1480" s="1"/>
      <c r="B1480" s="1"/>
      <c r="C1480" s="1"/>
      <c r="D1480" s="7"/>
      <c r="E1480" s="7"/>
      <c r="F1480" s="6"/>
      <c r="G1480" s="7"/>
      <c r="H1480" s="2"/>
      <c r="I1480" s="2"/>
      <c r="J1480" s="2"/>
      <c r="K1480" s="2"/>
      <c r="L1480" s="178"/>
      <c r="M1480" s="2"/>
      <c r="N1480" s="7"/>
      <c r="P1480" s="7"/>
      <c r="R1480" s="2"/>
      <c r="S1480" s="2"/>
      <c r="T1480" s="2"/>
      <c r="U1480" s="2"/>
      <c r="V1480" s="2"/>
      <c r="X1480" s="38"/>
      <c r="Y1480" s="38"/>
      <c r="Z1480" s="38"/>
      <c r="AA1480" s="38"/>
      <c r="AB1480" s="38"/>
      <c r="AD1480" s="2"/>
      <c r="AE1480" s="2"/>
      <c r="AF1480" s="2"/>
      <c r="AG1480" s="2"/>
      <c r="AH1480" s="2"/>
      <c r="AJ1480" s="215"/>
      <c r="AK1480" s="215"/>
      <c r="AL1480" s="215"/>
      <c r="AM1480" s="215"/>
      <c r="AO1480" s="10"/>
      <c r="AP1480" s="10"/>
      <c r="AQ1480" s="10"/>
      <c r="AR1480" s="10"/>
      <c r="AS1480" s="10"/>
      <c r="AU1480" s="2"/>
      <c r="AV1480" s="2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</row>
    <row r="1481" spans="1:73" customFormat="1" ht="12.75" hidden="1" customHeight="1" x14ac:dyDescent="0.2">
      <c r="A1481" s="1"/>
      <c r="B1481" s="1"/>
      <c r="C1481" s="1"/>
      <c r="D1481" s="7"/>
      <c r="E1481" s="7"/>
      <c r="F1481" s="6"/>
      <c r="G1481" s="7"/>
      <c r="H1481" s="2"/>
      <c r="I1481" s="2"/>
      <c r="J1481" s="2"/>
      <c r="K1481" s="2"/>
      <c r="L1481" s="178"/>
      <c r="M1481" s="2"/>
      <c r="N1481" s="7"/>
      <c r="P1481" s="7"/>
      <c r="R1481" s="2"/>
      <c r="S1481" s="2"/>
      <c r="T1481" s="2"/>
      <c r="U1481" s="2"/>
      <c r="V1481" s="2"/>
      <c r="X1481" s="38"/>
      <c r="Y1481" s="38"/>
      <c r="Z1481" s="38"/>
      <c r="AA1481" s="38"/>
      <c r="AB1481" s="38"/>
      <c r="AD1481" s="2"/>
      <c r="AE1481" s="2"/>
      <c r="AF1481" s="2"/>
      <c r="AG1481" s="2"/>
      <c r="AH1481" s="2"/>
      <c r="AJ1481" s="215"/>
      <c r="AK1481" s="215"/>
      <c r="AL1481" s="215"/>
      <c r="AM1481" s="215"/>
      <c r="AO1481" s="10"/>
      <c r="AP1481" s="10"/>
      <c r="AQ1481" s="10"/>
      <c r="AR1481" s="10"/>
      <c r="AS1481" s="10"/>
      <c r="AU1481" s="2"/>
      <c r="AV1481" s="2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</row>
    <row r="1482" spans="1:73" customFormat="1" ht="12.75" hidden="1" customHeight="1" x14ac:dyDescent="0.2">
      <c r="A1482" s="1"/>
      <c r="B1482" s="1"/>
      <c r="C1482" s="1"/>
      <c r="D1482" s="7"/>
      <c r="E1482" s="7"/>
      <c r="F1482" s="6"/>
      <c r="G1482" s="7"/>
      <c r="H1482" s="2"/>
      <c r="I1482" s="2"/>
      <c r="J1482" s="2"/>
      <c r="K1482" s="2"/>
      <c r="L1482" s="178"/>
      <c r="M1482" s="2"/>
      <c r="N1482" s="7"/>
      <c r="P1482" s="7"/>
      <c r="R1482" s="2"/>
      <c r="S1482" s="2"/>
      <c r="T1482" s="2"/>
      <c r="U1482" s="2"/>
      <c r="V1482" s="2"/>
      <c r="X1482" s="38"/>
      <c r="Y1482" s="38"/>
      <c r="Z1482" s="38"/>
      <c r="AA1482" s="38"/>
      <c r="AB1482" s="38"/>
      <c r="AD1482" s="2"/>
      <c r="AE1482" s="2"/>
      <c r="AF1482" s="2"/>
      <c r="AG1482" s="2"/>
      <c r="AH1482" s="2"/>
      <c r="AJ1482" s="215"/>
      <c r="AK1482" s="215"/>
      <c r="AL1482" s="215"/>
      <c r="AM1482" s="215"/>
      <c r="AO1482" s="10"/>
      <c r="AP1482" s="10"/>
      <c r="AQ1482" s="10"/>
      <c r="AR1482" s="10"/>
      <c r="AS1482" s="10"/>
      <c r="AU1482" s="2"/>
      <c r="AV1482" s="2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</row>
    <row r="1483" spans="1:73" customFormat="1" ht="12.75" hidden="1" customHeight="1" x14ac:dyDescent="0.2">
      <c r="A1483" s="1"/>
      <c r="B1483" s="1"/>
      <c r="C1483" s="1"/>
      <c r="D1483" s="7"/>
      <c r="E1483" s="7"/>
      <c r="F1483" s="6"/>
      <c r="G1483" s="7"/>
      <c r="H1483" s="2"/>
      <c r="I1483" s="2"/>
      <c r="J1483" s="2"/>
      <c r="K1483" s="2"/>
      <c r="L1483" s="178"/>
      <c r="M1483" s="2"/>
      <c r="N1483" s="7"/>
      <c r="P1483" s="7"/>
      <c r="R1483" s="2"/>
      <c r="S1483" s="2"/>
      <c r="T1483" s="2"/>
      <c r="U1483" s="2"/>
      <c r="V1483" s="2"/>
      <c r="X1483" s="38"/>
      <c r="Y1483" s="38"/>
      <c r="Z1483" s="38"/>
      <c r="AA1483" s="38"/>
      <c r="AB1483" s="38"/>
      <c r="AD1483" s="2"/>
      <c r="AE1483" s="2"/>
      <c r="AF1483" s="2"/>
      <c r="AG1483" s="2"/>
      <c r="AH1483" s="2"/>
      <c r="AJ1483" s="215"/>
      <c r="AK1483" s="215"/>
      <c r="AL1483" s="215"/>
      <c r="AM1483" s="215"/>
      <c r="AO1483" s="10"/>
      <c r="AP1483" s="10"/>
      <c r="AQ1483" s="10"/>
      <c r="AR1483" s="10"/>
      <c r="AS1483" s="10"/>
      <c r="AU1483" s="2"/>
      <c r="AV1483" s="2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</row>
    <row r="1484" spans="1:73" customFormat="1" ht="12.75" hidden="1" customHeight="1" x14ac:dyDescent="0.2">
      <c r="A1484" s="1"/>
      <c r="B1484" s="1"/>
      <c r="C1484" s="1"/>
      <c r="D1484" s="7"/>
      <c r="E1484" s="7"/>
      <c r="F1484" s="6"/>
      <c r="G1484" s="7"/>
      <c r="H1484" s="2"/>
      <c r="I1484" s="2"/>
      <c r="J1484" s="2"/>
      <c r="K1484" s="2"/>
      <c r="L1484" s="178"/>
      <c r="M1484" s="2"/>
      <c r="N1484" s="7"/>
      <c r="P1484" s="7"/>
      <c r="R1484" s="2"/>
      <c r="S1484" s="2"/>
      <c r="T1484" s="2"/>
      <c r="U1484" s="2"/>
      <c r="V1484" s="2"/>
      <c r="X1484" s="38"/>
      <c r="Y1484" s="38"/>
      <c r="Z1484" s="38"/>
      <c r="AA1484" s="38"/>
      <c r="AB1484" s="38"/>
      <c r="AD1484" s="2"/>
      <c r="AE1484" s="2"/>
      <c r="AF1484" s="2"/>
      <c r="AG1484" s="2"/>
      <c r="AH1484" s="2"/>
      <c r="AJ1484" s="215"/>
      <c r="AK1484" s="215"/>
      <c r="AL1484" s="215"/>
      <c r="AM1484" s="215"/>
      <c r="AO1484" s="10"/>
      <c r="AP1484" s="10"/>
      <c r="AQ1484" s="10"/>
      <c r="AR1484" s="10"/>
      <c r="AS1484" s="10"/>
      <c r="AU1484" s="2"/>
      <c r="AV1484" s="2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</row>
    <row r="1485" spans="1:73" customFormat="1" ht="12.75" hidden="1" customHeight="1" x14ac:dyDescent="0.2">
      <c r="A1485" s="1"/>
      <c r="B1485" s="1"/>
      <c r="C1485" s="1"/>
      <c r="D1485" s="7"/>
      <c r="E1485" s="7"/>
      <c r="F1485" s="6"/>
      <c r="G1485" s="7"/>
      <c r="H1485" s="2"/>
      <c r="I1485" s="2"/>
      <c r="J1485" s="2"/>
      <c r="K1485" s="2"/>
      <c r="L1485" s="178"/>
      <c r="M1485" s="2"/>
      <c r="N1485" s="7"/>
      <c r="P1485" s="7"/>
      <c r="R1485" s="2"/>
      <c r="S1485" s="2"/>
      <c r="T1485" s="2"/>
      <c r="U1485" s="2"/>
      <c r="V1485" s="2"/>
      <c r="X1485" s="38"/>
      <c r="Y1485" s="38"/>
      <c r="Z1485" s="38"/>
      <c r="AA1485" s="38"/>
      <c r="AB1485" s="38"/>
      <c r="AD1485" s="2"/>
      <c r="AE1485" s="2"/>
      <c r="AF1485" s="2"/>
      <c r="AG1485" s="2"/>
      <c r="AH1485" s="2"/>
      <c r="AJ1485" s="215"/>
      <c r="AK1485" s="215"/>
      <c r="AL1485" s="215"/>
      <c r="AM1485" s="215"/>
      <c r="AO1485" s="10"/>
      <c r="AP1485" s="10"/>
      <c r="AQ1485" s="10"/>
      <c r="AR1485" s="10"/>
      <c r="AS1485" s="10"/>
      <c r="AU1485" s="2"/>
      <c r="AV1485" s="2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</row>
    <row r="1486" spans="1:73" customFormat="1" ht="12.75" hidden="1" customHeight="1" x14ac:dyDescent="0.2">
      <c r="A1486" s="1"/>
      <c r="B1486" s="1"/>
      <c r="C1486" s="1"/>
      <c r="D1486" s="7"/>
      <c r="E1486" s="7"/>
      <c r="F1486" s="6"/>
      <c r="G1486" s="7"/>
      <c r="H1486" s="2"/>
      <c r="I1486" s="2"/>
      <c r="J1486" s="2"/>
      <c r="K1486" s="2"/>
      <c r="L1486" s="178"/>
      <c r="M1486" s="2"/>
      <c r="N1486" s="7"/>
      <c r="P1486" s="7"/>
      <c r="R1486" s="2"/>
      <c r="S1486" s="2"/>
      <c r="T1486" s="2"/>
      <c r="U1486" s="2"/>
      <c r="V1486" s="2"/>
      <c r="X1486" s="38"/>
      <c r="Y1486" s="38"/>
      <c r="Z1486" s="38"/>
      <c r="AA1486" s="38"/>
      <c r="AB1486" s="38"/>
      <c r="AD1486" s="2"/>
      <c r="AE1486" s="2"/>
      <c r="AF1486" s="2"/>
      <c r="AG1486" s="2"/>
      <c r="AH1486" s="2"/>
      <c r="AJ1486" s="215"/>
      <c r="AK1486" s="215"/>
      <c r="AL1486" s="215"/>
      <c r="AM1486" s="215"/>
      <c r="AO1486" s="10"/>
      <c r="AP1486" s="10"/>
      <c r="AQ1486" s="10"/>
      <c r="AR1486" s="10"/>
      <c r="AS1486" s="10"/>
      <c r="AU1486" s="2"/>
      <c r="AV1486" s="2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</row>
    <row r="1487" spans="1:73" customFormat="1" ht="12.75" hidden="1" customHeight="1" x14ac:dyDescent="0.2">
      <c r="A1487" s="1"/>
      <c r="B1487" s="1"/>
      <c r="C1487" s="1"/>
      <c r="D1487" s="7"/>
      <c r="E1487" s="7"/>
      <c r="F1487" s="6"/>
      <c r="G1487" s="7"/>
      <c r="H1487" s="2"/>
      <c r="I1487" s="2"/>
      <c r="J1487" s="2"/>
      <c r="K1487" s="2"/>
      <c r="L1487" s="178"/>
      <c r="M1487" s="2"/>
      <c r="N1487" s="7"/>
      <c r="P1487" s="7"/>
      <c r="R1487" s="2"/>
      <c r="S1487" s="2"/>
      <c r="T1487" s="2"/>
      <c r="U1487" s="2"/>
      <c r="V1487" s="2"/>
      <c r="X1487" s="38"/>
      <c r="Y1487" s="38"/>
      <c r="Z1487" s="38"/>
      <c r="AA1487" s="38"/>
      <c r="AB1487" s="38"/>
      <c r="AD1487" s="2"/>
      <c r="AE1487" s="2"/>
      <c r="AF1487" s="2"/>
      <c r="AG1487" s="2"/>
      <c r="AH1487" s="2"/>
      <c r="AJ1487" s="215"/>
      <c r="AK1487" s="215"/>
      <c r="AL1487" s="215"/>
      <c r="AM1487" s="215"/>
      <c r="AO1487" s="10"/>
      <c r="AP1487" s="10"/>
      <c r="AQ1487" s="10"/>
      <c r="AR1487" s="10"/>
      <c r="AS1487" s="10"/>
      <c r="AU1487" s="2"/>
      <c r="AV1487" s="2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</row>
    <row r="1488" spans="1:73" customFormat="1" ht="12.75" hidden="1" customHeight="1" x14ac:dyDescent="0.2">
      <c r="A1488" s="1"/>
      <c r="B1488" s="1"/>
      <c r="C1488" s="1"/>
      <c r="D1488" s="7"/>
      <c r="E1488" s="7"/>
      <c r="F1488" s="6"/>
      <c r="G1488" s="7"/>
      <c r="H1488" s="2"/>
      <c r="I1488" s="2"/>
      <c r="J1488" s="2"/>
      <c r="K1488" s="2"/>
      <c r="L1488" s="178"/>
      <c r="M1488" s="2"/>
      <c r="N1488" s="7"/>
      <c r="P1488" s="7"/>
      <c r="R1488" s="2"/>
      <c r="S1488" s="2"/>
      <c r="T1488" s="2"/>
      <c r="U1488" s="2"/>
      <c r="V1488" s="2"/>
      <c r="X1488" s="38"/>
      <c r="Y1488" s="38"/>
      <c r="Z1488" s="38"/>
      <c r="AA1488" s="38"/>
      <c r="AB1488" s="38"/>
      <c r="AD1488" s="2"/>
      <c r="AE1488" s="2"/>
      <c r="AF1488" s="2"/>
      <c r="AG1488" s="2"/>
      <c r="AH1488" s="2"/>
      <c r="AJ1488" s="215"/>
      <c r="AK1488" s="215"/>
      <c r="AL1488" s="215"/>
      <c r="AM1488" s="215"/>
      <c r="AO1488" s="10"/>
      <c r="AP1488" s="10"/>
      <c r="AQ1488" s="10"/>
      <c r="AR1488" s="10"/>
      <c r="AS1488" s="10"/>
      <c r="AU1488" s="2"/>
      <c r="AV1488" s="2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</row>
    <row r="1489" spans="1:73" customFormat="1" ht="12.75" hidden="1" customHeight="1" x14ac:dyDescent="0.2">
      <c r="A1489" s="1"/>
      <c r="B1489" s="1"/>
      <c r="C1489" s="1"/>
      <c r="D1489" s="7"/>
      <c r="E1489" s="7"/>
      <c r="F1489" s="6"/>
      <c r="G1489" s="7"/>
      <c r="H1489" s="2"/>
      <c r="I1489" s="2"/>
      <c r="J1489" s="2"/>
      <c r="K1489" s="2"/>
      <c r="L1489" s="178"/>
      <c r="M1489" s="2"/>
      <c r="N1489" s="7"/>
      <c r="P1489" s="7"/>
      <c r="R1489" s="2"/>
      <c r="S1489" s="2"/>
      <c r="T1489" s="2"/>
      <c r="U1489" s="2"/>
      <c r="V1489" s="2"/>
      <c r="X1489" s="38"/>
      <c r="Y1489" s="38"/>
      <c r="Z1489" s="38"/>
      <c r="AA1489" s="38"/>
      <c r="AB1489" s="38"/>
      <c r="AD1489" s="2"/>
      <c r="AE1489" s="2"/>
      <c r="AF1489" s="2"/>
      <c r="AG1489" s="2"/>
      <c r="AH1489" s="2"/>
      <c r="AJ1489" s="215"/>
      <c r="AK1489" s="215"/>
      <c r="AL1489" s="215"/>
      <c r="AM1489" s="215"/>
      <c r="AO1489" s="10"/>
      <c r="AP1489" s="10"/>
      <c r="AQ1489" s="10"/>
      <c r="AR1489" s="10"/>
      <c r="AS1489" s="10"/>
      <c r="AU1489" s="2"/>
      <c r="AV1489" s="2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</row>
    <row r="1490" spans="1:73" customFormat="1" ht="12.75" hidden="1" customHeight="1" x14ac:dyDescent="0.2">
      <c r="A1490" s="1"/>
      <c r="B1490" s="1"/>
      <c r="C1490" s="1"/>
      <c r="D1490" s="7"/>
      <c r="E1490" s="7"/>
      <c r="F1490" s="6"/>
      <c r="G1490" s="7"/>
      <c r="H1490" s="2"/>
      <c r="I1490" s="2"/>
      <c r="J1490" s="2"/>
      <c r="K1490" s="2"/>
      <c r="L1490" s="178"/>
      <c r="M1490" s="2"/>
      <c r="N1490" s="7"/>
      <c r="P1490" s="7"/>
      <c r="R1490" s="2"/>
      <c r="S1490" s="2"/>
      <c r="T1490" s="2"/>
      <c r="U1490" s="2"/>
      <c r="V1490" s="2"/>
      <c r="X1490" s="38"/>
      <c r="Y1490" s="38"/>
      <c r="Z1490" s="38"/>
      <c r="AA1490" s="38"/>
      <c r="AB1490" s="38"/>
      <c r="AD1490" s="2"/>
      <c r="AE1490" s="2"/>
      <c r="AF1490" s="2"/>
      <c r="AG1490" s="2"/>
      <c r="AH1490" s="2"/>
      <c r="AJ1490" s="215"/>
      <c r="AK1490" s="215"/>
      <c r="AL1490" s="215"/>
      <c r="AM1490" s="215"/>
      <c r="AO1490" s="10"/>
      <c r="AP1490" s="10"/>
      <c r="AQ1490" s="10"/>
      <c r="AR1490" s="10"/>
      <c r="AS1490" s="10"/>
      <c r="AU1490" s="2"/>
      <c r="AV1490" s="2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</row>
    <row r="1491" spans="1:73" customFormat="1" ht="12.75" hidden="1" customHeight="1" x14ac:dyDescent="0.2">
      <c r="A1491" s="1"/>
      <c r="B1491" s="1"/>
      <c r="C1491" s="1"/>
      <c r="D1491" s="7"/>
      <c r="E1491" s="7"/>
      <c r="F1491" s="6"/>
      <c r="G1491" s="7"/>
      <c r="H1491" s="2"/>
      <c r="I1491" s="2"/>
      <c r="J1491" s="2"/>
      <c r="K1491" s="2"/>
      <c r="L1491" s="178"/>
      <c r="M1491" s="2"/>
      <c r="N1491" s="7"/>
      <c r="P1491" s="7"/>
      <c r="R1491" s="2"/>
      <c r="S1491" s="2"/>
      <c r="T1491" s="2"/>
      <c r="U1491" s="2"/>
      <c r="V1491" s="2"/>
      <c r="X1491" s="38"/>
      <c r="Y1491" s="38"/>
      <c r="Z1491" s="38"/>
      <c r="AA1491" s="38"/>
      <c r="AB1491" s="38"/>
      <c r="AD1491" s="2"/>
      <c r="AE1491" s="2"/>
      <c r="AF1491" s="2"/>
      <c r="AG1491" s="2"/>
      <c r="AH1491" s="2"/>
      <c r="AJ1491" s="215"/>
      <c r="AK1491" s="215"/>
      <c r="AL1491" s="215"/>
      <c r="AM1491" s="215"/>
      <c r="AO1491" s="10"/>
      <c r="AP1491" s="10"/>
      <c r="AQ1491" s="10"/>
      <c r="AR1491" s="10"/>
      <c r="AS1491" s="10"/>
      <c r="AU1491" s="2"/>
      <c r="AV1491" s="2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</row>
    <row r="1492" spans="1:73" customFormat="1" ht="12.75" hidden="1" customHeight="1" x14ac:dyDescent="0.2">
      <c r="A1492" s="1"/>
      <c r="B1492" s="1"/>
      <c r="C1492" s="1"/>
      <c r="D1492" s="7"/>
      <c r="E1492" s="7"/>
      <c r="F1492" s="6"/>
      <c r="G1492" s="7"/>
      <c r="H1492" s="2"/>
      <c r="I1492" s="2"/>
      <c r="J1492" s="2"/>
      <c r="K1492" s="2"/>
      <c r="L1492" s="178"/>
      <c r="M1492" s="2"/>
      <c r="N1492" s="7"/>
      <c r="P1492" s="7"/>
      <c r="R1492" s="2"/>
      <c r="S1492" s="2"/>
      <c r="T1492" s="2"/>
      <c r="U1492" s="2"/>
      <c r="V1492" s="2"/>
      <c r="X1492" s="38"/>
      <c r="Y1492" s="38"/>
      <c r="Z1492" s="38"/>
      <c r="AA1492" s="38"/>
      <c r="AB1492" s="38"/>
      <c r="AD1492" s="2"/>
      <c r="AE1492" s="2"/>
      <c r="AF1492" s="2"/>
      <c r="AG1492" s="2"/>
      <c r="AH1492" s="2"/>
      <c r="AJ1492" s="215"/>
      <c r="AK1492" s="215"/>
      <c r="AL1492" s="215"/>
      <c r="AM1492" s="215"/>
      <c r="AO1492" s="10"/>
      <c r="AP1492" s="10"/>
      <c r="AQ1492" s="10"/>
      <c r="AR1492" s="10"/>
      <c r="AS1492" s="10"/>
      <c r="AU1492" s="2"/>
      <c r="AV1492" s="2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</row>
    <row r="1493" spans="1:73" customFormat="1" ht="12.75" hidden="1" customHeight="1" x14ac:dyDescent="0.2">
      <c r="A1493" s="1"/>
      <c r="B1493" s="1"/>
      <c r="C1493" s="1"/>
      <c r="D1493" s="7"/>
      <c r="E1493" s="7"/>
      <c r="F1493" s="6"/>
      <c r="G1493" s="7"/>
      <c r="H1493" s="2"/>
      <c r="I1493" s="2"/>
      <c r="J1493" s="2"/>
      <c r="K1493" s="2"/>
      <c r="L1493" s="178"/>
      <c r="M1493" s="2"/>
      <c r="N1493" s="7"/>
      <c r="P1493" s="7"/>
      <c r="R1493" s="2"/>
      <c r="S1493" s="2"/>
      <c r="T1493" s="2"/>
      <c r="U1493" s="2"/>
      <c r="V1493" s="2"/>
      <c r="X1493" s="38"/>
      <c r="Y1493" s="38"/>
      <c r="Z1493" s="38"/>
      <c r="AA1493" s="38"/>
      <c r="AB1493" s="38"/>
      <c r="AD1493" s="2"/>
      <c r="AE1493" s="2"/>
      <c r="AF1493" s="2"/>
      <c r="AG1493" s="2"/>
      <c r="AH1493" s="2"/>
      <c r="AJ1493" s="215"/>
      <c r="AK1493" s="215"/>
      <c r="AL1493" s="215"/>
      <c r="AM1493" s="215"/>
      <c r="AO1493" s="10"/>
      <c r="AP1493" s="10"/>
      <c r="AQ1493" s="10"/>
      <c r="AR1493" s="10"/>
      <c r="AS1493" s="10"/>
      <c r="AU1493" s="2"/>
      <c r="AV1493" s="2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</row>
    <row r="1494" spans="1:73" customFormat="1" ht="12.75" hidden="1" customHeight="1" x14ac:dyDescent="0.2">
      <c r="A1494" s="1"/>
      <c r="B1494" s="1"/>
      <c r="C1494" s="1"/>
      <c r="D1494" s="7"/>
      <c r="E1494" s="7"/>
      <c r="F1494" s="6"/>
      <c r="G1494" s="7"/>
      <c r="H1494" s="2"/>
      <c r="I1494" s="2"/>
      <c r="J1494" s="2"/>
      <c r="K1494" s="2"/>
      <c r="L1494" s="178"/>
      <c r="M1494" s="2"/>
      <c r="N1494" s="7"/>
      <c r="P1494" s="7"/>
      <c r="R1494" s="2"/>
      <c r="S1494" s="2"/>
      <c r="T1494" s="2"/>
      <c r="U1494" s="2"/>
      <c r="V1494" s="2"/>
      <c r="X1494" s="38"/>
      <c r="Y1494" s="38"/>
      <c r="Z1494" s="38"/>
      <c r="AA1494" s="38"/>
      <c r="AB1494" s="38"/>
      <c r="AD1494" s="2"/>
      <c r="AE1494" s="2"/>
      <c r="AF1494" s="2"/>
      <c r="AG1494" s="2"/>
      <c r="AH1494" s="2"/>
      <c r="AJ1494" s="215"/>
      <c r="AK1494" s="215"/>
      <c r="AL1494" s="215"/>
      <c r="AM1494" s="215"/>
      <c r="AO1494" s="10"/>
      <c r="AP1494" s="10"/>
      <c r="AQ1494" s="10"/>
      <c r="AR1494" s="10"/>
      <c r="AS1494" s="10"/>
      <c r="AU1494" s="2"/>
      <c r="AV1494" s="2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</row>
    <row r="1495" spans="1:73" customFormat="1" ht="12.75" hidden="1" customHeight="1" x14ac:dyDescent="0.2">
      <c r="A1495" s="1"/>
      <c r="B1495" s="1"/>
      <c r="C1495" s="1"/>
      <c r="D1495" s="7"/>
      <c r="E1495" s="7"/>
      <c r="F1495" s="6"/>
      <c r="G1495" s="7"/>
      <c r="H1495" s="2"/>
      <c r="I1495" s="2"/>
      <c r="J1495" s="2"/>
      <c r="K1495" s="2"/>
      <c r="L1495" s="178"/>
      <c r="M1495" s="2"/>
      <c r="N1495" s="7"/>
      <c r="P1495" s="7"/>
      <c r="R1495" s="2"/>
      <c r="S1495" s="2"/>
      <c r="T1495" s="2"/>
      <c r="U1495" s="2"/>
      <c r="V1495" s="2"/>
      <c r="X1495" s="38"/>
      <c r="Y1495" s="38"/>
      <c r="Z1495" s="38"/>
      <c r="AA1495" s="38"/>
      <c r="AB1495" s="38"/>
      <c r="AD1495" s="2"/>
      <c r="AE1495" s="2"/>
      <c r="AF1495" s="2"/>
      <c r="AG1495" s="2"/>
      <c r="AH1495" s="2"/>
      <c r="AJ1495" s="215"/>
      <c r="AK1495" s="215"/>
      <c r="AL1495" s="215"/>
      <c r="AM1495" s="215"/>
      <c r="AO1495" s="10"/>
      <c r="AP1495" s="10"/>
      <c r="AQ1495" s="10"/>
      <c r="AR1495" s="10"/>
      <c r="AS1495" s="10"/>
      <c r="AU1495" s="2"/>
      <c r="AV1495" s="2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</row>
    <row r="1496" spans="1:73" customFormat="1" ht="12.75" hidden="1" customHeight="1" x14ac:dyDescent="0.2">
      <c r="A1496" s="1"/>
      <c r="B1496" s="1"/>
      <c r="C1496" s="1"/>
      <c r="D1496" s="7"/>
      <c r="E1496" s="7"/>
      <c r="F1496" s="6"/>
      <c r="G1496" s="7"/>
      <c r="H1496" s="2"/>
      <c r="I1496" s="2"/>
      <c r="J1496" s="2"/>
      <c r="K1496" s="2"/>
      <c r="L1496" s="178"/>
      <c r="M1496" s="2"/>
      <c r="N1496" s="7"/>
      <c r="P1496" s="7"/>
      <c r="R1496" s="2"/>
      <c r="S1496" s="2"/>
      <c r="T1496" s="2"/>
      <c r="U1496" s="2"/>
      <c r="V1496" s="2"/>
      <c r="X1496" s="38"/>
      <c r="Y1496" s="38"/>
      <c r="Z1496" s="38"/>
      <c r="AA1496" s="38"/>
      <c r="AB1496" s="38"/>
      <c r="AD1496" s="2"/>
      <c r="AE1496" s="2"/>
      <c r="AF1496" s="2"/>
      <c r="AG1496" s="2"/>
      <c r="AH1496" s="2"/>
      <c r="AJ1496" s="215"/>
      <c r="AK1496" s="215"/>
      <c r="AL1496" s="215"/>
      <c r="AM1496" s="215"/>
      <c r="AO1496" s="10"/>
      <c r="AP1496" s="10"/>
      <c r="AQ1496" s="10"/>
      <c r="AR1496" s="10"/>
      <c r="AS1496" s="10"/>
      <c r="AU1496" s="2"/>
      <c r="AV1496" s="2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</row>
    <row r="1497" spans="1:73" customFormat="1" ht="12.75" hidden="1" customHeight="1" x14ac:dyDescent="0.2">
      <c r="A1497" s="1"/>
      <c r="B1497" s="1"/>
      <c r="C1497" s="1"/>
      <c r="D1497" s="7"/>
      <c r="E1497" s="7"/>
      <c r="F1497" s="6"/>
      <c r="G1497" s="7"/>
      <c r="H1497" s="2"/>
      <c r="I1497" s="2"/>
      <c r="J1497" s="2"/>
      <c r="K1497" s="2"/>
      <c r="L1497" s="178"/>
      <c r="M1497" s="2"/>
      <c r="N1497" s="7"/>
      <c r="P1497" s="7"/>
      <c r="R1497" s="2"/>
      <c r="S1497" s="2"/>
      <c r="T1497" s="2"/>
      <c r="U1497" s="2"/>
      <c r="V1497" s="2"/>
      <c r="X1497" s="38"/>
      <c r="Y1497" s="38"/>
      <c r="Z1497" s="38"/>
      <c r="AA1497" s="38"/>
      <c r="AB1497" s="38"/>
      <c r="AD1497" s="2"/>
      <c r="AE1497" s="2"/>
      <c r="AF1497" s="2"/>
      <c r="AG1497" s="2"/>
      <c r="AH1497" s="2"/>
      <c r="AJ1497" s="215"/>
      <c r="AK1497" s="215"/>
      <c r="AL1497" s="215"/>
      <c r="AM1497" s="215"/>
      <c r="AO1497" s="10"/>
      <c r="AP1497" s="10"/>
      <c r="AQ1497" s="10"/>
      <c r="AR1497" s="10"/>
      <c r="AS1497" s="10"/>
      <c r="AU1497" s="2"/>
      <c r="AV1497" s="2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</row>
    <row r="1498" spans="1:73" customFormat="1" ht="12.75" hidden="1" customHeight="1" x14ac:dyDescent="0.2">
      <c r="A1498" s="1"/>
      <c r="B1498" s="1"/>
      <c r="C1498" s="1"/>
      <c r="D1498" s="7"/>
      <c r="E1498" s="7"/>
      <c r="F1498" s="6"/>
      <c r="G1498" s="7"/>
      <c r="H1498" s="2"/>
      <c r="I1498" s="2"/>
      <c r="J1498" s="2"/>
      <c r="K1498" s="2"/>
      <c r="L1498" s="178"/>
      <c r="M1498" s="2"/>
      <c r="N1498" s="7"/>
      <c r="P1498" s="7"/>
      <c r="R1498" s="2"/>
      <c r="S1498" s="2"/>
      <c r="T1498" s="2"/>
      <c r="U1498" s="2"/>
      <c r="V1498" s="2"/>
      <c r="X1498" s="38"/>
      <c r="Y1498" s="38"/>
      <c r="Z1498" s="38"/>
      <c r="AA1498" s="38"/>
      <c r="AB1498" s="38"/>
      <c r="AD1498" s="2"/>
      <c r="AE1498" s="2"/>
      <c r="AF1498" s="2"/>
      <c r="AG1498" s="2"/>
      <c r="AH1498" s="2"/>
      <c r="AJ1498" s="215"/>
      <c r="AK1498" s="215"/>
      <c r="AL1498" s="215"/>
      <c r="AM1498" s="215"/>
      <c r="AO1498" s="10"/>
      <c r="AP1498" s="10"/>
      <c r="AQ1498" s="10"/>
      <c r="AR1498" s="10"/>
      <c r="AS1498" s="10"/>
      <c r="AU1498" s="2"/>
      <c r="AV1498" s="2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</row>
    <row r="1499" spans="1:73" customFormat="1" ht="12.75" hidden="1" customHeight="1" x14ac:dyDescent="0.2">
      <c r="A1499" s="1"/>
      <c r="B1499" s="1"/>
      <c r="C1499" s="1"/>
      <c r="D1499" s="7"/>
      <c r="E1499" s="7"/>
      <c r="F1499" s="6"/>
      <c r="G1499" s="7"/>
      <c r="H1499" s="2"/>
      <c r="I1499" s="2"/>
      <c r="J1499" s="2"/>
      <c r="K1499" s="2"/>
      <c r="L1499" s="178"/>
      <c r="M1499" s="2"/>
      <c r="N1499" s="7"/>
      <c r="P1499" s="7"/>
      <c r="R1499" s="2"/>
      <c r="S1499" s="2"/>
      <c r="T1499" s="2"/>
      <c r="U1499" s="2"/>
      <c r="V1499" s="2"/>
      <c r="X1499" s="38"/>
      <c r="Y1499" s="38"/>
      <c r="Z1499" s="38"/>
      <c r="AA1499" s="38"/>
      <c r="AB1499" s="38"/>
      <c r="AD1499" s="2"/>
      <c r="AE1499" s="2"/>
      <c r="AF1499" s="2"/>
      <c r="AG1499" s="2"/>
      <c r="AH1499" s="2"/>
      <c r="AJ1499" s="215"/>
      <c r="AK1499" s="215"/>
      <c r="AL1499" s="215"/>
      <c r="AM1499" s="215"/>
      <c r="AO1499" s="10"/>
      <c r="AP1499" s="10"/>
      <c r="AQ1499" s="10"/>
      <c r="AR1499" s="10"/>
      <c r="AS1499" s="10"/>
      <c r="AU1499" s="2"/>
      <c r="AV1499" s="2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</row>
    <row r="1500" spans="1:73" customFormat="1" ht="12.75" hidden="1" customHeight="1" x14ac:dyDescent="0.2">
      <c r="A1500" s="1"/>
      <c r="B1500" s="1"/>
      <c r="C1500" s="1"/>
      <c r="D1500" s="7"/>
      <c r="E1500" s="7"/>
      <c r="F1500" s="6"/>
      <c r="G1500" s="7"/>
      <c r="H1500" s="2"/>
      <c r="I1500" s="2"/>
      <c r="J1500" s="2"/>
      <c r="K1500" s="2"/>
      <c r="L1500" s="178"/>
      <c r="M1500" s="2"/>
      <c r="N1500" s="7"/>
      <c r="P1500" s="7"/>
      <c r="R1500" s="2"/>
      <c r="S1500" s="2"/>
      <c r="T1500" s="2"/>
      <c r="U1500" s="2"/>
      <c r="V1500" s="2"/>
      <c r="X1500" s="38"/>
      <c r="Y1500" s="38"/>
      <c r="Z1500" s="38"/>
      <c r="AA1500" s="38"/>
      <c r="AB1500" s="38"/>
      <c r="AD1500" s="2"/>
      <c r="AE1500" s="2"/>
      <c r="AF1500" s="2"/>
      <c r="AG1500" s="2"/>
      <c r="AH1500" s="2"/>
      <c r="AJ1500" s="215"/>
      <c r="AK1500" s="215"/>
      <c r="AL1500" s="215"/>
      <c r="AM1500" s="215"/>
      <c r="AO1500" s="10"/>
      <c r="AP1500" s="10"/>
      <c r="AQ1500" s="10"/>
      <c r="AR1500" s="10"/>
      <c r="AS1500" s="10"/>
      <c r="AU1500" s="2"/>
      <c r="AV1500" s="2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</row>
    <row r="1501" spans="1:73" customFormat="1" ht="12.75" hidden="1" customHeight="1" x14ac:dyDescent="0.2">
      <c r="A1501" s="1"/>
      <c r="B1501" s="1"/>
      <c r="C1501" s="1"/>
      <c r="D1501" s="7"/>
      <c r="E1501" s="7"/>
      <c r="F1501" s="6"/>
      <c r="G1501" s="7"/>
      <c r="H1501" s="2"/>
      <c r="I1501" s="2"/>
      <c r="J1501" s="2"/>
      <c r="K1501" s="2"/>
      <c r="L1501" s="178"/>
      <c r="M1501" s="2"/>
      <c r="N1501" s="7"/>
      <c r="P1501" s="7"/>
      <c r="R1501" s="2"/>
      <c r="S1501" s="2"/>
      <c r="T1501" s="2"/>
      <c r="U1501" s="2"/>
      <c r="V1501" s="2"/>
      <c r="X1501" s="38"/>
      <c r="Y1501" s="38"/>
      <c r="Z1501" s="38"/>
      <c r="AA1501" s="38"/>
      <c r="AB1501" s="38"/>
      <c r="AD1501" s="2"/>
      <c r="AE1501" s="2"/>
      <c r="AF1501" s="2"/>
      <c r="AG1501" s="2"/>
      <c r="AH1501" s="2"/>
      <c r="AJ1501" s="215"/>
      <c r="AK1501" s="215"/>
      <c r="AL1501" s="215"/>
      <c r="AM1501" s="215"/>
      <c r="AO1501" s="10"/>
      <c r="AP1501" s="10"/>
      <c r="AQ1501" s="10"/>
      <c r="AR1501" s="10"/>
      <c r="AS1501" s="10"/>
      <c r="AU1501" s="2"/>
      <c r="AV1501" s="2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</row>
    <row r="1502" spans="1:73" customFormat="1" ht="12.75" hidden="1" customHeight="1" x14ac:dyDescent="0.2">
      <c r="A1502" s="1"/>
      <c r="B1502" s="1"/>
      <c r="C1502" s="1"/>
      <c r="D1502" s="7"/>
      <c r="E1502" s="7"/>
      <c r="F1502" s="6"/>
      <c r="G1502" s="7"/>
      <c r="H1502" s="2"/>
      <c r="I1502" s="2"/>
      <c r="J1502" s="2"/>
      <c r="K1502" s="2"/>
      <c r="L1502" s="178"/>
      <c r="M1502" s="2"/>
      <c r="N1502" s="7"/>
      <c r="P1502" s="7"/>
      <c r="R1502" s="2"/>
      <c r="S1502" s="2"/>
      <c r="T1502" s="2"/>
      <c r="U1502" s="2"/>
      <c r="V1502" s="2"/>
      <c r="X1502" s="38"/>
      <c r="Y1502" s="38"/>
      <c r="Z1502" s="38"/>
      <c r="AA1502" s="38"/>
      <c r="AB1502" s="38"/>
      <c r="AD1502" s="2"/>
      <c r="AE1502" s="2"/>
      <c r="AF1502" s="2"/>
      <c r="AG1502" s="2"/>
      <c r="AH1502" s="2"/>
      <c r="AJ1502" s="215"/>
      <c r="AK1502" s="215"/>
      <c r="AL1502" s="215"/>
      <c r="AM1502" s="215"/>
      <c r="AO1502" s="10"/>
      <c r="AP1502" s="10"/>
      <c r="AQ1502" s="10"/>
      <c r="AR1502" s="10"/>
      <c r="AS1502" s="10"/>
      <c r="AU1502" s="2"/>
      <c r="AV1502" s="2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</row>
    <row r="1503" spans="1:73" customFormat="1" ht="12.75" hidden="1" customHeight="1" x14ac:dyDescent="0.2">
      <c r="A1503" s="1"/>
      <c r="B1503" s="1"/>
      <c r="C1503" s="1"/>
      <c r="D1503" s="7"/>
      <c r="E1503" s="7"/>
      <c r="F1503" s="6"/>
      <c r="G1503" s="7"/>
      <c r="H1503" s="2"/>
      <c r="I1503" s="2"/>
      <c r="J1503" s="2"/>
      <c r="K1503" s="2"/>
      <c r="L1503" s="178"/>
      <c r="M1503" s="2"/>
      <c r="N1503" s="7"/>
      <c r="P1503" s="7"/>
      <c r="R1503" s="2"/>
      <c r="S1503" s="2"/>
      <c r="T1503" s="2"/>
      <c r="U1503" s="2"/>
      <c r="V1503" s="2"/>
      <c r="X1503" s="38"/>
      <c r="Y1503" s="38"/>
      <c r="Z1503" s="38"/>
      <c r="AA1503" s="38"/>
      <c r="AB1503" s="38"/>
      <c r="AD1503" s="2"/>
      <c r="AE1503" s="2"/>
      <c r="AF1503" s="2"/>
      <c r="AG1503" s="2"/>
      <c r="AH1503" s="2"/>
      <c r="AJ1503" s="215"/>
      <c r="AK1503" s="215"/>
      <c r="AL1503" s="215"/>
      <c r="AM1503" s="215"/>
      <c r="AO1503" s="10"/>
      <c r="AP1503" s="10"/>
      <c r="AQ1503" s="10"/>
      <c r="AR1503" s="10"/>
      <c r="AS1503" s="10"/>
      <c r="AU1503" s="2"/>
      <c r="AV1503" s="2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</row>
    <row r="1504" spans="1:73" customFormat="1" ht="12.75" hidden="1" customHeight="1" x14ac:dyDescent="0.2">
      <c r="A1504" s="1"/>
      <c r="B1504" s="1"/>
      <c r="C1504" s="1"/>
      <c r="D1504" s="7"/>
      <c r="E1504" s="7"/>
      <c r="F1504" s="6"/>
      <c r="G1504" s="7"/>
      <c r="H1504" s="2"/>
      <c r="I1504" s="2"/>
      <c r="J1504" s="2"/>
      <c r="K1504" s="2"/>
      <c r="L1504" s="178"/>
      <c r="M1504" s="2"/>
      <c r="N1504" s="7"/>
      <c r="P1504" s="7"/>
      <c r="R1504" s="2"/>
      <c r="S1504" s="2"/>
      <c r="T1504" s="2"/>
      <c r="U1504" s="2"/>
      <c r="V1504" s="2"/>
      <c r="X1504" s="38"/>
      <c r="Y1504" s="38"/>
      <c r="Z1504" s="38"/>
      <c r="AA1504" s="38"/>
      <c r="AB1504" s="38"/>
      <c r="AD1504" s="2"/>
      <c r="AE1504" s="2"/>
      <c r="AF1504" s="2"/>
      <c r="AG1504" s="2"/>
      <c r="AH1504" s="2"/>
      <c r="AJ1504" s="215"/>
      <c r="AK1504" s="215"/>
      <c r="AL1504" s="215"/>
      <c r="AM1504" s="215"/>
      <c r="AO1504" s="10"/>
      <c r="AP1504" s="10"/>
      <c r="AQ1504" s="10"/>
      <c r="AR1504" s="10"/>
      <c r="AS1504" s="10"/>
      <c r="AU1504" s="2"/>
      <c r="AV1504" s="2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</row>
    <row r="1505" spans="1:73" customFormat="1" ht="12.75" hidden="1" customHeight="1" x14ac:dyDescent="0.2">
      <c r="A1505" s="1"/>
      <c r="B1505" s="1"/>
      <c r="C1505" s="1"/>
      <c r="D1505" s="7"/>
      <c r="E1505" s="7"/>
      <c r="F1505" s="6"/>
      <c r="G1505" s="7"/>
      <c r="H1505" s="2"/>
      <c r="I1505" s="2"/>
      <c r="J1505" s="2"/>
      <c r="K1505" s="2"/>
      <c r="L1505" s="178"/>
      <c r="M1505" s="2"/>
      <c r="N1505" s="7"/>
      <c r="P1505" s="7"/>
      <c r="R1505" s="2"/>
      <c r="S1505" s="2"/>
      <c r="T1505" s="2"/>
      <c r="U1505" s="2"/>
      <c r="V1505" s="2"/>
      <c r="X1505" s="38"/>
      <c r="Y1505" s="38"/>
      <c r="Z1505" s="38"/>
      <c r="AA1505" s="38"/>
      <c r="AB1505" s="38"/>
      <c r="AD1505" s="2"/>
      <c r="AE1505" s="2"/>
      <c r="AF1505" s="2"/>
      <c r="AG1505" s="2"/>
      <c r="AH1505" s="2"/>
      <c r="AJ1505" s="215"/>
      <c r="AK1505" s="215"/>
      <c r="AL1505" s="215"/>
      <c r="AM1505" s="215"/>
      <c r="AO1505" s="10"/>
      <c r="AP1505" s="10"/>
      <c r="AQ1505" s="10"/>
      <c r="AR1505" s="10"/>
      <c r="AS1505" s="10"/>
      <c r="AU1505" s="2"/>
      <c r="AV1505" s="2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</row>
    <row r="1506" spans="1:73" customFormat="1" ht="12.75" hidden="1" customHeight="1" x14ac:dyDescent="0.2">
      <c r="A1506" s="1"/>
      <c r="B1506" s="1"/>
      <c r="C1506" s="1"/>
      <c r="D1506" s="7"/>
      <c r="E1506" s="7"/>
      <c r="F1506" s="6"/>
      <c r="G1506" s="7"/>
      <c r="H1506" s="2"/>
      <c r="I1506" s="2"/>
      <c r="J1506" s="2"/>
      <c r="K1506" s="2"/>
      <c r="L1506" s="178"/>
      <c r="M1506" s="2"/>
      <c r="N1506" s="7"/>
      <c r="P1506" s="7"/>
      <c r="R1506" s="2"/>
      <c r="S1506" s="2"/>
      <c r="T1506" s="2"/>
      <c r="U1506" s="2"/>
      <c r="V1506" s="2"/>
      <c r="X1506" s="38"/>
      <c r="Y1506" s="38"/>
      <c r="Z1506" s="38"/>
      <c r="AA1506" s="38"/>
      <c r="AB1506" s="38"/>
      <c r="AD1506" s="2"/>
      <c r="AE1506" s="2"/>
      <c r="AF1506" s="2"/>
      <c r="AG1506" s="2"/>
      <c r="AH1506" s="2"/>
      <c r="AJ1506" s="215"/>
      <c r="AK1506" s="215"/>
      <c r="AL1506" s="215"/>
      <c r="AM1506" s="215"/>
      <c r="AO1506" s="10"/>
      <c r="AP1506" s="10"/>
      <c r="AQ1506" s="10"/>
      <c r="AR1506" s="10"/>
      <c r="AS1506" s="10"/>
      <c r="AU1506" s="2"/>
      <c r="AV1506" s="2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</row>
    <row r="1507" spans="1:73" customFormat="1" ht="12.75" hidden="1" customHeight="1" x14ac:dyDescent="0.2">
      <c r="A1507" s="1"/>
      <c r="B1507" s="1"/>
      <c r="C1507" s="1"/>
      <c r="D1507" s="7"/>
      <c r="E1507" s="7"/>
      <c r="F1507" s="6"/>
      <c r="G1507" s="7"/>
      <c r="H1507" s="2"/>
      <c r="I1507" s="2"/>
      <c r="J1507" s="2"/>
      <c r="K1507" s="2"/>
      <c r="L1507" s="178"/>
      <c r="M1507" s="2"/>
      <c r="N1507" s="7"/>
      <c r="P1507" s="7"/>
      <c r="R1507" s="2"/>
      <c r="S1507" s="2"/>
      <c r="T1507" s="2"/>
      <c r="U1507" s="2"/>
      <c r="V1507" s="2"/>
      <c r="X1507" s="38"/>
      <c r="Y1507" s="38"/>
      <c r="Z1507" s="38"/>
      <c r="AA1507" s="38"/>
      <c r="AB1507" s="38"/>
      <c r="AD1507" s="2"/>
      <c r="AE1507" s="2"/>
      <c r="AF1507" s="2"/>
      <c r="AG1507" s="2"/>
      <c r="AH1507" s="2"/>
      <c r="AJ1507" s="215"/>
      <c r="AK1507" s="215"/>
      <c r="AL1507" s="215"/>
      <c r="AM1507" s="215"/>
      <c r="AO1507" s="10"/>
      <c r="AP1507" s="10"/>
      <c r="AQ1507" s="10"/>
      <c r="AR1507" s="10"/>
      <c r="AS1507" s="10"/>
      <c r="AU1507" s="2"/>
      <c r="AV1507" s="2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</row>
    <row r="1508" spans="1:73" customFormat="1" ht="12.75" hidden="1" customHeight="1" x14ac:dyDescent="0.2">
      <c r="A1508" s="1"/>
      <c r="B1508" s="1"/>
      <c r="C1508" s="1"/>
      <c r="D1508" s="7"/>
      <c r="E1508" s="7"/>
      <c r="F1508" s="6"/>
      <c r="G1508" s="7"/>
      <c r="H1508" s="2"/>
      <c r="I1508" s="2"/>
      <c r="J1508" s="2"/>
      <c r="K1508" s="2"/>
      <c r="L1508" s="178"/>
      <c r="M1508" s="2"/>
      <c r="N1508" s="7"/>
      <c r="P1508" s="7"/>
      <c r="R1508" s="2"/>
      <c r="S1508" s="2"/>
      <c r="T1508" s="2"/>
      <c r="U1508" s="2"/>
      <c r="V1508" s="2"/>
      <c r="X1508" s="38"/>
      <c r="Y1508" s="38"/>
      <c r="Z1508" s="38"/>
      <c r="AA1508" s="38"/>
      <c r="AB1508" s="38"/>
      <c r="AD1508" s="2"/>
      <c r="AE1508" s="2"/>
      <c r="AF1508" s="2"/>
      <c r="AG1508" s="2"/>
      <c r="AH1508" s="2"/>
      <c r="AJ1508" s="215"/>
      <c r="AK1508" s="215"/>
      <c r="AL1508" s="215"/>
      <c r="AM1508" s="215"/>
      <c r="AO1508" s="10"/>
      <c r="AP1508" s="10"/>
      <c r="AQ1508" s="10"/>
      <c r="AR1508" s="10"/>
      <c r="AS1508" s="10"/>
      <c r="AU1508" s="2"/>
      <c r="AV1508" s="2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</row>
    <row r="1509" spans="1:73" customFormat="1" ht="12.75" hidden="1" customHeight="1" x14ac:dyDescent="0.2">
      <c r="A1509" s="1"/>
      <c r="B1509" s="1"/>
      <c r="C1509" s="1"/>
      <c r="D1509" s="7"/>
      <c r="E1509" s="7"/>
      <c r="F1509" s="6"/>
      <c r="G1509" s="7"/>
      <c r="H1509" s="2"/>
      <c r="I1509" s="2"/>
      <c r="J1509" s="2"/>
      <c r="K1509" s="2"/>
      <c r="L1509" s="178"/>
      <c r="M1509" s="2"/>
      <c r="N1509" s="7"/>
      <c r="P1509" s="7"/>
      <c r="R1509" s="2"/>
      <c r="S1509" s="2"/>
      <c r="T1509" s="2"/>
      <c r="U1509" s="2"/>
      <c r="V1509" s="2"/>
      <c r="X1509" s="38"/>
      <c r="Y1509" s="38"/>
      <c r="Z1509" s="38"/>
      <c r="AA1509" s="38"/>
      <c r="AB1509" s="38"/>
      <c r="AD1509" s="2"/>
      <c r="AE1509" s="2"/>
      <c r="AF1509" s="2"/>
      <c r="AG1509" s="2"/>
      <c r="AH1509" s="2"/>
      <c r="AJ1509" s="215"/>
      <c r="AK1509" s="215"/>
      <c r="AL1509" s="215"/>
      <c r="AM1509" s="215"/>
      <c r="AO1509" s="10"/>
      <c r="AP1509" s="10"/>
      <c r="AQ1509" s="10"/>
      <c r="AR1509" s="10"/>
      <c r="AS1509" s="10"/>
      <c r="AU1509" s="2"/>
      <c r="AV1509" s="2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</row>
    <row r="1510" spans="1:73" customFormat="1" ht="12.75" hidden="1" customHeight="1" x14ac:dyDescent="0.2">
      <c r="A1510" s="1"/>
      <c r="B1510" s="1"/>
      <c r="C1510" s="1"/>
      <c r="D1510" s="7"/>
      <c r="E1510" s="7"/>
      <c r="F1510" s="6"/>
      <c r="G1510" s="7"/>
      <c r="H1510" s="2"/>
      <c r="I1510" s="2"/>
      <c r="J1510" s="2"/>
      <c r="K1510" s="2"/>
      <c r="L1510" s="178"/>
      <c r="M1510" s="2"/>
      <c r="N1510" s="7"/>
      <c r="P1510" s="7"/>
      <c r="R1510" s="2"/>
      <c r="S1510" s="2"/>
      <c r="T1510" s="2"/>
      <c r="U1510" s="2"/>
      <c r="V1510" s="2"/>
      <c r="X1510" s="38"/>
      <c r="Y1510" s="38"/>
      <c r="Z1510" s="38"/>
      <c r="AA1510" s="38"/>
      <c r="AB1510" s="38"/>
      <c r="AD1510" s="2"/>
      <c r="AE1510" s="2"/>
      <c r="AF1510" s="2"/>
      <c r="AG1510" s="2"/>
      <c r="AH1510" s="2"/>
      <c r="AJ1510" s="215"/>
      <c r="AK1510" s="215"/>
      <c r="AL1510" s="215"/>
      <c r="AM1510" s="215"/>
      <c r="AO1510" s="10"/>
      <c r="AP1510" s="10"/>
      <c r="AQ1510" s="10"/>
      <c r="AR1510" s="10"/>
      <c r="AS1510" s="10"/>
      <c r="AU1510" s="2"/>
      <c r="AV1510" s="2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</row>
    <row r="1511" spans="1:73" customFormat="1" ht="12.75" hidden="1" customHeight="1" x14ac:dyDescent="0.2">
      <c r="A1511" s="1"/>
      <c r="B1511" s="1"/>
      <c r="C1511" s="1"/>
      <c r="D1511" s="7"/>
      <c r="E1511" s="7"/>
      <c r="F1511" s="6"/>
      <c r="G1511" s="7"/>
      <c r="H1511" s="2"/>
      <c r="I1511" s="2"/>
      <c r="J1511" s="2"/>
      <c r="K1511" s="2"/>
      <c r="L1511" s="178"/>
      <c r="M1511" s="2"/>
      <c r="N1511" s="7"/>
      <c r="P1511" s="7"/>
      <c r="R1511" s="2"/>
      <c r="S1511" s="2"/>
      <c r="T1511" s="2"/>
      <c r="U1511" s="2"/>
      <c r="V1511" s="2"/>
      <c r="X1511" s="38"/>
      <c r="Y1511" s="38"/>
      <c r="Z1511" s="38"/>
      <c r="AA1511" s="38"/>
      <c r="AB1511" s="38"/>
      <c r="AD1511" s="2"/>
      <c r="AE1511" s="2"/>
      <c r="AF1511" s="2"/>
      <c r="AG1511" s="2"/>
      <c r="AH1511" s="2"/>
      <c r="AJ1511" s="215"/>
      <c r="AK1511" s="215"/>
      <c r="AL1511" s="215"/>
      <c r="AM1511" s="215"/>
      <c r="AO1511" s="10"/>
      <c r="AP1511" s="10"/>
      <c r="AQ1511" s="10"/>
      <c r="AR1511" s="10"/>
      <c r="AS1511" s="10"/>
      <c r="AU1511" s="2"/>
      <c r="AV1511" s="2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</row>
    <row r="1512" spans="1:73" customFormat="1" ht="12.75" hidden="1" customHeight="1" x14ac:dyDescent="0.2">
      <c r="A1512" s="1"/>
      <c r="B1512" s="1"/>
      <c r="C1512" s="1"/>
      <c r="D1512" s="7"/>
      <c r="E1512" s="7"/>
      <c r="F1512" s="6"/>
      <c r="G1512" s="7"/>
      <c r="H1512" s="2"/>
      <c r="I1512" s="2"/>
      <c r="J1512" s="2"/>
      <c r="K1512" s="2"/>
      <c r="L1512" s="178"/>
      <c r="M1512" s="2"/>
      <c r="N1512" s="7"/>
      <c r="P1512" s="7"/>
      <c r="R1512" s="2"/>
      <c r="S1512" s="2"/>
      <c r="T1512" s="2"/>
      <c r="U1512" s="2"/>
      <c r="V1512" s="2"/>
      <c r="X1512" s="38"/>
      <c r="Y1512" s="38"/>
      <c r="Z1512" s="38"/>
      <c r="AA1512" s="38"/>
      <c r="AB1512" s="38"/>
      <c r="AD1512" s="2"/>
      <c r="AE1512" s="2"/>
      <c r="AF1512" s="2"/>
      <c r="AG1512" s="2"/>
      <c r="AH1512" s="2"/>
      <c r="AJ1512" s="215"/>
      <c r="AK1512" s="215"/>
      <c r="AL1512" s="215"/>
      <c r="AM1512" s="215"/>
      <c r="AO1512" s="10"/>
      <c r="AP1512" s="10"/>
      <c r="AQ1512" s="10"/>
      <c r="AR1512" s="10"/>
      <c r="AS1512" s="10"/>
      <c r="AU1512" s="2"/>
      <c r="AV1512" s="2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</row>
    <row r="1513" spans="1:73" customFormat="1" ht="12.75" hidden="1" customHeight="1" x14ac:dyDescent="0.2">
      <c r="A1513" s="1"/>
      <c r="B1513" s="1"/>
      <c r="C1513" s="1"/>
      <c r="D1513" s="7"/>
      <c r="E1513" s="7"/>
      <c r="F1513" s="6"/>
      <c r="G1513" s="7"/>
      <c r="H1513" s="2"/>
      <c r="I1513" s="2"/>
      <c r="J1513" s="2"/>
      <c r="K1513" s="2"/>
      <c r="L1513" s="178"/>
      <c r="M1513" s="2"/>
      <c r="N1513" s="7"/>
      <c r="P1513" s="7"/>
      <c r="R1513" s="2"/>
      <c r="S1513" s="2"/>
      <c r="T1513" s="2"/>
      <c r="U1513" s="2"/>
      <c r="V1513" s="2"/>
      <c r="X1513" s="38"/>
      <c r="Y1513" s="38"/>
      <c r="Z1513" s="38"/>
      <c r="AA1513" s="38"/>
      <c r="AB1513" s="38"/>
      <c r="AD1513" s="2"/>
      <c r="AE1513" s="2"/>
      <c r="AF1513" s="2"/>
      <c r="AG1513" s="2"/>
      <c r="AH1513" s="2"/>
      <c r="AJ1513" s="215"/>
      <c r="AK1513" s="215"/>
      <c r="AL1513" s="215"/>
      <c r="AM1513" s="215"/>
      <c r="AO1513" s="10"/>
      <c r="AP1513" s="10"/>
      <c r="AQ1513" s="10"/>
      <c r="AR1513" s="10"/>
      <c r="AS1513" s="10"/>
      <c r="AU1513" s="2"/>
      <c r="AV1513" s="2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</row>
    <row r="1514" spans="1:73" customFormat="1" ht="12.75" hidden="1" customHeight="1" x14ac:dyDescent="0.2">
      <c r="A1514" s="1"/>
      <c r="B1514" s="1"/>
      <c r="C1514" s="1"/>
      <c r="D1514" s="7"/>
      <c r="E1514" s="7"/>
      <c r="F1514" s="6"/>
      <c r="G1514" s="7"/>
      <c r="H1514" s="2"/>
      <c r="I1514" s="2"/>
      <c r="J1514" s="2"/>
      <c r="K1514" s="2"/>
      <c r="L1514" s="178"/>
      <c r="M1514" s="2"/>
      <c r="N1514" s="7"/>
      <c r="P1514" s="7"/>
      <c r="R1514" s="2"/>
      <c r="S1514" s="2"/>
      <c r="T1514" s="2"/>
      <c r="U1514" s="2"/>
      <c r="V1514" s="2"/>
      <c r="X1514" s="38"/>
      <c r="Y1514" s="38"/>
      <c r="Z1514" s="38"/>
      <c r="AA1514" s="38"/>
      <c r="AB1514" s="38"/>
      <c r="AD1514" s="2"/>
      <c r="AE1514" s="2"/>
      <c r="AF1514" s="2"/>
      <c r="AG1514" s="2"/>
      <c r="AH1514" s="2"/>
      <c r="AJ1514" s="215"/>
      <c r="AK1514" s="215"/>
      <c r="AL1514" s="215"/>
      <c r="AM1514" s="215"/>
      <c r="AO1514" s="10"/>
      <c r="AP1514" s="10"/>
      <c r="AQ1514" s="10"/>
      <c r="AR1514" s="10"/>
      <c r="AS1514" s="10"/>
      <c r="AU1514" s="2"/>
      <c r="AV1514" s="2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</row>
    <row r="1515" spans="1:73" customFormat="1" ht="12.75" hidden="1" customHeight="1" x14ac:dyDescent="0.2">
      <c r="A1515" s="1"/>
      <c r="B1515" s="1"/>
      <c r="C1515" s="1"/>
      <c r="D1515" s="7"/>
      <c r="E1515" s="7"/>
      <c r="F1515" s="6"/>
      <c r="G1515" s="7"/>
      <c r="H1515" s="2"/>
      <c r="I1515" s="2"/>
      <c r="J1515" s="2"/>
      <c r="K1515" s="2"/>
      <c r="L1515" s="178"/>
      <c r="M1515" s="2"/>
      <c r="N1515" s="7"/>
      <c r="P1515" s="7"/>
      <c r="R1515" s="2"/>
      <c r="S1515" s="2"/>
      <c r="T1515" s="2"/>
      <c r="U1515" s="2"/>
      <c r="V1515" s="2"/>
      <c r="X1515" s="38"/>
      <c r="Y1515" s="38"/>
      <c r="Z1515" s="38"/>
      <c r="AA1515" s="38"/>
      <c r="AB1515" s="38"/>
      <c r="AD1515" s="2"/>
      <c r="AE1515" s="2"/>
      <c r="AF1515" s="2"/>
      <c r="AG1515" s="2"/>
      <c r="AH1515" s="2"/>
      <c r="AJ1515" s="215"/>
      <c r="AK1515" s="215"/>
      <c r="AL1515" s="215"/>
      <c r="AM1515" s="215"/>
      <c r="AO1515" s="10"/>
      <c r="AP1515" s="10"/>
      <c r="AQ1515" s="10"/>
      <c r="AR1515" s="10"/>
      <c r="AS1515" s="10"/>
      <c r="AU1515" s="2"/>
      <c r="AV1515" s="2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</row>
    <row r="1516" spans="1:73" customFormat="1" ht="12.75" hidden="1" customHeight="1" x14ac:dyDescent="0.2">
      <c r="A1516" s="1"/>
      <c r="B1516" s="1"/>
      <c r="C1516" s="1"/>
      <c r="D1516" s="7"/>
      <c r="E1516" s="7"/>
      <c r="F1516" s="6"/>
      <c r="G1516" s="7"/>
      <c r="H1516" s="2"/>
      <c r="I1516" s="2"/>
      <c r="J1516" s="2"/>
      <c r="K1516" s="2"/>
      <c r="L1516" s="178"/>
      <c r="M1516" s="2"/>
      <c r="N1516" s="7"/>
      <c r="P1516" s="7"/>
      <c r="R1516" s="2"/>
      <c r="S1516" s="2"/>
      <c r="T1516" s="2"/>
      <c r="U1516" s="2"/>
      <c r="V1516" s="2"/>
      <c r="X1516" s="38"/>
      <c r="Y1516" s="38"/>
      <c r="Z1516" s="38"/>
      <c r="AA1516" s="38"/>
      <c r="AB1516" s="38"/>
      <c r="AD1516" s="2"/>
      <c r="AE1516" s="2"/>
      <c r="AF1516" s="2"/>
      <c r="AG1516" s="2"/>
      <c r="AH1516" s="2"/>
      <c r="AJ1516" s="215"/>
      <c r="AK1516" s="215"/>
      <c r="AL1516" s="215"/>
      <c r="AM1516" s="215"/>
      <c r="AO1516" s="10"/>
      <c r="AP1516" s="10"/>
      <c r="AQ1516" s="10"/>
      <c r="AR1516" s="10"/>
      <c r="AS1516" s="10"/>
      <c r="AU1516" s="2"/>
      <c r="AV1516" s="2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</row>
    <row r="1517" spans="1:73" customFormat="1" ht="12.75" hidden="1" customHeight="1" x14ac:dyDescent="0.2">
      <c r="A1517" s="1"/>
      <c r="B1517" s="1"/>
      <c r="C1517" s="1"/>
      <c r="D1517" s="7"/>
      <c r="E1517" s="7"/>
      <c r="F1517" s="6"/>
      <c r="G1517" s="7"/>
      <c r="H1517" s="2"/>
      <c r="I1517" s="2"/>
      <c r="J1517" s="2"/>
      <c r="K1517" s="2"/>
      <c r="L1517" s="178"/>
      <c r="M1517" s="2"/>
      <c r="N1517" s="7"/>
      <c r="P1517" s="7"/>
      <c r="R1517" s="2"/>
      <c r="S1517" s="2"/>
      <c r="T1517" s="2"/>
      <c r="U1517" s="2"/>
      <c r="V1517" s="2"/>
      <c r="X1517" s="38"/>
      <c r="Y1517" s="38"/>
      <c r="Z1517" s="38"/>
      <c r="AA1517" s="38"/>
      <c r="AB1517" s="38"/>
      <c r="AD1517" s="2"/>
      <c r="AE1517" s="2"/>
      <c r="AF1517" s="2"/>
      <c r="AG1517" s="2"/>
      <c r="AH1517" s="2"/>
      <c r="AJ1517" s="215"/>
      <c r="AK1517" s="215"/>
      <c r="AL1517" s="215"/>
      <c r="AM1517" s="215"/>
      <c r="AO1517" s="10"/>
      <c r="AP1517" s="10"/>
      <c r="AQ1517" s="10"/>
      <c r="AR1517" s="10"/>
      <c r="AS1517" s="10"/>
      <c r="AU1517" s="2"/>
      <c r="AV1517" s="2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</row>
    <row r="1518" spans="1:73" customFormat="1" ht="12.75" hidden="1" customHeight="1" x14ac:dyDescent="0.2">
      <c r="A1518" s="1"/>
      <c r="B1518" s="1"/>
      <c r="C1518" s="1"/>
      <c r="D1518" s="7"/>
      <c r="E1518" s="7"/>
      <c r="F1518" s="6"/>
      <c r="G1518" s="7"/>
      <c r="H1518" s="2"/>
      <c r="I1518" s="2"/>
      <c r="J1518" s="2"/>
      <c r="K1518" s="2"/>
      <c r="L1518" s="178"/>
      <c r="M1518" s="2"/>
      <c r="N1518" s="7"/>
      <c r="P1518" s="7"/>
      <c r="R1518" s="2"/>
      <c r="S1518" s="2"/>
      <c r="T1518" s="2"/>
      <c r="U1518" s="2"/>
      <c r="V1518" s="2"/>
      <c r="X1518" s="38"/>
      <c r="Y1518" s="38"/>
      <c r="Z1518" s="38"/>
      <c r="AA1518" s="38"/>
      <c r="AB1518" s="38"/>
      <c r="AD1518" s="2"/>
      <c r="AE1518" s="2"/>
      <c r="AF1518" s="2"/>
      <c r="AG1518" s="2"/>
      <c r="AH1518" s="2"/>
      <c r="AJ1518" s="215"/>
      <c r="AK1518" s="215"/>
      <c r="AL1518" s="215"/>
      <c r="AM1518" s="215"/>
      <c r="AO1518" s="10"/>
      <c r="AP1518" s="10"/>
      <c r="AQ1518" s="10"/>
      <c r="AR1518" s="10"/>
      <c r="AS1518" s="10"/>
      <c r="AU1518" s="2"/>
      <c r="AV1518" s="2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</row>
    <row r="1519" spans="1:73" customFormat="1" ht="12.75" hidden="1" customHeight="1" x14ac:dyDescent="0.2">
      <c r="A1519" s="1"/>
      <c r="B1519" s="1"/>
      <c r="C1519" s="1"/>
      <c r="D1519" s="7"/>
      <c r="E1519" s="7"/>
      <c r="F1519" s="6"/>
      <c r="G1519" s="7"/>
      <c r="H1519" s="2"/>
      <c r="I1519" s="2"/>
      <c r="J1519" s="2"/>
      <c r="K1519" s="2"/>
      <c r="L1519" s="178"/>
      <c r="M1519" s="2"/>
      <c r="N1519" s="7"/>
      <c r="P1519" s="7"/>
      <c r="R1519" s="2"/>
      <c r="S1519" s="2"/>
      <c r="T1519" s="2"/>
      <c r="U1519" s="2"/>
      <c r="V1519" s="2"/>
      <c r="X1519" s="38"/>
      <c r="Y1519" s="38"/>
      <c r="Z1519" s="38"/>
      <c r="AA1519" s="38"/>
      <c r="AB1519" s="38"/>
      <c r="AD1519" s="2"/>
      <c r="AE1519" s="2"/>
      <c r="AF1519" s="2"/>
      <c r="AG1519" s="2"/>
      <c r="AH1519" s="2"/>
      <c r="AJ1519" s="215"/>
      <c r="AK1519" s="215"/>
      <c r="AL1519" s="215"/>
      <c r="AM1519" s="215"/>
      <c r="AO1519" s="10"/>
      <c r="AP1519" s="10"/>
      <c r="AQ1519" s="10"/>
      <c r="AR1519" s="10"/>
      <c r="AS1519" s="10"/>
      <c r="AU1519" s="2"/>
      <c r="AV1519" s="2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</row>
    <row r="1520" spans="1:73" customFormat="1" ht="12.75" hidden="1" customHeight="1" x14ac:dyDescent="0.2">
      <c r="A1520" s="1"/>
      <c r="B1520" s="1"/>
      <c r="C1520" s="1"/>
      <c r="D1520" s="7"/>
      <c r="E1520" s="7"/>
      <c r="F1520" s="6"/>
      <c r="G1520" s="7"/>
      <c r="H1520" s="2"/>
      <c r="I1520" s="2"/>
      <c r="J1520" s="2"/>
      <c r="K1520" s="2"/>
      <c r="L1520" s="178"/>
      <c r="M1520" s="2"/>
      <c r="N1520" s="7"/>
      <c r="P1520" s="7"/>
      <c r="R1520" s="2"/>
      <c r="S1520" s="2"/>
      <c r="T1520" s="2"/>
      <c r="U1520" s="2"/>
      <c r="V1520" s="2"/>
      <c r="X1520" s="38"/>
      <c r="Y1520" s="38"/>
      <c r="Z1520" s="38"/>
      <c r="AA1520" s="38"/>
      <c r="AB1520" s="38"/>
      <c r="AD1520" s="2"/>
      <c r="AE1520" s="2"/>
      <c r="AF1520" s="2"/>
      <c r="AG1520" s="2"/>
      <c r="AH1520" s="2"/>
      <c r="AJ1520" s="215"/>
      <c r="AK1520" s="215"/>
      <c r="AL1520" s="215"/>
      <c r="AM1520" s="215"/>
      <c r="AO1520" s="10"/>
      <c r="AP1520" s="10"/>
      <c r="AQ1520" s="10"/>
      <c r="AR1520" s="10"/>
      <c r="AS1520" s="10"/>
      <c r="AU1520" s="2"/>
      <c r="AV1520" s="2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</row>
    <row r="1521" spans="1:73" customFormat="1" ht="12.75" hidden="1" customHeight="1" x14ac:dyDescent="0.2">
      <c r="A1521" s="1"/>
      <c r="B1521" s="1"/>
      <c r="C1521" s="1"/>
      <c r="D1521" s="7"/>
      <c r="E1521" s="7"/>
      <c r="F1521" s="6"/>
      <c r="G1521" s="7"/>
      <c r="H1521" s="2"/>
      <c r="I1521" s="2"/>
      <c r="J1521" s="2"/>
      <c r="K1521" s="2"/>
      <c r="L1521" s="178"/>
      <c r="M1521" s="2"/>
      <c r="N1521" s="7"/>
      <c r="P1521" s="7"/>
      <c r="R1521" s="2"/>
      <c r="S1521" s="2"/>
      <c r="T1521" s="2"/>
      <c r="U1521" s="2"/>
      <c r="V1521" s="2"/>
      <c r="X1521" s="38"/>
      <c r="Y1521" s="38"/>
      <c r="Z1521" s="38"/>
      <c r="AA1521" s="38"/>
      <c r="AB1521" s="38"/>
      <c r="AD1521" s="2"/>
      <c r="AE1521" s="2"/>
      <c r="AF1521" s="2"/>
      <c r="AG1521" s="2"/>
      <c r="AH1521" s="2"/>
      <c r="AJ1521" s="215"/>
      <c r="AK1521" s="215"/>
      <c r="AL1521" s="215"/>
      <c r="AM1521" s="215"/>
      <c r="AO1521" s="10"/>
      <c r="AP1521" s="10"/>
      <c r="AQ1521" s="10"/>
      <c r="AR1521" s="10"/>
      <c r="AS1521" s="10"/>
      <c r="AU1521" s="2"/>
      <c r="AV1521" s="2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</row>
    <row r="1522" spans="1:73" customFormat="1" ht="12.75" hidden="1" customHeight="1" x14ac:dyDescent="0.2">
      <c r="A1522" s="1"/>
      <c r="B1522" s="1"/>
      <c r="C1522" s="1"/>
      <c r="D1522" s="7"/>
      <c r="E1522" s="7"/>
      <c r="F1522" s="6"/>
      <c r="G1522" s="7"/>
      <c r="H1522" s="2"/>
      <c r="I1522" s="2"/>
      <c r="J1522" s="2"/>
      <c r="K1522" s="2"/>
      <c r="L1522" s="178"/>
      <c r="M1522" s="2"/>
      <c r="N1522" s="7"/>
      <c r="P1522" s="7"/>
      <c r="R1522" s="2"/>
      <c r="S1522" s="2"/>
      <c r="T1522" s="2"/>
      <c r="U1522" s="2"/>
      <c r="V1522" s="2"/>
      <c r="X1522" s="38"/>
      <c r="Y1522" s="38"/>
      <c r="Z1522" s="38"/>
      <c r="AA1522" s="38"/>
      <c r="AB1522" s="38"/>
      <c r="AD1522" s="2"/>
      <c r="AE1522" s="2"/>
      <c r="AF1522" s="2"/>
      <c r="AG1522" s="2"/>
      <c r="AH1522" s="2"/>
      <c r="AJ1522" s="215"/>
      <c r="AK1522" s="215"/>
      <c r="AL1522" s="215"/>
      <c r="AM1522" s="215"/>
      <c r="AO1522" s="10"/>
      <c r="AP1522" s="10"/>
      <c r="AQ1522" s="10"/>
      <c r="AR1522" s="10"/>
      <c r="AS1522" s="10"/>
      <c r="AU1522" s="2"/>
      <c r="AV1522" s="2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</row>
    <row r="1523" spans="1:73" customFormat="1" ht="12.75" hidden="1" customHeight="1" x14ac:dyDescent="0.2">
      <c r="A1523" s="1"/>
      <c r="B1523" s="1"/>
      <c r="C1523" s="1"/>
      <c r="D1523" s="7"/>
      <c r="E1523" s="7"/>
      <c r="F1523" s="6"/>
      <c r="G1523" s="7"/>
      <c r="H1523" s="2"/>
      <c r="I1523" s="2"/>
      <c r="J1523" s="2"/>
      <c r="K1523" s="2"/>
      <c r="L1523" s="178"/>
      <c r="M1523" s="2"/>
      <c r="N1523" s="7"/>
      <c r="P1523" s="7"/>
      <c r="R1523" s="2"/>
      <c r="S1523" s="2"/>
      <c r="T1523" s="2"/>
      <c r="U1523" s="2"/>
      <c r="V1523" s="2"/>
      <c r="X1523" s="38"/>
      <c r="Y1523" s="38"/>
      <c r="Z1523" s="38"/>
      <c r="AA1523" s="38"/>
      <c r="AB1523" s="38"/>
      <c r="AD1523" s="2"/>
      <c r="AE1523" s="2"/>
      <c r="AF1523" s="2"/>
      <c r="AG1523" s="2"/>
      <c r="AH1523" s="2"/>
      <c r="AJ1523" s="215"/>
      <c r="AK1523" s="215"/>
      <c r="AL1523" s="215"/>
      <c r="AM1523" s="215"/>
      <c r="AO1523" s="10"/>
      <c r="AP1523" s="10"/>
      <c r="AQ1523" s="10"/>
      <c r="AR1523" s="10"/>
      <c r="AS1523" s="10"/>
      <c r="AU1523" s="2"/>
      <c r="AV1523" s="2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</row>
    <row r="1524" spans="1:73" customFormat="1" ht="12.75" hidden="1" customHeight="1" x14ac:dyDescent="0.2">
      <c r="A1524" s="1"/>
      <c r="B1524" s="1"/>
      <c r="C1524" s="1"/>
      <c r="D1524" s="7"/>
      <c r="E1524" s="7"/>
      <c r="F1524" s="6"/>
      <c r="G1524" s="7"/>
      <c r="H1524" s="2"/>
      <c r="I1524" s="2"/>
      <c r="J1524" s="2"/>
      <c r="K1524" s="2"/>
      <c r="L1524" s="178"/>
      <c r="M1524" s="2"/>
      <c r="N1524" s="7"/>
      <c r="P1524" s="7"/>
      <c r="R1524" s="2"/>
      <c r="S1524" s="2"/>
      <c r="T1524" s="2"/>
      <c r="U1524" s="2"/>
      <c r="V1524" s="2"/>
      <c r="X1524" s="38"/>
      <c r="Y1524" s="38"/>
      <c r="Z1524" s="38"/>
      <c r="AA1524" s="38"/>
      <c r="AB1524" s="38"/>
      <c r="AD1524" s="2"/>
      <c r="AE1524" s="2"/>
      <c r="AF1524" s="2"/>
      <c r="AG1524" s="2"/>
      <c r="AH1524" s="2"/>
      <c r="AJ1524" s="215"/>
      <c r="AK1524" s="215"/>
      <c r="AL1524" s="215"/>
      <c r="AM1524" s="215"/>
      <c r="AO1524" s="10"/>
      <c r="AP1524" s="10"/>
      <c r="AQ1524" s="10"/>
      <c r="AR1524" s="10"/>
      <c r="AS1524" s="10"/>
      <c r="AU1524" s="2"/>
      <c r="AV1524" s="2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</row>
    <row r="1525" spans="1:73" customFormat="1" ht="12.75" hidden="1" customHeight="1" x14ac:dyDescent="0.2">
      <c r="A1525" s="1"/>
      <c r="B1525" s="1"/>
      <c r="C1525" s="1"/>
      <c r="D1525" s="7"/>
      <c r="E1525" s="7"/>
      <c r="F1525" s="6"/>
      <c r="G1525" s="7"/>
      <c r="H1525" s="2"/>
      <c r="I1525" s="2"/>
      <c r="J1525" s="2"/>
      <c r="K1525" s="2"/>
      <c r="L1525" s="178"/>
      <c r="M1525" s="2"/>
      <c r="N1525" s="7"/>
      <c r="P1525" s="7"/>
      <c r="R1525" s="2"/>
      <c r="S1525" s="2"/>
      <c r="T1525" s="2"/>
      <c r="U1525" s="2"/>
      <c r="V1525" s="2"/>
      <c r="X1525" s="38"/>
      <c r="Y1525" s="38"/>
      <c r="Z1525" s="38"/>
      <c r="AA1525" s="38"/>
      <c r="AB1525" s="38"/>
      <c r="AD1525" s="2"/>
      <c r="AE1525" s="2"/>
      <c r="AF1525" s="2"/>
      <c r="AG1525" s="2"/>
      <c r="AH1525" s="2"/>
      <c r="AJ1525" s="215"/>
      <c r="AK1525" s="215"/>
      <c r="AL1525" s="215"/>
      <c r="AM1525" s="215"/>
      <c r="AO1525" s="10"/>
      <c r="AP1525" s="10"/>
      <c r="AQ1525" s="10"/>
      <c r="AR1525" s="10"/>
      <c r="AS1525" s="10"/>
      <c r="AU1525" s="2"/>
      <c r="AV1525" s="2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</row>
    <row r="1526" spans="1:73" customFormat="1" ht="12.75" hidden="1" customHeight="1" x14ac:dyDescent="0.2">
      <c r="A1526" s="1"/>
      <c r="B1526" s="1"/>
      <c r="C1526" s="1"/>
      <c r="D1526" s="7"/>
      <c r="E1526" s="7"/>
      <c r="F1526" s="6"/>
      <c r="G1526" s="7"/>
      <c r="H1526" s="2"/>
      <c r="I1526" s="2"/>
      <c r="J1526" s="2"/>
      <c r="K1526" s="2"/>
      <c r="L1526" s="178"/>
      <c r="M1526" s="2"/>
      <c r="N1526" s="7"/>
      <c r="P1526" s="7"/>
      <c r="R1526" s="2"/>
      <c r="S1526" s="2"/>
      <c r="T1526" s="2"/>
      <c r="U1526" s="2"/>
      <c r="V1526" s="2"/>
      <c r="X1526" s="38"/>
      <c r="Y1526" s="38"/>
      <c r="Z1526" s="38"/>
      <c r="AA1526" s="38"/>
      <c r="AB1526" s="38"/>
      <c r="AD1526" s="2"/>
      <c r="AE1526" s="2"/>
      <c r="AF1526" s="2"/>
      <c r="AG1526" s="2"/>
      <c r="AH1526" s="2"/>
      <c r="AJ1526" s="215"/>
      <c r="AK1526" s="215"/>
      <c r="AL1526" s="215"/>
      <c r="AM1526" s="215"/>
      <c r="AO1526" s="10"/>
      <c r="AP1526" s="10"/>
      <c r="AQ1526" s="10"/>
      <c r="AR1526" s="10"/>
      <c r="AS1526" s="10"/>
      <c r="AU1526" s="2"/>
      <c r="AV1526" s="2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</row>
    <row r="1527" spans="1:73" customFormat="1" ht="12.75" hidden="1" customHeight="1" x14ac:dyDescent="0.2">
      <c r="A1527" s="1"/>
      <c r="B1527" s="1"/>
      <c r="C1527" s="1"/>
      <c r="D1527" s="7"/>
      <c r="E1527" s="7"/>
      <c r="F1527" s="6"/>
      <c r="G1527" s="7"/>
      <c r="H1527" s="2"/>
      <c r="I1527" s="2"/>
      <c r="J1527" s="2"/>
      <c r="K1527" s="2"/>
      <c r="L1527" s="178"/>
      <c r="M1527" s="2"/>
      <c r="N1527" s="7"/>
      <c r="P1527" s="7"/>
      <c r="R1527" s="2"/>
      <c r="S1527" s="2"/>
      <c r="T1527" s="2"/>
      <c r="U1527" s="2"/>
      <c r="V1527" s="2"/>
      <c r="X1527" s="38"/>
      <c r="Y1527" s="38"/>
      <c r="Z1527" s="38"/>
      <c r="AA1527" s="38"/>
      <c r="AB1527" s="38"/>
      <c r="AD1527" s="2"/>
      <c r="AE1527" s="2"/>
      <c r="AF1527" s="2"/>
      <c r="AG1527" s="2"/>
      <c r="AH1527" s="2"/>
      <c r="AJ1527" s="215"/>
      <c r="AK1527" s="215"/>
      <c r="AL1527" s="215"/>
      <c r="AM1527" s="215"/>
      <c r="AO1527" s="10"/>
      <c r="AP1527" s="10"/>
      <c r="AQ1527" s="10"/>
      <c r="AR1527" s="10"/>
      <c r="AS1527" s="10"/>
      <c r="AU1527" s="2"/>
      <c r="AV1527" s="2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</row>
    <row r="1528" spans="1:73" customFormat="1" ht="12.75" hidden="1" customHeight="1" x14ac:dyDescent="0.2">
      <c r="A1528" s="1"/>
      <c r="B1528" s="1"/>
      <c r="C1528" s="1"/>
      <c r="D1528" s="7"/>
      <c r="E1528" s="7"/>
      <c r="F1528" s="6"/>
      <c r="G1528" s="7"/>
      <c r="H1528" s="2"/>
      <c r="I1528" s="2"/>
      <c r="J1528" s="2"/>
      <c r="K1528" s="2"/>
      <c r="L1528" s="178"/>
      <c r="M1528" s="2"/>
      <c r="N1528" s="7"/>
      <c r="P1528" s="7"/>
      <c r="R1528" s="2"/>
      <c r="S1528" s="2"/>
      <c r="T1528" s="2"/>
      <c r="U1528" s="2"/>
      <c r="V1528" s="2"/>
      <c r="X1528" s="38"/>
      <c r="Y1528" s="38"/>
      <c r="Z1528" s="38"/>
      <c r="AA1528" s="38"/>
      <c r="AB1528" s="38"/>
      <c r="AD1528" s="2"/>
      <c r="AE1528" s="2"/>
      <c r="AF1528" s="2"/>
      <c r="AG1528" s="2"/>
      <c r="AH1528" s="2"/>
      <c r="AJ1528" s="215"/>
      <c r="AK1528" s="215"/>
      <c r="AL1528" s="215"/>
      <c r="AM1528" s="215"/>
      <c r="AO1528" s="10"/>
      <c r="AP1528" s="10"/>
      <c r="AQ1528" s="10"/>
      <c r="AR1528" s="10"/>
      <c r="AS1528" s="10"/>
      <c r="AU1528" s="2"/>
      <c r="AV1528" s="2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</row>
    <row r="1529" spans="1:73" customFormat="1" ht="12.75" hidden="1" customHeight="1" x14ac:dyDescent="0.2">
      <c r="A1529" s="1"/>
      <c r="B1529" s="1"/>
      <c r="C1529" s="1"/>
      <c r="D1529" s="7"/>
      <c r="E1529" s="7"/>
      <c r="F1529" s="6"/>
      <c r="G1529" s="7"/>
      <c r="H1529" s="2"/>
      <c r="I1529" s="2"/>
      <c r="J1529" s="2"/>
      <c r="K1529" s="2"/>
      <c r="L1529" s="178"/>
      <c r="M1529" s="2"/>
      <c r="N1529" s="7"/>
      <c r="P1529" s="7"/>
      <c r="R1529" s="2"/>
      <c r="S1529" s="2"/>
      <c r="T1529" s="2"/>
      <c r="U1529" s="2"/>
      <c r="V1529" s="2"/>
      <c r="X1529" s="38"/>
      <c r="Y1529" s="38"/>
      <c r="Z1529" s="38"/>
      <c r="AA1529" s="38"/>
      <c r="AB1529" s="38"/>
      <c r="AD1529" s="2"/>
      <c r="AE1529" s="2"/>
      <c r="AF1529" s="2"/>
      <c r="AG1529" s="2"/>
      <c r="AH1529" s="2"/>
      <c r="AJ1529" s="215"/>
      <c r="AK1529" s="215"/>
      <c r="AL1529" s="215"/>
      <c r="AM1529" s="215"/>
      <c r="AO1529" s="10"/>
      <c r="AP1529" s="10"/>
      <c r="AQ1529" s="10"/>
      <c r="AR1529" s="10"/>
      <c r="AS1529" s="10"/>
      <c r="AU1529" s="2"/>
      <c r="AV1529" s="2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</row>
    <row r="1530" spans="1:73" customFormat="1" ht="12.75" hidden="1" customHeight="1" x14ac:dyDescent="0.2">
      <c r="A1530" s="1"/>
      <c r="B1530" s="1"/>
      <c r="C1530" s="1"/>
      <c r="D1530" s="7"/>
      <c r="E1530" s="7"/>
      <c r="F1530" s="6"/>
      <c r="G1530" s="7"/>
      <c r="H1530" s="2"/>
      <c r="I1530" s="2"/>
      <c r="J1530" s="2"/>
      <c r="K1530" s="2"/>
      <c r="L1530" s="178"/>
      <c r="M1530" s="2"/>
      <c r="N1530" s="7"/>
      <c r="P1530" s="7"/>
      <c r="R1530" s="2"/>
      <c r="S1530" s="2"/>
      <c r="T1530" s="2"/>
      <c r="U1530" s="2"/>
      <c r="V1530" s="2"/>
      <c r="X1530" s="38"/>
      <c r="Y1530" s="38"/>
      <c r="Z1530" s="38"/>
      <c r="AA1530" s="38"/>
      <c r="AB1530" s="38"/>
      <c r="AD1530" s="2"/>
      <c r="AE1530" s="2"/>
      <c r="AF1530" s="2"/>
      <c r="AG1530" s="2"/>
      <c r="AH1530" s="2"/>
      <c r="AJ1530" s="215"/>
      <c r="AK1530" s="215"/>
      <c r="AL1530" s="215"/>
      <c r="AM1530" s="215"/>
      <c r="AO1530" s="10"/>
      <c r="AP1530" s="10"/>
      <c r="AQ1530" s="10"/>
      <c r="AR1530" s="10"/>
      <c r="AS1530" s="10"/>
      <c r="AU1530" s="2"/>
      <c r="AV1530" s="2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</row>
    <row r="1531" spans="1:73" customFormat="1" ht="12.75" hidden="1" customHeight="1" x14ac:dyDescent="0.2">
      <c r="A1531" s="1"/>
      <c r="B1531" s="1"/>
      <c r="C1531" s="1"/>
      <c r="D1531" s="7"/>
      <c r="E1531" s="7"/>
      <c r="F1531" s="6"/>
      <c r="G1531" s="7"/>
      <c r="H1531" s="2"/>
      <c r="I1531" s="2"/>
      <c r="J1531" s="2"/>
      <c r="K1531" s="2"/>
      <c r="L1531" s="178"/>
      <c r="M1531" s="2"/>
      <c r="N1531" s="7"/>
      <c r="P1531" s="7"/>
      <c r="R1531" s="2"/>
      <c r="S1531" s="2"/>
      <c r="T1531" s="2"/>
      <c r="U1531" s="2"/>
      <c r="V1531" s="2"/>
      <c r="X1531" s="38"/>
      <c r="Y1531" s="38"/>
      <c r="Z1531" s="38"/>
      <c r="AA1531" s="38"/>
      <c r="AB1531" s="38"/>
      <c r="AD1531" s="2"/>
      <c r="AE1531" s="2"/>
      <c r="AF1531" s="2"/>
      <c r="AG1531" s="2"/>
      <c r="AH1531" s="2"/>
      <c r="AJ1531" s="215"/>
      <c r="AK1531" s="215"/>
      <c r="AL1531" s="215"/>
      <c r="AM1531" s="215"/>
      <c r="AO1531" s="10"/>
      <c r="AP1531" s="10"/>
      <c r="AQ1531" s="10"/>
      <c r="AR1531" s="10"/>
      <c r="AS1531" s="10"/>
      <c r="AU1531" s="2"/>
      <c r="AV1531" s="2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</row>
    <row r="1532" spans="1:73" customFormat="1" ht="12.75" hidden="1" customHeight="1" x14ac:dyDescent="0.2">
      <c r="A1532" s="1"/>
      <c r="B1532" s="1"/>
      <c r="C1532" s="1"/>
      <c r="D1532" s="7"/>
      <c r="E1532" s="7"/>
      <c r="F1532" s="6"/>
      <c r="G1532" s="7"/>
      <c r="H1532" s="2"/>
      <c r="I1532" s="2"/>
      <c r="J1532" s="2"/>
      <c r="K1532" s="2"/>
      <c r="L1532" s="178"/>
      <c r="M1532" s="2"/>
      <c r="N1532" s="7"/>
      <c r="P1532" s="7"/>
      <c r="R1532" s="2"/>
      <c r="S1532" s="2"/>
      <c r="T1532" s="2"/>
      <c r="U1532" s="2"/>
      <c r="V1532" s="2"/>
      <c r="X1532" s="38"/>
      <c r="Y1532" s="38"/>
      <c r="Z1532" s="38"/>
      <c r="AA1532" s="38"/>
      <c r="AB1532" s="38"/>
      <c r="AD1532" s="2"/>
      <c r="AE1532" s="2"/>
      <c r="AF1532" s="2"/>
      <c r="AG1532" s="2"/>
      <c r="AH1532" s="2"/>
      <c r="AJ1532" s="215"/>
      <c r="AK1532" s="215"/>
      <c r="AL1532" s="215"/>
      <c r="AM1532" s="215"/>
      <c r="AO1532" s="10"/>
      <c r="AP1532" s="10"/>
      <c r="AQ1532" s="10"/>
      <c r="AR1532" s="10"/>
      <c r="AS1532" s="10"/>
      <c r="AU1532" s="2"/>
      <c r="AV1532" s="2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</row>
    <row r="1533" spans="1:73" customFormat="1" ht="12.75" hidden="1" customHeight="1" x14ac:dyDescent="0.2">
      <c r="A1533" s="1"/>
      <c r="B1533" s="1"/>
      <c r="C1533" s="1"/>
      <c r="D1533" s="7"/>
      <c r="E1533" s="7"/>
      <c r="F1533" s="6"/>
      <c r="G1533" s="7"/>
      <c r="H1533" s="2"/>
      <c r="I1533" s="2"/>
      <c r="J1533" s="2"/>
      <c r="K1533" s="2"/>
      <c r="L1533" s="178"/>
      <c r="M1533" s="2"/>
      <c r="N1533" s="7"/>
      <c r="P1533" s="7"/>
      <c r="R1533" s="2"/>
      <c r="S1533" s="2"/>
      <c r="T1533" s="2"/>
      <c r="U1533" s="2"/>
      <c r="V1533" s="2"/>
      <c r="X1533" s="38"/>
      <c r="Y1533" s="38"/>
      <c r="Z1533" s="38"/>
      <c r="AA1533" s="38"/>
      <c r="AB1533" s="38"/>
      <c r="AD1533" s="2"/>
      <c r="AE1533" s="2"/>
      <c r="AF1533" s="2"/>
      <c r="AG1533" s="2"/>
      <c r="AH1533" s="2"/>
      <c r="AJ1533" s="215"/>
      <c r="AK1533" s="215"/>
      <c r="AL1533" s="215"/>
      <c r="AM1533" s="215"/>
      <c r="AO1533" s="10"/>
      <c r="AP1533" s="10"/>
      <c r="AQ1533" s="10"/>
      <c r="AR1533" s="10"/>
      <c r="AS1533" s="10"/>
      <c r="AU1533" s="2"/>
      <c r="AV1533" s="2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</row>
    <row r="1534" spans="1:73" customFormat="1" ht="12.75" hidden="1" customHeight="1" x14ac:dyDescent="0.2">
      <c r="A1534" s="1"/>
      <c r="B1534" s="1"/>
      <c r="C1534" s="1"/>
      <c r="D1534" s="7"/>
      <c r="E1534" s="7"/>
      <c r="F1534" s="6"/>
      <c r="G1534" s="7"/>
      <c r="H1534" s="2"/>
      <c r="I1534" s="2"/>
      <c r="J1534" s="2"/>
      <c r="K1534" s="2"/>
      <c r="L1534" s="178"/>
      <c r="M1534" s="2"/>
      <c r="N1534" s="7"/>
      <c r="P1534" s="7"/>
      <c r="R1534" s="2"/>
      <c r="S1534" s="2"/>
      <c r="T1534" s="2"/>
      <c r="U1534" s="2"/>
      <c r="V1534" s="2"/>
      <c r="X1534" s="38"/>
      <c r="Y1534" s="38"/>
      <c r="Z1534" s="38"/>
      <c r="AA1534" s="38"/>
      <c r="AB1534" s="38"/>
      <c r="AD1534" s="2"/>
      <c r="AE1534" s="2"/>
      <c r="AF1534" s="2"/>
      <c r="AG1534" s="2"/>
      <c r="AH1534" s="2"/>
      <c r="AJ1534" s="215"/>
      <c r="AK1534" s="215"/>
      <c r="AL1534" s="215"/>
      <c r="AM1534" s="215"/>
      <c r="AO1534" s="10"/>
      <c r="AP1534" s="10"/>
      <c r="AQ1534" s="10"/>
      <c r="AR1534" s="10"/>
      <c r="AS1534" s="10"/>
      <c r="AU1534" s="2"/>
      <c r="AV1534" s="2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</row>
    <row r="1535" spans="1:73" customFormat="1" ht="12.75" hidden="1" customHeight="1" x14ac:dyDescent="0.2">
      <c r="A1535" s="1"/>
      <c r="B1535" s="1"/>
      <c r="C1535" s="1"/>
      <c r="D1535" s="7"/>
      <c r="E1535" s="7"/>
      <c r="F1535" s="6"/>
      <c r="G1535" s="7"/>
      <c r="H1535" s="2"/>
      <c r="I1535" s="2"/>
      <c r="J1535" s="2"/>
      <c r="K1535" s="2"/>
      <c r="L1535" s="178"/>
      <c r="M1535" s="2"/>
      <c r="N1535" s="7"/>
      <c r="P1535" s="7"/>
      <c r="R1535" s="2"/>
      <c r="S1535" s="2"/>
      <c r="T1535" s="2"/>
      <c r="U1535" s="2"/>
      <c r="V1535" s="2"/>
      <c r="X1535" s="38"/>
      <c r="Y1535" s="38"/>
      <c r="Z1535" s="38"/>
      <c r="AA1535" s="38"/>
      <c r="AB1535" s="38"/>
      <c r="AD1535" s="2"/>
      <c r="AE1535" s="2"/>
      <c r="AF1535" s="2"/>
      <c r="AG1535" s="2"/>
      <c r="AH1535" s="2"/>
      <c r="AJ1535" s="215"/>
      <c r="AK1535" s="215"/>
      <c r="AL1535" s="215"/>
      <c r="AM1535" s="215"/>
      <c r="AO1535" s="10"/>
      <c r="AP1535" s="10"/>
      <c r="AQ1535" s="10"/>
      <c r="AR1535" s="10"/>
      <c r="AS1535" s="10"/>
      <c r="AU1535" s="2"/>
      <c r="AV1535" s="2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</row>
    <row r="1536" spans="1:73" customFormat="1" ht="12.75" hidden="1" customHeight="1" x14ac:dyDescent="0.2">
      <c r="A1536" s="1"/>
      <c r="B1536" s="1"/>
      <c r="C1536" s="1"/>
      <c r="D1536" s="7"/>
      <c r="E1536" s="7"/>
      <c r="F1536" s="6"/>
      <c r="G1536" s="7"/>
      <c r="H1536" s="2"/>
      <c r="I1536" s="2"/>
      <c r="J1536" s="2"/>
      <c r="K1536" s="2"/>
      <c r="L1536" s="178"/>
      <c r="M1536" s="2"/>
      <c r="N1536" s="7"/>
      <c r="P1536" s="7"/>
      <c r="R1536" s="2"/>
      <c r="S1536" s="2"/>
      <c r="T1536" s="2"/>
      <c r="U1536" s="2"/>
      <c r="V1536" s="2"/>
      <c r="X1536" s="38"/>
      <c r="Y1536" s="38"/>
      <c r="Z1536" s="38"/>
      <c r="AA1536" s="38"/>
      <c r="AB1536" s="38"/>
      <c r="AD1536" s="2"/>
      <c r="AE1536" s="2"/>
      <c r="AF1536" s="2"/>
      <c r="AG1536" s="2"/>
      <c r="AH1536" s="2"/>
      <c r="AJ1536" s="215"/>
      <c r="AK1536" s="215"/>
      <c r="AL1536" s="215"/>
      <c r="AM1536" s="215"/>
      <c r="AO1536" s="10"/>
      <c r="AP1536" s="10"/>
      <c r="AQ1536" s="10"/>
      <c r="AR1536" s="10"/>
      <c r="AS1536" s="10"/>
      <c r="AU1536" s="2"/>
      <c r="AV1536" s="2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</row>
    <row r="1537" spans="1:73" customFormat="1" ht="12.75" hidden="1" customHeight="1" x14ac:dyDescent="0.2">
      <c r="A1537" s="1"/>
      <c r="B1537" s="1"/>
      <c r="C1537" s="1"/>
      <c r="D1537" s="7"/>
      <c r="E1537" s="7"/>
      <c r="F1537" s="6"/>
      <c r="G1537" s="7"/>
      <c r="H1537" s="2"/>
      <c r="I1537" s="2"/>
      <c r="J1537" s="2"/>
      <c r="K1537" s="2"/>
      <c r="L1537" s="178"/>
      <c r="M1537" s="2"/>
      <c r="N1537" s="7"/>
      <c r="P1537" s="7"/>
      <c r="R1537" s="2"/>
      <c r="S1537" s="2"/>
      <c r="T1537" s="2"/>
      <c r="U1537" s="2"/>
      <c r="V1537" s="2"/>
      <c r="X1537" s="38"/>
      <c r="Y1537" s="38"/>
      <c r="Z1537" s="38"/>
      <c r="AA1537" s="38"/>
      <c r="AB1537" s="38"/>
      <c r="AD1537" s="2"/>
      <c r="AE1537" s="2"/>
      <c r="AF1537" s="2"/>
      <c r="AG1537" s="2"/>
      <c r="AH1537" s="2"/>
      <c r="AJ1537" s="215"/>
      <c r="AK1537" s="215"/>
      <c r="AL1537" s="215"/>
      <c r="AM1537" s="215"/>
      <c r="AO1537" s="10"/>
      <c r="AP1537" s="10"/>
      <c r="AQ1537" s="10"/>
      <c r="AR1537" s="10"/>
      <c r="AS1537" s="10"/>
      <c r="AU1537" s="2"/>
      <c r="AV1537" s="2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</row>
    <row r="1538" spans="1:73" customFormat="1" ht="12.75" hidden="1" customHeight="1" x14ac:dyDescent="0.2">
      <c r="A1538" s="1"/>
      <c r="B1538" s="1"/>
      <c r="C1538" s="1"/>
      <c r="D1538" s="7"/>
      <c r="E1538" s="7"/>
      <c r="F1538" s="6"/>
      <c r="G1538" s="7"/>
      <c r="H1538" s="2"/>
      <c r="I1538" s="2"/>
      <c r="J1538" s="2"/>
      <c r="K1538" s="2"/>
      <c r="L1538" s="178"/>
      <c r="M1538" s="2"/>
      <c r="N1538" s="7"/>
      <c r="P1538" s="7"/>
      <c r="R1538" s="2"/>
      <c r="S1538" s="2"/>
      <c r="T1538" s="2"/>
      <c r="U1538" s="2"/>
      <c r="V1538" s="2"/>
      <c r="X1538" s="38"/>
      <c r="Y1538" s="38"/>
      <c r="Z1538" s="38"/>
      <c r="AA1538" s="38"/>
      <c r="AB1538" s="38"/>
      <c r="AD1538" s="2"/>
      <c r="AE1538" s="2"/>
      <c r="AF1538" s="2"/>
      <c r="AG1538" s="2"/>
      <c r="AH1538" s="2"/>
      <c r="AJ1538" s="215"/>
      <c r="AK1538" s="215"/>
      <c r="AL1538" s="215"/>
      <c r="AM1538" s="215"/>
      <c r="AO1538" s="10"/>
      <c r="AP1538" s="10"/>
      <c r="AQ1538" s="10"/>
      <c r="AR1538" s="10"/>
      <c r="AS1538" s="10"/>
      <c r="AU1538" s="2"/>
      <c r="AV1538" s="2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</row>
    <row r="1539" spans="1:73" customFormat="1" ht="12.75" hidden="1" customHeight="1" x14ac:dyDescent="0.2">
      <c r="A1539" s="1"/>
      <c r="B1539" s="1"/>
      <c r="C1539" s="1"/>
      <c r="D1539" s="7"/>
      <c r="E1539" s="7"/>
      <c r="F1539" s="6"/>
      <c r="G1539" s="7"/>
      <c r="H1539" s="2"/>
      <c r="I1539" s="2"/>
      <c r="J1539" s="2"/>
      <c r="K1539" s="2"/>
      <c r="L1539" s="178"/>
      <c r="M1539" s="2"/>
      <c r="N1539" s="7"/>
      <c r="P1539" s="7"/>
      <c r="R1539" s="2"/>
      <c r="S1539" s="2"/>
      <c r="T1539" s="2"/>
      <c r="U1539" s="2"/>
      <c r="V1539" s="2"/>
      <c r="X1539" s="38"/>
      <c r="Y1539" s="38"/>
      <c r="Z1539" s="38"/>
      <c r="AA1539" s="38"/>
      <c r="AB1539" s="38"/>
      <c r="AD1539" s="2"/>
      <c r="AE1539" s="2"/>
      <c r="AF1539" s="2"/>
      <c r="AG1539" s="2"/>
      <c r="AH1539" s="2"/>
      <c r="AJ1539" s="215"/>
      <c r="AK1539" s="215"/>
      <c r="AL1539" s="215"/>
      <c r="AM1539" s="215"/>
      <c r="AO1539" s="10"/>
      <c r="AP1539" s="10"/>
      <c r="AQ1539" s="10"/>
      <c r="AR1539" s="10"/>
      <c r="AS1539" s="10"/>
      <c r="AU1539" s="2"/>
      <c r="AV1539" s="2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</row>
    <row r="1540" spans="1:73" customFormat="1" ht="12.75" hidden="1" customHeight="1" x14ac:dyDescent="0.2">
      <c r="A1540" s="1"/>
      <c r="B1540" s="1"/>
      <c r="C1540" s="1"/>
      <c r="D1540" s="7"/>
      <c r="E1540" s="7"/>
      <c r="F1540" s="6"/>
      <c r="G1540" s="7"/>
      <c r="H1540" s="2"/>
      <c r="I1540" s="2"/>
      <c r="J1540" s="2"/>
      <c r="K1540" s="2"/>
      <c r="L1540" s="178"/>
      <c r="M1540" s="2"/>
      <c r="N1540" s="7"/>
      <c r="P1540" s="7"/>
      <c r="R1540" s="2"/>
      <c r="S1540" s="2"/>
      <c r="T1540" s="2"/>
      <c r="U1540" s="2"/>
      <c r="V1540" s="2"/>
      <c r="X1540" s="38"/>
      <c r="Y1540" s="38"/>
      <c r="Z1540" s="38"/>
      <c r="AA1540" s="38"/>
      <c r="AB1540" s="38"/>
      <c r="AD1540" s="2"/>
      <c r="AE1540" s="2"/>
      <c r="AF1540" s="2"/>
      <c r="AG1540" s="2"/>
      <c r="AH1540" s="2"/>
      <c r="AJ1540" s="215"/>
      <c r="AK1540" s="215"/>
      <c r="AL1540" s="215"/>
      <c r="AM1540" s="215"/>
      <c r="AO1540" s="10"/>
      <c r="AP1540" s="10"/>
      <c r="AQ1540" s="10"/>
      <c r="AR1540" s="10"/>
      <c r="AS1540" s="10"/>
      <c r="AU1540" s="2"/>
      <c r="AV1540" s="2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</row>
    <row r="1541" spans="1:73" customFormat="1" ht="12.75" hidden="1" customHeight="1" x14ac:dyDescent="0.2">
      <c r="A1541" s="1"/>
      <c r="B1541" s="1"/>
      <c r="C1541" s="1"/>
      <c r="D1541" s="7"/>
      <c r="E1541" s="7"/>
      <c r="F1541" s="6"/>
      <c r="G1541" s="7"/>
      <c r="H1541" s="2"/>
      <c r="I1541" s="2"/>
      <c r="J1541" s="2"/>
      <c r="K1541" s="2"/>
      <c r="L1541" s="178"/>
      <c r="M1541" s="2"/>
      <c r="N1541" s="7"/>
      <c r="P1541" s="7"/>
      <c r="R1541" s="2"/>
      <c r="S1541" s="2"/>
      <c r="T1541" s="2"/>
      <c r="U1541" s="2"/>
      <c r="V1541" s="2"/>
      <c r="X1541" s="38"/>
      <c r="Y1541" s="38"/>
      <c r="Z1541" s="38"/>
      <c r="AA1541" s="38"/>
      <c r="AB1541" s="38"/>
      <c r="AD1541" s="2"/>
      <c r="AE1541" s="2"/>
      <c r="AF1541" s="2"/>
      <c r="AG1541" s="2"/>
      <c r="AH1541" s="2"/>
      <c r="AJ1541" s="215"/>
      <c r="AK1541" s="215"/>
      <c r="AL1541" s="215"/>
      <c r="AM1541" s="215"/>
      <c r="AO1541" s="10"/>
      <c r="AP1541" s="10"/>
      <c r="AQ1541" s="10"/>
      <c r="AR1541" s="10"/>
      <c r="AS1541" s="10"/>
      <c r="AU1541" s="2"/>
      <c r="AV1541" s="2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</row>
    <row r="1542" spans="1:73" customFormat="1" ht="12.75" hidden="1" customHeight="1" x14ac:dyDescent="0.2">
      <c r="A1542" s="1"/>
      <c r="B1542" s="1"/>
      <c r="C1542" s="1"/>
      <c r="D1542" s="7"/>
      <c r="E1542" s="7"/>
      <c r="F1542" s="6"/>
      <c r="G1542" s="7"/>
      <c r="H1542" s="2"/>
      <c r="I1542" s="2"/>
      <c r="J1542" s="2"/>
      <c r="K1542" s="2"/>
      <c r="L1542" s="178"/>
      <c r="M1542" s="2"/>
      <c r="N1542" s="7"/>
      <c r="P1542" s="7"/>
      <c r="R1542" s="2"/>
      <c r="S1542" s="2"/>
      <c r="T1542" s="2"/>
      <c r="U1542" s="2"/>
      <c r="V1542" s="2"/>
      <c r="X1542" s="38"/>
      <c r="Y1542" s="38"/>
      <c r="Z1542" s="38"/>
      <c r="AA1542" s="38"/>
      <c r="AB1542" s="38"/>
      <c r="AD1542" s="2"/>
      <c r="AE1542" s="2"/>
      <c r="AF1542" s="2"/>
      <c r="AG1542" s="2"/>
      <c r="AH1542" s="2"/>
      <c r="AJ1542" s="215"/>
      <c r="AK1542" s="215"/>
      <c r="AL1542" s="215"/>
      <c r="AM1542" s="215"/>
      <c r="AO1542" s="10"/>
      <c r="AP1542" s="10"/>
      <c r="AQ1542" s="10"/>
      <c r="AR1542" s="10"/>
      <c r="AS1542" s="10"/>
      <c r="AU1542" s="2"/>
      <c r="AV1542" s="2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</row>
    <row r="1543" spans="1:73" customFormat="1" ht="12.75" hidden="1" customHeight="1" x14ac:dyDescent="0.2">
      <c r="A1543" s="1"/>
      <c r="B1543" s="1"/>
      <c r="C1543" s="1"/>
      <c r="D1543" s="7"/>
      <c r="E1543" s="7"/>
      <c r="F1543" s="6"/>
      <c r="G1543" s="7"/>
      <c r="H1543" s="2"/>
      <c r="I1543" s="2"/>
      <c r="J1543" s="2"/>
      <c r="K1543" s="2"/>
      <c r="L1543" s="178"/>
      <c r="M1543" s="2"/>
      <c r="N1543" s="7"/>
      <c r="P1543" s="7"/>
      <c r="R1543" s="2"/>
      <c r="S1543" s="2"/>
      <c r="T1543" s="2"/>
      <c r="U1543" s="2"/>
      <c r="V1543" s="2"/>
      <c r="X1543" s="38"/>
      <c r="Y1543" s="38"/>
      <c r="Z1543" s="38"/>
      <c r="AA1543" s="38"/>
      <c r="AB1543" s="38"/>
      <c r="AD1543" s="2"/>
      <c r="AE1543" s="2"/>
      <c r="AF1543" s="2"/>
      <c r="AG1543" s="2"/>
      <c r="AH1543" s="2"/>
      <c r="AJ1543" s="215"/>
      <c r="AK1543" s="215"/>
      <c r="AL1543" s="215"/>
      <c r="AM1543" s="215"/>
      <c r="AO1543" s="10"/>
      <c r="AP1543" s="10"/>
      <c r="AQ1543" s="10"/>
      <c r="AR1543" s="10"/>
      <c r="AS1543" s="10"/>
      <c r="AU1543" s="2"/>
      <c r="AV1543" s="2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</row>
    <row r="1544" spans="1:73" customFormat="1" ht="12.75" hidden="1" customHeight="1" x14ac:dyDescent="0.2">
      <c r="A1544" s="1"/>
      <c r="B1544" s="1"/>
      <c r="C1544" s="1"/>
      <c r="D1544" s="7"/>
      <c r="E1544" s="7"/>
      <c r="F1544" s="6"/>
      <c r="G1544" s="7"/>
      <c r="H1544" s="2"/>
      <c r="I1544" s="2"/>
      <c r="J1544" s="2"/>
      <c r="K1544" s="2"/>
      <c r="L1544" s="178"/>
      <c r="M1544" s="2"/>
      <c r="N1544" s="7"/>
      <c r="P1544" s="7"/>
      <c r="R1544" s="2"/>
      <c r="S1544" s="2"/>
      <c r="T1544" s="2"/>
      <c r="U1544" s="2"/>
      <c r="V1544" s="2"/>
      <c r="X1544" s="38"/>
      <c r="Y1544" s="38"/>
      <c r="Z1544" s="38"/>
      <c r="AA1544" s="38"/>
      <c r="AB1544" s="38"/>
      <c r="AD1544" s="2"/>
      <c r="AE1544" s="2"/>
      <c r="AF1544" s="2"/>
      <c r="AG1544" s="2"/>
      <c r="AH1544" s="2"/>
      <c r="AJ1544" s="215"/>
      <c r="AK1544" s="215"/>
      <c r="AL1544" s="215"/>
      <c r="AM1544" s="215"/>
      <c r="AO1544" s="10"/>
      <c r="AP1544" s="10"/>
      <c r="AQ1544" s="10"/>
      <c r="AR1544" s="10"/>
      <c r="AS1544" s="10"/>
      <c r="AU1544" s="2"/>
      <c r="AV1544" s="2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</row>
    <row r="1545" spans="1:73" customFormat="1" ht="12.75" hidden="1" customHeight="1" x14ac:dyDescent="0.2">
      <c r="A1545" s="1"/>
      <c r="B1545" s="1"/>
      <c r="C1545" s="1"/>
      <c r="D1545" s="7"/>
      <c r="E1545" s="7"/>
      <c r="F1545" s="6"/>
      <c r="G1545" s="7"/>
      <c r="H1545" s="2"/>
      <c r="I1545" s="2"/>
      <c r="J1545" s="2"/>
      <c r="K1545" s="2"/>
      <c r="L1545" s="178"/>
      <c r="M1545" s="2"/>
      <c r="N1545" s="7"/>
      <c r="P1545" s="7"/>
      <c r="R1545" s="2"/>
      <c r="S1545" s="2"/>
      <c r="T1545" s="2"/>
      <c r="U1545" s="2"/>
      <c r="V1545" s="2"/>
      <c r="X1545" s="38"/>
      <c r="Y1545" s="38"/>
      <c r="Z1545" s="38"/>
      <c r="AA1545" s="38"/>
      <c r="AB1545" s="38"/>
      <c r="AD1545" s="2"/>
      <c r="AE1545" s="2"/>
      <c r="AF1545" s="2"/>
      <c r="AG1545" s="2"/>
      <c r="AH1545" s="2"/>
      <c r="AJ1545" s="215"/>
      <c r="AK1545" s="215"/>
      <c r="AL1545" s="215"/>
      <c r="AM1545" s="215"/>
      <c r="AO1545" s="10"/>
      <c r="AP1545" s="10"/>
      <c r="AQ1545" s="10"/>
      <c r="AR1545" s="10"/>
      <c r="AS1545" s="10"/>
      <c r="AU1545" s="2"/>
      <c r="AV1545" s="2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</row>
    <row r="1546" spans="1:73" customFormat="1" ht="12.75" hidden="1" customHeight="1" x14ac:dyDescent="0.2">
      <c r="A1546" s="1"/>
      <c r="B1546" s="1"/>
      <c r="C1546" s="1"/>
      <c r="D1546" s="7"/>
      <c r="E1546" s="7"/>
      <c r="F1546" s="6"/>
      <c r="G1546" s="7"/>
      <c r="H1546" s="2"/>
      <c r="I1546" s="2"/>
      <c r="J1546" s="2"/>
      <c r="K1546" s="2"/>
      <c r="L1546" s="178"/>
      <c r="M1546" s="2"/>
      <c r="N1546" s="7"/>
      <c r="P1546" s="7"/>
      <c r="R1546" s="2"/>
      <c r="S1546" s="2"/>
      <c r="T1546" s="2"/>
      <c r="U1546" s="2"/>
      <c r="V1546" s="2"/>
      <c r="X1546" s="38"/>
      <c r="Y1546" s="38"/>
      <c r="Z1546" s="38"/>
      <c r="AA1546" s="38"/>
      <c r="AB1546" s="38"/>
      <c r="AD1546" s="2"/>
      <c r="AE1546" s="2"/>
      <c r="AF1546" s="2"/>
      <c r="AG1546" s="2"/>
      <c r="AH1546" s="2"/>
      <c r="AJ1546" s="215"/>
      <c r="AK1546" s="215"/>
      <c r="AL1546" s="215"/>
      <c r="AM1546" s="215"/>
      <c r="AO1546" s="10"/>
      <c r="AP1546" s="10"/>
      <c r="AQ1546" s="10"/>
      <c r="AR1546" s="10"/>
      <c r="AS1546" s="10"/>
      <c r="AU1546" s="2"/>
      <c r="AV1546" s="2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</row>
    <row r="1547" spans="1:73" customFormat="1" ht="12.75" hidden="1" customHeight="1" x14ac:dyDescent="0.2">
      <c r="A1547" s="1"/>
      <c r="B1547" s="1"/>
      <c r="C1547" s="1"/>
      <c r="D1547" s="7"/>
      <c r="E1547" s="7"/>
      <c r="F1547" s="6"/>
      <c r="G1547" s="7"/>
      <c r="H1547" s="2"/>
      <c r="I1547" s="2"/>
      <c r="J1547" s="2"/>
      <c r="K1547" s="2"/>
      <c r="L1547" s="178"/>
      <c r="M1547" s="2"/>
      <c r="N1547" s="7"/>
      <c r="P1547" s="7"/>
      <c r="R1547" s="2"/>
      <c r="S1547" s="2"/>
      <c r="T1547" s="2"/>
      <c r="U1547" s="2"/>
      <c r="V1547" s="2"/>
      <c r="X1547" s="38"/>
      <c r="Y1547" s="38"/>
      <c r="Z1547" s="38"/>
      <c r="AA1547" s="38"/>
      <c r="AB1547" s="38"/>
      <c r="AD1547" s="2"/>
      <c r="AE1547" s="2"/>
      <c r="AF1547" s="2"/>
      <c r="AG1547" s="2"/>
      <c r="AH1547" s="2"/>
      <c r="AJ1547" s="215"/>
      <c r="AK1547" s="215"/>
      <c r="AL1547" s="215"/>
      <c r="AM1547" s="215"/>
      <c r="AO1547" s="10"/>
      <c r="AP1547" s="10"/>
      <c r="AQ1547" s="10"/>
      <c r="AR1547" s="10"/>
      <c r="AS1547" s="10"/>
      <c r="AU1547" s="2"/>
      <c r="AV1547" s="2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</row>
    <row r="1548" spans="1:73" customFormat="1" ht="12.75" hidden="1" customHeight="1" x14ac:dyDescent="0.2">
      <c r="A1548" s="1"/>
      <c r="B1548" s="1"/>
      <c r="C1548" s="1"/>
      <c r="D1548" s="7"/>
      <c r="E1548" s="7"/>
      <c r="F1548" s="6"/>
      <c r="G1548" s="7"/>
      <c r="H1548" s="2"/>
      <c r="I1548" s="2"/>
      <c r="J1548" s="2"/>
      <c r="K1548" s="2"/>
      <c r="L1548" s="178"/>
      <c r="M1548" s="2"/>
      <c r="N1548" s="7"/>
      <c r="P1548" s="7"/>
      <c r="R1548" s="2"/>
      <c r="S1548" s="2"/>
      <c r="T1548" s="2"/>
      <c r="U1548" s="2"/>
      <c r="V1548" s="2"/>
      <c r="X1548" s="38"/>
      <c r="Y1548" s="38"/>
      <c r="Z1548" s="38"/>
      <c r="AA1548" s="38"/>
      <c r="AB1548" s="38"/>
      <c r="AD1548" s="2"/>
      <c r="AE1548" s="2"/>
      <c r="AF1548" s="2"/>
      <c r="AG1548" s="2"/>
      <c r="AH1548" s="2"/>
      <c r="AJ1548" s="215"/>
      <c r="AK1548" s="215"/>
      <c r="AL1548" s="215"/>
      <c r="AM1548" s="215"/>
      <c r="AO1548" s="10"/>
      <c r="AP1548" s="10"/>
      <c r="AQ1548" s="10"/>
      <c r="AR1548" s="10"/>
      <c r="AS1548" s="10"/>
      <c r="AU1548" s="2"/>
      <c r="AV1548" s="2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</row>
    <row r="1549" spans="1:73" customFormat="1" ht="12.75" hidden="1" customHeight="1" x14ac:dyDescent="0.2">
      <c r="A1549" s="1"/>
      <c r="B1549" s="1"/>
      <c r="C1549" s="1"/>
      <c r="D1549" s="7"/>
      <c r="E1549" s="7"/>
      <c r="F1549" s="6"/>
      <c r="G1549" s="7"/>
      <c r="H1549" s="2"/>
      <c r="I1549" s="2"/>
      <c r="J1549" s="2"/>
      <c r="K1549" s="2"/>
      <c r="L1549" s="178"/>
      <c r="M1549" s="2"/>
      <c r="N1549" s="7"/>
      <c r="P1549" s="7"/>
      <c r="R1549" s="2"/>
      <c r="S1549" s="2"/>
      <c r="T1549" s="2"/>
      <c r="U1549" s="2"/>
      <c r="V1549" s="2"/>
      <c r="X1549" s="38"/>
      <c r="Y1549" s="38"/>
      <c r="Z1549" s="38"/>
      <c r="AA1549" s="38"/>
      <c r="AB1549" s="38"/>
      <c r="AD1549" s="2"/>
      <c r="AE1549" s="2"/>
      <c r="AF1549" s="2"/>
      <c r="AG1549" s="2"/>
      <c r="AH1549" s="2"/>
      <c r="AJ1549" s="215"/>
      <c r="AK1549" s="215"/>
      <c r="AL1549" s="215"/>
      <c r="AM1549" s="215"/>
      <c r="AO1549" s="10"/>
      <c r="AP1549" s="10"/>
      <c r="AQ1549" s="10"/>
      <c r="AR1549" s="10"/>
      <c r="AS1549" s="10"/>
      <c r="AU1549" s="2"/>
      <c r="AV1549" s="2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</row>
    <row r="1550" spans="1:73" customFormat="1" ht="12.75" hidden="1" customHeight="1" x14ac:dyDescent="0.2">
      <c r="A1550" s="1"/>
      <c r="B1550" s="1"/>
      <c r="C1550" s="1"/>
      <c r="D1550" s="7"/>
      <c r="E1550" s="7"/>
      <c r="F1550" s="6"/>
      <c r="G1550" s="7"/>
      <c r="H1550" s="2"/>
      <c r="I1550" s="2"/>
      <c r="J1550" s="2"/>
      <c r="K1550" s="2"/>
      <c r="L1550" s="178"/>
      <c r="M1550" s="2"/>
      <c r="N1550" s="7"/>
      <c r="P1550" s="7"/>
      <c r="R1550" s="2"/>
      <c r="S1550" s="2"/>
      <c r="T1550" s="2"/>
      <c r="U1550" s="2"/>
      <c r="V1550" s="2"/>
      <c r="X1550" s="38"/>
      <c r="Y1550" s="38"/>
      <c r="Z1550" s="38"/>
      <c r="AA1550" s="38"/>
      <c r="AB1550" s="38"/>
      <c r="AD1550" s="2"/>
      <c r="AE1550" s="2"/>
      <c r="AF1550" s="2"/>
      <c r="AG1550" s="2"/>
      <c r="AH1550" s="2"/>
      <c r="AJ1550" s="215"/>
      <c r="AK1550" s="215"/>
      <c r="AL1550" s="215"/>
      <c r="AM1550" s="215"/>
      <c r="AO1550" s="10"/>
      <c r="AP1550" s="10"/>
      <c r="AQ1550" s="10"/>
      <c r="AR1550" s="10"/>
      <c r="AS1550" s="10"/>
      <c r="AU1550" s="2"/>
      <c r="AV1550" s="2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</row>
    <row r="1551" spans="1:73" customFormat="1" ht="12.75" hidden="1" customHeight="1" x14ac:dyDescent="0.2">
      <c r="A1551" s="1"/>
      <c r="B1551" s="1"/>
      <c r="C1551" s="1"/>
      <c r="D1551" s="7"/>
      <c r="E1551" s="7"/>
      <c r="F1551" s="6"/>
      <c r="G1551" s="7"/>
      <c r="H1551" s="2"/>
      <c r="I1551" s="2"/>
      <c r="J1551" s="2"/>
      <c r="K1551" s="2"/>
      <c r="L1551" s="178"/>
      <c r="M1551" s="2"/>
      <c r="N1551" s="7"/>
      <c r="P1551" s="7"/>
      <c r="R1551" s="2"/>
      <c r="S1551" s="2"/>
      <c r="T1551" s="2"/>
      <c r="U1551" s="2"/>
      <c r="V1551" s="2"/>
      <c r="X1551" s="38"/>
      <c r="Y1551" s="38"/>
      <c r="Z1551" s="38"/>
      <c r="AA1551" s="38"/>
      <c r="AB1551" s="38"/>
      <c r="AD1551" s="2"/>
      <c r="AE1551" s="2"/>
      <c r="AF1551" s="2"/>
      <c r="AG1551" s="2"/>
      <c r="AH1551" s="2"/>
      <c r="AJ1551" s="215"/>
      <c r="AK1551" s="215"/>
      <c r="AL1551" s="215"/>
      <c r="AM1551" s="215"/>
      <c r="AO1551" s="10"/>
      <c r="AP1551" s="10"/>
      <c r="AQ1551" s="10"/>
      <c r="AR1551" s="10"/>
      <c r="AS1551" s="10"/>
      <c r="AU1551" s="2"/>
      <c r="AV1551" s="2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</row>
    <row r="1552" spans="1:73" customFormat="1" ht="12.75" hidden="1" customHeight="1" x14ac:dyDescent="0.2">
      <c r="A1552" s="1"/>
      <c r="B1552" s="1"/>
      <c r="C1552" s="1"/>
      <c r="D1552" s="7"/>
      <c r="E1552" s="7"/>
      <c r="F1552" s="6"/>
      <c r="G1552" s="7"/>
      <c r="H1552" s="2"/>
      <c r="I1552" s="2"/>
      <c r="J1552" s="2"/>
      <c r="K1552" s="2"/>
      <c r="L1552" s="178"/>
      <c r="M1552" s="2"/>
      <c r="N1552" s="7"/>
      <c r="P1552" s="7"/>
      <c r="R1552" s="2"/>
      <c r="S1552" s="2"/>
      <c r="T1552" s="2"/>
      <c r="U1552" s="2"/>
      <c r="V1552" s="2"/>
      <c r="X1552" s="38"/>
      <c r="Y1552" s="38"/>
      <c r="Z1552" s="38"/>
      <c r="AA1552" s="38"/>
      <c r="AB1552" s="38"/>
      <c r="AD1552" s="2"/>
      <c r="AE1552" s="2"/>
      <c r="AF1552" s="2"/>
      <c r="AG1552" s="2"/>
      <c r="AH1552" s="2"/>
      <c r="AJ1552" s="215"/>
      <c r="AK1552" s="215"/>
      <c r="AL1552" s="215"/>
      <c r="AM1552" s="215"/>
      <c r="AO1552" s="10"/>
      <c r="AP1552" s="10"/>
      <c r="AQ1552" s="10"/>
      <c r="AR1552" s="10"/>
      <c r="AS1552" s="10"/>
      <c r="AU1552" s="2"/>
      <c r="AV1552" s="2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</row>
    <row r="1553" spans="1:73" customFormat="1" ht="12.75" hidden="1" customHeight="1" x14ac:dyDescent="0.2">
      <c r="A1553" s="1"/>
      <c r="B1553" s="1"/>
      <c r="C1553" s="1"/>
      <c r="D1553" s="7"/>
      <c r="E1553" s="7"/>
      <c r="F1553" s="6"/>
      <c r="G1553" s="7"/>
      <c r="H1553" s="2"/>
      <c r="I1553" s="2"/>
      <c r="J1553" s="2"/>
      <c r="K1553" s="2"/>
      <c r="L1553" s="178"/>
      <c r="M1553" s="2"/>
      <c r="N1553" s="7"/>
      <c r="P1553" s="7"/>
      <c r="R1553" s="2"/>
      <c r="S1553" s="2"/>
      <c r="T1553" s="2"/>
      <c r="U1553" s="2"/>
      <c r="V1553" s="2"/>
      <c r="X1553" s="38"/>
      <c r="Y1553" s="38"/>
      <c r="Z1553" s="38"/>
      <c r="AA1553" s="38"/>
      <c r="AB1553" s="38"/>
      <c r="AD1553" s="2"/>
      <c r="AE1553" s="2"/>
      <c r="AF1553" s="2"/>
      <c r="AG1553" s="2"/>
      <c r="AH1553" s="2"/>
      <c r="AJ1553" s="215"/>
      <c r="AK1553" s="215"/>
      <c r="AL1553" s="215"/>
      <c r="AM1553" s="215"/>
      <c r="AO1553" s="10"/>
      <c r="AP1553" s="10"/>
      <c r="AQ1553" s="10"/>
      <c r="AR1553" s="10"/>
      <c r="AS1553" s="10"/>
      <c r="AU1553" s="2"/>
      <c r="AV1553" s="2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</row>
    <row r="1554" spans="1:73" customFormat="1" ht="12.75" hidden="1" customHeight="1" x14ac:dyDescent="0.2">
      <c r="A1554" s="1"/>
      <c r="B1554" s="1"/>
      <c r="C1554" s="1"/>
      <c r="D1554" s="7"/>
      <c r="E1554" s="7"/>
      <c r="F1554" s="6"/>
      <c r="G1554" s="7"/>
      <c r="H1554" s="2"/>
      <c r="I1554" s="2"/>
      <c r="J1554" s="2"/>
      <c r="K1554" s="2"/>
      <c r="L1554" s="178"/>
      <c r="M1554" s="2"/>
      <c r="N1554" s="7"/>
      <c r="P1554" s="7"/>
      <c r="R1554" s="2"/>
      <c r="S1554" s="2"/>
      <c r="T1554" s="2"/>
      <c r="U1554" s="2"/>
      <c r="V1554" s="2"/>
      <c r="X1554" s="38"/>
      <c r="Y1554" s="38"/>
      <c r="Z1554" s="38"/>
      <c r="AA1554" s="38"/>
      <c r="AB1554" s="38"/>
      <c r="AD1554" s="2"/>
      <c r="AE1554" s="2"/>
      <c r="AF1554" s="2"/>
      <c r="AG1554" s="2"/>
      <c r="AH1554" s="2"/>
      <c r="AJ1554" s="215"/>
      <c r="AK1554" s="215"/>
      <c r="AL1554" s="215"/>
      <c r="AM1554" s="215"/>
      <c r="AO1554" s="10"/>
      <c r="AP1554" s="10"/>
      <c r="AQ1554" s="10"/>
      <c r="AR1554" s="10"/>
      <c r="AS1554" s="10"/>
      <c r="AU1554" s="2"/>
      <c r="AV1554" s="2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</row>
    <row r="1555" spans="1:73" customFormat="1" ht="12.75" hidden="1" customHeight="1" x14ac:dyDescent="0.2">
      <c r="A1555" s="1"/>
      <c r="B1555" s="1"/>
      <c r="C1555" s="1"/>
      <c r="D1555" s="7"/>
      <c r="E1555" s="7"/>
      <c r="F1555" s="6"/>
      <c r="G1555" s="7"/>
      <c r="H1555" s="2"/>
      <c r="I1555" s="2"/>
      <c r="J1555" s="2"/>
      <c r="K1555" s="2"/>
      <c r="L1555" s="178"/>
      <c r="M1555" s="2"/>
      <c r="N1555" s="7"/>
      <c r="P1555" s="7"/>
      <c r="R1555" s="2"/>
      <c r="S1555" s="2"/>
      <c r="T1555" s="2"/>
      <c r="U1555" s="2"/>
      <c r="V1555" s="2"/>
      <c r="X1555" s="38"/>
      <c r="Y1555" s="38"/>
      <c r="Z1555" s="38"/>
      <c r="AA1555" s="38"/>
      <c r="AB1555" s="38"/>
      <c r="AD1555" s="2"/>
      <c r="AE1555" s="2"/>
      <c r="AF1555" s="2"/>
      <c r="AG1555" s="2"/>
      <c r="AH1555" s="2"/>
      <c r="AJ1555" s="215"/>
      <c r="AK1555" s="215"/>
      <c r="AL1555" s="215"/>
      <c r="AM1555" s="215"/>
      <c r="AO1555" s="10"/>
      <c r="AP1555" s="10"/>
      <c r="AQ1555" s="10"/>
      <c r="AR1555" s="10"/>
      <c r="AS1555" s="10"/>
      <c r="AU1555" s="2"/>
      <c r="AV1555" s="2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</row>
    <row r="1556" spans="1:73" customFormat="1" ht="12.75" hidden="1" customHeight="1" x14ac:dyDescent="0.2">
      <c r="A1556" s="1"/>
      <c r="B1556" s="1"/>
      <c r="C1556" s="1"/>
      <c r="D1556" s="7"/>
      <c r="E1556" s="7"/>
      <c r="F1556" s="6"/>
      <c r="G1556" s="7"/>
      <c r="H1556" s="2"/>
      <c r="I1556" s="2"/>
      <c r="J1556" s="2"/>
      <c r="K1556" s="2"/>
      <c r="L1556" s="178"/>
      <c r="M1556" s="2"/>
      <c r="N1556" s="7"/>
      <c r="P1556" s="7"/>
      <c r="R1556" s="2"/>
      <c r="S1556" s="2"/>
      <c r="T1556" s="2"/>
      <c r="U1556" s="2"/>
      <c r="V1556" s="2"/>
      <c r="X1556" s="38"/>
      <c r="Y1556" s="38"/>
      <c r="Z1556" s="38"/>
      <c r="AA1556" s="38"/>
      <c r="AB1556" s="38"/>
      <c r="AD1556" s="2"/>
      <c r="AE1556" s="2"/>
      <c r="AF1556" s="2"/>
      <c r="AG1556" s="2"/>
      <c r="AH1556" s="2"/>
      <c r="AJ1556" s="215"/>
      <c r="AK1556" s="215"/>
      <c r="AL1556" s="215"/>
      <c r="AM1556" s="215"/>
      <c r="AO1556" s="10"/>
      <c r="AP1556" s="10"/>
      <c r="AQ1556" s="10"/>
      <c r="AR1556" s="10"/>
      <c r="AS1556" s="10"/>
      <c r="AU1556" s="2"/>
      <c r="AV1556" s="2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</row>
    <row r="1557" spans="1:73" customFormat="1" ht="12.75" hidden="1" customHeight="1" x14ac:dyDescent="0.2">
      <c r="A1557" s="1"/>
      <c r="B1557" s="1"/>
      <c r="C1557" s="1"/>
      <c r="D1557" s="7"/>
      <c r="E1557" s="7"/>
      <c r="F1557" s="6"/>
      <c r="G1557" s="7"/>
      <c r="H1557" s="2"/>
      <c r="I1557" s="2"/>
      <c r="J1557" s="2"/>
      <c r="K1557" s="2"/>
      <c r="L1557" s="178"/>
      <c r="M1557" s="2"/>
      <c r="N1557" s="7"/>
      <c r="P1557" s="7"/>
      <c r="R1557" s="2"/>
      <c r="S1557" s="2"/>
      <c r="T1557" s="2"/>
      <c r="U1557" s="2"/>
      <c r="V1557" s="2"/>
      <c r="X1557" s="38"/>
      <c r="Y1557" s="38"/>
      <c r="Z1557" s="38"/>
      <c r="AA1557" s="38"/>
      <c r="AB1557" s="38"/>
      <c r="AD1557" s="2"/>
      <c r="AE1557" s="2"/>
      <c r="AF1557" s="2"/>
      <c r="AG1557" s="2"/>
      <c r="AH1557" s="2"/>
      <c r="AJ1557" s="215"/>
      <c r="AK1557" s="215"/>
      <c r="AL1557" s="215"/>
      <c r="AM1557" s="215"/>
      <c r="AO1557" s="10"/>
      <c r="AP1557" s="10"/>
      <c r="AQ1557" s="10"/>
      <c r="AR1557" s="10"/>
      <c r="AS1557" s="10"/>
      <c r="AU1557" s="2"/>
      <c r="AV1557" s="2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</row>
    <row r="1558" spans="1:73" customFormat="1" ht="12.75" hidden="1" customHeight="1" x14ac:dyDescent="0.2">
      <c r="A1558" s="1"/>
      <c r="B1558" s="1"/>
      <c r="C1558" s="1"/>
      <c r="D1558" s="7"/>
      <c r="E1558" s="7"/>
      <c r="F1558" s="6"/>
      <c r="G1558" s="7"/>
      <c r="H1558" s="2"/>
      <c r="I1558" s="2"/>
      <c r="J1558" s="2"/>
      <c r="K1558" s="2"/>
      <c r="L1558" s="178"/>
      <c r="M1558" s="2"/>
      <c r="N1558" s="7"/>
      <c r="P1558" s="7"/>
      <c r="R1558" s="2"/>
      <c r="S1558" s="2"/>
      <c r="T1558" s="2"/>
      <c r="U1558" s="2"/>
      <c r="V1558" s="2"/>
      <c r="X1558" s="38"/>
      <c r="Y1558" s="38"/>
      <c r="Z1558" s="38"/>
      <c r="AA1558" s="38"/>
      <c r="AB1558" s="38"/>
      <c r="AD1558" s="2"/>
      <c r="AE1558" s="2"/>
      <c r="AF1558" s="2"/>
      <c r="AG1558" s="2"/>
      <c r="AH1558" s="2"/>
      <c r="AJ1558" s="215"/>
      <c r="AK1558" s="215"/>
      <c r="AL1558" s="215"/>
      <c r="AM1558" s="215"/>
      <c r="AO1558" s="10"/>
      <c r="AP1558" s="10"/>
      <c r="AQ1558" s="10"/>
      <c r="AR1558" s="10"/>
      <c r="AS1558" s="10"/>
      <c r="AU1558" s="2"/>
      <c r="AV1558" s="2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</row>
    <row r="1559" spans="1:73" customFormat="1" ht="12.75" hidden="1" customHeight="1" x14ac:dyDescent="0.2">
      <c r="A1559" s="1"/>
      <c r="B1559" s="1"/>
      <c r="C1559" s="1"/>
      <c r="D1559" s="7"/>
      <c r="E1559" s="7"/>
      <c r="F1559" s="6"/>
      <c r="G1559" s="7"/>
      <c r="H1559" s="2"/>
      <c r="I1559" s="2"/>
      <c r="J1559" s="2"/>
      <c r="K1559" s="2"/>
      <c r="L1559" s="178"/>
      <c r="M1559" s="2"/>
      <c r="N1559" s="7"/>
      <c r="P1559" s="7"/>
      <c r="R1559" s="2"/>
      <c r="S1559" s="2"/>
      <c r="T1559" s="2"/>
      <c r="U1559" s="2"/>
      <c r="V1559" s="2"/>
      <c r="X1559" s="38"/>
      <c r="Y1559" s="38"/>
      <c r="Z1559" s="38"/>
      <c r="AA1559" s="38"/>
      <c r="AB1559" s="38"/>
      <c r="AD1559" s="2"/>
      <c r="AE1559" s="2"/>
      <c r="AF1559" s="2"/>
      <c r="AG1559" s="2"/>
      <c r="AH1559" s="2"/>
      <c r="AJ1559" s="215"/>
      <c r="AK1559" s="215"/>
      <c r="AL1559" s="215"/>
      <c r="AM1559" s="215"/>
      <c r="AO1559" s="10"/>
      <c r="AP1559" s="10"/>
      <c r="AQ1559" s="10"/>
      <c r="AR1559" s="10"/>
      <c r="AS1559" s="10"/>
      <c r="AU1559" s="2"/>
      <c r="AV1559" s="2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</row>
    <row r="1560" spans="1:73" customFormat="1" ht="12.75" hidden="1" customHeight="1" x14ac:dyDescent="0.2">
      <c r="A1560" s="1"/>
      <c r="B1560" s="1"/>
      <c r="C1560" s="1"/>
      <c r="D1560" s="7"/>
      <c r="E1560" s="7"/>
      <c r="F1560" s="6"/>
      <c r="G1560" s="7"/>
      <c r="H1560" s="2"/>
      <c r="I1560" s="2"/>
      <c r="J1560" s="2"/>
      <c r="K1560" s="2"/>
      <c r="L1560" s="178"/>
      <c r="M1560" s="2"/>
      <c r="N1560" s="7"/>
      <c r="P1560" s="7"/>
      <c r="R1560" s="2"/>
      <c r="S1560" s="2"/>
      <c r="T1560" s="2"/>
      <c r="U1560" s="2"/>
      <c r="V1560" s="2"/>
      <c r="X1560" s="38"/>
      <c r="Y1560" s="38"/>
      <c r="Z1560" s="38"/>
      <c r="AA1560" s="38"/>
      <c r="AB1560" s="38"/>
      <c r="AD1560" s="2"/>
      <c r="AE1560" s="2"/>
      <c r="AF1560" s="2"/>
      <c r="AG1560" s="2"/>
      <c r="AH1560" s="2"/>
      <c r="AJ1560" s="215"/>
      <c r="AK1560" s="215"/>
      <c r="AL1560" s="215"/>
      <c r="AM1560" s="215"/>
      <c r="AO1560" s="10"/>
      <c r="AP1560" s="10"/>
      <c r="AQ1560" s="10"/>
      <c r="AR1560" s="10"/>
      <c r="AS1560" s="10"/>
      <c r="AU1560" s="2"/>
      <c r="AV1560" s="2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</row>
    <row r="1561" spans="1:73" customFormat="1" ht="12.75" hidden="1" customHeight="1" x14ac:dyDescent="0.2">
      <c r="A1561" s="1"/>
      <c r="B1561" s="1"/>
      <c r="C1561" s="1"/>
      <c r="D1561" s="7"/>
      <c r="E1561" s="7"/>
      <c r="F1561" s="6"/>
      <c r="G1561" s="7"/>
      <c r="H1561" s="2"/>
      <c r="I1561" s="2"/>
      <c r="J1561" s="2"/>
      <c r="K1561" s="2"/>
      <c r="L1561" s="178"/>
      <c r="M1561" s="2"/>
      <c r="N1561" s="7"/>
      <c r="P1561" s="7"/>
      <c r="R1561" s="2"/>
      <c r="S1561" s="2"/>
      <c r="T1561" s="2"/>
      <c r="U1561" s="2"/>
      <c r="V1561" s="2"/>
      <c r="X1561" s="38"/>
      <c r="Y1561" s="38"/>
      <c r="Z1561" s="38"/>
      <c r="AA1561" s="38"/>
      <c r="AB1561" s="38"/>
      <c r="AD1561" s="2"/>
      <c r="AE1561" s="2"/>
      <c r="AF1561" s="2"/>
      <c r="AG1561" s="2"/>
      <c r="AH1561" s="2"/>
      <c r="AJ1561" s="215"/>
      <c r="AK1561" s="215"/>
      <c r="AL1561" s="215"/>
      <c r="AM1561" s="215"/>
      <c r="AO1561" s="10"/>
      <c r="AP1561" s="10"/>
      <c r="AQ1561" s="10"/>
      <c r="AR1561" s="10"/>
      <c r="AS1561" s="10"/>
      <c r="AU1561" s="2"/>
      <c r="AV1561" s="2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</row>
    <row r="1562" spans="1:73" customFormat="1" ht="12.75" hidden="1" customHeight="1" x14ac:dyDescent="0.2">
      <c r="A1562" s="1"/>
      <c r="B1562" s="1"/>
      <c r="C1562" s="1"/>
      <c r="D1562" s="7"/>
      <c r="E1562" s="7"/>
      <c r="F1562" s="6"/>
      <c r="G1562" s="7"/>
      <c r="H1562" s="2"/>
      <c r="I1562" s="2"/>
      <c r="J1562" s="2"/>
      <c r="K1562" s="2"/>
      <c r="L1562" s="178"/>
      <c r="M1562" s="2"/>
      <c r="N1562" s="7"/>
      <c r="P1562" s="7"/>
      <c r="R1562" s="2"/>
      <c r="S1562" s="2"/>
      <c r="T1562" s="2"/>
      <c r="U1562" s="2"/>
      <c r="V1562" s="2"/>
      <c r="X1562" s="38"/>
      <c r="Y1562" s="38"/>
      <c r="Z1562" s="38"/>
      <c r="AA1562" s="38"/>
      <c r="AB1562" s="38"/>
      <c r="AD1562" s="2"/>
      <c r="AE1562" s="2"/>
      <c r="AF1562" s="2"/>
      <c r="AG1562" s="2"/>
      <c r="AH1562" s="2"/>
      <c r="AJ1562" s="215"/>
      <c r="AK1562" s="215"/>
      <c r="AL1562" s="215"/>
      <c r="AM1562" s="215"/>
      <c r="AO1562" s="10"/>
      <c r="AP1562" s="10"/>
      <c r="AQ1562" s="10"/>
      <c r="AR1562" s="10"/>
      <c r="AS1562" s="10"/>
      <c r="AU1562" s="2"/>
      <c r="AV1562" s="2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</row>
    <row r="1563" spans="1:73" customFormat="1" ht="12.75" hidden="1" customHeight="1" x14ac:dyDescent="0.2">
      <c r="A1563" s="1"/>
      <c r="B1563" s="1"/>
      <c r="C1563" s="1"/>
      <c r="D1563" s="7"/>
      <c r="E1563" s="7"/>
      <c r="F1563" s="6"/>
      <c r="G1563" s="7"/>
      <c r="H1563" s="2"/>
      <c r="I1563" s="2"/>
      <c r="J1563" s="2"/>
      <c r="K1563" s="2"/>
      <c r="L1563" s="178"/>
      <c r="M1563" s="2"/>
      <c r="N1563" s="7"/>
      <c r="P1563" s="7"/>
      <c r="R1563" s="2"/>
      <c r="S1563" s="2"/>
      <c r="T1563" s="2"/>
      <c r="U1563" s="2"/>
      <c r="V1563" s="2"/>
      <c r="X1563" s="38"/>
      <c r="Y1563" s="38"/>
      <c r="Z1563" s="38"/>
      <c r="AA1563" s="38"/>
      <c r="AB1563" s="38"/>
      <c r="AD1563" s="2"/>
      <c r="AE1563" s="2"/>
      <c r="AF1563" s="2"/>
      <c r="AG1563" s="2"/>
      <c r="AH1563" s="2"/>
      <c r="AJ1563" s="215"/>
      <c r="AK1563" s="215"/>
      <c r="AL1563" s="215"/>
      <c r="AM1563" s="215"/>
      <c r="AO1563" s="10"/>
      <c r="AP1563" s="10"/>
      <c r="AQ1563" s="10"/>
      <c r="AR1563" s="10"/>
      <c r="AS1563" s="10"/>
      <c r="AU1563" s="2"/>
      <c r="AV1563" s="2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</row>
    <row r="1564" spans="1:73" customFormat="1" ht="12.75" hidden="1" customHeight="1" x14ac:dyDescent="0.2">
      <c r="A1564" s="1"/>
      <c r="B1564" s="1"/>
      <c r="C1564" s="1"/>
      <c r="D1564" s="7"/>
      <c r="E1564" s="7"/>
      <c r="F1564" s="6"/>
      <c r="G1564" s="7"/>
      <c r="H1564" s="2"/>
      <c r="I1564" s="2"/>
      <c r="J1564" s="2"/>
      <c r="K1564" s="2"/>
      <c r="L1564" s="178"/>
      <c r="M1564" s="2"/>
      <c r="N1564" s="7"/>
      <c r="P1564" s="7"/>
      <c r="R1564" s="2"/>
      <c r="S1564" s="2"/>
      <c r="T1564" s="2"/>
      <c r="U1564" s="2"/>
      <c r="V1564" s="2"/>
      <c r="X1564" s="38"/>
      <c r="Y1564" s="38"/>
      <c r="Z1564" s="38"/>
      <c r="AA1564" s="38"/>
      <c r="AB1564" s="38"/>
      <c r="AD1564" s="2"/>
      <c r="AE1564" s="2"/>
      <c r="AF1564" s="2"/>
      <c r="AG1564" s="2"/>
      <c r="AH1564" s="2"/>
      <c r="AJ1564" s="215"/>
      <c r="AK1564" s="215"/>
      <c r="AL1564" s="215"/>
      <c r="AM1564" s="215"/>
      <c r="AO1564" s="10"/>
      <c r="AP1564" s="10"/>
      <c r="AQ1564" s="10"/>
      <c r="AR1564" s="10"/>
      <c r="AS1564" s="10"/>
      <c r="AU1564" s="2"/>
      <c r="AV1564" s="2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</row>
    <row r="1565" spans="1:73" customFormat="1" ht="12.75" hidden="1" customHeight="1" x14ac:dyDescent="0.2">
      <c r="A1565" s="1"/>
      <c r="B1565" s="1"/>
      <c r="C1565" s="1"/>
      <c r="D1565" s="7"/>
      <c r="E1565" s="7"/>
      <c r="F1565" s="6"/>
      <c r="G1565" s="7"/>
      <c r="H1565" s="2"/>
      <c r="I1565" s="2"/>
      <c r="J1565" s="2"/>
      <c r="K1565" s="2"/>
      <c r="L1565" s="178"/>
      <c r="M1565" s="2"/>
      <c r="N1565" s="7"/>
      <c r="P1565" s="7"/>
      <c r="R1565" s="2"/>
      <c r="S1565" s="2"/>
      <c r="T1565" s="2"/>
      <c r="U1565" s="2"/>
      <c r="V1565" s="2"/>
      <c r="X1565" s="38"/>
      <c r="Y1565" s="38"/>
      <c r="Z1565" s="38"/>
      <c r="AA1565" s="38"/>
      <c r="AB1565" s="38"/>
      <c r="AD1565" s="2"/>
      <c r="AE1565" s="2"/>
      <c r="AF1565" s="2"/>
      <c r="AG1565" s="2"/>
      <c r="AH1565" s="2"/>
      <c r="AJ1565" s="215"/>
      <c r="AK1565" s="215"/>
      <c r="AL1565" s="215"/>
      <c r="AM1565" s="215"/>
      <c r="AO1565" s="10"/>
      <c r="AP1565" s="10"/>
      <c r="AQ1565" s="10"/>
      <c r="AR1565" s="10"/>
      <c r="AS1565" s="10"/>
      <c r="AU1565" s="2"/>
      <c r="AV1565" s="2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</row>
    <row r="1566" spans="1:73" customFormat="1" ht="12.75" hidden="1" customHeight="1" x14ac:dyDescent="0.2">
      <c r="A1566" s="1"/>
      <c r="B1566" s="1"/>
      <c r="C1566" s="1"/>
      <c r="D1566" s="7"/>
      <c r="E1566" s="7"/>
      <c r="F1566" s="6"/>
      <c r="G1566" s="7"/>
      <c r="H1566" s="2"/>
      <c r="I1566" s="2"/>
      <c r="J1566" s="2"/>
      <c r="K1566" s="2"/>
      <c r="L1566" s="178"/>
      <c r="M1566" s="2"/>
      <c r="N1566" s="7"/>
      <c r="P1566" s="7"/>
      <c r="R1566" s="2"/>
      <c r="S1566" s="2"/>
      <c r="T1566" s="2"/>
      <c r="U1566" s="2"/>
      <c r="V1566" s="2"/>
      <c r="X1566" s="38"/>
      <c r="Y1566" s="38"/>
      <c r="Z1566" s="38"/>
      <c r="AA1566" s="38"/>
      <c r="AB1566" s="38"/>
      <c r="AD1566" s="2"/>
      <c r="AE1566" s="2"/>
      <c r="AF1566" s="2"/>
      <c r="AG1566" s="2"/>
      <c r="AH1566" s="2"/>
      <c r="AJ1566" s="215"/>
      <c r="AK1566" s="215"/>
      <c r="AL1566" s="215"/>
      <c r="AM1566" s="215"/>
      <c r="AO1566" s="10"/>
      <c r="AP1566" s="10"/>
      <c r="AQ1566" s="10"/>
      <c r="AR1566" s="10"/>
      <c r="AS1566" s="10"/>
      <c r="AU1566" s="2"/>
      <c r="AV1566" s="2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</row>
    <row r="1567" spans="1:73" customFormat="1" ht="12.75" hidden="1" customHeight="1" x14ac:dyDescent="0.2">
      <c r="A1567" s="1"/>
      <c r="B1567" s="1"/>
      <c r="C1567" s="1"/>
      <c r="D1567" s="7"/>
      <c r="E1567" s="7"/>
      <c r="F1567" s="6"/>
      <c r="G1567" s="7"/>
      <c r="H1567" s="2"/>
      <c r="I1567" s="2"/>
      <c r="J1567" s="2"/>
      <c r="K1567" s="2"/>
      <c r="L1567" s="178"/>
      <c r="M1567" s="2"/>
      <c r="N1567" s="7"/>
      <c r="P1567" s="7"/>
      <c r="R1567" s="2"/>
      <c r="S1567" s="2"/>
      <c r="T1567" s="2"/>
      <c r="U1567" s="2"/>
      <c r="V1567" s="2"/>
      <c r="X1567" s="38"/>
      <c r="Y1567" s="38"/>
      <c r="Z1567" s="38"/>
      <c r="AA1567" s="38"/>
      <c r="AB1567" s="38"/>
      <c r="AD1567" s="2"/>
      <c r="AE1567" s="2"/>
      <c r="AF1567" s="2"/>
      <c r="AG1567" s="2"/>
      <c r="AH1567" s="2"/>
      <c r="AJ1567" s="215"/>
      <c r="AK1567" s="215"/>
      <c r="AL1567" s="215"/>
      <c r="AM1567" s="215"/>
      <c r="AO1567" s="10"/>
      <c r="AP1567" s="10"/>
      <c r="AQ1567" s="10"/>
      <c r="AR1567" s="10"/>
      <c r="AS1567" s="10"/>
      <c r="AU1567" s="2"/>
      <c r="AV1567" s="2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</row>
    <row r="1568" spans="1:73" customFormat="1" ht="12.75" hidden="1" customHeight="1" x14ac:dyDescent="0.2">
      <c r="A1568" s="1"/>
      <c r="B1568" s="1"/>
      <c r="C1568" s="1"/>
      <c r="D1568" s="7"/>
      <c r="E1568" s="7"/>
      <c r="F1568" s="6"/>
      <c r="G1568" s="7"/>
      <c r="H1568" s="2"/>
      <c r="I1568" s="2"/>
      <c r="J1568" s="2"/>
      <c r="K1568" s="2"/>
      <c r="L1568" s="178"/>
      <c r="M1568" s="2"/>
      <c r="N1568" s="7"/>
      <c r="P1568" s="7"/>
      <c r="R1568" s="2"/>
      <c r="S1568" s="2"/>
      <c r="T1568" s="2"/>
      <c r="U1568" s="2"/>
      <c r="V1568" s="2"/>
      <c r="X1568" s="38"/>
      <c r="Y1568" s="38"/>
      <c r="Z1568" s="38"/>
      <c r="AA1568" s="38"/>
      <c r="AB1568" s="38"/>
      <c r="AD1568" s="2"/>
      <c r="AE1568" s="2"/>
      <c r="AF1568" s="2"/>
      <c r="AG1568" s="2"/>
      <c r="AH1568" s="2"/>
      <c r="AJ1568" s="215"/>
      <c r="AK1568" s="215"/>
      <c r="AL1568" s="215"/>
      <c r="AM1568" s="215"/>
      <c r="AO1568" s="10"/>
      <c r="AP1568" s="10"/>
      <c r="AQ1568" s="10"/>
      <c r="AR1568" s="10"/>
      <c r="AS1568" s="10"/>
      <c r="AU1568" s="2"/>
      <c r="AV1568" s="2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</row>
    <row r="1569" spans="1:73" customFormat="1" ht="12.75" hidden="1" customHeight="1" x14ac:dyDescent="0.2">
      <c r="A1569" s="1"/>
      <c r="B1569" s="1"/>
      <c r="C1569" s="1"/>
      <c r="D1569" s="7"/>
      <c r="E1569" s="7"/>
      <c r="F1569" s="6"/>
      <c r="G1569" s="7"/>
      <c r="H1569" s="2"/>
      <c r="I1569" s="2"/>
      <c r="J1569" s="2"/>
      <c r="K1569" s="2"/>
      <c r="L1569" s="178"/>
      <c r="M1569" s="2"/>
      <c r="N1569" s="7"/>
      <c r="P1569" s="7"/>
      <c r="R1569" s="2"/>
      <c r="S1569" s="2"/>
      <c r="T1569" s="2"/>
      <c r="U1569" s="2"/>
      <c r="V1569" s="2"/>
      <c r="X1569" s="38"/>
      <c r="Y1569" s="38"/>
      <c r="Z1569" s="38"/>
      <c r="AA1569" s="38"/>
      <c r="AB1569" s="38"/>
      <c r="AD1569" s="2"/>
      <c r="AE1569" s="2"/>
      <c r="AF1569" s="2"/>
      <c r="AG1569" s="2"/>
      <c r="AH1569" s="2"/>
      <c r="AJ1569" s="215"/>
      <c r="AK1569" s="215"/>
      <c r="AL1569" s="215"/>
      <c r="AM1569" s="215"/>
      <c r="AO1569" s="10"/>
      <c r="AP1569" s="10"/>
      <c r="AQ1569" s="10"/>
      <c r="AR1569" s="10"/>
      <c r="AS1569" s="10"/>
      <c r="AU1569" s="2"/>
      <c r="AV1569" s="2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</row>
    <row r="1570" spans="1:73" customFormat="1" ht="12.75" hidden="1" customHeight="1" x14ac:dyDescent="0.2">
      <c r="A1570" s="1"/>
      <c r="B1570" s="1"/>
      <c r="C1570" s="1"/>
      <c r="D1570" s="7"/>
      <c r="E1570" s="7"/>
      <c r="F1570" s="6"/>
      <c r="G1570" s="7"/>
      <c r="H1570" s="2"/>
      <c r="I1570" s="2"/>
      <c r="J1570" s="2"/>
      <c r="K1570" s="2"/>
      <c r="L1570" s="178"/>
      <c r="M1570" s="2"/>
      <c r="N1570" s="7"/>
      <c r="P1570" s="7"/>
      <c r="R1570" s="2"/>
      <c r="S1570" s="2"/>
      <c r="T1570" s="2"/>
      <c r="U1570" s="2"/>
      <c r="V1570" s="2"/>
      <c r="X1570" s="38"/>
      <c r="Y1570" s="38"/>
      <c r="Z1570" s="38"/>
      <c r="AA1570" s="38"/>
      <c r="AB1570" s="38"/>
      <c r="AD1570" s="2"/>
      <c r="AE1570" s="2"/>
      <c r="AF1570" s="2"/>
      <c r="AG1570" s="2"/>
      <c r="AH1570" s="2"/>
      <c r="AJ1570" s="215"/>
      <c r="AK1570" s="215"/>
      <c r="AL1570" s="215"/>
      <c r="AM1570" s="215"/>
      <c r="AO1570" s="10"/>
      <c r="AP1570" s="10"/>
      <c r="AQ1570" s="10"/>
      <c r="AR1570" s="10"/>
      <c r="AS1570" s="10"/>
      <c r="AU1570" s="2"/>
      <c r="AV1570" s="2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</row>
    <row r="1571" spans="1:73" customFormat="1" ht="12.75" hidden="1" customHeight="1" x14ac:dyDescent="0.2">
      <c r="A1571" s="1"/>
      <c r="B1571" s="1"/>
      <c r="C1571" s="1"/>
      <c r="D1571" s="7"/>
      <c r="E1571" s="7"/>
      <c r="F1571" s="6"/>
      <c r="G1571" s="7"/>
      <c r="H1571" s="2"/>
      <c r="I1571" s="2"/>
      <c r="J1571" s="2"/>
      <c r="K1571" s="2"/>
      <c r="L1571" s="178"/>
      <c r="M1571" s="2"/>
      <c r="N1571" s="7"/>
      <c r="P1571" s="7"/>
      <c r="R1571" s="2"/>
      <c r="S1571" s="2"/>
      <c r="T1571" s="2"/>
      <c r="U1571" s="2"/>
      <c r="V1571" s="2"/>
      <c r="X1571" s="38"/>
      <c r="Y1571" s="38"/>
      <c r="Z1571" s="38"/>
      <c r="AA1571" s="38"/>
      <c r="AB1571" s="38"/>
      <c r="AD1571" s="2"/>
      <c r="AE1571" s="2"/>
      <c r="AF1571" s="2"/>
      <c r="AG1571" s="2"/>
      <c r="AH1571" s="2"/>
      <c r="AJ1571" s="215"/>
      <c r="AK1571" s="215"/>
      <c r="AL1571" s="215"/>
      <c r="AM1571" s="215"/>
      <c r="AO1571" s="10"/>
      <c r="AP1571" s="10"/>
      <c r="AQ1571" s="10"/>
      <c r="AR1571" s="10"/>
      <c r="AS1571" s="10"/>
      <c r="AU1571" s="2"/>
      <c r="AV1571" s="2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</row>
    <row r="1572" spans="1:73" customFormat="1" ht="12.75" hidden="1" customHeight="1" x14ac:dyDescent="0.2">
      <c r="A1572" s="1"/>
      <c r="B1572" s="1"/>
      <c r="C1572" s="1"/>
      <c r="D1572" s="7"/>
      <c r="E1572" s="7"/>
      <c r="F1572" s="6"/>
      <c r="G1572" s="7"/>
      <c r="H1572" s="2"/>
      <c r="I1572" s="2"/>
      <c r="J1572" s="2"/>
      <c r="K1572" s="2"/>
      <c r="L1572" s="178"/>
      <c r="M1572" s="2"/>
      <c r="N1572" s="7"/>
      <c r="P1572" s="7"/>
      <c r="R1572" s="2"/>
      <c r="S1572" s="2"/>
      <c r="T1572" s="2"/>
      <c r="U1572" s="2"/>
      <c r="V1572" s="2"/>
      <c r="X1572" s="38"/>
      <c r="Y1572" s="38"/>
      <c r="Z1572" s="38"/>
      <c r="AA1572" s="38"/>
      <c r="AB1572" s="38"/>
      <c r="AD1572" s="2"/>
      <c r="AE1572" s="2"/>
      <c r="AF1572" s="2"/>
      <c r="AG1572" s="2"/>
      <c r="AH1572" s="2"/>
      <c r="AJ1572" s="215"/>
      <c r="AK1572" s="215"/>
      <c r="AL1572" s="215"/>
      <c r="AM1572" s="215"/>
      <c r="AO1572" s="10"/>
      <c r="AP1572" s="10"/>
      <c r="AQ1572" s="10"/>
      <c r="AR1572" s="10"/>
      <c r="AS1572" s="10"/>
      <c r="AU1572" s="2"/>
      <c r="AV1572" s="2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</row>
    <row r="1573" spans="1:73" customFormat="1" ht="12.75" hidden="1" customHeight="1" x14ac:dyDescent="0.2">
      <c r="A1573" s="1"/>
      <c r="B1573" s="1"/>
      <c r="C1573" s="1"/>
      <c r="D1573" s="7"/>
      <c r="E1573" s="7"/>
      <c r="F1573" s="6"/>
      <c r="G1573" s="7"/>
      <c r="H1573" s="2"/>
      <c r="I1573" s="2"/>
      <c r="J1573" s="2"/>
      <c r="K1573" s="2"/>
      <c r="L1573" s="178"/>
      <c r="M1573" s="2"/>
      <c r="N1573" s="7"/>
      <c r="P1573" s="7"/>
      <c r="R1573" s="2"/>
      <c r="S1573" s="2"/>
      <c r="T1573" s="2"/>
      <c r="U1573" s="2"/>
      <c r="V1573" s="2"/>
      <c r="X1573" s="38"/>
      <c r="Y1573" s="38"/>
      <c r="Z1573" s="38"/>
      <c r="AA1573" s="38"/>
      <c r="AB1573" s="38"/>
      <c r="AD1573" s="2"/>
      <c r="AE1573" s="2"/>
      <c r="AF1573" s="2"/>
      <c r="AG1573" s="2"/>
      <c r="AH1573" s="2"/>
      <c r="AJ1573" s="215"/>
      <c r="AK1573" s="215"/>
      <c r="AL1573" s="215"/>
      <c r="AM1573" s="215"/>
      <c r="AO1573" s="10"/>
      <c r="AP1573" s="10"/>
      <c r="AQ1573" s="10"/>
      <c r="AR1573" s="10"/>
      <c r="AS1573" s="10"/>
      <c r="AU1573" s="2"/>
      <c r="AV1573" s="2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</row>
    <row r="1574" spans="1:73" customFormat="1" ht="12.75" hidden="1" customHeight="1" x14ac:dyDescent="0.2">
      <c r="A1574" s="1"/>
      <c r="B1574" s="1"/>
      <c r="C1574" s="1"/>
      <c r="D1574" s="7"/>
      <c r="E1574" s="7"/>
      <c r="F1574" s="6"/>
      <c r="G1574" s="7"/>
      <c r="H1574" s="2"/>
      <c r="I1574" s="2"/>
      <c r="J1574" s="2"/>
      <c r="K1574" s="2"/>
      <c r="L1574" s="178"/>
      <c r="M1574" s="2"/>
      <c r="N1574" s="7"/>
      <c r="P1574" s="7"/>
      <c r="R1574" s="2"/>
      <c r="S1574" s="2"/>
      <c r="T1574" s="2"/>
      <c r="U1574" s="2"/>
      <c r="V1574" s="2"/>
      <c r="X1574" s="38"/>
      <c r="Y1574" s="38"/>
      <c r="Z1574" s="38"/>
      <c r="AA1574" s="38"/>
      <c r="AB1574" s="38"/>
      <c r="AD1574" s="2"/>
      <c r="AE1574" s="2"/>
      <c r="AF1574" s="2"/>
      <c r="AG1574" s="2"/>
      <c r="AH1574" s="2"/>
      <c r="AJ1574" s="215"/>
      <c r="AK1574" s="215"/>
      <c r="AL1574" s="215"/>
      <c r="AM1574" s="215"/>
      <c r="AO1574" s="10"/>
      <c r="AP1574" s="10"/>
      <c r="AQ1574" s="10"/>
      <c r="AR1574" s="10"/>
      <c r="AS1574" s="10"/>
      <c r="AU1574" s="2"/>
      <c r="AV1574" s="2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</row>
    <row r="1575" spans="1:73" customFormat="1" ht="12.75" hidden="1" customHeight="1" x14ac:dyDescent="0.2">
      <c r="A1575" s="1"/>
      <c r="B1575" s="1"/>
      <c r="C1575" s="1"/>
      <c r="D1575" s="7"/>
      <c r="E1575" s="7"/>
      <c r="F1575" s="6"/>
      <c r="G1575" s="7"/>
      <c r="H1575" s="2"/>
      <c r="I1575" s="2"/>
      <c r="J1575" s="2"/>
      <c r="K1575" s="2"/>
      <c r="L1575" s="178"/>
      <c r="M1575" s="2"/>
      <c r="N1575" s="7"/>
      <c r="P1575" s="7"/>
      <c r="R1575" s="2"/>
      <c r="S1575" s="2"/>
      <c r="T1575" s="2"/>
      <c r="U1575" s="2"/>
      <c r="V1575" s="2"/>
      <c r="X1575" s="38"/>
      <c r="Y1575" s="38"/>
      <c r="Z1575" s="38"/>
      <c r="AA1575" s="38"/>
      <c r="AB1575" s="38"/>
      <c r="AD1575" s="2"/>
      <c r="AE1575" s="2"/>
      <c r="AF1575" s="2"/>
      <c r="AG1575" s="2"/>
      <c r="AH1575" s="2"/>
      <c r="AJ1575" s="215"/>
      <c r="AK1575" s="215"/>
      <c r="AL1575" s="215"/>
      <c r="AM1575" s="215"/>
      <c r="AO1575" s="10"/>
      <c r="AP1575" s="10"/>
      <c r="AQ1575" s="10"/>
      <c r="AR1575" s="10"/>
      <c r="AS1575" s="10"/>
      <c r="AU1575" s="2"/>
      <c r="AV1575" s="2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</row>
    <row r="1576" spans="1:73" customFormat="1" ht="12.75" hidden="1" customHeight="1" x14ac:dyDescent="0.2">
      <c r="A1576" s="1"/>
      <c r="B1576" s="1"/>
      <c r="C1576" s="1"/>
      <c r="D1576" s="7"/>
      <c r="E1576" s="7"/>
      <c r="F1576" s="6"/>
      <c r="G1576" s="7"/>
      <c r="H1576" s="2"/>
      <c r="I1576" s="2"/>
      <c r="J1576" s="2"/>
      <c r="K1576" s="2"/>
      <c r="L1576" s="178"/>
      <c r="M1576" s="2"/>
      <c r="N1576" s="7"/>
      <c r="P1576" s="7"/>
      <c r="R1576" s="2"/>
      <c r="S1576" s="2"/>
      <c r="T1576" s="2"/>
      <c r="U1576" s="2"/>
      <c r="V1576" s="2"/>
      <c r="X1576" s="38"/>
      <c r="Y1576" s="38"/>
      <c r="Z1576" s="38"/>
      <c r="AA1576" s="38"/>
      <c r="AB1576" s="38"/>
      <c r="AD1576" s="2"/>
      <c r="AE1576" s="2"/>
      <c r="AF1576" s="2"/>
      <c r="AG1576" s="2"/>
      <c r="AH1576" s="2"/>
      <c r="AJ1576" s="215"/>
      <c r="AK1576" s="215"/>
      <c r="AL1576" s="215"/>
      <c r="AM1576" s="215"/>
      <c r="AO1576" s="10"/>
      <c r="AP1576" s="10"/>
      <c r="AQ1576" s="10"/>
      <c r="AR1576" s="10"/>
      <c r="AS1576" s="10"/>
      <c r="AU1576" s="2"/>
      <c r="AV1576" s="2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</row>
    <row r="1577" spans="1:73" customFormat="1" ht="12.75" hidden="1" customHeight="1" x14ac:dyDescent="0.2">
      <c r="A1577" s="1"/>
      <c r="B1577" s="1"/>
      <c r="C1577" s="1"/>
      <c r="D1577" s="7"/>
      <c r="E1577" s="7"/>
      <c r="F1577" s="6"/>
      <c r="G1577" s="7"/>
      <c r="H1577" s="2"/>
      <c r="I1577" s="2"/>
      <c r="J1577" s="2"/>
      <c r="K1577" s="2"/>
      <c r="L1577" s="178"/>
      <c r="M1577" s="2"/>
      <c r="N1577" s="7"/>
      <c r="P1577" s="7"/>
      <c r="R1577" s="2"/>
      <c r="S1577" s="2"/>
      <c r="T1577" s="2"/>
      <c r="U1577" s="2"/>
      <c r="V1577" s="2"/>
      <c r="X1577" s="38"/>
      <c r="Y1577" s="38"/>
      <c r="Z1577" s="38"/>
      <c r="AA1577" s="38"/>
      <c r="AB1577" s="38"/>
      <c r="AD1577" s="2"/>
      <c r="AE1577" s="2"/>
      <c r="AF1577" s="2"/>
      <c r="AG1577" s="2"/>
      <c r="AH1577" s="2"/>
      <c r="AJ1577" s="215"/>
      <c r="AK1577" s="215"/>
      <c r="AL1577" s="215"/>
      <c r="AM1577" s="215"/>
      <c r="AO1577" s="10"/>
      <c r="AP1577" s="10"/>
      <c r="AQ1577" s="10"/>
      <c r="AR1577" s="10"/>
      <c r="AS1577" s="10"/>
      <c r="AU1577" s="2"/>
      <c r="AV1577" s="2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</row>
    <row r="1578" spans="1:73" customFormat="1" ht="12.75" hidden="1" customHeight="1" x14ac:dyDescent="0.2">
      <c r="A1578" s="1"/>
      <c r="B1578" s="1"/>
      <c r="C1578" s="1"/>
      <c r="D1578" s="7"/>
      <c r="E1578" s="7"/>
      <c r="F1578" s="6"/>
      <c r="G1578" s="7"/>
      <c r="H1578" s="2"/>
      <c r="I1578" s="2"/>
      <c r="J1578" s="2"/>
      <c r="K1578" s="2"/>
      <c r="L1578" s="178"/>
      <c r="M1578" s="2"/>
      <c r="N1578" s="7"/>
      <c r="P1578" s="7"/>
      <c r="R1578" s="2"/>
      <c r="S1578" s="2"/>
      <c r="T1578" s="2"/>
      <c r="U1578" s="2"/>
      <c r="V1578" s="2"/>
      <c r="X1578" s="38"/>
      <c r="Y1578" s="38"/>
      <c r="Z1578" s="38"/>
      <c r="AA1578" s="38"/>
      <c r="AB1578" s="38"/>
      <c r="AD1578" s="2"/>
      <c r="AE1578" s="2"/>
      <c r="AF1578" s="2"/>
      <c r="AG1578" s="2"/>
      <c r="AH1578" s="2"/>
      <c r="AJ1578" s="215"/>
      <c r="AK1578" s="215"/>
      <c r="AL1578" s="215"/>
      <c r="AM1578" s="215"/>
      <c r="AO1578" s="10"/>
      <c r="AP1578" s="10"/>
      <c r="AQ1578" s="10"/>
      <c r="AR1578" s="10"/>
      <c r="AS1578" s="10"/>
      <c r="AU1578" s="2"/>
      <c r="AV1578" s="2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</row>
    <row r="1579" spans="1:73" customFormat="1" ht="12.75" hidden="1" customHeight="1" x14ac:dyDescent="0.2">
      <c r="A1579" s="1"/>
      <c r="B1579" s="1"/>
      <c r="C1579" s="1"/>
      <c r="D1579" s="7"/>
      <c r="E1579" s="7"/>
      <c r="F1579" s="6"/>
      <c r="G1579" s="7"/>
      <c r="H1579" s="2"/>
      <c r="I1579" s="2"/>
      <c r="J1579" s="2"/>
      <c r="K1579" s="2"/>
      <c r="L1579" s="178"/>
      <c r="M1579" s="2"/>
      <c r="N1579" s="7"/>
      <c r="P1579" s="7"/>
      <c r="R1579" s="2"/>
      <c r="S1579" s="2"/>
      <c r="T1579" s="2"/>
      <c r="U1579" s="2"/>
      <c r="V1579" s="2"/>
      <c r="X1579" s="38"/>
      <c r="Y1579" s="38"/>
      <c r="Z1579" s="38"/>
      <c r="AA1579" s="38"/>
      <c r="AB1579" s="38"/>
      <c r="AD1579" s="2"/>
      <c r="AE1579" s="2"/>
      <c r="AF1579" s="2"/>
      <c r="AG1579" s="2"/>
      <c r="AH1579" s="2"/>
      <c r="AJ1579" s="215"/>
      <c r="AK1579" s="215"/>
      <c r="AL1579" s="215"/>
      <c r="AM1579" s="215"/>
      <c r="AO1579" s="10"/>
      <c r="AP1579" s="10"/>
      <c r="AQ1579" s="10"/>
      <c r="AR1579" s="10"/>
      <c r="AS1579" s="10"/>
      <c r="AU1579" s="2"/>
      <c r="AV1579" s="2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</row>
    <row r="1580" spans="1:73" customFormat="1" ht="12.75" hidden="1" customHeight="1" x14ac:dyDescent="0.2">
      <c r="A1580" s="1"/>
      <c r="B1580" s="1"/>
      <c r="C1580" s="1"/>
      <c r="D1580" s="7"/>
      <c r="E1580" s="7"/>
      <c r="F1580" s="6"/>
      <c r="G1580" s="7"/>
      <c r="H1580" s="2"/>
      <c r="I1580" s="2"/>
      <c r="J1580" s="2"/>
      <c r="K1580" s="2"/>
      <c r="L1580" s="178"/>
      <c r="M1580" s="2"/>
      <c r="N1580" s="7"/>
      <c r="P1580" s="7"/>
      <c r="R1580" s="2"/>
      <c r="S1580" s="2"/>
      <c r="T1580" s="2"/>
      <c r="U1580" s="2"/>
      <c r="V1580" s="2"/>
      <c r="X1580" s="38"/>
      <c r="Y1580" s="38"/>
      <c r="Z1580" s="38"/>
      <c r="AA1580" s="38"/>
      <c r="AB1580" s="38"/>
      <c r="AD1580" s="2"/>
      <c r="AE1580" s="2"/>
      <c r="AF1580" s="2"/>
      <c r="AG1580" s="2"/>
      <c r="AH1580" s="2"/>
      <c r="AJ1580" s="215"/>
      <c r="AK1580" s="215"/>
      <c r="AL1580" s="215"/>
      <c r="AM1580" s="215"/>
      <c r="AO1580" s="10"/>
      <c r="AP1580" s="10"/>
      <c r="AQ1580" s="10"/>
      <c r="AR1580" s="10"/>
      <c r="AS1580" s="10"/>
      <c r="AU1580" s="2"/>
      <c r="AV1580" s="2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</row>
    <row r="1581" spans="1:73" customFormat="1" ht="12.75" hidden="1" customHeight="1" x14ac:dyDescent="0.2">
      <c r="A1581" s="1"/>
      <c r="B1581" s="1"/>
      <c r="C1581" s="1"/>
      <c r="D1581" s="7"/>
      <c r="E1581" s="7"/>
      <c r="F1581" s="6"/>
      <c r="G1581" s="7"/>
      <c r="H1581" s="2"/>
      <c r="I1581" s="2"/>
      <c r="J1581" s="2"/>
      <c r="K1581" s="2"/>
      <c r="L1581" s="178"/>
      <c r="M1581" s="2"/>
      <c r="N1581" s="7"/>
      <c r="P1581" s="7"/>
      <c r="R1581" s="2"/>
      <c r="S1581" s="2"/>
      <c r="T1581" s="2"/>
      <c r="U1581" s="2"/>
      <c r="V1581" s="2"/>
      <c r="X1581" s="38"/>
      <c r="Y1581" s="38"/>
      <c r="Z1581" s="38"/>
      <c r="AA1581" s="38"/>
      <c r="AB1581" s="38"/>
      <c r="AD1581" s="2"/>
      <c r="AE1581" s="2"/>
      <c r="AF1581" s="2"/>
      <c r="AG1581" s="2"/>
      <c r="AH1581" s="2"/>
      <c r="AJ1581" s="215"/>
      <c r="AK1581" s="215"/>
      <c r="AL1581" s="215"/>
      <c r="AM1581" s="215"/>
      <c r="AO1581" s="10"/>
      <c r="AP1581" s="10"/>
      <c r="AQ1581" s="10"/>
      <c r="AR1581" s="10"/>
      <c r="AS1581" s="10"/>
      <c r="AU1581" s="2"/>
      <c r="AV1581" s="2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</row>
    <row r="1582" spans="1:73" customFormat="1" ht="12.75" hidden="1" customHeight="1" x14ac:dyDescent="0.2">
      <c r="A1582" s="1"/>
      <c r="B1582" s="1"/>
      <c r="C1582" s="1"/>
      <c r="D1582" s="7"/>
      <c r="E1582" s="7"/>
      <c r="F1582" s="6"/>
      <c r="G1582" s="7"/>
      <c r="H1582" s="2"/>
      <c r="I1582" s="2"/>
      <c r="J1582" s="2"/>
      <c r="K1582" s="2"/>
      <c r="L1582" s="178"/>
      <c r="M1582" s="2"/>
      <c r="N1582" s="7"/>
      <c r="P1582" s="7"/>
      <c r="R1582" s="2"/>
      <c r="S1582" s="2"/>
      <c r="T1582" s="2"/>
      <c r="U1582" s="2"/>
      <c r="V1582" s="2"/>
      <c r="X1582" s="38"/>
      <c r="Y1582" s="38"/>
      <c r="Z1582" s="38"/>
      <c r="AA1582" s="38"/>
      <c r="AB1582" s="38"/>
      <c r="AD1582" s="2"/>
      <c r="AE1582" s="2"/>
      <c r="AF1582" s="2"/>
      <c r="AG1582" s="2"/>
      <c r="AH1582" s="2"/>
      <c r="AJ1582" s="215"/>
      <c r="AK1582" s="215"/>
      <c r="AL1582" s="215"/>
      <c r="AM1582" s="215"/>
      <c r="AO1582" s="10"/>
      <c r="AP1582" s="10"/>
      <c r="AQ1582" s="10"/>
      <c r="AR1582" s="10"/>
      <c r="AS1582" s="10"/>
      <c r="AU1582" s="2"/>
      <c r="AV1582" s="2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</row>
    <row r="1583" spans="1:73" customFormat="1" ht="12.75" hidden="1" customHeight="1" x14ac:dyDescent="0.2">
      <c r="A1583" s="1"/>
      <c r="B1583" s="1"/>
      <c r="C1583" s="1"/>
      <c r="D1583" s="7"/>
      <c r="E1583" s="7"/>
      <c r="F1583" s="6"/>
      <c r="G1583" s="7"/>
      <c r="H1583" s="2"/>
      <c r="I1583" s="2"/>
      <c r="J1583" s="2"/>
      <c r="K1583" s="2"/>
      <c r="L1583" s="178"/>
      <c r="M1583" s="2"/>
      <c r="N1583" s="7"/>
      <c r="P1583" s="7"/>
      <c r="R1583" s="2"/>
      <c r="S1583" s="2"/>
      <c r="T1583" s="2"/>
      <c r="U1583" s="2"/>
      <c r="V1583" s="2"/>
      <c r="X1583" s="38"/>
      <c r="Y1583" s="38"/>
      <c r="Z1583" s="38"/>
      <c r="AA1583" s="38"/>
      <c r="AB1583" s="38"/>
      <c r="AD1583" s="2"/>
      <c r="AE1583" s="2"/>
      <c r="AF1583" s="2"/>
      <c r="AG1583" s="2"/>
      <c r="AH1583" s="2"/>
      <c r="AJ1583" s="215"/>
      <c r="AK1583" s="215"/>
      <c r="AL1583" s="215"/>
      <c r="AM1583" s="215"/>
      <c r="AO1583" s="10"/>
      <c r="AP1583" s="10"/>
      <c r="AQ1583" s="10"/>
      <c r="AR1583" s="10"/>
      <c r="AS1583" s="10"/>
      <c r="AU1583" s="2"/>
      <c r="AV1583" s="2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</row>
    <row r="1584" spans="1:73" customFormat="1" ht="12.75" hidden="1" customHeight="1" x14ac:dyDescent="0.2">
      <c r="A1584" s="1"/>
      <c r="B1584" s="1"/>
      <c r="C1584" s="1"/>
      <c r="D1584" s="7"/>
      <c r="E1584" s="7"/>
      <c r="F1584" s="6"/>
      <c r="G1584" s="7"/>
      <c r="H1584" s="2"/>
      <c r="I1584" s="2"/>
      <c r="J1584" s="2"/>
      <c r="K1584" s="2"/>
      <c r="L1584" s="178"/>
      <c r="M1584" s="2"/>
      <c r="N1584" s="7"/>
      <c r="P1584" s="7"/>
      <c r="R1584" s="2"/>
      <c r="S1584" s="2"/>
      <c r="T1584" s="2"/>
      <c r="U1584" s="2"/>
      <c r="V1584" s="2"/>
      <c r="X1584" s="38"/>
      <c r="Y1584" s="38"/>
      <c r="Z1584" s="38"/>
      <c r="AA1584" s="38"/>
      <c r="AB1584" s="38"/>
      <c r="AD1584" s="2"/>
      <c r="AE1584" s="2"/>
      <c r="AF1584" s="2"/>
      <c r="AG1584" s="2"/>
      <c r="AH1584" s="2"/>
      <c r="AJ1584" s="215"/>
      <c r="AK1584" s="215"/>
      <c r="AL1584" s="215"/>
      <c r="AM1584" s="215"/>
      <c r="AO1584" s="10"/>
      <c r="AP1584" s="10"/>
      <c r="AQ1584" s="10"/>
      <c r="AR1584" s="10"/>
      <c r="AS1584" s="10"/>
      <c r="AU1584" s="2"/>
      <c r="AV1584" s="2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</row>
    <row r="1585" spans="1:73" customFormat="1" ht="12.75" hidden="1" customHeight="1" x14ac:dyDescent="0.2">
      <c r="A1585" s="1"/>
      <c r="B1585" s="1"/>
      <c r="C1585" s="1"/>
      <c r="D1585" s="7"/>
      <c r="E1585" s="7"/>
      <c r="F1585" s="6"/>
      <c r="G1585" s="7"/>
      <c r="H1585" s="2"/>
      <c r="I1585" s="2"/>
      <c r="J1585" s="2"/>
      <c r="K1585" s="2"/>
      <c r="L1585" s="178"/>
      <c r="M1585" s="2"/>
      <c r="N1585" s="7"/>
      <c r="P1585" s="7"/>
      <c r="R1585" s="2"/>
      <c r="S1585" s="2"/>
      <c r="T1585" s="2"/>
      <c r="U1585" s="2"/>
      <c r="V1585" s="2"/>
      <c r="X1585" s="38"/>
      <c r="Y1585" s="38"/>
      <c r="Z1585" s="38"/>
      <c r="AA1585" s="38"/>
      <c r="AB1585" s="38"/>
      <c r="AD1585" s="2"/>
      <c r="AE1585" s="2"/>
      <c r="AF1585" s="2"/>
      <c r="AG1585" s="2"/>
      <c r="AH1585" s="2"/>
      <c r="AJ1585" s="215"/>
      <c r="AK1585" s="215"/>
      <c r="AL1585" s="215"/>
      <c r="AM1585" s="215"/>
      <c r="AO1585" s="10"/>
      <c r="AP1585" s="10"/>
      <c r="AQ1585" s="10"/>
      <c r="AR1585" s="10"/>
      <c r="AS1585" s="10"/>
      <c r="AU1585" s="2"/>
      <c r="AV1585" s="2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</row>
    <row r="1586" spans="1:73" customFormat="1" ht="12.75" hidden="1" customHeight="1" x14ac:dyDescent="0.2">
      <c r="A1586" s="1"/>
      <c r="B1586" s="1"/>
      <c r="C1586" s="1"/>
      <c r="D1586" s="7"/>
      <c r="E1586" s="7"/>
      <c r="F1586" s="6"/>
      <c r="G1586" s="7"/>
      <c r="H1586" s="2"/>
      <c r="I1586" s="2"/>
      <c r="J1586" s="2"/>
      <c r="K1586" s="2"/>
      <c r="L1586" s="178"/>
      <c r="M1586" s="2"/>
      <c r="N1586" s="7"/>
      <c r="P1586" s="7"/>
      <c r="R1586" s="2"/>
      <c r="S1586" s="2"/>
      <c r="T1586" s="2"/>
      <c r="U1586" s="2"/>
      <c r="V1586" s="2"/>
      <c r="X1586" s="38"/>
      <c r="Y1586" s="38"/>
      <c r="Z1586" s="38"/>
      <c r="AA1586" s="38"/>
      <c r="AB1586" s="38"/>
      <c r="AD1586" s="2"/>
      <c r="AE1586" s="2"/>
      <c r="AF1586" s="2"/>
      <c r="AG1586" s="2"/>
      <c r="AH1586" s="2"/>
      <c r="AJ1586" s="215"/>
      <c r="AK1586" s="215"/>
      <c r="AL1586" s="215"/>
      <c r="AM1586" s="215"/>
      <c r="AO1586" s="10"/>
      <c r="AP1586" s="10"/>
      <c r="AQ1586" s="10"/>
      <c r="AR1586" s="10"/>
      <c r="AS1586" s="10"/>
      <c r="AU1586" s="2"/>
      <c r="AV1586" s="2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</row>
    <row r="1587" spans="1:73" customFormat="1" ht="12.75" hidden="1" customHeight="1" x14ac:dyDescent="0.2">
      <c r="A1587" s="1"/>
      <c r="B1587" s="1"/>
      <c r="C1587" s="1"/>
      <c r="D1587" s="7"/>
      <c r="E1587" s="7"/>
      <c r="F1587" s="6"/>
      <c r="G1587" s="7"/>
      <c r="H1587" s="2"/>
      <c r="I1587" s="2"/>
      <c r="J1587" s="2"/>
      <c r="K1587" s="2"/>
      <c r="L1587" s="178"/>
      <c r="M1587" s="2"/>
      <c r="N1587" s="7"/>
      <c r="P1587" s="7"/>
      <c r="R1587" s="2"/>
      <c r="S1587" s="2"/>
      <c r="T1587" s="2"/>
      <c r="U1587" s="2"/>
      <c r="V1587" s="2"/>
      <c r="X1587" s="38"/>
      <c r="Y1587" s="38"/>
      <c r="Z1587" s="38"/>
      <c r="AA1587" s="38"/>
      <c r="AB1587" s="38"/>
      <c r="AD1587" s="2"/>
      <c r="AE1587" s="2"/>
      <c r="AF1587" s="2"/>
      <c r="AG1587" s="2"/>
      <c r="AH1587" s="2"/>
      <c r="AJ1587" s="215"/>
      <c r="AK1587" s="215"/>
      <c r="AL1587" s="215"/>
      <c r="AM1587" s="215"/>
      <c r="AO1587" s="10"/>
      <c r="AP1587" s="10"/>
      <c r="AQ1587" s="10"/>
      <c r="AR1587" s="10"/>
      <c r="AS1587" s="10"/>
      <c r="AU1587" s="2"/>
      <c r="AV1587" s="2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</row>
    <row r="1588" spans="1:73" customFormat="1" ht="12.75" hidden="1" customHeight="1" x14ac:dyDescent="0.2">
      <c r="A1588" s="1"/>
      <c r="B1588" s="1"/>
      <c r="C1588" s="1"/>
      <c r="D1588" s="7"/>
      <c r="E1588" s="7"/>
      <c r="F1588" s="6"/>
      <c r="G1588" s="7"/>
      <c r="H1588" s="2"/>
      <c r="I1588" s="2"/>
      <c r="J1588" s="2"/>
      <c r="K1588" s="2"/>
      <c r="L1588" s="178"/>
      <c r="M1588" s="2"/>
      <c r="N1588" s="7"/>
      <c r="P1588" s="7"/>
      <c r="R1588" s="2"/>
      <c r="S1588" s="2"/>
      <c r="T1588" s="2"/>
      <c r="U1588" s="2"/>
      <c r="V1588" s="2"/>
      <c r="X1588" s="38"/>
      <c r="Y1588" s="38"/>
      <c r="Z1588" s="38"/>
      <c r="AA1588" s="38"/>
      <c r="AB1588" s="38"/>
      <c r="AD1588" s="2"/>
      <c r="AE1588" s="2"/>
      <c r="AF1588" s="2"/>
      <c r="AG1588" s="2"/>
      <c r="AH1588" s="2"/>
      <c r="AJ1588" s="215"/>
      <c r="AK1588" s="215"/>
      <c r="AL1588" s="215"/>
      <c r="AM1588" s="215"/>
      <c r="AO1588" s="10"/>
      <c r="AP1588" s="10"/>
      <c r="AQ1588" s="10"/>
      <c r="AR1588" s="10"/>
      <c r="AS1588" s="10"/>
      <c r="AU1588" s="2"/>
      <c r="AV1588" s="2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</row>
    <row r="1589" spans="1:73" customFormat="1" ht="12.75" hidden="1" customHeight="1" x14ac:dyDescent="0.2">
      <c r="A1589" s="1"/>
      <c r="B1589" s="1"/>
      <c r="C1589" s="1"/>
      <c r="D1589" s="7"/>
      <c r="E1589" s="7"/>
      <c r="F1589" s="6"/>
      <c r="G1589" s="7"/>
      <c r="H1589" s="2"/>
      <c r="I1589" s="2"/>
      <c r="J1589" s="2"/>
      <c r="K1589" s="2"/>
      <c r="L1589" s="178"/>
      <c r="M1589" s="2"/>
      <c r="N1589" s="7"/>
      <c r="P1589" s="7"/>
      <c r="R1589" s="2"/>
      <c r="S1589" s="2"/>
      <c r="T1589" s="2"/>
      <c r="U1589" s="2"/>
      <c r="V1589" s="2"/>
      <c r="X1589" s="38"/>
      <c r="Y1589" s="38"/>
      <c r="Z1589" s="38"/>
      <c r="AA1589" s="38"/>
      <c r="AB1589" s="38"/>
      <c r="AD1589" s="2"/>
      <c r="AE1589" s="2"/>
      <c r="AF1589" s="2"/>
      <c r="AG1589" s="2"/>
      <c r="AH1589" s="2"/>
      <c r="AJ1589" s="215"/>
      <c r="AK1589" s="215"/>
      <c r="AL1589" s="215"/>
      <c r="AM1589" s="215"/>
      <c r="AO1589" s="10"/>
      <c r="AP1589" s="10"/>
      <c r="AQ1589" s="10"/>
      <c r="AR1589" s="10"/>
      <c r="AS1589" s="10"/>
      <c r="AU1589" s="2"/>
      <c r="AV1589" s="2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</row>
    <row r="1590" spans="1:73" customFormat="1" ht="12.75" hidden="1" customHeight="1" x14ac:dyDescent="0.2">
      <c r="A1590" s="1"/>
      <c r="B1590" s="1"/>
      <c r="C1590" s="1"/>
      <c r="D1590" s="7"/>
      <c r="E1590" s="7"/>
      <c r="F1590" s="6"/>
      <c r="G1590" s="7"/>
      <c r="H1590" s="2"/>
      <c r="I1590" s="2"/>
      <c r="J1590" s="2"/>
      <c r="K1590" s="2"/>
      <c r="L1590" s="178"/>
      <c r="M1590" s="2"/>
      <c r="N1590" s="7"/>
      <c r="P1590" s="7"/>
      <c r="R1590" s="2"/>
      <c r="S1590" s="2"/>
      <c r="T1590" s="2"/>
      <c r="U1590" s="2"/>
      <c r="V1590" s="2"/>
      <c r="X1590" s="38"/>
      <c r="Y1590" s="38"/>
      <c r="Z1590" s="38"/>
      <c r="AA1590" s="38"/>
      <c r="AB1590" s="38"/>
      <c r="AD1590" s="2"/>
      <c r="AE1590" s="2"/>
      <c r="AF1590" s="2"/>
      <c r="AG1590" s="2"/>
      <c r="AH1590" s="2"/>
      <c r="AJ1590" s="215"/>
      <c r="AK1590" s="215"/>
      <c r="AL1590" s="215"/>
      <c r="AM1590" s="215"/>
      <c r="AO1590" s="10"/>
      <c r="AP1590" s="10"/>
      <c r="AQ1590" s="10"/>
      <c r="AR1590" s="10"/>
      <c r="AS1590" s="10"/>
      <c r="AU1590" s="2"/>
      <c r="AV1590" s="2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</row>
    <row r="1591" spans="1:73" customFormat="1" ht="12.75" hidden="1" customHeight="1" x14ac:dyDescent="0.2">
      <c r="A1591" s="1"/>
      <c r="B1591" s="1"/>
      <c r="C1591" s="1"/>
      <c r="D1591" s="7"/>
      <c r="E1591" s="7"/>
      <c r="F1591" s="6"/>
      <c r="G1591" s="7"/>
      <c r="H1591" s="2"/>
      <c r="I1591" s="2"/>
      <c r="J1591" s="2"/>
      <c r="K1591" s="2"/>
      <c r="L1591" s="178"/>
      <c r="M1591" s="2"/>
      <c r="N1591" s="7"/>
      <c r="P1591" s="7"/>
      <c r="R1591" s="2"/>
      <c r="S1591" s="2"/>
      <c r="T1591" s="2"/>
      <c r="U1591" s="2"/>
      <c r="V1591" s="2"/>
      <c r="X1591" s="38"/>
      <c r="Y1591" s="38"/>
      <c r="Z1591" s="38"/>
      <c r="AA1591" s="38"/>
      <c r="AB1591" s="38"/>
      <c r="AD1591" s="2"/>
      <c r="AE1591" s="2"/>
      <c r="AF1591" s="2"/>
      <c r="AG1591" s="2"/>
      <c r="AH1591" s="2"/>
      <c r="AJ1591" s="215"/>
      <c r="AK1591" s="215"/>
      <c r="AL1591" s="215"/>
      <c r="AM1591" s="215"/>
      <c r="AO1591" s="10"/>
      <c r="AP1591" s="10"/>
      <c r="AQ1591" s="10"/>
      <c r="AR1591" s="10"/>
      <c r="AS1591" s="10"/>
      <c r="AU1591" s="2"/>
      <c r="AV1591" s="2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</row>
    <row r="1592" spans="1:73" customFormat="1" ht="12.75" hidden="1" customHeight="1" x14ac:dyDescent="0.2">
      <c r="A1592" s="1"/>
      <c r="B1592" s="1"/>
      <c r="C1592" s="1"/>
      <c r="D1592" s="7"/>
      <c r="E1592" s="7"/>
      <c r="F1592" s="6"/>
      <c r="G1592" s="7"/>
      <c r="H1592" s="2"/>
      <c r="I1592" s="2"/>
      <c r="J1592" s="2"/>
      <c r="K1592" s="2"/>
      <c r="L1592" s="178"/>
      <c r="M1592" s="2"/>
      <c r="N1592" s="7"/>
      <c r="P1592" s="7"/>
      <c r="R1592" s="2"/>
      <c r="S1592" s="2"/>
      <c r="T1592" s="2"/>
      <c r="U1592" s="2"/>
      <c r="V1592" s="2"/>
      <c r="X1592" s="38"/>
      <c r="Y1592" s="38"/>
      <c r="Z1592" s="38"/>
      <c r="AA1592" s="38"/>
      <c r="AB1592" s="38"/>
      <c r="AD1592" s="2"/>
      <c r="AE1592" s="2"/>
      <c r="AF1592" s="2"/>
      <c r="AG1592" s="2"/>
      <c r="AH1592" s="2"/>
      <c r="AJ1592" s="215"/>
      <c r="AK1592" s="215"/>
      <c r="AL1592" s="215"/>
      <c r="AM1592" s="215"/>
      <c r="AO1592" s="10"/>
      <c r="AP1592" s="10"/>
      <c r="AQ1592" s="10"/>
      <c r="AR1592" s="10"/>
      <c r="AS1592" s="10"/>
      <c r="AU1592" s="2"/>
      <c r="AV1592" s="2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</row>
    <row r="1593" spans="1:73" customFormat="1" ht="12.75" hidden="1" customHeight="1" x14ac:dyDescent="0.2">
      <c r="A1593" s="1"/>
      <c r="B1593" s="1"/>
      <c r="C1593" s="1"/>
      <c r="D1593" s="7"/>
      <c r="E1593" s="7"/>
      <c r="F1593" s="6"/>
      <c r="G1593" s="7"/>
      <c r="H1593" s="2"/>
      <c r="I1593" s="2"/>
      <c r="J1593" s="2"/>
      <c r="K1593" s="2"/>
      <c r="L1593" s="178"/>
      <c r="M1593" s="2"/>
      <c r="N1593" s="7"/>
      <c r="P1593" s="7"/>
      <c r="R1593" s="2"/>
      <c r="S1593" s="2"/>
      <c r="T1593" s="2"/>
      <c r="U1593" s="2"/>
      <c r="V1593" s="2"/>
      <c r="X1593" s="38"/>
      <c r="Y1593" s="38"/>
      <c r="Z1593" s="38"/>
      <c r="AA1593" s="38"/>
      <c r="AB1593" s="38"/>
      <c r="AD1593" s="2"/>
      <c r="AE1593" s="2"/>
      <c r="AF1593" s="2"/>
      <c r="AG1593" s="2"/>
      <c r="AH1593" s="2"/>
      <c r="AJ1593" s="215"/>
      <c r="AK1593" s="215"/>
      <c r="AL1593" s="215"/>
      <c r="AM1593" s="215"/>
      <c r="AO1593" s="10"/>
      <c r="AP1593" s="10"/>
      <c r="AQ1593" s="10"/>
      <c r="AR1593" s="10"/>
      <c r="AS1593" s="10"/>
      <c r="AU1593" s="2"/>
      <c r="AV1593" s="2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</row>
    <row r="1594" spans="1:73" customFormat="1" ht="12.75" hidden="1" customHeight="1" x14ac:dyDescent="0.2">
      <c r="A1594" s="1"/>
      <c r="B1594" s="1"/>
      <c r="C1594" s="1"/>
      <c r="D1594" s="7"/>
      <c r="E1594" s="7"/>
      <c r="F1594" s="6"/>
      <c r="G1594" s="7"/>
      <c r="H1594" s="2"/>
      <c r="I1594" s="2"/>
      <c r="J1594" s="2"/>
      <c r="K1594" s="2"/>
      <c r="L1594" s="178"/>
      <c r="M1594" s="2"/>
      <c r="N1594" s="7"/>
      <c r="P1594" s="7"/>
      <c r="R1594" s="2"/>
      <c r="S1594" s="2"/>
      <c r="T1594" s="2"/>
      <c r="U1594" s="2"/>
      <c r="V1594" s="2"/>
      <c r="X1594" s="38"/>
      <c r="Y1594" s="38"/>
      <c r="Z1594" s="38"/>
      <c r="AA1594" s="38"/>
      <c r="AB1594" s="38"/>
      <c r="AD1594" s="2"/>
      <c r="AE1594" s="2"/>
      <c r="AF1594" s="2"/>
      <c r="AG1594" s="2"/>
      <c r="AH1594" s="2"/>
      <c r="AJ1594" s="215"/>
      <c r="AK1594" s="215"/>
      <c r="AL1594" s="215"/>
      <c r="AM1594" s="215"/>
      <c r="AO1594" s="10"/>
      <c r="AP1594" s="10"/>
      <c r="AQ1594" s="10"/>
      <c r="AR1594" s="10"/>
      <c r="AS1594" s="10"/>
      <c r="AU1594" s="2"/>
      <c r="AV1594" s="2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</row>
    <row r="1595" spans="1:73" customFormat="1" ht="12.75" hidden="1" customHeight="1" x14ac:dyDescent="0.2">
      <c r="A1595" s="1"/>
      <c r="B1595" s="1"/>
      <c r="C1595" s="1"/>
      <c r="D1595" s="7"/>
      <c r="E1595" s="7"/>
      <c r="F1595" s="6"/>
      <c r="G1595" s="7"/>
      <c r="H1595" s="2"/>
      <c r="I1595" s="2"/>
      <c r="J1595" s="2"/>
      <c r="K1595" s="2"/>
      <c r="L1595" s="178"/>
      <c r="M1595" s="2"/>
      <c r="N1595" s="7"/>
      <c r="P1595" s="7"/>
      <c r="R1595" s="2"/>
      <c r="S1595" s="2"/>
      <c r="T1595" s="2"/>
      <c r="U1595" s="2"/>
      <c r="V1595" s="2"/>
      <c r="X1595" s="38"/>
      <c r="Y1595" s="38"/>
      <c r="Z1595" s="38"/>
      <c r="AA1595" s="38"/>
      <c r="AB1595" s="38"/>
      <c r="AD1595" s="2"/>
      <c r="AE1595" s="2"/>
      <c r="AF1595" s="2"/>
      <c r="AG1595" s="2"/>
      <c r="AH1595" s="2"/>
      <c r="AJ1595" s="215"/>
      <c r="AK1595" s="215"/>
      <c r="AL1595" s="215"/>
      <c r="AM1595" s="215"/>
      <c r="AO1595" s="10"/>
      <c r="AP1595" s="10"/>
      <c r="AQ1595" s="10"/>
      <c r="AR1595" s="10"/>
      <c r="AS1595" s="10"/>
      <c r="AU1595" s="2"/>
      <c r="AV1595" s="2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</row>
    <row r="1596" spans="1:73" customFormat="1" ht="12.75" hidden="1" customHeight="1" x14ac:dyDescent="0.2">
      <c r="A1596" s="1"/>
      <c r="B1596" s="1"/>
      <c r="C1596" s="1"/>
      <c r="D1596" s="7"/>
      <c r="E1596" s="7"/>
      <c r="F1596" s="6"/>
      <c r="G1596" s="7"/>
      <c r="H1596" s="2"/>
      <c r="I1596" s="2"/>
      <c r="J1596" s="2"/>
      <c r="K1596" s="2"/>
      <c r="L1596" s="178"/>
      <c r="M1596" s="2"/>
      <c r="N1596" s="7"/>
      <c r="P1596" s="7"/>
      <c r="R1596" s="2"/>
      <c r="S1596" s="2"/>
      <c r="T1596" s="2"/>
      <c r="U1596" s="2"/>
      <c r="V1596" s="2"/>
      <c r="X1596" s="38"/>
      <c r="Y1596" s="38"/>
      <c r="Z1596" s="38"/>
      <c r="AA1596" s="38"/>
      <c r="AB1596" s="38"/>
      <c r="AD1596" s="2"/>
      <c r="AE1596" s="2"/>
      <c r="AF1596" s="2"/>
      <c r="AG1596" s="2"/>
      <c r="AH1596" s="2"/>
      <c r="AJ1596" s="215"/>
      <c r="AK1596" s="215"/>
      <c r="AL1596" s="215"/>
      <c r="AM1596" s="215"/>
      <c r="AO1596" s="10"/>
      <c r="AP1596" s="10"/>
      <c r="AQ1596" s="10"/>
      <c r="AR1596" s="10"/>
      <c r="AS1596" s="10"/>
      <c r="AU1596" s="2"/>
      <c r="AV1596" s="2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</row>
    <row r="1597" spans="1:73" customFormat="1" ht="12.75" hidden="1" customHeight="1" x14ac:dyDescent="0.2">
      <c r="A1597" s="1"/>
      <c r="B1597" s="1"/>
      <c r="C1597" s="1"/>
      <c r="D1597" s="7"/>
      <c r="E1597" s="7"/>
      <c r="F1597" s="6"/>
      <c r="G1597" s="7"/>
      <c r="H1597" s="2"/>
      <c r="I1597" s="2"/>
      <c r="J1597" s="2"/>
      <c r="K1597" s="2"/>
      <c r="L1597" s="178"/>
      <c r="M1597" s="2"/>
      <c r="N1597" s="7"/>
      <c r="P1597" s="7"/>
      <c r="R1597" s="2"/>
      <c r="S1597" s="2"/>
      <c r="T1597" s="2"/>
      <c r="U1597" s="2"/>
      <c r="V1597" s="2"/>
      <c r="X1597" s="38"/>
      <c r="Y1597" s="38"/>
      <c r="Z1597" s="38"/>
      <c r="AA1597" s="38"/>
      <c r="AB1597" s="38"/>
      <c r="AD1597" s="2"/>
      <c r="AE1597" s="2"/>
      <c r="AF1597" s="2"/>
      <c r="AG1597" s="2"/>
      <c r="AH1597" s="2"/>
      <c r="AJ1597" s="215"/>
      <c r="AK1597" s="215"/>
      <c r="AL1597" s="215"/>
      <c r="AM1597" s="215"/>
      <c r="AO1597" s="10"/>
      <c r="AP1597" s="10"/>
      <c r="AQ1597" s="10"/>
      <c r="AR1597" s="10"/>
      <c r="AS1597" s="10"/>
      <c r="AU1597" s="2"/>
      <c r="AV1597" s="2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</row>
    <row r="1598" spans="1:73" customFormat="1" ht="12.75" hidden="1" customHeight="1" x14ac:dyDescent="0.2">
      <c r="A1598" s="1"/>
      <c r="B1598" s="1"/>
      <c r="C1598" s="1"/>
      <c r="D1598" s="7"/>
      <c r="E1598" s="7"/>
      <c r="F1598" s="6"/>
      <c r="G1598" s="7"/>
      <c r="H1598" s="2"/>
      <c r="I1598" s="2"/>
      <c r="J1598" s="2"/>
      <c r="K1598" s="2"/>
      <c r="L1598" s="178"/>
      <c r="M1598" s="2"/>
      <c r="N1598" s="7"/>
      <c r="P1598" s="7"/>
      <c r="R1598" s="2"/>
      <c r="S1598" s="2"/>
      <c r="T1598" s="2"/>
      <c r="U1598" s="2"/>
      <c r="V1598" s="2"/>
      <c r="X1598" s="38"/>
      <c r="Y1598" s="38"/>
      <c r="Z1598" s="38"/>
      <c r="AA1598" s="38"/>
      <c r="AB1598" s="38"/>
      <c r="AD1598" s="2"/>
      <c r="AE1598" s="2"/>
      <c r="AF1598" s="2"/>
      <c r="AG1598" s="2"/>
      <c r="AH1598" s="2"/>
      <c r="AJ1598" s="215"/>
      <c r="AK1598" s="215"/>
      <c r="AL1598" s="215"/>
      <c r="AM1598" s="215"/>
      <c r="AO1598" s="10"/>
      <c r="AP1598" s="10"/>
      <c r="AQ1598" s="10"/>
      <c r="AR1598" s="10"/>
      <c r="AS1598" s="10"/>
      <c r="AU1598" s="2"/>
      <c r="AV1598" s="2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</row>
    <row r="1599" spans="1:73" customFormat="1" ht="12.75" hidden="1" customHeight="1" x14ac:dyDescent="0.2">
      <c r="A1599" s="1"/>
      <c r="B1599" s="1"/>
      <c r="C1599" s="1"/>
      <c r="D1599" s="7"/>
      <c r="E1599" s="7"/>
      <c r="F1599" s="6"/>
      <c r="G1599" s="7"/>
      <c r="H1599" s="2"/>
      <c r="I1599" s="2"/>
      <c r="J1599" s="2"/>
      <c r="K1599" s="2"/>
      <c r="L1599" s="178"/>
      <c r="M1599" s="2"/>
      <c r="N1599" s="7"/>
      <c r="P1599" s="7"/>
      <c r="R1599" s="2"/>
      <c r="S1599" s="2"/>
      <c r="T1599" s="2"/>
      <c r="U1599" s="2"/>
      <c r="V1599" s="2"/>
      <c r="X1599" s="38"/>
      <c r="Y1599" s="38"/>
      <c r="Z1599" s="38"/>
      <c r="AA1599" s="38"/>
      <c r="AB1599" s="38"/>
      <c r="AD1599" s="2"/>
      <c r="AE1599" s="2"/>
      <c r="AF1599" s="2"/>
      <c r="AG1599" s="2"/>
      <c r="AH1599" s="2"/>
      <c r="AJ1599" s="215"/>
      <c r="AK1599" s="215"/>
      <c r="AL1599" s="215"/>
      <c r="AM1599" s="215"/>
      <c r="AO1599" s="10"/>
      <c r="AP1599" s="10"/>
      <c r="AQ1599" s="10"/>
      <c r="AR1599" s="10"/>
      <c r="AS1599" s="10"/>
      <c r="AU1599" s="2"/>
      <c r="AV1599" s="2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</row>
    <row r="1600" spans="1:73" customFormat="1" ht="12.75" hidden="1" customHeight="1" x14ac:dyDescent="0.2">
      <c r="A1600" s="1"/>
      <c r="B1600" s="1"/>
      <c r="C1600" s="1"/>
      <c r="D1600" s="7"/>
      <c r="E1600" s="7"/>
      <c r="F1600" s="6"/>
      <c r="G1600" s="7"/>
      <c r="H1600" s="2"/>
      <c r="I1600" s="2"/>
      <c r="J1600" s="2"/>
      <c r="K1600" s="2"/>
      <c r="L1600" s="178"/>
      <c r="M1600" s="2"/>
      <c r="N1600" s="7"/>
      <c r="P1600" s="7"/>
      <c r="R1600" s="2"/>
      <c r="S1600" s="2"/>
      <c r="T1600" s="2"/>
      <c r="U1600" s="2"/>
      <c r="V1600" s="2"/>
      <c r="X1600" s="38"/>
      <c r="Y1600" s="38"/>
      <c r="Z1600" s="38"/>
      <c r="AA1600" s="38"/>
      <c r="AB1600" s="38"/>
      <c r="AD1600" s="2"/>
      <c r="AE1600" s="2"/>
      <c r="AF1600" s="2"/>
      <c r="AG1600" s="2"/>
      <c r="AH1600" s="2"/>
      <c r="AJ1600" s="215"/>
      <c r="AK1600" s="215"/>
      <c r="AL1600" s="215"/>
      <c r="AM1600" s="215"/>
      <c r="AO1600" s="10"/>
      <c r="AP1600" s="10"/>
      <c r="AQ1600" s="10"/>
      <c r="AR1600" s="10"/>
      <c r="AS1600" s="10"/>
      <c r="AU1600" s="2"/>
      <c r="AV1600" s="2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</row>
    <row r="1601" spans="1:73" customFormat="1" ht="12.75" hidden="1" customHeight="1" x14ac:dyDescent="0.2">
      <c r="A1601" s="1"/>
      <c r="B1601" s="1"/>
      <c r="C1601" s="1"/>
      <c r="D1601" s="7"/>
      <c r="E1601" s="7"/>
      <c r="F1601" s="6"/>
      <c r="G1601" s="7"/>
      <c r="H1601" s="2"/>
      <c r="I1601" s="2"/>
      <c r="J1601" s="2"/>
      <c r="K1601" s="2"/>
      <c r="L1601" s="178"/>
      <c r="M1601" s="2"/>
      <c r="N1601" s="7"/>
      <c r="P1601" s="7"/>
      <c r="R1601" s="2"/>
      <c r="S1601" s="2"/>
      <c r="T1601" s="2"/>
      <c r="U1601" s="2"/>
      <c r="V1601" s="2"/>
      <c r="X1601" s="38"/>
      <c r="Y1601" s="38"/>
      <c r="Z1601" s="38"/>
      <c r="AA1601" s="38"/>
      <c r="AB1601" s="38"/>
      <c r="AD1601" s="2"/>
      <c r="AE1601" s="2"/>
      <c r="AF1601" s="2"/>
      <c r="AG1601" s="2"/>
      <c r="AH1601" s="2"/>
      <c r="AJ1601" s="215"/>
      <c r="AK1601" s="215"/>
      <c r="AL1601" s="215"/>
      <c r="AM1601" s="215"/>
      <c r="AO1601" s="10"/>
      <c r="AP1601" s="10"/>
      <c r="AQ1601" s="10"/>
      <c r="AR1601" s="10"/>
      <c r="AS1601" s="10"/>
      <c r="AU1601" s="2"/>
      <c r="AV1601" s="2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</row>
    <row r="1602" spans="1:73" customFormat="1" ht="12.75" hidden="1" customHeight="1" x14ac:dyDescent="0.2">
      <c r="A1602" s="1"/>
      <c r="B1602" s="1"/>
      <c r="C1602" s="1"/>
      <c r="D1602" s="7"/>
      <c r="E1602" s="7"/>
      <c r="F1602" s="6"/>
      <c r="G1602" s="7"/>
      <c r="H1602" s="2"/>
      <c r="I1602" s="2"/>
      <c r="J1602" s="2"/>
      <c r="K1602" s="2"/>
      <c r="L1602" s="178"/>
      <c r="M1602" s="2"/>
      <c r="N1602" s="7"/>
      <c r="P1602" s="7"/>
      <c r="R1602" s="2"/>
      <c r="S1602" s="2"/>
      <c r="T1602" s="2"/>
      <c r="U1602" s="2"/>
      <c r="V1602" s="2"/>
      <c r="X1602" s="38"/>
      <c r="Y1602" s="38"/>
      <c r="Z1602" s="38"/>
      <c r="AA1602" s="38"/>
      <c r="AB1602" s="38"/>
      <c r="AD1602" s="2"/>
      <c r="AE1602" s="2"/>
      <c r="AF1602" s="2"/>
      <c r="AG1602" s="2"/>
      <c r="AH1602" s="2"/>
      <c r="AJ1602" s="215"/>
      <c r="AK1602" s="215"/>
      <c r="AL1602" s="215"/>
      <c r="AM1602" s="215"/>
      <c r="AO1602" s="10"/>
      <c r="AP1602" s="10"/>
      <c r="AQ1602" s="10"/>
      <c r="AR1602" s="10"/>
      <c r="AS1602" s="10"/>
      <c r="AU1602" s="2"/>
      <c r="AV1602" s="2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</row>
    <row r="1603" spans="1:73" customFormat="1" ht="12.75" hidden="1" customHeight="1" x14ac:dyDescent="0.2">
      <c r="A1603" s="1"/>
      <c r="B1603" s="1"/>
      <c r="C1603" s="1"/>
      <c r="D1603" s="7"/>
      <c r="E1603" s="7"/>
      <c r="F1603" s="6"/>
      <c r="G1603" s="7"/>
      <c r="H1603" s="2"/>
      <c r="I1603" s="2"/>
      <c r="J1603" s="2"/>
      <c r="K1603" s="2"/>
      <c r="L1603" s="178"/>
      <c r="M1603" s="2"/>
      <c r="N1603" s="7"/>
      <c r="P1603" s="7"/>
      <c r="R1603" s="2"/>
      <c r="S1603" s="2"/>
      <c r="T1603" s="2"/>
      <c r="U1603" s="2"/>
      <c r="V1603" s="2"/>
      <c r="X1603" s="38"/>
      <c r="Y1603" s="38"/>
      <c r="Z1603" s="38"/>
      <c r="AA1603" s="38"/>
      <c r="AB1603" s="38"/>
      <c r="AD1603" s="2"/>
      <c r="AE1603" s="2"/>
      <c r="AF1603" s="2"/>
      <c r="AG1603" s="2"/>
      <c r="AH1603" s="2"/>
      <c r="AJ1603" s="215"/>
      <c r="AK1603" s="215"/>
      <c r="AL1603" s="215"/>
      <c r="AM1603" s="215"/>
      <c r="AO1603" s="10"/>
      <c r="AP1603" s="10"/>
      <c r="AQ1603" s="10"/>
      <c r="AR1603" s="10"/>
      <c r="AS1603" s="10"/>
      <c r="AU1603" s="2"/>
      <c r="AV1603" s="2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</row>
    <row r="1604" spans="1:73" customFormat="1" ht="12.75" hidden="1" customHeight="1" x14ac:dyDescent="0.2">
      <c r="A1604" s="1"/>
      <c r="B1604" s="1"/>
      <c r="C1604" s="1"/>
      <c r="D1604" s="7"/>
      <c r="E1604" s="7"/>
      <c r="F1604" s="6"/>
      <c r="G1604" s="7"/>
      <c r="H1604" s="2"/>
      <c r="I1604" s="2"/>
      <c r="J1604" s="2"/>
      <c r="K1604" s="2"/>
      <c r="L1604" s="178"/>
      <c r="M1604" s="2"/>
      <c r="N1604" s="7"/>
      <c r="P1604" s="7"/>
      <c r="R1604" s="2"/>
      <c r="S1604" s="2"/>
      <c r="T1604" s="2"/>
      <c r="U1604" s="2"/>
      <c r="V1604" s="2"/>
      <c r="X1604" s="38"/>
      <c r="Y1604" s="38"/>
      <c r="Z1604" s="38"/>
      <c r="AA1604" s="38"/>
      <c r="AB1604" s="38"/>
      <c r="AD1604" s="2"/>
      <c r="AE1604" s="2"/>
      <c r="AF1604" s="2"/>
      <c r="AG1604" s="2"/>
      <c r="AH1604" s="2"/>
      <c r="AJ1604" s="215"/>
      <c r="AK1604" s="215"/>
      <c r="AL1604" s="215"/>
      <c r="AM1604" s="215"/>
      <c r="AO1604" s="10"/>
      <c r="AP1604" s="10"/>
      <c r="AQ1604" s="10"/>
      <c r="AR1604" s="10"/>
      <c r="AS1604" s="10"/>
      <c r="AU1604" s="2"/>
      <c r="AV1604" s="2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</row>
    <row r="1605" spans="1:73" customFormat="1" ht="12.75" hidden="1" customHeight="1" x14ac:dyDescent="0.2">
      <c r="A1605" s="1"/>
      <c r="B1605" s="1"/>
      <c r="C1605" s="1"/>
      <c r="D1605" s="7"/>
      <c r="E1605" s="7"/>
      <c r="F1605" s="6"/>
      <c r="G1605" s="7"/>
      <c r="H1605" s="2"/>
      <c r="I1605" s="2"/>
      <c r="J1605" s="2"/>
      <c r="K1605" s="2"/>
      <c r="L1605" s="178"/>
      <c r="M1605" s="2"/>
      <c r="N1605" s="7"/>
      <c r="P1605" s="7"/>
      <c r="R1605" s="2"/>
      <c r="S1605" s="2"/>
      <c r="T1605" s="2"/>
      <c r="U1605" s="2"/>
      <c r="V1605" s="2"/>
      <c r="X1605" s="38"/>
      <c r="Y1605" s="38"/>
      <c r="Z1605" s="38"/>
      <c r="AA1605" s="38"/>
      <c r="AB1605" s="38"/>
      <c r="AD1605" s="2"/>
      <c r="AE1605" s="2"/>
      <c r="AF1605" s="2"/>
      <c r="AG1605" s="2"/>
      <c r="AH1605" s="2"/>
      <c r="AJ1605" s="215"/>
      <c r="AK1605" s="215"/>
      <c r="AL1605" s="215"/>
      <c r="AM1605" s="215"/>
      <c r="AO1605" s="10"/>
      <c r="AP1605" s="10"/>
      <c r="AQ1605" s="10"/>
      <c r="AR1605" s="10"/>
      <c r="AS1605" s="10"/>
      <c r="AU1605" s="2"/>
      <c r="AV1605" s="2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</row>
    <row r="1606" spans="1:73" customFormat="1" ht="12.75" hidden="1" customHeight="1" x14ac:dyDescent="0.2">
      <c r="A1606" s="1"/>
      <c r="B1606" s="1"/>
      <c r="C1606" s="1"/>
      <c r="D1606" s="7"/>
      <c r="E1606" s="7"/>
      <c r="F1606" s="6"/>
      <c r="G1606" s="7"/>
      <c r="H1606" s="2"/>
      <c r="I1606" s="2"/>
      <c r="J1606" s="2"/>
      <c r="K1606" s="2"/>
      <c r="L1606" s="178"/>
      <c r="M1606" s="2"/>
      <c r="N1606" s="7"/>
      <c r="P1606" s="7"/>
      <c r="R1606" s="2"/>
      <c r="S1606" s="2"/>
      <c r="T1606" s="2"/>
      <c r="U1606" s="2"/>
      <c r="V1606" s="2"/>
      <c r="X1606" s="38"/>
      <c r="Y1606" s="38"/>
      <c r="Z1606" s="38"/>
      <c r="AA1606" s="38"/>
      <c r="AB1606" s="38"/>
      <c r="AD1606" s="2"/>
      <c r="AE1606" s="2"/>
      <c r="AF1606" s="2"/>
      <c r="AG1606" s="2"/>
      <c r="AH1606" s="2"/>
      <c r="AJ1606" s="215"/>
      <c r="AK1606" s="215"/>
      <c r="AL1606" s="215"/>
      <c r="AM1606" s="215"/>
      <c r="AO1606" s="10"/>
      <c r="AP1606" s="10"/>
      <c r="AQ1606" s="10"/>
      <c r="AR1606" s="10"/>
      <c r="AS1606" s="10"/>
      <c r="AU1606" s="2"/>
      <c r="AV1606" s="2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</row>
    <row r="1607" spans="1:73" customFormat="1" ht="12.75" hidden="1" customHeight="1" x14ac:dyDescent="0.2">
      <c r="A1607" s="1"/>
      <c r="B1607" s="1"/>
      <c r="C1607" s="1"/>
      <c r="D1607" s="7"/>
      <c r="E1607" s="7"/>
      <c r="F1607" s="6"/>
      <c r="G1607" s="7"/>
      <c r="H1607" s="2"/>
      <c r="I1607" s="2"/>
      <c r="J1607" s="2"/>
      <c r="K1607" s="2"/>
      <c r="L1607" s="178"/>
      <c r="M1607" s="2"/>
      <c r="N1607" s="7"/>
      <c r="P1607" s="7"/>
      <c r="R1607" s="2"/>
      <c r="S1607" s="2"/>
      <c r="T1607" s="2"/>
      <c r="U1607" s="2"/>
      <c r="V1607" s="2"/>
      <c r="X1607" s="38"/>
      <c r="Y1607" s="38"/>
      <c r="Z1607" s="38"/>
      <c r="AA1607" s="38"/>
      <c r="AB1607" s="38"/>
      <c r="AD1607" s="2"/>
      <c r="AE1607" s="2"/>
      <c r="AF1607" s="2"/>
      <c r="AG1607" s="2"/>
      <c r="AH1607" s="2"/>
      <c r="AJ1607" s="215"/>
      <c r="AK1607" s="215"/>
      <c r="AL1607" s="215"/>
      <c r="AM1607" s="215"/>
      <c r="AO1607" s="10"/>
      <c r="AP1607" s="10"/>
      <c r="AQ1607" s="10"/>
      <c r="AR1607" s="10"/>
      <c r="AS1607" s="10"/>
      <c r="AU1607" s="2"/>
      <c r="AV1607" s="2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</row>
    <row r="1608" spans="1:73" customFormat="1" ht="12.75" hidden="1" customHeight="1" x14ac:dyDescent="0.2">
      <c r="A1608" s="1"/>
      <c r="B1608" s="1"/>
      <c r="C1608" s="1"/>
      <c r="D1608" s="7"/>
      <c r="E1608" s="7"/>
      <c r="F1608" s="6"/>
      <c r="G1608" s="7"/>
      <c r="H1608" s="2"/>
      <c r="I1608" s="2"/>
      <c r="J1608" s="2"/>
      <c r="K1608" s="2"/>
      <c r="L1608" s="178"/>
      <c r="M1608" s="2"/>
      <c r="N1608" s="7"/>
      <c r="P1608" s="7"/>
      <c r="R1608" s="2"/>
      <c r="S1608" s="2"/>
      <c r="T1608" s="2"/>
      <c r="U1608" s="2"/>
      <c r="V1608" s="2"/>
      <c r="X1608" s="38"/>
      <c r="Y1608" s="38"/>
      <c r="Z1608" s="38"/>
      <c r="AA1608" s="38"/>
      <c r="AB1608" s="38"/>
      <c r="AD1608" s="2"/>
      <c r="AE1608" s="2"/>
      <c r="AF1608" s="2"/>
      <c r="AG1608" s="2"/>
      <c r="AH1608" s="2"/>
      <c r="AJ1608" s="215"/>
      <c r="AK1608" s="215"/>
      <c r="AL1608" s="215"/>
      <c r="AM1608" s="215"/>
      <c r="AO1608" s="10"/>
      <c r="AP1608" s="10"/>
      <c r="AQ1608" s="10"/>
      <c r="AR1608" s="10"/>
      <c r="AS1608" s="10"/>
      <c r="AU1608" s="2"/>
      <c r="AV1608" s="2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</row>
    <row r="1609" spans="1:73" customFormat="1" ht="12.75" hidden="1" customHeight="1" x14ac:dyDescent="0.2">
      <c r="A1609" s="1"/>
      <c r="B1609" s="1"/>
      <c r="C1609" s="1"/>
      <c r="D1609" s="7"/>
      <c r="E1609" s="7"/>
      <c r="F1609" s="6"/>
      <c r="G1609" s="7"/>
      <c r="H1609" s="2"/>
      <c r="I1609" s="2"/>
      <c r="J1609" s="2"/>
      <c r="K1609" s="2"/>
      <c r="L1609" s="178"/>
      <c r="M1609" s="2"/>
      <c r="N1609" s="7"/>
      <c r="P1609" s="7"/>
      <c r="R1609" s="2"/>
      <c r="S1609" s="2"/>
      <c r="T1609" s="2"/>
      <c r="U1609" s="2"/>
      <c r="V1609" s="2"/>
      <c r="X1609" s="38"/>
      <c r="Y1609" s="38"/>
      <c r="Z1609" s="38"/>
      <c r="AA1609" s="38"/>
      <c r="AB1609" s="38"/>
      <c r="AD1609" s="2"/>
      <c r="AE1609" s="2"/>
      <c r="AF1609" s="2"/>
      <c r="AG1609" s="2"/>
      <c r="AH1609" s="2"/>
      <c r="AJ1609" s="215"/>
      <c r="AK1609" s="215"/>
      <c r="AL1609" s="215"/>
      <c r="AM1609" s="215"/>
      <c r="AO1609" s="10"/>
      <c r="AP1609" s="10"/>
      <c r="AQ1609" s="10"/>
      <c r="AR1609" s="10"/>
      <c r="AS1609" s="10"/>
      <c r="AU1609" s="2"/>
      <c r="AV1609" s="2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</row>
    <row r="1610" spans="1:73" customFormat="1" ht="12.75" hidden="1" customHeight="1" x14ac:dyDescent="0.2">
      <c r="A1610" s="1"/>
      <c r="B1610" s="1"/>
      <c r="C1610" s="1"/>
      <c r="D1610" s="7"/>
      <c r="E1610" s="7"/>
      <c r="F1610" s="6"/>
      <c r="G1610" s="7"/>
      <c r="H1610" s="2"/>
      <c r="I1610" s="2"/>
      <c r="J1610" s="2"/>
      <c r="K1610" s="2"/>
      <c r="L1610" s="178"/>
      <c r="M1610" s="2"/>
      <c r="N1610" s="7"/>
      <c r="P1610" s="7"/>
      <c r="R1610" s="2"/>
      <c r="S1610" s="2"/>
      <c r="T1610" s="2"/>
      <c r="U1610" s="2"/>
      <c r="V1610" s="2"/>
      <c r="X1610" s="38"/>
      <c r="Y1610" s="38"/>
      <c r="Z1610" s="38"/>
      <c r="AA1610" s="38"/>
      <c r="AB1610" s="38"/>
      <c r="AD1610" s="2"/>
      <c r="AE1610" s="2"/>
      <c r="AF1610" s="2"/>
      <c r="AG1610" s="2"/>
      <c r="AH1610" s="2"/>
      <c r="AJ1610" s="215"/>
      <c r="AK1610" s="215"/>
      <c r="AL1610" s="215"/>
      <c r="AM1610" s="215"/>
      <c r="AO1610" s="10"/>
      <c r="AP1610" s="10"/>
      <c r="AQ1610" s="10"/>
      <c r="AR1610" s="10"/>
      <c r="AS1610" s="10"/>
      <c r="AU1610" s="2"/>
      <c r="AV1610" s="2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</row>
    <row r="1611" spans="1:73" customFormat="1" ht="12.75" hidden="1" customHeight="1" x14ac:dyDescent="0.2">
      <c r="A1611" s="1"/>
      <c r="B1611" s="1"/>
      <c r="C1611" s="1"/>
      <c r="D1611" s="7"/>
      <c r="E1611" s="7"/>
      <c r="F1611" s="6"/>
      <c r="G1611" s="7"/>
      <c r="H1611" s="2"/>
      <c r="I1611" s="2"/>
      <c r="J1611" s="2"/>
      <c r="K1611" s="2"/>
      <c r="L1611" s="178"/>
      <c r="M1611" s="2"/>
      <c r="N1611" s="7"/>
      <c r="P1611" s="7"/>
      <c r="R1611" s="2"/>
      <c r="S1611" s="2"/>
      <c r="T1611" s="2"/>
      <c r="U1611" s="2"/>
      <c r="V1611" s="2"/>
      <c r="X1611" s="38"/>
      <c r="Y1611" s="38"/>
      <c r="Z1611" s="38"/>
      <c r="AA1611" s="38"/>
      <c r="AB1611" s="38"/>
      <c r="AD1611" s="2"/>
      <c r="AE1611" s="2"/>
      <c r="AF1611" s="2"/>
      <c r="AG1611" s="2"/>
      <c r="AH1611" s="2"/>
      <c r="AJ1611" s="215"/>
      <c r="AK1611" s="215"/>
      <c r="AL1611" s="215"/>
      <c r="AM1611" s="215"/>
      <c r="AO1611" s="10"/>
      <c r="AP1611" s="10"/>
      <c r="AQ1611" s="10"/>
      <c r="AR1611" s="10"/>
      <c r="AS1611" s="10"/>
      <c r="AU1611" s="2"/>
      <c r="AV1611" s="2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</row>
    <row r="1612" spans="1:73" customFormat="1" ht="12.75" hidden="1" customHeight="1" x14ac:dyDescent="0.2">
      <c r="A1612" s="1"/>
      <c r="B1612" s="1"/>
      <c r="C1612" s="1"/>
      <c r="D1612" s="7"/>
      <c r="E1612" s="7"/>
      <c r="F1612" s="6"/>
      <c r="G1612" s="7"/>
      <c r="H1612" s="2"/>
      <c r="I1612" s="2"/>
      <c r="J1612" s="2"/>
      <c r="K1612" s="2"/>
      <c r="L1612" s="178"/>
      <c r="M1612" s="2"/>
      <c r="N1612" s="7"/>
      <c r="P1612" s="7"/>
      <c r="R1612" s="2"/>
      <c r="S1612" s="2"/>
      <c r="T1612" s="2"/>
      <c r="U1612" s="2"/>
      <c r="V1612" s="2"/>
      <c r="X1612" s="38"/>
      <c r="Y1612" s="38"/>
      <c r="Z1612" s="38"/>
      <c r="AA1612" s="38"/>
      <c r="AB1612" s="38"/>
      <c r="AD1612" s="2"/>
      <c r="AE1612" s="2"/>
      <c r="AF1612" s="2"/>
      <c r="AG1612" s="2"/>
      <c r="AH1612" s="2"/>
      <c r="AJ1612" s="215"/>
      <c r="AK1612" s="215"/>
      <c r="AL1612" s="215"/>
      <c r="AM1612" s="215"/>
      <c r="AO1612" s="10"/>
      <c r="AP1612" s="10"/>
      <c r="AQ1612" s="10"/>
      <c r="AR1612" s="10"/>
      <c r="AS1612" s="10"/>
      <c r="AU1612" s="2"/>
      <c r="AV1612" s="2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</row>
    <row r="1613" spans="1:73" customFormat="1" ht="12.75" hidden="1" customHeight="1" x14ac:dyDescent="0.2">
      <c r="A1613" s="1"/>
      <c r="B1613" s="1"/>
      <c r="C1613" s="1"/>
      <c r="D1613" s="7"/>
      <c r="E1613" s="7"/>
      <c r="F1613" s="6"/>
      <c r="G1613" s="7"/>
      <c r="H1613" s="2"/>
      <c r="I1613" s="2"/>
      <c r="J1613" s="2"/>
      <c r="K1613" s="2"/>
      <c r="L1613" s="178"/>
      <c r="M1613" s="2"/>
      <c r="N1613" s="7"/>
      <c r="P1613" s="7"/>
      <c r="R1613" s="2"/>
      <c r="S1613" s="2"/>
      <c r="T1613" s="2"/>
      <c r="U1613" s="2"/>
      <c r="V1613" s="2"/>
      <c r="X1613" s="38"/>
      <c r="Y1613" s="38"/>
      <c r="Z1613" s="38"/>
      <c r="AA1613" s="38"/>
      <c r="AB1613" s="38"/>
      <c r="AD1613" s="2"/>
      <c r="AE1613" s="2"/>
      <c r="AF1613" s="2"/>
      <c r="AG1613" s="2"/>
      <c r="AH1613" s="2"/>
      <c r="AJ1613" s="215"/>
      <c r="AK1613" s="215"/>
      <c r="AL1613" s="215"/>
      <c r="AM1613" s="215"/>
      <c r="AO1613" s="10"/>
      <c r="AP1613" s="10"/>
      <c r="AQ1613" s="10"/>
      <c r="AR1613" s="10"/>
      <c r="AS1613" s="10"/>
      <c r="AU1613" s="2"/>
      <c r="AV1613" s="2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</row>
    <row r="1614" spans="1:73" customFormat="1" ht="12.75" hidden="1" customHeight="1" x14ac:dyDescent="0.2">
      <c r="A1614" s="1"/>
      <c r="B1614" s="1"/>
      <c r="C1614" s="1"/>
      <c r="D1614" s="7"/>
      <c r="E1614" s="7"/>
      <c r="F1614" s="6"/>
      <c r="G1614" s="7"/>
      <c r="H1614" s="2"/>
      <c r="I1614" s="2"/>
      <c r="J1614" s="2"/>
      <c r="K1614" s="2"/>
      <c r="L1614" s="178"/>
      <c r="M1614" s="2"/>
      <c r="N1614" s="7"/>
      <c r="P1614" s="7"/>
      <c r="R1614" s="2"/>
      <c r="S1614" s="2"/>
      <c r="T1614" s="2"/>
      <c r="U1614" s="2"/>
      <c r="V1614" s="2"/>
      <c r="X1614" s="38"/>
      <c r="Y1614" s="38"/>
      <c r="Z1614" s="38"/>
      <c r="AA1614" s="38"/>
      <c r="AB1614" s="38"/>
      <c r="AD1614" s="2"/>
      <c r="AE1614" s="2"/>
      <c r="AF1614" s="2"/>
      <c r="AG1614" s="2"/>
      <c r="AH1614" s="2"/>
      <c r="AJ1614" s="215"/>
      <c r="AK1614" s="215"/>
      <c r="AL1614" s="215"/>
      <c r="AM1614" s="215"/>
      <c r="AO1614" s="10"/>
      <c r="AP1614" s="10"/>
      <c r="AQ1614" s="10"/>
      <c r="AR1614" s="10"/>
      <c r="AS1614" s="10"/>
      <c r="AU1614" s="2"/>
      <c r="AV1614" s="2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</row>
    <row r="1615" spans="1:73" customFormat="1" ht="12.75" hidden="1" customHeight="1" x14ac:dyDescent="0.2">
      <c r="A1615" s="1"/>
      <c r="B1615" s="1"/>
      <c r="C1615" s="1"/>
      <c r="D1615" s="7"/>
      <c r="E1615" s="7"/>
      <c r="F1615" s="6"/>
      <c r="G1615" s="7"/>
      <c r="H1615" s="2"/>
      <c r="I1615" s="2"/>
      <c r="J1615" s="2"/>
      <c r="K1615" s="2"/>
      <c r="L1615" s="178"/>
      <c r="M1615" s="2"/>
      <c r="N1615" s="7"/>
      <c r="P1615" s="7"/>
      <c r="R1615" s="2"/>
      <c r="S1615" s="2"/>
      <c r="T1615" s="2"/>
      <c r="U1615" s="2"/>
      <c r="V1615" s="2"/>
      <c r="X1615" s="38"/>
      <c r="Y1615" s="38"/>
      <c r="Z1615" s="38"/>
      <c r="AA1615" s="38"/>
      <c r="AB1615" s="38"/>
      <c r="AD1615" s="2"/>
      <c r="AE1615" s="2"/>
      <c r="AF1615" s="2"/>
      <c r="AG1615" s="2"/>
      <c r="AH1615" s="2"/>
      <c r="AJ1615" s="215"/>
      <c r="AK1615" s="215"/>
      <c r="AL1615" s="215"/>
      <c r="AM1615" s="215"/>
      <c r="AO1615" s="10"/>
      <c r="AP1615" s="10"/>
      <c r="AQ1615" s="10"/>
      <c r="AR1615" s="10"/>
      <c r="AS1615" s="10"/>
      <c r="AU1615" s="2"/>
      <c r="AV1615" s="2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</row>
    <row r="1616" spans="1:73" customFormat="1" ht="12.75" hidden="1" customHeight="1" x14ac:dyDescent="0.2">
      <c r="A1616" s="1"/>
      <c r="B1616" s="1"/>
      <c r="C1616" s="1"/>
      <c r="D1616" s="7"/>
      <c r="E1616" s="7"/>
      <c r="F1616" s="6"/>
      <c r="G1616" s="7"/>
      <c r="H1616" s="2"/>
      <c r="I1616" s="2"/>
      <c r="J1616" s="2"/>
      <c r="K1616" s="2"/>
      <c r="L1616" s="178"/>
      <c r="M1616" s="2"/>
      <c r="N1616" s="7"/>
      <c r="P1616" s="7"/>
      <c r="R1616" s="2"/>
      <c r="S1616" s="2"/>
      <c r="T1616" s="2"/>
      <c r="U1616" s="2"/>
      <c r="V1616" s="2"/>
      <c r="X1616" s="38"/>
      <c r="Y1616" s="38"/>
      <c r="Z1616" s="38"/>
      <c r="AA1616" s="38"/>
      <c r="AB1616" s="38"/>
      <c r="AD1616" s="2"/>
      <c r="AE1616" s="2"/>
      <c r="AF1616" s="2"/>
      <c r="AG1616" s="2"/>
      <c r="AH1616" s="2"/>
      <c r="AJ1616" s="215"/>
      <c r="AK1616" s="215"/>
      <c r="AL1616" s="215"/>
      <c r="AM1616" s="215"/>
      <c r="AO1616" s="10"/>
      <c r="AP1616" s="10"/>
      <c r="AQ1616" s="10"/>
      <c r="AR1616" s="10"/>
      <c r="AS1616" s="10"/>
      <c r="AU1616" s="2"/>
      <c r="AV1616" s="2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</row>
    <row r="1617" spans="1:73" customFormat="1" ht="12.75" hidden="1" customHeight="1" x14ac:dyDescent="0.2">
      <c r="A1617" s="1"/>
      <c r="B1617" s="1"/>
      <c r="C1617" s="1"/>
      <c r="D1617" s="7"/>
      <c r="E1617" s="7"/>
      <c r="F1617" s="6"/>
      <c r="G1617" s="7"/>
      <c r="H1617" s="2"/>
      <c r="I1617" s="2"/>
      <c r="J1617" s="2"/>
      <c r="K1617" s="2"/>
      <c r="L1617" s="178"/>
      <c r="M1617" s="2"/>
      <c r="N1617" s="7"/>
      <c r="P1617" s="7"/>
      <c r="R1617" s="2"/>
      <c r="S1617" s="2"/>
      <c r="T1617" s="2"/>
      <c r="U1617" s="2"/>
      <c r="V1617" s="2"/>
      <c r="X1617" s="38"/>
      <c r="Y1617" s="38"/>
      <c r="Z1617" s="38"/>
      <c r="AA1617" s="38"/>
      <c r="AB1617" s="38"/>
      <c r="AD1617" s="2"/>
      <c r="AE1617" s="2"/>
      <c r="AF1617" s="2"/>
      <c r="AG1617" s="2"/>
      <c r="AH1617" s="2"/>
      <c r="AJ1617" s="215"/>
      <c r="AK1617" s="215"/>
      <c r="AL1617" s="215"/>
      <c r="AM1617" s="215"/>
      <c r="AO1617" s="10"/>
      <c r="AP1617" s="10"/>
      <c r="AQ1617" s="10"/>
      <c r="AR1617" s="10"/>
      <c r="AS1617" s="10"/>
      <c r="AU1617" s="2"/>
      <c r="AV1617" s="2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</row>
    <row r="1618" spans="1:73" customFormat="1" ht="12.75" hidden="1" customHeight="1" x14ac:dyDescent="0.2">
      <c r="A1618" s="1"/>
      <c r="B1618" s="1"/>
      <c r="C1618" s="1"/>
      <c r="D1618" s="7"/>
      <c r="E1618" s="7"/>
      <c r="F1618" s="6"/>
      <c r="G1618" s="7"/>
      <c r="H1618" s="2"/>
      <c r="I1618" s="2"/>
      <c r="J1618" s="2"/>
      <c r="K1618" s="2"/>
      <c r="L1618" s="178"/>
      <c r="M1618" s="2"/>
      <c r="N1618" s="7"/>
      <c r="P1618" s="7"/>
      <c r="R1618" s="2"/>
      <c r="S1618" s="2"/>
      <c r="T1618" s="2"/>
      <c r="U1618" s="2"/>
      <c r="V1618" s="2"/>
      <c r="X1618" s="38"/>
      <c r="Y1618" s="38"/>
      <c r="Z1618" s="38"/>
      <c r="AA1618" s="38"/>
      <c r="AB1618" s="38"/>
      <c r="AD1618" s="2"/>
      <c r="AE1618" s="2"/>
      <c r="AF1618" s="2"/>
      <c r="AG1618" s="2"/>
      <c r="AH1618" s="2"/>
      <c r="AJ1618" s="215"/>
      <c r="AK1618" s="215"/>
      <c r="AL1618" s="215"/>
      <c r="AM1618" s="215"/>
      <c r="AO1618" s="10"/>
      <c r="AP1618" s="10"/>
      <c r="AQ1618" s="10"/>
      <c r="AR1618" s="10"/>
      <c r="AS1618" s="10"/>
      <c r="AU1618" s="2"/>
      <c r="AV1618" s="2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</row>
    <row r="1619" spans="1:73" customFormat="1" ht="12.75" hidden="1" customHeight="1" x14ac:dyDescent="0.2">
      <c r="A1619" s="1"/>
      <c r="B1619" s="1"/>
      <c r="C1619" s="1"/>
      <c r="D1619" s="7"/>
      <c r="E1619" s="7"/>
      <c r="F1619" s="6"/>
      <c r="G1619" s="7"/>
      <c r="H1619" s="2"/>
      <c r="I1619" s="2"/>
      <c r="J1619" s="2"/>
      <c r="K1619" s="2"/>
      <c r="L1619" s="178"/>
      <c r="M1619" s="2"/>
      <c r="N1619" s="7"/>
      <c r="P1619" s="7"/>
      <c r="R1619" s="2"/>
      <c r="S1619" s="2"/>
      <c r="T1619" s="2"/>
      <c r="U1619" s="2"/>
      <c r="V1619" s="2"/>
      <c r="X1619" s="38"/>
      <c r="Y1619" s="38"/>
      <c r="Z1619" s="38"/>
      <c r="AA1619" s="38"/>
      <c r="AB1619" s="38"/>
      <c r="AD1619" s="2"/>
      <c r="AE1619" s="2"/>
      <c r="AF1619" s="2"/>
      <c r="AG1619" s="2"/>
      <c r="AH1619" s="2"/>
      <c r="AJ1619" s="215"/>
      <c r="AK1619" s="215"/>
      <c r="AL1619" s="215"/>
      <c r="AM1619" s="215"/>
      <c r="AO1619" s="10"/>
      <c r="AP1619" s="10"/>
      <c r="AQ1619" s="10"/>
      <c r="AR1619" s="10"/>
      <c r="AS1619" s="10"/>
      <c r="AU1619" s="2"/>
      <c r="AV1619" s="2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</row>
    <row r="1620" spans="1:73" customFormat="1" ht="12.75" hidden="1" customHeight="1" x14ac:dyDescent="0.2">
      <c r="A1620" s="1"/>
      <c r="B1620" s="1"/>
      <c r="C1620" s="1"/>
      <c r="D1620" s="7"/>
      <c r="E1620" s="7"/>
      <c r="F1620" s="6"/>
      <c r="G1620" s="7"/>
      <c r="H1620" s="2"/>
      <c r="I1620" s="2"/>
      <c r="J1620" s="2"/>
      <c r="K1620" s="2"/>
      <c r="L1620" s="178"/>
      <c r="M1620" s="2"/>
      <c r="N1620" s="7"/>
      <c r="P1620" s="7"/>
      <c r="R1620" s="2"/>
      <c r="S1620" s="2"/>
      <c r="T1620" s="2"/>
      <c r="U1620" s="2"/>
      <c r="V1620" s="2"/>
      <c r="X1620" s="38"/>
      <c r="Y1620" s="38"/>
      <c r="Z1620" s="38"/>
      <c r="AA1620" s="38"/>
      <c r="AB1620" s="38"/>
      <c r="AD1620" s="2"/>
      <c r="AE1620" s="2"/>
      <c r="AF1620" s="2"/>
      <c r="AG1620" s="2"/>
      <c r="AH1620" s="2"/>
      <c r="AJ1620" s="215"/>
      <c r="AK1620" s="215"/>
      <c r="AL1620" s="215"/>
      <c r="AM1620" s="215"/>
      <c r="AO1620" s="10"/>
      <c r="AP1620" s="10"/>
      <c r="AQ1620" s="10"/>
      <c r="AR1620" s="10"/>
      <c r="AS1620" s="10"/>
      <c r="AU1620" s="2"/>
      <c r="AV1620" s="2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</row>
    <row r="1621" spans="1:73" customFormat="1" ht="12.75" hidden="1" customHeight="1" x14ac:dyDescent="0.2">
      <c r="A1621" s="1"/>
      <c r="B1621" s="1"/>
      <c r="C1621" s="1"/>
      <c r="D1621" s="7"/>
      <c r="E1621" s="7"/>
      <c r="F1621" s="6"/>
      <c r="G1621" s="7"/>
      <c r="H1621" s="2"/>
      <c r="I1621" s="2"/>
      <c r="J1621" s="2"/>
      <c r="K1621" s="2"/>
      <c r="L1621" s="178"/>
      <c r="M1621" s="2"/>
      <c r="N1621" s="7"/>
      <c r="P1621" s="7"/>
      <c r="R1621" s="2"/>
      <c r="S1621" s="2"/>
      <c r="T1621" s="2"/>
      <c r="U1621" s="2"/>
      <c r="V1621" s="2"/>
      <c r="X1621" s="38"/>
      <c r="Y1621" s="38"/>
      <c r="Z1621" s="38"/>
      <c r="AA1621" s="38"/>
      <c r="AB1621" s="38"/>
      <c r="AD1621" s="2"/>
      <c r="AE1621" s="2"/>
      <c r="AF1621" s="2"/>
      <c r="AG1621" s="2"/>
      <c r="AH1621" s="2"/>
      <c r="AJ1621" s="215"/>
      <c r="AK1621" s="215"/>
      <c r="AL1621" s="215"/>
      <c r="AM1621" s="215"/>
      <c r="AO1621" s="10"/>
      <c r="AP1621" s="10"/>
      <c r="AQ1621" s="10"/>
      <c r="AR1621" s="10"/>
      <c r="AS1621" s="10"/>
      <c r="AU1621" s="2"/>
      <c r="AV1621" s="2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</row>
    <row r="1622" spans="1:73" customFormat="1" ht="12.75" hidden="1" customHeight="1" x14ac:dyDescent="0.2">
      <c r="A1622" s="1"/>
      <c r="B1622" s="1"/>
      <c r="C1622" s="1"/>
      <c r="D1622" s="7"/>
      <c r="E1622" s="7"/>
      <c r="F1622" s="6"/>
      <c r="G1622" s="7"/>
      <c r="H1622" s="2"/>
      <c r="I1622" s="2"/>
      <c r="J1622" s="2"/>
      <c r="K1622" s="2"/>
      <c r="L1622" s="178"/>
      <c r="M1622" s="2"/>
      <c r="N1622" s="7"/>
      <c r="P1622" s="7"/>
      <c r="R1622" s="2"/>
      <c r="S1622" s="2"/>
      <c r="T1622" s="2"/>
      <c r="U1622" s="2"/>
      <c r="V1622" s="2"/>
      <c r="X1622" s="38"/>
      <c r="Y1622" s="38"/>
      <c r="Z1622" s="38"/>
      <c r="AA1622" s="38"/>
      <c r="AB1622" s="38"/>
      <c r="AD1622" s="2"/>
      <c r="AE1622" s="2"/>
      <c r="AF1622" s="2"/>
      <c r="AG1622" s="2"/>
      <c r="AH1622" s="2"/>
      <c r="AJ1622" s="215"/>
      <c r="AK1622" s="215"/>
      <c r="AL1622" s="215"/>
      <c r="AM1622" s="215"/>
      <c r="AO1622" s="10"/>
      <c r="AP1622" s="10"/>
      <c r="AQ1622" s="10"/>
      <c r="AR1622" s="10"/>
      <c r="AS1622" s="10"/>
      <c r="AU1622" s="2"/>
      <c r="AV1622" s="2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</row>
    <row r="1623" spans="1:73" customFormat="1" ht="12.75" hidden="1" customHeight="1" x14ac:dyDescent="0.2">
      <c r="A1623" s="1"/>
      <c r="B1623" s="1"/>
      <c r="C1623" s="1"/>
      <c r="D1623" s="7"/>
      <c r="E1623" s="7"/>
      <c r="F1623" s="6"/>
      <c r="G1623" s="7"/>
      <c r="H1623" s="2"/>
      <c r="I1623" s="2"/>
      <c r="J1623" s="2"/>
      <c r="K1623" s="2"/>
      <c r="L1623" s="178"/>
      <c r="M1623" s="2"/>
      <c r="N1623" s="7"/>
      <c r="P1623" s="7"/>
      <c r="R1623" s="2"/>
      <c r="S1623" s="2"/>
      <c r="T1623" s="2"/>
      <c r="U1623" s="2"/>
      <c r="V1623" s="2"/>
      <c r="X1623" s="38"/>
      <c r="Y1623" s="38"/>
      <c r="Z1623" s="38"/>
      <c r="AA1623" s="38"/>
      <c r="AB1623" s="38"/>
      <c r="AD1623" s="2"/>
      <c r="AE1623" s="2"/>
      <c r="AF1623" s="2"/>
      <c r="AG1623" s="2"/>
      <c r="AH1623" s="2"/>
      <c r="AJ1623" s="215"/>
      <c r="AK1623" s="215"/>
      <c r="AL1623" s="215"/>
      <c r="AM1623" s="215"/>
      <c r="AO1623" s="10"/>
      <c r="AP1623" s="10"/>
      <c r="AQ1623" s="10"/>
      <c r="AR1623" s="10"/>
      <c r="AS1623" s="10"/>
      <c r="AU1623" s="2"/>
      <c r="AV1623" s="2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</row>
    <row r="1624" spans="1:73" customFormat="1" ht="12.75" hidden="1" customHeight="1" x14ac:dyDescent="0.2">
      <c r="A1624" s="1"/>
      <c r="B1624" s="1"/>
      <c r="C1624" s="1"/>
      <c r="D1624" s="7"/>
      <c r="E1624" s="7"/>
      <c r="F1624" s="6"/>
      <c r="G1624" s="7"/>
      <c r="H1624" s="2"/>
      <c r="I1624" s="2"/>
      <c r="J1624" s="2"/>
      <c r="K1624" s="2"/>
      <c r="L1624" s="178"/>
      <c r="M1624" s="2"/>
      <c r="N1624" s="7"/>
      <c r="P1624" s="7"/>
      <c r="R1624" s="2"/>
      <c r="S1624" s="2"/>
      <c r="T1624" s="2"/>
      <c r="U1624" s="2"/>
      <c r="V1624" s="2"/>
      <c r="X1624" s="38"/>
      <c r="Y1624" s="38"/>
      <c r="Z1624" s="38"/>
      <c r="AA1624" s="38"/>
      <c r="AB1624" s="38"/>
      <c r="AD1624" s="2"/>
      <c r="AE1624" s="2"/>
      <c r="AF1624" s="2"/>
      <c r="AG1624" s="2"/>
      <c r="AH1624" s="2"/>
      <c r="AJ1624" s="215"/>
      <c r="AK1624" s="215"/>
      <c r="AL1624" s="215"/>
      <c r="AM1624" s="215"/>
      <c r="AO1624" s="10"/>
      <c r="AP1624" s="10"/>
      <c r="AQ1624" s="10"/>
      <c r="AR1624" s="10"/>
      <c r="AS1624" s="10"/>
      <c r="AU1624" s="2"/>
      <c r="AV1624" s="2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</row>
    <row r="1625" spans="1:73" customFormat="1" ht="12.75" hidden="1" customHeight="1" x14ac:dyDescent="0.2">
      <c r="A1625" s="1"/>
      <c r="B1625" s="1"/>
      <c r="C1625" s="1"/>
      <c r="D1625" s="7"/>
      <c r="E1625" s="7"/>
      <c r="F1625" s="6"/>
      <c r="G1625" s="7"/>
      <c r="H1625" s="2"/>
      <c r="I1625" s="2"/>
      <c r="J1625" s="2"/>
      <c r="K1625" s="2"/>
      <c r="L1625" s="178"/>
      <c r="M1625" s="2"/>
      <c r="N1625" s="7"/>
      <c r="P1625" s="7"/>
      <c r="R1625" s="2"/>
      <c r="S1625" s="2"/>
      <c r="T1625" s="2"/>
      <c r="U1625" s="2"/>
      <c r="V1625" s="2"/>
      <c r="X1625" s="38"/>
      <c r="Y1625" s="38"/>
      <c r="Z1625" s="38"/>
      <c r="AA1625" s="38"/>
      <c r="AB1625" s="38"/>
      <c r="AD1625" s="2"/>
      <c r="AE1625" s="2"/>
      <c r="AF1625" s="2"/>
      <c r="AG1625" s="2"/>
      <c r="AH1625" s="2"/>
      <c r="AJ1625" s="215"/>
      <c r="AK1625" s="215"/>
      <c r="AL1625" s="215"/>
      <c r="AM1625" s="215"/>
      <c r="AO1625" s="10"/>
      <c r="AP1625" s="10"/>
      <c r="AQ1625" s="10"/>
      <c r="AR1625" s="10"/>
      <c r="AS1625" s="10"/>
      <c r="AU1625" s="2"/>
      <c r="AV1625" s="2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</row>
    <row r="1626" spans="1:73" customFormat="1" ht="12.75" hidden="1" customHeight="1" x14ac:dyDescent="0.2">
      <c r="A1626" s="1"/>
      <c r="B1626" s="1"/>
      <c r="C1626" s="1"/>
      <c r="D1626" s="7"/>
      <c r="E1626" s="7"/>
      <c r="F1626" s="6"/>
      <c r="G1626" s="7"/>
      <c r="H1626" s="2"/>
      <c r="I1626" s="2"/>
      <c r="J1626" s="2"/>
      <c r="K1626" s="2"/>
      <c r="L1626" s="178"/>
      <c r="M1626" s="2"/>
      <c r="N1626" s="7"/>
      <c r="P1626" s="7"/>
      <c r="R1626" s="2"/>
      <c r="S1626" s="2"/>
      <c r="T1626" s="2"/>
      <c r="U1626" s="2"/>
      <c r="V1626" s="2"/>
      <c r="X1626" s="38"/>
      <c r="Y1626" s="38"/>
      <c r="Z1626" s="38"/>
      <c r="AA1626" s="38"/>
      <c r="AB1626" s="38"/>
      <c r="AD1626" s="2"/>
      <c r="AE1626" s="2"/>
      <c r="AF1626" s="2"/>
      <c r="AG1626" s="2"/>
      <c r="AH1626" s="2"/>
      <c r="AJ1626" s="215"/>
      <c r="AK1626" s="215"/>
      <c r="AL1626" s="215"/>
      <c r="AM1626" s="215"/>
      <c r="AO1626" s="10"/>
      <c r="AP1626" s="10"/>
      <c r="AQ1626" s="10"/>
      <c r="AR1626" s="10"/>
      <c r="AS1626" s="10"/>
      <c r="AU1626" s="2"/>
      <c r="AV1626" s="2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</row>
    <row r="1627" spans="1:73" customFormat="1" ht="12.75" hidden="1" customHeight="1" x14ac:dyDescent="0.2">
      <c r="A1627" s="1"/>
      <c r="B1627" s="1"/>
      <c r="C1627" s="1"/>
      <c r="D1627" s="7"/>
      <c r="E1627" s="7"/>
      <c r="F1627" s="6"/>
      <c r="G1627" s="7"/>
      <c r="H1627" s="2"/>
      <c r="I1627" s="2"/>
      <c r="J1627" s="2"/>
      <c r="K1627" s="2"/>
      <c r="L1627" s="178"/>
      <c r="M1627" s="2"/>
      <c r="N1627" s="7"/>
      <c r="P1627" s="7"/>
      <c r="R1627" s="2"/>
      <c r="S1627" s="2"/>
      <c r="T1627" s="2"/>
      <c r="U1627" s="2"/>
      <c r="V1627" s="2"/>
      <c r="X1627" s="38"/>
      <c r="Y1627" s="38"/>
      <c r="Z1627" s="38"/>
      <c r="AA1627" s="38"/>
      <c r="AB1627" s="38"/>
      <c r="AD1627" s="2"/>
      <c r="AE1627" s="2"/>
      <c r="AF1627" s="2"/>
      <c r="AG1627" s="2"/>
      <c r="AH1627" s="2"/>
      <c r="AJ1627" s="215"/>
      <c r="AK1627" s="215"/>
      <c r="AL1627" s="215"/>
      <c r="AM1627" s="215"/>
      <c r="AO1627" s="10"/>
      <c r="AP1627" s="10"/>
      <c r="AQ1627" s="10"/>
      <c r="AR1627" s="10"/>
      <c r="AS1627" s="10"/>
      <c r="AU1627" s="2"/>
      <c r="AV1627" s="2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</row>
    <row r="1628" spans="1:73" customFormat="1" ht="12.75" hidden="1" customHeight="1" x14ac:dyDescent="0.2">
      <c r="A1628" s="1"/>
      <c r="B1628" s="1"/>
      <c r="C1628" s="1"/>
      <c r="D1628" s="7"/>
      <c r="E1628" s="7"/>
      <c r="F1628" s="6"/>
      <c r="G1628" s="7"/>
      <c r="H1628" s="2"/>
      <c r="I1628" s="2"/>
      <c r="J1628" s="2"/>
      <c r="K1628" s="2"/>
      <c r="L1628" s="178"/>
      <c r="M1628" s="2"/>
      <c r="N1628" s="7"/>
      <c r="P1628" s="7"/>
      <c r="R1628" s="2"/>
      <c r="S1628" s="2"/>
      <c r="T1628" s="2"/>
      <c r="U1628" s="2"/>
      <c r="V1628" s="2"/>
      <c r="X1628" s="38"/>
      <c r="Y1628" s="38"/>
      <c r="Z1628" s="38"/>
      <c r="AA1628" s="38"/>
      <c r="AB1628" s="38"/>
      <c r="AD1628" s="2"/>
      <c r="AE1628" s="2"/>
      <c r="AF1628" s="2"/>
      <c r="AG1628" s="2"/>
      <c r="AH1628" s="2"/>
      <c r="AJ1628" s="215"/>
      <c r="AK1628" s="215"/>
      <c r="AL1628" s="215"/>
      <c r="AM1628" s="215"/>
      <c r="AO1628" s="10"/>
      <c r="AP1628" s="10"/>
      <c r="AQ1628" s="10"/>
      <c r="AR1628" s="10"/>
      <c r="AS1628" s="10"/>
      <c r="AU1628" s="2"/>
      <c r="AV1628" s="2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</row>
    <row r="1629" spans="1:73" customFormat="1" ht="12.75" hidden="1" customHeight="1" x14ac:dyDescent="0.2">
      <c r="A1629" s="1"/>
      <c r="B1629" s="1"/>
      <c r="C1629" s="1"/>
      <c r="D1629" s="7"/>
      <c r="E1629" s="7"/>
      <c r="F1629" s="6"/>
      <c r="G1629" s="7"/>
      <c r="H1629" s="2"/>
      <c r="I1629" s="2"/>
      <c r="J1629" s="2"/>
      <c r="K1629" s="2"/>
      <c r="L1629" s="178"/>
      <c r="M1629" s="2"/>
      <c r="N1629" s="7"/>
      <c r="P1629" s="7"/>
      <c r="R1629" s="2"/>
      <c r="S1629" s="2"/>
      <c r="T1629" s="2"/>
      <c r="U1629" s="2"/>
      <c r="V1629" s="2"/>
      <c r="X1629" s="38"/>
      <c r="Y1629" s="38"/>
      <c r="Z1629" s="38"/>
      <c r="AA1629" s="38"/>
      <c r="AB1629" s="38"/>
      <c r="AD1629" s="2"/>
      <c r="AE1629" s="2"/>
      <c r="AF1629" s="2"/>
      <c r="AG1629" s="2"/>
      <c r="AH1629" s="2"/>
      <c r="AJ1629" s="215"/>
      <c r="AK1629" s="215"/>
      <c r="AL1629" s="215"/>
      <c r="AM1629" s="215"/>
      <c r="AO1629" s="10"/>
      <c r="AP1629" s="10"/>
      <c r="AQ1629" s="10"/>
      <c r="AR1629" s="10"/>
      <c r="AS1629" s="10"/>
      <c r="AU1629" s="2"/>
      <c r="AV1629" s="2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</row>
    <row r="1630" spans="1:73" customFormat="1" ht="12.75" hidden="1" customHeight="1" x14ac:dyDescent="0.2">
      <c r="A1630" s="1"/>
      <c r="B1630" s="1"/>
      <c r="C1630" s="1"/>
      <c r="D1630" s="7"/>
      <c r="E1630" s="7"/>
      <c r="F1630" s="6"/>
      <c r="G1630" s="7"/>
      <c r="H1630" s="2"/>
      <c r="I1630" s="2"/>
      <c r="J1630" s="2"/>
      <c r="K1630" s="2"/>
      <c r="L1630" s="178"/>
      <c r="M1630" s="2"/>
      <c r="N1630" s="7"/>
      <c r="P1630" s="7"/>
      <c r="R1630" s="2"/>
      <c r="S1630" s="2"/>
      <c r="T1630" s="2"/>
      <c r="U1630" s="2"/>
      <c r="V1630" s="2"/>
      <c r="X1630" s="38"/>
      <c r="Y1630" s="38"/>
      <c r="Z1630" s="38"/>
      <c r="AA1630" s="38"/>
      <c r="AB1630" s="38"/>
      <c r="AD1630" s="2"/>
      <c r="AE1630" s="2"/>
      <c r="AF1630" s="2"/>
      <c r="AG1630" s="2"/>
      <c r="AH1630" s="2"/>
      <c r="AJ1630" s="215"/>
      <c r="AK1630" s="215"/>
      <c r="AL1630" s="215"/>
      <c r="AM1630" s="215"/>
      <c r="AO1630" s="10"/>
      <c r="AP1630" s="10"/>
      <c r="AQ1630" s="10"/>
      <c r="AR1630" s="10"/>
      <c r="AS1630" s="10"/>
      <c r="AU1630" s="2"/>
      <c r="AV1630" s="2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</row>
    <row r="1631" spans="1:73" customFormat="1" ht="12.75" hidden="1" customHeight="1" x14ac:dyDescent="0.2">
      <c r="A1631" s="1"/>
      <c r="B1631" s="1"/>
      <c r="C1631" s="1"/>
      <c r="D1631" s="7"/>
      <c r="E1631" s="7"/>
      <c r="F1631" s="6"/>
      <c r="G1631" s="7"/>
      <c r="H1631" s="2"/>
      <c r="I1631" s="2"/>
      <c r="J1631" s="2"/>
      <c r="K1631" s="2"/>
      <c r="L1631" s="178"/>
      <c r="M1631" s="2"/>
      <c r="N1631" s="7"/>
      <c r="P1631" s="7"/>
      <c r="R1631" s="2"/>
      <c r="S1631" s="2"/>
      <c r="T1631" s="2"/>
      <c r="U1631" s="2"/>
      <c r="V1631" s="2"/>
      <c r="X1631" s="38"/>
      <c r="Y1631" s="38"/>
      <c r="Z1631" s="38"/>
      <c r="AA1631" s="38"/>
      <c r="AB1631" s="38"/>
      <c r="AD1631" s="2"/>
      <c r="AE1631" s="2"/>
      <c r="AF1631" s="2"/>
      <c r="AG1631" s="2"/>
      <c r="AH1631" s="2"/>
      <c r="AJ1631" s="215"/>
      <c r="AK1631" s="215"/>
      <c r="AL1631" s="215"/>
      <c r="AM1631" s="215"/>
      <c r="AO1631" s="10"/>
      <c r="AP1631" s="10"/>
      <c r="AQ1631" s="10"/>
      <c r="AR1631" s="10"/>
      <c r="AS1631" s="10"/>
      <c r="AU1631" s="2"/>
      <c r="AV1631" s="2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</row>
    <row r="1632" spans="1:73" customFormat="1" ht="12.75" hidden="1" customHeight="1" x14ac:dyDescent="0.2">
      <c r="A1632" s="1"/>
      <c r="B1632" s="1"/>
      <c r="C1632" s="1"/>
      <c r="D1632" s="7"/>
      <c r="E1632" s="7"/>
      <c r="F1632" s="6"/>
      <c r="G1632" s="7"/>
      <c r="H1632" s="2"/>
      <c r="I1632" s="2"/>
      <c r="J1632" s="2"/>
      <c r="K1632" s="2"/>
      <c r="L1632" s="178"/>
      <c r="M1632" s="2"/>
      <c r="N1632" s="7"/>
      <c r="P1632" s="7"/>
      <c r="R1632" s="2"/>
      <c r="S1632" s="2"/>
      <c r="T1632" s="2"/>
      <c r="U1632" s="2"/>
      <c r="V1632" s="2"/>
      <c r="X1632" s="38"/>
      <c r="Y1632" s="38"/>
      <c r="Z1632" s="38"/>
      <c r="AA1632" s="38"/>
      <c r="AB1632" s="38"/>
      <c r="AD1632" s="2"/>
      <c r="AE1632" s="2"/>
      <c r="AF1632" s="2"/>
      <c r="AG1632" s="2"/>
      <c r="AH1632" s="2"/>
      <c r="AJ1632" s="215"/>
      <c r="AK1632" s="215"/>
      <c r="AL1632" s="215"/>
      <c r="AM1632" s="215"/>
      <c r="AO1632" s="10"/>
      <c r="AP1632" s="10"/>
      <c r="AQ1632" s="10"/>
      <c r="AR1632" s="10"/>
      <c r="AS1632" s="10"/>
      <c r="AU1632" s="2"/>
      <c r="AV1632" s="2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</row>
    <row r="1633" spans="1:73" customFormat="1" ht="12.75" hidden="1" customHeight="1" x14ac:dyDescent="0.2">
      <c r="A1633" s="1"/>
      <c r="B1633" s="1"/>
      <c r="C1633" s="1"/>
      <c r="D1633" s="7"/>
      <c r="E1633" s="7"/>
      <c r="F1633" s="6"/>
      <c r="G1633" s="7"/>
      <c r="H1633" s="2"/>
      <c r="I1633" s="2"/>
      <c r="J1633" s="2"/>
      <c r="K1633" s="2"/>
      <c r="L1633" s="178"/>
      <c r="M1633" s="2"/>
      <c r="N1633" s="7"/>
      <c r="P1633" s="7"/>
      <c r="R1633" s="2"/>
      <c r="S1633" s="2"/>
      <c r="T1633" s="2"/>
      <c r="U1633" s="2"/>
      <c r="V1633" s="2"/>
      <c r="X1633" s="38"/>
      <c r="Y1633" s="38"/>
      <c r="Z1633" s="38"/>
      <c r="AA1633" s="38"/>
      <c r="AB1633" s="38"/>
      <c r="AD1633" s="2"/>
      <c r="AE1633" s="2"/>
      <c r="AF1633" s="2"/>
      <c r="AG1633" s="2"/>
      <c r="AH1633" s="2"/>
      <c r="AJ1633" s="215"/>
      <c r="AK1633" s="215"/>
      <c r="AL1633" s="215"/>
      <c r="AM1633" s="215"/>
      <c r="AO1633" s="10"/>
      <c r="AP1633" s="10"/>
      <c r="AQ1633" s="10"/>
      <c r="AR1633" s="10"/>
      <c r="AS1633" s="10"/>
      <c r="AU1633" s="2"/>
      <c r="AV1633" s="2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</row>
    <row r="1634" spans="1:73" customFormat="1" ht="12.75" hidden="1" customHeight="1" x14ac:dyDescent="0.2">
      <c r="A1634" s="1"/>
      <c r="B1634" s="1"/>
      <c r="C1634" s="1"/>
      <c r="D1634" s="7"/>
      <c r="E1634" s="7"/>
      <c r="F1634" s="6"/>
      <c r="G1634" s="7"/>
      <c r="H1634" s="2"/>
      <c r="I1634" s="2"/>
      <c r="J1634" s="2"/>
      <c r="K1634" s="2"/>
      <c r="L1634" s="178"/>
      <c r="M1634" s="2"/>
      <c r="N1634" s="7"/>
      <c r="P1634" s="7"/>
      <c r="R1634" s="2"/>
      <c r="S1634" s="2"/>
      <c r="T1634" s="2"/>
      <c r="U1634" s="2"/>
      <c r="V1634" s="2"/>
      <c r="X1634" s="38"/>
      <c r="Y1634" s="38"/>
      <c r="Z1634" s="38"/>
      <c r="AA1634" s="38"/>
      <c r="AB1634" s="38"/>
      <c r="AD1634" s="2"/>
      <c r="AE1634" s="2"/>
      <c r="AF1634" s="2"/>
      <c r="AG1634" s="2"/>
      <c r="AH1634" s="2"/>
      <c r="AJ1634" s="215"/>
      <c r="AK1634" s="215"/>
      <c r="AL1634" s="215"/>
      <c r="AM1634" s="215"/>
      <c r="AO1634" s="10"/>
      <c r="AP1634" s="10"/>
      <c r="AQ1634" s="10"/>
      <c r="AR1634" s="10"/>
      <c r="AS1634" s="10"/>
      <c r="AU1634" s="2"/>
      <c r="AV1634" s="2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</row>
    <row r="1635" spans="1:73" customFormat="1" ht="12.75" hidden="1" customHeight="1" x14ac:dyDescent="0.2">
      <c r="A1635" s="1"/>
      <c r="B1635" s="1"/>
      <c r="C1635" s="1"/>
      <c r="D1635" s="7"/>
      <c r="E1635" s="7"/>
      <c r="F1635" s="6"/>
      <c r="G1635" s="7"/>
      <c r="H1635" s="2"/>
      <c r="I1635" s="2"/>
      <c r="J1635" s="2"/>
      <c r="K1635" s="2"/>
      <c r="L1635" s="178"/>
      <c r="M1635" s="2"/>
      <c r="N1635" s="7"/>
      <c r="P1635" s="7"/>
      <c r="R1635" s="2"/>
      <c r="S1635" s="2"/>
      <c r="T1635" s="2"/>
      <c r="U1635" s="2"/>
      <c r="V1635" s="2"/>
      <c r="X1635" s="38"/>
      <c r="Y1635" s="38"/>
      <c r="Z1635" s="38"/>
      <c r="AA1635" s="38"/>
      <c r="AB1635" s="38"/>
      <c r="AD1635" s="2"/>
      <c r="AE1635" s="2"/>
      <c r="AF1635" s="2"/>
      <c r="AG1635" s="2"/>
      <c r="AH1635" s="2"/>
      <c r="AJ1635" s="215"/>
      <c r="AK1635" s="215"/>
      <c r="AL1635" s="215"/>
      <c r="AM1635" s="215"/>
      <c r="AO1635" s="10"/>
      <c r="AP1635" s="10"/>
      <c r="AQ1635" s="10"/>
      <c r="AR1635" s="10"/>
      <c r="AS1635" s="10"/>
      <c r="AU1635" s="2"/>
      <c r="AV1635" s="2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</row>
    <row r="1636" spans="1:73" customFormat="1" ht="12.75" hidden="1" customHeight="1" x14ac:dyDescent="0.2">
      <c r="A1636" s="1"/>
      <c r="B1636" s="1"/>
      <c r="C1636" s="1"/>
      <c r="D1636" s="7"/>
      <c r="E1636" s="7"/>
      <c r="F1636" s="6"/>
      <c r="G1636" s="7"/>
      <c r="H1636" s="2"/>
      <c r="I1636" s="2"/>
      <c r="J1636" s="2"/>
      <c r="K1636" s="2"/>
      <c r="L1636" s="178"/>
      <c r="M1636" s="2"/>
      <c r="N1636" s="7"/>
      <c r="P1636" s="7"/>
      <c r="R1636" s="2"/>
      <c r="S1636" s="2"/>
      <c r="T1636" s="2"/>
      <c r="U1636" s="2"/>
      <c r="V1636" s="2"/>
      <c r="X1636" s="38"/>
      <c r="Y1636" s="38"/>
      <c r="Z1636" s="38"/>
      <c r="AA1636" s="38"/>
      <c r="AB1636" s="38"/>
      <c r="AD1636" s="2"/>
      <c r="AE1636" s="2"/>
      <c r="AF1636" s="2"/>
      <c r="AG1636" s="2"/>
      <c r="AH1636" s="2"/>
      <c r="AJ1636" s="215"/>
      <c r="AK1636" s="215"/>
      <c r="AL1636" s="215"/>
      <c r="AM1636" s="215"/>
      <c r="AO1636" s="10"/>
      <c r="AP1636" s="10"/>
      <c r="AQ1636" s="10"/>
      <c r="AR1636" s="10"/>
      <c r="AS1636" s="10"/>
      <c r="AU1636" s="2"/>
      <c r="AV1636" s="2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</row>
    <row r="1637" spans="1:73" customFormat="1" ht="12.75" hidden="1" customHeight="1" x14ac:dyDescent="0.2">
      <c r="A1637" s="1"/>
      <c r="B1637" s="1"/>
      <c r="C1637" s="1"/>
      <c r="D1637" s="7"/>
      <c r="E1637" s="7"/>
      <c r="F1637" s="6"/>
      <c r="G1637" s="7"/>
      <c r="H1637" s="2"/>
      <c r="I1637" s="2"/>
      <c r="J1637" s="2"/>
      <c r="K1637" s="2"/>
      <c r="L1637" s="178"/>
      <c r="M1637" s="2"/>
      <c r="N1637" s="7"/>
      <c r="P1637" s="7"/>
      <c r="R1637" s="2"/>
      <c r="S1637" s="2"/>
      <c r="T1637" s="2"/>
      <c r="U1637" s="2"/>
      <c r="V1637" s="2"/>
      <c r="X1637" s="38"/>
      <c r="Y1637" s="38"/>
      <c r="Z1637" s="38"/>
      <c r="AA1637" s="38"/>
      <c r="AB1637" s="38"/>
      <c r="AD1637" s="2"/>
      <c r="AE1637" s="2"/>
      <c r="AF1637" s="2"/>
      <c r="AG1637" s="2"/>
      <c r="AH1637" s="2"/>
      <c r="AJ1637" s="215"/>
      <c r="AK1637" s="215"/>
      <c r="AL1637" s="215"/>
      <c r="AM1637" s="215"/>
      <c r="AO1637" s="10"/>
      <c r="AP1637" s="10"/>
      <c r="AQ1637" s="10"/>
      <c r="AR1637" s="10"/>
      <c r="AS1637" s="10"/>
      <c r="AU1637" s="2"/>
      <c r="AV1637" s="2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</row>
    <row r="1638" spans="1:73" customFormat="1" ht="12.75" hidden="1" customHeight="1" x14ac:dyDescent="0.2">
      <c r="A1638" s="1"/>
      <c r="B1638" s="1"/>
      <c r="C1638" s="1"/>
      <c r="D1638" s="7"/>
      <c r="E1638" s="7"/>
      <c r="F1638" s="6"/>
      <c r="G1638" s="7"/>
      <c r="H1638" s="2"/>
      <c r="I1638" s="2"/>
      <c r="J1638" s="2"/>
      <c r="K1638" s="2"/>
      <c r="L1638" s="178"/>
      <c r="M1638" s="2"/>
      <c r="N1638" s="7"/>
      <c r="P1638" s="7"/>
      <c r="R1638" s="2"/>
      <c r="S1638" s="2"/>
      <c r="T1638" s="2"/>
      <c r="U1638" s="2"/>
      <c r="V1638" s="2"/>
      <c r="X1638" s="38"/>
      <c r="Y1638" s="38"/>
      <c r="Z1638" s="38"/>
      <c r="AA1638" s="38"/>
      <c r="AB1638" s="38"/>
      <c r="AD1638" s="2"/>
      <c r="AE1638" s="2"/>
      <c r="AF1638" s="2"/>
      <c r="AG1638" s="2"/>
      <c r="AH1638" s="2"/>
      <c r="AJ1638" s="215"/>
      <c r="AK1638" s="215"/>
      <c r="AL1638" s="215"/>
      <c r="AM1638" s="215"/>
      <c r="AO1638" s="10"/>
      <c r="AP1638" s="10"/>
      <c r="AQ1638" s="10"/>
      <c r="AR1638" s="10"/>
      <c r="AS1638" s="10"/>
      <c r="AU1638" s="2"/>
      <c r="AV1638" s="2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</row>
    <row r="1639" spans="1:73" customFormat="1" ht="12.75" hidden="1" customHeight="1" x14ac:dyDescent="0.2">
      <c r="A1639" s="1"/>
      <c r="B1639" s="1"/>
      <c r="C1639" s="1"/>
      <c r="D1639" s="7"/>
      <c r="E1639" s="7"/>
      <c r="F1639" s="6"/>
      <c r="G1639" s="7"/>
      <c r="H1639" s="2"/>
      <c r="I1639" s="2"/>
      <c r="J1639" s="2"/>
      <c r="K1639" s="2"/>
      <c r="L1639" s="178"/>
      <c r="M1639" s="2"/>
      <c r="N1639" s="7"/>
      <c r="P1639" s="7"/>
      <c r="R1639" s="2"/>
      <c r="S1639" s="2"/>
      <c r="T1639" s="2"/>
      <c r="U1639" s="2"/>
      <c r="V1639" s="2"/>
      <c r="X1639" s="38"/>
      <c r="Y1639" s="38"/>
      <c r="Z1639" s="38"/>
      <c r="AA1639" s="38"/>
      <c r="AB1639" s="38"/>
      <c r="AD1639" s="2"/>
      <c r="AE1639" s="2"/>
      <c r="AF1639" s="2"/>
      <c r="AG1639" s="2"/>
      <c r="AH1639" s="2"/>
      <c r="AJ1639" s="215"/>
      <c r="AK1639" s="215"/>
      <c r="AL1639" s="215"/>
      <c r="AM1639" s="215"/>
      <c r="AO1639" s="10"/>
      <c r="AP1639" s="10"/>
      <c r="AQ1639" s="10"/>
      <c r="AR1639" s="10"/>
      <c r="AS1639" s="10"/>
      <c r="AU1639" s="2"/>
      <c r="AV1639" s="2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</row>
    <row r="1640" spans="1:73" customFormat="1" ht="12.75" hidden="1" customHeight="1" x14ac:dyDescent="0.2">
      <c r="A1640" s="1"/>
      <c r="B1640" s="1"/>
      <c r="C1640" s="1"/>
      <c r="D1640" s="7"/>
      <c r="E1640" s="7"/>
      <c r="F1640" s="6"/>
      <c r="G1640" s="7"/>
      <c r="H1640" s="2"/>
      <c r="I1640" s="2"/>
      <c r="J1640" s="2"/>
      <c r="K1640" s="2"/>
      <c r="L1640" s="178"/>
      <c r="M1640" s="2"/>
      <c r="N1640" s="7"/>
      <c r="P1640" s="7"/>
      <c r="R1640" s="2"/>
      <c r="S1640" s="2"/>
      <c r="T1640" s="2"/>
      <c r="U1640" s="2"/>
      <c r="V1640" s="2"/>
      <c r="X1640" s="38"/>
      <c r="Y1640" s="38"/>
      <c r="Z1640" s="38"/>
      <c r="AA1640" s="38"/>
      <c r="AB1640" s="38"/>
      <c r="AD1640" s="2"/>
      <c r="AE1640" s="2"/>
      <c r="AF1640" s="2"/>
      <c r="AG1640" s="2"/>
      <c r="AH1640" s="2"/>
      <c r="AJ1640" s="215"/>
      <c r="AK1640" s="215"/>
      <c r="AL1640" s="215"/>
      <c r="AM1640" s="215"/>
      <c r="AO1640" s="10"/>
      <c r="AP1640" s="10"/>
      <c r="AQ1640" s="10"/>
      <c r="AR1640" s="10"/>
      <c r="AS1640" s="10"/>
      <c r="AU1640" s="2"/>
      <c r="AV1640" s="2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</row>
    <row r="1641" spans="1:73" customFormat="1" ht="12.75" hidden="1" customHeight="1" x14ac:dyDescent="0.2">
      <c r="A1641" s="1"/>
      <c r="B1641" s="1"/>
      <c r="C1641" s="1"/>
      <c r="D1641" s="7"/>
      <c r="E1641" s="7"/>
      <c r="F1641" s="6"/>
      <c r="G1641" s="7"/>
      <c r="H1641" s="2"/>
      <c r="I1641" s="2"/>
      <c r="J1641" s="2"/>
      <c r="K1641" s="2"/>
      <c r="L1641" s="178"/>
      <c r="M1641" s="2"/>
      <c r="N1641" s="7"/>
      <c r="P1641" s="7"/>
      <c r="R1641" s="2"/>
      <c r="S1641" s="2"/>
      <c r="T1641" s="2"/>
      <c r="U1641" s="2"/>
      <c r="V1641" s="2"/>
      <c r="X1641" s="38"/>
      <c r="Y1641" s="38"/>
      <c r="Z1641" s="38"/>
      <c r="AA1641" s="38"/>
      <c r="AB1641" s="38"/>
      <c r="AD1641" s="2"/>
      <c r="AE1641" s="2"/>
      <c r="AF1641" s="2"/>
      <c r="AG1641" s="2"/>
      <c r="AH1641" s="2"/>
      <c r="AJ1641" s="215"/>
      <c r="AK1641" s="215"/>
      <c r="AL1641" s="215"/>
      <c r="AM1641" s="215"/>
      <c r="AO1641" s="10"/>
      <c r="AP1641" s="10"/>
      <c r="AQ1641" s="10"/>
      <c r="AR1641" s="10"/>
      <c r="AS1641" s="10"/>
      <c r="AU1641" s="2"/>
      <c r="AV1641" s="2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</row>
    <row r="1642" spans="1:73" customFormat="1" ht="12.75" hidden="1" customHeight="1" x14ac:dyDescent="0.2">
      <c r="A1642" s="1"/>
      <c r="B1642" s="1"/>
      <c r="C1642" s="1"/>
      <c r="D1642" s="7"/>
      <c r="E1642" s="7"/>
      <c r="F1642" s="6"/>
      <c r="G1642" s="7"/>
      <c r="H1642" s="2"/>
      <c r="I1642" s="2"/>
      <c r="J1642" s="2"/>
      <c r="K1642" s="2"/>
      <c r="L1642" s="178"/>
      <c r="M1642" s="2"/>
      <c r="N1642" s="7"/>
      <c r="P1642" s="7"/>
      <c r="R1642" s="2"/>
      <c r="S1642" s="2"/>
      <c r="T1642" s="2"/>
      <c r="U1642" s="2"/>
      <c r="V1642" s="2"/>
      <c r="X1642" s="38"/>
      <c r="Y1642" s="38"/>
      <c r="Z1642" s="38"/>
      <c r="AA1642" s="38"/>
      <c r="AB1642" s="38"/>
      <c r="AD1642" s="2"/>
      <c r="AE1642" s="2"/>
      <c r="AF1642" s="2"/>
      <c r="AG1642" s="2"/>
      <c r="AH1642" s="2"/>
      <c r="AJ1642" s="215"/>
      <c r="AK1642" s="215"/>
      <c r="AL1642" s="215"/>
      <c r="AM1642" s="215"/>
      <c r="AO1642" s="10"/>
      <c r="AP1642" s="10"/>
      <c r="AQ1642" s="10"/>
      <c r="AR1642" s="10"/>
      <c r="AS1642" s="10"/>
      <c r="AU1642" s="2"/>
      <c r="AV1642" s="2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</row>
    <row r="1643" spans="1:73" customFormat="1" ht="12.75" hidden="1" customHeight="1" x14ac:dyDescent="0.2">
      <c r="A1643" s="1"/>
      <c r="B1643" s="1"/>
      <c r="C1643" s="1"/>
      <c r="D1643" s="7"/>
      <c r="E1643" s="7"/>
      <c r="F1643" s="6"/>
      <c r="G1643" s="7"/>
      <c r="H1643" s="2"/>
      <c r="I1643" s="2"/>
      <c r="J1643" s="2"/>
      <c r="K1643" s="2"/>
      <c r="L1643" s="178"/>
      <c r="M1643" s="2"/>
      <c r="N1643" s="7"/>
      <c r="P1643" s="7"/>
      <c r="R1643" s="2"/>
      <c r="S1643" s="2"/>
      <c r="T1643" s="2"/>
      <c r="U1643" s="2"/>
      <c r="V1643" s="2"/>
      <c r="X1643" s="38"/>
      <c r="Y1643" s="38"/>
      <c r="Z1643" s="38"/>
      <c r="AA1643" s="38"/>
      <c r="AB1643" s="38"/>
      <c r="AD1643" s="2"/>
      <c r="AE1643" s="2"/>
      <c r="AF1643" s="2"/>
      <c r="AG1643" s="2"/>
      <c r="AH1643" s="2"/>
      <c r="AJ1643" s="215"/>
      <c r="AK1643" s="215"/>
      <c r="AL1643" s="215"/>
      <c r="AM1643" s="215"/>
      <c r="AO1643" s="10"/>
      <c r="AP1643" s="10"/>
      <c r="AQ1643" s="10"/>
      <c r="AR1643" s="10"/>
      <c r="AS1643" s="10"/>
      <c r="AU1643" s="2"/>
      <c r="AV1643" s="2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</row>
    <row r="1644" spans="1:73" customFormat="1" ht="12.75" hidden="1" customHeight="1" x14ac:dyDescent="0.2">
      <c r="A1644" s="1"/>
      <c r="B1644" s="1"/>
      <c r="C1644" s="1"/>
      <c r="D1644" s="7"/>
      <c r="E1644" s="7"/>
      <c r="F1644" s="6"/>
      <c r="G1644" s="7"/>
      <c r="H1644" s="2"/>
      <c r="I1644" s="2"/>
      <c r="J1644" s="2"/>
      <c r="K1644" s="2"/>
      <c r="L1644" s="178"/>
      <c r="M1644" s="2"/>
      <c r="N1644" s="7"/>
      <c r="P1644" s="7"/>
      <c r="R1644" s="2"/>
      <c r="S1644" s="2"/>
      <c r="T1644" s="2"/>
      <c r="U1644" s="2"/>
      <c r="V1644" s="2"/>
      <c r="X1644" s="38"/>
      <c r="Y1644" s="38"/>
      <c r="Z1644" s="38"/>
      <c r="AA1644" s="38"/>
      <c r="AB1644" s="38"/>
      <c r="AD1644" s="2"/>
      <c r="AE1644" s="2"/>
      <c r="AF1644" s="2"/>
      <c r="AG1644" s="2"/>
      <c r="AH1644" s="2"/>
      <c r="AJ1644" s="215"/>
      <c r="AK1644" s="215"/>
      <c r="AL1644" s="215"/>
      <c r="AM1644" s="215"/>
      <c r="AO1644" s="10"/>
      <c r="AP1644" s="10"/>
      <c r="AQ1644" s="10"/>
      <c r="AR1644" s="10"/>
      <c r="AS1644" s="10"/>
      <c r="AU1644" s="2"/>
      <c r="AV1644" s="2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</row>
    <row r="1645" spans="1:73" customFormat="1" ht="12.75" hidden="1" customHeight="1" x14ac:dyDescent="0.2">
      <c r="A1645" s="1"/>
      <c r="B1645" s="1"/>
      <c r="C1645" s="1"/>
      <c r="D1645" s="7"/>
      <c r="E1645" s="7"/>
      <c r="F1645" s="6"/>
      <c r="G1645" s="7"/>
      <c r="H1645" s="2"/>
      <c r="I1645" s="2"/>
      <c r="J1645" s="2"/>
      <c r="K1645" s="2"/>
      <c r="L1645" s="178"/>
      <c r="M1645" s="2"/>
      <c r="N1645" s="7"/>
      <c r="P1645" s="7"/>
      <c r="R1645" s="2"/>
      <c r="S1645" s="2"/>
      <c r="T1645" s="2"/>
      <c r="U1645" s="2"/>
      <c r="V1645" s="2"/>
      <c r="X1645" s="38"/>
      <c r="Y1645" s="38"/>
      <c r="Z1645" s="38"/>
      <c r="AA1645" s="38"/>
      <c r="AB1645" s="38"/>
      <c r="AD1645" s="2"/>
      <c r="AE1645" s="2"/>
      <c r="AF1645" s="2"/>
      <c r="AG1645" s="2"/>
      <c r="AH1645" s="2"/>
      <c r="AJ1645" s="215"/>
      <c r="AK1645" s="215"/>
      <c r="AL1645" s="215"/>
      <c r="AM1645" s="215"/>
      <c r="AO1645" s="10"/>
      <c r="AP1645" s="10"/>
      <c r="AQ1645" s="10"/>
      <c r="AR1645" s="10"/>
      <c r="AS1645" s="10"/>
      <c r="AU1645" s="2"/>
      <c r="AV1645" s="2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</row>
    <row r="1646" spans="1:73" customFormat="1" ht="12.75" hidden="1" customHeight="1" x14ac:dyDescent="0.2">
      <c r="A1646" s="1"/>
      <c r="B1646" s="1"/>
      <c r="C1646" s="1"/>
      <c r="D1646" s="7"/>
      <c r="E1646" s="7"/>
      <c r="F1646" s="6"/>
      <c r="G1646" s="7"/>
      <c r="H1646" s="2"/>
      <c r="I1646" s="2"/>
      <c r="J1646" s="2"/>
      <c r="K1646" s="2"/>
      <c r="L1646" s="178"/>
      <c r="M1646" s="2"/>
      <c r="N1646" s="7"/>
      <c r="P1646" s="7"/>
      <c r="R1646" s="2"/>
      <c r="S1646" s="2"/>
      <c r="T1646" s="2"/>
      <c r="U1646" s="2"/>
      <c r="V1646" s="2"/>
      <c r="X1646" s="38"/>
      <c r="Y1646" s="38"/>
      <c r="Z1646" s="38"/>
      <c r="AA1646" s="38"/>
      <c r="AB1646" s="38"/>
      <c r="AD1646" s="2"/>
      <c r="AE1646" s="2"/>
      <c r="AF1646" s="2"/>
      <c r="AG1646" s="2"/>
      <c r="AH1646" s="2"/>
      <c r="AJ1646" s="215"/>
      <c r="AK1646" s="215"/>
      <c r="AL1646" s="215"/>
      <c r="AM1646" s="215"/>
      <c r="AO1646" s="10"/>
      <c r="AP1646" s="10"/>
      <c r="AQ1646" s="10"/>
      <c r="AR1646" s="10"/>
      <c r="AS1646" s="10"/>
      <c r="AU1646" s="2"/>
      <c r="AV1646" s="2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</row>
    <row r="1647" spans="1:73" customFormat="1" ht="12.75" hidden="1" customHeight="1" x14ac:dyDescent="0.2">
      <c r="A1647" s="1"/>
      <c r="B1647" s="1"/>
      <c r="C1647" s="1"/>
      <c r="D1647" s="7"/>
      <c r="E1647" s="7"/>
      <c r="F1647" s="6"/>
      <c r="G1647" s="7"/>
      <c r="H1647" s="2"/>
      <c r="I1647" s="2"/>
      <c r="J1647" s="2"/>
      <c r="K1647" s="2"/>
      <c r="L1647" s="178"/>
      <c r="M1647" s="2"/>
      <c r="N1647" s="7"/>
      <c r="P1647" s="7"/>
      <c r="R1647" s="2"/>
      <c r="S1647" s="2"/>
      <c r="T1647" s="2"/>
      <c r="U1647" s="2"/>
      <c r="V1647" s="2"/>
      <c r="X1647" s="38"/>
      <c r="Y1647" s="38"/>
      <c r="Z1647" s="38"/>
      <c r="AA1647" s="38"/>
      <c r="AB1647" s="38"/>
      <c r="AD1647" s="2"/>
      <c r="AE1647" s="2"/>
      <c r="AF1647" s="2"/>
      <c r="AG1647" s="2"/>
      <c r="AH1647" s="2"/>
      <c r="AJ1647" s="215"/>
      <c r="AK1647" s="215"/>
      <c r="AL1647" s="215"/>
      <c r="AM1647" s="215"/>
      <c r="AO1647" s="10"/>
      <c r="AP1647" s="10"/>
      <c r="AQ1647" s="10"/>
      <c r="AR1647" s="10"/>
      <c r="AS1647" s="10"/>
      <c r="AU1647" s="2"/>
      <c r="AV1647" s="2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</row>
    <row r="1648" spans="1:73" customFormat="1" ht="12.75" hidden="1" customHeight="1" x14ac:dyDescent="0.2">
      <c r="A1648" s="1"/>
      <c r="B1648" s="1"/>
      <c r="C1648" s="1"/>
      <c r="D1648" s="7"/>
      <c r="E1648" s="7"/>
      <c r="F1648" s="6"/>
      <c r="G1648" s="7"/>
      <c r="H1648" s="2"/>
      <c r="I1648" s="2"/>
      <c r="J1648" s="2"/>
      <c r="K1648" s="2"/>
      <c r="L1648" s="178"/>
      <c r="M1648" s="2"/>
      <c r="N1648" s="7"/>
      <c r="P1648" s="7"/>
      <c r="R1648" s="2"/>
      <c r="S1648" s="2"/>
      <c r="T1648" s="2"/>
      <c r="U1648" s="2"/>
      <c r="V1648" s="2"/>
      <c r="X1648" s="38"/>
      <c r="Y1648" s="38"/>
      <c r="Z1648" s="38"/>
      <c r="AA1648" s="38"/>
      <c r="AB1648" s="38"/>
      <c r="AD1648" s="2"/>
      <c r="AE1648" s="2"/>
      <c r="AF1648" s="2"/>
      <c r="AG1648" s="2"/>
      <c r="AH1648" s="2"/>
      <c r="AJ1648" s="215"/>
      <c r="AK1648" s="215"/>
      <c r="AL1648" s="215"/>
      <c r="AM1648" s="215"/>
      <c r="AO1648" s="10"/>
      <c r="AP1648" s="10"/>
      <c r="AQ1648" s="10"/>
      <c r="AR1648" s="10"/>
      <c r="AS1648" s="10"/>
      <c r="AU1648" s="2"/>
      <c r="AV1648" s="2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</row>
    <row r="1649" spans="1:73" customFormat="1" ht="12.75" hidden="1" customHeight="1" x14ac:dyDescent="0.2">
      <c r="A1649" s="1"/>
      <c r="B1649" s="1"/>
      <c r="C1649" s="1"/>
      <c r="D1649" s="7"/>
      <c r="E1649" s="7"/>
      <c r="F1649" s="6"/>
      <c r="G1649" s="7"/>
      <c r="H1649" s="2"/>
      <c r="I1649" s="2"/>
      <c r="J1649" s="2"/>
      <c r="K1649" s="2"/>
      <c r="L1649" s="178"/>
      <c r="M1649" s="2"/>
      <c r="N1649" s="7"/>
      <c r="P1649" s="7"/>
      <c r="R1649" s="2"/>
      <c r="S1649" s="2"/>
      <c r="T1649" s="2"/>
      <c r="U1649" s="2"/>
      <c r="V1649" s="2"/>
      <c r="X1649" s="38"/>
      <c r="Y1649" s="38"/>
      <c r="Z1649" s="38"/>
      <c r="AA1649" s="38"/>
      <c r="AB1649" s="38"/>
      <c r="AD1649" s="2"/>
      <c r="AE1649" s="2"/>
      <c r="AF1649" s="2"/>
      <c r="AG1649" s="2"/>
      <c r="AH1649" s="2"/>
      <c r="AJ1649" s="215"/>
      <c r="AK1649" s="215"/>
      <c r="AL1649" s="215"/>
      <c r="AM1649" s="215"/>
      <c r="AO1649" s="10"/>
      <c r="AP1649" s="10"/>
      <c r="AQ1649" s="10"/>
      <c r="AR1649" s="10"/>
      <c r="AS1649" s="10"/>
      <c r="AU1649" s="2"/>
      <c r="AV1649" s="2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</row>
    <row r="1650" spans="1:73" customFormat="1" ht="12.75" hidden="1" customHeight="1" x14ac:dyDescent="0.2">
      <c r="A1650" s="1"/>
      <c r="B1650" s="1"/>
      <c r="C1650" s="1"/>
      <c r="D1650" s="7"/>
      <c r="E1650" s="7"/>
      <c r="F1650" s="6"/>
      <c r="G1650" s="7"/>
      <c r="H1650" s="2"/>
      <c r="I1650" s="2"/>
      <c r="J1650" s="2"/>
      <c r="K1650" s="2"/>
      <c r="L1650" s="178"/>
      <c r="M1650" s="2"/>
      <c r="N1650" s="7"/>
      <c r="P1650" s="7"/>
      <c r="R1650" s="2"/>
      <c r="S1650" s="2"/>
      <c r="T1650" s="2"/>
      <c r="U1650" s="2"/>
      <c r="V1650" s="2"/>
      <c r="X1650" s="38"/>
      <c r="Y1650" s="38"/>
      <c r="Z1650" s="38"/>
      <c r="AA1650" s="38"/>
      <c r="AB1650" s="38"/>
      <c r="AD1650" s="2"/>
      <c r="AE1650" s="2"/>
      <c r="AF1650" s="2"/>
      <c r="AG1650" s="2"/>
      <c r="AH1650" s="2"/>
      <c r="AJ1650" s="215"/>
      <c r="AK1650" s="215"/>
      <c r="AL1650" s="215"/>
      <c r="AM1650" s="215"/>
      <c r="AO1650" s="10"/>
      <c r="AP1650" s="10"/>
      <c r="AQ1650" s="10"/>
      <c r="AR1650" s="10"/>
      <c r="AS1650" s="10"/>
      <c r="AU1650" s="2"/>
      <c r="AV1650" s="2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</row>
    <row r="1651" spans="1:73" customFormat="1" ht="12.75" hidden="1" customHeight="1" x14ac:dyDescent="0.2">
      <c r="A1651" s="1"/>
      <c r="B1651" s="1"/>
      <c r="C1651" s="1"/>
      <c r="D1651" s="7"/>
      <c r="E1651" s="7"/>
      <c r="F1651" s="6"/>
      <c r="G1651" s="7"/>
      <c r="H1651" s="2"/>
      <c r="I1651" s="2"/>
      <c r="J1651" s="2"/>
      <c r="K1651" s="2"/>
      <c r="L1651" s="178"/>
      <c r="M1651" s="2"/>
      <c r="N1651" s="7"/>
      <c r="P1651" s="7"/>
      <c r="R1651" s="2"/>
      <c r="S1651" s="2"/>
      <c r="T1651" s="2"/>
      <c r="U1651" s="2"/>
      <c r="V1651" s="2"/>
      <c r="X1651" s="38"/>
      <c r="Y1651" s="38"/>
      <c r="Z1651" s="38"/>
      <c r="AA1651" s="38"/>
      <c r="AB1651" s="38"/>
      <c r="AD1651" s="2"/>
      <c r="AE1651" s="2"/>
      <c r="AF1651" s="2"/>
      <c r="AG1651" s="2"/>
      <c r="AH1651" s="2"/>
      <c r="AJ1651" s="215"/>
      <c r="AK1651" s="215"/>
      <c r="AL1651" s="215"/>
      <c r="AM1651" s="215"/>
      <c r="AO1651" s="10"/>
      <c r="AP1651" s="10"/>
      <c r="AQ1651" s="10"/>
      <c r="AR1651" s="10"/>
      <c r="AS1651" s="10"/>
      <c r="AU1651" s="2"/>
      <c r="AV1651" s="2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</row>
    <row r="1652" spans="1:73" customFormat="1" ht="12.75" hidden="1" customHeight="1" x14ac:dyDescent="0.2">
      <c r="A1652" s="1"/>
      <c r="B1652" s="1"/>
      <c r="C1652" s="1"/>
      <c r="D1652" s="7"/>
      <c r="E1652" s="7"/>
      <c r="F1652" s="6"/>
      <c r="G1652" s="7"/>
      <c r="H1652" s="2"/>
      <c r="I1652" s="2"/>
      <c r="J1652" s="2"/>
      <c r="K1652" s="2"/>
      <c r="L1652" s="178"/>
      <c r="M1652" s="2"/>
      <c r="N1652" s="7"/>
      <c r="P1652" s="7"/>
      <c r="R1652" s="2"/>
      <c r="S1652" s="2"/>
      <c r="T1652" s="2"/>
      <c r="U1652" s="2"/>
      <c r="V1652" s="2"/>
      <c r="X1652" s="38"/>
      <c r="Y1652" s="38"/>
      <c r="Z1652" s="38"/>
      <c r="AA1652" s="38"/>
      <c r="AB1652" s="38"/>
      <c r="AD1652" s="2"/>
      <c r="AE1652" s="2"/>
      <c r="AF1652" s="2"/>
      <c r="AG1652" s="2"/>
      <c r="AH1652" s="2"/>
      <c r="AJ1652" s="215"/>
      <c r="AK1652" s="215"/>
      <c r="AL1652" s="215"/>
      <c r="AM1652" s="215"/>
      <c r="AO1652" s="10"/>
      <c r="AP1652" s="10"/>
      <c r="AQ1652" s="10"/>
      <c r="AR1652" s="10"/>
      <c r="AS1652" s="10"/>
      <c r="AU1652" s="2"/>
      <c r="AV1652" s="2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</row>
    <row r="1653" spans="1:73" customFormat="1" ht="12.75" hidden="1" customHeight="1" x14ac:dyDescent="0.2">
      <c r="A1653" s="1"/>
      <c r="B1653" s="1"/>
      <c r="C1653" s="1"/>
      <c r="D1653" s="7"/>
      <c r="E1653" s="7"/>
      <c r="F1653" s="6"/>
      <c r="G1653" s="7"/>
      <c r="H1653" s="2"/>
      <c r="I1653" s="2"/>
      <c r="J1653" s="2"/>
      <c r="K1653" s="2"/>
      <c r="L1653" s="178"/>
      <c r="M1653" s="2"/>
      <c r="N1653" s="7"/>
      <c r="P1653" s="7"/>
      <c r="R1653" s="2"/>
      <c r="S1653" s="2"/>
      <c r="T1653" s="2"/>
      <c r="U1653" s="2"/>
      <c r="V1653" s="2"/>
      <c r="X1653" s="38"/>
      <c r="Y1653" s="38"/>
      <c r="Z1653" s="38"/>
      <c r="AA1653" s="38"/>
      <c r="AB1653" s="38"/>
      <c r="AD1653" s="2"/>
      <c r="AE1653" s="2"/>
      <c r="AF1653" s="2"/>
      <c r="AG1653" s="2"/>
      <c r="AH1653" s="2"/>
      <c r="AJ1653" s="215"/>
      <c r="AK1653" s="215"/>
      <c r="AL1653" s="215"/>
      <c r="AM1653" s="215"/>
      <c r="AO1653" s="10"/>
      <c r="AP1653" s="10"/>
      <c r="AQ1653" s="10"/>
      <c r="AR1653" s="10"/>
      <c r="AS1653" s="10"/>
      <c r="AU1653" s="2"/>
      <c r="AV1653" s="2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</row>
    <row r="1654" spans="1:73" customFormat="1" ht="12.75" hidden="1" customHeight="1" x14ac:dyDescent="0.2">
      <c r="A1654" s="1"/>
      <c r="B1654" s="1"/>
      <c r="C1654" s="1"/>
      <c r="D1654" s="7"/>
      <c r="E1654" s="7"/>
      <c r="F1654" s="6"/>
      <c r="G1654" s="7"/>
      <c r="H1654" s="2"/>
      <c r="I1654" s="2"/>
      <c r="J1654" s="2"/>
      <c r="K1654" s="2"/>
      <c r="L1654" s="178"/>
      <c r="M1654" s="2"/>
      <c r="N1654" s="7"/>
      <c r="P1654" s="7"/>
      <c r="R1654" s="2"/>
      <c r="S1654" s="2"/>
      <c r="T1654" s="2"/>
      <c r="U1654" s="2"/>
      <c r="V1654" s="2"/>
      <c r="X1654" s="38"/>
      <c r="Y1654" s="38"/>
      <c r="Z1654" s="38"/>
      <c r="AA1654" s="38"/>
      <c r="AB1654" s="38"/>
      <c r="AD1654" s="2"/>
      <c r="AE1654" s="2"/>
      <c r="AF1654" s="2"/>
      <c r="AG1654" s="2"/>
      <c r="AH1654" s="2"/>
      <c r="AJ1654" s="215"/>
      <c r="AK1654" s="215"/>
      <c r="AL1654" s="215"/>
      <c r="AM1654" s="215"/>
      <c r="AO1654" s="10"/>
      <c r="AP1654" s="10"/>
      <c r="AQ1654" s="10"/>
      <c r="AR1654" s="10"/>
      <c r="AS1654" s="10"/>
      <c r="AU1654" s="2"/>
      <c r="AV1654" s="2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</row>
    <row r="1655" spans="1:73" customFormat="1" ht="12.75" hidden="1" customHeight="1" x14ac:dyDescent="0.2">
      <c r="A1655" s="1"/>
      <c r="B1655" s="1"/>
      <c r="C1655" s="1"/>
      <c r="D1655" s="7"/>
      <c r="E1655" s="7"/>
      <c r="F1655" s="6"/>
      <c r="G1655" s="7"/>
      <c r="H1655" s="2"/>
      <c r="I1655" s="2"/>
      <c r="J1655" s="2"/>
      <c r="K1655" s="2"/>
      <c r="L1655" s="178"/>
      <c r="M1655" s="2"/>
      <c r="N1655" s="7"/>
      <c r="P1655" s="7"/>
      <c r="R1655" s="2"/>
      <c r="S1655" s="2"/>
      <c r="T1655" s="2"/>
      <c r="U1655" s="2"/>
      <c r="V1655" s="2"/>
      <c r="X1655" s="38"/>
      <c r="Y1655" s="38"/>
      <c r="Z1655" s="38"/>
      <c r="AA1655" s="38"/>
      <c r="AB1655" s="38"/>
      <c r="AD1655" s="2"/>
      <c r="AE1655" s="2"/>
      <c r="AF1655" s="2"/>
      <c r="AG1655" s="2"/>
      <c r="AH1655" s="2"/>
      <c r="AJ1655" s="215"/>
      <c r="AK1655" s="215"/>
      <c r="AL1655" s="215"/>
      <c r="AM1655" s="215"/>
      <c r="AO1655" s="10"/>
      <c r="AP1655" s="10"/>
      <c r="AQ1655" s="10"/>
      <c r="AR1655" s="10"/>
      <c r="AS1655" s="10"/>
      <c r="AU1655" s="2"/>
      <c r="AV1655" s="2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</row>
    <row r="1656" spans="1:73" customFormat="1" ht="12.75" hidden="1" customHeight="1" x14ac:dyDescent="0.2">
      <c r="A1656" s="1"/>
      <c r="B1656" s="1"/>
      <c r="C1656" s="1"/>
      <c r="D1656" s="7"/>
      <c r="E1656" s="7"/>
      <c r="F1656" s="6"/>
      <c r="G1656" s="7"/>
      <c r="H1656" s="2"/>
      <c r="I1656" s="2"/>
      <c r="J1656" s="2"/>
      <c r="K1656" s="2"/>
      <c r="L1656" s="178"/>
      <c r="M1656" s="2"/>
      <c r="N1656" s="7"/>
      <c r="P1656" s="7"/>
      <c r="R1656" s="2"/>
      <c r="S1656" s="2"/>
      <c r="T1656" s="2"/>
      <c r="U1656" s="2"/>
      <c r="V1656" s="2"/>
      <c r="X1656" s="38"/>
      <c r="Y1656" s="38"/>
      <c r="Z1656" s="38"/>
      <c r="AA1656" s="38"/>
      <c r="AB1656" s="38"/>
      <c r="AD1656" s="2"/>
      <c r="AE1656" s="2"/>
      <c r="AF1656" s="2"/>
      <c r="AG1656" s="2"/>
      <c r="AH1656" s="2"/>
      <c r="AJ1656" s="215"/>
      <c r="AK1656" s="215"/>
      <c r="AL1656" s="215"/>
      <c r="AM1656" s="215"/>
      <c r="AO1656" s="10"/>
      <c r="AP1656" s="10"/>
      <c r="AQ1656" s="10"/>
      <c r="AR1656" s="10"/>
      <c r="AS1656" s="10"/>
      <c r="AU1656" s="2"/>
      <c r="AV1656" s="2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</row>
    <row r="1657" spans="1:73" customFormat="1" ht="12.75" hidden="1" customHeight="1" x14ac:dyDescent="0.2">
      <c r="A1657" s="1"/>
      <c r="B1657" s="1"/>
      <c r="C1657" s="1"/>
      <c r="D1657" s="7"/>
      <c r="E1657" s="7"/>
      <c r="F1657" s="6"/>
      <c r="G1657" s="7"/>
      <c r="H1657" s="2"/>
      <c r="I1657" s="2"/>
      <c r="J1657" s="2"/>
      <c r="K1657" s="2"/>
      <c r="L1657" s="178"/>
      <c r="M1657" s="2"/>
      <c r="N1657" s="7"/>
      <c r="P1657" s="7"/>
      <c r="R1657" s="2"/>
      <c r="S1657" s="2"/>
      <c r="T1657" s="2"/>
      <c r="U1657" s="2"/>
      <c r="V1657" s="2"/>
      <c r="X1657" s="38"/>
      <c r="Y1657" s="38"/>
      <c r="Z1657" s="38"/>
      <c r="AA1657" s="38"/>
      <c r="AB1657" s="38"/>
      <c r="AD1657" s="2"/>
      <c r="AE1657" s="2"/>
      <c r="AF1657" s="2"/>
      <c r="AG1657" s="2"/>
      <c r="AH1657" s="2"/>
      <c r="AJ1657" s="215"/>
      <c r="AK1657" s="215"/>
      <c r="AL1657" s="215"/>
      <c r="AM1657" s="215"/>
      <c r="AO1657" s="10"/>
      <c r="AP1657" s="10"/>
      <c r="AQ1657" s="10"/>
      <c r="AR1657" s="10"/>
      <c r="AS1657" s="10"/>
      <c r="AU1657" s="2"/>
      <c r="AV1657" s="2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</row>
    <row r="1658" spans="1:73" customFormat="1" ht="12.75" hidden="1" customHeight="1" x14ac:dyDescent="0.2">
      <c r="A1658" s="1"/>
      <c r="B1658" s="1"/>
      <c r="C1658" s="1"/>
      <c r="D1658" s="7"/>
      <c r="E1658" s="7"/>
      <c r="F1658" s="6"/>
      <c r="G1658" s="7"/>
      <c r="H1658" s="2"/>
      <c r="I1658" s="2"/>
      <c r="J1658" s="2"/>
      <c r="K1658" s="2"/>
      <c r="L1658" s="178"/>
      <c r="M1658" s="2"/>
      <c r="N1658" s="7"/>
      <c r="P1658" s="7"/>
      <c r="R1658" s="2"/>
      <c r="S1658" s="2"/>
      <c r="T1658" s="2"/>
      <c r="U1658" s="2"/>
      <c r="V1658" s="2"/>
      <c r="X1658" s="38"/>
      <c r="Y1658" s="38"/>
      <c r="Z1658" s="38"/>
      <c r="AA1658" s="38"/>
      <c r="AB1658" s="38"/>
      <c r="AD1658" s="2"/>
      <c r="AE1658" s="2"/>
      <c r="AF1658" s="2"/>
      <c r="AG1658" s="2"/>
      <c r="AH1658" s="2"/>
      <c r="AJ1658" s="215"/>
      <c r="AK1658" s="215"/>
      <c r="AL1658" s="215"/>
      <c r="AM1658" s="215"/>
      <c r="AO1658" s="10"/>
      <c r="AP1658" s="10"/>
      <c r="AQ1658" s="10"/>
      <c r="AR1658" s="10"/>
      <c r="AS1658" s="10"/>
      <c r="AU1658" s="2"/>
      <c r="AV1658" s="2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</row>
    <row r="1659" spans="1:73" customFormat="1" ht="12.75" hidden="1" customHeight="1" x14ac:dyDescent="0.2">
      <c r="A1659" s="1"/>
      <c r="B1659" s="1"/>
      <c r="C1659" s="1"/>
      <c r="D1659" s="7"/>
      <c r="E1659" s="7"/>
      <c r="F1659" s="6"/>
      <c r="G1659" s="7"/>
      <c r="H1659" s="2"/>
      <c r="I1659" s="2"/>
      <c r="J1659" s="2"/>
      <c r="K1659" s="2"/>
      <c r="L1659" s="178"/>
      <c r="M1659" s="2"/>
      <c r="N1659" s="7"/>
      <c r="P1659" s="7"/>
      <c r="R1659" s="2"/>
      <c r="S1659" s="2"/>
      <c r="T1659" s="2"/>
      <c r="U1659" s="2"/>
      <c r="V1659" s="2"/>
      <c r="X1659" s="38"/>
      <c r="Y1659" s="38"/>
      <c r="Z1659" s="38"/>
      <c r="AA1659" s="38"/>
      <c r="AB1659" s="38"/>
      <c r="AD1659" s="2"/>
      <c r="AE1659" s="2"/>
      <c r="AF1659" s="2"/>
      <c r="AG1659" s="2"/>
      <c r="AH1659" s="2"/>
      <c r="AJ1659" s="215"/>
      <c r="AK1659" s="215"/>
      <c r="AL1659" s="215"/>
      <c r="AM1659" s="215"/>
      <c r="AO1659" s="10"/>
      <c r="AP1659" s="10"/>
      <c r="AQ1659" s="10"/>
      <c r="AR1659" s="10"/>
      <c r="AS1659" s="10"/>
      <c r="AU1659" s="2"/>
      <c r="AV1659" s="2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</row>
    <row r="1660" spans="1:73" customFormat="1" ht="12.75" hidden="1" customHeight="1" x14ac:dyDescent="0.2">
      <c r="A1660" s="1"/>
      <c r="B1660" s="1"/>
      <c r="C1660" s="1"/>
      <c r="D1660" s="7"/>
      <c r="E1660" s="7"/>
      <c r="F1660" s="6"/>
      <c r="G1660" s="7"/>
      <c r="H1660" s="2"/>
      <c r="I1660" s="2"/>
      <c r="J1660" s="2"/>
      <c r="K1660" s="2"/>
      <c r="L1660" s="178"/>
      <c r="M1660" s="2"/>
      <c r="N1660" s="7"/>
      <c r="P1660" s="7"/>
      <c r="R1660" s="2"/>
      <c r="S1660" s="2"/>
      <c r="T1660" s="2"/>
      <c r="U1660" s="2"/>
      <c r="V1660" s="2"/>
      <c r="X1660" s="38"/>
      <c r="Y1660" s="38"/>
      <c r="Z1660" s="38"/>
      <c r="AA1660" s="38"/>
      <c r="AB1660" s="38"/>
      <c r="AD1660" s="2"/>
      <c r="AE1660" s="2"/>
      <c r="AF1660" s="2"/>
      <c r="AG1660" s="2"/>
      <c r="AH1660" s="2"/>
      <c r="AJ1660" s="215"/>
      <c r="AK1660" s="215"/>
      <c r="AL1660" s="215"/>
      <c r="AM1660" s="215"/>
      <c r="AO1660" s="10"/>
      <c r="AP1660" s="10"/>
      <c r="AQ1660" s="10"/>
      <c r="AR1660" s="10"/>
      <c r="AS1660" s="10"/>
      <c r="AU1660" s="2"/>
      <c r="AV1660" s="2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</row>
    <row r="1661" spans="1:73" customFormat="1" ht="12.75" hidden="1" customHeight="1" x14ac:dyDescent="0.2">
      <c r="A1661" s="1"/>
      <c r="B1661" s="1"/>
      <c r="C1661" s="1"/>
      <c r="D1661" s="7"/>
      <c r="E1661" s="7"/>
      <c r="F1661" s="6"/>
      <c r="G1661" s="7"/>
      <c r="H1661" s="2"/>
      <c r="I1661" s="2"/>
      <c r="J1661" s="2"/>
      <c r="K1661" s="2"/>
      <c r="L1661" s="178"/>
      <c r="M1661" s="2"/>
      <c r="N1661" s="7"/>
      <c r="P1661" s="7"/>
      <c r="R1661" s="2"/>
      <c r="S1661" s="2"/>
      <c r="T1661" s="2"/>
      <c r="U1661" s="2"/>
      <c r="V1661" s="2"/>
      <c r="X1661" s="38"/>
      <c r="Y1661" s="38"/>
      <c r="Z1661" s="38"/>
      <c r="AA1661" s="38"/>
      <c r="AB1661" s="38"/>
      <c r="AD1661" s="2"/>
      <c r="AE1661" s="2"/>
      <c r="AF1661" s="2"/>
      <c r="AG1661" s="2"/>
      <c r="AH1661" s="2"/>
      <c r="AJ1661" s="215"/>
      <c r="AK1661" s="215"/>
      <c r="AL1661" s="215"/>
      <c r="AM1661" s="215"/>
      <c r="AO1661" s="10"/>
      <c r="AP1661" s="10"/>
      <c r="AQ1661" s="10"/>
      <c r="AR1661" s="10"/>
      <c r="AS1661" s="10"/>
      <c r="AU1661" s="2"/>
      <c r="AV1661" s="2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</row>
    <row r="1662" spans="1:73" customFormat="1" ht="12.75" hidden="1" customHeight="1" x14ac:dyDescent="0.2">
      <c r="A1662" s="1"/>
      <c r="B1662" s="1"/>
      <c r="C1662" s="1"/>
      <c r="D1662" s="7"/>
      <c r="E1662" s="7"/>
      <c r="F1662" s="6"/>
      <c r="G1662" s="7"/>
      <c r="H1662" s="2"/>
      <c r="I1662" s="2"/>
      <c r="J1662" s="2"/>
      <c r="K1662" s="2"/>
      <c r="L1662" s="178"/>
      <c r="M1662" s="2"/>
      <c r="N1662" s="7"/>
      <c r="P1662" s="7"/>
      <c r="R1662" s="2"/>
      <c r="S1662" s="2"/>
      <c r="T1662" s="2"/>
      <c r="U1662" s="2"/>
      <c r="V1662" s="2"/>
      <c r="X1662" s="38"/>
      <c r="Y1662" s="38"/>
      <c r="Z1662" s="38"/>
      <c r="AA1662" s="38"/>
      <c r="AB1662" s="38"/>
      <c r="AD1662" s="2"/>
      <c r="AE1662" s="2"/>
      <c r="AF1662" s="2"/>
      <c r="AG1662" s="2"/>
      <c r="AH1662" s="2"/>
      <c r="AJ1662" s="215"/>
      <c r="AK1662" s="215"/>
      <c r="AL1662" s="215"/>
      <c r="AM1662" s="215"/>
      <c r="AO1662" s="10"/>
      <c r="AP1662" s="10"/>
      <c r="AQ1662" s="10"/>
      <c r="AR1662" s="10"/>
      <c r="AS1662" s="10"/>
      <c r="AU1662" s="2"/>
      <c r="AV1662" s="2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</row>
    <row r="1663" spans="1:73" customFormat="1" ht="12.75" hidden="1" customHeight="1" x14ac:dyDescent="0.2">
      <c r="A1663" s="1"/>
      <c r="B1663" s="1"/>
      <c r="C1663" s="1"/>
      <c r="D1663" s="7"/>
      <c r="E1663" s="7"/>
      <c r="F1663" s="6"/>
      <c r="G1663" s="7"/>
      <c r="H1663" s="2"/>
      <c r="I1663" s="2"/>
      <c r="J1663" s="2"/>
      <c r="K1663" s="2"/>
      <c r="L1663" s="178"/>
      <c r="M1663" s="2"/>
      <c r="N1663" s="7"/>
      <c r="P1663" s="7"/>
      <c r="R1663" s="2"/>
      <c r="S1663" s="2"/>
      <c r="T1663" s="2"/>
      <c r="U1663" s="2"/>
      <c r="V1663" s="2"/>
      <c r="X1663" s="38"/>
      <c r="Y1663" s="38"/>
      <c r="Z1663" s="38"/>
      <c r="AA1663" s="38"/>
      <c r="AB1663" s="38"/>
      <c r="AD1663" s="2"/>
      <c r="AE1663" s="2"/>
      <c r="AF1663" s="2"/>
      <c r="AG1663" s="2"/>
      <c r="AH1663" s="2"/>
      <c r="AJ1663" s="215"/>
      <c r="AK1663" s="215"/>
      <c r="AL1663" s="215"/>
      <c r="AM1663" s="215"/>
      <c r="AO1663" s="10"/>
      <c r="AP1663" s="10"/>
      <c r="AQ1663" s="10"/>
      <c r="AR1663" s="10"/>
      <c r="AS1663" s="10"/>
      <c r="AU1663" s="2"/>
      <c r="AV1663" s="2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</row>
    <row r="1664" spans="1:73" customFormat="1" ht="12.75" hidden="1" customHeight="1" x14ac:dyDescent="0.2">
      <c r="A1664" s="1"/>
      <c r="B1664" s="1"/>
      <c r="C1664" s="1"/>
      <c r="D1664" s="7"/>
      <c r="E1664" s="7"/>
      <c r="F1664" s="6"/>
      <c r="G1664" s="7"/>
      <c r="H1664" s="2"/>
      <c r="I1664" s="2"/>
      <c r="J1664" s="2"/>
      <c r="K1664" s="2"/>
      <c r="L1664" s="178"/>
      <c r="M1664" s="2"/>
      <c r="N1664" s="7"/>
      <c r="P1664" s="7"/>
      <c r="R1664" s="2"/>
      <c r="S1664" s="2"/>
      <c r="T1664" s="2"/>
      <c r="U1664" s="2"/>
      <c r="V1664" s="2"/>
      <c r="X1664" s="38"/>
      <c r="Y1664" s="38"/>
      <c r="Z1664" s="38"/>
      <c r="AA1664" s="38"/>
      <c r="AB1664" s="38"/>
      <c r="AD1664" s="2"/>
      <c r="AE1664" s="2"/>
      <c r="AF1664" s="2"/>
      <c r="AG1664" s="2"/>
      <c r="AH1664" s="2"/>
      <c r="AJ1664" s="215"/>
      <c r="AK1664" s="215"/>
      <c r="AL1664" s="215"/>
      <c r="AM1664" s="215"/>
      <c r="AO1664" s="10"/>
      <c r="AP1664" s="10"/>
      <c r="AQ1664" s="10"/>
      <c r="AR1664" s="10"/>
      <c r="AS1664" s="10"/>
      <c r="AU1664" s="2"/>
      <c r="AV1664" s="2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</row>
    <row r="1665" spans="1:73" customFormat="1" ht="12.75" hidden="1" customHeight="1" x14ac:dyDescent="0.2">
      <c r="A1665" s="1"/>
      <c r="B1665" s="1"/>
      <c r="C1665" s="1"/>
      <c r="D1665" s="7"/>
      <c r="E1665" s="7"/>
      <c r="F1665" s="6"/>
      <c r="G1665" s="7"/>
      <c r="H1665" s="2"/>
      <c r="I1665" s="2"/>
      <c r="J1665" s="2"/>
      <c r="K1665" s="2"/>
      <c r="L1665" s="178"/>
      <c r="M1665" s="2"/>
      <c r="N1665" s="7"/>
      <c r="P1665" s="7"/>
      <c r="R1665" s="2"/>
      <c r="S1665" s="2"/>
      <c r="T1665" s="2"/>
      <c r="U1665" s="2"/>
      <c r="V1665" s="2"/>
      <c r="X1665" s="38"/>
      <c r="Y1665" s="38"/>
      <c r="Z1665" s="38"/>
      <c r="AA1665" s="38"/>
      <c r="AB1665" s="38"/>
      <c r="AD1665" s="2"/>
      <c r="AE1665" s="2"/>
      <c r="AF1665" s="2"/>
      <c r="AG1665" s="2"/>
      <c r="AH1665" s="2"/>
      <c r="AJ1665" s="215"/>
      <c r="AK1665" s="215"/>
      <c r="AL1665" s="215"/>
      <c r="AM1665" s="215"/>
      <c r="AO1665" s="10"/>
      <c r="AP1665" s="10"/>
      <c r="AQ1665" s="10"/>
      <c r="AR1665" s="10"/>
      <c r="AS1665" s="10"/>
      <c r="AU1665" s="2"/>
      <c r="AV1665" s="2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</row>
    <row r="1666" spans="1:73" customFormat="1" ht="12.75" hidden="1" customHeight="1" x14ac:dyDescent="0.2">
      <c r="A1666" s="1"/>
      <c r="B1666" s="1"/>
      <c r="C1666" s="1"/>
      <c r="D1666" s="7"/>
      <c r="E1666" s="7"/>
      <c r="F1666" s="6"/>
      <c r="G1666" s="7"/>
      <c r="H1666" s="2"/>
      <c r="I1666" s="2"/>
      <c r="J1666" s="2"/>
      <c r="K1666" s="2"/>
      <c r="L1666" s="178"/>
      <c r="M1666" s="2"/>
      <c r="N1666" s="7"/>
      <c r="P1666" s="7"/>
      <c r="R1666" s="2"/>
      <c r="S1666" s="2"/>
      <c r="T1666" s="2"/>
      <c r="U1666" s="2"/>
      <c r="V1666" s="2"/>
      <c r="X1666" s="38"/>
      <c r="Y1666" s="38"/>
      <c r="Z1666" s="38"/>
      <c r="AA1666" s="38"/>
      <c r="AB1666" s="38"/>
      <c r="AD1666" s="2"/>
      <c r="AE1666" s="2"/>
      <c r="AF1666" s="2"/>
      <c r="AG1666" s="2"/>
      <c r="AH1666" s="2"/>
      <c r="AJ1666" s="215"/>
      <c r="AK1666" s="215"/>
      <c r="AL1666" s="215"/>
      <c r="AM1666" s="215"/>
      <c r="AO1666" s="10"/>
      <c r="AP1666" s="10"/>
      <c r="AQ1666" s="10"/>
      <c r="AR1666" s="10"/>
      <c r="AS1666" s="10"/>
      <c r="AU1666" s="2"/>
      <c r="AV1666" s="2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</row>
    <row r="1667" spans="1:73" customFormat="1" ht="12.75" hidden="1" customHeight="1" x14ac:dyDescent="0.2">
      <c r="A1667" s="1"/>
      <c r="B1667" s="1"/>
      <c r="C1667" s="1"/>
      <c r="D1667" s="7"/>
      <c r="E1667" s="7"/>
      <c r="F1667" s="6"/>
      <c r="G1667" s="7"/>
      <c r="H1667" s="2"/>
      <c r="I1667" s="2"/>
      <c r="J1667" s="2"/>
      <c r="K1667" s="2"/>
      <c r="L1667" s="178"/>
      <c r="M1667" s="2"/>
      <c r="N1667" s="7"/>
      <c r="P1667" s="7"/>
      <c r="R1667" s="2"/>
      <c r="S1667" s="2"/>
      <c r="T1667" s="2"/>
      <c r="U1667" s="2"/>
      <c r="V1667" s="2"/>
      <c r="X1667" s="38"/>
      <c r="Y1667" s="38"/>
      <c r="Z1667" s="38"/>
      <c r="AA1667" s="38"/>
      <c r="AB1667" s="38"/>
      <c r="AD1667" s="2"/>
      <c r="AE1667" s="2"/>
      <c r="AF1667" s="2"/>
      <c r="AG1667" s="2"/>
      <c r="AH1667" s="2"/>
      <c r="AJ1667" s="215"/>
      <c r="AK1667" s="215"/>
      <c r="AL1667" s="215"/>
      <c r="AM1667" s="215"/>
      <c r="AO1667" s="10"/>
      <c r="AP1667" s="10"/>
      <c r="AQ1667" s="10"/>
      <c r="AR1667" s="10"/>
      <c r="AS1667" s="10"/>
      <c r="AU1667" s="2"/>
      <c r="AV1667" s="2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</row>
    <row r="1668" spans="1:73" customFormat="1" ht="12.75" hidden="1" customHeight="1" x14ac:dyDescent="0.2">
      <c r="A1668" s="1"/>
      <c r="B1668" s="1"/>
      <c r="C1668" s="1"/>
      <c r="D1668" s="7"/>
      <c r="E1668" s="7"/>
      <c r="F1668" s="6"/>
      <c r="G1668" s="7"/>
      <c r="H1668" s="2"/>
      <c r="I1668" s="2"/>
      <c r="J1668" s="2"/>
      <c r="K1668" s="2"/>
      <c r="L1668" s="178"/>
      <c r="M1668" s="2"/>
      <c r="N1668" s="7"/>
      <c r="P1668" s="7"/>
      <c r="R1668" s="2"/>
      <c r="S1668" s="2"/>
      <c r="T1668" s="2"/>
      <c r="U1668" s="2"/>
      <c r="V1668" s="2"/>
      <c r="X1668" s="38"/>
      <c r="Y1668" s="38"/>
      <c r="Z1668" s="38"/>
      <c r="AA1668" s="38"/>
      <c r="AB1668" s="38"/>
      <c r="AD1668" s="2"/>
      <c r="AE1668" s="2"/>
      <c r="AF1668" s="2"/>
      <c r="AG1668" s="2"/>
      <c r="AH1668" s="2"/>
      <c r="AJ1668" s="215"/>
      <c r="AK1668" s="215"/>
      <c r="AL1668" s="215"/>
      <c r="AM1668" s="215"/>
      <c r="AO1668" s="10"/>
      <c r="AP1668" s="10"/>
      <c r="AQ1668" s="10"/>
      <c r="AR1668" s="10"/>
      <c r="AS1668" s="10"/>
      <c r="AU1668" s="2"/>
      <c r="AV1668" s="2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</row>
    <row r="1669" spans="1:73" customFormat="1" ht="12.75" hidden="1" customHeight="1" x14ac:dyDescent="0.2">
      <c r="A1669" s="1"/>
      <c r="B1669" s="1"/>
      <c r="C1669" s="1"/>
      <c r="D1669" s="7"/>
      <c r="E1669" s="7"/>
      <c r="F1669" s="6"/>
      <c r="G1669" s="7"/>
      <c r="H1669" s="2"/>
      <c r="I1669" s="2"/>
      <c r="J1669" s="2"/>
      <c r="K1669" s="2"/>
      <c r="L1669" s="178"/>
      <c r="M1669" s="2"/>
      <c r="N1669" s="7"/>
      <c r="P1669" s="7"/>
      <c r="R1669" s="2"/>
      <c r="S1669" s="2"/>
      <c r="T1669" s="2"/>
      <c r="U1669" s="2"/>
      <c r="V1669" s="2"/>
      <c r="X1669" s="38"/>
      <c r="Y1669" s="38"/>
      <c r="Z1669" s="38"/>
      <c r="AA1669" s="38"/>
      <c r="AB1669" s="38"/>
      <c r="AD1669" s="2"/>
      <c r="AE1669" s="2"/>
      <c r="AF1669" s="2"/>
      <c r="AG1669" s="2"/>
      <c r="AH1669" s="2"/>
      <c r="AJ1669" s="215"/>
      <c r="AK1669" s="215"/>
      <c r="AL1669" s="215"/>
      <c r="AM1669" s="215"/>
      <c r="AO1669" s="10"/>
      <c r="AP1669" s="10"/>
      <c r="AQ1669" s="10"/>
      <c r="AR1669" s="10"/>
      <c r="AS1669" s="10"/>
      <c r="AU1669" s="2"/>
      <c r="AV1669" s="2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</row>
    <row r="1670" spans="1:73" customFormat="1" ht="12.75" hidden="1" customHeight="1" x14ac:dyDescent="0.2">
      <c r="A1670" s="1"/>
      <c r="B1670" s="1"/>
      <c r="C1670" s="1"/>
      <c r="D1670" s="7"/>
      <c r="E1670" s="7"/>
      <c r="F1670" s="6"/>
      <c r="G1670" s="7"/>
      <c r="H1670" s="2"/>
      <c r="I1670" s="2"/>
      <c r="J1670" s="2"/>
      <c r="K1670" s="2"/>
      <c r="L1670" s="178"/>
      <c r="M1670" s="2"/>
      <c r="N1670" s="7"/>
      <c r="P1670" s="7"/>
      <c r="R1670" s="2"/>
      <c r="S1670" s="2"/>
      <c r="T1670" s="2"/>
      <c r="U1670" s="2"/>
      <c r="V1670" s="2"/>
      <c r="X1670" s="38"/>
      <c r="Y1670" s="38"/>
      <c r="Z1670" s="38"/>
      <c r="AA1670" s="38"/>
      <c r="AB1670" s="38"/>
      <c r="AD1670" s="2"/>
      <c r="AE1670" s="2"/>
      <c r="AF1670" s="2"/>
      <c r="AG1670" s="2"/>
      <c r="AH1670" s="2"/>
      <c r="AJ1670" s="215"/>
      <c r="AK1670" s="215"/>
      <c r="AL1670" s="215"/>
      <c r="AM1670" s="215"/>
      <c r="AO1670" s="10"/>
      <c r="AP1670" s="10"/>
      <c r="AQ1670" s="10"/>
      <c r="AR1670" s="10"/>
      <c r="AS1670" s="10"/>
      <c r="AU1670" s="2"/>
      <c r="AV1670" s="2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</row>
    <row r="1671" spans="1:73" customFormat="1" ht="12.75" hidden="1" customHeight="1" x14ac:dyDescent="0.2">
      <c r="A1671" s="1"/>
      <c r="B1671" s="1"/>
      <c r="C1671" s="1"/>
      <c r="D1671" s="7"/>
      <c r="E1671" s="7"/>
      <c r="F1671" s="6"/>
      <c r="G1671" s="7"/>
      <c r="H1671" s="2"/>
      <c r="I1671" s="2"/>
      <c r="J1671" s="2"/>
      <c r="K1671" s="2"/>
      <c r="L1671" s="178"/>
      <c r="M1671" s="2"/>
      <c r="N1671" s="7"/>
      <c r="P1671" s="7"/>
      <c r="R1671" s="2"/>
      <c r="S1671" s="2"/>
      <c r="T1671" s="2"/>
      <c r="U1671" s="2"/>
      <c r="V1671" s="2"/>
      <c r="X1671" s="38"/>
      <c r="Y1671" s="38"/>
      <c r="Z1671" s="38"/>
      <c r="AA1671" s="38"/>
      <c r="AB1671" s="38"/>
      <c r="AD1671" s="2"/>
      <c r="AE1671" s="2"/>
      <c r="AF1671" s="2"/>
      <c r="AG1671" s="2"/>
      <c r="AH1671" s="2"/>
      <c r="AJ1671" s="215"/>
      <c r="AK1671" s="215"/>
      <c r="AL1671" s="215"/>
      <c r="AM1671" s="215"/>
      <c r="AO1671" s="10"/>
      <c r="AP1671" s="10"/>
      <c r="AQ1671" s="10"/>
      <c r="AR1671" s="10"/>
      <c r="AS1671" s="10"/>
      <c r="AU1671" s="2"/>
      <c r="AV1671" s="2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</row>
    <row r="1672" spans="1:73" customFormat="1" ht="12.75" hidden="1" customHeight="1" x14ac:dyDescent="0.2">
      <c r="A1672" s="1"/>
      <c r="B1672" s="1"/>
      <c r="C1672" s="1"/>
      <c r="D1672" s="7"/>
      <c r="E1672" s="7"/>
      <c r="F1672" s="6"/>
      <c r="G1672" s="7"/>
      <c r="H1672" s="2"/>
      <c r="I1672" s="2"/>
      <c r="J1672" s="2"/>
      <c r="K1672" s="2"/>
      <c r="L1672" s="178"/>
      <c r="M1672" s="2"/>
      <c r="N1672" s="7"/>
      <c r="P1672" s="7"/>
      <c r="R1672" s="2"/>
      <c r="S1672" s="2"/>
      <c r="T1672" s="2"/>
      <c r="U1672" s="2"/>
      <c r="V1672" s="2"/>
      <c r="X1672" s="38"/>
      <c r="Y1672" s="38"/>
      <c r="Z1672" s="38"/>
      <c r="AA1672" s="38"/>
      <c r="AB1672" s="38"/>
      <c r="AD1672" s="2"/>
      <c r="AE1672" s="2"/>
      <c r="AF1672" s="2"/>
      <c r="AG1672" s="2"/>
      <c r="AH1672" s="2"/>
      <c r="AJ1672" s="215"/>
      <c r="AK1672" s="215"/>
      <c r="AL1672" s="215"/>
      <c r="AM1672" s="215"/>
      <c r="AO1672" s="10"/>
      <c r="AP1672" s="10"/>
      <c r="AQ1672" s="10"/>
      <c r="AR1672" s="10"/>
      <c r="AS1672" s="10"/>
      <c r="AU1672" s="2"/>
      <c r="AV1672" s="2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</row>
    <row r="1673" spans="1:73" customFormat="1" ht="12.75" hidden="1" customHeight="1" x14ac:dyDescent="0.2">
      <c r="A1673" s="1"/>
      <c r="B1673" s="1"/>
      <c r="C1673" s="1"/>
      <c r="D1673" s="7"/>
      <c r="E1673" s="7"/>
      <c r="F1673" s="6"/>
      <c r="G1673" s="7"/>
      <c r="H1673" s="2"/>
      <c r="I1673" s="2"/>
      <c r="J1673" s="2"/>
      <c r="K1673" s="2"/>
      <c r="L1673" s="178"/>
      <c r="M1673" s="2"/>
      <c r="N1673" s="7"/>
      <c r="P1673" s="7"/>
      <c r="R1673" s="2"/>
      <c r="S1673" s="2"/>
      <c r="T1673" s="2"/>
      <c r="U1673" s="2"/>
      <c r="V1673" s="2"/>
      <c r="X1673" s="38"/>
      <c r="Y1673" s="38"/>
      <c r="Z1673" s="38"/>
      <c r="AA1673" s="38"/>
      <c r="AB1673" s="38"/>
      <c r="AD1673" s="2"/>
      <c r="AE1673" s="2"/>
      <c r="AF1673" s="2"/>
      <c r="AG1673" s="2"/>
      <c r="AH1673" s="2"/>
      <c r="AJ1673" s="215"/>
      <c r="AK1673" s="215"/>
      <c r="AL1673" s="215"/>
      <c r="AM1673" s="215"/>
      <c r="AO1673" s="10"/>
      <c r="AP1673" s="10"/>
      <c r="AQ1673" s="10"/>
      <c r="AR1673" s="10"/>
      <c r="AS1673" s="10"/>
      <c r="AU1673" s="2"/>
      <c r="AV1673" s="2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</row>
    <row r="1674" spans="1:73" customFormat="1" ht="12.75" hidden="1" customHeight="1" x14ac:dyDescent="0.2">
      <c r="A1674" s="1"/>
      <c r="B1674" s="1"/>
      <c r="C1674" s="1"/>
      <c r="D1674" s="7"/>
      <c r="E1674" s="7"/>
      <c r="F1674" s="6"/>
      <c r="G1674" s="7"/>
      <c r="H1674" s="2"/>
      <c r="I1674" s="2"/>
      <c r="J1674" s="2"/>
      <c r="K1674" s="2"/>
      <c r="L1674" s="178"/>
      <c r="M1674" s="2"/>
      <c r="N1674" s="7"/>
      <c r="P1674" s="7"/>
      <c r="R1674" s="2"/>
      <c r="S1674" s="2"/>
      <c r="T1674" s="2"/>
      <c r="U1674" s="2"/>
      <c r="V1674" s="2"/>
      <c r="X1674" s="38"/>
      <c r="Y1674" s="38"/>
      <c r="Z1674" s="38"/>
      <c r="AA1674" s="38"/>
      <c r="AB1674" s="38"/>
      <c r="AD1674" s="2"/>
      <c r="AE1674" s="2"/>
      <c r="AF1674" s="2"/>
      <c r="AG1674" s="2"/>
      <c r="AH1674" s="2"/>
      <c r="AJ1674" s="215"/>
      <c r="AK1674" s="215"/>
      <c r="AL1674" s="215"/>
      <c r="AM1674" s="215"/>
      <c r="AO1674" s="10"/>
      <c r="AP1674" s="10"/>
      <c r="AQ1674" s="10"/>
      <c r="AR1674" s="10"/>
      <c r="AS1674" s="10"/>
      <c r="AU1674" s="2"/>
      <c r="AV1674" s="2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</row>
    <row r="1675" spans="1:73" customFormat="1" ht="12.75" hidden="1" customHeight="1" x14ac:dyDescent="0.2">
      <c r="A1675" s="1"/>
      <c r="B1675" s="1"/>
      <c r="C1675" s="1"/>
      <c r="D1675" s="7"/>
      <c r="E1675" s="7"/>
      <c r="F1675" s="6"/>
      <c r="G1675" s="7"/>
      <c r="H1675" s="2"/>
      <c r="I1675" s="2"/>
      <c r="J1675" s="2"/>
      <c r="K1675" s="2"/>
      <c r="L1675" s="178"/>
      <c r="M1675" s="2"/>
      <c r="N1675" s="7"/>
      <c r="P1675" s="7"/>
      <c r="R1675" s="2"/>
      <c r="S1675" s="2"/>
      <c r="T1675" s="2"/>
      <c r="U1675" s="2"/>
      <c r="V1675" s="2"/>
      <c r="X1675" s="38"/>
      <c r="Y1675" s="38"/>
      <c r="Z1675" s="38"/>
      <c r="AA1675" s="38"/>
      <c r="AB1675" s="38"/>
      <c r="AD1675" s="2"/>
      <c r="AE1675" s="2"/>
      <c r="AF1675" s="2"/>
      <c r="AG1675" s="2"/>
      <c r="AH1675" s="2"/>
      <c r="AJ1675" s="215"/>
      <c r="AK1675" s="215"/>
      <c r="AL1675" s="215"/>
      <c r="AM1675" s="215"/>
      <c r="AO1675" s="10"/>
      <c r="AP1675" s="10"/>
      <c r="AQ1675" s="10"/>
      <c r="AR1675" s="10"/>
      <c r="AS1675" s="10"/>
      <c r="AU1675" s="2"/>
      <c r="AV1675" s="2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</row>
    <row r="1676" spans="1:73" customFormat="1" ht="12.75" hidden="1" customHeight="1" x14ac:dyDescent="0.2">
      <c r="A1676" s="1"/>
      <c r="B1676" s="1"/>
      <c r="C1676" s="1"/>
      <c r="D1676" s="7"/>
      <c r="E1676" s="7"/>
      <c r="F1676" s="6"/>
      <c r="G1676" s="7"/>
      <c r="H1676" s="2"/>
      <c r="I1676" s="2"/>
      <c r="J1676" s="2"/>
      <c r="K1676" s="2"/>
      <c r="L1676" s="178"/>
      <c r="M1676" s="2"/>
      <c r="N1676" s="7"/>
      <c r="P1676" s="7"/>
      <c r="R1676" s="2"/>
      <c r="S1676" s="2"/>
      <c r="T1676" s="2"/>
      <c r="U1676" s="2"/>
      <c r="V1676" s="2"/>
      <c r="X1676" s="38"/>
      <c r="Y1676" s="38"/>
      <c r="Z1676" s="38"/>
      <c r="AA1676" s="38"/>
      <c r="AB1676" s="38"/>
      <c r="AD1676" s="2"/>
      <c r="AE1676" s="2"/>
      <c r="AF1676" s="2"/>
      <c r="AG1676" s="2"/>
      <c r="AH1676" s="2"/>
      <c r="AJ1676" s="215"/>
      <c r="AK1676" s="215"/>
      <c r="AL1676" s="215"/>
      <c r="AM1676" s="215"/>
      <c r="AO1676" s="10"/>
      <c r="AP1676" s="10"/>
      <c r="AQ1676" s="10"/>
      <c r="AR1676" s="10"/>
      <c r="AS1676" s="10"/>
      <c r="AU1676" s="2"/>
      <c r="AV1676" s="2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</row>
    <row r="1677" spans="1:73" customFormat="1" ht="12.75" hidden="1" customHeight="1" x14ac:dyDescent="0.2">
      <c r="A1677" s="1"/>
      <c r="B1677" s="1"/>
      <c r="C1677" s="1"/>
      <c r="D1677" s="7"/>
      <c r="E1677" s="7"/>
      <c r="F1677" s="6"/>
      <c r="G1677" s="7"/>
      <c r="H1677" s="2"/>
      <c r="I1677" s="2"/>
      <c r="J1677" s="2"/>
      <c r="K1677" s="2"/>
      <c r="L1677" s="178"/>
      <c r="M1677" s="2"/>
      <c r="N1677" s="7"/>
      <c r="P1677" s="7"/>
      <c r="R1677" s="2"/>
      <c r="S1677" s="2"/>
      <c r="T1677" s="2"/>
      <c r="U1677" s="2"/>
      <c r="V1677" s="2"/>
      <c r="X1677" s="38"/>
      <c r="Y1677" s="38"/>
      <c r="Z1677" s="38"/>
      <c r="AA1677" s="38"/>
      <c r="AB1677" s="38"/>
      <c r="AD1677" s="2"/>
      <c r="AE1677" s="2"/>
      <c r="AF1677" s="2"/>
      <c r="AG1677" s="2"/>
      <c r="AH1677" s="2"/>
      <c r="AJ1677" s="215"/>
      <c r="AK1677" s="215"/>
      <c r="AL1677" s="215"/>
      <c r="AM1677" s="215"/>
      <c r="AO1677" s="10"/>
      <c r="AP1677" s="10"/>
      <c r="AQ1677" s="10"/>
      <c r="AR1677" s="10"/>
      <c r="AS1677" s="10"/>
      <c r="AU1677" s="2"/>
      <c r="AV1677" s="2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</row>
    <row r="1678" spans="1:73" customFormat="1" ht="12.75" hidden="1" customHeight="1" x14ac:dyDescent="0.2">
      <c r="A1678" s="1"/>
      <c r="B1678" s="1"/>
      <c r="C1678" s="1"/>
      <c r="D1678" s="7"/>
      <c r="E1678" s="7"/>
      <c r="F1678" s="6"/>
      <c r="G1678" s="7"/>
      <c r="H1678" s="2"/>
      <c r="I1678" s="2"/>
      <c r="J1678" s="2"/>
      <c r="K1678" s="2"/>
      <c r="L1678" s="178"/>
      <c r="M1678" s="2"/>
      <c r="N1678" s="7"/>
      <c r="P1678" s="7"/>
      <c r="R1678" s="2"/>
      <c r="S1678" s="2"/>
      <c r="T1678" s="2"/>
      <c r="U1678" s="2"/>
      <c r="V1678" s="2"/>
      <c r="X1678" s="38"/>
      <c r="Y1678" s="38"/>
      <c r="Z1678" s="38"/>
      <c r="AA1678" s="38"/>
      <c r="AB1678" s="38"/>
      <c r="AD1678" s="2"/>
      <c r="AE1678" s="2"/>
      <c r="AF1678" s="2"/>
      <c r="AG1678" s="2"/>
      <c r="AH1678" s="2"/>
      <c r="AJ1678" s="215"/>
      <c r="AK1678" s="215"/>
      <c r="AL1678" s="215"/>
      <c r="AM1678" s="215"/>
      <c r="AO1678" s="10"/>
      <c r="AP1678" s="10"/>
      <c r="AQ1678" s="10"/>
      <c r="AR1678" s="10"/>
      <c r="AS1678" s="10"/>
      <c r="AU1678" s="2"/>
      <c r="AV1678" s="2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</row>
    <row r="1679" spans="1:73" customFormat="1" ht="12.75" hidden="1" customHeight="1" x14ac:dyDescent="0.2">
      <c r="A1679" s="1"/>
      <c r="B1679" s="1"/>
      <c r="C1679" s="1"/>
      <c r="D1679" s="7"/>
      <c r="E1679" s="7"/>
      <c r="F1679" s="6"/>
      <c r="G1679" s="7"/>
      <c r="H1679" s="2"/>
      <c r="I1679" s="2"/>
      <c r="J1679" s="2"/>
      <c r="K1679" s="2"/>
      <c r="L1679" s="178"/>
      <c r="M1679" s="2"/>
      <c r="N1679" s="7"/>
      <c r="P1679" s="7"/>
      <c r="R1679" s="2"/>
      <c r="S1679" s="2"/>
      <c r="T1679" s="2"/>
      <c r="U1679" s="2"/>
      <c r="V1679" s="2"/>
      <c r="X1679" s="38"/>
      <c r="Y1679" s="38"/>
      <c r="Z1679" s="38"/>
      <c r="AA1679" s="38"/>
      <c r="AB1679" s="38"/>
      <c r="AD1679" s="2"/>
      <c r="AE1679" s="2"/>
      <c r="AF1679" s="2"/>
      <c r="AG1679" s="2"/>
      <c r="AH1679" s="2"/>
      <c r="AJ1679" s="215"/>
      <c r="AK1679" s="215"/>
      <c r="AL1679" s="215"/>
      <c r="AM1679" s="215"/>
      <c r="AO1679" s="10"/>
      <c r="AP1679" s="10"/>
      <c r="AQ1679" s="10"/>
      <c r="AR1679" s="10"/>
      <c r="AS1679" s="10"/>
      <c r="AU1679" s="2"/>
      <c r="AV1679" s="2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</row>
    <row r="1680" spans="1:73" customFormat="1" ht="12.75" hidden="1" customHeight="1" x14ac:dyDescent="0.2">
      <c r="A1680" s="1"/>
      <c r="B1680" s="1"/>
      <c r="C1680" s="1"/>
      <c r="D1680" s="7"/>
      <c r="E1680" s="7"/>
      <c r="F1680" s="6"/>
      <c r="G1680" s="7"/>
      <c r="H1680" s="2"/>
      <c r="I1680" s="2"/>
      <c r="J1680" s="2"/>
      <c r="K1680" s="2"/>
      <c r="L1680" s="178"/>
      <c r="M1680" s="2"/>
      <c r="N1680" s="7"/>
      <c r="P1680" s="7"/>
      <c r="R1680" s="2"/>
      <c r="S1680" s="2"/>
      <c r="T1680" s="2"/>
      <c r="U1680" s="2"/>
      <c r="V1680" s="2"/>
      <c r="X1680" s="38"/>
      <c r="Y1680" s="38"/>
      <c r="Z1680" s="38"/>
      <c r="AA1680" s="38"/>
      <c r="AB1680" s="38"/>
      <c r="AD1680" s="2"/>
      <c r="AE1680" s="2"/>
      <c r="AF1680" s="2"/>
      <c r="AG1680" s="2"/>
      <c r="AH1680" s="2"/>
      <c r="AJ1680" s="215"/>
      <c r="AK1680" s="215"/>
      <c r="AL1680" s="215"/>
      <c r="AM1680" s="215"/>
      <c r="AO1680" s="10"/>
      <c r="AP1680" s="10"/>
      <c r="AQ1680" s="10"/>
      <c r="AR1680" s="10"/>
      <c r="AS1680" s="10"/>
      <c r="AU1680" s="2"/>
      <c r="AV1680" s="2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</row>
    <row r="1681" spans="1:73" customFormat="1" ht="12.75" hidden="1" customHeight="1" x14ac:dyDescent="0.2">
      <c r="A1681" s="1"/>
      <c r="B1681" s="1"/>
      <c r="C1681" s="1"/>
      <c r="D1681" s="7"/>
      <c r="E1681" s="7"/>
      <c r="F1681" s="6"/>
      <c r="G1681" s="7"/>
      <c r="H1681" s="2"/>
      <c r="I1681" s="2"/>
      <c r="J1681" s="2"/>
      <c r="K1681" s="2"/>
      <c r="L1681" s="178"/>
      <c r="M1681" s="2"/>
      <c r="N1681" s="7"/>
      <c r="P1681" s="7"/>
      <c r="R1681" s="2"/>
      <c r="S1681" s="2"/>
      <c r="T1681" s="2"/>
      <c r="U1681" s="2"/>
      <c r="V1681" s="2"/>
      <c r="X1681" s="38"/>
      <c r="Y1681" s="38"/>
      <c r="Z1681" s="38"/>
      <c r="AA1681" s="38"/>
      <c r="AB1681" s="38"/>
      <c r="AD1681" s="2"/>
      <c r="AE1681" s="2"/>
      <c r="AF1681" s="2"/>
      <c r="AG1681" s="2"/>
      <c r="AH1681" s="2"/>
      <c r="AJ1681" s="215"/>
      <c r="AK1681" s="215"/>
      <c r="AL1681" s="215"/>
      <c r="AM1681" s="215"/>
      <c r="AO1681" s="10"/>
      <c r="AP1681" s="10"/>
      <c r="AQ1681" s="10"/>
      <c r="AR1681" s="10"/>
      <c r="AS1681" s="10"/>
      <c r="AU1681" s="2"/>
      <c r="AV1681" s="2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</row>
    <row r="1682" spans="1:73" customFormat="1" ht="12.75" hidden="1" customHeight="1" x14ac:dyDescent="0.2">
      <c r="A1682" s="1"/>
      <c r="B1682" s="1"/>
      <c r="C1682" s="1"/>
      <c r="D1682" s="7"/>
      <c r="E1682" s="7"/>
      <c r="F1682" s="6"/>
      <c r="G1682" s="7"/>
      <c r="H1682" s="2"/>
      <c r="I1682" s="2"/>
      <c r="J1682" s="2"/>
      <c r="K1682" s="2"/>
      <c r="L1682" s="178"/>
      <c r="M1682" s="2"/>
      <c r="N1682" s="7"/>
      <c r="P1682" s="7"/>
      <c r="R1682" s="2"/>
      <c r="S1682" s="2"/>
      <c r="T1682" s="2"/>
      <c r="U1682" s="2"/>
      <c r="V1682" s="2"/>
      <c r="X1682" s="38"/>
      <c r="Y1682" s="38"/>
      <c r="Z1682" s="38"/>
      <c r="AA1682" s="38"/>
      <c r="AB1682" s="38"/>
      <c r="AD1682" s="2"/>
      <c r="AE1682" s="2"/>
      <c r="AF1682" s="2"/>
      <c r="AG1682" s="2"/>
      <c r="AH1682" s="2"/>
      <c r="AJ1682" s="215"/>
      <c r="AK1682" s="215"/>
      <c r="AL1682" s="215"/>
      <c r="AM1682" s="215"/>
      <c r="AO1682" s="10"/>
      <c r="AP1682" s="10"/>
      <c r="AQ1682" s="10"/>
      <c r="AR1682" s="10"/>
      <c r="AS1682" s="10"/>
      <c r="AU1682" s="2"/>
      <c r="AV1682" s="2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</row>
    <row r="1683" spans="1:73" customFormat="1" ht="12.75" hidden="1" customHeight="1" x14ac:dyDescent="0.2">
      <c r="A1683" s="1"/>
      <c r="B1683" s="1"/>
      <c r="C1683" s="1"/>
      <c r="D1683" s="7"/>
      <c r="E1683" s="7"/>
      <c r="F1683" s="6"/>
      <c r="G1683" s="7"/>
      <c r="H1683" s="2"/>
      <c r="I1683" s="2"/>
      <c r="J1683" s="2"/>
      <c r="K1683" s="2"/>
      <c r="L1683" s="178"/>
      <c r="M1683" s="2"/>
      <c r="N1683" s="7"/>
      <c r="P1683" s="7"/>
      <c r="R1683" s="2"/>
      <c r="S1683" s="2"/>
      <c r="T1683" s="2"/>
      <c r="U1683" s="2"/>
      <c r="V1683" s="2"/>
      <c r="X1683" s="38"/>
      <c r="Y1683" s="38"/>
      <c r="Z1683" s="38"/>
      <c r="AA1683" s="38"/>
      <c r="AB1683" s="38"/>
      <c r="AD1683" s="2"/>
      <c r="AE1683" s="2"/>
      <c r="AF1683" s="2"/>
      <c r="AG1683" s="2"/>
      <c r="AH1683" s="2"/>
      <c r="AJ1683" s="215"/>
      <c r="AK1683" s="215"/>
      <c r="AL1683" s="215"/>
      <c r="AM1683" s="215"/>
      <c r="AO1683" s="10"/>
      <c r="AP1683" s="10"/>
      <c r="AQ1683" s="10"/>
      <c r="AR1683" s="10"/>
      <c r="AS1683" s="10"/>
      <c r="AU1683" s="2"/>
      <c r="AV1683" s="2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</row>
    <row r="1684" spans="1:73" customFormat="1" ht="12.75" hidden="1" customHeight="1" x14ac:dyDescent="0.2">
      <c r="A1684" s="1"/>
      <c r="B1684" s="1"/>
      <c r="C1684" s="1"/>
      <c r="D1684" s="7"/>
      <c r="E1684" s="7"/>
      <c r="F1684" s="6"/>
      <c r="G1684" s="7"/>
      <c r="H1684" s="2"/>
      <c r="I1684" s="2"/>
      <c r="J1684" s="2"/>
      <c r="K1684" s="2"/>
      <c r="L1684" s="178"/>
      <c r="M1684" s="2"/>
      <c r="N1684" s="7"/>
      <c r="P1684" s="7"/>
      <c r="R1684" s="2"/>
      <c r="S1684" s="2"/>
      <c r="T1684" s="2"/>
      <c r="U1684" s="2"/>
      <c r="V1684" s="2"/>
      <c r="X1684" s="38"/>
      <c r="Y1684" s="38"/>
      <c r="Z1684" s="38"/>
      <c r="AA1684" s="38"/>
      <c r="AB1684" s="38"/>
      <c r="AD1684" s="2"/>
      <c r="AE1684" s="2"/>
      <c r="AF1684" s="2"/>
      <c r="AG1684" s="2"/>
      <c r="AH1684" s="2"/>
      <c r="AJ1684" s="215"/>
      <c r="AK1684" s="215"/>
      <c r="AL1684" s="215"/>
      <c r="AM1684" s="215"/>
      <c r="AO1684" s="10"/>
      <c r="AP1684" s="10"/>
      <c r="AQ1684" s="10"/>
      <c r="AR1684" s="10"/>
      <c r="AS1684" s="10"/>
      <c r="AU1684" s="2"/>
      <c r="AV1684" s="2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</row>
    <row r="1685" spans="1:73" customFormat="1" ht="12.75" hidden="1" customHeight="1" x14ac:dyDescent="0.2">
      <c r="A1685" s="1"/>
      <c r="B1685" s="1"/>
      <c r="C1685" s="1"/>
      <c r="D1685" s="7"/>
      <c r="E1685" s="7"/>
      <c r="F1685" s="6"/>
      <c r="G1685" s="7"/>
      <c r="H1685" s="2"/>
      <c r="I1685" s="2"/>
      <c r="J1685" s="2"/>
      <c r="K1685" s="2"/>
      <c r="L1685" s="178"/>
      <c r="M1685" s="2"/>
      <c r="N1685" s="7"/>
      <c r="P1685" s="7"/>
      <c r="R1685" s="2"/>
      <c r="S1685" s="2"/>
      <c r="T1685" s="2"/>
      <c r="U1685" s="2"/>
      <c r="V1685" s="2"/>
      <c r="X1685" s="38"/>
      <c r="Y1685" s="38"/>
      <c r="Z1685" s="38"/>
      <c r="AA1685" s="38"/>
      <c r="AB1685" s="38"/>
      <c r="AD1685" s="2"/>
      <c r="AE1685" s="2"/>
      <c r="AF1685" s="2"/>
      <c r="AG1685" s="2"/>
      <c r="AH1685" s="2"/>
      <c r="AJ1685" s="215"/>
      <c r="AK1685" s="215"/>
      <c r="AL1685" s="215"/>
      <c r="AM1685" s="215"/>
      <c r="AO1685" s="10"/>
      <c r="AP1685" s="10"/>
      <c r="AQ1685" s="10"/>
      <c r="AR1685" s="10"/>
      <c r="AS1685" s="10"/>
      <c r="AU1685" s="2"/>
      <c r="AV1685" s="2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</row>
    <row r="1686" spans="1:73" customFormat="1" ht="12.75" hidden="1" customHeight="1" x14ac:dyDescent="0.2">
      <c r="A1686" s="1"/>
      <c r="B1686" s="1"/>
      <c r="C1686" s="1"/>
      <c r="D1686" s="7"/>
      <c r="E1686" s="7"/>
      <c r="F1686" s="6"/>
      <c r="G1686" s="7"/>
      <c r="H1686" s="2"/>
      <c r="I1686" s="2"/>
      <c r="J1686" s="2"/>
      <c r="K1686" s="2"/>
      <c r="L1686" s="178"/>
      <c r="M1686" s="2"/>
      <c r="N1686" s="7"/>
      <c r="P1686" s="7"/>
      <c r="R1686" s="2"/>
      <c r="S1686" s="2"/>
      <c r="T1686" s="2"/>
      <c r="U1686" s="2"/>
      <c r="V1686" s="2"/>
      <c r="X1686" s="38"/>
      <c r="Y1686" s="38"/>
      <c r="Z1686" s="38"/>
      <c r="AA1686" s="38"/>
      <c r="AB1686" s="38"/>
      <c r="AD1686" s="2"/>
      <c r="AE1686" s="2"/>
      <c r="AF1686" s="2"/>
      <c r="AG1686" s="2"/>
      <c r="AH1686" s="2"/>
      <c r="AJ1686" s="215"/>
      <c r="AK1686" s="215"/>
      <c r="AL1686" s="215"/>
      <c r="AM1686" s="215"/>
      <c r="AO1686" s="10"/>
      <c r="AP1686" s="10"/>
      <c r="AQ1686" s="10"/>
      <c r="AR1686" s="10"/>
      <c r="AS1686" s="10"/>
      <c r="AU1686" s="2"/>
      <c r="AV1686" s="2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</row>
    <row r="1687" spans="1:73" customFormat="1" ht="12.75" hidden="1" customHeight="1" x14ac:dyDescent="0.2">
      <c r="A1687" s="1"/>
      <c r="B1687" s="1"/>
      <c r="C1687" s="1"/>
      <c r="D1687" s="7"/>
      <c r="E1687" s="7"/>
      <c r="F1687" s="6"/>
      <c r="G1687" s="7"/>
      <c r="H1687" s="2"/>
      <c r="I1687" s="2"/>
      <c r="J1687" s="2"/>
      <c r="K1687" s="2"/>
      <c r="L1687" s="178"/>
      <c r="M1687" s="2"/>
      <c r="N1687" s="7"/>
      <c r="P1687" s="7"/>
      <c r="R1687" s="2"/>
      <c r="S1687" s="2"/>
      <c r="T1687" s="2"/>
      <c r="U1687" s="2"/>
      <c r="V1687" s="2"/>
      <c r="X1687" s="38"/>
      <c r="Y1687" s="38"/>
      <c r="Z1687" s="38"/>
      <c r="AA1687" s="38"/>
      <c r="AB1687" s="38"/>
      <c r="AD1687" s="2"/>
      <c r="AE1687" s="2"/>
      <c r="AF1687" s="2"/>
      <c r="AG1687" s="2"/>
      <c r="AH1687" s="2"/>
      <c r="AJ1687" s="215"/>
      <c r="AK1687" s="215"/>
      <c r="AL1687" s="215"/>
      <c r="AM1687" s="215"/>
      <c r="AO1687" s="10"/>
      <c r="AP1687" s="10"/>
      <c r="AQ1687" s="10"/>
      <c r="AR1687" s="10"/>
      <c r="AS1687" s="10"/>
      <c r="AU1687" s="2"/>
      <c r="AV1687" s="2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</row>
    <row r="1688" spans="1:73" customFormat="1" ht="12.75" hidden="1" customHeight="1" x14ac:dyDescent="0.2">
      <c r="A1688" s="1"/>
      <c r="B1688" s="1"/>
      <c r="C1688" s="1"/>
      <c r="D1688" s="7"/>
      <c r="E1688" s="7"/>
      <c r="F1688" s="6"/>
      <c r="G1688" s="7"/>
      <c r="H1688" s="2"/>
      <c r="I1688" s="2"/>
      <c r="J1688" s="2"/>
      <c r="K1688" s="2"/>
      <c r="L1688" s="178"/>
      <c r="M1688" s="2"/>
      <c r="N1688" s="7"/>
      <c r="P1688" s="7"/>
      <c r="R1688" s="2"/>
      <c r="S1688" s="2"/>
      <c r="T1688" s="2"/>
      <c r="U1688" s="2"/>
      <c r="V1688" s="2"/>
      <c r="X1688" s="38"/>
      <c r="Y1688" s="38"/>
      <c r="Z1688" s="38"/>
      <c r="AA1688" s="38"/>
      <c r="AB1688" s="38"/>
      <c r="AD1688" s="2"/>
      <c r="AE1688" s="2"/>
      <c r="AF1688" s="2"/>
      <c r="AG1688" s="2"/>
      <c r="AH1688" s="2"/>
      <c r="AJ1688" s="215"/>
      <c r="AK1688" s="215"/>
      <c r="AL1688" s="215"/>
      <c r="AM1688" s="215"/>
      <c r="AO1688" s="10"/>
      <c r="AP1688" s="10"/>
      <c r="AQ1688" s="10"/>
      <c r="AR1688" s="10"/>
      <c r="AS1688" s="10"/>
      <c r="AU1688" s="2"/>
      <c r="AV1688" s="2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</row>
    <row r="1689" spans="1:73" customFormat="1" ht="12.75" hidden="1" customHeight="1" x14ac:dyDescent="0.2">
      <c r="A1689" s="1"/>
      <c r="B1689" s="1"/>
      <c r="C1689" s="1"/>
      <c r="D1689" s="7"/>
      <c r="E1689" s="7"/>
      <c r="F1689" s="6"/>
      <c r="G1689" s="7"/>
      <c r="H1689" s="2"/>
      <c r="I1689" s="2"/>
      <c r="J1689" s="2"/>
      <c r="K1689" s="2"/>
      <c r="L1689" s="178"/>
      <c r="M1689" s="2"/>
      <c r="N1689" s="7"/>
      <c r="P1689" s="7"/>
      <c r="R1689" s="2"/>
      <c r="S1689" s="2"/>
      <c r="T1689" s="2"/>
      <c r="U1689" s="2"/>
      <c r="V1689" s="2"/>
      <c r="X1689" s="38"/>
      <c r="Y1689" s="38"/>
      <c r="Z1689" s="38"/>
      <c r="AA1689" s="38"/>
      <c r="AB1689" s="38"/>
      <c r="AD1689" s="2"/>
      <c r="AE1689" s="2"/>
      <c r="AF1689" s="2"/>
      <c r="AG1689" s="2"/>
      <c r="AH1689" s="2"/>
      <c r="AJ1689" s="215"/>
      <c r="AK1689" s="215"/>
      <c r="AL1689" s="215"/>
      <c r="AM1689" s="215"/>
      <c r="AO1689" s="10"/>
      <c r="AP1689" s="10"/>
      <c r="AQ1689" s="10"/>
      <c r="AR1689" s="10"/>
      <c r="AS1689" s="10"/>
      <c r="AU1689" s="2"/>
      <c r="AV1689" s="2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</row>
    <row r="1690" spans="1:73" customFormat="1" ht="12.75" hidden="1" customHeight="1" x14ac:dyDescent="0.2">
      <c r="A1690" s="1"/>
      <c r="B1690" s="1"/>
      <c r="C1690" s="1"/>
      <c r="D1690" s="7"/>
      <c r="E1690" s="7"/>
      <c r="F1690" s="6"/>
      <c r="G1690" s="7"/>
      <c r="H1690" s="2"/>
      <c r="I1690" s="2"/>
      <c r="J1690" s="2"/>
      <c r="K1690" s="2"/>
      <c r="L1690" s="178"/>
      <c r="M1690" s="2"/>
      <c r="N1690" s="7"/>
      <c r="P1690" s="7"/>
      <c r="R1690" s="2"/>
      <c r="S1690" s="2"/>
      <c r="T1690" s="2"/>
      <c r="U1690" s="2"/>
      <c r="V1690" s="2"/>
      <c r="X1690" s="38"/>
      <c r="Y1690" s="38"/>
      <c r="Z1690" s="38"/>
      <c r="AA1690" s="38"/>
      <c r="AB1690" s="38"/>
      <c r="AD1690" s="2"/>
      <c r="AE1690" s="2"/>
      <c r="AF1690" s="2"/>
      <c r="AG1690" s="2"/>
      <c r="AH1690" s="2"/>
      <c r="AJ1690" s="215"/>
      <c r="AK1690" s="215"/>
      <c r="AL1690" s="215"/>
      <c r="AM1690" s="215"/>
      <c r="AO1690" s="10"/>
      <c r="AP1690" s="10"/>
      <c r="AQ1690" s="10"/>
      <c r="AR1690" s="10"/>
      <c r="AS1690" s="10"/>
      <c r="AU1690" s="2"/>
      <c r="AV1690" s="2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</row>
    <row r="1691" spans="1:73" customFormat="1" ht="12.75" hidden="1" customHeight="1" x14ac:dyDescent="0.2">
      <c r="A1691" s="1"/>
      <c r="B1691" s="1"/>
      <c r="C1691" s="1"/>
      <c r="D1691" s="7"/>
      <c r="E1691" s="7"/>
      <c r="F1691" s="6"/>
      <c r="G1691" s="7"/>
      <c r="H1691" s="2"/>
      <c r="I1691" s="2"/>
      <c r="J1691" s="2"/>
      <c r="K1691" s="2"/>
      <c r="L1691" s="178"/>
      <c r="M1691" s="2"/>
      <c r="N1691" s="7"/>
      <c r="P1691" s="7"/>
      <c r="R1691" s="2"/>
      <c r="S1691" s="2"/>
      <c r="T1691" s="2"/>
      <c r="U1691" s="2"/>
      <c r="V1691" s="2"/>
      <c r="X1691" s="38"/>
      <c r="Y1691" s="38"/>
      <c r="Z1691" s="38"/>
      <c r="AA1691" s="38"/>
      <c r="AB1691" s="38"/>
      <c r="AD1691" s="2"/>
      <c r="AE1691" s="2"/>
      <c r="AF1691" s="2"/>
      <c r="AG1691" s="2"/>
      <c r="AH1691" s="2"/>
      <c r="AJ1691" s="215"/>
      <c r="AK1691" s="215"/>
      <c r="AL1691" s="215"/>
      <c r="AM1691" s="215"/>
      <c r="AO1691" s="10"/>
      <c r="AP1691" s="10"/>
      <c r="AQ1691" s="10"/>
      <c r="AR1691" s="10"/>
      <c r="AS1691" s="10"/>
      <c r="AU1691" s="2"/>
      <c r="AV1691" s="2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</row>
    <row r="1692" spans="1:73" customFormat="1" ht="12.75" hidden="1" customHeight="1" x14ac:dyDescent="0.2">
      <c r="A1692" s="1"/>
      <c r="B1692" s="1"/>
      <c r="C1692" s="1"/>
      <c r="D1692" s="7"/>
      <c r="E1692" s="7"/>
      <c r="F1692" s="6"/>
      <c r="G1692" s="7"/>
      <c r="H1692" s="2"/>
      <c r="I1692" s="2"/>
      <c r="J1692" s="2"/>
      <c r="K1692" s="2"/>
      <c r="L1692" s="178"/>
      <c r="M1692" s="2"/>
      <c r="N1692" s="7"/>
      <c r="P1692" s="7"/>
      <c r="R1692" s="2"/>
      <c r="S1692" s="2"/>
      <c r="T1692" s="2"/>
      <c r="U1692" s="2"/>
      <c r="V1692" s="2"/>
      <c r="X1692" s="38"/>
      <c r="Y1692" s="38"/>
      <c r="Z1692" s="38"/>
      <c r="AA1692" s="38"/>
      <c r="AB1692" s="38"/>
      <c r="AD1692" s="2"/>
      <c r="AE1692" s="2"/>
      <c r="AF1692" s="2"/>
      <c r="AG1692" s="2"/>
      <c r="AH1692" s="2"/>
      <c r="AJ1692" s="215"/>
      <c r="AK1692" s="215"/>
      <c r="AL1692" s="215"/>
      <c r="AM1692" s="215"/>
      <c r="AO1692" s="10"/>
      <c r="AP1692" s="10"/>
      <c r="AQ1692" s="10"/>
      <c r="AR1692" s="10"/>
      <c r="AS1692" s="10"/>
      <c r="AU1692" s="2"/>
      <c r="AV1692" s="2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</row>
    <row r="1693" spans="1:73" customFormat="1" ht="12.75" hidden="1" customHeight="1" x14ac:dyDescent="0.2">
      <c r="A1693" s="1"/>
      <c r="B1693" s="1"/>
      <c r="C1693" s="1"/>
      <c r="D1693" s="7"/>
      <c r="E1693" s="7"/>
      <c r="F1693" s="6"/>
      <c r="G1693" s="7"/>
      <c r="H1693" s="2"/>
      <c r="I1693" s="2"/>
      <c r="J1693" s="2"/>
      <c r="K1693" s="2"/>
      <c r="L1693" s="178"/>
      <c r="M1693" s="2"/>
      <c r="N1693" s="7"/>
      <c r="P1693" s="7"/>
      <c r="R1693" s="2"/>
      <c r="S1693" s="2"/>
      <c r="T1693" s="2"/>
      <c r="U1693" s="2"/>
      <c r="V1693" s="2"/>
      <c r="X1693" s="38"/>
      <c r="Y1693" s="38"/>
      <c r="Z1693" s="38"/>
      <c r="AA1693" s="38"/>
      <c r="AB1693" s="38"/>
      <c r="AD1693" s="2"/>
      <c r="AE1693" s="2"/>
      <c r="AF1693" s="2"/>
      <c r="AG1693" s="2"/>
      <c r="AH1693" s="2"/>
      <c r="AJ1693" s="215"/>
      <c r="AK1693" s="215"/>
      <c r="AL1693" s="215"/>
      <c r="AM1693" s="215"/>
      <c r="AO1693" s="10"/>
      <c r="AP1693" s="10"/>
      <c r="AQ1693" s="10"/>
      <c r="AR1693" s="10"/>
      <c r="AS1693" s="10"/>
      <c r="AU1693" s="2"/>
      <c r="AV1693" s="2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</row>
    <row r="1694" spans="1:73" customFormat="1" ht="12.75" hidden="1" customHeight="1" x14ac:dyDescent="0.2">
      <c r="A1694" s="1"/>
      <c r="B1694" s="1"/>
      <c r="C1694" s="1"/>
      <c r="D1694" s="7"/>
      <c r="E1694" s="7"/>
      <c r="F1694" s="6"/>
      <c r="G1694" s="7"/>
      <c r="H1694" s="2"/>
      <c r="I1694" s="2"/>
      <c r="J1694" s="2"/>
      <c r="K1694" s="2"/>
      <c r="L1694" s="178"/>
      <c r="M1694" s="2"/>
      <c r="N1694" s="7"/>
      <c r="P1694" s="7"/>
      <c r="R1694" s="2"/>
      <c r="S1694" s="2"/>
      <c r="T1694" s="2"/>
      <c r="U1694" s="2"/>
      <c r="V1694" s="2"/>
      <c r="X1694" s="38"/>
      <c r="Y1694" s="38"/>
      <c r="Z1694" s="38"/>
      <c r="AA1694" s="38"/>
      <c r="AB1694" s="38"/>
      <c r="AD1694" s="2"/>
      <c r="AE1694" s="2"/>
      <c r="AF1694" s="2"/>
      <c r="AG1694" s="2"/>
      <c r="AH1694" s="2"/>
      <c r="AJ1694" s="215"/>
      <c r="AK1694" s="215"/>
      <c r="AL1694" s="215"/>
      <c r="AM1694" s="215"/>
      <c r="AO1694" s="10"/>
      <c r="AP1694" s="10"/>
      <c r="AQ1694" s="10"/>
      <c r="AR1694" s="10"/>
      <c r="AS1694" s="10"/>
      <c r="AU1694" s="2"/>
      <c r="AV1694" s="2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</row>
    <row r="1695" spans="1:73" customFormat="1" ht="12.75" hidden="1" customHeight="1" x14ac:dyDescent="0.2">
      <c r="A1695" s="1"/>
      <c r="B1695" s="1"/>
      <c r="C1695" s="1"/>
      <c r="D1695" s="7"/>
      <c r="E1695" s="7"/>
      <c r="F1695" s="6"/>
      <c r="G1695" s="7"/>
      <c r="H1695" s="2"/>
      <c r="I1695" s="2"/>
      <c r="J1695" s="2"/>
      <c r="K1695" s="2"/>
      <c r="L1695" s="178"/>
      <c r="M1695" s="2"/>
      <c r="N1695" s="7"/>
      <c r="P1695" s="7"/>
      <c r="R1695" s="2"/>
      <c r="S1695" s="2"/>
      <c r="T1695" s="2"/>
      <c r="U1695" s="2"/>
      <c r="V1695" s="2"/>
      <c r="X1695" s="38"/>
      <c r="Y1695" s="38"/>
      <c r="Z1695" s="38"/>
      <c r="AA1695" s="38"/>
      <c r="AB1695" s="38"/>
      <c r="AD1695" s="2"/>
      <c r="AE1695" s="2"/>
      <c r="AF1695" s="2"/>
      <c r="AG1695" s="2"/>
      <c r="AH1695" s="2"/>
      <c r="AJ1695" s="215"/>
      <c r="AK1695" s="215"/>
      <c r="AL1695" s="215"/>
      <c r="AM1695" s="215"/>
      <c r="AO1695" s="10"/>
      <c r="AP1695" s="10"/>
      <c r="AQ1695" s="10"/>
      <c r="AR1695" s="10"/>
      <c r="AS1695" s="10"/>
      <c r="AU1695" s="2"/>
      <c r="AV1695" s="2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</row>
    <row r="1696" spans="1:73" customFormat="1" ht="12.75" hidden="1" customHeight="1" x14ac:dyDescent="0.2">
      <c r="A1696" s="1"/>
      <c r="B1696" s="1"/>
      <c r="C1696" s="1"/>
      <c r="D1696" s="7"/>
      <c r="E1696" s="7"/>
      <c r="F1696" s="6"/>
      <c r="G1696" s="7"/>
      <c r="H1696" s="2"/>
      <c r="I1696" s="2"/>
      <c r="J1696" s="2"/>
      <c r="K1696" s="2"/>
      <c r="L1696" s="178"/>
      <c r="M1696" s="2"/>
      <c r="N1696" s="7"/>
      <c r="P1696" s="7"/>
      <c r="R1696" s="2"/>
      <c r="S1696" s="2"/>
      <c r="T1696" s="2"/>
      <c r="U1696" s="2"/>
      <c r="V1696" s="2"/>
      <c r="X1696" s="38"/>
      <c r="Y1696" s="38"/>
      <c r="Z1696" s="38"/>
      <c r="AA1696" s="38"/>
      <c r="AB1696" s="38"/>
      <c r="AD1696" s="2"/>
      <c r="AE1696" s="2"/>
      <c r="AF1696" s="2"/>
      <c r="AG1696" s="2"/>
      <c r="AH1696" s="2"/>
      <c r="AJ1696" s="215"/>
      <c r="AK1696" s="215"/>
      <c r="AL1696" s="215"/>
      <c r="AM1696" s="215"/>
      <c r="AO1696" s="10"/>
      <c r="AP1696" s="10"/>
      <c r="AQ1696" s="10"/>
      <c r="AR1696" s="10"/>
      <c r="AS1696" s="10"/>
      <c r="AU1696" s="2"/>
      <c r="AV1696" s="2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</row>
    <row r="1697" spans="1:73" customFormat="1" ht="12.75" hidden="1" customHeight="1" x14ac:dyDescent="0.2">
      <c r="A1697" s="1"/>
      <c r="B1697" s="1"/>
      <c r="C1697" s="1"/>
      <c r="D1697" s="7"/>
      <c r="E1697" s="7"/>
      <c r="F1697" s="6"/>
      <c r="G1697" s="7"/>
      <c r="H1697" s="2"/>
      <c r="I1697" s="2"/>
      <c r="J1697" s="2"/>
      <c r="K1697" s="2"/>
      <c r="L1697" s="178"/>
      <c r="M1697" s="2"/>
      <c r="N1697" s="7"/>
      <c r="P1697" s="7"/>
      <c r="R1697" s="2"/>
      <c r="S1697" s="2"/>
      <c r="T1697" s="2"/>
      <c r="U1697" s="2"/>
      <c r="V1697" s="2"/>
      <c r="X1697" s="38"/>
      <c r="Y1697" s="38"/>
      <c r="Z1697" s="38"/>
      <c r="AA1697" s="38"/>
      <c r="AB1697" s="38"/>
      <c r="AD1697" s="2"/>
      <c r="AE1697" s="2"/>
      <c r="AF1697" s="2"/>
      <c r="AG1697" s="2"/>
      <c r="AH1697" s="2"/>
      <c r="AJ1697" s="215"/>
      <c r="AK1697" s="215"/>
      <c r="AL1697" s="215"/>
      <c r="AM1697" s="215"/>
      <c r="AO1697" s="10"/>
      <c r="AP1697" s="10"/>
      <c r="AQ1697" s="10"/>
      <c r="AR1697" s="10"/>
      <c r="AS1697" s="10"/>
      <c r="AU1697" s="2"/>
      <c r="AV1697" s="2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</row>
    <row r="1698" spans="1:73" customFormat="1" ht="12.75" hidden="1" customHeight="1" x14ac:dyDescent="0.2">
      <c r="A1698" s="1"/>
      <c r="B1698" s="1"/>
      <c r="C1698" s="1"/>
      <c r="D1698" s="7"/>
      <c r="E1698" s="7"/>
      <c r="F1698" s="6"/>
      <c r="G1698" s="7"/>
      <c r="H1698" s="2"/>
      <c r="I1698" s="2"/>
      <c r="J1698" s="2"/>
      <c r="K1698" s="2"/>
      <c r="L1698" s="178"/>
      <c r="M1698" s="2"/>
      <c r="N1698" s="7"/>
      <c r="P1698" s="7"/>
      <c r="R1698" s="2"/>
      <c r="S1698" s="2"/>
      <c r="T1698" s="2"/>
      <c r="U1698" s="2"/>
      <c r="V1698" s="2"/>
      <c r="X1698" s="38"/>
      <c r="Y1698" s="38"/>
      <c r="Z1698" s="38"/>
      <c r="AA1698" s="38"/>
      <c r="AB1698" s="38"/>
      <c r="AD1698" s="2"/>
      <c r="AE1698" s="2"/>
      <c r="AF1698" s="2"/>
      <c r="AG1698" s="2"/>
      <c r="AH1698" s="2"/>
      <c r="AJ1698" s="215"/>
      <c r="AK1698" s="215"/>
      <c r="AL1698" s="215"/>
      <c r="AM1698" s="215"/>
      <c r="AO1698" s="10"/>
      <c r="AP1698" s="10"/>
      <c r="AQ1698" s="10"/>
      <c r="AR1698" s="10"/>
      <c r="AS1698" s="10"/>
      <c r="AU1698" s="2"/>
      <c r="AV1698" s="2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</row>
    <row r="1699" spans="1:73" customFormat="1" ht="12.75" hidden="1" customHeight="1" x14ac:dyDescent="0.2">
      <c r="A1699" s="1"/>
      <c r="B1699" s="1"/>
      <c r="C1699" s="1"/>
      <c r="D1699" s="7"/>
      <c r="E1699" s="7"/>
      <c r="F1699" s="6"/>
      <c r="G1699" s="7"/>
      <c r="H1699" s="2"/>
      <c r="I1699" s="2"/>
      <c r="J1699" s="2"/>
      <c r="K1699" s="2"/>
      <c r="L1699" s="178"/>
      <c r="M1699" s="2"/>
      <c r="N1699" s="7"/>
      <c r="P1699" s="7"/>
      <c r="R1699" s="2"/>
      <c r="S1699" s="2"/>
      <c r="T1699" s="2"/>
      <c r="U1699" s="2"/>
      <c r="V1699" s="2"/>
      <c r="X1699" s="38"/>
      <c r="Y1699" s="38"/>
      <c r="Z1699" s="38"/>
      <c r="AA1699" s="38"/>
      <c r="AB1699" s="38"/>
      <c r="AD1699" s="2"/>
      <c r="AE1699" s="2"/>
      <c r="AF1699" s="2"/>
      <c r="AG1699" s="2"/>
      <c r="AH1699" s="2"/>
      <c r="AJ1699" s="215"/>
      <c r="AK1699" s="215"/>
      <c r="AL1699" s="215"/>
      <c r="AM1699" s="215"/>
      <c r="AO1699" s="10"/>
      <c r="AP1699" s="10"/>
      <c r="AQ1699" s="10"/>
      <c r="AR1699" s="10"/>
      <c r="AS1699" s="10"/>
      <c r="AU1699" s="2"/>
      <c r="AV1699" s="2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</row>
    <row r="1700" spans="1:73" customFormat="1" ht="12.75" hidden="1" customHeight="1" x14ac:dyDescent="0.2">
      <c r="A1700" s="1"/>
      <c r="B1700" s="1"/>
      <c r="C1700" s="1"/>
      <c r="D1700" s="7"/>
      <c r="E1700" s="7"/>
      <c r="F1700" s="6"/>
      <c r="G1700" s="7"/>
      <c r="H1700" s="2"/>
      <c r="I1700" s="2"/>
      <c r="J1700" s="2"/>
      <c r="K1700" s="2"/>
      <c r="L1700" s="178"/>
      <c r="M1700" s="2"/>
      <c r="N1700" s="7"/>
      <c r="P1700" s="7"/>
      <c r="R1700" s="2"/>
      <c r="S1700" s="2"/>
      <c r="T1700" s="2"/>
      <c r="U1700" s="2"/>
      <c r="V1700" s="2"/>
      <c r="X1700" s="38"/>
      <c r="Y1700" s="38"/>
      <c r="Z1700" s="38"/>
      <c r="AA1700" s="38"/>
      <c r="AB1700" s="38"/>
      <c r="AD1700" s="2"/>
      <c r="AE1700" s="2"/>
      <c r="AF1700" s="2"/>
      <c r="AG1700" s="2"/>
      <c r="AH1700" s="2"/>
      <c r="AJ1700" s="215"/>
      <c r="AK1700" s="215"/>
      <c r="AL1700" s="215"/>
      <c r="AM1700" s="215"/>
      <c r="AO1700" s="10"/>
      <c r="AP1700" s="10"/>
      <c r="AQ1700" s="10"/>
      <c r="AR1700" s="10"/>
      <c r="AS1700" s="10"/>
      <c r="AU1700" s="2"/>
      <c r="AV1700" s="2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</row>
    <row r="1701" spans="1:73" customFormat="1" ht="12.75" hidden="1" customHeight="1" x14ac:dyDescent="0.2">
      <c r="A1701" s="1"/>
      <c r="B1701" s="1"/>
      <c r="C1701" s="1"/>
      <c r="D1701" s="7"/>
      <c r="E1701" s="7"/>
      <c r="F1701" s="6"/>
      <c r="G1701" s="7"/>
      <c r="H1701" s="2"/>
      <c r="I1701" s="2"/>
      <c r="J1701" s="2"/>
      <c r="K1701" s="2"/>
      <c r="L1701" s="178"/>
      <c r="M1701" s="2"/>
      <c r="N1701" s="7"/>
      <c r="P1701" s="7"/>
      <c r="R1701" s="2"/>
      <c r="S1701" s="2"/>
      <c r="T1701" s="2"/>
      <c r="U1701" s="2"/>
      <c r="V1701" s="2"/>
      <c r="X1701" s="38"/>
      <c r="Y1701" s="38"/>
      <c r="Z1701" s="38"/>
      <c r="AA1701" s="38"/>
      <c r="AB1701" s="38"/>
      <c r="AD1701" s="2"/>
      <c r="AE1701" s="2"/>
      <c r="AF1701" s="2"/>
      <c r="AG1701" s="2"/>
      <c r="AH1701" s="2"/>
      <c r="AJ1701" s="215"/>
      <c r="AK1701" s="215"/>
      <c r="AL1701" s="215"/>
      <c r="AM1701" s="215"/>
      <c r="AO1701" s="10"/>
      <c r="AP1701" s="10"/>
      <c r="AQ1701" s="10"/>
      <c r="AR1701" s="10"/>
      <c r="AS1701" s="10"/>
      <c r="AU1701" s="2"/>
      <c r="AV1701" s="2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</row>
    <row r="1702" spans="1:73" customFormat="1" ht="12.75" hidden="1" customHeight="1" x14ac:dyDescent="0.2">
      <c r="A1702" s="1"/>
      <c r="B1702" s="1"/>
      <c r="C1702" s="1"/>
      <c r="D1702" s="7"/>
      <c r="E1702" s="7"/>
      <c r="F1702" s="6"/>
      <c r="G1702" s="7"/>
      <c r="H1702" s="2"/>
      <c r="I1702" s="2"/>
      <c r="J1702" s="2"/>
      <c r="K1702" s="2"/>
      <c r="L1702" s="178"/>
      <c r="M1702" s="2"/>
      <c r="N1702" s="7"/>
      <c r="P1702" s="7"/>
      <c r="R1702" s="2"/>
      <c r="S1702" s="2"/>
      <c r="T1702" s="2"/>
      <c r="U1702" s="2"/>
      <c r="V1702" s="2"/>
      <c r="X1702" s="38"/>
      <c r="Y1702" s="38"/>
      <c r="Z1702" s="38"/>
      <c r="AA1702" s="38"/>
      <c r="AB1702" s="38"/>
      <c r="AD1702" s="2"/>
      <c r="AE1702" s="2"/>
      <c r="AF1702" s="2"/>
      <c r="AG1702" s="2"/>
      <c r="AH1702" s="2"/>
      <c r="AJ1702" s="215"/>
      <c r="AK1702" s="215"/>
      <c r="AL1702" s="215"/>
      <c r="AM1702" s="215"/>
      <c r="AO1702" s="10"/>
      <c r="AP1702" s="10"/>
      <c r="AQ1702" s="10"/>
      <c r="AR1702" s="10"/>
      <c r="AS1702" s="10"/>
      <c r="AU1702" s="2"/>
      <c r="AV1702" s="2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</row>
    <row r="1703" spans="1:73" customFormat="1" ht="12.75" hidden="1" customHeight="1" x14ac:dyDescent="0.2">
      <c r="A1703" s="1"/>
      <c r="B1703" s="1"/>
      <c r="C1703" s="1"/>
      <c r="D1703" s="7"/>
      <c r="E1703" s="7"/>
      <c r="F1703" s="6"/>
      <c r="G1703" s="7"/>
      <c r="H1703" s="2"/>
      <c r="I1703" s="2"/>
      <c r="J1703" s="2"/>
      <c r="K1703" s="2"/>
      <c r="L1703" s="178"/>
      <c r="M1703" s="2"/>
      <c r="N1703" s="7"/>
      <c r="P1703" s="7"/>
      <c r="R1703" s="2"/>
      <c r="S1703" s="2"/>
      <c r="T1703" s="2"/>
      <c r="U1703" s="2"/>
      <c r="V1703" s="2"/>
      <c r="X1703" s="38"/>
      <c r="Y1703" s="38"/>
      <c r="Z1703" s="38"/>
      <c r="AA1703" s="38"/>
      <c r="AB1703" s="38"/>
      <c r="AD1703" s="2"/>
      <c r="AE1703" s="2"/>
      <c r="AF1703" s="2"/>
      <c r="AG1703" s="2"/>
      <c r="AH1703" s="2"/>
      <c r="AJ1703" s="215"/>
      <c r="AK1703" s="215"/>
      <c r="AL1703" s="215"/>
      <c r="AM1703" s="215"/>
      <c r="AO1703" s="10"/>
      <c r="AP1703" s="10"/>
      <c r="AQ1703" s="10"/>
      <c r="AR1703" s="10"/>
      <c r="AS1703" s="10"/>
      <c r="AU1703" s="2"/>
      <c r="AV1703" s="2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</row>
    <row r="1704" spans="1:73" customFormat="1" ht="12.75" hidden="1" customHeight="1" x14ac:dyDescent="0.2">
      <c r="A1704" s="1"/>
      <c r="B1704" s="1"/>
      <c r="C1704" s="1"/>
      <c r="D1704" s="7"/>
      <c r="E1704" s="7"/>
      <c r="F1704" s="6"/>
      <c r="G1704" s="7"/>
      <c r="H1704" s="2"/>
      <c r="I1704" s="2"/>
      <c r="J1704" s="2"/>
      <c r="K1704" s="2"/>
      <c r="L1704" s="178"/>
      <c r="M1704" s="2"/>
      <c r="N1704" s="7"/>
      <c r="P1704" s="7"/>
      <c r="R1704" s="2"/>
      <c r="S1704" s="2"/>
      <c r="T1704" s="2"/>
      <c r="U1704" s="2"/>
      <c r="V1704" s="2"/>
      <c r="X1704" s="38"/>
      <c r="Y1704" s="38"/>
      <c r="Z1704" s="38"/>
      <c r="AA1704" s="38"/>
      <c r="AB1704" s="38"/>
      <c r="AD1704" s="2"/>
      <c r="AE1704" s="2"/>
      <c r="AF1704" s="2"/>
      <c r="AG1704" s="2"/>
      <c r="AH1704" s="2"/>
      <c r="AJ1704" s="215"/>
      <c r="AK1704" s="215"/>
      <c r="AL1704" s="215"/>
      <c r="AM1704" s="215"/>
      <c r="AO1704" s="10"/>
      <c r="AP1704" s="10"/>
      <c r="AQ1704" s="10"/>
      <c r="AR1704" s="10"/>
      <c r="AS1704" s="10"/>
      <c r="AU1704" s="2"/>
      <c r="AV1704" s="2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</row>
    <row r="1705" spans="1:73" customFormat="1" ht="12.75" hidden="1" customHeight="1" x14ac:dyDescent="0.2">
      <c r="A1705" s="1"/>
      <c r="B1705" s="1"/>
      <c r="C1705" s="1"/>
      <c r="D1705" s="7"/>
      <c r="E1705" s="7"/>
      <c r="F1705" s="6"/>
      <c r="G1705" s="7"/>
      <c r="H1705" s="2"/>
      <c r="I1705" s="2"/>
      <c r="J1705" s="2"/>
      <c r="K1705" s="2"/>
      <c r="L1705" s="178"/>
      <c r="M1705" s="2"/>
      <c r="N1705" s="7"/>
      <c r="P1705" s="7"/>
      <c r="R1705" s="2"/>
      <c r="S1705" s="2"/>
      <c r="T1705" s="2"/>
      <c r="U1705" s="2"/>
      <c r="V1705" s="2"/>
      <c r="X1705" s="38"/>
      <c r="Y1705" s="38"/>
      <c r="Z1705" s="38"/>
      <c r="AA1705" s="38"/>
      <c r="AB1705" s="38"/>
      <c r="AD1705" s="2"/>
      <c r="AE1705" s="2"/>
      <c r="AF1705" s="2"/>
      <c r="AG1705" s="2"/>
      <c r="AH1705" s="2"/>
      <c r="AJ1705" s="215"/>
      <c r="AK1705" s="215"/>
      <c r="AL1705" s="215"/>
      <c r="AM1705" s="215"/>
      <c r="AO1705" s="10"/>
      <c r="AP1705" s="10"/>
      <c r="AQ1705" s="10"/>
      <c r="AR1705" s="10"/>
      <c r="AS1705" s="10"/>
      <c r="AU1705" s="2"/>
      <c r="AV1705" s="2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</row>
    <row r="1706" spans="1:73" customFormat="1" ht="12.75" hidden="1" customHeight="1" x14ac:dyDescent="0.2">
      <c r="A1706" s="1"/>
      <c r="B1706" s="1"/>
      <c r="C1706" s="1"/>
      <c r="D1706" s="7"/>
      <c r="E1706" s="7"/>
      <c r="F1706" s="6"/>
      <c r="G1706" s="7"/>
      <c r="H1706" s="2"/>
      <c r="I1706" s="2"/>
      <c r="J1706" s="2"/>
      <c r="K1706" s="2"/>
      <c r="L1706" s="178"/>
      <c r="M1706" s="2"/>
      <c r="N1706" s="7"/>
      <c r="P1706" s="7"/>
      <c r="R1706" s="2"/>
      <c r="S1706" s="2"/>
      <c r="T1706" s="2"/>
      <c r="U1706" s="2"/>
      <c r="V1706" s="2"/>
      <c r="X1706" s="38"/>
      <c r="Y1706" s="38"/>
      <c r="Z1706" s="38"/>
      <c r="AA1706" s="38"/>
      <c r="AB1706" s="38"/>
      <c r="AD1706" s="2"/>
      <c r="AE1706" s="2"/>
      <c r="AF1706" s="2"/>
      <c r="AG1706" s="2"/>
      <c r="AH1706" s="2"/>
      <c r="AJ1706" s="215"/>
      <c r="AK1706" s="215"/>
      <c r="AL1706" s="215"/>
      <c r="AM1706" s="215"/>
      <c r="AO1706" s="10"/>
      <c r="AP1706" s="10"/>
      <c r="AQ1706" s="10"/>
      <c r="AR1706" s="10"/>
      <c r="AS1706" s="10"/>
      <c r="AU1706" s="2"/>
      <c r="AV1706" s="2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</row>
    <row r="1707" spans="1:73" customFormat="1" ht="12.75" hidden="1" customHeight="1" x14ac:dyDescent="0.2">
      <c r="A1707" s="1"/>
      <c r="B1707" s="1"/>
      <c r="C1707" s="1"/>
      <c r="D1707" s="7"/>
      <c r="E1707" s="7"/>
      <c r="F1707" s="6"/>
      <c r="G1707" s="7"/>
      <c r="H1707" s="2"/>
      <c r="I1707" s="2"/>
      <c r="J1707" s="2"/>
      <c r="K1707" s="2"/>
      <c r="L1707" s="178"/>
      <c r="M1707" s="2"/>
      <c r="N1707" s="7"/>
      <c r="P1707" s="7"/>
      <c r="R1707" s="2"/>
      <c r="S1707" s="2"/>
      <c r="T1707" s="2"/>
      <c r="U1707" s="2"/>
      <c r="V1707" s="2"/>
      <c r="X1707" s="38"/>
      <c r="Y1707" s="38"/>
      <c r="Z1707" s="38"/>
      <c r="AA1707" s="38"/>
      <c r="AB1707" s="38"/>
      <c r="AD1707" s="2"/>
      <c r="AE1707" s="2"/>
      <c r="AF1707" s="2"/>
      <c r="AG1707" s="2"/>
      <c r="AH1707" s="2"/>
      <c r="AJ1707" s="215"/>
      <c r="AK1707" s="215"/>
      <c r="AL1707" s="215"/>
      <c r="AM1707" s="215"/>
      <c r="AO1707" s="10"/>
      <c r="AP1707" s="10"/>
      <c r="AQ1707" s="10"/>
      <c r="AR1707" s="10"/>
      <c r="AS1707" s="10"/>
      <c r="AU1707" s="2"/>
      <c r="AV1707" s="2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</row>
    <row r="1708" spans="1:73" customFormat="1" ht="12.75" hidden="1" customHeight="1" x14ac:dyDescent="0.2">
      <c r="A1708" s="1"/>
      <c r="B1708" s="1"/>
      <c r="C1708" s="1"/>
      <c r="D1708" s="7"/>
      <c r="E1708" s="7"/>
      <c r="F1708" s="6"/>
      <c r="G1708" s="7"/>
      <c r="H1708" s="2"/>
      <c r="I1708" s="2"/>
      <c r="J1708" s="2"/>
      <c r="K1708" s="2"/>
      <c r="L1708" s="178"/>
      <c r="M1708" s="2"/>
      <c r="N1708" s="7"/>
      <c r="P1708" s="7"/>
      <c r="R1708" s="2"/>
      <c r="S1708" s="2"/>
      <c r="T1708" s="2"/>
      <c r="U1708" s="2"/>
      <c r="V1708" s="2"/>
      <c r="X1708" s="38"/>
      <c r="Y1708" s="38"/>
      <c r="Z1708" s="38"/>
      <c r="AA1708" s="38"/>
      <c r="AB1708" s="38"/>
      <c r="AD1708" s="2"/>
      <c r="AE1708" s="2"/>
      <c r="AF1708" s="2"/>
      <c r="AG1708" s="2"/>
      <c r="AH1708" s="2"/>
      <c r="AJ1708" s="215"/>
      <c r="AK1708" s="215"/>
      <c r="AL1708" s="215"/>
      <c r="AM1708" s="215"/>
      <c r="AO1708" s="10"/>
      <c r="AP1708" s="10"/>
      <c r="AQ1708" s="10"/>
      <c r="AR1708" s="10"/>
      <c r="AS1708" s="10"/>
      <c r="AU1708" s="2"/>
      <c r="AV1708" s="2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</row>
    <row r="1709" spans="1:73" customFormat="1" ht="12.75" hidden="1" customHeight="1" x14ac:dyDescent="0.2">
      <c r="A1709" s="1"/>
      <c r="B1709" s="1"/>
      <c r="C1709" s="1"/>
      <c r="D1709" s="7"/>
      <c r="E1709" s="7"/>
      <c r="F1709" s="6"/>
      <c r="G1709" s="7"/>
      <c r="H1709" s="2"/>
      <c r="I1709" s="2"/>
      <c r="J1709" s="2"/>
      <c r="K1709" s="2"/>
      <c r="L1709" s="178"/>
      <c r="M1709" s="2"/>
      <c r="N1709" s="7"/>
      <c r="P1709" s="7"/>
      <c r="R1709" s="2"/>
      <c r="S1709" s="2"/>
      <c r="T1709" s="2"/>
      <c r="U1709" s="2"/>
      <c r="V1709" s="2"/>
      <c r="X1709" s="38"/>
      <c r="Y1709" s="38"/>
      <c r="Z1709" s="38"/>
      <c r="AA1709" s="38"/>
      <c r="AB1709" s="38"/>
      <c r="AD1709" s="2"/>
      <c r="AE1709" s="2"/>
      <c r="AF1709" s="2"/>
      <c r="AG1709" s="2"/>
      <c r="AH1709" s="2"/>
      <c r="AJ1709" s="215"/>
      <c r="AK1709" s="215"/>
      <c r="AL1709" s="215"/>
      <c r="AM1709" s="215"/>
      <c r="AO1709" s="10"/>
      <c r="AP1709" s="10"/>
      <c r="AQ1709" s="10"/>
      <c r="AR1709" s="10"/>
      <c r="AS1709" s="10"/>
      <c r="AU1709" s="2"/>
      <c r="AV1709" s="2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</row>
    <row r="1710" spans="1:73" customFormat="1" ht="12.75" hidden="1" customHeight="1" x14ac:dyDescent="0.2">
      <c r="A1710" s="1"/>
      <c r="B1710" s="1"/>
      <c r="C1710" s="1"/>
      <c r="D1710" s="7"/>
      <c r="E1710" s="7"/>
      <c r="F1710" s="6"/>
      <c r="G1710" s="7"/>
      <c r="H1710" s="2"/>
      <c r="I1710" s="2"/>
      <c r="J1710" s="2"/>
      <c r="K1710" s="2"/>
      <c r="L1710" s="178"/>
      <c r="M1710" s="2"/>
      <c r="N1710" s="7"/>
      <c r="P1710" s="7"/>
      <c r="R1710" s="2"/>
      <c r="S1710" s="2"/>
      <c r="T1710" s="2"/>
      <c r="U1710" s="2"/>
      <c r="V1710" s="2"/>
      <c r="X1710" s="38"/>
      <c r="Y1710" s="38"/>
      <c r="Z1710" s="38"/>
      <c r="AA1710" s="38"/>
      <c r="AB1710" s="38"/>
      <c r="AD1710" s="2"/>
      <c r="AE1710" s="2"/>
      <c r="AF1710" s="2"/>
      <c r="AG1710" s="2"/>
      <c r="AH1710" s="2"/>
      <c r="AJ1710" s="215"/>
      <c r="AK1710" s="215"/>
      <c r="AL1710" s="215"/>
      <c r="AM1710" s="215"/>
      <c r="AO1710" s="10"/>
      <c r="AP1710" s="10"/>
      <c r="AQ1710" s="10"/>
      <c r="AR1710" s="10"/>
      <c r="AS1710" s="10"/>
      <c r="AU1710" s="2"/>
      <c r="AV1710" s="2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</row>
    <row r="1711" spans="1:73" customFormat="1" ht="12.75" hidden="1" customHeight="1" x14ac:dyDescent="0.2">
      <c r="A1711" s="1"/>
      <c r="B1711" s="1"/>
      <c r="C1711" s="1"/>
      <c r="D1711" s="7"/>
      <c r="E1711" s="7"/>
      <c r="F1711" s="6"/>
      <c r="G1711" s="7"/>
      <c r="H1711" s="2"/>
      <c r="I1711" s="2"/>
      <c r="J1711" s="2"/>
      <c r="K1711" s="2"/>
      <c r="L1711" s="178"/>
      <c r="M1711" s="2"/>
      <c r="N1711" s="7"/>
      <c r="P1711" s="7"/>
      <c r="R1711" s="2"/>
      <c r="S1711" s="2"/>
      <c r="T1711" s="2"/>
      <c r="U1711" s="2"/>
      <c r="V1711" s="2"/>
      <c r="X1711" s="38"/>
      <c r="Y1711" s="38"/>
      <c r="Z1711" s="38"/>
      <c r="AA1711" s="38"/>
      <c r="AB1711" s="38"/>
      <c r="AD1711" s="2"/>
      <c r="AE1711" s="2"/>
      <c r="AF1711" s="2"/>
      <c r="AG1711" s="2"/>
      <c r="AH1711" s="2"/>
      <c r="AJ1711" s="215"/>
      <c r="AK1711" s="215"/>
      <c r="AL1711" s="215"/>
      <c r="AM1711" s="215"/>
      <c r="AO1711" s="10"/>
      <c r="AP1711" s="10"/>
      <c r="AQ1711" s="10"/>
      <c r="AR1711" s="10"/>
      <c r="AS1711" s="10"/>
      <c r="AU1711" s="2"/>
      <c r="AV1711" s="2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</row>
    <row r="1712" spans="1:73" customFormat="1" ht="12.75" hidden="1" customHeight="1" x14ac:dyDescent="0.2">
      <c r="A1712" s="1"/>
      <c r="B1712" s="1"/>
      <c r="C1712" s="1"/>
      <c r="D1712" s="7"/>
      <c r="E1712" s="7"/>
      <c r="F1712" s="6"/>
      <c r="G1712" s="7"/>
      <c r="H1712" s="2"/>
      <c r="I1712" s="2"/>
      <c r="J1712" s="2"/>
      <c r="K1712" s="2"/>
      <c r="L1712" s="178"/>
      <c r="M1712" s="2"/>
      <c r="N1712" s="7"/>
      <c r="P1712" s="7"/>
      <c r="R1712" s="2"/>
      <c r="S1712" s="2"/>
      <c r="T1712" s="2"/>
      <c r="U1712" s="2"/>
      <c r="V1712" s="2"/>
      <c r="X1712" s="38"/>
      <c r="Y1712" s="38"/>
      <c r="Z1712" s="38"/>
      <c r="AA1712" s="38"/>
      <c r="AB1712" s="38"/>
      <c r="AD1712" s="2"/>
      <c r="AE1712" s="2"/>
      <c r="AF1712" s="2"/>
      <c r="AG1712" s="2"/>
      <c r="AH1712" s="2"/>
      <c r="AJ1712" s="215"/>
      <c r="AK1712" s="215"/>
      <c r="AL1712" s="215"/>
      <c r="AM1712" s="215"/>
      <c r="AO1712" s="10"/>
      <c r="AP1712" s="10"/>
      <c r="AQ1712" s="10"/>
      <c r="AR1712" s="10"/>
      <c r="AS1712" s="10"/>
      <c r="AU1712" s="2"/>
      <c r="AV1712" s="2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</row>
    <row r="1713" spans="1:73" customFormat="1" ht="12.75" hidden="1" customHeight="1" x14ac:dyDescent="0.2">
      <c r="A1713" s="1"/>
      <c r="B1713" s="1"/>
      <c r="C1713" s="1"/>
      <c r="D1713" s="7"/>
      <c r="E1713" s="7"/>
      <c r="F1713" s="6"/>
      <c r="G1713" s="7"/>
      <c r="H1713" s="2"/>
      <c r="I1713" s="2"/>
      <c r="J1713" s="2"/>
      <c r="K1713" s="2"/>
      <c r="L1713" s="178"/>
      <c r="M1713" s="2"/>
      <c r="N1713" s="7"/>
      <c r="P1713" s="7"/>
      <c r="R1713" s="2"/>
      <c r="S1713" s="2"/>
      <c r="T1713" s="2"/>
      <c r="U1713" s="2"/>
      <c r="V1713" s="2"/>
      <c r="X1713" s="38"/>
      <c r="Y1713" s="38"/>
      <c r="Z1713" s="38"/>
      <c r="AA1713" s="38"/>
      <c r="AB1713" s="38"/>
      <c r="AD1713" s="2"/>
      <c r="AE1713" s="2"/>
      <c r="AF1713" s="2"/>
      <c r="AG1713" s="2"/>
      <c r="AH1713" s="2"/>
      <c r="AJ1713" s="215"/>
      <c r="AK1713" s="215"/>
      <c r="AL1713" s="215"/>
      <c r="AM1713" s="215"/>
      <c r="AO1713" s="10"/>
      <c r="AP1713" s="10"/>
      <c r="AQ1713" s="10"/>
      <c r="AR1713" s="10"/>
      <c r="AS1713" s="10"/>
      <c r="AU1713" s="2"/>
      <c r="AV1713" s="2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</row>
    <row r="1714" spans="1:73" customFormat="1" ht="12.75" hidden="1" customHeight="1" x14ac:dyDescent="0.2">
      <c r="A1714" s="1"/>
      <c r="B1714" s="1"/>
      <c r="C1714" s="1"/>
      <c r="D1714" s="7"/>
      <c r="E1714" s="7"/>
      <c r="F1714" s="6"/>
      <c r="G1714" s="7"/>
      <c r="H1714" s="2"/>
      <c r="I1714" s="2"/>
      <c r="J1714" s="2"/>
      <c r="K1714" s="2"/>
      <c r="L1714" s="178"/>
      <c r="M1714" s="2"/>
      <c r="N1714" s="7"/>
      <c r="P1714" s="7"/>
      <c r="R1714" s="2"/>
      <c r="S1714" s="2"/>
      <c r="T1714" s="2"/>
      <c r="U1714" s="2"/>
      <c r="V1714" s="2"/>
      <c r="X1714" s="38"/>
      <c r="Y1714" s="38"/>
      <c r="Z1714" s="38"/>
      <c r="AA1714" s="38"/>
      <c r="AB1714" s="38"/>
      <c r="AD1714" s="2"/>
      <c r="AE1714" s="2"/>
      <c r="AF1714" s="2"/>
      <c r="AG1714" s="2"/>
      <c r="AH1714" s="2"/>
      <c r="AJ1714" s="215"/>
      <c r="AK1714" s="215"/>
      <c r="AL1714" s="215"/>
      <c r="AM1714" s="215"/>
      <c r="AO1714" s="10"/>
      <c r="AP1714" s="10"/>
      <c r="AQ1714" s="10"/>
      <c r="AR1714" s="10"/>
      <c r="AS1714" s="10"/>
      <c r="AU1714" s="2"/>
      <c r="AV1714" s="2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</row>
    <row r="1715" spans="1:73" customFormat="1" ht="12.75" hidden="1" customHeight="1" x14ac:dyDescent="0.2">
      <c r="A1715" s="1"/>
      <c r="B1715" s="1"/>
      <c r="C1715" s="1"/>
      <c r="D1715" s="7"/>
      <c r="E1715" s="7"/>
      <c r="F1715" s="6"/>
      <c r="G1715" s="7"/>
      <c r="H1715" s="2"/>
      <c r="I1715" s="2"/>
      <c r="J1715" s="2"/>
      <c r="K1715" s="2"/>
      <c r="L1715" s="178"/>
      <c r="M1715" s="2"/>
      <c r="N1715" s="7"/>
      <c r="P1715" s="7"/>
      <c r="R1715" s="2"/>
      <c r="S1715" s="2"/>
      <c r="T1715" s="2"/>
      <c r="U1715" s="2"/>
      <c r="V1715" s="2"/>
      <c r="X1715" s="38"/>
      <c r="Y1715" s="38"/>
      <c r="Z1715" s="38"/>
      <c r="AA1715" s="38"/>
      <c r="AB1715" s="38"/>
      <c r="AD1715" s="2"/>
      <c r="AE1715" s="2"/>
      <c r="AF1715" s="2"/>
      <c r="AG1715" s="2"/>
      <c r="AH1715" s="2"/>
      <c r="AJ1715" s="215"/>
      <c r="AK1715" s="215"/>
      <c r="AL1715" s="215"/>
      <c r="AM1715" s="215"/>
      <c r="AO1715" s="10"/>
      <c r="AP1715" s="10"/>
      <c r="AQ1715" s="10"/>
      <c r="AR1715" s="10"/>
      <c r="AS1715" s="10"/>
      <c r="AU1715" s="2"/>
      <c r="AV1715" s="2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</row>
    <row r="1716" spans="1:73" customFormat="1" ht="12.75" hidden="1" customHeight="1" x14ac:dyDescent="0.2">
      <c r="A1716" s="1"/>
      <c r="B1716" s="1"/>
      <c r="C1716" s="1"/>
      <c r="D1716" s="7"/>
      <c r="E1716" s="7"/>
      <c r="F1716" s="6"/>
      <c r="G1716" s="7"/>
      <c r="H1716" s="2"/>
      <c r="I1716" s="2"/>
      <c r="J1716" s="2"/>
      <c r="K1716" s="2"/>
      <c r="L1716" s="178"/>
      <c r="M1716" s="2"/>
      <c r="N1716" s="7"/>
      <c r="P1716" s="7"/>
      <c r="R1716" s="2"/>
      <c r="S1716" s="2"/>
      <c r="T1716" s="2"/>
      <c r="U1716" s="2"/>
      <c r="V1716" s="2"/>
      <c r="X1716" s="38"/>
      <c r="Y1716" s="38"/>
      <c r="Z1716" s="38"/>
      <c r="AA1716" s="38"/>
      <c r="AB1716" s="38"/>
      <c r="AD1716" s="2"/>
      <c r="AE1716" s="2"/>
      <c r="AF1716" s="2"/>
      <c r="AG1716" s="2"/>
      <c r="AH1716" s="2"/>
      <c r="AJ1716" s="215"/>
      <c r="AK1716" s="215"/>
      <c r="AL1716" s="215"/>
      <c r="AM1716" s="215"/>
      <c r="AO1716" s="10"/>
      <c r="AP1716" s="10"/>
      <c r="AQ1716" s="10"/>
      <c r="AR1716" s="10"/>
      <c r="AS1716" s="10"/>
      <c r="AU1716" s="2"/>
      <c r="AV1716" s="2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</row>
    <row r="1717" spans="1:73" customFormat="1" ht="12.75" hidden="1" customHeight="1" x14ac:dyDescent="0.2">
      <c r="A1717" s="1"/>
      <c r="B1717" s="1"/>
      <c r="C1717" s="1"/>
      <c r="D1717" s="7"/>
      <c r="E1717" s="7"/>
      <c r="F1717" s="6"/>
      <c r="G1717" s="7"/>
      <c r="H1717" s="2"/>
      <c r="I1717" s="2"/>
      <c r="J1717" s="2"/>
      <c r="K1717" s="2"/>
      <c r="L1717" s="178"/>
      <c r="M1717" s="2"/>
      <c r="N1717" s="7"/>
      <c r="P1717" s="7"/>
      <c r="R1717" s="2"/>
      <c r="S1717" s="2"/>
      <c r="T1717" s="2"/>
      <c r="U1717" s="2"/>
      <c r="V1717" s="2"/>
      <c r="X1717" s="38"/>
      <c r="Y1717" s="38"/>
      <c r="Z1717" s="38"/>
      <c r="AA1717" s="38"/>
      <c r="AB1717" s="38"/>
      <c r="AD1717" s="2"/>
      <c r="AE1717" s="2"/>
      <c r="AF1717" s="2"/>
      <c r="AG1717" s="2"/>
      <c r="AH1717" s="2"/>
      <c r="AJ1717" s="215"/>
      <c r="AK1717" s="215"/>
      <c r="AL1717" s="215"/>
      <c r="AM1717" s="215"/>
      <c r="AO1717" s="10"/>
      <c r="AP1717" s="10"/>
      <c r="AQ1717" s="10"/>
      <c r="AR1717" s="10"/>
      <c r="AS1717" s="10"/>
      <c r="AU1717" s="2"/>
      <c r="AV1717" s="2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</row>
    <row r="1718" spans="1:73" customFormat="1" ht="12.75" hidden="1" customHeight="1" x14ac:dyDescent="0.2">
      <c r="A1718" s="1"/>
      <c r="B1718" s="1"/>
      <c r="C1718" s="1"/>
      <c r="D1718" s="7"/>
      <c r="E1718" s="7"/>
      <c r="F1718" s="6"/>
      <c r="G1718" s="7"/>
      <c r="H1718" s="2"/>
      <c r="I1718" s="2"/>
      <c r="J1718" s="2"/>
      <c r="K1718" s="2"/>
      <c r="L1718" s="178"/>
      <c r="M1718" s="2"/>
      <c r="N1718" s="7"/>
      <c r="P1718" s="7"/>
      <c r="R1718" s="2"/>
      <c r="S1718" s="2"/>
      <c r="T1718" s="2"/>
      <c r="U1718" s="2"/>
      <c r="V1718" s="2"/>
      <c r="X1718" s="38"/>
      <c r="Y1718" s="38"/>
      <c r="Z1718" s="38"/>
      <c r="AA1718" s="38"/>
      <c r="AB1718" s="38"/>
      <c r="AD1718" s="2"/>
      <c r="AE1718" s="2"/>
      <c r="AF1718" s="2"/>
      <c r="AG1718" s="2"/>
      <c r="AH1718" s="2"/>
      <c r="AJ1718" s="215"/>
      <c r="AK1718" s="215"/>
      <c r="AL1718" s="215"/>
      <c r="AM1718" s="215"/>
      <c r="AO1718" s="10"/>
      <c r="AP1718" s="10"/>
      <c r="AQ1718" s="10"/>
      <c r="AR1718" s="10"/>
      <c r="AS1718" s="10"/>
      <c r="AU1718" s="2"/>
      <c r="AV1718" s="2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</row>
    <row r="1719" spans="1:73" customFormat="1" ht="12.75" hidden="1" customHeight="1" x14ac:dyDescent="0.2">
      <c r="A1719" s="1"/>
      <c r="B1719" s="1"/>
      <c r="C1719" s="1"/>
      <c r="D1719" s="7"/>
      <c r="E1719" s="7"/>
      <c r="F1719" s="6"/>
      <c r="G1719" s="7"/>
      <c r="H1719" s="2"/>
      <c r="I1719" s="2"/>
      <c r="J1719" s="2"/>
      <c r="K1719" s="2"/>
      <c r="L1719" s="178"/>
      <c r="M1719" s="2"/>
      <c r="N1719" s="7"/>
      <c r="P1719" s="7"/>
      <c r="R1719" s="2"/>
      <c r="S1719" s="2"/>
      <c r="T1719" s="2"/>
      <c r="U1719" s="2"/>
      <c r="V1719" s="2"/>
      <c r="X1719" s="38"/>
      <c r="Y1719" s="38"/>
      <c r="Z1719" s="38"/>
      <c r="AA1719" s="38"/>
      <c r="AB1719" s="38"/>
      <c r="AD1719" s="2"/>
      <c r="AE1719" s="2"/>
      <c r="AF1719" s="2"/>
      <c r="AG1719" s="2"/>
      <c r="AH1719" s="2"/>
      <c r="AJ1719" s="215"/>
      <c r="AK1719" s="215"/>
      <c r="AL1719" s="215"/>
      <c r="AM1719" s="215"/>
      <c r="AO1719" s="10"/>
      <c r="AP1719" s="10"/>
      <c r="AQ1719" s="10"/>
      <c r="AR1719" s="10"/>
      <c r="AS1719" s="10"/>
      <c r="AU1719" s="2"/>
      <c r="AV1719" s="2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</row>
    <row r="1720" spans="1:73" customFormat="1" ht="12.75" hidden="1" customHeight="1" x14ac:dyDescent="0.2">
      <c r="A1720" s="1"/>
      <c r="B1720" s="1"/>
      <c r="C1720" s="1"/>
      <c r="D1720" s="7"/>
      <c r="E1720" s="7"/>
      <c r="F1720" s="6"/>
      <c r="G1720" s="7"/>
      <c r="H1720" s="2"/>
      <c r="I1720" s="2"/>
      <c r="J1720" s="2"/>
      <c r="K1720" s="2"/>
      <c r="L1720" s="178"/>
      <c r="M1720" s="2"/>
      <c r="N1720" s="7"/>
      <c r="P1720" s="7"/>
      <c r="R1720" s="2"/>
      <c r="S1720" s="2"/>
      <c r="T1720" s="2"/>
      <c r="U1720" s="2"/>
      <c r="V1720" s="2"/>
      <c r="X1720" s="38"/>
      <c r="Y1720" s="38"/>
      <c r="Z1720" s="38"/>
      <c r="AA1720" s="38"/>
      <c r="AB1720" s="38"/>
      <c r="AD1720" s="2"/>
      <c r="AE1720" s="2"/>
      <c r="AF1720" s="2"/>
      <c r="AG1720" s="2"/>
      <c r="AH1720" s="2"/>
      <c r="AJ1720" s="215"/>
      <c r="AK1720" s="215"/>
      <c r="AL1720" s="215"/>
      <c r="AM1720" s="215"/>
      <c r="AO1720" s="10"/>
      <c r="AP1720" s="10"/>
      <c r="AQ1720" s="10"/>
      <c r="AR1720" s="10"/>
      <c r="AS1720" s="10"/>
      <c r="AU1720" s="2"/>
      <c r="AV1720" s="2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</row>
    <row r="1721" spans="1:73" customFormat="1" ht="12.75" hidden="1" customHeight="1" x14ac:dyDescent="0.2">
      <c r="A1721" s="1"/>
      <c r="B1721" s="1"/>
      <c r="C1721" s="1"/>
      <c r="D1721" s="7"/>
      <c r="E1721" s="7"/>
      <c r="F1721" s="6"/>
      <c r="G1721" s="7"/>
      <c r="H1721" s="2"/>
      <c r="I1721" s="2"/>
      <c r="J1721" s="2"/>
      <c r="K1721" s="2"/>
      <c r="L1721" s="178"/>
      <c r="M1721" s="2"/>
      <c r="N1721" s="7"/>
      <c r="P1721" s="7"/>
      <c r="R1721" s="2"/>
      <c r="S1721" s="2"/>
      <c r="T1721" s="2"/>
      <c r="U1721" s="2"/>
      <c r="V1721" s="2"/>
      <c r="X1721" s="38"/>
      <c r="Y1721" s="38"/>
      <c r="Z1721" s="38"/>
      <c r="AA1721" s="38"/>
      <c r="AB1721" s="38"/>
      <c r="AD1721" s="2"/>
      <c r="AE1721" s="2"/>
      <c r="AF1721" s="2"/>
      <c r="AG1721" s="2"/>
      <c r="AH1721" s="2"/>
      <c r="AJ1721" s="215"/>
      <c r="AK1721" s="215"/>
      <c r="AL1721" s="215"/>
      <c r="AM1721" s="215"/>
      <c r="AO1721" s="10"/>
      <c r="AP1721" s="10"/>
      <c r="AQ1721" s="10"/>
      <c r="AR1721" s="10"/>
      <c r="AS1721" s="10"/>
      <c r="AU1721" s="2"/>
      <c r="AV1721" s="2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</row>
    <row r="1722" spans="1:73" customFormat="1" ht="12.75" hidden="1" customHeight="1" x14ac:dyDescent="0.2">
      <c r="A1722" s="1"/>
      <c r="B1722" s="1"/>
      <c r="C1722" s="1"/>
      <c r="D1722" s="7"/>
      <c r="E1722" s="7"/>
      <c r="F1722" s="6"/>
      <c r="G1722" s="7"/>
      <c r="H1722" s="2"/>
      <c r="I1722" s="2"/>
      <c r="J1722" s="2"/>
      <c r="K1722" s="2"/>
      <c r="L1722" s="178"/>
      <c r="M1722" s="2"/>
      <c r="N1722" s="7"/>
      <c r="P1722" s="7"/>
      <c r="R1722" s="2"/>
      <c r="S1722" s="2"/>
      <c r="T1722" s="2"/>
      <c r="U1722" s="2"/>
      <c r="V1722" s="2"/>
      <c r="X1722" s="38"/>
      <c r="Y1722" s="38"/>
      <c r="Z1722" s="38"/>
      <c r="AA1722" s="38"/>
      <c r="AB1722" s="38"/>
      <c r="AD1722" s="2"/>
      <c r="AE1722" s="2"/>
      <c r="AF1722" s="2"/>
      <c r="AG1722" s="2"/>
      <c r="AH1722" s="2"/>
      <c r="AJ1722" s="215"/>
      <c r="AK1722" s="215"/>
      <c r="AL1722" s="215"/>
      <c r="AM1722" s="215"/>
      <c r="AO1722" s="10"/>
      <c r="AP1722" s="10"/>
      <c r="AQ1722" s="10"/>
      <c r="AR1722" s="10"/>
      <c r="AS1722" s="10"/>
      <c r="AU1722" s="2"/>
      <c r="AV1722" s="2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</row>
    <row r="1723" spans="1:73" customFormat="1" ht="12.75" hidden="1" customHeight="1" x14ac:dyDescent="0.2">
      <c r="A1723" s="1"/>
      <c r="B1723" s="1"/>
      <c r="C1723" s="1"/>
      <c r="D1723" s="7"/>
      <c r="E1723" s="7"/>
      <c r="F1723" s="6"/>
      <c r="G1723" s="7"/>
      <c r="H1723" s="2"/>
      <c r="I1723" s="2"/>
      <c r="J1723" s="2"/>
      <c r="K1723" s="2"/>
      <c r="L1723" s="178"/>
      <c r="M1723" s="2"/>
      <c r="N1723" s="7"/>
      <c r="P1723" s="7"/>
      <c r="R1723" s="2"/>
      <c r="S1723" s="2"/>
      <c r="T1723" s="2"/>
      <c r="U1723" s="2"/>
      <c r="V1723" s="2"/>
      <c r="X1723" s="38"/>
      <c r="Y1723" s="38"/>
      <c r="Z1723" s="38"/>
      <c r="AA1723" s="38"/>
      <c r="AB1723" s="38"/>
      <c r="AD1723" s="2"/>
      <c r="AE1723" s="2"/>
      <c r="AF1723" s="2"/>
      <c r="AG1723" s="2"/>
      <c r="AH1723" s="2"/>
      <c r="AJ1723" s="215"/>
      <c r="AK1723" s="215"/>
      <c r="AL1723" s="215"/>
      <c r="AM1723" s="215"/>
      <c r="AO1723" s="10"/>
      <c r="AP1723" s="10"/>
      <c r="AQ1723" s="10"/>
      <c r="AR1723" s="10"/>
      <c r="AS1723" s="10"/>
      <c r="AU1723" s="2"/>
      <c r="AV1723" s="2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</row>
    <row r="1724" spans="1:73" customFormat="1" ht="12.75" hidden="1" customHeight="1" x14ac:dyDescent="0.2">
      <c r="A1724" s="1"/>
      <c r="B1724" s="1"/>
      <c r="C1724" s="1"/>
      <c r="D1724" s="7"/>
      <c r="E1724" s="7"/>
      <c r="F1724" s="6"/>
      <c r="G1724" s="7"/>
      <c r="H1724" s="2"/>
      <c r="I1724" s="2"/>
      <c r="J1724" s="2"/>
      <c r="K1724" s="2"/>
      <c r="L1724" s="178"/>
      <c r="M1724" s="2"/>
      <c r="N1724" s="7"/>
      <c r="P1724" s="7"/>
      <c r="R1724" s="2"/>
      <c r="S1724" s="2"/>
      <c r="T1724" s="2"/>
      <c r="U1724" s="2"/>
      <c r="V1724" s="2"/>
      <c r="X1724" s="38"/>
      <c r="Y1724" s="38"/>
      <c r="Z1724" s="38"/>
      <c r="AA1724" s="38"/>
      <c r="AB1724" s="38"/>
      <c r="AD1724" s="2"/>
      <c r="AE1724" s="2"/>
      <c r="AF1724" s="2"/>
      <c r="AG1724" s="2"/>
      <c r="AH1724" s="2"/>
      <c r="AJ1724" s="215"/>
      <c r="AK1724" s="215"/>
      <c r="AL1724" s="215"/>
      <c r="AM1724" s="215"/>
      <c r="AO1724" s="10"/>
      <c r="AP1724" s="10"/>
      <c r="AQ1724" s="10"/>
      <c r="AR1724" s="10"/>
      <c r="AS1724" s="10"/>
      <c r="AU1724" s="2"/>
      <c r="AV1724" s="2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</row>
    <row r="1725" spans="1:73" customFormat="1" ht="12.75" hidden="1" customHeight="1" x14ac:dyDescent="0.2">
      <c r="A1725" s="1"/>
      <c r="B1725" s="1"/>
      <c r="C1725" s="1"/>
      <c r="D1725" s="7"/>
      <c r="E1725" s="7"/>
      <c r="F1725" s="6"/>
      <c r="G1725" s="7"/>
      <c r="H1725" s="2"/>
      <c r="I1725" s="2"/>
      <c r="J1725" s="2"/>
      <c r="K1725" s="2"/>
      <c r="L1725" s="178"/>
      <c r="M1725" s="2"/>
      <c r="N1725" s="7"/>
      <c r="P1725" s="7"/>
      <c r="R1725" s="2"/>
      <c r="S1725" s="2"/>
      <c r="T1725" s="2"/>
      <c r="U1725" s="2"/>
      <c r="V1725" s="2"/>
      <c r="X1725" s="38"/>
      <c r="Y1725" s="38"/>
      <c r="Z1725" s="38"/>
      <c r="AA1725" s="38"/>
      <c r="AB1725" s="38"/>
      <c r="AD1725" s="2"/>
      <c r="AE1725" s="2"/>
      <c r="AF1725" s="2"/>
      <c r="AG1725" s="2"/>
      <c r="AH1725" s="2"/>
      <c r="AJ1725" s="215"/>
      <c r="AK1725" s="215"/>
      <c r="AL1725" s="215"/>
      <c r="AM1725" s="215"/>
      <c r="AO1725" s="10"/>
      <c r="AP1725" s="10"/>
      <c r="AQ1725" s="10"/>
      <c r="AR1725" s="10"/>
      <c r="AS1725" s="10"/>
      <c r="AU1725" s="2"/>
      <c r="AV1725" s="2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</row>
    <row r="1726" spans="1:73" customFormat="1" ht="12.75" hidden="1" customHeight="1" x14ac:dyDescent="0.2">
      <c r="A1726" s="1"/>
      <c r="B1726" s="1"/>
      <c r="C1726" s="1"/>
      <c r="D1726" s="7"/>
      <c r="E1726" s="7"/>
      <c r="F1726" s="6"/>
      <c r="G1726" s="7"/>
      <c r="H1726" s="2"/>
      <c r="I1726" s="2"/>
      <c r="J1726" s="2"/>
      <c r="K1726" s="2"/>
      <c r="L1726" s="178"/>
      <c r="M1726" s="2"/>
      <c r="N1726" s="7"/>
      <c r="P1726" s="7"/>
      <c r="R1726" s="2"/>
      <c r="S1726" s="2"/>
      <c r="T1726" s="2"/>
      <c r="U1726" s="2"/>
      <c r="V1726" s="2"/>
      <c r="X1726" s="38"/>
      <c r="Y1726" s="38"/>
      <c r="Z1726" s="38"/>
      <c r="AA1726" s="38"/>
      <c r="AB1726" s="38"/>
      <c r="AD1726" s="2"/>
      <c r="AE1726" s="2"/>
      <c r="AF1726" s="2"/>
      <c r="AG1726" s="2"/>
      <c r="AH1726" s="2"/>
      <c r="AJ1726" s="215"/>
      <c r="AK1726" s="215"/>
      <c r="AL1726" s="215"/>
      <c r="AM1726" s="215"/>
      <c r="AO1726" s="10"/>
      <c r="AP1726" s="10"/>
      <c r="AQ1726" s="10"/>
      <c r="AR1726" s="10"/>
      <c r="AS1726" s="10"/>
      <c r="AU1726" s="2"/>
      <c r="AV1726" s="2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</row>
    <row r="1727" spans="1:73" customFormat="1" ht="12.75" hidden="1" customHeight="1" x14ac:dyDescent="0.2">
      <c r="A1727" s="1"/>
      <c r="B1727" s="1"/>
      <c r="C1727" s="1"/>
      <c r="D1727" s="7"/>
      <c r="E1727" s="7"/>
      <c r="F1727" s="6"/>
      <c r="G1727" s="7"/>
      <c r="H1727" s="2"/>
      <c r="I1727" s="2"/>
      <c r="J1727" s="2"/>
      <c r="K1727" s="2"/>
      <c r="L1727" s="178"/>
      <c r="M1727" s="2"/>
      <c r="N1727" s="7"/>
      <c r="P1727" s="7"/>
      <c r="R1727" s="2"/>
      <c r="S1727" s="2"/>
      <c r="T1727" s="2"/>
      <c r="U1727" s="2"/>
      <c r="V1727" s="2"/>
      <c r="X1727" s="38"/>
      <c r="Y1727" s="38"/>
      <c r="Z1727" s="38"/>
      <c r="AA1727" s="38"/>
      <c r="AB1727" s="38"/>
      <c r="AD1727" s="2"/>
      <c r="AE1727" s="2"/>
      <c r="AF1727" s="2"/>
      <c r="AG1727" s="2"/>
      <c r="AH1727" s="2"/>
      <c r="AJ1727" s="215"/>
      <c r="AK1727" s="215"/>
      <c r="AL1727" s="215"/>
      <c r="AM1727" s="215"/>
      <c r="AO1727" s="10"/>
      <c r="AP1727" s="10"/>
      <c r="AQ1727" s="10"/>
      <c r="AR1727" s="10"/>
      <c r="AS1727" s="10"/>
      <c r="AU1727" s="2"/>
      <c r="AV1727" s="2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</row>
    <row r="1728" spans="1:73" customFormat="1" ht="12.75" hidden="1" customHeight="1" x14ac:dyDescent="0.2">
      <c r="A1728" s="1"/>
      <c r="B1728" s="1"/>
      <c r="C1728" s="1"/>
      <c r="D1728" s="7"/>
      <c r="E1728" s="7"/>
      <c r="F1728" s="6"/>
      <c r="G1728" s="7"/>
      <c r="H1728" s="2"/>
      <c r="I1728" s="2"/>
      <c r="J1728" s="2"/>
      <c r="K1728" s="2"/>
      <c r="L1728" s="178"/>
      <c r="M1728" s="2"/>
      <c r="N1728" s="7"/>
      <c r="P1728" s="7"/>
      <c r="R1728" s="2"/>
      <c r="S1728" s="2"/>
      <c r="T1728" s="2"/>
      <c r="U1728" s="2"/>
      <c r="V1728" s="2"/>
      <c r="X1728" s="38"/>
      <c r="Y1728" s="38"/>
      <c r="Z1728" s="38"/>
      <c r="AA1728" s="38"/>
      <c r="AB1728" s="38"/>
      <c r="AD1728" s="2"/>
      <c r="AE1728" s="2"/>
      <c r="AF1728" s="2"/>
      <c r="AG1728" s="2"/>
      <c r="AH1728" s="2"/>
      <c r="AJ1728" s="215"/>
      <c r="AK1728" s="215"/>
      <c r="AL1728" s="215"/>
      <c r="AM1728" s="215"/>
      <c r="AO1728" s="10"/>
      <c r="AP1728" s="10"/>
      <c r="AQ1728" s="10"/>
      <c r="AR1728" s="10"/>
      <c r="AS1728" s="10"/>
      <c r="AU1728" s="2"/>
      <c r="AV1728" s="2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</row>
    <row r="1729" spans="1:73" customFormat="1" ht="12.75" hidden="1" customHeight="1" x14ac:dyDescent="0.2">
      <c r="A1729" s="1"/>
      <c r="B1729" s="1"/>
      <c r="C1729" s="1"/>
      <c r="D1729" s="7"/>
      <c r="E1729" s="7"/>
      <c r="F1729" s="6"/>
      <c r="G1729" s="7"/>
      <c r="H1729" s="2"/>
      <c r="I1729" s="2"/>
      <c r="J1729" s="2"/>
      <c r="K1729" s="2"/>
      <c r="L1729" s="178"/>
      <c r="M1729" s="2"/>
      <c r="N1729" s="7"/>
      <c r="P1729" s="7"/>
      <c r="R1729" s="2"/>
      <c r="S1729" s="2"/>
      <c r="T1729" s="2"/>
      <c r="U1729" s="2"/>
      <c r="V1729" s="2"/>
      <c r="X1729" s="38"/>
      <c r="Y1729" s="38"/>
      <c r="Z1729" s="38"/>
      <c r="AA1729" s="38"/>
      <c r="AB1729" s="38"/>
      <c r="AD1729" s="2"/>
      <c r="AE1729" s="2"/>
      <c r="AF1729" s="2"/>
      <c r="AG1729" s="2"/>
      <c r="AH1729" s="2"/>
      <c r="AJ1729" s="215"/>
      <c r="AK1729" s="215"/>
      <c r="AL1729" s="215"/>
      <c r="AM1729" s="215"/>
      <c r="AO1729" s="10"/>
      <c r="AP1729" s="10"/>
      <c r="AQ1729" s="10"/>
      <c r="AR1729" s="10"/>
      <c r="AS1729" s="10"/>
      <c r="AU1729" s="2"/>
      <c r="AV1729" s="2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</row>
    <row r="1730" spans="1:73" customFormat="1" ht="12.75" hidden="1" customHeight="1" x14ac:dyDescent="0.2">
      <c r="A1730" s="1"/>
      <c r="B1730" s="1"/>
      <c r="C1730" s="1"/>
      <c r="D1730" s="7"/>
      <c r="E1730" s="7"/>
      <c r="F1730" s="6"/>
      <c r="G1730" s="7"/>
      <c r="H1730" s="2"/>
      <c r="I1730" s="2"/>
      <c r="J1730" s="2"/>
      <c r="K1730" s="2"/>
      <c r="L1730" s="178"/>
      <c r="M1730" s="2"/>
      <c r="N1730" s="7"/>
      <c r="P1730" s="7"/>
      <c r="R1730" s="2"/>
      <c r="S1730" s="2"/>
      <c r="T1730" s="2"/>
      <c r="U1730" s="2"/>
      <c r="V1730" s="2"/>
      <c r="X1730" s="38"/>
      <c r="Y1730" s="38"/>
      <c r="Z1730" s="38"/>
      <c r="AA1730" s="38"/>
      <c r="AB1730" s="38"/>
      <c r="AD1730" s="2"/>
      <c r="AE1730" s="2"/>
      <c r="AF1730" s="2"/>
      <c r="AG1730" s="2"/>
      <c r="AH1730" s="2"/>
      <c r="AJ1730" s="215"/>
      <c r="AK1730" s="215"/>
      <c r="AL1730" s="215"/>
      <c r="AM1730" s="215"/>
      <c r="AO1730" s="10"/>
      <c r="AP1730" s="10"/>
      <c r="AQ1730" s="10"/>
      <c r="AR1730" s="10"/>
      <c r="AS1730" s="10"/>
      <c r="AU1730" s="2"/>
      <c r="AV1730" s="2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</row>
    <row r="1731" spans="1:73" customFormat="1" ht="12.75" hidden="1" customHeight="1" x14ac:dyDescent="0.2">
      <c r="A1731" s="1"/>
      <c r="B1731" s="1"/>
      <c r="C1731" s="1"/>
      <c r="D1731" s="7"/>
      <c r="E1731" s="7"/>
      <c r="F1731" s="6"/>
      <c r="G1731" s="7"/>
      <c r="H1731" s="2"/>
      <c r="I1731" s="2"/>
      <c r="J1731" s="2"/>
      <c r="K1731" s="2"/>
      <c r="L1731" s="178"/>
      <c r="M1731" s="2"/>
      <c r="N1731" s="7"/>
      <c r="P1731" s="7"/>
      <c r="R1731" s="2"/>
      <c r="S1731" s="2"/>
      <c r="T1731" s="2"/>
      <c r="U1731" s="2"/>
      <c r="V1731" s="2"/>
      <c r="X1731" s="38"/>
      <c r="Y1731" s="38"/>
      <c r="Z1731" s="38"/>
      <c r="AA1731" s="38"/>
      <c r="AB1731" s="38"/>
      <c r="AD1731" s="2"/>
      <c r="AE1731" s="2"/>
      <c r="AF1731" s="2"/>
      <c r="AG1731" s="2"/>
      <c r="AH1731" s="2"/>
      <c r="AJ1731" s="215"/>
      <c r="AK1731" s="215"/>
      <c r="AL1731" s="215"/>
      <c r="AM1731" s="215"/>
      <c r="AO1731" s="10"/>
      <c r="AP1731" s="10"/>
      <c r="AQ1731" s="10"/>
      <c r="AR1731" s="10"/>
      <c r="AS1731" s="10"/>
      <c r="AU1731" s="2"/>
      <c r="AV1731" s="2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</row>
    <row r="1732" spans="1:73" customFormat="1" ht="12.75" hidden="1" customHeight="1" x14ac:dyDescent="0.2">
      <c r="A1732" s="1"/>
      <c r="B1732" s="1"/>
      <c r="C1732" s="1"/>
      <c r="D1732" s="7"/>
      <c r="E1732" s="7"/>
      <c r="F1732" s="6"/>
      <c r="G1732" s="7"/>
      <c r="H1732" s="2"/>
      <c r="I1732" s="2"/>
      <c r="J1732" s="2"/>
      <c r="K1732" s="2"/>
      <c r="L1732" s="178"/>
      <c r="M1732" s="2"/>
      <c r="N1732" s="7"/>
      <c r="P1732" s="7"/>
      <c r="R1732" s="2"/>
      <c r="S1732" s="2"/>
      <c r="T1732" s="2"/>
      <c r="U1732" s="2"/>
      <c r="V1732" s="2"/>
      <c r="X1732" s="38"/>
      <c r="Y1732" s="38"/>
      <c r="Z1732" s="38"/>
      <c r="AA1732" s="38"/>
      <c r="AB1732" s="38"/>
      <c r="AD1732" s="2"/>
      <c r="AE1732" s="2"/>
      <c r="AF1732" s="2"/>
      <c r="AG1732" s="2"/>
      <c r="AH1732" s="2"/>
      <c r="AJ1732" s="215"/>
      <c r="AK1732" s="215"/>
      <c r="AL1732" s="215"/>
      <c r="AM1732" s="215"/>
      <c r="AO1732" s="10"/>
      <c r="AP1732" s="10"/>
      <c r="AQ1732" s="10"/>
      <c r="AR1732" s="10"/>
      <c r="AS1732" s="10"/>
      <c r="AU1732" s="2"/>
      <c r="AV1732" s="2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</row>
    <row r="1733" spans="1:73" customFormat="1" ht="12.75" hidden="1" customHeight="1" x14ac:dyDescent="0.2">
      <c r="A1733" s="1"/>
      <c r="B1733" s="1"/>
      <c r="C1733" s="1"/>
      <c r="D1733" s="7"/>
      <c r="E1733" s="7"/>
      <c r="F1733" s="6"/>
      <c r="G1733" s="7"/>
      <c r="H1733" s="2"/>
      <c r="I1733" s="2"/>
      <c r="J1733" s="2"/>
      <c r="K1733" s="2"/>
      <c r="L1733" s="178"/>
      <c r="M1733" s="2"/>
      <c r="N1733" s="7"/>
      <c r="P1733" s="7"/>
      <c r="R1733" s="2"/>
      <c r="S1733" s="2"/>
      <c r="T1733" s="2"/>
      <c r="U1733" s="2"/>
      <c r="V1733" s="2"/>
      <c r="X1733" s="38"/>
      <c r="Y1733" s="38"/>
      <c r="Z1733" s="38"/>
      <c r="AA1733" s="38"/>
      <c r="AB1733" s="38"/>
      <c r="AD1733" s="2"/>
      <c r="AE1733" s="2"/>
      <c r="AF1733" s="2"/>
      <c r="AG1733" s="2"/>
      <c r="AH1733" s="2"/>
      <c r="AJ1733" s="215"/>
      <c r="AK1733" s="215"/>
      <c r="AL1733" s="215"/>
      <c r="AM1733" s="215"/>
      <c r="AO1733" s="10"/>
      <c r="AP1733" s="10"/>
      <c r="AQ1733" s="10"/>
      <c r="AR1733" s="10"/>
      <c r="AS1733" s="10"/>
      <c r="AU1733" s="2"/>
      <c r="AV1733" s="2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</row>
    <row r="1734" spans="1:73" customFormat="1" ht="12.75" hidden="1" customHeight="1" x14ac:dyDescent="0.2">
      <c r="A1734" s="1"/>
      <c r="B1734" s="1"/>
      <c r="C1734" s="1"/>
      <c r="D1734" s="7"/>
      <c r="E1734" s="7"/>
      <c r="F1734" s="6"/>
      <c r="G1734" s="7"/>
      <c r="H1734" s="2"/>
      <c r="I1734" s="2"/>
      <c r="J1734" s="2"/>
      <c r="K1734" s="2"/>
      <c r="L1734" s="178"/>
      <c r="M1734" s="2"/>
      <c r="N1734" s="7"/>
      <c r="P1734" s="7"/>
      <c r="R1734" s="2"/>
      <c r="S1734" s="2"/>
      <c r="T1734" s="2"/>
      <c r="U1734" s="2"/>
      <c r="V1734" s="2"/>
      <c r="X1734" s="38"/>
      <c r="Y1734" s="38"/>
      <c r="Z1734" s="38"/>
      <c r="AA1734" s="38"/>
      <c r="AB1734" s="38"/>
      <c r="AD1734" s="2"/>
      <c r="AE1734" s="2"/>
      <c r="AF1734" s="2"/>
      <c r="AG1734" s="2"/>
      <c r="AH1734" s="2"/>
      <c r="AJ1734" s="215"/>
      <c r="AK1734" s="215"/>
      <c r="AL1734" s="215"/>
      <c r="AM1734" s="215"/>
      <c r="AO1734" s="10"/>
      <c r="AP1734" s="10"/>
      <c r="AQ1734" s="10"/>
      <c r="AR1734" s="10"/>
      <c r="AS1734" s="10"/>
      <c r="AU1734" s="2"/>
      <c r="AV1734" s="2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</row>
    <row r="1735" spans="1:73" customFormat="1" ht="12.75" hidden="1" customHeight="1" x14ac:dyDescent="0.2">
      <c r="A1735" s="1"/>
      <c r="B1735" s="1"/>
      <c r="C1735" s="1"/>
      <c r="D1735" s="7"/>
      <c r="E1735" s="7"/>
      <c r="F1735" s="6"/>
      <c r="G1735" s="7"/>
      <c r="H1735" s="2"/>
      <c r="I1735" s="2"/>
      <c r="J1735" s="2"/>
      <c r="K1735" s="2"/>
      <c r="L1735" s="178"/>
      <c r="M1735" s="2"/>
      <c r="N1735" s="7"/>
      <c r="P1735" s="7"/>
      <c r="R1735" s="2"/>
      <c r="S1735" s="2"/>
      <c r="T1735" s="2"/>
      <c r="U1735" s="2"/>
      <c r="V1735" s="2"/>
      <c r="X1735" s="38"/>
      <c r="Y1735" s="38"/>
      <c r="Z1735" s="38"/>
      <c r="AA1735" s="38"/>
      <c r="AB1735" s="38"/>
      <c r="AD1735" s="2"/>
      <c r="AE1735" s="2"/>
      <c r="AF1735" s="2"/>
      <c r="AG1735" s="2"/>
      <c r="AH1735" s="2"/>
      <c r="AJ1735" s="215"/>
      <c r="AK1735" s="215"/>
      <c r="AL1735" s="215"/>
      <c r="AM1735" s="215"/>
      <c r="AO1735" s="10"/>
      <c r="AP1735" s="10"/>
      <c r="AQ1735" s="10"/>
      <c r="AR1735" s="10"/>
      <c r="AS1735" s="10"/>
      <c r="AU1735" s="2"/>
      <c r="AV1735" s="2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</row>
    <row r="1736" spans="1:73" customFormat="1" ht="12.75" hidden="1" customHeight="1" x14ac:dyDescent="0.2">
      <c r="A1736" s="1"/>
      <c r="B1736" s="1"/>
      <c r="C1736" s="1"/>
      <c r="D1736" s="7"/>
      <c r="E1736" s="7"/>
      <c r="F1736" s="6"/>
      <c r="G1736" s="7"/>
      <c r="H1736" s="2"/>
      <c r="I1736" s="2"/>
      <c r="J1736" s="2"/>
      <c r="K1736" s="2"/>
      <c r="L1736" s="178"/>
      <c r="M1736" s="2"/>
      <c r="N1736" s="7"/>
      <c r="P1736" s="7"/>
      <c r="R1736" s="2"/>
      <c r="S1736" s="2"/>
      <c r="T1736" s="2"/>
      <c r="U1736" s="2"/>
      <c r="V1736" s="2"/>
      <c r="X1736" s="38"/>
      <c r="Y1736" s="38"/>
      <c r="Z1736" s="38"/>
      <c r="AA1736" s="38"/>
      <c r="AB1736" s="38"/>
      <c r="AD1736" s="2"/>
      <c r="AE1736" s="2"/>
      <c r="AF1736" s="2"/>
      <c r="AG1736" s="2"/>
      <c r="AH1736" s="2"/>
      <c r="AJ1736" s="215"/>
      <c r="AK1736" s="215"/>
      <c r="AL1736" s="215"/>
      <c r="AM1736" s="215"/>
      <c r="AO1736" s="10"/>
      <c r="AP1736" s="10"/>
      <c r="AQ1736" s="10"/>
      <c r="AR1736" s="10"/>
      <c r="AS1736" s="10"/>
      <c r="AU1736" s="2"/>
      <c r="AV1736" s="2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</row>
    <row r="1737" spans="1:73" customFormat="1" ht="12.75" hidden="1" customHeight="1" x14ac:dyDescent="0.2">
      <c r="A1737" s="1"/>
      <c r="B1737" s="1"/>
      <c r="C1737" s="1"/>
      <c r="D1737" s="7"/>
      <c r="E1737" s="7"/>
      <c r="F1737" s="6"/>
      <c r="G1737" s="7"/>
      <c r="H1737" s="2"/>
      <c r="I1737" s="2"/>
      <c r="J1737" s="2"/>
      <c r="K1737" s="2"/>
      <c r="L1737" s="178"/>
      <c r="M1737" s="2"/>
      <c r="N1737" s="7"/>
      <c r="P1737" s="7"/>
      <c r="R1737" s="2"/>
      <c r="S1737" s="2"/>
      <c r="T1737" s="2"/>
      <c r="U1737" s="2"/>
      <c r="V1737" s="2"/>
      <c r="X1737" s="38"/>
      <c r="Y1737" s="38"/>
      <c r="Z1737" s="38"/>
      <c r="AA1737" s="38"/>
      <c r="AB1737" s="38"/>
      <c r="AD1737" s="2"/>
      <c r="AE1737" s="2"/>
      <c r="AF1737" s="2"/>
      <c r="AG1737" s="2"/>
      <c r="AH1737" s="2"/>
      <c r="AJ1737" s="215"/>
      <c r="AK1737" s="215"/>
      <c r="AL1737" s="215"/>
      <c r="AM1737" s="215"/>
      <c r="AO1737" s="10"/>
      <c r="AP1737" s="10"/>
      <c r="AQ1737" s="10"/>
      <c r="AR1737" s="10"/>
      <c r="AS1737" s="10"/>
      <c r="AU1737" s="2"/>
      <c r="AV1737" s="2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</row>
    <row r="1738" spans="1:73" customFormat="1" ht="12.75" hidden="1" customHeight="1" x14ac:dyDescent="0.2">
      <c r="A1738" s="1"/>
      <c r="B1738" s="1"/>
      <c r="C1738" s="1"/>
      <c r="D1738" s="7"/>
      <c r="E1738" s="7"/>
      <c r="F1738" s="6"/>
      <c r="G1738" s="7"/>
      <c r="H1738" s="2"/>
      <c r="I1738" s="2"/>
      <c r="J1738" s="2"/>
      <c r="K1738" s="2"/>
      <c r="L1738" s="178"/>
      <c r="M1738" s="2"/>
      <c r="N1738" s="7"/>
      <c r="P1738" s="7"/>
      <c r="R1738" s="2"/>
      <c r="S1738" s="2"/>
      <c r="T1738" s="2"/>
      <c r="U1738" s="2"/>
      <c r="V1738" s="2"/>
      <c r="X1738" s="38"/>
      <c r="Y1738" s="38"/>
      <c r="Z1738" s="38"/>
      <c r="AA1738" s="38"/>
      <c r="AB1738" s="38"/>
      <c r="AD1738" s="2"/>
      <c r="AE1738" s="2"/>
      <c r="AF1738" s="2"/>
      <c r="AG1738" s="2"/>
      <c r="AH1738" s="2"/>
      <c r="AJ1738" s="215"/>
      <c r="AK1738" s="215"/>
      <c r="AL1738" s="215"/>
      <c r="AM1738" s="215"/>
      <c r="AO1738" s="10"/>
      <c r="AP1738" s="10"/>
      <c r="AQ1738" s="10"/>
      <c r="AR1738" s="10"/>
      <c r="AS1738" s="10"/>
      <c r="AU1738" s="2"/>
      <c r="AV1738" s="2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</row>
    <row r="1739" spans="1:73" customFormat="1" ht="12.75" hidden="1" customHeight="1" x14ac:dyDescent="0.2">
      <c r="A1739" s="1"/>
      <c r="B1739" s="1"/>
      <c r="C1739" s="1"/>
      <c r="D1739" s="7"/>
      <c r="E1739" s="7"/>
      <c r="F1739" s="6"/>
      <c r="G1739" s="7"/>
      <c r="H1739" s="2"/>
      <c r="I1739" s="2"/>
      <c r="J1739" s="2"/>
      <c r="K1739" s="2"/>
      <c r="L1739" s="178"/>
      <c r="M1739" s="2"/>
      <c r="N1739" s="7"/>
      <c r="P1739" s="7"/>
      <c r="R1739" s="2"/>
      <c r="S1739" s="2"/>
      <c r="T1739" s="2"/>
      <c r="U1739" s="2"/>
      <c r="V1739" s="2"/>
      <c r="X1739" s="38"/>
      <c r="Y1739" s="38"/>
      <c r="Z1739" s="38"/>
      <c r="AA1739" s="38"/>
      <c r="AB1739" s="38"/>
      <c r="AD1739" s="2"/>
      <c r="AE1739" s="2"/>
      <c r="AF1739" s="2"/>
      <c r="AG1739" s="2"/>
      <c r="AH1739" s="2"/>
      <c r="AJ1739" s="215"/>
      <c r="AK1739" s="215"/>
      <c r="AL1739" s="215"/>
      <c r="AM1739" s="215"/>
      <c r="AO1739" s="10"/>
      <c r="AP1739" s="10"/>
      <c r="AQ1739" s="10"/>
      <c r="AR1739" s="10"/>
      <c r="AS1739" s="10"/>
      <c r="AU1739" s="2"/>
      <c r="AV1739" s="2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</row>
    <row r="1740" spans="1:73" customFormat="1" ht="12.75" hidden="1" customHeight="1" x14ac:dyDescent="0.2">
      <c r="A1740" s="1"/>
      <c r="B1740" s="1"/>
      <c r="C1740" s="1"/>
      <c r="D1740" s="7"/>
      <c r="E1740" s="7"/>
      <c r="F1740" s="6"/>
      <c r="G1740" s="7"/>
      <c r="H1740" s="2"/>
      <c r="I1740" s="2"/>
      <c r="J1740" s="2"/>
      <c r="K1740" s="2"/>
      <c r="L1740" s="178"/>
      <c r="M1740" s="2"/>
      <c r="N1740" s="7"/>
      <c r="P1740" s="7"/>
      <c r="R1740" s="2"/>
      <c r="S1740" s="2"/>
      <c r="T1740" s="2"/>
      <c r="U1740" s="2"/>
      <c r="V1740" s="2"/>
      <c r="X1740" s="38"/>
      <c r="Y1740" s="38"/>
      <c r="Z1740" s="38"/>
      <c r="AA1740" s="38"/>
      <c r="AB1740" s="38"/>
      <c r="AD1740" s="2"/>
      <c r="AE1740" s="2"/>
      <c r="AF1740" s="2"/>
      <c r="AG1740" s="2"/>
      <c r="AH1740" s="2"/>
      <c r="AJ1740" s="215"/>
      <c r="AK1740" s="215"/>
      <c r="AL1740" s="215"/>
      <c r="AM1740" s="215"/>
      <c r="AO1740" s="10"/>
      <c r="AP1740" s="10"/>
      <c r="AQ1740" s="10"/>
      <c r="AR1740" s="10"/>
      <c r="AS1740" s="10"/>
      <c r="AU1740" s="2"/>
      <c r="AV1740" s="2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</row>
    <row r="1741" spans="1:73" customFormat="1" ht="12.75" hidden="1" customHeight="1" x14ac:dyDescent="0.2">
      <c r="A1741" s="1"/>
      <c r="B1741" s="1"/>
      <c r="C1741" s="1"/>
      <c r="D1741" s="7"/>
      <c r="E1741" s="7"/>
      <c r="F1741" s="6"/>
      <c r="G1741" s="7"/>
      <c r="H1741" s="2"/>
      <c r="I1741" s="2"/>
      <c r="J1741" s="2"/>
      <c r="K1741" s="2"/>
      <c r="L1741" s="178"/>
      <c r="M1741" s="2"/>
      <c r="N1741" s="7"/>
      <c r="P1741" s="7"/>
      <c r="R1741" s="2"/>
      <c r="S1741" s="2"/>
      <c r="T1741" s="2"/>
      <c r="U1741" s="2"/>
      <c r="V1741" s="2"/>
      <c r="X1741" s="38"/>
      <c r="Y1741" s="38"/>
      <c r="Z1741" s="38"/>
      <c r="AA1741" s="38"/>
      <c r="AB1741" s="38"/>
      <c r="AD1741" s="2"/>
      <c r="AE1741" s="2"/>
      <c r="AF1741" s="2"/>
      <c r="AG1741" s="2"/>
      <c r="AH1741" s="2"/>
      <c r="AJ1741" s="215"/>
      <c r="AK1741" s="215"/>
      <c r="AL1741" s="215"/>
      <c r="AM1741" s="215"/>
      <c r="AO1741" s="10"/>
      <c r="AP1741" s="10"/>
      <c r="AQ1741" s="10"/>
      <c r="AR1741" s="10"/>
      <c r="AS1741" s="10"/>
      <c r="AU1741" s="2"/>
      <c r="AV1741" s="2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</row>
    <row r="1742" spans="1:73" customFormat="1" ht="12.75" hidden="1" customHeight="1" x14ac:dyDescent="0.2">
      <c r="A1742" s="1"/>
      <c r="B1742" s="1"/>
      <c r="C1742" s="1"/>
      <c r="D1742" s="7"/>
      <c r="E1742" s="7"/>
      <c r="F1742" s="6"/>
      <c r="G1742" s="7"/>
      <c r="H1742" s="2"/>
      <c r="I1742" s="2"/>
      <c r="J1742" s="2"/>
      <c r="K1742" s="2"/>
      <c r="L1742" s="178"/>
      <c r="M1742" s="2"/>
      <c r="N1742" s="7"/>
      <c r="P1742" s="7"/>
      <c r="R1742" s="2"/>
      <c r="S1742" s="2"/>
      <c r="T1742" s="2"/>
      <c r="U1742" s="2"/>
      <c r="V1742" s="2"/>
      <c r="X1742" s="38"/>
      <c r="Y1742" s="38"/>
      <c r="Z1742" s="38"/>
      <c r="AA1742" s="38"/>
      <c r="AB1742" s="38"/>
      <c r="AD1742" s="2"/>
      <c r="AE1742" s="2"/>
      <c r="AF1742" s="2"/>
      <c r="AG1742" s="2"/>
      <c r="AH1742" s="2"/>
      <c r="AJ1742" s="215"/>
      <c r="AK1742" s="215"/>
      <c r="AL1742" s="215"/>
      <c r="AM1742" s="215"/>
      <c r="AO1742" s="10"/>
      <c r="AP1742" s="10"/>
      <c r="AQ1742" s="10"/>
      <c r="AR1742" s="10"/>
      <c r="AS1742" s="10"/>
      <c r="AU1742" s="2"/>
      <c r="AV1742" s="2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</row>
    <row r="1743" spans="1:73" customFormat="1" ht="12.75" hidden="1" customHeight="1" x14ac:dyDescent="0.2">
      <c r="A1743" s="1"/>
      <c r="B1743" s="1"/>
      <c r="C1743" s="1"/>
      <c r="D1743" s="7"/>
      <c r="E1743" s="7"/>
      <c r="F1743" s="6"/>
      <c r="G1743" s="7"/>
      <c r="H1743" s="2"/>
      <c r="I1743" s="2"/>
      <c r="J1743" s="2"/>
      <c r="K1743" s="2"/>
      <c r="L1743" s="178"/>
      <c r="M1743" s="2"/>
      <c r="N1743" s="7"/>
      <c r="P1743" s="7"/>
      <c r="R1743" s="2"/>
      <c r="S1743" s="2"/>
      <c r="T1743" s="2"/>
      <c r="U1743" s="2"/>
      <c r="V1743" s="2"/>
      <c r="X1743" s="38"/>
      <c r="Y1743" s="38"/>
      <c r="Z1743" s="38"/>
      <c r="AA1743" s="38"/>
      <c r="AB1743" s="38"/>
      <c r="AD1743" s="2"/>
      <c r="AE1743" s="2"/>
      <c r="AF1743" s="2"/>
      <c r="AG1743" s="2"/>
      <c r="AH1743" s="2"/>
      <c r="AJ1743" s="215"/>
      <c r="AK1743" s="215"/>
      <c r="AL1743" s="215"/>
      <c r="AM1743" s="215"/>
      <c r="AO1743" s="10"/>
      <c r="AP1743" s="10"/>
      <c r="AQ1743" s="10"/>
      <c r="AR1743" s="10"/>
      <c r="AS1743" s="10"/>
      <c r="AU1743" s="2"/>
      <c r="AV1743" s="2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</row>
    <row r="1744" spans="1:73" customFormat="1" ht="12.75" hidden="1" customHeight="1" x14ac:dyDescent="0.2">
      <c r="A1744" s="1"/>
      <c r="B1744" s="1"/>
      <c r="C1744" s="1"/>
      <c r="D1744" s="7"/>
      <c r="E1744" s="7"/>
      <c r="F1744" s="6"/>
      <c r="G1744" s="7"/>
      <c r="H1744" s="2"/>
      <c r="I1744" s="2"/>
      <c r="J1744" s="2"/>
      <c r="K1744" s="2"/>
      <c r="L1744" s="178"/>
      <c r="M1744" s="2"/>
      <c r="N1744" s="7"/>
      <c r="P1744" s="7"/>
      <c r="R1744" s="2"/>
      <c r="S1744" s="2"/>
      <c r="T1744" s="2"/>
      <c r="U1744" s="2"/>
      <c r="V1744" s="2"/>
      <c r="X1744" s="38"/>
      <c r="Y1744" s="38"/>
      <c r="Z1744" s="38"/>
      <c r="AA1744" s="38"/>
      <c r="AB1744" s="38"/>
      <c r="AD1744" s="2"/>
      <c r="AE1744" s="2"/>
      <c r="AF1744" s="2"/>
      <c r="AG1744" s="2"/>
      <c r="AH1744" s="2"/>
      <c r="AJ1744" s="215"/>
      <c r="AK1744" s="215"/>
      <c r="AL1744" s="215"/>
      <c r="AM1744" s="215"/>
      <c r="AO1744" s="10"/>
      <c r="AP1744" s="10"/>
      <c r="AQ1744" s="10"/>
      <c r="AR1744" s="10"/>
      <c r="AS1744" s="10"/>
      <c r="AU1744" s="2"/>
      <c r="AV1744" s="2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</row>
    <row r="1745" spans="1:73" customFormat="1" ht="12.75" hidden="1" customHeight="1" x14ac:dyDescent="0.2">
      <c r="A1745" s="1"/>
      <c r="B1745" s="1"/>
      <c r="C1745" s="1"/>
      <c r="D1745" s="7"/>
      <c r="E1745" s="7"/>
      <c r="F1745" s="6"/>
      <c r="G1745" s="7"/>
      <c r="H1745" s="2"/>
      <c r="I1745" s="2"/>
      <c r="J1745" s="2"/>
      <c r="K1745" s="2"/>
      <c r="L1745" s="178"/>
      <c r="M1745" s="2"/>
      <c r="N1745" s="7"/>
      <c r="P1745" s="7"/>
      <c r="R1745" s="2"/>
      <c r="S1745" s="2"/>
      <c r="T1745" s="2"/>
      <c r="U1745" s="2"/>
      <c r="V1745" s="2"/>
      <c r="X1745" s="38"/>
      <c r="Y1745" s="38"/>
      <c r="Z1745" s="38"/>
      <c r="AA1745" s="38"/>
      <c r="AB1745" s="38"/>
      <c r="AD1745" s="2"/>
      <c r="AE1745" s="2"/>
      <c r="AF1745" s="2"/>
      <c r="AG1745" s="2"/>
      <c r="AH1745" s="2"/>
      <c r="AJ1745" s="215"/>
      <c r="AK1745" s="215"/>
      <c r="AL1745" s="215"/>
      <c r="AM1745" s="215"/>
      <c r="AO1745" s="10"/>
      <c r="AP1745" s="10"/>
      <c r="AQ1745" s="10"/>
      <c r="AR1745" s="10"/>
      <c r="AS1745" s="10"/>
      <c r="AU1745" s="2"/>
      <c r="AV1745" s="2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</row>
    <row r="1746" spans="1:73" customFormat="1" ht="12.75" hidden="1" customHeight="1" x14ac:dyDescent="0.2">
      <c r="A1746" s="1"/>
      <c r="B1746" s="1"/>
      <c r="C1746" s="1"/>
      <c r="D1746" s="7"/>
      <c r="E1746" s="7"/>
      <c r="F1746" s="6"/>
      <c r="G1746" s="7"/>
      <c r="H1746" s="2"/>
      <c r="I1746" s="2"/>
      <c r="J1746" s="2"/>
      <c r="K1746" s="2"/>
      <c r="L1746" s="178"/>
      <c r="M1746" s="2"/>
      <c r="N1746" s="7"/>
      <c r="P1746" s="7"/>
      <c r="R1746" s="2"/>
      <c r="S1746" s="2"/>
      <c r="T1746" s="2"/>
      <c r="U1746" s="2"/>
      <c r="V1746" s="2"/>
      <c r="X1746" s="38"/>
      <c r="Y1746" s="38"/>
      <c r="Z1746" s="38"/>
      <c r="AA1746" s="38"/>
      <c r="AB1746" s="38"/>
      <c r="AD1746" s="2"/>
      <c r="AE1746" s="2"/>
      <c r="AF1746" s="2"/>
      <c r="AG1746" s="2"/>
      <c r="AH1746" s="2"/>
      <c r="AJ1746" s="215"/>
      <c r="AK1746" s="215"/>
      <c r="AL1746" s="215"/>
      <c r="AM1746" s="215"/>
      <c r="AO1746" s="10"/>
      <c r="AP1746" s="10"/>
      <c r="AQ1746" s="10"/>
      <c r="AR1746" s="10"/>
      <c r="AS1746" s="10"/>
      <c r="AU1746" s="2"/>
      <c r="AV1746" s="2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</row>
    <row r="1747" spans="1:73" customFormat="1" ht="12.75" hidden="1" customHeight="1" x14ac:dyDescent="0.2">
      <c r="A1747" s="1"/>
      <c r="B1747" s="1"/>
      <c r="C1747" s="1"/>
      <c r="D1747" s="7"/>
      <c r="E1747" s="7"/>
      <c r="F1747" s="6"/>
      <c r="G1747" s="7"/>
      <c r="H1747" s="2"/>
      <c r="I1747" s="2"/>
      <c r="J1747" s="2"/>
      <c r="K1747" s="2"/>
      <c r="L1747" s="178"/>
      <c r="M1747" s="2"/>
      <c r="N1747" s="7"/>
      <c r="P1747" s="7"/>
      <c r="R1747" s="2"/>
      <c r="S1747" s="2"/>
      <c r="T1747" s="2"/>
      <c r="U1747" s="2"/>
      <c r="V1747" s="2"/>
      <c r="X1747" s="38"/>
      <c r="Y1747" s="38"/>
      <c r="Z1747" s="38"/>
      <c r="AA1747" s="38"/>
      <c r="AB1747" s="38"/>
      <c r="AD1747" s="2"/>
      <c r="AE1747" s="2"/>
      <c r="AF1747" s="2"/>
      <c r="AG1747" s="2"/>
      <c r="AH1747" s="2"/>
      <c r="AJ1747" s="215"/>
      <c r="AK1747" s="215"/>
      <c r="AL1747" s="215"/>
      <c r="AM1747" s="215"/>
      <c r="AO1747" s="10"/>
      <c r="AP1747" s="10"/>
      <c r="AQ1747" s="10"/>
      <c r="AR1747" s="10"/>
      <c r="AS1747" s="10"/>
      <c r="AU1747" s="2"/>
      <c r="AV1747" s="2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</row>
    <row r="1748" spans="1:73" customFormat="1" ht="12.75" hidden="1" customHeight="1" x14ac:dyDescent="0.2">
      <c r="A1748" s="1"/>
      <c r="B1748" s="1"/>
      <c r="C1748" s="1"/>
      <c r="D1748" s="7"/>
      <c r="E1748" s="7"/>
      <c r="F1748" s="6"/>
      <c r="G1748" s="7"/>
      <c r="H1748" s="2"/>
      <c r="I1748" s="2"/>
      <c r="J1748" s="2"/>
      <c r="K1748" s="2"/>
      <c r="L1748" s="178"/>
      <c r="M1748" s="2"/>
      <c r="N1748" s="7"/>
      <c r="P1748" s="7"/>
      <c r="R1748" s="2"/>
      <c r="S1748" s="2"/>
      <c r="T1748" s="2"/>
      <c r="U1748" s="2"/>
      <c r="V1748" s="2"/>
      <c r="X1748" s="38"/>
      <c r="Y1748" s="38"/>
      <c r="Z1748" s="38"/>
      <c r="AA1748" s="38"/>
      <c r="AB1748" s="38"/>
      <c r="AD1748" s="2"/>
      <c r="AE1748" s="2"/>
      <c r="AF1748" s="2"/>
      <c r="AG1748" s="2"/>
      <c r="AH1748" s="2"/>
      <c r="AJ1748" s="215"/>
      <c r="AK1748" s="215"/>
      <c r="AL1748" s="215"/>
      <c r="AM1748" s="215"/>
      <c r="AO1748" s="10"/>
      <c r="AP1748" s="10"/>
      <c r="AQ1748" s="10"/>
      <c r="AR1748" s="10"/>
      <c r="AS1748" s="10"/>
      <c r="AU1748" s="2"/>
      <c r="AV1748" s="2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</row>
    <row r="1749" spans="1:73" customFormat="1" ht="12.75" hidden="1" customHeight="1" x14ac:dyDescent="0.2">
      <c r="A1749" s="1"/>
      <c r="B1749" s="1"/>
      <c r="C1749" s="1"/>
      <c r="D1749" s="7"/>
      <c r="E1749" s="7"/>
      <c r="F1749" s="6"/>
      <c r="G1749" s="7"/>
      <c r="H1749" s="2"/>
      <c r="I1749" s="2"/>
      <c r="J1749" s="2"/>
      <c r="K1749" s="2"/>
      <c r="L1749" s="178"/>
      <c r="M1749" s="2"/>
      <c r="N1749" s="7"/>
      <c r="P1749" s="7"/>
      <c r="R1749" s="2"/>
      <c r="S1749" s="2"/>
      <c r="T1749" s="2"/>
      <c r="U1749" s="2"/>
      <c r="V1749" s="2"/>
      <c r="X1749" s="38"/>
      <c r="Y1749" s="38"/>
      <c r="Z1749" s="38"/>
      <c r="AA1749" s="38"/>
      <c r="AB1749" s="38"/>
      <c r="AD1749" s="2"/>
      <c r="AE1749" s="2"/>
      <c r="AF1749" s="2"/>
      <c r="AG1749" s="2"/>
      <c r="AH1749" s="2"/>
      <c r="AJ1749" s="215"/>
      <c r="AK1749" s="215"/>
      <c r="AL1749" s="215"/>
      <c r="AM1749" s="215"/>
      <c r="AO1749" s="10"/>
      <c r="AP1749" s="10"/>
      <c r="AQ1749" s="10"/>
      <c r="AR1749" s="10"/>
      <c r="AS1749" s="10"/>
      <c r="AU1749" s="2"/>
      <c r="AV1749" s="2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</row>
    <row r="1750" spans="1:73" customFormat="1" ht="12.75" hidden="1" customHeight="1" x14ac:dyDescent="0.2">
      <c r="A1750" s="1"/>
      <c r="B1750" s="1"/>
      <c r="C1750" s="1"/>
      <c r="D1750" s="7"/>
      <c r="E1750" s="7"/>
      <c r="F1750" s="6"/>
      <c r="G1750" s="7"/>
      <c r="H1750" s="2"/>
      <c r="I1750" s="2"/>
      <c r="J1750" s="2"/>
      <c r="K1750" s="2"/>
      <c r="L1750" s="178"/>
      <c r="M1750" s="2"/>
      <c r="N1750" s="7"/>
      <c r="P1750" s="7"/>
      <c r="R1750" s="2"/>
      <c r="S1750" s="2"/>
      <c r="T1750" s="2"/>
      <c r="U1750" s="2"/>
      <c r="V1750" s="2"/>
      <c r="X1750" s="38"/>
      <c r="Y1750" s="38"/>
      <c r="Z1750" s="38"/>
      <c r="AA1750" s="38"/>
      <c r="AB1750" s="38"/>
      <c r="AD1750" s="2"/>
      <c r="AE1750" s="2"/>
      <c r="AF1750" s="2"/>
      <c r="AG1750" s="2"/>
      <c r="AH1750" s="2"/>
      <c r="AJ1750" s="215"/>
      <c r="AK1750" s="215"/>
      <c r="AL1750" s="215"/>
      <c r="AM1750" s="215"/>
      <c r="AO1750" s="10"/>
      <c r="AP1750" s="10"/>
      <c r="AQ1750" s="10"/>
      <c r="AR1750" s="10"/>
      <c r="AS1750" s="10"/>
      <c r="AU1750" s="2"/>
      <c r="AV1750" s="2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</row>
    <row r="1751" spans="1:73" customFormat="1" ht="12.75" hidden="1" customHeight="1" x14ac:dyDescent="0.2">
      <c r="A1751" s="1"/>
      <c r="B1751" s="1"/>
      <c r="C1751" s="1"/>
      <c r="D1751" s="7"/>
      <c r="E1751" s="7"/>
      <c r="F1751" s="6"/>
      <c r="G1751" s="7"/>
      <c r="H1751" s="2"/>
      <c r="I1751" s="2"/>
      <c r="J1751" s="2"/>
      <c r="K1751" s="2"/>
      <c r="L1751" s="178"/>
      <c r="M1751" s="2"/>
      <c r="N1751" s="7"/>
      <c r="P1751" s="7"/>
      <c r="R1751" s="2"/>
      <c r="S1751" s="2"/>
      <c r="T1751" s="2"/>
      <c r="U1751" s="2"/>
      <c r="V1751" s="2"/>
      <c r="X1751" s="38"/>
      <c r="Y1751" s="38"/>
      <c r="Z1751" s="38"/>
      <c r="AA1751" s="38"/>
      <c r="AB1751" s="38"/>
      <c r="AD1751" s="2"/>
      <c r="AE1751" s="2"/>
      <c r="AF1751" s="2"/>
      <c r="AG1751" s="2"/>
      <c r="AH1751" s="2"/>
      <c r="AJ1751" s="215"/>
      <c r="AK1751" s="215"/>
      <c r="AL1751" s="215"/>
      <c r="AM1751" s="215"/>
      <c r="AO1751" s="10"/>
      <c r="AP1751" s="10"/>
      <c r="AQ1751" s="10"/>
      <c r="AR1751" s="10"/>
      <c r="AS1751" s="10"/>
      <c r="AU1751" s="2"/>
      <c r="AV1751" s="2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</row>
    <row r="1752" spans="1:73" customFormat="1" ht="12.75" hidden="1" customHeight="1" x14ac:dyDescent="0.2">
      <c r="A1752" s="1"/>
      <c r="B1752" s="1"/>
      <c r="C1752" s="1"/>
      <c r="D1752" s="7"/>
      <c r="E1752" s="7"/>
      <c r="F1752" s="6"/>
      <c r="G1752" s="7"/>
      <c r="H1752" s="2"/>
      <c r="I1752" s="2"/>
      <c r="J1752" s="2"/>
      <c r="K1752" s="2"/>
      <c r="L1752" s="178"/>
      <c r="M1752" s="2"/>
      <c r="N1752" s="7"/>
      <c r="P1752" s="7"/>
      <c r="R1752" s="2"/>
      <c r="S1752" s="2"/>
      <c r="T1752" s="2"/>
      <c r="U1752" s="2"/>
      <c r="V1752" s="2"/>
      <c r="X1752" s="38"/>
      <c r="Y1752" s="38"/>
      <c r="Z1752" s="38"/>
      <c r="AA1752" s="38"/>
      <c r="AB1752" s="38"/>
      <c r="AD1752" s="2"/>
      <c r="AE1752" s="2"/>
      <c r="AF1752" s="2"/>
      <c r="AG1752" s="2"/>
      <c r="AH1752" s="2"/>
      <c r="AJ1752" s="215"/>
      <c r="AK1752" s="215"/>
      <c r="AL1752" s="215"/>
      <c r="AM1752" s="215"/>
      <c r="AO1752" s="10"/>
      <c r="AP1752" s="10"/>
      <c r="AQ1752" s="10"/>
      <c r="AR1752" s="10"/>
      <c r="AS1752" s="10"/>
      <c r="AU1752" s="2"/>
      <c r="AV1752" s="2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</row>
    <row r="1753" spans="1:73" customFormat="1" ht="12.75" hidden="1" customHeight="1" x14ac:dyDescent="0.2">
      <c r="A1753" s="1"/>
      <c r="B1753" s="1"/>
      <c r="C1753" s="1"/>
      <c r="D1753" s="7"/>
      <c r="E1753" s="7"/>
      <c r="F1753" s="6"/>
      <c r="G1753" s="7"/>
      <c r="H1753" s="2"/>
      <c r="I1753" s="2"/>
      <c r="J1753" s="2"/>
      <c r="K1753" s="2"/>
      <c r="L1753" s="178"/>
      <c r="M1753" s="2"/>
      <c r="N1753" s="7"/>
      <c r="P1753" s="7"/>
      <c r="R1753" s="2"/>
      <c r="S1753" s="2"/>
      <c r="T1753" s="2"/>
      <c r="U1753" s="2"/>
      <c r="V1753" s="2"/>
      <c r="X1753" s="38"/>
      <c r="Y1753" s="38"/>
      <c r="Z1753" s="38"/>
      <c r="AA1753" s="38"/>
      <c r="AB1753" s="38"/>
      <c r="AD1753" s="2"/>
      <c r="AE1753" s="2"/>
      <c r="AF1753" s="2"/>
      <c r="AG1753" s="2"/>
      <c r="AH1753" s="2"/>
      <c r="AJ1753" s="215"/>
      <c r="AK1753" s="215"/>
      <c r="AL1753" s="215"/>
      <c r="AM1753" s="215"/>
      <c r="AO1753" s="10"/>
      <c r="AP1753" s="10"/>
      <c r="AQ1753" s="10"/>
      <c r="AR1753" s="10"/>
      <c r="AS1753" s="10"/>
      <c r="AU1753" s="2"/>
      <c r="AV1753" s="2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</row>
    <row r="1754" spans="1:73" customFormat="1" ht="12.75" hidden="1" customHeight="1" x14ac:dyDescent="0.2">
      <c r="A1754" s="1"/>
      <c r="B1754" s="1"/>
      <c r="C1754" s="1"/>
      <c r="D1754" s="7"/>
      <c r="E1754" s="7"/>
      <c r="F1754" s="6"/>
      <c r="G1754" s="7"/>
      <c r="H1754" s="2"/>
      <c r="I1754" s="2"/>
      <c r="J1754" s="2"/>
      <c r="K1754" s="2"/>
      <c r="L1754" s="178"/>
      <c r="M1754" s="2"/>
      <c r="N1754" s="7"/>
      <c r="P1754" s="7"/>
      <c r="R1754" s="2"/>
      <c r="S1754" s="2"/>
      <c r="T1754" s="2"/>
      <c r="U1754" s="2"/>
      <c r="V1754" s="2"/>
      <c r="X1754" s="38"/>
      <c r="Y1754" s="38"/>
      <c r="Z1754" s="38"/>
      <c r="AA1754" s="38"/>
      <c r="AB1754" s="38"/>
      <c r="AD1754" s="2"/>
      <c r="AE1754" s="2"/>
      <c r="AF1754" s="2"/>
      <c r="AG1754" s="2"/>
      <c r="AH1754" s="2"/>
      <c r="AJ1754" s="215"/>
      <c r="AK1754" s="215"/>
      <c r="AL1754" s="215"/>
      <c r="AM1754" s="215"/>
      <c r="AO1754" s="10"/>
      <c r="AP1754" s="10"/>
      <c r="AQ1754" s="10"/>
      <c r="AR1754" s="10"/>
      <c r="AS1754" s="10"/>
      <c r="AU1754" s="2"/>
      <c r="AV1754" s="2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</row>
    <row r="1755" spans="1:73" customFormat="1" ht="12.75" hidden="1" customHeight="1" x14ac:dyDescent="0.2">
      <c r="A1755" s="1"/>
      <c r="B1755" s="1"/>
      <c r="C1755" s="1"/>
      <c r="D1755" s="7"/>
      <c r="E1755" s="7"/>
      <c r="F1755" s="6"/>
      <c r="G1755" s="7"/>
      <c r="H1755" s="2"/>
      <c r="I1755" s="2"/>
      <c r="J1755" s="2"/>
      <c r="K1755" s="2"/>
      <c r="L1755" s="178"/>
      <c r="M1755" s="2"/>
      <c r="N1755" s="7"/>
      <c r="P1755" s="7"/>
      <c r="R1755" s="2"/>
      <c r="S1755" s="2"/>
      <c r="T1755" s="2"/>
      <c r="U1755" s="2"/>
      <c r="V1755" s="2"/>
      <c r="X1755" s="38"/>
      <c r="Y1755" s="38"/>
      <c r="Z1755" s="38"/>
      <c r="AA1755" s="38"/>
      <c r="AB1755" s="38"/>
      <c r="AD1755" s="2"/>
      <c r="AE1755" s="2"/>
      <c r="AF1755" s="2"/>
      <c r="AG1755" s="2"/>
      <c r="AH1755" s="2"/>
      <c r="AJ1755" s="215"/>
      <c r="AK1755" s="215"/>
      <c r="AL1755" s="215"/>
      <c r="AM1755" s="215"/>
      <c r="AO1755" s="10"/>
      <c r="AP1755" s="10"/>
      <c r="AQ1755" s="10"/>
      <c r="AR1755" s="10"/>
      <c r="AS1755" s="10"/>
      <c r="AU1755" s="2"/>
      <c r="AV1755" s="2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</row>
    <row r="1756" spans="1:73" customFormat="1" ht="12.75" hidden="1" customHeight="1" x14ac:dyDescent="0.2">
      <c r="A1756" s="1"/>
      <c r="B1756" s="1"/>
      <c r="C1756" s="1"/>
      <c r="D1756" s="7"/>
      <c r="E1756" s="7"/>
      <c r="F1756" s="6"/>
      <c r="G1756" s="7"/>
      <c r="H1756" s="2"/>
      <c r="I1756" s="2"/>
      <c r="J1756" s="2"/>
      <c r="K1756" s="2"/>
      <c r="L1756" s="178"/>
      <c r="M1756" s="2"/>
      <c r="N1756" s="7"/>
      <c r="P1756" s="7"/>
      <c r="R1756" s="2"/>
      <c r="S1756" s="2"/>
      <c r="T1756" s="2"/>
      <c r="U1756" s="2"/>
      <c r="V1756" s="2"/>
      <c r="X1756" s="38"/>
      <c r="Y1756" s="38"/>
      <c r="Z1756" s="38"/>
      <c r="AA1756" s="38"/>
      <c r="AB1756" s="38"/>
      <c r="AD1756" s="2"/>
      <c r="AE1756" s="2"/>
      <c r="AF1756" s="2"/>
      <c r="AG1756" s="2"/>
      <c r="AH1756" s="2"/>
      <c r="AJ1756" s="215"/>
      <c r="AK1756" s="215"/>
      <c r="AL1756" s="215"/>
      <c r="AM1756" s="215"/>
      <c r="AO1756" s="10"/>
      <c r="AP1756" s="10"/>
      <c r="AQ1756" s="10"/>
      <c r="AR1756" s="10"/>
      <c r="AS1756" s="10"/>
      <c r="AU1756" s="2"/>
      <c r="AV1756" s="2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</row>
    <row r="1757" spans="1:73" customFormat="1" ht="12.75" hidden="1" customHeight="1" x14ac:dyDescent="0.2">
      <c r="A1757" s="1"/>
      <c r="B1757" s="1"/>
      <c r="C1757" s="1"/>
      <c r="D1757" s="7"/>
      <c r="E1757" s="7"/>
      <c r="F1757" s="6"/>
      <c r="G1757" s="7"/>
      <c r="H1757" s="2"/>
      <c r="I1757" s="2"/>
      <c r="J1757" s="2"/>
      <c r="K1757" s="2"/>
      <c r="L1757" s="178"/>
      <c r="M1757" s="2"/>
      <c r="N1757" s="7"/>
      <c r="P1757" s="7"/>
      <c r="R1757" s="2"/>
      <c r="S1757" s="2"/>
      <c r="T1757" s="2"/>
      <c r="U1757" s="2"/>
      <c r="V1757" s="2"/>
      <c r="X1757" s="38"/>
      <c r="Y1757" s="38"/>
      <c r="Z1757" s="38"/>
      <c r="AA1757" s="38"/>
      <c r="AB1757" s="38"/>
      <c r="AD1757" s="2"/>
      <c r="AE1757" s="2"/>
      <c r="AF1757" s="2"/>
      <c r="AG1757" s="2"/>
      <c r="AH1757" s="2"/>
      <c r="AJ1757" s="215"/>
      <c r="AK1757" s="215"/>
      <c r="AL1757" s="215"/>
      <c r="AM1757" s="215"/>
      <c r="AO1757" s="10"/>
      <c r="AP1757" s="10"/>
      <c r="AQ1757" s="10"/>
      <c r="AR1757" s="10"/>
      <c r="AS1757" s="10"/>
      <c r="AU1757" s="2"/>
      <c r="AV1757" s="2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</row>
    <row r="1758" spans="1:73" customFormat="1" ht="12.75" hidden="1" customHeight="1" x14ac:dyDescent="0.2">
      <c r="A1758" s="1"/>
      <c r="B1758" s="1"/>
      <c r="C1758" s="1"/>
      <c r="D1758" s="7"/>
      <c r="E1758" s="7"/>
      <c r="F1758" s="6"/>
      <c r="G1758" s="7"/>
      <c r="H1758" s="2"/>
      <c r="I1758" s="2"/>
      <c r="J1758" s="2"/>
      <c r="K1758" s="2"/>
      <c r="L1758" s="178"/>
      <c r="M1758" s="2"/>
      <c r="N1758" s="7"/>
      <c r="P1758" s="7"/>
      <c r="R1758" s="2"/>
      <c r="S1758" s="2"/>
      <c r="T1758" s="2"/>
      <c r="U1758" s="2"/>
      <c r="V1758" s="2"/>
      <c r="X1758" s="38"/>
      <c r="Y1758" s="38"/>
      <c r="Z1758" s="38"/>
      <c r="AA1758" s="38"/>
      <c r="AB1758" s="38"/>
      <c r="AD1758" s="2"/>
      <c r="AE1758" s="2"/>
      <c r="AF1758" s="2"/>
      <c r="AG1758" s="2"/>
      <c r="AH1758" s="2"/>
      <c r="AJ1758" s="215"/>
      <c r="AK1758" s="215"/>
      <c r="AL1758" s="215"/>
      <c r="AM1758" s="215"/>
      <c r="AO1758" s="10"/>
      <c r="AP1758" s="10"/>
      <c r="AQ1758" s="10"/>
      <c r="AR1758" s="10"/>
      <c r="AS1758" s="10"/>
      <c r="AU1758" s="2"/>
      <c r="AV1758" s="2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</row>
    <row r="1759" spans="1:73" customFormat="1" ht="12.75" hidden="1" customHeight="1" x14ac:dyDescent="0.2">
      <c r="A1759" s="1"/>
      <c r="B1759" s="1"/>
      <c r="C1759" s="1"/>
      <c r="D1759" s="7"/>
      <c r="E1759" s="7"/>
      <c r="F1759" s="6"/>
      <c r="G1759" s="7"/>
      <c r="H1759" s="2"/>
      <c r="I1759" s="2"/>
      <c r="J1759" s="2"/>
      <c r="K1759" s="2"/>
      <c r="L1759" s="178"/>
      <c r="M1759" s="2"/>
      <c r="N1759" s="7"/>
      <c r="P1759" s="7"/>
      <c r="R1759" s="2"/>
      <c r="S1759" s="2"/>
      <c r="T1759" s="2"/>
      <c r="U1759" s="2"/>
      <c r="V1759" s="2"/>
      <c r="X1759" s="38"/>
      <c r="Y1759" s="38"/>
      <c r="Z1759" s="38"/>
      <c r="AA1759" s="38"/>
      <c r="AB1759" s="38"/>
      <c r="AD1759" s="2"/>
      <c r="AE1759" s="2"/>
      <c r="AF1759" s="2"/>
      <c r="AG1759" s="2"/>
      <c r="AH1759" s="2"/>
      <c r="AJ1759" s="215"/>
      <c r="AK1759" s="215"/>
      <c r="AL1759" s="215"/>
      <c r="AM1759" s="215"/>
      <c r="AO1759" s="10"/>
      <c r="AP1759" s="10"/>
      <c r="AQ1759" s="10"/>
      <c r="AR1759" s="10"/>
      <c r="AS1759" s="10"/>
      <c r="AU1759" s="2"/>
      <c r="AV1759" s="2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</row>
    <row r="1760" spans="1:73" customFormat="1" ht="12.75" hidden="1" customHeight="1" x14ac:dyDescent="0.2">
      <c r="A1760" s="1"/>
      <c r="B1760" s="1"/>
      <c r="C1760" s="1"/>
      <c r="D1760" s="7"/>
      <c r="E1760" s="7"/>
      <c r="F1760" s="6"/>
      <c r="G1760" s="7"/>
      <c r="H1760" s="2"/>
      <c r="I1760" s="2"/>
      <c r="J1760" s="2"/>
      <c r="K1760" s="2"/>
      <c r="L1760" s="178"/>
      <c r="M1760" s="2"/>
      <c r="N1760" s="7"/>
      <c r="P1760" s="7"/>
      <c r="R1760" s="2"/>
      <c r="S1760" s="2"/>
      <c r="T1760" s="2"/>
      <c r="U1760" s="2"/>
      <c r="V1760" s="2"/>
      <c r="X1760" s="38"/>
      <c r="Y1760" s="38"/>
      <c r="Z1760" s="38"/>
      <c r="AA1760" s="38"/>
      <c r="AB1760" s="38"/>
      <c r="AD1760" s="2"/>
      <c r="AE1760" s="2"/>
      <c r="AF1760" s="2"/>
      <c r="AG1760" s="2"/>
      <c r="AH1760" s="2"/>
      <c r="AJ1760" s="215"/>
      <c r="AK1760" s="215"/>
      <c r="AL1760" s="215"/>
      <c r="AM1760" s="215"/>
      <c r="AO1760" s="10"/>
      <c r="AP1760" s="10"/>
      <c r="AQ1760" s="10"/>
      <c r="AR1760" s="10"/>
      <c r="AS1760" s="10"/>
      <c r="AU1760" s="2"/>
      <c r="AV1760" s="2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</row>
    <row r="1761" spans="1:73" customFormat="1" ht="12.75" hidden="1" customHeight="1" x14ac:dyDescent="0.2">
      <c r="A1761" s="1"/>
      <c r="B1761" s="1"/>
      <c r="C1761" s="1"/>
      <c r="D1761" s="7"/>
      <c r="E1761" s="7"/>
      <c r="F1761" s="6"/>
      <c r="G1761" s="7"/>
      <c r="H1761" s="2"/>
      <c r="I1761" s="2"/>
      <c r="J1761" s="2"/>
      <c r="K1761" s="2"/>
      <c r="L1761" s="178"/>
      <c r="M1761" s="2"/>
      <c r="N1761" s="7"/>
      <c r="P1761" s="7"/>
      <c r="R1761" s="2"/>
      <c r="S1761" s="2"/>
      <c r="T1761" s="2"/>
      <c r="U1761" s="2"/>
      <c r="V1761" s="2"/>
      <c r="X1761" s="38"/>
      <c r="Y1761" s="38"/>
      <c r="Z1761" s="38"/>
      <c r="AA1761" s="38"/>
      <c r="AB1761" s="38"/>
      <c r="AD1761" s="2"/>
      <c r="AE1761" s="2"/>
      <c r="AF1761" s="2"/>
      <c r="AG1761" s="2"/>
      <c r="AH1761" s="2"/>
      <c r="AJ1761" s="215"/>
      <c r="AK1761" s="215"/>
      <c r="AL1761" s="215"/>
      <c r="AM1761" s="215"/>
      <c r="AO1761" s="10"/>
      <c r="AP1761" s="10"/>
      <c r="AQ1761" s="10"/>
      <c r="AR1761" s="10"/>
      <c r="AS1761" s="10"/>
      <c r="AU1761" s="2"/>
      <c r="AV1761" s="2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</row>
    <row r="1762" spans="1:73" customFormat="1" ht="12.75" hidden="1" customHeight="1" x14ac:dyDescent="0.2">
      <c r="A1762" s="1"/>
      <c r="B1762" s="1"/>
      <c r="C1762" s="1"/>
      <c r="D1762" s="7"/>
      <c r="E1762" s="7"/>
      <c r="F1762" s="6"/>
      <c r="G1762" s="7"/>
      <c r="H1762" s="2"/>
      <c r="I1762" s="2"/>
      <c r="J1762" s="2"/>
      <c r="K1762" s="2"/>
      <c r="L1762" s="178"/>
      <c r="M1762" s="2"/>
      <c r="N1762" s="7"/>
      <c r="P1762" s="7"/>
      <c r="R1762" s="2"/>
      <c r="S1762" s="2"/>
      <c r="T1762" s="2"/>
      <c r="U1762" s="2"/>
      <c r="V1762" s="2"/>
      <c r="X1762" s="38"/>
      <c r="Y1762" s="38"/>
      <c r="Z1762" s="38"/>
      <c r="AA1762" s="38"/>
      <c r="AB1762" s="38"/>
      <c r="AD1762" s="2"/>
      <c r="AE1762" s="2"/>
      <c r="AF1762" s="2"/>
      <c r="AG1762" s="2"/>
      <c r="AH1762" s="2"/>
      <c r="AJ1762" s="215"/>
      <c r="AK1762" s="215"/>
      <c r="AL1762" s="215"/>
      <c r="AM1762" s="215"/>
      <c r="AO1762" s="10"/>
      <c r="AP1762" s="10"/>
      <c r="AQ1762" s="10"/>
      <c r="AR1762" s="10"/>
      <c r="AS1762" s="10"/>
      <c r="AU1762" s="2"/>
      <c r="AV1762" s="2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</row>
    <row r="1763" spans="1:73" customFormat="1" ht="12.75" hidden="1" customHeight="1" x14ac:dyDescent="0.2">
      <c r="A1763" s="1"/>
      <c r="B1763" s="1"/>
      <c r="C1763" s="1"/>
      <c r="D1763" s="7"/>
      <c r="E1763" s="7"/>
      <c r="F1763" s="6"/>
      <c r="G1763" s="7"/>
      <c r="H1763" s="2"/>
      <c r="I1763" s="2"/>
      <c r="J1763" s="2"/>
      <c r="K1763" s="2"/>
      <c r="L1763" s="178"/>
      <c r="M1763" s="2"/>
      <c r="N1763" s="7"/>
      <c r="P1763" s="7"/>
      <c r="R1763" s="2"/>
      <c r="S1763" s="2"/>
      <c r="T1763" s="2"/>
      <c r="U1763" s="2"/>
      <c r="V1763" s="2"/>
      <c r="X1763" s="38"/>
      <c r="Y1763" s="38"/>
      <c r="Z1763" s="38"/>
      <c r="AA1763" s="38"/>
      <c r="AB1763" s="38"/>
      <c r="AD1763" s="2"/>
      <c r="AE1763" s="2"/>
      <c r="AF1763" s="2"/>
      <c r="AG1763" s="2"/>
      <c r="AH1763" s="2"/>
      <c r="AJ1763" s="215"/>
      <c r="AK1763" s="215"/>
      <c r="AL1763" s="215"/>
      <c r="AM1763" s="215"/>
      <c r="AO1763" s="10"/>
      <c r="AP1763" s="10"/>
      <c r="AQ1763" s="10"/>
      <c r="AR1763" s="10"/>
      <c r="AS1763" s="10"/>
      <c r="AU1763" s="2"/>
      <c r="AV1763" s="2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</row>
    <row r="1764" spans="1:73" customFormat="1" ht="12.75" hidden="1" customHeight="1" x14ac:dyDescent="0.2">
      <c r="A1764" s="1"/>
      <c r="B1764" s="1"/>
      <c r="C1764" s="1"/>
      <c r="D1764" s="7"/>
      <c r="E1764" s="7"/>
      <c r="F1764" s="6"/>
      <c r="G1764" s="7"/>
      <c r="H1764" s="2"/>
      <c r="I1764" s="2"/>
      <c r="J1764" s="2"/>
      <c r="K1764" s="2"/>
      <c r="L1764" s="178"/>
      <c r="M1764" s="2"/>
      <c r="N1764" s="7"/>
      <c r="P1764" s="7"/>
      <c r="R1764" s="2"/>
      <c r="S1764" s="2"/>
      <c r="T1764" s="2"/>
      <c r="U1764" s="2"/>
      <c r="V1764" s="2"/>
      <c r="X1764" s="38"/>
      <c r="Y1764" s="38"/>
      <c r="Z1764" s="38"/>
      <c r="AA1764" s="38"/>
      <c r="AB1764" s="38"/>
      <c r="AD1764" s="2"/>
      <c r="AE1764" s="2"/>
      <c r="AF1764" s="2"/>
      <c r="AG1764" s="2"/>
      <c r="AH1764" s="2"/>
      <c r="AJ1764" s="215"/>
      <c r="AK1764" s="215"/>
      <c r="AL1764" s="215"/>
      <c r="AM1764" s="215"/>
      <c r="AO1764" s="10"/>
      <c r="AP1764" s="10"/>
      <c r="AQ1764" s="10"/>
      <c r="AR1764" s="10"/>
      <c r="AS1764" s="10"/>
      <c r="AU1764" s="2"/>
      <c r="AV1764" s="2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</row>
    <row r="1765" spans="1:73" customFormat="1" ht="12.75" hidden="1" customHeight="1" x14ac:dyDescent="0.2">
      <c r="A1765" s="1"/>
      <c r="B1765" s="1"/>
      <c r="C1765" s="1"/>
      <c r="D1765" s="7"/>
      <c r="E1765" s="7"/>
      <c r="F1765" s="6"/>
      <c r="G1765" s="7"/>
      <c r="H1765" s="2"/>
      <c r="I1765" s="2"/>
      <c r="J1765" s="2"/>
      <c r="K1765" s="2"/>
      <c r="L1765" s="178"/>
      <c r="M1765" s="2"/>
      <c r="N1765" s="7"/>
      <c r="P1765" s="7"/>
      <c r="R1765" s="2"/>
      <c r="S1765" s="2"/>
      <c r="T1765" s="2"/>
      <c r="U1765" s="2"/>
      <c r="V1765" s="2"/>
      <c r="X1765" s="38"/>
      <c r="Y1765" s="38"/>
      <c r="Z1765" s="38"/>
      <c r="AA1765" s="38"/>
      <c r="AB1765" s="38"/>
      <c r="AD1765" s="2"/>
      <c r="AE1765" s="2"/>
      <c r="AF1765" s="2"/>
      <c r="AG1765" s="2"/>
      <c r="AH1765" s="2"/>
      <c r="AJ1765" s="215"/>
      <c r="AK1765" s="215"/>
      <c r="AL1765" s="215"/>
      <c r="AM1765" s="215"/>
      <c r="AO1765" s="10"/>
      <c r="AP1765" s="10"/>
      <c r="AQ1765" s="10"/>
      <c r="AR1765" s="10"/>
      <c r="AS1765" s="10"/>
      <c r="AU1765" s="2"/>
      <c r="AV1765" s="2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</row>
    <row r="1766" spans="1:73" customFormat="1" ht="12.75" hidden="1" customHeight="1" x14ac:dyDescent="0.2">
      <c r="A1766" s="1"/>
      <c r="B1766" s="1"/>
      <c r="C1766" s="1"/>
      <c r="D1766" s="7"/>
      <c r="E1766" s="7"/>
      <c r="F1766" s="6"/>
      <c r="G1766" s="7"/>
      <c r="H1766" s="2"/>
      <c r="I1766" s="2"/>
      <c r="J1766" s="2"/>
      <c r="K1766" s="2"/>
      <c r="L1766" s="178"/>
      <c r="M1766" s="2"/>
      <c r="N1766" s="7"/>
      <c r="P1766" s="7"/>
      <c r="R1766" s="2"/>
      <c r="S1766" s="2"/>
      <c r="T1766" s="2"/>
      <c r="U1766" s="2"/>
      <c r="V1766" s="2"/>
      <c r="X1766" s="38"/>
      <c r="Y1766" s="38"/>
      <c r="Z1766" s="38"/>
      <c r="AA1766" s="38"/>
      <c r="AB1766" s="38"/>
      <c r="AD1766" s="2"/>
      <c r="AE1766" s="2"/>
      <c r="AF1766" s="2"/>
      <c r="AG1766" s="2"/>
      <c r="AH1766" s="2"/>
      <c r="AJ1766" s="215"/>
      <c r="AK1766" s="215"/>
      <c r="AL1766" s="215"/>
      <c r="AM1766" s="215"/>
      <c r="AO1766" s="10"/>
      <c r="AP1766" s="10"/>
      <c r="AQ1766" s="10"/>
      <c r="AR1766" s="10"/>
      <c r="AS1766" s="10"/>
      <c r="AU1766" s="2"/>
      <c r="AV1766" s="2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</row>
    <row r="1767" spans="1:73" customFormat="1" ht="12.75" hidden="1" customHeight="1" x14ac:dyDescent="0.2">
      <c r="A1767" s="1"/>
      <c r="B1767" s="1"/>
      <c r="C1767" s="1"/>
      <c r="D1767" s="7"/>
      <c r="E1767" s="7"/>
      <c r="F1767" s="6"/>
      <c r="G1767" s="7"/>
      <c r="H1767" s="2"/>
      <c r="I1767" s="2"/>
      <c r="J1767" s="2"/>
      <c r="K1767" s="2"/>
      <c r="L1767" s="178"/>
      <c r="M1767" s="2"/>
      <c r="N1767" s="7"/>
      <c r="P1767" s="7"/>
      <c r="R1767" s="2"/>
      <c r="S1767" s="2"/>
      <c r="T1767" s="2"/>
      <c r="U1767" s="2"/>
      <c r="V1767" s="2"/>
      <c r="X1767" s="38"/>
      <c r="Y1767" s="38"/>
      <c r="Z1767" s="38"/>
      <c r="AA1767" s="38"/>
      <c r="AB1767" s="38"/>
      <c r="AD1767" s="2"/>
      <c r="AE1767" s="2"/>
      <c r="AF1767" s="2"/>
      <c r="AG1767" s="2"/>
      <c r="AH1767" s="2"/>
      <c r="AJ1767" s="215"/>
      <c r="AK1767" s="215"/>
      <c r="AL1767" s="215"/>
      <c r="AM1767" s="215"/>
      <c r="AO1767" s="10"/>
      <c r="AP1767" s="10"/>
      <c r="AQ1767" s="10"/>
      <c r="AR1767" s="10"/>
      <c r="AS1767" s="10"/>
      <c r="AU1767" s="2"/>
      <c r="AV1767" s="2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</row>
    <row r="1768" spans="1:73" customFormat="1" ht="12.75" hidden="1" customHeight="1" x14ac:dyDescent="0.2">
      <c r="A1768" s="1"/>
      <c r="B1768" s="1"/>
      <c r="C1768" s="1"/>
      <c r="D1768" s="7"/>
      <c r="E1768" s="7"/>
      <c r="F1768" s="6"/>
      <c r="G1768" s="7"/>
      <c r="H1768" s="2"/>
      <c r="I1768" s="2"/>
      <c r="J1768" s="2"/>
      <c r="K1768" s="2"/>
      <c r="L1768" s="178"/>
      <c r="M1768" s="2"/>
      <c r="N1768" s="7"/>
      <c r="P1768" s="7"/>
      <c r="R1768" s="2"/>
      <c r="S1768" s="2"/>
      <c r="T1768" s="2"/>
      <c r="U1768" s="2"/>
      <c r="V1768" s="2"/>
      <c r="X1768" s="38"/>
      <c r="Y1768" s="38"/>
      <c r="Z1768" s="38"/>
      <c r="AA1768" s="38"/>
      <c r="AB1768" s="38"/>
      <c r="AD1768" s="2"/>
      <c r="AE1768" s="2"/>
      <c r="AF1768" s="2"/>
      <c r="AG1768" s="2"/>
      <c r="AH1768" s="2"/>
      <c r="AJ1768" s="215"/>
      <c r="AK1768" s="215"/>
      <c r="AL1768" s="215"/>
      <c r="AM1768" s="215"/>
      <c r="AO1768" s="10"/>
      <c r="AP1768" s="10"/>
      <c r="AQ1768" s="10"/>
      <c r="AR1768" s="10"/>
      <c r="AS1768" s="10"/>
      <c r="AU1768" s="2"/>
      <c r="AV1768" s="2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</row>
    <row r="1769" spans="1:73" customFormat="1" ht="12.75" hidden="1" customHeight="1" x14ac:dyDescent="0.2">
      <c r="A1769" s="1"/>
      <c r="B1769" s="1"/>
      <c r="C1769" s="1"/>
      <c r="D1769" s="7"/>
      <c r="E1769" s="7"/>
      <c r="F1769" s="6"/>
      <c r="G1769" s="7"/>
      <c r="H1769" s="2"/>
      <c r="I1769" s="2"/>
      <c r="J1769" s="2"/>
      <c r="K1769" s="2"/>
      <c r="L1769" s="178"/>
      <c r="M1769" s="2"/>
      <c r="N1769" s="7"/>
      <c r="P1769" s="7"/>
      <c r="R1769" s="2"/>
      <c r="S1769" s="2"/>
      <c r="T1769" s="2"/>
      <c r="U1769" s="2"/>
      <c r="V1769" s="2"/>
      <c r="X1769" s="38"/>
      <c r="Y1769" s="38"/>
      <c r="Z1769" s="38"/>
      <c r="AA1769" s="38"/>
      <c r="AB1769" s="38"/>
      <c r="AD1769" s="2"/>
      <c r="AE1769" s="2"/>
      <c r="AF1769" s="2"/>
      <c r="AG1769" s="2"/>
      <c r="AH1769" s="2"/>
      <c r="AJ1769" s="215"/>
      <c r="AK1769" s="215"/>
      <c r="AL1769" s="215"/>
      <c r="AM1769" s="215"/>
      <c r="AO1769" s="10"/>
      <c r="AP1769" s="10"/>
      <c r="AQ1769" s="10"/>
      <c r="AR1769" s="10"/>
      <c r="AS1769" s="10"/>
      <c r="AU1769" s="2"/>
      <c r="AV1769" s="2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</row>
    <row r="1770" spans="1:73" customFormat="1" ht="12.75" hidden="1" customHeight="1" x14ac:dyDescent="0.2">
      <c r="A1770" s="1"/>
      <c r="B1770" s="1"/>
      <c r="C1770" s="1"/>
      <c r="D1770" s="7"/>
      <c r="E1770" s="7"/>
      <c r="F1770" s="6"/>
      <c r="G1770" s="7"/>
      <c r="H1770" s="2"/>
      <c r="I1770" s="2"/>
      <c r="J1770" s="2"/>
      <c r="K1770" s="2"/>
      <c r="L1770" s="178"/>
      <c r="M1770" s="2"/>
      <c r="N1770" s="7"/>
      <c r="P1770" s="7"/>
      <c r="R1770" s="2"/>
      <c r="S1770" s="2"/>
      <c r="T1770" s="2"/>
      <c r="U1770" s="2"/>
      <c r="V1770" s="2"/>
      <c r="X1770" s="38"/>
      <c r="Y1770" s="38"/>
      <c r="Z1770" s="38"/>
      <c r="AA1770" s="38"/>
      <c r="AB1770" s="38"/>
      <c r="AD1770" s="2"/>
      <c r="AE1770" s="2"/>
      <c r="AF1770" s="2"/>
      <c r="AG1770" s="2"/>
      <c r="AH1770" s="2"/>
      <c r="AJ1770" s="215"/>
      <c r="AK1770" s="215"/>
      <c r="AL1770" s="215"/>
      <c r="AM1770" s="215"/>
      <c r="AO1770" s="10"/>
      <c r="AP1770" s="10"/>
      <c r="AQ1770" s="10"/>
      <c r="AR1770" s="10"/>
      <c r="AS1770" s="10"/>
      <c r="AU1770" s="2"/>
      <c r="AV1770" s="2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</row>
    <row r="1771" spans="1:73" customFormat="1" ht="12.75" hidden="1" customHeight="1" x14ac:dyDescent="0.2">
      <c r="A1771" s="1"/>
      <c r="B1771" s="1"/>
      <c r="C1771" s="1"/>
      <c r="D1771" s="7"/>
      <c r="E1771" s="7"/>
      <c r="F1771" s="6"/>
      <c r="G1771" s="7"/>
      <c r="H1771" s="2"/>
      <c r="I1771" s="2"/>
      <c r="J1771" s="2"/>
      <c r="K1771" s="2"/>
      <c r="L1771" s="178"/>
      <c r="M1771" s="2"/>
      <c r="N1771" s="7"/>
      <c r="P1771" s="7"/>
      <c r="R1771" s="2"/>
      <c r="S1771" s="2"/>
      <c r="T1771" s="2"/>
      <c r="U1771" s="2"/>
      <c r="V1771" s="2"/>
      <c r="X1771" s="38"/>
      <c r="Y1771" s="38"/>
      <c r="Z1771" s="38"/>
      <c r="AA1771" s="38"/>
      <c r="AB1771" s="38"/>
      <c r="AD1771" s="2"/>
      <c r="AE1771" s="2"/>
      <c r="AF1771" s="2"/>
      <c r="AG1771" s="2"/>
      <c r="AH1771" s="2"/>
      <c r="AJ1771" s="215"/>
      <c r="AK1771" s="215"/>
      <c r="AL1771" s="215"/>
      <c r="AM1771" s="215"/>
      <c r="AO1771" s="10"/>
      <c r="AP1771" s="10"/>
      <c r="AQ1771" s="10"/>
      <c r="AR1771" s="10"/>
      <c r="AS1771" s="10"/>
      <c r="AU1771" s="2"/>
      <c r="AV1771" s="2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</row>
    <row r="1772" spans="1:73" customFormat="1" ht="12.75" hidden="1" customHeight="1" x14ac:dyDescent="0.2">
      <c r="A1772" s="1"/>
      <c r="B1772" s="1"/>
      <c r="C1772" s="1"/>
      <c r="D1772" s="7"/>
      <c r="E1772" s="7"/>
      <c r="F1772" s="6"/>
      <c r="G1772" s="7"/>
      <c r="H1772" s="2"/>
      <c r="I1772" s="2"/>
      <c r="J1772" s="2"/>
      <c r="K1772" s="2"/>
      <c r="L1772" s="178"/>
      <c r="M1772" s="2"/>
      <c r="N1772" s="7"/>
      <c r="P1772" s="7"/>
      <c r="R1772" s="2"/>
      <c r="S1772" s="2"/>
      <c r="T1772" s="2"/>
      <c r="U1772" s="2"/>
      <c r="V1772" s="2"/>
      <c r="X1772" s="38"/>
      <c r="Y1772" s="38"/>
      <c r="Z1772" s="38"/>
      <c r="AA1772" s="38"/>
      <c r="AB1772" s="38"/>
      <c r="AD1772" s="2"/>
      <c r="AE1772" s="2"/>
      <c r="AF1772" s="2"/>
      <c r="AG1772" s="2"/>
      <c r="AH1772" s="2"/>
      <c r="AJ1772" s="215"/>
      <c r="AK1772" s="215"/>
      <c r="AL1772" s="215"/>
      <c r="AM1772" s="215"/>
      <c r="AO1772" s="10"/>
      <c r="AP1772" s="10"/>
      <c r="AQ1772" s="10"/>
      <c r="AR1772" s="10"/>
      <c r="AS1772" s="10"/>
      <c r="AU1772" s="2"/>
      <c r="AV1772" s="2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</row>
    <row r="1773" spans="1:73" customFormat="1" ht="12.75" hidden="1" customHeight="1" x14ac:dyDescent="0.2">
      <c r="A1773" s="1"/>
      <c r="B1773" s="1"/>
      <c r="C1773" s="1"/>
      <c r="D1773" s="7"/>
      <c r="E1773" s="7"/>
      <c r="F1773" s="6"/>
      <c r="G1773" s="7"/>
      <c r="H1773" s="2"/>
      <c r="I1773" s="2"/>
      <c r="J1773" s="2"/>
      <c r="K1773" s="2"/>
      <c r="L1773" s="178"/>
      <c r="M1773" s="2"/>
      <c r="N1773" s="7"/>
      <c r="P1773" s="7"/>
      <c r="R1773" s="2"/>
      <c r="S1773" s="2"/>
      <c r="T1773" s="2"/>
      <c r="U1773" s="2"/>
      <c r="V1773" s="2"/>
      <c r="X1773" s="38"/>
      <c r="Y1773" s="38"/>
      <c r="Z1773" s="38"/>
      <c r="AA1773" s="38"/>
      <c r="AB1773" s="38"/>
      <c r="AD1773" s="2"/>
      <c r="AE1773" s="2"/>
      <c r="AF1773" s="2"/>
      <c r="AG1773" s="2"/>
      <c r="AH1773" s="2"/>
      <c r="AJ1773" s="215"/>
      <c r="AK1773" s="215"/>
      <c r="AL1773" s="215"/>
      <c r="AM1773" s="215"/>
      <c r="AO1773" s="10"/>
      <c r="AP1773" s="10"/>
      <c r="AQ1773" s="10"/>
      <c r="AR1773" s="10"/>
      <c r="AS1773" s="10"/>
      <c r="AU1773" s="2"/>
      <c r="AV1773" s="2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</row>
    <row r="1774" spans="1:73" customFormat="1" ht="12.75" hidden="1" customHeight="1" x14ac:dyDescent="0.2">
      <c r="A1774" s="1"/>
      <c r="B1774" s="1"/>
      <c r="C1774" s="1"/>
      <c r="D1774" s="7"/>
      <c r="E1774" s="7"/>
      <c r="F1774" s="6"/>
      <c r="G1774" s="7"/>
      <c r="H1774" s="2"/>
      <c r="I1774" s="2"/>
      <c r="J1774" s="2"/>
      <c r="K1774" s="2"/>
      <c r="L1774" s="178"/>
      <c r="M1774" s="2"/>
      <c r="N1774" s="7"/>
      <c r="P1774" s="7"/>
      <c r="R1774" s="2"/>
      <c r="S1774" s="2"/>
      <c r="T1774" s="2"/>
      <c r="U1774" s="2"/>
      <c r="V1774" s="2"/>
      <c r="X1774" s="38"/>
      <c r="Y1774" s="38"/>
      <c r="Z1774" s="38"/>
      <c r="AA1774" s="38"/>
      <c r="AB1774" s="38"/>
      <c r="AD1774" s="2"/>
      <c r="AE1774" s="2"/>
      <c r="AF1774" s="2"/>
      <c r="AG1774" s="2"/>
      <c r="AH1774" s="2"/>
      <c r="AJ1774" s="215"/>
      <c r="AK1774" s="215"/>
      <c r="AL1774" s="215"/>
      <c r="AM1774" s="215"/>
      <c r="AO1774" s="10"/>
      <c r="AP1774" s="10"/>
      <c r="AQ1774" s="10"/>
      <c r="AR1774" s="10"/>
      <c r="AS1774" s="10"/>
      <c r="AU1774" s="2"/>
      <c r="AV1774" s="2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</row>
    <row r="1775" spans="1:73" customFormat="1" ht="12.75" hidden="1" customHeight="1" x14ac:dyDescent="0.2">
      <c r="A1775" s="1"/>
      <c r="B1775" s="1"/>
      <c r="C1775" s="1"/>
      <c r="D1775" s="7"/>
      <c r="E1775" s="7"/>
      <c r="F1775" s="6"/>
      <c r="G1775" s="7"/>
      <c r="H1775" s="2"/>
      <c r="I1775" s="2"/>
      <c r="J1775" s="2"/>
      <c r="K1775" s="2"/>
      <c r="L1775" s="178"/>
      <c r="M1775" s="2"/>
      <c r="N1775" s="7"/>
      <c r="P1775" s="7"/>
      <c r="R1775" s="2"/>
      <c r="S1775" s="2"/>
      <c r="T1775" s="2"/>
      <c r="U1775" s="2"/>
      <c r="V1775" s="2"/>
      <c r="X1775" s="38"/>
      <c r="Y1775" s="38"/>
      <c r="Z1775" s="38"/>
      <c r="AA1775" s="38"/>
      <c r="AB1775" s="38"/>
      <c r="AD1775" s="2"/>
      <c r="AE1775" s="2"/>
      <c r="AF1775" s="2"/>
      <c r="AG1775" s="2"/>
      <c r="AH1775" s="2"/>
      <c r="AJ1775" s="215"/>
      <c r="AK1775" s="215"/>
      <c r="AL1775" s="215"/>
      <c r="AM1775" s="215"/>
      <c r="AO1775" s="10"/>
      <c r="AP1775" s="10"/>
      <c r="AQ1775" s="10"/>
      <c r="AR1775" s="10"/>
      <c r="AS1775" s="10"/>
      <c r="AU1775" s="2"/>
      <c r="AV1775" s="2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</row>
    <row r="1776" spans="1:73" customFormat="1" ht="12.75" hidden="1" customHeight="1" x14ac:dyDescent="0.2">
      <c r="A1776" s="1"/>
      <c r="B1776" s="1"/>
      <c r="C1776" s="1"/>
      <c r="D1776" s="7"/>
      <c r="E1776" s="7"/>
      <c r="F1776" s="6"/>
      <c r="G1776" s="7"/>
      <c r="H1776" s="2"/>
      <c r="I1776" s="2"/>
      <c r="J1776" s="2"/>
      <c r="K1776" s="2"/>
      <c r="L1776" s="178"/>
      <c r="M1776" s="2"/>
      <c r="N1776" s="7"/>
      <c r="P1776" s="7"/>
      <c r="R1776" s="2"/>
      <c r="S1776" s="2"/>
      <c r="T1776" s="2"/>
      <c r="U1776" s="2"/>
      <c r="V1776" s="2"/>
      <c r="X1776" s="38"/>
      <c r="Y1776" s="38"/>
      <c r="Z1776" s="38"/>
      <c r="AA1776" s="38"/>
      <c r="AB1776" s="38"/>
      <c r="AD1776" s="2"/>
      <c r="AE1776" s="2"/>
      <c r="AF1776" s="2"/>
      <c r="AG1776" s="2"/>
      <c r="AH1776" s="2"/>
      <c r="AJ1776" s="215"/>
      <c r="AK1776" s="215"/>
      <c r="AL1776" s="215"/>
      <c r="AM1776" s="215"/>
      <c r="AO1776" s="10"/>
      <c r="AP1776" s="10"/>
      <c r="AQ1776" s="10"/>
      <c r="AR1776" s="10"/>
      <c r="AS1776" s="10"/>
      <c r="AU1776" s="2"/>
      <c r="AV1776" s="2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</row>
    <row r="1777" spans="1:73" customFormat="1" ht="12.75" hidden="1" customHeight="1" x14ac:dyDescent="0.2">
      <c r="A1777" s="1"/>
      <c r="B1777" s="1"/>
      <c r="C1777" s="1"/>
      <c r="D1777" s="7"/>
      <c r="E1777" s="7"/>
      <c r="F1777" s="6"/>
      <c r="G1777" s="7"/>
      <c r="H1777" s="2"/>
      <c r="I1777" s="2"/>
      <c r="J1777" s="2"/>
      <c r="K1777" s="2"/>
      <c r="L1777" s="178"/>
      <c r="M1777" s="2"/>
      <c r="N1777" s="7"/>
      <c r="P1777" s="7"/>
      <c r="R1777" s="2"/>
      <c r="S1777" s="2"/>
      <c r="T1777" s="2"/>
      <c r="U1777" s="2"/>
      <c r="V1777" s="2"/>
      <c r="X1777" s="38"/>
      <c r="Y1777" s="38"/>
      <c r="Z1777" s="38"/>
      <c r="AA1777" s="38"/>
      <c r="AB1777" s="38"/>
      <c r="AD1777" s="2"/>
      <c r="AE1777" s="2"/>
      <c r="AF1777" s="2"/>
      <c r="AG1777" s="2"/>
      <c r="AH1777" s="2"/>
      <c r="AJ1777" s="215"/>
      <c r="AK1777" s="215"/>
      <c r="AL1777" s="215"/>
      <c r="AM1777" s="215"/>
      <c r="AO1777" s="10"/>
      <c r="AP1777" s="10"/>
      <c r="AQ1777" s="10"/>
      <c r="AR1777" s="10"/>
      <c r="AS1777" s="10"/>
      <c r="AU1777" s="2"/>
      <c r="AV1777" s="2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</row>
    <row r="1778" spans="1:73" customFormat="1" ht="12.75" hidden="1" customHeight="1" x14ac:dyDescent="0.2">
      <c r="A1778" s="1"/>
      <c r="B1778" s="1"/>
      <c r="C1778" s="1"/>
      <c r="D1778" s="7"/>
      <c r="E1778" s="7"/>
      <c r="F1778" s="6"/>
      <c r="G1778" s="7"/>
      <c r="H1778" s="2"/>
      <c r="I1778" s="2"/>
      <c r="J1778" s="2"/>
      <c r="K1778" s="2"/>
      <c r="L1778" s="178"/>
      <c r="M1778" s="2"/>
      <c r="N1778" s="7"/>
      <c r="P1778" s="7"/>
      <c r="R1778" s="2"/>
      <c r="S1778" s="2"/>
      <c r="T1778" s="2"/>
      <c r="U1778" s="2"/>
      <c r="V1778" s="2"/>
      <c r="X1778" s="38"/>
      <c r="Y1778" s="38"/>
      <c r="Z1778" s="38"/>
      <c r="AA1778" s="38"/>
      <c r="AB1778" s="38"/>
      <c r="AD1778" s="2"/>
      <c r="AE1778" s="2"/>
      <c r="AF1778" s="2"/>
      <c r="AG1778" s="2"/>
      <c r="AH1778" s="2"/>
      <c r="AJ1778" s="215"/>
      <c r="AK1778" s="215"/>
      <c r="AL1778" s="215"/>
      <c r="AM1778" s="215"/>
      <c r="AO1778" s="10"/>
      <c r="AP1778" s="10"/>
      <c r="AQ1778" s="10"/>
      <c r="AR1778" s="10"/>
      <c r="AS1778" s="10"/>
      <c r="AU1778" s="2"/>
      <c r="AV1778" s="2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</row>
    <row r="1779" spans="1:73" customFormat="1" ht="12.75" hidden="1" customHeight="1" x14ac:dyDescent="0.2">
      <c r="A1779" s="1"/>
      <c r="B1779" s="1"/>
      <c r="C1779" s="1"/>
      <c r="D1779" s="7"/>
      <c r="E1779" s="7"/>
      <c r="F1779" s="6"/>
      <c r="G1779" s="7"/>
      <c r="H1779" s="2"/>
      <c r="I1779" s="2"/>
      <c r="J1779" s="2"/>
      <c r="K1779" s="2"/>
      <c r="L1779" s="178"/>
      <c r="M1779" s="2"/>
      <c r="N1779" s="7"/>
      <c r="P1779" s="7"/>
      <c r="R1779" s="2"/>
      <c r="S1779" s="2"/>
      <c r="T1779" s="2"/>
      <c r="U1779" s="2"/>
      <c r="V1779" s="2"/>
      <c r="X1779" s="38"/>
      <c r="Y1779" s="38"/>
      <c r="Z1779" s="38"/>
      <c r="AA1779" s="38"/>
      <c r="AB1779" s="38"/>
      <c r="AD1779" s="2"/>
      <c r="AE1779" s="2"/>
      <c r="AF1779" s="2"/>
      <c r="AG1779" s="2"/>
      <c r="AH1779" s="2"/>
      <c r="AJ1779" s="215"/>
      <c r="AK1779" s="215"/>
      <c r="AL1779" s="215"/>
      <c r="AM1779" s="215"/>
      <c r="AO1779" s="10"/>
      <c r="AP1779" s="10"/>
      <c r="AQ1779" s="10"/>
      <c r="AR1779" s="10"/>
      <c r="AS1779" s="10"/>
      <c r="AU1779" s="2"/>
      <c r="AV1779" s="2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</row>
    <row r="1780" spans="1:73" customFormat="1" ht="12.75" hidden="1" customHeight="1" x14ac:dyDescent="0.2">
      <c r="A1780" s="1"/>
      <c r="B1780" s="1"/>
      <c r="C1780" s="1"/>
      <c r="D1780" s="7"/>
      <c r="E1780" s="7"/>
      <c r="F1780" s="6"/>
      <c r="G1780" s="7"/>
      <c r="H1780" s="2"/>
      <c r="I1780" s="2"/>
      <c r="J1780" s="2"/>
      <c r="K1780" s="2"/>
      <c r="L1780" s="178"/>
      <c r="M1780" s="2"/>
      <c r="N1780" s="7"/>
      <c r="P1780" s="7"/>
      <c r="R1780" s="2"/>
      <c r="S1780" s="2"/>
      <c r="T1780" s="2"/>
      <c r="U1780" s="2"/>
      <c r="V1780" s="2"/>
      <c r="X1780" s="38"/>
      <c r="Y1780" s="38"/>
      <c r="Z1780" s="38"/>
      <c r="AA1780" s="38"/>
      <c r="AB1780" s="38"/>
      <c r="AD1780" s="2"/>
      <c r="AE1780" s="2"/>
      <c r="AF1780" s="2"/>
      <c r="AG1780" s="2"/>
      <c r="AH1780" s="2"/>
      <c r="AJ1780" s="215"/>
      <c r="AK1780" s="215"/>
      <c r="AL1780" s="215"/>
      <c r="AM1780" s="215"/>
      <c r="AO1780" s="10"/>
      <c r="AP1780" s="10"/>
      <c r="AQ1780" s="10"/>
      <c r="AR1780" s="10"/>
      <c r="AS1780" s="10"/>
      <c r="AU1780" s="2"/>
      <c r="AV1780" s="2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</row>
    <row r="1781" spans="1:73" customFormat="1" ht="12.75" hidden="1" customHeight="1" x14ac:dyDescent="0.2">
      <c r="A1781" s="1"/>
      <c r="B1781" s="1"/>
      <c r="C1781" s="1"/>
      <c r="D1781" s="7"/>
      <c r="E1781" s="7"/>
      <c r="F1781" s="6"/>
      <c r="G1781" s="7"/>
      <c r="H1781" s="2"/>
      <c r="I1781" s="2"/>
      <c r="J1781" s="2"/>
      <c r="K1781" s="2"/>
      <c r="L1781" s="178"/>
      <c r="M1781" s="2"/>
      <c r="N1781" s="7"/>
      <c r="P1781" s="7"/>
      <c r="R1781" s="2"/>
      <c r="S1781" s="2"/>
      <c r="T1781" s="2"/>
      <c r="U1781" s="2"/>
      <c r="V1781" s="2"/>
      <c r="X1781" s="38"/>
      <c r="Y1781" s="38"/>
      <c r="Z1781" s="38"/>
      <c r="AA1781" s="38"/>
      <c r="AB1781" s="38"/>
      <c r="AD1781" s="2"/>
      <c r="AE1781" s="2"/>
      <c r="AF1781" s="2"/>
      <c r="AG1781" s="2"/>
      <c r="AH1781" s="2"/>
      <c r="AJ1781" s="215"/>
      <c r="AK1781" s="215"/>
      <c r="AL1781" s="215"/>
      <c r="AM1781" s="215"/>
      <c r="AO1781" s="10"/>
      <c r="AP1781" s="10"/>
      <c r="AQ1781" s="10"/>
      <c r="AR1781" s="10"/>
      <c r="AS1781" s="10"/>
      <c r="AU1781" s="2"/>
      <c r="AV1781" s="2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</row>
    <row r="1782" spans="1:73" customFormat="1" ht="12.75" hidden="1" customHeight="1" x14ac:dyDescent="0.2">
      <c r="A1782" s="1"/>
      <c r="B1782" s="1"/>
      <c r="C1782" s="1"/>
      <c r="D1782" s="7"/>
      <c r="E1782" s="7"/>
      <c r="F1782" s="6"/>
      <c r="G1782" s="7"/>
      <c r="H1782" s="2"/>
      <c r="I1782" s="2"/>
      <c r="J1782" s="2"/>
      <c r="K1782" s="2"/>
      <c r="L1782" s="178"/>
      <c r="M1782" s="2"/>
      <c r="N1782" s="7"/>
      <c r="P1782" s="7"/>
      <c r="R1782" s="2"/>
      <c r="S1782" s="2"/>
      <c r="T1782" s="2"/>
      <c r="U1782" s="2"/>
      <c r="V1782" s="2"/>
      <c r="X1782" s="38"/>
      <c r="Y1782" s="38"/>
      <c r="Z1782" s="38"/>
      <c r="AA1782" s="38"/>
      <c r="AB1782" s="38"/>
      <c r="AD1782" s="2"/>
      <c r="AE1782" s="2"/>
      <c r="AF1782" s="2"/>
      <c r="AG1782" s="2"/>
      <c r="AH1782" s="2"/>
      <c r="AJ1782" s="215"/>
      <c r="AK1782" s="215"/>
      <c r="AL1782" s="215"/>
      <c r="AM1782" s="215"/>
      <c r="AO1782" s="10"/>
      <c r="AP1782" s="10"/>
      <c r="AQ1782" s="10"/>
      <c r="AR1782" s="10"/>
      <c r="AS1782" s="10"/>
      <c r="AU1782" s="2"/>
      <c r="AV1782" s="2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</row>
    <row r="1783" spans="1:73" customFormat="1" ht="12.75" hidden="1" customHeight="1" x14ac:dyDescent="0.2">
      <c r="A1783" s="1"/>
      <c r="B1783" s="1"/>
      <c r="C1783" s="1"/>
      <c r="D1783" s="7"/>
      <c r="E1783" s="7"/>
      <c r="F1783" s="6"/>
      <c r="G1783" s="7"/>
      <c r="H1783" s="2"/>
      <c r="I1783" s="2"/>
      <c r="J1783" s="2"/>
      <c r="K1783" s="2"/>
      <c r="L1783" s="178"/>
      <c r="M1783" s="2"/>
      <c r="N1783" s="7"/>
      <c r="P1783" s="7"/>
      <c r="R1783" s="2"/>
      <c r="S1783" s="2"/>
      <c r="T1783" s="2"/>
      <c r="U1783" s="2"/>
      <c r="V1783" s="2"/>
      <c r="X1783" s="38"/>
      <c r="Y1783" s="38"/>
      <c r="Z1783" s="38"/>
      <c r="AA1783" s="38"/>
      <c r="AB1783" s="38"/>
      <c r="AD1783" s="2"/>
      <c r="AE1783" s="2"/>
      <c r="AF1783" s="2"/>
      <c r="AG1783" s="2"/>
      <c r="AH1783" s="2"/>
      <c r="AJ1783" s="215"/>
      <c r="AK1783" s="215"/>
      <c r="AL1783" s="215"/>
      <c r="AM1783" s="215"/>
      <c r="AO1783" s="10"/>
      <c r="AP1783" s="10"/>
      <c r="AQ1783" s="10"/>
      <c r="AR1783" s="10"/>
      <c r="AS1783" s="10"/>
      <c r="AU1783" s="2"/>
      <c r="AV1783" s="2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</row>
    <row r="1784" spans="1:73" customFormat="1" ht="12.75" hidden="1" customHeight="1" x14ac:dyDescent="0.2">
      <c r="A1784" s="1"/>
      <c r="B1784" s="1"/>
      <c r="C1784" s="1"/>
      <c r="D1784" s="7"/>
      <c r="E1784" s="7"/>
      <c r="F1784" s="6"/>
      <c r="G1784" s="7"/>
      <c r="H1784" s="2"/>
      <c r="I1784" s="2"/>
      <c r="J1784" s="2"/>
      <c r="K1784" s="2"/>
      <c r="L1784" s="178"/>
      <c r="M1784" s="2"/>
      <c r="N1784" s="7"/>
      <c r="P1784" s="7"/>
      <c r="R1784" s="2"/>
      <c r="S1784" s="2"/>
      <c r="T1784" s="2"/>
      <c r="U1784" s="2"/>
      <c r="V1784" s="2"/>
      <c r="X1784" s="38"/>
      <c r="Y1784" s="38"/>
      <c r="Z1784" s="38"/>
      <c r="AA1784" s="38"/>
      <c r="AB1784" s="38"/>
      <c r="AD1784" s="2"/>
      <c r="AE1784" s="2"/>
      <c r="AF1784" s="2"/>
      <c r="AG1784" s="2"/>
      <c r="AH1784" s="2"/>
      <c r="AJ1784" s="215"/>
      <c r="AK1784" s="215"/>
      <c r="AL1784" s="215"/>
      <c r="AM1784" s="215"/>
      <c r="AO1784" s="10"/>
      <c r="AP1784" s="10"/>
      <c r="AQ1784" s="10"/>
      <c r="AR1784" s="10"/>
      <c r="AS1784" s="10"/>
      <c r="AU1784" s="2"/>
      <c r="AV1784" s="2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</row>
    <row r="1785" spans="1:73" customFormat="1" ht="12.75" hidden="1" customHeight="1" x14ac:dyDescent="0.2">
      <c r="A1785" s="1"/>
      <c r="B1785" s="1"/>
      <c r="C1785" s="1"/>
      <c r="D1785" s="7"/>
      <c r="E1785" s="7"/>
      <c r="F1785" s="6"/>
      <c r="G1785" s="7"/>
      <c r="H1785" s="2"/>
      <c r="I1785" s="2"/>
      <c r="J1785" s="2"/>
      <c r="K1785" s="2"/>
      <c r="L1785" s="178"/>
      <c r="M1785" s="2"/>
      <c r="N1785" s="7"/>
      <c r="P1785" s="7"/>
      <c r="R1785" s="2"/>
      <c r="S1785" s="2"/>
      <c r="T1785" s="2"/>
      <c r="U1785" s="2"/>
      <c r="V1785" s="2"/>
      <c r="X1785" s="38"/>
      <c r="Y1785" s="38"/>
      <c r="Z1785" s="38"/>
      <c r="AA1785" s="38"/>
      <c r="AB1785" s="38"/>
      <c r="AD1785" s="2"/>
      <c r="AE1785" s="2"/>
      <c r="AF1785" s="2"/>
      <c r="AG1785" s="2"/>
      <c r="AH1785" s="2"/>
      <c r="AJ1785" s="215"/>
      <c r="AK1785" s="215"/>
      <c r="AL1785" s="215"/>
      <c r="AM1785" s="215"/>
      <c r="AO1785" s="10"/>
      <c r="AP1785" s="10"/>
      <c r="AQ1785" s="10"/>
      <c r="AR1785" s="10"/>
      <c r="AS1785" s="10"/>
      <c r="AU1785" s="2"/>
      <c r="AV1785" s="2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</row>
    <row r="1786" spans="1:73" customFormat="1" ht="12.75" hidden="1" customHeight="1" x14ac:dyDescent="0.2">
      <c r="A1786" s="1"/>
      <c r="B1786" s="1"/>
      <c r="C1786" s="1"/>
      <c r="D1786" s="7"/>
      <c r="E1786" s="7"/>
      <c r="F1786" s="6"/>
      <c r="G1786" s="7"/>
      <c r="H1786" s="2"/>
      <c r="I1786" s="2"/>
      <c r="J1786" s="2"/>
      <c r="K1786" s="2"/>
      <c r="L1786" s="178"/>
      <c r="M1786" s="2"/>
      <c r="N1786" s="7"/>
      <c r="P1786" s="7"/>
      <c r="R1786" s="2"/>
      <c r="S1786" s="2"/>
      <c r="T1786" s="2"/>
      <c r="U1786" s="2"/>
      <c r="V1786" s="2"/>
      <c r="X1786" s="38"/>
      <c r="Y1786" s="38"/>
      <c r="Z1786" s="38"/>
      <c r="AA1786" s="38"/>
      <c r="AB1786" s="38"/>
      <c r="AD1786" s="2"/>
      <c r="AE1786" s="2"/>
      <c r="AF1786" s="2"/>
      <c r="AG1786" s="2"/>
      <c r="AH1786" s="2"/>
      <c r="AJ1786" s="215"/>
      <c r="AK1786" s="215"/>
      <c r="AL1786" s="215"/>
      <c r="AM1786" s="215"/>
      <c r="AO1786" s="10"/>
      <c r="AP1786" s="10"/>
      <c r="AQ1786" s="10"/>
      <c r="AR1786" s="10"/>
      <c r="AS1786" s="10"/>
      <c r="AU1786" s="2"/>
      <c r="AV1786" s="2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</row>
    <row r="1787" spans="1:73" customFormat="1" ht="12.75" hidden="1" customHeight="1" x14ac:dyDescent="0.2">
      <c r="A1787" s="1"/>
      <c r="B1787" s="1"/>
      <c r="C1787" s="1"/>
      <c r="D1787" s="7"/>
      <c r="E1787" s="7"/>
      <c r="F1787" s="6"/>
      <c r="G1787" s="7"/>
      <c r="H1787" s="2"/>
      <c r="I1787" s="2"/>
      <c r="J1787" s="2"/>
      <c r="K1787" s="2"/>
      <c r="L1787" s="178"/>
      <c r="M1787" s="2"/>
      <c r="N1787" s="7"/>
      <c r="P1787" s="7"/>
      <c r="R1787" s="2"/>
      <c r="S1787" s="2"/>
      <c r="T1787" s="2"/>
      <c r="U1787" s="2"/>
      <c r="V1787" s="2"/>
      <c r="X1787" s="38"/>
      <c r="Y1787" s="38"/>
      <c r="Z1787" s="38"/>
      <c r="AA1787" s="38"/>
      <c r="AB1787" s="38"/>
      <c r="AD1787" s="2"/>
      <c r="AE1787" s="2"/>
      <c r="AF1787" s="2"/>
      <c r="AG1787" s="2"/>
      <c r="AH1787" s="2"/>
      <c r="AJ1787" s="215"/>
      <c r="AK1787" s="215"/>
      <c r="AL1787" s="215"/>
      <c r="AM1787" s="215"/>
      <c r="AO1787" s="10"/>
      <c r="AP1787" s="10"/>
      <c r="AQ1787" s="10"/>
      <c r="AR1787" s="10"/>
      <c r="AS1787" s="10"/>
      <c r="AU1787" s="2"/>
      <c r="AV1787" s="2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</row>
    <row r="1788" spans="1:73" customFormat="1" ht="12.75" hidden="1" customHeight="1" x14ac:dyDescent="0.2">
      <c r="A1788" s="1"/>
      <c r="B1788" s="1"/>
      <c r="C1788" s="1"/>
      <c r="D1788" s="7"/>
      <c r="E1788" s="7"/>
      <c r="F1788" s="6"/>
      <c r="G1788" s="7"/>
      <c r="H1788" s="2"/>
      <c r="I1788" s="2"/>
      <c r="J1788" s="2"/>
      <c r="K1788" s="2"/>
      <c r="L1788" s="178"/>
      <c r="M1788" s="2"/>
      <c r="N1788" s="7"/>
      <c r="P1788" s="7"/>
      <c r="R1788" s="2"/>
      <c r="S1788" s="2"/>
      <c r="T1788" s="2"/>
      <c r="U1788" s="2"/>
      <c r="V1788" s="2"/>
      <c r="X1788" s="38"/>
      <c r="Y1788" s="38"/>
      <c r="Z1788" s="38"/>
      <c r="AA1788" s="38"/>
      <c r="AB1788" s="38"/>
      <c r="AD1788" s="2"/>
      <c r="AE1788" s="2"/>
      <c r="AF1788" s="2"/>
      <c r="AG1788" s="2"/>
      <c r="AH1788" s="2"/>
      <c r="AJ1788" s="215"/>
      <c r="AK1788" s="215"/>
      <c r="AL1788" s="215"/>
      <c r="AM1788" s="215"/>
      <c r="AO1788" s="10"/>
      <c r="AP1788" s="10"/>
      <c r="AQ1788" s="10"/>
      <c r="AR1788" s="10"/>
      <c r="AS1788" s="10"/>
      <c r="AU1788" s="2"/>
      <c r="AV1788" s="2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</row>
    <row r="1789" spans="1:73" customFormat="1" ht="12.75" hidden="1" customHeight="1" x14ac:dyDescent="0.2">
      <c r="A1789" s="1"/>
      <c r="B1789" s="1"/>
      <c r="C1789" s="1"/>
      <c r="D1789" s="7"/>
      <c r="E1789" s="7"/>
      <c r="F1789" s="6"/>
      <c r="G1789" s="7"/>
      <c r="H1789" s="2"/>
      <c r="I1789" s="2"/>
      <c r="J1789" s="2"/>
      <c r="K1789" s="2"/>
      <c r="L1789" s="178"/>
      <c r="M1789" s="2"/>
      <c r="N1789" s="7"/>
      <c r="P1789" s="7"/>
      <c r="R1789" s="2"/>
      <c r="S1789" s="2"/>
      <c r="T1789" s="2"/>
      <c r="U1789" s="2"/>
      <c r="V1789" s="2"/>
      <c r="X1789" s="38"/>
      <c r="Y1789" s="38"/>
      <c r="Z1789" s="38"/>
      <c r="AA1789" s="38"/>
      <c r="AB1789" s="38"/>
      <c r="AD1789" s="2"/>
      <c r="AE1789" s="2"/>
      <c r="AF1789" s="2"/>
      <c r="AG1789" s="2"/>
      <c r="AH1789" s="2"/>
      <c r="AJ1789" s="215"/>
      <c r="AK1789" s="215"/>
      <c r="AL1789" s="215"/>
      <c r="AM1789" s="215"/>
      <c r="AO1789" s="10"/>
      <c r="AP1789" s="10"/>
      <c r="AQ1789" s="10"/>
      <c r="AR1789" s="10"/>
      <c r="AS1789" s="10"/>
      <c r="AU1789" s="2"/>
      <c r="AV1789" s="2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</row>
    <row r="1790" spans="1:73" customFormat="1" ht="12.75" hidden="1" customHeight="1" x14ac:dyDescent="0.2">
      <c r="A1790" s="1"/>
      <c r="B1790" s="1"/>
      <c r="C1790" s="1"/>
      <c r="D1790" s="7"/>
      <c r="E1790" s="7"/>
      <c r="F1790" s="6"/>
      <c r="G1790" s="7"/>
      <c r="H1790" s="2"/>
      <c r="I1790" s="2"/>
      <c r="J1790" s="2"/>
      <c r="K1790" s="2"/>
      <c r="L1790" s="178"/>
      <c r="M1790" s="2"/>
      <c r="N1790" s="7"/>
      <c r="P1790" s="7"/>
      <c r="R1790" s="2"/>
      <c r="S1790" s="2"/>
      <c r="T1790" s="2"/>
      <c r="U1790" s="2"/>
      <c r="V1790" s="2"/>
      <c r="X1790" s="38"/>
      <c r="Y1790" s="38"/>
      <c r="Z1790" s="38"/>
      <c r="AA1790" s="38"/>
      <c r="AB1790" s="38"/>
      <c r="AD1790" s="2"/>
      <c r="AE1790" s="2"/>
      <c r="AF1790" s="2"/>
      <c r="AG1790" s="2"/>
      <c r="AH1790" s="2"/>
      <c r="AJ1790" s="215"/>
      <c r="AK1790" s="215"/>
      <c r="AL1790" s="215"/>
      <c r="AM1790" s="215"/>
      <c r="AO1790" s="10"/>
      <c r="AP1790" s="10"/>
      <c r="AQ1790" s="10"/>
      <c r="AR1790" s="10"/>
      <c r="AS1790" s="10"/>
      <c r="AU1790" s="2"/>
      <c r="AV1790" s="2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</row>
    <row r="1791" spans="1:73" customFormat="1" ht="12.75" hidden="1" customHeight="1" x14ac:dyDescent="0.2">
      <c r="A1791" s="1"/>
      <c r="B1791" s="1"/>
      <c r="C1791" s="1"/>
      <c r="D1791" s="7"/>
      <c r="E1791" s="7"/>
      <c r="F1791" s="6"/>
      <c r="G1791" s="7"/>
      <c r="H1791" s="2"/>
      <c r="I1791" s="2"/>
      <c r="J1791" s="2"/>
      <c r="K1791" s="2"/>
      <c r="L1791" s="178"/>
      <c r="M1791" s="2"/>
      <c r="N1791" s="7"/>
      <c r="P1791" s="7"/>
      <c r="R1791" s="2"/>
      <c r="S1791" s="2"/>
      <c r="T1791" s="2"/>
      <c r="U1791" s="2"/>
      <c r="V1791" s="2"/>
      <c r="X1791" s="38"/>
      <c r="Y1791" s="38"/>
      <c r="Z1791" s="38"/>
      <c r="AA1791" s="38"/>
      <c r="AB1791" s="38"/>
      <c r="AD1791" s="2"/>
      <c r="AE1791" s="2"/>
      <c r="AF1791" s="2"/>
      <c r="AG1791" s="2"/>
      <c r="AH1791" s="2"/>
      <c r="AJ1791" s="215"/>
      <c r="AK1791" s="215"/>
      <c r="AL1791" s="215"/>
      <c r="AM1791" s="215"/>
      <c r="AO1791" s="10"/>
      <c r="AP1791" s="10"/>
      <c r="AQ1791" s="10"/>
      <c r="AR1791" s="10"/>
      <c r="AS1791" s="10"/>
      <c r="AU1791" s="2"/>
      <c r="AV1791" s="2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</row>
    <row r="1792" spans="1:73" customFormat="1" ht="12.75" hidden="1" customHeight="1" x14ac:dyDescent="0.2">
      <c r="A1792" s="1"/>
      <c r="B1792" s="1"/>
      <c r="C1792" s="1"/>
      <c r="D1792" s="7"/>
      <c r="E1792" s="7"/>
      <c r="F1792" s="6"/>
      <c r="G1792" s="7"/>
      <c r="H1792" s="2"/>
      <c r="I1792" s="2"/>
      <c r="J1792" s="2"/>
      <c r="K1792" s="2"/>
      <c r="L1792" s="178"/>
      <c r="M1792" s="2"/>
      <c r="N1792" s="7"/>
      <c r="P1792" s="7"/>
      <c r="R1792" s="2"/>
      <c r="S1792" s="2"/>
      <c r="T1792" s="2"/>
      <c r="U1792" s="2"/>
      <c r="V1792" s="2"/>
      <c r="X1792" s="38"/>
      <c r="Y1792" s="38"/>
      <c r="Z1792" s="38"/>
      <c r="AA1792" s="38"/>
      <c r="AB1792" s="38"/>
      <c r="AD1792" s="2"/>
      <c r="AE1792" s="2"/>
      <c r="AF1792" s="2"/>
      <c r="AG1792" s="2"/>
      <c r="AH1792" s="2"/>
      <c r="AJ1792" s="215"/>
      <c r="AK1792" s="215"/>
      <c r="AL1792" s="215"/>
      <c r="AM1792" s="215"/>
      <c r="AO1792" s="10"/>
      <c r="AP1792" s="10"/>
      <c r="AQ1792" s="10"/>
      <c r="AR1792" s="10"/>
      <c r="AS1792" s="10"/>
      <c r="AU1792" s="2"/>
      <c r="AV1792" s="2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</row>
    <row r="1793" spans="1:73" customFormat="1" ht="12.75" hidden="1" customHeight="1" x14ac:dyDescent="0.2">
      <c r="A1793" s="1"/>
      <c r="B1793" s="1"/>
      <c r="C1793" s="1"/>
      <c r="D1793" s="7"/>
      <c r="E1793" s="7"/>
      <c r="F1793" s="6"/>
      <c r="G1793" s="7"/>
      <c r="H1793" s="2"/>
      <c r="I1793" s="2"/>
      <c r="J1793" s="2"/>
      <c r="K1793" s="2"/>
      <c r="L1793" s="178"/>
      <c r="M1793" s="2"/>
      <c r="N1793" s="7"/>
      <c r="P1793" s="7"/>
      <c r="R1793" s="2"/>
      <c r="S1793" s="2"/>
      <c r="T1793" s="2"/>
      <c r="U1793" s="2"/>
      <c r="V1793" s="2"/>
      <c r="X1793" s="38"/>
      <c r="Y1793" s="38"/>
      <c r="Z1793" s="38"/>
      <c r="AA1793" s="38"/>
      <c r="AB1793" s="38"/>
      <c r="AD1793" s="2"/>
      <c r="AE1793" s="2"/>
      <c r="AF1793" s="2"/>
      <c r="AG1793" s="2"/>
      <c r="AH1793" s="2"/>
      <c r="AJ1793" s="215"/>
      <c r="AK1793" s="215"/>
      <c r="AL1793" s="215"/>
      <c r="AM1793" s="215"/>
      <c r="AO1793" s="10"/>
      <c r="AP1793" s="10"/>
      <c r="AQ1793" s="10"/>
      <c r="AR1793" s="10"/>
      <c r="AS1793" s="10"/>
      <c r="AU1793" s="2"/>
      <c r="AV1793" s="2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</row>
    <row r="1794" spans="1:73" customFormat="1" ht="12.75" hidden="1" customHeight="1" x14ac:dyDescent="0.2">
      <c r="A1794" s="1"/>
      <c r="B1794" s="1"/>
      <c r="C1794" s="1"/>
      <c r="D1794" s="7"/>
      <c r="E1794" s="7"/>
      <c r="F1794" s="6"/>
      <c r="G1794" s="7"/>
      <c r="H1794" s="2"/>
      <c r="I1794" s="2"/>
      <c r="J1794" s="2"/>
      <c r="K1794" s="2"/>
      <c r="L1794" s="178"/>
      <c r="M1794" s="2"/>
      <c r="N1794" s="7"/>
      <c r="P1794" s="7"/>
      <c r="R1794" s="2"/>
      <c r="S1794" s="2"/>
      <c r="T1794" s="2"/>
      <c r="U1794" s="2"/>
      <c r="V1794" s="2"/>
      <c r="X1794" s="38"/>
      <c r="Y1794" s="38"/>
      <c r="Z1794" s="38"/>
      <c r="AA1794" s="38"/>
      <c r="AB1794" s="38"/>
      <c r="AD1794" s="2"/>
      <c r="AE1794" s="2"/>
      <c r="AF1794" s="2"/>
      <c r="AG1794" s="2"/>
      <c r="AH1794" s="2"/>
      <c r="AJ1794" s="215"/>
      <c r="AK1794" s="215"/>
      <c r="AL1794" s="215"/>
      <c r="AM1794" s="215"/>
      <c r="AO1794" s="10"/>
      <c r="AP1794" s="10"/>
      <c r="AQ1794" s="10"/>
      <c r="AR1794" s="10"/>
      <c r="AS1794" s="10"/>
      <c r="AU1794" s="2"/>
      <c r="AV1794" s="2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</row>
    <row r="1795" spans="1:73" customFormat="1" ht="12.75" hidden="1" customHeight="1" x14ac:dyDescent="0.2">
      <c r="A1795" s="1"/>
      <c r="B1795" s="1"/>
      <c r="C1795" s="1"/>
      <c r="D1795" s="7"/>
      <c r="E1795" s="7"/>
      <c r="F1795" s="6"/>
      <c r="G1795" s="7"/>
      <c r="H1795" s="2"/>
      <c r="I1795" s="2"/>
      <c r="J1795" s="2"/>
      <c r="K1795" s="2"/>
      <c r="L1795" s="178"/>
      <c r="M1795" s="2"/>
      <c r="N1795" s="7"/>
      <c r="P1795" s="7"/>
      <c r="R1795" s="2"/>
      <c r="S1795" s="2"/>
      <c r="T1795" s="2"/>
      <c r="U1795" s="2"/>
      <c r="V1795" s="2"/>
      <c r="X1795" s="38"/>
      <c r="Y1795" s="38"/>
      <c r="Z1795" s="38"/>
      <c r="AA1795" s="38"/>
      <c r="AB1795" s="38"/>
      <c r="AD1795" s="2"/>
      <c r="AE1795" s="2"/>
      <c r="AF1795" s="2"/>
      <c r="AG1795" s="2"/>
      <c r="AH1795" s="2"/>
      <c r="AJ1795" s="215"/>
      <c r="AK1795" s="215"/>
      <c r="AL1795" s="215"/>
      <c r="AM1795" s="215"/>
      <c r="AO1795" s="10"/>
      <c r="AP1795" s="10"/>
      <c r="AQ1795" s="10"/>
      <c r="AR1795" s="10"/>
      <c r="AS1795" s="10"/>
      <c r="AU1795" s="2"/>
      <c r="AV1795" s="2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</row>
    <row r="1796" spans="1:73" customFormat="1" ht="12.75" hidden="1" customHeight="1" x14ac:dyDescent="0.2">
      <c r="A1796" s="1"/>
      <c r="B1796" s="1"/>
      <c r="C1796" s="1"/>
      <c r="D1796" s="7"/>
      <c r="E1796" s="7"/>
      <c r="F1796" s="6"/>
      <c r="G1796" s="7"/>
      <c r="H1796" s="2"/>
      <c r="I1796" s="2"/>
      <c r="J1796" s="2"/>
      <c r="K1796" s="2"/>
      <c r="L1796" s="178"/>
      <c r="M1796" s="2"/>
      <c r="N1796" s="7"/>
      <c r="P1796" s="7"/>
      <c r="R1796" s="2"/>
      <c r="S1796" s="2"/>
      <c r="T1796" s="2"/>
      <c r="U1796" s="2"/>
      <c r="V1796" s="2"/>
      <c r="X1796" s="38"/>
      <c r="Y1796" s="38"/>
      <c r="Z1796" s="38"/>
      <c r="AA1796" s="38"/>
      <c r="AB1796" s="38"/>
      <c r="AD1796" s="2"/>
      <c r="AE1796" s="2"/>
      <c r="AF1796" s="2"/>
      <c r="AG1796" s="2"/>
      <c r="AH1796" s="2"/>
      <c r="AJ1796" s="215"/>
      <c r="AK1796" s="215"/>
      <c r="AL1796" s="215"/>
      <c r="AM1796" s="215"/>
      <c r="AO1796" s="10"/>
      <c r="AP1796" s="10"/>
      <c r="AQ1796" s="10"/>
      <c r="AR1796" s="10"/>
      <c r="AS1796" s="10"/>
      <c r="AU1796" s="2"/>
      <c r="AV1796" s="2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</row>
    <row r="1797" spans="1:73" customFormat="1" ht="12.75" hidden="1" customHeight="1" x14ac:dyDescent="0.2">
      <c r="A1797" s="1"/>
      <c r="B1797" s="1"/>
      <c r="C1797" s="1"/>
      <c r="D1797" s="7"/>
      <c r="E1797" s="7"/>
      <c r="F1797" s="6"/>
      <c r="G1797" s="7"/>
      <c r="H1797" s="2"/>
      <c r="I1797" s="2"/>
      <c r="J1797" s="2"/>
      <c r="K1797" s="2"/>
      <c r="L1797" s="178"/>
      <c r="M1797" s="2"/>
      <c r="N1797" s="7"/>
      <c r="P1797" s="7"/>
      <c r="R1797" s="2"/>
      <c r="S1797" s="2"/>
      <c r="T1797" s="2"/>
      <c r="U1797" s="2"/>
      <c r="V1797" s="2"/>
      <c r="X1797" s="38"/>
      <c r="Y1797" s="38"/>
      <c r="Z1797" s="38"/>
      <c r="AA1797" s="38"/>
      <c r="AB1797" s="38"/>
      <c r="AD1797" s="2"/>
      <c r="AE1797" s="2"/>
      <c r="AF1797" s="2"/>
      <c r="AG1797" s="2"/>
      <c r="AH1797" s="2"/>
      <c r="AJ1797" s="215"/>
      <c r="AK1797" s="215"/>
      <c r="AL1797" s="215"/>
      <c r="AM1797" s="215"/>
      <c r="AO1797" s="10"/>
      <c r="AP1797" s="10"/>
      <c r="AQ1797" s="10"/>
      <c r="AR1797" s="10"/>
      <c r="AS1797" s="10"/>
      <c r="AU1797" s="2"/>
      <c r="AV1797" s="2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</row>
    <row r="1798" spans="1:73" customFormat="1" ht="12.75" hidden="1" customHeight="1" x14ac:dyDescent="0.2">
      <c r="A1798" s="1"/>
      <c r="B1798" s="1"/>
      <c r="C1798" s="1"/>
      <c r="D1798" s="7"/>
      <c r="E1798" s="7"/>
      <c r="F1798" s="6"/>
      <c r="G1798" s="7"/>
      <c r="H1798" s="2"/>
      <c r="I1798" s="2"/>
      <c r="J1798" s="2"/>
      <c r="K1798" s="2"/>
      <c r="L1798" s="178"/>
      <c r="M1798" s="2"/>
      <c r="N1798" s="7"/>
      <c r="P1798" s="7"/>
      <c r="R1798" s="2"/>
      <c r="S1798" s="2"/>
      <c r="T1798" s="2"/>
      <c r="U1798" s="2"/>
      <c r="V1798" s="2"/>
      <c r="X1798" s="38"/>
      <c r="Y1798" s="38"/>
      <c r="Z1798" s="38"/>
      <c r="AA1798" s="38"/>
      <c r="AB1798" s="38"/>
      <c r="AD1798" s="2"/>
      <c r="AE1798" s="2"/>
      <c r="AF1798" s="2"/>
      <c r="AG1798" s="2"/>
      <c r="AH1798" s="2"/>
      <c r="AJ1798" s="215"/>
      <c r="AK1798" s="215"/>
      <c r="AL1798" s="215"/>
      <c r="AM1798" s="215"/>
      <c r="AO1798" s="10"/>
      <c r="AP1798" s="10"/>
      <c r="AQ1798" s="10"/>
      <c r="AR1798" s="10"/>
      <c r="AS1798" s="10"/>
      <c r="AU1798" s="2"/>
      <c r="AV1798" s="2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</row>
    <row r="1799" spans="1:73" customFormat="1" ht="12.75" hidden="1" customHeight="1" x14ac:dyDescent="0.2">
      <c r="A1799" s="1"/>
      <c r="B1799" s="1"/>
      <c r="C1799" s="1"/>
      <c r="D1799" s="7"/>
      <c r="E1799" s="7"/>
      <c r="F1799" s="6"/>
      <c r="G1799" s="7"/>
      <c r="H1799" s="2"/>
      <c r="I1799" s="2"/>
      <c r="J1799" s="2"/>
      <c r="K1799" s="2"/>
      <c r="L1799" s="178"/>
      <c r="M1799" s="2"/>
      <c r="N1799" s="7"/>
      <c r="P1799" s="7"/>
      <c r="R1799" s="2"/>
      <c r="S1799" s="2"/>
      <c r="T1799" s="2"/>
      <c r="U1799" s="2"/>
      <c r="V1799" s="2"/>
      <c r="X1799" s="38"/>
      <c r="Y1799" s="38"/>
      <c r="Z1799" s="38"/>
      <c r="AA1799" s="38"/>
      <c r="AB1799" s="38"/>
      <c r="AD1799" s="2"/>
      <c r="AE1799" s="2"/>
      <c r="AF1799" s="2"/>
      <c r="AG1799" s="2"/>
      <c r="AH1799" s="2"/>
      <c r="AJ1799" s="215"/>
      <c r="AK1799" s="215"/>
      <c r="AL1799" s="215"/>
      <c r="AM1799" s="215"/>
      <c r="AO1799" s="10"/>
      <c r="AP1799" s="10"/>
      <c r="AQ1799" s="10"/>
      <c r="AR1799" s="10"/>
      <c r="AS1799" s="10"/>
      <c r="AU1799" s="2"/>
      <c r="AV1799" s="2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</row>
    <row r="1800" spans="1:73" customFormat="1" ht="12.75" hidden="1" customHeight="1" x14ac:dyDescent="0.2">
      <c r="A1800" s="1"/>
      <c r="B1800" s="1"/>
      <c r="C1800" s="1"/>
      <c r="D1800" s="7"/>
      <c r="E1800" s="7"/>
      <c r="F1800" s="6"/>
      <c r="G1800" s="7"/>
      <c r="H1800" s="2"/>
      <c r="I1800" s="2"/>
      <c r="J1800" s="2"/>
      <c r="K1800" s="2"/>
      <c r="L1800" s="178"/>
      <c r="M1800" s="2"/>
      <c r="N1800" s="7"/>
      <c r="P1800" s="7"/>
      <c r="R1800" s="2"/>
      <c r="S1800" s="2"/>
      <c r="T1800" s="2"/>
      <c r="U1800" s="2"/>
      <c r="V1800" s="2"/>
      <c r="X1800" s="38"/>
      <c r="Y1800" s="38"/>
      <c r="Z1800" s="38"/>
      <c r="AA1800" s="38"/>
      <c r="AB1800" s="38"/>
      <c r="AD1800" s="2"/>
      <c r="AE1800" s="2"/>
      <c r="AF1800" s="2"/>
      <c r="AG1800" s="2"/>
      <c r="AH1800" s="2"/>
      <c r="AJ1800" s="215"/>
      <c r="AK1800" s="215"/>
      <c r="AL1800" s="215"/>
      <c r="AM1800" s="215"/>
      <c r="AO1800" s="10"/>
      <c r="AP1800" s="10"/>
      <c r="AQ1800" s="10"/>
      <c r="AR1800" s="10"/>
      <c r="AS1800" s="10"/>
      <c r="AU1800" s="2"/>
      <c r="AV1800" s="2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</row>
    <row r="1801" spans="1:73" customFormat="1" ht="12.75" hidden="1" customHeight="1" x14ac:dyDescent="0.2">
      <c r="A1801" s="1"/>
      <c r="B1801" s="1"/>
      <c r="C1801" s="1"/>
      <c r="D1801" s="7"/>
      <c r="E1801" s="7"/>
      <c r="F1801" s="6"/>
      <c r="G1801" s="7"/>
      <c r="H1801" s="2"/>
      <c r="I1801" s="2"/>
      <c r="J1801" s="2"/>
      <c r="K1801" s="2"/>
      <c r="L1801" s="178"/>
      <c r="M1801" s="2"/>
      <c r="N1801" s="7"/>
      <c r="P1801" s="7"/>
      <c r="R1801" s="2"/>
      <c r="S1801" s="2"/>
      <c r="T1801" s="2"/>
      <c r="U1801" s="2"/>
      <c r="V1801" s="2"/>
      <c r="X1801" s="38"/>
      <c r="Y1801" s="38"/>
      <c r="Z1801" s="38"/>
      <c r="AA1801" s="38"/>
      <c r="AB1801" s="38"/>
      <c r="AD1801" s="2"/>
      <c r="AE1801" s="2"/>
      <c r="AF1801" s="2"/>
      <c r="AG1801" s="2"/>
      <c r="AH1801" s="2"/>
      <c r="AJ1801" s="215"/>
      <c r="AK1801" s="215"/>
      <c r="AL1801" s="215"/>
      <c r="AM1801" s="215"/>
      <c r="AO1801" s="10"/>
      <c r="AP1801" s="10"/>
      <c r="AQ1801" s="10"/>
      <c r="AR1801" s="10"/>
      <c r="AS1801" s="10"/>
      <c r="AU1801" s="2"/>
      <c r="AV1801" s="2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</row>
    <row r="1802" spans="1:73" customFormat="1" ht="12.75" hidden="1" customHeight="1" x14ac:dyDescent="0.2">
      <c r="A1802" s="1"/>
      <c r="B1802" s="1"/>
      <c r="C1802" s="1"/>
      <c r="D1802" s="7"/>
      <c r="E1802" s="7"/>
      <c r="F1802" s="6"/>
      <c r="G1802" s="7"/>
      <c r="H1802" s="2"/>
      <c r="I1802" s="2"/>
      <c r="J1802" s="2"/>
      <c r="K1802" s="2"/>
      <c r="L1802" s="178"/>
      <c r="M1802" s="2"/>
      <c r="N1802" s="7"/>
      <c r="P1802" s="7"/>
      <c r="R1802" s="2"/>
      <c r="S1802" s="2"/>
      <c r="T1802" s="2"/>
      <c r="U1802" s="2"/>
      <c r="V1802" s="2"/>
      <c r="X1802" s="38"/>
      <c r="Y1802" s="38"/>
      <c r="Z1802" s="38"/>
      <c r="AA1802" s="38"/>
      <c r="AB1802" s="38"/>
      <c r="AD1802" s="2"/>
      <c r="AE1802" s="2"/>
      <c r="AF1802" s="2"/>
      <c r="AG1802" s="2"/>
      <c r="AH1802" s="2"/>
      <c r="AJ1802" s="215"/>
      <c r="AK1802" s="215"/>
      <c r="AL1802" s="215"/>
      <c r="AM1802" s="215"/>
      <c r="AO1802" s="10"/>
      <c r="AP1802" s="10"/>
      <c r="AQ1802" s="10"/>
      <c r="AR1802" s="10"/>
      <c r="AS1802" s="10"/>
      <c r="AU1802" s="2"/>
      <c r="AV1802" s="2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</row>
    <row r="1803" spans="1:73" customFormat="1" ht="12.75" hidden="1" customHeight="1" x14ac:dyDescent="0.2">
      <c r="A1803" s="1"/>
      <c r="B1803" s="1"/>
      <c r="C1803" s="1"/>
      <c r="D1803" s="7"/>
      <c r="E1803" s="7"/>
      <c r="F1803" s="6"/>
      <c r="G1803" s="7"/>
      <c r="H1803" s="2"/>
      <c r="I1803" s="2"/>
      <c r="J1803" s="2"/>
      <c r="K1803" s="2"/>
      <c r="L1803" s="178"/>
      <c r="M1803" s="2"/>
      <c r="N1803" s="7"/>
      <c r="P1803" s="7"/>
      <c r="R1803" s="2"/>
      <c r="S1803" s="2"/>
      <c r="T1803" s="2"/>
      <c r="U1803" s="2"/>
      <c r="V1803" s="2"/>
      <c r="X1803" s="38"/>
      <c r="Y1803" s="38"/>
      <c r="Z1803" s="38"/>
      <c r="AA1803" s="38"/>
      <c r="AB1803" s="38"/>
      <c r="AD1803" s="2"/>
      <c r="AE1803" s="2"/>
      <c r="AF1803" s="2"/>
      <c r="AG1803" s="2"/>
      <c r="AH1803" s="2"/>
      <c r="AJ1803" s="215"/>
      <c r="AK1803" s="215"/>
      <c r="AL1803" s="215"/>
      <c r="AM1803" s="215"/>
      <c r="AO1803" s="10"/>
      <c r="AP1803" s="10"/>
      <c r="AQ1803" s="10"/>
      <c r="AR1803" s="10"/>
      <c r="AS1803" s="10"/>
      <c r="AU1803" s="2"/>
      <c r="AV1803" s="2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</row>
    <row r="1804" spans="1:73" customFormat="1" ht="12.75" hidden="1" customHeight="1" x14ac:dyDescent="0.2">
      <c r="A1804" s="1"/>
      <c r="B1804" s="1"/>
      <c r="C1804" s="1"/>
      <c r="D1804" s="7"/>
      <c r="E1804" s="7"/>
      <c r="F1804" s="6"/>
      <c r="G1804" s="7"/>
      <c r="H1804" s="2"/>
      <c r="I1804" s="2"/>
      <c r="J1804" s="2"/>
      <c r="K1804" s="2"/>
      <c r="L1804" s="178"/>
      <c r="M1804" s="2"/>
      <c r="N1804" s="7"/>
      <c r="P1804" s="7"/>
      <c r="R1804" s="2"/>
      <c r="S1804" s="2"/>
      <c r="T1804" s="2"/>
      <c r="U1804" s="2"/>
      <c r="V1804" s="2"/>
      <c r="X1804" s="38"/>
      <c r="Y1804" s="38"/>
      <c r="Z1804" s="38"/>
      <c r="AA1804" s="38"/>
      <c r="AB1804" s="38"/>
      <c r="AD1804" s="2"/>
      <c r="AE1804" s="2"/>
      <c r="AF1804" s="2"/>
      <c r="AG1804" s="2"/>
      <c r="AH1804" s="2"/>
      <c r="AJ1804" s="215"/>
      <c r="AK1804" s="215"/>
      <c r="AL1804" s="215"/>
      <c r="AM1804" s="215"/>
      <c r="AO1804" s="10"/>
      <c r="AP1804" s="10"/>
      <c r="AQ1804" s="10"/>
      <c r="AR1804" s="10"/>
      <c r="AS1804" s="10"/>
      <c r="AU1804" s="2"/>
      <c r="AV1804" s="2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</row>
    <row r="1805" spans="1:73" customFormat="1" ht="12.75" hidden="1" customHeight="1" x14ac:dyDescent="0.2">
      <c r="A1805" s="1"/>
      <c r="B1805" s="1"/>
      <c r="C1805" s="1"/>
      <c r="D1805" s="7"/>
      <c r="E1805" s="7"/>
      <c r="F1805" s="6"/>
      <c r="G1805" s="7"/>
      <c r="H1805" s="2"/>
      <c r="I1805" s="2"/>
      <c r="J1805" s="2"/>
      <c r="K1805" s="2"/>
      <c r="L1805" s="178"/>
      <c r="M1805" s="2"/>
      <c r="N1805" s="7"/>
      <c r="P1805" s="7"/>
      <c r="R1805" s="2"/>
      <c r="S1805" s="2"/>
      <c r="T1805" s="2"/>
      <c r="U1805" s="2"/>
      <c r="V1805" s="2"/>
      <c r="X1805" s="38"/>
      <c r="Y1805" s="38"/>
      <c r="Z1805" s="38"/>
      <c r="AA1805" s="38"/>
      <c r="AB1805" s="38"/>
      <c r="AD1805" s="2"/>
      <c r="AE1805" s="2"/>
      <c r="AF1805" s="2"/>
      <c r="AG1805" s="2"/>
      <c r="AH1805" s="2"/>
      <c r="AJ1805" s="215"/>
      <c r="AK1805" s="215"/>
      <c r="AL1805" s="215"/>
      <c r="AM1805" s="215"/>
      <c r="AO1805" s="10"/>
      <c r="AP1805" s="10"/>
      <c r="AQ1805" s="10"/>
      <c r="AR1805" s="10"/>
      <c r="AS1805" s="10"/>
      <c r="AU1805" s="2"/>
      <c r="AV1805" s="2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</row>
    <row r="1806" spans="1:73" customFormat="1" ht="12.75" hidden="1" customHeight="1" x14ac:dyDescent="0.2">
      <c r="A1806" s="1"/>
      <c r="B1806" s="1"/>
      <c r="C1806" s="1"/>
      <c r="D1806" s="7"/>
      <c r="E1806" s="7"/>
      <c r="F1806" s="6"/>
      <c r="G1806" s="7"/>
      <c r="H1806" s="2"/>
      <c r="I1806" s="2"/>
      <c r="J1806" s="2"/>
      <c r="K1806" s="2"/>
      <c r="L1806" s="178"/>
      <c r="M1806" s="2"/>
      <c r="N1806" s="7"/>
      <c r="P1806" s="7"/>
      <c r="R1806" s="2"/>
      <c r="S1806" s="2"/>
      <c r="T1806" s="2"/>
      <c r="U1806" s="2"/>
      <c r="V1806" s="2"/>
      <c r="X1806" s="38"/>
      <c r="Y1806" s="38"/>
      <c r="Z1806" s="38"/>
      <c r="AA1806" s="38"/>
      <c r="AB1806" s="38"/>
      <c r="AD1806" s="2"/>
      <c r="AE1806" s="2"/>
      <c r="AF1806" s="2"/>
      <c r="AG1806" s="2"/>
      <c r="AH1806" s="2"/>
      <c r="AJ1806" s="215"/>
      <c r="AK1806" s="215"/>
      <c r="AL1806" s="215"/>
      <c r="AM1806" s="215"/>
      <c r="AO1806" s="10"/>
      <c r="AP1806" s="10"/>
      <c r="AQ1806" s="10"/>
      <c r="AR1806" s="10"/>
      <c r="AS1806" s="10"/>
      <c r="AU1806" s="2"/>
      <c r="AV1806" s="2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</row>
    <row r="1807" spans="1:73" customFormat="1" ht="12.75" hidden="1" customHeight="1" x14ac:dyDescent="0.2">
      <c r="A1807" s="1"/>
      <c r="B1807" s="1"/>
      <c r="C1807" s="1"/>
      <c r="D1807" s="7"/>
      <c r="E1807" s="7"/>
      <c r="F1807" s="6"/>
      <c r="G1807" s="7"/>
      <c r="H1807" s="2"/>
      <c r="I1807" s="2"/>
      <c r="J1807" s="2"/>
      <c r="K1807" s="2"/>
      <c r="L1807" s="178"/>
      <c r="M1807" s="2"/>
      <c r="N1807" s="7"/>
      <c r="P1807" s="7"/>
      <c r="R1807" s="2"/>
      <c r="S1807" s="2"/>
      <c r="T1807" s="2"/>
      <c r="U1807" s="2"/>
      <c r="V1807" s="2"/>
      <c r="X1807" s="38"/>
      <c r="Y1807" s="38"/>
      <c r="Z1807" s="38"/>
      <c r="AA1807" s="38"/>
      <c r="AB1807" s="38"/>
      <c r="AD1807" s="2"/>
      <c r="AE1807" s="2"/>
      <c r="AF1807" s="2"/>
      <c r="AG1807" s="2"/>
      <c r="AH1807" s="2"/>
      <c r="AJ1807" s="215"/>
      <c r="AK1807" s="215"/>
      <c r="AL1807" s="215"/>
      <c r="AM1807" s="215"/>
      <c r="AO1807" s="10"/>
      <c r="AP1807" s="10"/>
      <c r="AQ1807" s="10"/>
      <c r="AR1807" s="10"/>
      <c r="AS1807" s="10"/>
      <c r="AU1807" s="2"/>
      <c r="AV1807" s="2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</row>
    <row r="1808" spans="1:73" customFormat="1" ht="12.75" hidden="1" customHeight="1" x14ac:dyDescent="0.2">
      <c r="A1808" s="1"/>
      <c r="B1808" s="1"/>
      <c r="C1808" s="1"/>
      <c r="D1808" s="7"/>
      <c r="E1808" s="7"/>
      <c r="F1808" s="6"/>
      <c r="G1808" s="7"/>
      <c r="H1808" s="2"/>
      <c r="I1808" s="2"/>
      <c r="J1808" s="2"/>
      <c r="K1808" s="2"/>
      <c r="L1808" s="178"/>
      <c r="M1808" s="2"/>
      <c r="N1808" s="7"/>
      <c r="P1808" s="7"/>
      <c r="R1808" s="2"/>
      <c r="S1808" s="2"/>
      <c r="T1808" s="2"/>
      <c r="U1808" s="2"/>
      <c r="V1808" s="2"/>
      <c r="X1808" s="38"/>
      <c r="Y1808" s="38"/>
      <c r="Z1808" s="38"/>
      <c r="AA1808" s="38"/>
      <c r="AB1808" s="38"/>
      <c r="AD1808" s="2"/>
      <c r="AE1808" s="2"/>
      <c r="AF1808" s="2"/>
      <c r="AG1808" s="2"/>
      <c r="AH1808" s="2"/>
      <c r="AJ1808" s="215"/>
      <c r="AK1808" s="215"/>
      <c r="AL1808" s="215"/>
      <c r="AM1808" s="215"/>
      <c r="AO1808" s="10"/>
      <c r="AP1808" s="10"/>
      <c r="AQ1808" s="10"/>
      <c r="AR1808" s="10"/>
      <c r="AS1808" s="10"/>
      <c r="AU1808" s="2"/>
      <c r="AV1808" s="2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</row>
    <row r="1809" spans="1:73" customFormat="1" ht="12.75" hidden="1" customHeight="1" x14ac:dyDescent="0.2">
      <c r="A1809" s="1"/>
      <c r="B1809" s="1"/>
      <c r="C1809" s="1"/>
      <c r="D1809" s="7"/>
      <c r="E1809" s="7"/>
      <c r="F1809" s="6"/>
      <c r="G1809" s="7"/>
      <c r="H1809" s="2"/>
      <c r="I1809" s="2"/>
      <c r="J1809" s="2"/>
      <c r="K1809" s="2"/>
      <c r="L1809" s="178"/>
      <c r="M1809" s="2"/>
      <c r="N1809" s="7"/>
      <c r="P1809" s="7"/>
      <c r="R1809" s="2"/>
      <c r="S1809" s="2"/>
      <c r="T1809" s="2"/>
      <c r="U1809" s="2"/>
      <c r="V1809" s="2"/>
      <c r="X1809" s="38"/>
      <c r="Y1809" s="38"/>
      <c r="Z1809" s="38"/>
      <c r="AA1809" s="38"/>
      <c r="AB1809" s="38"/>
      <c r="AD1809" s="2"/>
      <c r="AE1809" s="2"/>
      <c r="AF1809" s="2"/>
      <c r="AG1809" s="2"/>
      <c r="AH1809" s="2"/>
      <c r="AJ1809" s="215"/>
      <c r="AK1809" s="215"/>
      <c r="AL1809" s="215"/>
      <c r="AM1809" s="215"/>
      <c r="AO1809" s="10"/>
      <c r="AP1809" s="10"/>
      <c r="AQ1809" s="10"/>
      <c r="AR1809" s="10"/>
      <c r="AS1809" s="10"/>
      <c r="AU1809" s="2"/>
      <c r="AV1809" s="2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</row>
    <row r="1810" spans="1:73" customFormat="1" ht="12.75" hidden="1" customHeight="1" x14ac:dyDescent="0.2">
      <c r="A1810" s="1"/>
      <c r="B1810" s="1"/>
      <c r="C1810" s="1"/>
      <c r="D1810" s="7"/>
      <c r="E1810" s="7"/>
      <c r="F1810" s="6"/>
      <c r="G1810" s="7"/>
      <c r="H1810" s="2"/>
      <c r="I1810" s="2"/>
      <c r="J1810" s="2"/>
      <c r="K1810" s="2"/>
      <c r="L1810" s="178"/>
      <c r="M1810" s="2"/>
      <c r="N1810" s="7"/>
      <c r="P1810" s="7"/>
      <c r="R1810" s="2"/>
      <c r="S1810" s="2"/>
      <c r="T1810" s="2"/>
      <c r="U1810" s="2"/>
      <c r="V1810" s="2"/>
      <c r="X1810" s="38"/>
      <c r="Y1810" s="38"/>
      <c r="Z1810" s="38"/>
      <c r="AA1810" s="38"/>
      <c r="AB1810" s="38"/>
      <c r="AD1810" s="2"/>
      <c r="AE1810" s="2"/>
      <c r="AF1810" s="2"/>
      <c r="AG1810" s="2"/>
      <c r="AH1810" s="2"/>
      <c r="AJ1810" s="215"/>
      <c r="AK1810" s="215"/>
      <c r="AL1810" s="215"/>
      <c r="AM1810" s="215"/>
      <c r="AO1810" s="10"/>
      <c r="AP1810" s="10"/>
      <c r="AQ1810" s="10"/>
      <c r="AR1810" s="10"/>
      <c r="AS1810" s="10"/>
      <c r="AU1810" s="2"/>
      <c r="AV1810" s="2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</row>
    <row r="1811" spans="1:73" customFormat="1" ht="12.75" hidden="1" customHeight="1" x14ac:dyDescent="0.2">
      <c r="A1811" s="1"/>
      <c r="B1811" s="1"/>
      <c r="C1811" s="1"/>
      <c r="D1811" s="7"/>
      <c r="E1811" s="7"/>
      <c r="F1811" s="6"/>
      <c r="G1811" s="7"/>
      <c r="H1811" s="2"/>
      <c r="I1811" s="2"/>
      <c r="J1811" s="2"/>
      <c r="K1811" s="2"/>
      <c r="L1811" s="178"/>
      <c r="M1811" s="2"/>
      <c r="N1811" s="7"/>
      <c r="P1811" s="7"/>
      <c r="R1811" s="2"/>
      <c r="S1811" s="2"/>
      <c r="T1811" s="2"/>
      <c r="U1811" s="2"/>
      <c r="V1811" s="2"/>
      <c r="X1811" s="38"/>
      <c r="Y1811" s="38"/>
      <c r="Z1811" s="38"/>
      <c r="AA1811" s="38"/>
      <c r="AB1811" s="38"/>
      <c r="AD1811" s="2"/>
      <c r="AE1811" s="2"/>
      <c r="AF1811" s="2"/>
      <c r="AG1811" s="2"/>
      <c r="AH1811" s="2"/>
      <c r="AJ1811" s="215"/>
      <c r="AK1811" s="215"/>
      <c r="AL1811" s="215"/>
      <c r="AM1811" s="215"/>
      <c r="AO1811" s="10"/>
      <c r="AP1811" s="10"/>
      <c r="AQ1811" s="10"/>
      <c r="AR1811" s="10"/>
      <c r="AS1811" s="10"/>
      <c r="AU1811" s="2"/>
      <c r="AV1811" s="2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</row>
    <row r="1812" spans="1:73" customFormat="1" ht="12.75" hidden="1" customHeight="1" x14ac:dyDescent="0.2">
      <c r="A1812" s="1"/>
      <c r="B1812" s="1"/>
      <c r="C1812" s="1"/>
      <c r="D1812" s="7"/>
      <c r="E1812" s="7"/>
      <c r="F1812" s="6"/>
      <c r="G1812" s="7"/>
      <c r="H1812" s="2"/>
      <c r="I1812" s="2"/>
      <c r="J1812" s="2"/>
      <c r="K1812" s="2"/>
      <c r="L1812" s="178"/>
      <c r="M1812" s="2"/>
      <c r="N1812" s="7"/>
      <c r="P1812" s="7"/>
      <c r="R1812" s="2"/>
      <c r="S1812" s="2"/>
      <c r="T1812" s="2"/>
      <c r="U1812" s="2"/>
      <c r="V1812" s="2"/>
      <c r="X1812" s="38"/>
      <c r="Y1812" s="38"/>
      <c r="Z1812" s="38"/>
      <c r="AA1812" s="38"/>
      <c r="AB1812" s="38"/>
      <c r="AD1812" s="2"/>
      <c r="AE1812" s="2"/>
      <c r="AF1812" s="2"/>
      <c r="AG1812" s="2"/>
      <c r="AH1812" s="2"/>
      <c r="AJ1812" s="215"/>
      <c r="AK1812" s="215"/>
      <c r="AL1812" s="215"/>
      <c r="AM1812" s="215"/>
      <c r="AO1812" s="10"/>
      <c r="AP1812" s="10"/>
      <c r="AQ1812" s="10"/>
      <c r="AR1812" s="10"/>
      <c r="AS1812" s="10"/>
      <c r="AU1812" s="2"/>
      <c r="AV1812" s="2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</row>
    <row r="1813" spans="1:73" customFormat="1" ht="12.75" hidden="1" customHeight="1" x14ac:dyDescent="0.2">
      <c r="A1813" s="1"/>
      <c r="B1813" s="1"/>
      <c r="C1813" s="1"/>
      <c r="D1813" s="7"/>
      <c r="E1813" s="7"/>
      <c r="F1813" s="6"/>
      <c r="G1813" s="7"/>
      <c r="H1813" s="2"/>
      <c r="I1813" s="2"/>
      <c r="J1813" s="2"/>
      <c r="K1813" s="2"/>
      <c r="L1813" s="178"/>
      <c r="M1813" s="2"/>
      <c r="N1813" s="7"/>
      <c r="P1813" s="7"/>
      <c r="R1813" s="2"/>
      <c r="S1813" s="2"/>
      <c r="T1813" s="2"/>
      <c r="U1813" s="2"/>
      <c r="V1813" s="2"/>
      <c r="X1813" s="38"/>
      <c r="Y1813" s="38"/>
      <c r="Z1813" s="38"/>
      <c r="AA1813" s="38"/>
      <c r="AB1813" s="38"/>
      <c r="AD1813" s="2"/>
      <c r="AE1813" s="2"/>
      <c r="AF1813" s="2"/>
      <c r="AG1813" s="2"/>
      <c r="AH1813" s="2"/>
      <c r="AJ1813" s="215"/>
      <c r="AK1813" s="215"/>
      <c r="AL1813" s="215"/>
      <c r="AM1813" s="215"/>
      <c r="AO1813" s="10"/>
      <c r="AP1813" s="10"/>
      <c r="AQ1813" s="10"/>
      <c r="AR1813" s="10"/>
      <c r="AS1813" s="10"/>
      <c r="AU1813" s="2"/>
      <c r="AV1813" s="2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</row>
    <row r="1814" spans="1:73" customFormat="1" ht="12.75" hidden="1" customHeight="1" x14ac:dyDescent="0.2">
      <c r="A1814" s="1"/>
      <c r="B1814" s="1"/>
      <c r="C1814" s="1"/>
      <c r="D1814" s="7"/>
      <c r="E1814" s="7"/>
      <c r="F1814" s="6"/>
      <c r="G1814" s="7"/>
      <c r="H1814" s="2"/>
      <c r="I1814" s="2"/>
      <c r="J1814" s="2"/>
      <c r="K1814" s="2"/>
      <c r="L1814" s="178"/>
      <c r="M1814" s="2"/>
      <c r="N1814" s="7"/>
      <c r="P1814" s="7"/>
      <c r="R1814" s="2"/>
      <c r="S1814" s="2"/>
      <c r="T1814" s="2"/>
      <c r="U1814" s="2"/>
      <c r="V1814" s="2"/>
      <c r="X1814" s="38"/>
      <c r="Y1814" s="38"/>
      <c r="Z1814" s="38"/>
      <c r="AA1814" s="38"/>
      <c r="AB1814" s="38"/>
      <c r="AD1814" s="2"/>
      <c r="AE1814" s="2"/>
      <c r="AF1814" s="2"/>
      <c r="AG1814" s="2"/>
      <c r="AH1814" s="2"/>
      <c r="AJ1814" s="215"/>
      <c r="AK1814" s="215"/>
      <c r="AL1814" s="215"/>
      <c r="AM1814" s="215"/>
      <c r="AO1814" s="10"/>
      <c r="AP1814" s="10"/>
      <c r="AQ1814" s="10"/>
      <c r="AR1814" s="10"/>
      <c r="AS1814" s="10"/>
      <c r="AU1814" s="2"/>
      <c r="AV1814" s="2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</row>
    <row r="1815" spans="1:73" customFormat="1" ht="12.75" hidden="1" customHeight="1" x14ac:dyDescent="0.2">
      <c r="A1815" s="1"/>
      <c r="B1815" s="1"/>
      <c r="C1815" s="1"/>
      <c r="D1815" s="7"/>
      <c r="E1815" s="7"/>
      <c r="F1815" s="6"/>
      <c r="G1815" s="7"/>
      <c r="H1815" s="2"/>
      <c r="I1815" s="2"/>
      <c r="J1815" s="2"/>
      <c r="K1815" s="2"/>
      <c r="L1815" s="178"/>
      <c r="M1815" s="2"/>
      <c r="N1815" s="7"/>
      <c r="P1815" s="7"/>
      <c r="R1815" s="2"/>
      <c r="S1815" s="2"/>
      <c r="T1815" s="2"/>
      <c r="U1815" s="2"/>
      <c r="V1815" s="2"/>
      <c r="X1815" s="38"/>
      <c r="Y1815" s="38"/>
      <c r="Z1815" s="38"/>
      <c r="AA1815" s="38"/>
      <c r="AB1815" s="38"/>
      <c r="AD1815" s="2"/>
      <c r="AE1815" s="2"/>
      <c r="AF1815" s="2"/>
      <c r="AG1815" s="2"/>
      <c r="AH1815" s="2"/>
      <c r="AJ1815" s="215"/>
      <c r="AK1815" s="215"/>
      <c r="AL1815" s="215"/>
      <c r="AM1815" s="215"/>
      <c r="AO1815" s="10"/>
      <c r="AP1815" s="10"/>
      <c r="AQ1815" s="10"/>
      <c r="AR1815" s="10"/>
      <c r="AS1815" s="10"/>
      <c r="AU1815" s="2"/>
      <c r="AV1815" s="2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</row>
    <row r="1816" spans="1:73" customFormat="1" ht="12.75" hidden="1" customHeight="1" x14ac:dyDescent="0.2">
      <c r="A1816" s="1"/>
      <c r="B1816" s="1"/>
      <c r="C1816" s="1"/>
      <c r="D1816" s="7"/>
      <c r="E1816" s="7"/>
      <c r="F1816" s="6"/>
      <c r="G1816" s="7"/>
      <c r="H1816" s="2"/>
      <c r="I1816" s="2"/>
      <c r="J1816" s="2"/>
      <c r="K1816" s="2"/>
      <c r="L1816" s="178"/>
      <c r="M1816" s="2"/>
      <c r="N1816" s="7"/>
      <c r="P1816" s="7"/>
      <c r="R1816" s="2"/>
      <c r="S1816" s="2"/>
      <c r="T1816" s="2"/>
      <c r="U1816" s="2"/>
      <c r="V1816" s="2"/>
      <c r="X1816" s="38"/>
      <c r="Y1816" s="38"/>
      <c r="Z1816" s="38"/>
      <c r="AA1816" s="38"/>
      <c r="AB1816" s="38"/>
      <c r="AD1816" s="2"/>
      <c r="AE1816" s="2"/>
      <c r="AF1816" s="2"/>
      <c r="AG1816" s="2"/>
      <c r="AH1816" s="2"/>
      <c r="AJ1816" s="215"/>
      <c r="AK1816" s="215"/>
      <c r="AL1816" s="215"/>
      <c r="AM1816" s="215"/>
      <c r="AO1816" s="10"/>
      <c r="AP1816" s="10"/>
      <c r="AQ1816" s="10"/>
      <c r="AR1816" s="10"/>
      <c r="AS1816" s="10"/>
      <c r="AU1816" s="2"/>
      <c r="AV1816" s="2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</row>
    <row r="1817" spans="1:73" customFormat="1" ht="12.75" hidden="1" customHeight="1" x14ac:dyDescent="0.2">
      <c r="A1817" s="1"/>
      <c r="B1817" s="1"/>
      <c r="C1817" s="1"/>
      <c r="D1817" s="7"/>
      <c r="E1817" s="7"/>
      <c r="F1817" s="6"/>
      <c r="G1817" s="7"/>
      <c r="H1817" s="2"/>
      <c r="I1817" s="2"/>
      <c r="J1817" s="2"/>
      <c r="K1817" s="2"/>
      <c r="L1817" s="178"/>
      <c r="M1817" s="2"/>
      <c r="N1817" s="7"/>
      <c r="P1817" s="7"/>
      <c r="R1817" s="2"/>
      <c r="S1817" s="2"/>
      <c r="T1817" s="2"/>
      <c r="U1817" s="2"/>
      <c r="V1817" s="2"/>
      <c r="X1817" s="38"/>
      <c r="Y1817" s="38"/>
      <c r="Z1817" s="38"/>
      <c r="AA1817" s="38"/>
      <c r="AB1817" s="38"/>
      <c r="AD1817" s="2"/>
      <c r="AE1817" s="2"/>
      <c r="AF1817" s="2"/>
      <c r="AG1817" s="2"/>
      <c r="AH1817" s="2"/>
      <c r="AJ1817" s="215"/>
      <c r="AK1817" s="215"/>
      <c r="AL1817" s="215"/>
      <c r="AM1817" s="215"/>
      <c r="AO1817" s="10"/>
      <c r="AP1817" s="10"/>
      <c r="AQ1817" s="10"/>
      <c r="AR1817" s="10"/>
      <c r="AS1817" s="10"/>
      <c r="AU1817" s="2"/>
      <c r="AV1817" s="2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</row>
    <row r="1818" spans="1:73" customFormat="1" ht="12.75" hidden="1" customHeight="1" x14ac:dyDescent="0.2">
      <c r="A1818" s="1"/>
      <c r="B1818" s="1"/>
      <c r="C1818" s="1"/>
      <c r="D1818" s="7"/>
      <c r="E1818" s="7"/>
      <c r="F1818" s="6"/>
      <c r="G1818" s="7"/>
      <c r="H1818" s="2"/>
      <c r="I1818" s="2"/>
      <c r="J1818" s="2"/>
      <c r="K1818" s="2"/>
      <c r="L1818" s="178"/>
      <c r="M1818" s="2"/>
      <c r="N1818" s="7"/>
      <c r="P1818" s="7"/>
      <c r="R1818" s="2"/>
      <c r="S1818" s="2"/>
      <c r="T1818" s="2"/>
      <c r="U1818" s="2"/>
      <c r="V1818" s="2"/>
      <c r="X1818" s="38"/>
      <c r="Y1818" s="38"/>
      <c r="Z1818" s="38"/>
      <c r="AA1818" s="38"/>
      <c r="AB1818" s="38"/>
      <c r="AD1818" s="2"/>
      <c r="AE1818" s="2"/>
      <c r="AF1818" s="2"/>
      <c r="AG1818" s="2"/>
      <c r="AH1818" s="2"/>
      <c r="AJ1818" s="215"/>
      <c r="AK1818" s="215"/>
      <c r="AL1818" s="215"/>
      <c r="AM1818" s="215"/>
      <c r="AO1818" s="10"/>
      <c r="AP1818" s="10"/>
      <c r="AQ1818" s="10"/>
      <c r="AR1818" s="10"/>
      <c r="AS1818" s="10"/>
      <c r="AU1818" s="2"/>
      <c r="AV1818" s="2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</row>
    <row r="1819" spans="1:73" customFormat="1" ht="12.75" hidden="1" customHeight="1" x14ac:dyDescent="0.2">
      <c r="A1819" s="1"/>
      <c r="B1819" s="1"/>
      <c r="C1819" s="1"/>
      <c r="D1819" s="7"/>
      <c r="E1819" s="7"/>
      <c r="F1819" s="6"/>
      <c r="G1819" s="7"/>
      <c r="H1819" s="2"/>
      <c r="I1819" s="2"/>
      <c r="J1819" s="2"/>
      <c r="K1819" s="2"/>
      <c r="L1819" s="178"/>
      <c r="M1819" s="2"/>
      <c r="N1819" s="7"/>
      <c r="P1819" s="7"/>
      <c r="R1819" s="2"/>
      <c r="S1819" s="2"/>
      <c r="T1819" s="2"/>
      <c r="U1819" s="2"/>
      <c r="V1819" s="2"/>
      <c r="X1819" s="38"/>
      <c r="Y1819" s="38"/>
      <c r="Z1819" s="38"/>
      <c r="AA1819" s="38"/>
      <c r="AB1819" s="38"/>
      <c r="AD1819" s="2"/>
      <c r="AE1819" s="2"/>
      <c r="AF1819" s="2"/>
      <c r="AG1819" s="2"/>
      <c r="AH1819" s="2"/>
      <c r="AJ1819" s="215"/>
      <c r="AK1819" s="215"/>
      <c r="AL1819" s="215"/>
      <c r="AM1819" s="215"/>
      <c r="AO1819" s="10"/>
      <c r="AP1819" s="10"/>
      <c r="AQ1819" s="10"/>
      <c r="AR1819" s="10"/>
      <c r="AS1819" s="10"/>
      <c r="AU1819" s="2"/>
      <c r="AV1819" s="2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</row>
    <row r="1820" spans="1:73" customFormat="1" ht="12.75" hidden="1" customHeight="1" x14ac:dyDescent="0.2">
      <c r="A1820" s="1"/>
      <c r="B1820" s="1"/>
      <c r="C1820" s="1"/>
      <c r="D1820" s="7"/>
      <c r="E1820" s="7"/>
      <c r="F1820" s="6"/>
      <c r="G1820" s="7"/>
      <c r="H1820" s="2"/>
      <c r="I1820" s="2"/>
      <c r="J1820" s="2"/>
      <c r="K1820" s="2"/>
      <c r="L1820" s="178"/>
      <c r="M1820" s="2"/>
      <c r="N1820" s="7"/>
      <c r="P1820" s="7"/>
      <c r="R1820" s="2"/>
      <c r="S1820" s="2"/>
      <c r="T1820" s="2"/>
      <c r="U1820" s="2"/>
      <c r="V1820" s="2"/>
      <c r="X1820" s="38"/>
      <c r="Y1820" s="38"/>
      <c r="Z1820" s="38"/>
      <c r="AA1820" s="38"/>
      <c r="AB1820" s="38"/>
      <c r="AD1820" s="2"/>
      <c r="AE1820" s="2"/>
      <c r="AF1820" s="2"/>
      <c r="AG1820" s="2"/>
      <c r="AH1820" s="2"/>
      <c r="AJ1820" s="215"/>
      <c r="AK1820" s="215"/>
      <c r="AL1820" s="215"/>
      <c r="AM1820" s="215"/>
      <c r="AO1820" s="10"/>
      <c r="AP1820" s="10"/>
      <c r="AQ1820" s="10"/>
      <c r="AR1820" s="10"/>
      <c r="AS1820" s="10"/>
      <c r="AU1820" s="2"/>
      <c r="AV1820" s="2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</row>
    <row r="1821" spans="1:73" customFormat="1" ht="12.75" hidden="1" customHeight="1" x14ac:dyDescent="0.2">
      <c r="A1821" s="1"/>
      <c r="B1821" s="1"/>
      <c r="C1821" s="1"/>
      <c r="D1821" s="7"/>
      <c r="E1821" s="7"/>
      <c r="F1821" s="6"/>
      <c r="G1821" s="7"/>
      <c r="H1821" s="2"/>
      <c r="I1821" s="2"/>
      <c r="J1821" s="2"/>
      <c r="K1821" s="2"/>
      <c r="L1821" s="178"/>
      <c r="M1821" s="2"/>
      <c r="N1821" s="7"/>
      <c r="P1821" s="7"/>
      <c r="R1821" s="2"/>
      <c r="S1821" s="2"/>
      <c r="T1821" s="2"/>
      <c r="U1821" s="2"/>
      <c r="V1821" s="2"/>
      <c r="X1821" s="38"/>
      <c r="Y1821" s="38"/>
      <c r="Z1821" s="38"/>
      <c r="AA1821" s="38"/>
      <c r="AB1821" s="38"/>
      <c r="AD1821" s="2"/>
      <c r="AE1821" s="2"/>
      <c r="AF1821" s="2"/>
      <c r="AG1821" s="2"/>
      <c r="AH1821" s="2"/>
      <c r="AJ1821" s="215"/>
      <c r="AK1821" s="215"/>
      <c r="AL1821" s="215"/>
      <c r="AM1821" s="215"/>
      <c r="AO1821" s="10"/>
      <c r="AP1821" s="10"/>
      <c r="AQ1821" s="10"/>
      <c r="AR1821" s="10"/>
      <c r="AS1821" s="10"/>
      <c r="AU1821" s="2"/>
      <c r="AV1821" s="2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</row>
    <row r="1822" spans="1:73" customFormat="1" ht="12.75" hidden="1" customHeight="1" x14ac:dyDescent="0.2">
      <c r="A1822" s="1"/>
      <c r="B1822" s="1"/>
      <c r="C1822" s="1"/>
      <c r="D1822" s="7"/>
      <c r="E1822" s="7"/>
      <c r="F1822" s="6"/>
      <c r="G1822" s="7"/>
      <c r="H1822" s="2"/>
      <c r="I1822" s="2"/>
      <c r="J1822" s="2"/>
      <c r="K1822" s="2"/>
      <c r="L1822" s="178"/>
      <c r="M1822" s="2"/>
      <c r="N1822" s="7"/>
      <c r="P1822" s="7"/>
      <c r="R1822" s="2"/>
      <c r="S1822" s="2"/>
      <c r="T1822" s="2"/>
      <c r="U1822" s="2"/>
      <c r="V1822" s="2"/>
      <c r="X1822" s="38"/>
      <c r="Y1822" s="38"/>
      <c r="Z1822" s="38"/>
      <c r="AA1822" s="38"/>
      <c r="AB1822" s="38"/>
      <c r="AD1822" s="2"/>
      <c r="AE1822" s="2"/>
      <c r="AF1822" s="2"/>
      <c r="AG1822" s="2"/>
      <c r="AH1822" s="2"/>
      <c r="AJ1822" s="215"/>
      <c r="AK1822" s="215"/>
      <c r="AL1822" s="215"/>
      <c r="AM1822" s="215"/>
      <c r="AO1822" s="10"/>
      <c r="AP1822" s="10"/>
      <c r="AQ1822" s="10"/>
      <c r="AR1822" s="10"/>
      <c r="AS1822" s="10"/>
      <c r="AU1822" s="2"/>
      <c r="AV1822" s="2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</row>
    <row r="1823" spans="1:73" customFormat="1" ht="12.75" hidden="1" customHeight="1" x14ac:dyDescent="0.2">
      <c r="A1823" s="1"/>
      <c r="B1823" s="1"/>
      <c r="C1823" s="1"/>
      <c r="D1823" s="7"/>
      <c r="E1823" s="7"/>
      <c r="F1823" s="6"/>
      <c r="G1823" s="7"/>
      <c r="H1823" s="2"/>
      <c r="I1823" s="2"/>
      <c r="J1823" s="2"/>
      <c r="K1823" s="2"/>
      <c r="L1823" s="178"/>
      <c r="M1823" s="2"/>
      <c r="N1823" s="7"/>
      <c r="P1823" s="7"/>
      <c r="R1823" s="2"/>
      <c r="S1823" s="2"/>
      <c r="T1823" s="2"/>
      <c r="U1823" s="2"/>
      <c r="V1823" s="2"/>
      <c r="X1823" s="38"/>
      <c r="Y1823" s="38"/>
      <c r="Z1823" s="38"/>
      <c r="AA1823" s="38"/>
      <c r="AB1823" s="38"/>
      <c r="AD1823" s="2"/>
      <c r="AE1823" s="2"/>
      <c r="AF1823" s="2"/>
      <c r="AG1823" s="2"/>
      <c r="AH1823" s="2"/>
      <c r="AJ1823" s="215"/>
      <c r="AK1823" s="215"/>
      <c r="AL1823" s="215"/>
      <c r="AM1823" s="215"/>
      <c r="AO1823" s="10"/>
      <c r="AP1823" s="10"/>
      <c r="AQ1823" s="10"/>
      <c r="AR1823" s="10"/>
      <c r="AS1823" s="10"/>
      <c r="AU1823" s="2"/>
      <c r="AV1823" s="2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</row>
    <row r="1824" spans="1:73" customFormat="1" ht="12.75" hidden="1" customHeight="1" x14ac:dyDescent="0.2">
      <c r="A1824" s="1"/>
      <c r="B1824" s="1"/>
      <c r="C1824" s="1"/>
      <c r="D1824" s="7"/>
      <c r="E1824" s="7"/>
      <c r="F1824" s="6"/>
      <c r="G1824" s="7"/>
      <c r="H1824" s="2"/>
      <c r="I1824" s="2"/>
      <c r="J1824" s="2"/>
      <c r="K1824" s="2"/>
      <c r="L1824" s="178"/>
      <c r="M1824" s="2"/>
      <c r="N1824" s="7"/>
      <c r="P1824" s="7"/>
      <c r="R1824" s="2"/>
      <c r="S1824" s="2"/>
      <c r="T1824" s="2"/>
      <c r="U1824" s="2"/>
      <c r="V1824" s="2"/>
      <c r="X1824" s="38"/>
      <c r="Y1824" s="38"/>
      <c r="Z1824" s="38"/>
      <c r="AA1824" s="38"/>
      <c r="AB1824" s="38"/>
      <c r="AD1824" s="2"/>
      <c r="AE1824" s="2"/>
      <c r="AF1824" s="2"/>
      <c r="AG1824" s="2"/>
      <c r="AH1824" s="2"/>
      <c r="AJ1824" s="215"/>
      <c r="AK1824" s="215"/>
      <c r="AL1824" s="215"/>
      <c r="AM1824" s="215"/>
      <c r="AO1824" s="10"/>
      <c r="AP1824" s="10"/>
      <c r="AQ1824" s="10"/>
      <c r="AR1824" s="10"/>
      <c r="AS1824" s="10"/>
      <c r="AU1824" s="2"/>
      <c r="AV1824" s="2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</row>
    <row r="1825" spans="1:73" customFormat="1" ht="12.75" hidden="1" customHeight="1" x14ac:dyDescent="0.2">
      <c r="A1825" s="1"/>
      <c r="B1825" s="1"/>
      <c r="C1825" s="1"/>
      <c r="D1825" s="7"/>
      <c r="E1825" s="7"/>
      <c r="F1825" s="6"/>
      <c r="G1825" s="7"/>
      <c r="H1825" s="2"/>
      <c r="I1825" s="2"/>
      <c r="J1825" s="2"/>
      <c r="K1825" s="2"/>
      <c r="L1825" s="178"/>
      <c r="M1825" s="2"/>
      <c r="N1825" s="7"/>
      <c r="P1825" s="7"/>
      <c r="R1825" s="2"/>
      <c r="S1825" s="2"/>
      <c r="T1825" s="2"/>
      <c r="U1825" s="2"/>
      <c r="V1825" s="2"/>
      <c r="X1825" s="38"/>
      <c r="Y1825" s="38"/>
      <c r="Z1825" s="38"/>
      <c r="AA1825" s="38"/>
      <c r="AB1825" s="38"/>
      <c r="AD1825" s="2"/>
      <c r="AE1825" s="2"/>
      <c r="AF1825" s="2"/>
      <c r="AG1825" s="2"/>
      <c r="AH1825" s="2"/>
      <c r="AJ1825" s="215"/>
      <c r="AK1825" s="215"/>
      <c r="AL1825" s="215"/>
      <c r="AM1825" s="215"/>
      <c r="AO1825" s="10"/>
      <c r="AP1825" s="10"/>
      <c r="AQ1825" s="10"/>
      <c r="AR1825" s="10"/>
      <c r="AS1825" s="10"/>
      <c r="AU1825" s="2"/>
      <c r="AV1825" s="2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</row>
    <row r="1826" spans="1:73" customFormat="1" ht="12.75" hidden="1" customHeight="1" x14ac:dyDescent="0.2">
      <c r="A1826" s="1"/>
      <c r="B1826" s="1"/>
      <c r="C1826" s="1"/>
      <c r="D1826" s="7"/>
      <c r="E1826" s="7"/>
      <c r="F1826" s="6"/>
      <c r="G1826" s="7"/>
      <c r="H1826" s="2"/>
      <c r="I1826" s="2"/>
      <c r="J1826" s="2"/>
      <c r="K1826" s="2"/>
      <c r="L1826" s="178"/>
      <c r="M1826" s="2"/>
      <c r="N1826" s="7"/>
      <c r="P1826" s="7"/>
      <c r="R1826" s="2"/>
      <c r="S1826" s="2"/>
      <c r="T1826" s="2"/>
      <c r="U1826" s="2"/>
      <c r="V1826" s="2"/>
      <c r="X1826" s="38"/>
      <c r="Y1826" s="38"/>
      <c r="Z1826" s="38"/>
      <c r="AA1826" s="38"/>
      <c r="AB1826" s="38"/>
      <c r="AD1826" s="2"/>
      <c r="AE1826" s="2"/>
      <c r="AF1826" s="2"/>
      <c r="AG1826" s="2"/>
      <c r="AH1826" s="2"/>
      <c r="AJ1826" s="215"/>
      <c r="AK1826" s="215"/>
      <c r="AL1826" s="215"/>
      <c r="AM1826" s="215"/>
      <c r="AO1826" s="10"/>
      <c r="AP1826" s="10"/>
      <c r="AQ1826" s="10"/>
      <c r="AR1826" s="10"/>
      <c r="AS1826" s="10"/>
      <c r="AU1826" s="2"/>
      <c r="AV1826" s="2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</row>
    <row r="1827" spans="1:73" customFormat="1" ht="12.75" hidden="1" customHeight="1" x14ac:dyDescent="0.2">
      <c r="A1827" s="1"/>
      <c r="B1827" s="1"/>
      <c r="C1827" s="1"/>
      <c r="D1827" s="7"/>
      <c r="E1827" s="7"/>
      <c r="F1827" s="6"/>
      <c r="G1827" s="7"/>
      <c r="H1827" s="2"/>
      <c r="I1827" s="2"/>
      <c r="J1827" s="2"/>
      <c r="K1827" s="2"/>
      <c r="L1827" s="178"/>
      <c r="M1827" s="2"/>
      <c r="N1827" s="7"/>
      <c r="P1827" s="7"/>
      <c r="R1827" s="2"/>
      <c r="S1827" s="2"/>
      <c r="T1827" s="2"/>
      <c r="U1827" s="2"/>
      <c r="V1827" s="2"/>
      <c r="X1827" s="38"/>
      <c r="Y1827" s="38"/>
      <c r="Z1827" s="38"/>
      <c r="AA1827" s="38"/>
      <c r="AB1827" s="38"/>
      <c r="AD1827" s="2"/>
      <c r="AE1827" s="2"/>
      <c r="AF1827" s="2"/>
      <c r="AG1827" s="2"/>
      <c r="AH1827" s="2"/>
      <c r="AJ1827" s="215"/>
      <c r="AK1827" s="215"/>
      <c r="AL1827" s="215"/>
      <c r="AM1827" s="215"/>
      <c r="AO1827" s="10"/>
      <c r="AP1827" s="10"/>
      <c r="AQ1827" s="10"/>
      <c r="AR1827" s="10"/>
      <c r="AS1827" s="10"/>
      <c r="AU1827" s="2"/>
      <c r="AV1827" s="2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</row>
    <row r="1828" spans="1:73" customFormat="1" ht="12.75" hidden="1" customHeight="1" x14ac:dyDescent="0.2">
      <c r="A1828" s="1"/>
      <c r="B1828" s="1"/>
      <c r="C1828" s="1"/>
      <c r="D1828" s="7"/>
      <c r="E1828" s="7"/>
      <c r="F1828" s="6"/>
      <c r="G1828" s="7"/>
      <c r="H1828" s="2"/>
      <c r="I1828" s="2"/>
      <c r="J1828" s="2"/>
      <c r="K1828" s="2"/>
      <c r="L1828" s="178"/>
      <c r="M1828" s="2"/>
      <c r="N1828" s="7"/>
      <c r="P1828" s="7"/>
      <c r="R1828" s="2"/>
      <c r="S1828" s="2"/>
      <c r="T1828" s="2"/>
      <c r="U1828" s="2"/>
      <c r="V1828" s="2"/>
      <c r="X1828" s="38"/>
      <c r="Y1828" s="38"/>
      <c r="Z1828" s="38"/>
      <c r="AA1828" s="38"/>
      <c r="AB1828" s="38"/>
      <c r="AD1828" s="2"/>
      <c r="AE1828" s="2"/>
      <c r="AF1828" s="2"/>
      <c r="AG1828" s="2"/>
      <c r="AH1828" s="2"/>
      <c r="AJ1828" s="215"/>
      <c r="AK1828" s="215"/>
      <c r="AL1828" s="215"/>
      <c r="AM1828" s="215"/>
      <c r="AO1828" s="10"/>
      <c r="AP1828" s="10"/>
      <c r="AQ1828" s="10"/>
      <c r="AR1828" s="10"/>
      <c r="AS1828" s="10"/>
      <c r="AU1828" s="2"/>
      <c r="AV1828" s="2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</row>
    <row r="1829" spans="1:73" customFormat="1" ht="12.75" hidden="1" customHeight="1" x14ac:dyDescent="0.2">
      <c r="A1829" s="1"/>
      <c r="B1829" s="1"/>
      <c r="C1829" s="1"/>
      <c r="D1829" s="7"/>
      <c r="E1829" s="7"/>
      <c r="F1829" s="6"/>
      <c r="G1829" s="7"/>
      <c r="H1829" s="2"/>
      <c r="I1829" s="2"/>
      <c r="J1829" s="2"/>
      <c r="K1829" s="2"/>
      <c r="L1829" s="178"/>
      <c r="M1829" s="2"/>
      <c r="N1829" s="7"/>
      <c r="P1829" s="7"/>
      <c r="R1829" s="2"/>
      <c r="S1829" s="2"/>
      <c r="T1829" s="2"/>
      <c r="U1829" s="2"/>
      <c r="V1829" s="2"/>
      <c r="X1829" s="38"/>
      <c r="Y1829" s="38"/>
      <c r="Z1829" s="38"/>
      <c r="AA1829" s="38"/>
      <c r="AB1829" s="38"/>
      <c r="AD1829" s="2"/>
      <c r="AE1829" s="2"/>
      <c r="AF1829" s="2"/>
      <c r="AG1829" s="2"/>
      <c r="AH1829" s="2"/>
      <c r="AJ1829" s="215"/>
      <c r="AK1829" s="215"/>
      <c r="AL1829" s="215"/>
      <c r="AM1829" s="215"/>
      <c r="AO1829" s="10"/>
      <c r="AP1829" s="10"/>
      <c r="AQ1829" s="10"/>
      <c r="AR1829" s="10"/>
      <c r="AS1829" s="10"/>
      <c r="AU1829" s="2"/>
      <c r="AV1829" s="2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</row>
    <row r="1830" spans="1:73" customFormat="1" ht="12.75" hidden="1" customHeight="1" x14ac:dyDescent="0.2">
      <c r="A1830" s="1"/>
      <c r="B1830" s="1"/>
      <c r="C1830" s="1"/>
      <c r="D1830" s="7"/>
      <c r="E1830" s="7"/>
      <c r="F1830" s="6"/>
      <c r="G1830" s="7"/>
      <c r="H1830" s="2"/>
      <c r="I1830" s="2"/>
      <c r="J1830" s="2"/>
      <c r="K1830" s="2"/>
      <c r="L1830" s="178"/>
      <c r="M1830" s="2"/>
      <c r="N1830" s="7"/>
      <c r="P1830" s="7"/>
      <c r="R1830" s="2"/>
      <c r="S1830" s="2"/>
      <c r="T1830" s="2"/>
      <c r="U1830" s="2"/>
      <c r="V1830" s="2"/>
      <c r="X1830" s="38"/>
      <c r="Y1830" s="38"/>
      <c r="Z1830" s="38"/>
      <c r="AA1830" s="38"/>
      <c r="AB1830" s="38"/>
      <c r="AD1830" s="2"/>
      <c r="AE1830" s="2"/>
      <c r="AF1830" s="2"/>
      <c r="AG1830" s="2"/>
      <c r="AH1830" s="2"/>
      <c r="AJ1830" s="215"/>
      <c r="AK1830" s="215"/>
      <c r="AL1830" s="215"/>
      <c r="AM1830" s="215"/>
      <c r="AO1830" s="10"/>
      <c r="AP1830" s="10"/>
      <c r="AQ1830" s="10"/>
      <c r="AR1830" s="10"/>
      <c r="AS1830" s="10"/>
      <c r="AU1830" s="2"/>
      <c r="AV1830" s="2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</row>
    <row r="1831" spans="1:73" customFormat="1" ht="12.75" hidden="1" customHeight="1" x14ac:dyDescent="0.2">
      <c r="A1831" s="1"/>
      <c r="B1831" s="1"/>
      <c r="C1831" s="1"/>
      <c r="D1831" s="7"/>
      <c r="E1831" s="7"/>
      <c r="F1831" s="6"/>
      <c r="G1831" s="7"/>
      <c r="H1831" s="2"/>
      <c r="I1831" s="2"/>
      <c r="J1831" s="2"/>
      <c r="K1831" s="2"/>
      <c r="L1831" s="178"/>
      <c r="M1831" s="2"/>
      <c r="N1831" s="7"/>
      <c r="P1831" s="7"/>
      <c r="R1831" s="2"/>
      <c r="S1831" s="2"/>
      <c r="T1831" s="2"/>
      <c r="U1831" s="2"/>
      <c r="V1831" s="2"/>
      <c r="X1831" s="38"/>
      <c r="Y1831" s="38"/>
      <c r="Z1831" s="38"/>
      <c r="AA1831" s="38"/>
      <c r="AB1831" s="38"/>
      <c r="AD1831" s="2"/>
      <c r="AE1831" s="2"/>
      <c r="AF1831" s="2"/>
      <c r="AG1831" s="2"/>
      <c r="AH1831" s="2"/>
      <c r="AJ1831" s="215"/>
      <c r="AK1831" s="215"/>
      <c r="AL1831" s="215"/>
      <c r="AM1831" s="215"/>
      <c r="AO1831" s="10"/>
      <c r="AP1831" s="10"/>
      <c r="AQ1831" s="10"/>
      <c r="AR1831" s="10"/>
      <c r="AS1831" s="10"/>
      <c r="AU1831" s="2"/>
      <c r="AV1831" s="2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</row>
    <row r="1832" spans="1:73" customFormat="1" ht="12.75" hidden="1" customHeight="1" x14ac:dyDescent="0.2">
      <c r="A1832" s="1"/>
      <c r="B1832" s="1"/>
      <c r="C1832" s="1"/>
      <c r="D1832" s="7"/>
      <c r="E1832" s="7"/>
      <c r="F1832" s="6"/>
      <c r="G1832" s="7"/>
      <c r="H1832" s="2"/>
      <c r="I1832" s="2"/>
      <c r="J1832" s="2"/>
      <c r="K1832" s="2"/>
      <c r="L1832" s="178"/>
      <c r="M1832" s="2"/>
      <c r="N1832" s="7"/>
      <c r="P1832" s="7"/>
      <c r="R1832" s="2"/>
      <c r="S1832" s="2"/>
      <c r="T1832" s="2"/>
      <c r="U1832" s="2"/>
      <c r="V1832" s="2"/>
      <c r="X1832" s="38"/>
      <c r="Y1832" s="38"/>
      <c r="Z1832" s="38"/>
      <c r="AA1832" s="38"/>
      <c r="AB1832" s="38"/>
      <c r="AD1832" s="2"/>
      <c r="AE1832" s="2"/>
      <c r="AF1832" s="2"/>
      <c r="AG1832" s="2"/>
      <c r="AH1832" s="2"/>
      <c r="AJ1832" s="215"/>
      <c r="AK1832" s="215"/>
      <c r="AL1832" s="215"/>
      <c r="AM1832" s="215"/>
      <c r="AO1832" s="10"/>
      <c r="AP1832" s="10"/>
      <c r="AQ1832" s="10"/>
      <c r="AR1832" s="10"/>
      <c r="AS1832" s="10"/>
      <c r="AU1832" s="2"/>
      <c r="AV1832" s="2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</row>
    <row r="1833" spans="1:73" customFormat="1" ht="12.75" hidden="1" customHeight="1" x14ac:dyDescent="0.2">
      <c r="A1833" s="1"/>
      <c r="B1833" s="1"/>
      <c r="C1833" s="1"/>
      <c r="D1833" s="7"/>
      <c r="E1833" s="7"/>
      <c r="F1833" s="6"/>
      <c r="G1833" s="7"/>
      <c r="H1833" s="2"/>
      <c r="I1833" s="2"/>
      <c r="J1833" s="2"/>
      <c r="K1833" s="2"/>
      <c r="L1833" s="178"/>
      <c r="M1833" s="2"/>
      <c r="N1833" s="7"/>
      <c r="P1833" s="7"/>
      <c r="R1833" s="2"/>
      <c r="S1833" s="2"/>
      <c r="T1833" s="2"/>
      <c r="U1833" s="2"/>
      <c r="V1833" s="2"/>
      <c r="X1833" s="38"/>
      <c r="Y1833" s="38"/>
      <c r="Z1833" s="38"/>
      <c r="AA1833" s="38"/>
      <c r="AB1833" s="38"/>
      <c r="AD1833" s="2"/>
      <c r="AE1833" s="2"/>
      <c r="AF1833" s="2"/>
      <c r="AG1833" s="2"/>
      <c r="AH1833" s="2"/>
      <c r="AJ1833" s="215"/>
      <c r="AK1833" s="215"/>
      <c r="AL1833" s="215"/>
      <c r="AM1833" s="215"/>
      <c r="AO1833" s="10"/>
      <c r="AP1833" s="10"/>
      <c r="AQ1833" s="10"/>
      <c r="AR1833" s="10"/>
      <c r="AS1833" s="10"/>
      <c r="AU1833" s="2"/>
      <c r="AV1833" s="2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</row>
    <row r="1834" spans="1:73" customFormat="1" ht="12.75" hidden="1" customHeight="1" x14ac:dyDescent="0.2">
      <c r="A1834" s="1"/>
      <c r="B1834" s="1"/>
      <c r="C1834" s="1"/>
      <c r="D1834" s="7"/>
      <c r="E1834" s="7"/>
      <c r="F1834" s="6"/>
      <c r="G1834" s="7"/>
      <c r="H1834" s="2"/>
      <c r="I1834" s="2"/>
      <c r="J1834" s="2"/>
      <c r="K1834" s="2"/>
      <c r="L1834" s="178"/>
      <c r="M1834" s="2"/>
      <c r="N1834" s="7"/>
      <c r="P1834" s="7"/>
      <c r="R1834" s="2"/>
      <c r="S1834" s="2"/>
      <c r="T1834" s="2"/>
      <c r="U1834" s="2"/>
      <c r="V1834" s="2"/>
      <c r="X1834" s="38"/>
      <c r="Y1834" s="38"/>
      <c r="Z1834" s="38"/>
      <c r="AA1834" s="38"/>
      <c r="AB1834" s="38"/>
      <c r="AD1834" s="2"/>
      <c r="AE1834" s="2"/>
      <c r="AF1834" s="2"/>
      <c r="AG1834" s="2"/>
      <c r="AH1834" s="2"/>
      <c r="AJ1834" s="215"/>
      <c r="AK1834" s="215"/>
      <c r="AL1834" s="215"/>
      <c r="AM1834" s="215"/>
      <c r="AO1834" s="10"/>
      <c r="AP1834" s="10"/>
      <c r="AQ1834" s="10"/>
      <c r="AR1834" s="10"/>
      <c r="AS1834" s="10"/>
      <c r="AU1834" s="2"/>
      <c r="AV1834" s="2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</row>
    <row r="1835" spans="1:73" customFormat="1" ht="12.75" hidden="1" customHeight="1" x14ac:dyDescent="0.2">
      <c r="A1835" s="1"/>
      <c r="B1835" s="1"/>
      <c r="C1835" s="1"/>
      <c r="D1835" s="7"/>
      <c r="E1835" s="7"/>
      <c r="F1835" s="6"/>
      <c r="G1835" s="7"/>
      <c r="H1835" s="2"/>
      <c r="I1835" s="2"/>
      <c r="J1835" s="2"/>
      <c r="K1835" s="2"/>
      <c r="L1835" s="178"/>
      <c r="M1835" s="2"/>
      <c r="N1835" s="7"/>
      <c r="P1835" s="7"/>
      <c r="R1835" s="2"/>
      <c r="S1835" s="2"/>
      <c r="T1835" s="2"/>
      <c r="U1835" s="2"/>
      <c r="V1835" s="2"/>
      <c r="X1835" s="38"/>
      <c r="Y1835" s="38"/>
      <c r="Z1835" s="38"/>
      <c r="AA1835" s="38"/>
      <c r="AB1835" s="38"/>
      <c r="AD1835" s="2"/>
      <c r="AE1835" s="2"/>
      <c r="AF1835" s="2"/>
      <c r="AG1835" s="2"/>
      <c r="AH1835" s="2"/>
      <c r="AJ1835" s="215"/>
      <c r="AK1835" s="215"/>
      <c r="AL1835" s="215"/>
      <c r="AM1835" s="215"/>
      <c r="AO1835" s="10"/>
      <c r="AP1835" s="10"/>
      <c r="AQ1835" s="10"/>
      <c r="AR1835" s="10"/>
      <c r="AS1835" s="10"/>
      <c r="AU1835" s="2"/>
      <c r="AV1835" s="2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</row>
    <row r="1836" spans="1:73" customFormat="1" ht="12.75" hidden="1" customHeight="1" x14ac:dyDescent="0.2">
      <c r="A1836" s="1"/>
      <c r="B1836" s="1"/>
      <c r="C1836" s="1"/>
      <c r="D1836" s="7"/>
      <c r="E1836" s="7"/>
      <c r="F1836" s="6"/>
      <c r="G1836" s="7"/>
      <c r="H1836" s="2"/>
      <c r="I1836" s="2"/>
      <c r="J1836" s="2"/>
      <c r="K1836" s="2"/>
      <c r="L1836" s="178"/>
      <c r="M1836" s="2"/>
      <c r="N1836" s="7"/>
      <c r="P1836" s="7"/>
      <c r="R1836" s="2"/>
      <c r="S1836" s="2"/>
      <c r="T1836" s="2"/>
      <c r="U1836" s="2"/>
      <c r="V1836" s="2"/>
      <c r="X1836" s="38"/>
      <c r="Y1836" s="38"/>
      <c r="Z1836" s="38"/>
      <c r="AA1836" s="38"/>
      <c r="AB1836" s="38"/>
      <c r="AD1836" s="2"/>
      <c r="AE1836" s="2"/>
      <c r="AF1836" s="2"/>
      <c r="AG1836" s="2"/>
      <c r="AH1836" s="2"/>
      <c r="AJ1836" s="215"/>
      <c r="AK1836" s="215"/>
      <c r="AL1836" s="215"/>
      <c r="AM1836" s="215"/>
      <c r="AO1836" s="10"/>
      <c r="AP1836" s="10"/>
      <c r="AQ1836" s="10"/>
      <c r="AR1836" s="10"/>
      <c r="AS1836" s="10"/>
      <c r="AU1836" s="2"/>
      <c r="AV1836" s="2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</row>
    <row r="1837" spans="1:73" customFormat="1" ht="12.75" hidden="1" customHeight="1" x14ac:dyDescent="0.2">
      <c r="A1837" s="1"/>
      <c r="B1837" s="1"/>
      <c r="C1837" s="1"/>
      <c r="D1837" s="7"/>
      <c r="E1837" s="7"/>
      <c r="F1837" s="6"/>
      <c r="G1837" s="7"/>
      <c r="H1837" s="2"/>
      <c r="I1837" s="2"/>
      <c r="J1837" s="2"/>
      <c r="K1837" s="2"/>
      <c r="L1837" s="178"/>
      <c r="M1837" s="2"/>
      <c r="N1837" s="7"/>
      <c r="P1837" s="7"/>
      <c r="R1837" s="2"/>
      <c r="S1837" s="2"/>
      <c r="T1837" s="2"/>
      <c r="U1837" s="2"/>
      <c r="V1837" s="2"/>
      <c r="X1837" s="38"/>
      <c r="Y1837" s="38"/>
      <c r="Z1837" s="38"/>
      <c r="AA1837" s="38"/>
      <c r="AB1837" s="38"/>
      <c r="AD1837" s="2"/>
      <c r="AE1837" s="2"/>
      <c r="AF1837" s="2"/>
      <c r="AG1837" s="2"/>
      <c r="AH1837" s="2"/>
      <c r="AJ1837" s="215"/>
      <c r="AK1837" s="215"/>
      <c r="AL1837" s="215"/>
      <c r="AM1837" s="215"/>
      <c r="AO1837" s="10"/>
      <c r="AP1837" s="10"/>
      <c r="AQ1837" s="10"/>
      <c r="AR1837" s="10"/>
      <c r="AS1837" s="10"/>
      <c r="AU1837" s="2"/>
      <c r="AV1837" s="2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</row>
    <row r="1838" spans="1:73" customFormat="1" ht="12.75" hidden="1" customHeight="1" x14ac:dyDescent="0.2">
      <c r="A1838" s="1"/>
      <c r="B1838" s="1"/>
      <c r="C1838" s="1"/>
      <c r="D1838" s="7"/>
      <c r="E1838" s="7"/>
      <c r="F1838" s="6"/>
      <c r="G1838" s="7"/>
      <c r="H1838" s="2"/>
      <c r="I1838" s="2"/>
      <c r="J1838" s="2"/>
      <c r="K1838" s="2"/>
      <c r="L1838" s="178"/>
      <c r="M1838" s="2"/>
      <c r="N1838" s="7"/>
      <c r="P1838" s="7"/>
      <c r="R1838" s="2"/>
      <c r="S1838" s="2"/>
      <c r="T1838" s="2"/>
      <c r="U1838" s="2"/>
      <c r="V1838" s="2"/>
      <c r="X1838" s="38"/>
      <c r="Y1838" s="38"/>
      <c r="Z1838" s="38"/>
      <c r="AA1838" s="38"/>
      <c r="AB1838" s="38"/>
      <c r="AD1838" s="2"/>
      <c r="AE1838" s="2"/>
      <c r="AF1838" s="2"/>
      <c r="AG1838" s="2"/>
      <c r="AH1838" s="2"/>
      <c r="AJ1838" s="215"/>
      <c r="AK1838" s="215"/>
      <c r="AL1838" s="215"/>
      <c r="AM1838" s="215"/>
      <c r="AO1838" s="10"/>
      <c r="AP1838" s="10"/>
      <c r="AQ1838" s="10"/>
      <c r="AR1838" s="10"/>
      <c r="AS1838" s="10"/>
      <c r="AU1838" s="2"/>
      <c r="AV1838" s="2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</row>
    <row r="1839" spans="1:73" customFormat="1" ht="12.75" hidden="1" customHeight="1" x14ac:dyDescent="0.2">
      <c r="A1839" s="1"/>
      <c r="B1839" s="1"/>
      <c r="C1839" s="1"/>
      <c r="D1839" s="7"/>
      <c r="E1839" s="7"/>
      <c r="F1839" s="6"/>
      <c r="G1839" s="7"/>
      <c r="H1839" s="2"/>
      <c r="I1839" s="2"/>
      <c r="J1839" s="2"/>
      <c r="K1839" s="2"/>
      <c r="L1839" s="178"/>
      <c r="M1839" s="2"/>
      <c r="N1839" s="7"/>
      <c r="P1839" s="7"/>
      <c r="R1839" s="2"/>
      <c r="S1839" s="2"/>
      <c r="T1839" s="2"/>
      <c r="U1839" s="2"/>
      <c r="V1839" s="2"/>
      <c r="X1839" s="38"/>
      <c r="Y1839" s="38"/>
      <c r="Z1839" s="38"/>
      <c r="AA1839" s="38"/>
      <c r="AB1839" s="38"/>
      <c r="AD1839" s="2"/>
      <c r="AE1839" s="2"/>
      <c r="AF1839" s="2"/>
      <c r="AG1839" s="2"/>
      <c r="AH1839" s="2"/>
      <c r="AJ1839" s="215"/>
      <c r="AK1839" s="215"/>
      <c r="AL1839" s="215"/>
      <c r="AM1839" s="215"/>
      <c r="AO1839" s="10"/>
      <c r="AP1839" s="10"/>
      <c r="AQ1839" s="10"/>
      <c r="AR1839" s="10"/>
      <c r="AS1839" s="10"/>
      <c r="AU1839" s="2"/>
      <c r="AV1839" s="2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</row>
    <row r="1840" spans="1:73" customFormat="1" ht="12.75" hidden="1" customHeight="1" x14ac:dyDescent="0.2">
      <c r="A1840" s="1"/>
      <c r="B1840" s="1"/>
      <c r="C1840" s="1"/>
      <c r="D1840" s="7"/>
      <c r="E1840" s="7"/>
      <c r="F1840" s="6"/>
      <c r="G1840" s="7"/>
      <c r="H1840" s="2"/>
      <c r="I1840" s="2"/>
      <c r="J1840" s="2"/>
      <c r="K1840" s="2"/>
      <c r="L1840" s="178"/>
      <c r="M1840" s="2"/>
      <c r="N1840" s="7"/>
      <c r="P1840" s="7"/>
      <c r="R1840" s="2"/>
      <c r="S1840" s="2"/>
      <c r="T1840" s="2"/>
      <c r="U1840" s="2"/>
      <c r="V1840" s="2"/>
      <c r="X1840" s="38"/>
      <c r="Y1840" s="38"/>
      <c r="Z1840" s="38"/>
      <c r="AA1840" s="38"/>
      <c r="AB1840" s="38"/>
      <c r="AD1840" s="2"/>
      <c r="AE1840" s="2"/>
      <c r="AF1840" s="2"/>
      <c r="AG1840" s="2"/>
      <c r="AH1840" s="2"/>
      <c r="AJ1840" s="215"/>
      <c r="AK1840" s="215"/>
      <c r="AL1840" s="215"/>
      <c r="AM1840" s="215"/>
      <c r="AO1840" s="10"/>
      <c r="AP1840" s="10"/>
      <c r="AQ1840" s="10"/>
      <c r="AR1840" s="10"/>
      <c r="AS1840" s="10"/>
      <c r="AU1840" s="2"/>
      <c r="AV1840" s="2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</row>
    <row r="1841" spans="1:73" customFormat="1" ht="12.75" hidden="1" customHeight="1" x14ac:dyDescent="0.2">
      <c r="A1841" s="1"/>
      <c r="B1841" s="1"/>
      <c r="C1841" s="1"/>
      <c r="D1841" s="7"/>
      <c r="E1841" s="7"/>
      <c r="F1841" s="6"/>
      <c r="G1841" s="7"/>
      <c r="H1841" s="2"/>
      <c r="I1841" s="2"/>
      <c r="J1841" s="2"/>
      <c r="K1841" s="2"/>
      <c r="L1841" s="178"/>
      <c r="M1841" s="2"/>
      <c r="N1841" s="7"/>
      <c r="P1841" s="7"/>
      <c r="R1841" s="2"/>
      <c r="S1841" s="2"/>
      <c r="T1841" s="2"/>
      <c r="U1841" s="2"/>
      <c r="V1841" s="2"/>
      <c r="X1841" s="38"/>
      <c r="Y1841" s="38"/>
      <c r="Z1841" s="38"/>
      <c r="AA1841" s="38"/>
      <c r="AB1841" s="38"/>
      <c r="AD1841" s="2"/>
      <c r="AE1841" s="2"/>
      <c r="AF1841" s="2"/>
      <c r="AG1841" s="2"/>
      <c r="AH1841" s="2"/>
      <c r="AJ1841" s="215"/>
      <c r="AK1841" s="215"/>
      <c r="AL1841" s="215"/>
      <c r="AM1841" s="215"/>
      <c r="AO1841" s="10"/>
      <c r="AP1841" s="10"/>
      <c r="AQ1841" s="10"/>
      <c r="AR1841" s="10"/>
      <c r="AS1841" s="10"/>
      <c r="AU1841" s="2"/>
      <c r="AV1841" s="2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</row>
    <row r="1842" spans="1:73" customFormat="1" ht="12.75" hidden="1" customHeight="1" x14ac:dyDescent="0.2">
      <c r="A1842" s="1"/>
      <c r="B1842" s="1"/>
      <c r="C1842" s="1"/>
      <c r="D1842" s="7"/>
      <c r="E1842" s="7"/>
      <c r="F1842" s="6"/>
      <c r="G1842" s="7"/>
      <c r="H1842" s="2"/>
      <c r="I1842" s="2"/>
      <c r="J1842" s="2"/>
      <c r="K1842" s="2"/>
      <c r="L1842" s="178"/>
      <c r="M1842" s="2"/>
      <c r="N1842" s="7"/>
      <c r="P1842" s="7"/>
      <c r="R1842" s="2"/>
      <c r="S1842" s="2"/>
      <c r="T1842" s="2"/>
      <c r="U1842" s="2"/>
      <c r="V1842" s="2"/>
      <c r="X1842" s="38"/>
      <c r="Y1842" s="38"/>
      <c r="Z1842" s="38"/>
      <c r="AA1842" s="38"/>
      <c r="AB1842" s="38"/>
      <c r="AD1842" s="2"/>
      <c r="AE1842" s="2"/>
      <c r="AF1842" s="2"/>
      <c r="AG1842" s="2"/>
      <c r="AH1842" s="2"/>
      <c r="AJ1842" s="215"/>
      <c r="AK1842" s="215"/>
      <c r="AL1842" s="215"/>
      <c r="AM1842" s="215"/>
      <c r="AO1842" s="10"/>
      <c r="AP1842" s="10"/>
      <c r="AQ1842" s="10"/>
      <c r="AR1842" s="10"/>
      <c r="AS1842" s="10"/>
      <c r="AU1842" s="2"/>
      <c r="AV1842" s="2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</row>
    <row r="1843" spans="1:73" customFormat="1" ht="12.75" hidden="1" customHeight="1" x14ac:dyDescent="0.2">
      <c r="A1843" s="1"/>
      <c r="B1843" s="1"/>
      <c r="C1843" s="1"/>
      <c r="D1843" s="7"/>
      <c r="E1843" s="7"/>
      <c r="F1843" s="6"/>
      <c r="G1843" s="7"/>
      <c r="H1843" s="2"/>
      <c r="I1843" s="2"/>
      <c r="J1843" s="2"/>
      <c r="K1843" s="2"/>
      <c r="L1843" s="178"/>
      <c r="M1843" s="2"/>
      <c r="N1843" s="7"/>
      <c r="P1843" s="7"/>
      <c r="R1843" s="2"/>
      <c r="S1843" s="2"/>
      <c r="T1843" s="2"/>
      <c r="U1843" s="2"/>
      <c r="V1843" s="2"/>
      <c r="X1843" s="38"/>
      <c r="Y1843" s="38"/>
      <c r="Z1843" s="38"/>
      <c r="AA1843" s="38"/>
      <c r="AB1843" s="38"/>
      <c r="AD1843" s="2"/>
      <c r="AE1843" s="2"/>
      <c r="AF1843" s="2"/>
      <c r="AG1843" s="2"/>
      <c r="AH1843" s="2"/>
      <c r="AJ1843" s="215"/>
      <c r="AK1843" s="215"/>
      <c r="AL1843" s="215"/>
      <c r="AM1843" s="215"/>
      <c r="AO1843" s="10"/>
      <c r="AP1843" s="10"/>
      <c r="AQ1843" s="10"/>
      <c r="AR1843" s="10"/>
      <c r="AS1843" s="10"/>
      <c r="AU1843" s="2"/>
      <c r="AV1843" s="2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</row>
    <row r="1844" spans="1:73" customFormat="1" ht="12.75" hidden="1" customHeight="1" x14ac:dyDescent="0.2">
      <c r="A1844" s="1"/>
      <c r="B1844" s="1"/>
      <c r="C1844" s="1"/>
      <c r="D1844" s="7"/>
      <c r="E1844" s="7"/>
      <c r="F1844" s="6"/>
      <c r="G1844" s="7"/>
      <c r="H1844" s="2"/>
      <c r="I1844" s="2"/>
      <c r="J1844" s="2"/>
      <c r="K1844" s="2"/>
      <c r="L1844" s="178"/>
      <c r="M1844" s="2"/>
      <c r="N1844" s="7"/>
      <c r="P1844" s="7"/>
      <c r="R1844" s="2"/>
      <c r="S1844" s="2"/>
      <c r="T1844" s="2"/>
      <c r="U1844" s="2"/>
      <c r="V1844" s="2"/>
      <c r="X1844" s="38"/>
      <c r="Y1844" s="38"/>
      <c r="Z1844" s="38"/>
      <c r="AA1844" s="38"/>
      <c r="AB1844" s="38"/>
      <c r="AD1844" s="2"/>
      <c r="AE1844" s="2"/>
      <c r="AF1844" s="2"/>
      <c r="AG1844" s="2"/>
      <c r="AH1844" s="2"/>
      <c r="AJ1844" s="215"/>
      <c r="AK1844" s="215"/>
      <c r="AL1844" s="215"/>
      <c r="AM1844" s="215"/>
      <c r="AO1844" s="10"/>
      <c r="AP1844" s="10"/>
      <c r="AQ1844" s="10"/>
      <c r="AR1844" s="10"/>
      <c r="AS1844" s="10"/>
      <c r="AU1844" s="2"/>
      <c r="AV1844" s="2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</row>
    <row r="1845" spans="1:73" customFormat="1" ht="12.75" hidden="1" customHeight="1" x14ac:dyDescent="0.2">
      <c r="A1845" s="1"/>
      <c r="B1845" s="1"/>
      <c r="C1845" s="1"/>
      <c r="D1845" s="7"/>
      <c r="E1845" s="7"/>
      <c r="F1845" s="6"/>
      <c r="G1845" s="7"/>
      <c r="H1845" s="2"/>
      <c r="I1845" s="2"/>
      <c r="J1845" s="2"/>
      <c r="K1845" s="2"/>
      <c r="L1845" s="178"/>
      <c r="M1845" s="2"/>
      <c r="N1845" s="7"/>
      <c r="P1845" s="7"/>
      <c r="R1845" s="2"/>
      <c r="S1845" s="2"/>
      <c r="T1845" s="2"/>
      <c r="U1845" s="2"/>
      <c r="V1845" s="2"/>
      <c r="X1845" s="38"/>
      <c r="Y1845" s="38"/>
      <c r="Z1845" s="38"/>
      <c r="AA1845" s="38"/>
      <c r="AB1845" s="38"/>
      <c r="AD1845" s="2"/>
      <c r="AE1845" s="2"/>
      <c r="AF1845" s="2"/>
      <c r="AG1845" s="2"/>
      <c r="AH1845" s="2"/>
      <c r="AJ1845" s="215"/>
      <c r="AK1845" s="215"/>
      <c r="AL1845" s="215"/>
      <c r="AM1845" s="215"/>
      <c r="AO1845" s="10"/>
      <c r="AP1845" s="10"/>
      <c r="AQ1845" s="10"/>
      <c r="AR1845" s="10"/>
      <c r="AS1845" s="10"/>
      <c r="AU1845" s="2"/>
      <c r="AV1845" s="2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</row>
    <row r="1846" spans="1:73" customFormat="1" ht="12.75" hidden="1" customHeight="1" x14ac:dyDescent="0.2">
      <c r="A1846" s="1"/>
      <c r="B1846" s="1"/>
      <c r="C1846" s="1"/>
      <c r="D1846" s="7"/>
      <c r="E1846" s="7"/>
      <c r="F1846" s="6"/>
      <c r="G1846" s="7"/>
      <c r="H1846" s="2"/>
      <c r="I1846" s="2"/>
      <c r="J1846" s="2"/>
      <c r="K1846" s="2"/>
      <c r="L1846" s="178"/>
      <c r="M1846" s="2"/>
      <c r="N1846" s="7"/>
      <c r="P1846" s="7"/>
      <c r="R1846" s="2"/>
      <c r="S1846" s="2"/>
      <c r="T1846" s="2"/>
      <c r="U1846" s="2"/>
      <c r="V1846" s="2"/>
      <c r="X1846" s="38"/>
      <c r="Y1846" s="38"/>
      <c r="Z1846" s="38"/>
      <c r="AA1846" s="38"/>
      <c r="AB1846" s="38"/>
      <c r="AD1846" s="2"/>
      <c r="AE1846" s="2"/>
      <c r="AF1846" s="2"/>
      <c r="AG1846" s="2"/>
      <c r="AH1846" s="2"/>
      <c r="AJ1846" s="215"/>
      <c r="AK1846" s="215"/>
      <c r="AL1846" s="215"/>
      <c r="AM1846" s="215"/>
      <c r="AO1846" s="10"/>
      <c r="AP1846" s="10"/>
      <c r="AQ1846" s="10"/>
      <c r="AR1846" s="10"/>
      <c r="AS1846" s="10"/>
      <c r="AU1846" s="2"/>
      <c r="AV1846" s="2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</row>
    <row r="1847" spans="1:73" customFormat="1" ht="12.75" hidden="1" customHeight="1" x14ac:dyDescent="0.2">
      <c r="A1847" s="1"/>
      <c r="B1847" s="1"/>
      <c r="C1847" s="1"/>
      <c r="D1847" s="7"/>
      <c r="E1847" s="7"/>
      <c r="F1847" s="6"/>
      <c r="G1847" s="7"/>
      <c r="H1847" s="2"/>
      <c r="I1847" s="2"/>
      <c r="J1847" s="2"/>
      <c r="K1847" s="2"/>
      <c r="L1847" s="178"/>
      <c r="M1847" s="2"/>
      <c r="N1847" s="7"/>
      <c r="P1847" s="7"/>
      <c r="R1847" s="2"/>
      <c r="S1847" s="2"/>
      <c r="T1847" s="2"/>
      <c r="U1847" s="2"/>
      <c r="V1847" s="2"/>
      <c r="X1847" s="38"/>
      <c r="Y1847" s="38"/>
      <c r="Z1847" s="38"/>
      <c r="AA1847" s="38"/>
      <c r="AB1847" s="38"/>
      <c r="AD1847" s="2"/>
      <c r="AE1847" s="2"/>
      <c r="AF1847" s="2"/>
      <c r="AG1847" s="2"/>
      <c r="AH1847" s="2"/>
      <c r="AJ1847" s="215"/>
      <c r="AK1847" s="215"/>
      <c r="AL1847" s="215"/>
      <c r="AM1847" s="215"/>
      <c r="AO1847" s="10"/>
      <c r="AP1847" s="10"/>
      <c r="AQ1847" s="10"/>
      <c r="AR1847" s="10"/>
      <c r="AS1847" s="10"/>
      <c r="AU1847" s="2"/>
      <c r="AV1847" s="2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</row>
    <row r="1848" spans="1:73" customFormat="1" ht="12.75" hidden="1" customHeight="1" x14ac:dyDescent="0.2">
      <c r="A1848" s="1"/>
      <c r="B1848" s="1"/>
      <c r="C1848" s="1"/>
      <c r="D1848" s="7"/>
      <c r="E1848" s="7"/>
      <c r="F1848" s="6"/>
      <c r="G1848" s="7"/>
      <c r="H1848" s="2"/>
      <c r="I1848" s="2"/>
      <c r="J1848" s="2"/>
      <c r="K1848" s="2"/>
      <c r="L1848" s="178"/>
      <c r="M1848" s="2"/>
      <c r="N1848" s="7"/>
      <c r="P1848" s="7"/>
      <c r="R1848" s="2"/>
      <c r="S1848" s="2"/>
      <c r="T1848" s="2"/>
      <c r="U1848" s="2"/>
      <c r="V1848" s="2"/>
      <c r="X1848" s="38"/>
      <c r="Y1848" s="38"/>
      <c r="Z1848" s="38"/>
      <c r="AA1848" s="38"/>
      <c r="AB1848" s="38"/>
      <c r="AD1848" s="2"/>
      <c r="AE1848" s="2"/>
      <c r="AF1848" s="2"/>
      <c r="AG1848" s="2"/>
      <c r="AH1848" s="2"/>
      <c r="AJ1848" s="215"/>
      <c r="AK1848" s="215"/>
      <c r="AL1848" s="215"/>
      <c r="AM1848" s="215"/>
      <c r="AO1848" s="10"/>
      <c r="AP1848" s="10"/>
      <c r="AQ1848" s="10"/>
      <c r="AR1848" s="10"/>
      <c r="AS1848" s="10"/>
      <c r="AU1848" s="2"/>
      <c r="AV1848" s="2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</row>
    <row r="1849" spans="1:73" customFormat="1" ht="12.75" hidden="1" customHeight="1" x14ac:dyDescent="0.2">
      <c r="A1849" s="1"/>
      <c r="B1849" s="1"/>
      <c r="C1849" s="1"/>
      <c r="D1849" s="7"/>
      <c r="E1849" s="7"/>
      <c r="F1849" s="6"/>
      <c r="G1849" s="7"/>
      <c r="H1849" s="2"/>
      <c r="I1849" s="2"/>
      <c r="J1849" s="2"/>
      <c r="K1849" s="2"/>
      <c r="L1849" s="178"/>
      <c r="M1849" s="2"/>
      <c r="N1849" s="7"/>
      <c r="P1849" s="7"/>
      <c r="R1849" s="2"/>
      <c r="S1849" s="2"/>
      <c r="T1849" s="2"/>
      <c r="U1849" s="2"/>
      <c r="V1849" s="2"/>
      <c r="X1849" s="38"/>
      <c r="Y1849" s="38"/>
      <c r="Z1849" s="38"/>
      <c r="AA1849" s="38"/>
      <c r="AB1849" s="38"/>
      <c r="AD1849" s="2"/>
      <c r="AE1849" s="2"/>
      <c r="AF1849" s="2"/>
      <c r="AG1849" s="2"/>
      <c r="AH1849" s="2"/>
      <c r="AJ1849" s="215"/>
      <c r="AK1849" s="215"/>
      <c r="AL1849" s="215"/>
      <c r="AM1849" s="215"/>
      <c r="AO1849" s="10"/>
      <c r="AP1849" s="10"/>
      <c r="AQ1849" s="10"/>
      <c r="AR1849" s="10"/>
      <c r="AS1849" s="10"/>
      <c r="AU1849" s="2"/>
      <c r="AV1849" s="2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</row>
    <row r="1850" spans="1:73" customFormat="1" ht="12.75" hidden="1" customHeight="1" x14ac:dyDescent="0.2">
      <c r="A1850" s="1"/>
      <c r="B1850" s="1"/>
      <c r="C1850" s="1"/>
      <c r="D1850" s="7"/>
      <c r="E1850" s="7"/>
      <c r="F1850" s="6"/>
      <c r="G1850" s="7"/>
      <c r="H1850" s="2"/>
      <c r="I1850" s="2"/>
      <c r="J1850" s="2"/>
      <c r="K1850" s="2"/>
      <c r="L1850" s="178"/>
      <c r="M1850" s="2"/>
      <c r="N1850" s="7"/>
      <c r="P1850" s="7"/>
      <c r="R1850" s="2"/>
      <c r="S1850" s="2"/>
      <c r="T1850" s="2"/>
      <c r="U1850" s="2"/>
      <c r="V1850" s="2"/>
      <c r="X1850" s="38"/>
      <c r="Y1850" s="38"/>
      <c r="Z1850" s="38"/>
      <c r="AA1850" s="38"/>
      <c r="AB1850" s="38"/>
      <c r="AD1850" s="2"/>
      <c r="AE1850" s="2"/>
      <c r="AF1850" s="2"/>
      <c r="AG1850" s="2"/>
      <c r="AH1850" s="2"/>
      <c r="AJ1850" s="215"/>
      <c r="AK1850" s="215"/>
      <c r="AL1850" s="215"/>
      <c r="AM1850" s="215"/>
      <c r="AO1850" s="10"/>
      <c r="AP1850" s="10"/>
      <c r="AQ1850" s="10"/>
      <c r="AR1850" s="10"/>
      <c r="AS1850" s="10"/>
      <c r="AU1850" s="2"/>
      <c r="AV1850" s="2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</row>
    <row r="1851" spans="1:73" customFormat="1" ht="12.75" hidden="1" customHeight="1" x14ac:dyDescent="0.2">
      <c r="A1851" s="1"/>
      <c r="B1851" s="1"/>
      <c r="C1851" s="1"/>
      <c r="D1851" s="7"/>
      <c r="E1851" s="7"/>
      <c r="F1851" s="6"/>
      <c r="G1851" s="7"/>
      <c r="H1851" s="2"/>
      <c r="I1851" s="2"/>
      <c r="J1851" s="2"/>
      <c r="K1851" s="2"/>
      <c r="L1851" s="178"/>
      <c r="M1851" s="2"/>
      <c r="N1851" s="7"/>
      <c r="P1851" s="7"/>
      <c r="R1851" s="2"/>
      <c r="S1851" s="2"/>
      <c r="T1851" s="2"/>
      <c r="U1851" s="2"/>
      <c r="V1851" s="2"/>
      <c r="X1851" s="38"/>
      <c r="Y1851" s="38"/>
      <c r="Z1851" s="38"/>
      <c r="AA1851" s="38"/>
      <c r="AB1851" s="38"/>
      <c r="AD1851" s="2"/>
      <c r="AE1851" s="2"/>
      <c r="AF1851" s="2"/>
      <c r="AG1851" s="2"/>
      <c r="AH1851" s="2"/>
      <c r="AJ1851" s="215"/>
      <c r="AK1851" s="215"/>
      <c r="AL1851" s="215"/>
      <c r="AM1851" s="215"/>
      <c r="AO1851" s="10"/>
      <c r="AP1851" s="10"/>
      <c r="AQ1851" s="10"/>
      <c r="AR1851" s="10"/>
      <c r="AS1851" s="10"/>
      <c r="AU1851" s="2"/>
      <c r="AV1851" s="2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</row>
    <row r="1852" spans="1:73" customFormat="1" ht="12.75" hidden="1" customHeight="1" x14ac:dyDescent="0.2">
      <c r="A1852" s="1"/>
      <c r="B1852" s="1"/>
      <c r="C1852" s="1"/>
      <c r="D1852" s="7"/>
      <c r="E1852" s="7"/>
      <c r="F1852" s="6"/>
      <c r="G1852" s="7"/>
      <c r="H1852" s="2"/>
      <c r="I1852" s="2"/>
      <c r="J1852" s="2"/>
      <c r="K1852" s="2"/>
      <c r="L1852" s="178"/>
      <c r="M1852" s="2"/>
      <c r="N1852" s="7"/>
      <c r="P1852" s="7"/>
      <c r="R1852" s="2"/>
      <c r="S1852" s="2"/>
      <c r="T1852" s="2"/>
      <c r="U1852" s="2"/>
      <c r="V1852" s="2"/>
      <c r="X1852" s="38"/>
      <c r="Y1852" s="38"/>
      <c r="Z1852" s="38"/>
      <c r="AA1852" s="38"/>
      <c r="AB1852" s="38"/>
      <c r="AD1852" s="2"/>
      <c r="AE1852" s="2"/>
      <c r="AF1852" s="2"/>
      <c r="AG1852" s="2"/>
      <c r="AH1852" s="2"/>
      <c r="AJ1852" s="215"/>
      <c r="AK1852" s="215"/>
      <c r="AL1852" s="215"/>
      <c r="AM1852" s="215"/>
      <c r="AO1852" s="10"/>
      <c r="AP1852" s="10"/>
      <c r="AQ1852" s="10"/>
      <c r="AR1852" s="10"/>
      <c r="AS1852" s="10"/>
      <c r="AU1852" s="2"/>
      <c r="AV1852" s="2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</row>
    <row r="1853" spans="1:73" customFormat="1" ht="12.75" hidden="1" customHeight="1" x14ac:dyDescent="0.2">
      <c r="A1853" s="1"/>
      <c r="B1853" s="1"/>
      <c r="C1853" s="1"/>
      <c r="D1853" s="7"/>
      <c r="E1853" s="7"/>
      <c r="F1853" s="6"/>
      <c r="G1853" s="7"/>
      <c r="H1853" s="2"/>
      <c r="I1853" s="2"/>
      <c r="J1853" s="2"/>
      <c r="K1853" s="2"/>
      <c r="L1853" s="178"/>
      <c r="M1853" s="2"/>
      <c r="N1853" s="7"/>
      <c r="P1853" s="7"/>
      <c r="R1853" s="2"/>
      <c r="S1853" s="2"/>
      <c r="T1853" s="2"/>
      <c r="U1853" s="2"/>
      <c r="V1853" s="2"/>
      <c r="X1853" s="38"/>
      <c r="Y1853" s="38"/>
      <c r="Z1853" s="38"/>
      <c r="AA1853" s="38"/>
      <c r="AB1853" s="38"/>
      <c r="AD1853" s="2"/>
      <c r="AE1853" s="2"/>
      <c r="AF1853" s="2"/>
      <c r="AG1853" s="2"/>
      <c r="AH1853" s="2"/>
      <c r="AJ1853" s="215"/>
      <c r="AK1853" s="215"/>
      <c r="AL1853" s="215"/>
      <c r="AM1853" s="215"/>
      <c r="AO1853" s="10"/>
      <c r="AP1853" s="10"/>
      <c r="AQ1853" s="10"/>
      <c r="AR1853" s="10"/>
      <c r="AS1853" s="10"/>
      <c r="AU1853" s="2"/>
      <c r="AV1853" s="2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</row>
    <row r="1854" spans="1:73" customFormat="1" ht="12.75" hidden="1" customHeight="1" x14ac:dyDescent="0.2">
      <c r="A1854" s="1"/>
      <c r="B1854" s="1"/>
      <c r="C1854" s="1"/>
      <c r="D1854" s="7"/>
      <c r="E1854" s="7"/>
      <c r="F1854" s="6"/>
      <c r="G1854" s="7"/>
      <c r="H1854" s="2"/>
      <c r="I1854" s="2"/>
      <c r="J1854" s="2"/>
      <c r="K1854" s="2"/>
      <c r="L1854" s="178"/>
      <c r="M1854" s="2"/>
      <c r="N1854" s="7"/>
      <c r="P1854" s="7"/>
      <c r="R1854" s="2"/>
      <c r="S1854" s="2"/>
      <c r="T1854" s="2"/>
      <c r="U1854" s="2"/>
      <c r="V1854" s="2"/>
      <c r="X1854" s="38"/>
      <c r="Y1854" s="38"/>
      <c r="Z1854" s="38"/>
      <c r="AA1854" s="38"/>
      <c r="AB1854" s="38"/>
      <c r="AD1854" s="2"/>
      <c r="AE1854" s="2"/>
      <c r="AF1854" s="2"/>
      <c r="AG1854" s="2"/>
      <c r="AH1854" s="2"/>
      <c r="AJ1854" s="215"/>
      <c r="AK1854" s="215"/>
      <c r="AL1854" s="215"/>
      <c r="AM1854" s="215"/>
      <c r="AO1854" s="10"/>
      <c r="AP1854" s="10"/>
      <c r="AQ1854" s="10"/>
      <c r="AR1854" s="10"/>
      <c r="AS1854" s="10"/>
      <c r="AU1854" s="2"/>
      <c r="AV1854" s="2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</row>
    <row r="1855" spans="1:73" customFormat="1" ht="12.75" hidden="1" customHeight="1" x14ac:dyDescent="0.2">
      <c r="A1855" s="1"/>
      <c r="B1855" s="1"/>
      <c r="C1855" s="1"/>
      <c r="D1855" s="7"/>
      <c r="E1855" s="7"/>
      <c r="F1855" s="6"/>
      <c r="G1855" s="7"/>
      <c r="H1855" s="2"/>
      <c r="I1855" s="2"/>
      <c r="J1855" s="2"/>
      <c r="K1855" s="2"/>
      <c r="L1855" s="178"/>
      <c r="M1855" s="2"/>
      <c r="N1855" s="7"/>
      <c r="P1855" s="7"/>
      <c r="R1855" s="2"/>
      <c r="S1855" s="2"/>
      <c r="T1855" s="2"/>
      <c r="U1855" s="2"/>
      <c r="V1855" s="2"/>
      <c r="X1855" s="38"/>
      <c r="Y1855" s="38"/>
      <c r="Z1855" s="38"/>
      <c r="AA1855" s="38"/>
      <c r="AB1855" s="38"/>
      <c r="AD1855" s="2"/>
      <c r="AE1855" s="2"/>
      <c r="AF1855" s="2"/>
      <c r="AG1855" s="2"/>
      <c r="AH1855" s="2"/>
      <c r="AJ1855" s="215"/>
      <c r="AK1855" s="215"/>
      <c r="AL1855" s="215"/>
      <c r="AM1855" s="215"/>
      <c r="AO1855" s="10"/>
      <c r="AP1855" s="10"/>
      <c r="AQ1855" s="10"/>
      <c r="AR1855" s="10"/>
      <c r="AS1855" s="10"/>
      <c r="AU1855" s="2"/>
      <c r="AV1855" s="2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</row>
    <row r="1856" spans="1:73" customFormat="1" ht="12.75" hidden="1" customHeight="1" x14ac:dyDescent="0.2">
      <c r="A1856" s="1"/>
      <c r="B1856" s="1"/>
      <c r="C1856" s="1"/>
      <c r="D1856" s="7"/>
      <c r="E1856" s="7"/>
      <c r="F1856" s="6"/>
      <c r="G1856" s="7"/>
      <c r="H1856" s="2"/>
      <c r="I1856" s="2"/>
      <c r="J1856" s="2"/>
      <c r="K1856" s="2"/>
      <c r="L1856" s="178"/>
      <c r="M1856" s="2"/>
      <c r="N1856" s="7"/>
      <c r="P1856" s="7"/>
      <c r="R1856" s="2"/>
      <c r="S1856" s="2"/>
      <c r="T1856" s="2"/>
      <c r="U1856" s="2"/>
      <c r="V1856" s="2"/>
      <c r="X1856" s="38"/>
      <c r="Y1856" s="38"/>
      <c r="Z1856" s="38"/>
      <c r="AA1856" s="38"/>
      <c r="AB1856" s="38"/>
      <c r="AD1856" s="2"/>
      <c r="AE1856" s="2"/>
      <c r="AF1856" s="2"/>
      <c r="AG1856" s="2"/>
      <c r="AH1856" s="2"/>
      <c r="AJ1856" s="215"/>
      <c r="AK1856" s="215"/>
      <c r="AL1856" s="215"/>
      <c r="AM1856" s="215"/>
      <c r="AO1856" s="10"/>
      <c r="AP1856" s="10"/>
      <c r="AQ1856" s="10"/>
      <c r="AR1856" s="10"/>
      <c r="AS1856" s="10"/>
      <c r="AU1856" s="2"/>
      <c r="AV1856" s="2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</row>
    <row r="1857" spans="1:73" customFormat="1" ht="12.75" hidden="1" customHeight="1" x14ac:dyDescent="0.2">
      <c r="A1857" s="1"/>
      <c r="B1857" s="1"/>
      <c r="C1857" s="1"/>
      <c r="D1857" s="7"/>
      <c r="E1857" s="7"/>
      <c r="F1857" s="6"/>
      <c r="G1857" s="7"/>
      <c r="H1857" s="2"/>
      <c r="I1857" s="2"/>
      <c r="J1857" s="2"/>
      <c r="K1857" s="2"/>
      <c r="L1857" s="178"/>
      <c r="M1857" s="2"/>
      <c r="N1857" s="7"/>
      <c r="P1857" s="7"/>
      <c r="R1857" s="2"/>
      <c r="S1857" s="2"/>
      <c r="T1857" s="2"/>
      <c r="U1857" s="2"/>
      <c r="V1857" s="2"/>
      <c r="X1857" s="38"/>
      <c r="Y1857" s="38"/>
      <c r="Z1857" s="38"/>
      <c r="AA1857" s="38"/>
      <c r="AB1857" s="38"/>
      <c r="AD1857" s="2"/>
      <c r="AE1857" s="2"/>
      <c r="AF1857" s="2"/>
      <c r="AG1857" s="2"/>
      <c r="AH1857" s="2"/>
      <c r="AJ1857" s="215"/>
      <c r="AK1857" s="215"/>
      <c r="AL1857" s="215"/>
      <c r="AM1857" s="215"/>
      <c r="AO1857" s="10"/>
      <c r="AP1857" s="10"/>
      <c r="AQ1857" s="10"/>
      <c r="AR1857" s="10"/>
      <c r="AS1857" s="10"/>
      <c r="AU1857" s="2"/>
      <c r="AV1857" s="2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</row>
    <row r="1858" spans="1:73" customFormat="1" ht="12.75" hidden="1" customHeight="1" x14ac:dyDescent="0.2">
      <c r="A1858" s="1"/>
      <c r="B1858" s="1"/>
      <c r="C1858" s="1"/>
      <c r="D1858" s="7"/>
      <c r="E1858" s="7"/>
      <c r="F1858" s="6"/>
      <c r="G1858" s="7"/>
      <c r="H1858" s="2"/>
      <c r="I1858" s="2"/>
      <c r="J1858" s="2"/>
      <c r="K1858" s="2"/>
      <c r="L1858" s="178"/>
      <c r="M1858" s="2"/>
      <c r="N1858" s="7"/>
      <c r="P1858" s="7"/>
      <c r="R1858" s="2"/>
      <c r="S1858" s="2"/>
      <c r="T1858" s="2"/>
      <c r="U1858" s="2"/>
      <c r="V1858" s="2"/>
      <c r="X1858" s="38"/>
      <c r="Y1858" s="38"/>
      <c r="Z1858" s="38"/>
      <c r="AA1858" s="38"/>
      <c r="AB1858" s="38"/>
      <c r="AD1858" s="2"/>
      <c r="AE1858" s="2"/>
      <c r="AF1858" s="2"/>
      <c r="AG1858" s="2"/>
      <c r="AH1858" s="2"/>
      <c r="AJ1858" s="215"/>
      <c r="AK1858" s="215"/>
      <c r="AL1858" s="215"/>
      <c r="AM1858" s="215"/>
      <c r="AO1858" s="10"/>
      <c r="AP1858" s="10"/>
      <c r="AQ1858" s="10"/>
      <c r="AR1858" s="10"/>
      <c r="AS1858" s="10"/>
      <c r="AU1858" s="2"/>
      <c r="AV1858" s="2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</row>
    <row r="1859" spans="1:73" customFormat="1" ht="12.75" hidden="1" customHeight="1" x14ac:dyDescent="0.2">
      <c r="A1859" s="1"/>
      <c r="B1859" s="1"/>
      <c r="C1859" s="1"/>
      <c r="D1859" s="7"/>
      <c r="E1859" s="7"/>
      <c r="F1859" s="6"/>
      <c r="G1859" s="7"/>
      <c r="H1859" s="2"/>
      <c r="I1859" s="2"/>
      <c r="J1859" s="2"/>
      <c r="K1859" s="2"/>
      <c r="L1859" s="178"/>
      <c r="M1859" s="2"/>
      <c r="N1859" s="7"/>
      <c r="P1859" s="7"/>
      <c r="R1859" s="2"/>
      <c r="S1859" s="2"/>
      <c r="T1859" s="2"/>
      <c r="U1859" s="2"/>
      <c r="V1859" s="2"/>
      <c r="X1859" s="38"/>
      <c r="Y1859" s="38"/>
      <c r="Z1859" s="38"/>
      <c r="AA1859" s="38"/>
      <c r="AB1859" s="38"/>
      <c r="AD1859" s="2"/>
      <c r="AE1859" s="2"/>
      <c r="AF1859" s="2"/>
      <c r="AG1859" s="2"/>
      <c r="AH1859" s="2"/>
      <c r="AJ1859" s="215"/>
      <c r="AK1859" s="215"/>
      <c r="AL1859" s="215"/>
      <c r="AM1859" s="215"/>
      <c r="AO1859" s="10"/>
      <c r="AP1859" s="10"/>
      <c r="AQ1859" s="10"/>
      <c r="AR1859" s="10"/>
      <c r="AS1859" s="10"/>
      <c r="AU1859" s="2"/>
      <c r="AV1859" s="2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</row>
    <row r="1860" spans="1:73" customFormat="1" ht="12.75" hidden="1" customHeight="1" x14ac:dyDescent="0.2">
      <c r="A1860" s="1"/>
      <c r="B1860" s="1"/>
      <c r="C1860" s="1"/>
      <c r="D1860" s="7"/>
      <c r="E1860" s="7"/>
      <c r="F1860" s="6"/>
      <c r="G1860" s="7"/>
      <c r="H1860" s="2"/>
      <c r="I1860" s="2"/>
      <c r="J1860" s="2"/>
      <c r="K1860" s="2"/>
      <c r="L1860" s="178"/>
      <c r="M1860" s="2"/>
      <c r="N1860" s="7"/>
      <c r="P1860" s="7"/>
      <c r="R1860" s="2"/>
      <c r="S1860" s="2"/>
      <c r="T1860" s="2"/>
      <c r="U1860" s="2"/>
      <c r="V1860" s="2"/>
      <c r="X1860" s="38"/>
      <c r="Y1860" s="38"/>
      <c r="Z1860" s="38"/>
      <c r="AA1860" s="38"/>
      <c r="AB1860" s="38"/>
      <c r="AD1860" s="2"/>
      <c r="AE1860" s="2"/>
      <c r="AF1860" s="2"/>
      <c r="AG1860" s="2"/>
      <c r="AH1860" s="2"/>
      <c r="AJ1860" s="215"/>
      <c r="AK1860" s="215"/>
      <c r="AL1860" s="215"/>
      <c r="AM1860" s="215"/>
      <c r="AO1860" s="10"/>
      <c r="AP1860" s="10"/>
      <c r="AQ1860" s="10"/>
      <c r="AR1860" s="10"/>
      <c r="AS1860" s="10"/>
      <c r="AU1860" s="2"/>
      <c r="AV1860" s="2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</row>
    <row r="1861" spans="1:73" customFormat="1" ht="12.75" hidden="1" customHeight="1" x14ac:dyDescent="0.2">
      <c r="A1861" s="1"/>
      <c r="B1861" s="1"/>
      <c r="C1861" s="1"/>
      <c r="D1861" s="7"/>
      <c r="E1861" s="7"/>
      <c r="F1861" s="6"/>
      <c r="G1861" s="7"/>
      <c r="H1861" s="2"/>
      <c r="I1861" s="2"/>
      <c r="J1861" s="2"/>
      <c r="K1861" s="2"/>
      <c r="L1861" s="178"/>
      <c r="M1861" s="2"/>
      <c r="N1861" s="7"/>
      <c r="P1861" s="7"/>
      <c r="R1861" s="2"/>
      <c r="S1861" s="2"/>
      <c r="T1861" s="2"/>
      <c r="U1861" s="2"/>
      <c r="V1861" s="2"/>
      <c r="X1861" s="38"/>
      <c r="Y1861" s="38"/>
      <c r="Z1861" s="38"/>
      <c r="AA1861" s="38"/>
      <c r="AB1861" s="38"/>
      <c r="AD1861" s="2"/>
      <c r="AE1861" s="2"/>
      <c r="AF1861" s="2"/>
      <c r="AG1861" s="2"/>
      <c r="AH1861" s="2"/>
      <c r="AJ1861" s="215"/>
      <c r="AK1861" s="215"/>
      <c r="AL1861" s="215"/>
      <c r="AM1861" s="215"/>
      <c r="AO1861" s="10"/>
      <c r="AP1861" s="10"/>
      <c r="AQ1861" s="10"/>
      <c r="AR1861" s="10"/>
      <c r="AS1861" s="10"/>
      <c r="AU1861" s="2"/>
      <c r="AV1861" s="2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</row>
    <row r="1862" spans="1:73" customFormat="1" ht="12.75" hidden="1" customHeight="1" x14ac:dyDescent="0.2">
      <c r="A1862" s="1"/>
      <c r="B1862" s="1"/>
      <c r="C1862" s="1"/>
      <c r="D1862" s="7"/>
      <c r="E1862" s="7"/>
      <c r="F1862" s="6"/>
      <c r="G1862" s="7"/>
      <c r="H1862" s="2"/>
      <c r="I1862" s="2"/>
      <c r="J1862" s="2"/>
      <c r="K1862" s="2"/>
      <c r="L1862" s="178"/>
      <c r="M1862" s="2"/>
      <c r="N1862" s="7"/>
      <c r="P1862" s="7"/>
      <c r="R1862" s="2"/>
      <c r="S1862" s="2"/>
      <c r="T1862" s="2"/>
      <c r="U1862" s="2"/>
      <c r="V1862" s="2"/>
      <c r="X1862" s="38"/>
      <c r="Y1862" s="38"/>
      <c r="Z1862" s="38"/>
      <c r="AA1862" s="38"/>
      <c r="AB1862" s="38"/>
      <c r="AD1862" s="2"/>
      <c r="AE1862" s="2"/>
      <c r="AF1862" s="2"/>
      <c r="AG1862" s="2"/>
      <c r="AH1862" s="2"/>
      <c r="AJ1862" s="215"/>
      <c r="AK1862" s="215"/>
      <c r="AL1862" s="215"/>
      <c r="AM1862" s="215"/>
      <c r="AO1862" s="10"/>
      <c r="AP1862" s="10"/>
      <c r="AQ1862" s="10"/>
      <c r="AR1862" s="10"/>
      <c r="AS1862" s="10"/>
      <c r="AU1862" s="2"/>
      <c r="AV1862" s="2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</row>
    <row r="1863" spans="1:73" customFormat="1" ht="12.75" hidden="1" customHeight="1" x14ac:dyDescent="0.2">
      <c r="A1863" s="1"/>
      <c r="B1863" s="1"/>
      <c r="C1863" s="1"/>
      <c r="D1863" s="7"/>
      <c r="E1863" s="7"/>
      <c r="F1863" s="6"/>
      <c r="G1863" s="7"/>
      <c r="H1863" s="2"/>
      <c r="I1863" s="2"/>
      <c r="J1863" s="2"/>
      <c r="K1863" s="2"/>
      <c r="L1863" s="178"/>
      <c r="M1863" s="2"/>
      <c r="N1863" s="7"/>
      <c r="P1863" s="7"/>
      <c r="R1863" s="2"/>
      <c r="S1863" s="2"/>
      <c r="T1863" s="2"/>
      <c r="U1863" s="2"/>
      <c r="V1863" s="2"/>
      <c r="X1863" s="38"/>
      <c r="Y1863" s="38"/>
      <c r="Z1863" s="38"/>
      <c r="AA1863" s="38"/>
      <c r="AB1863" s="38"/>
      <c r="AD1863" s="2"/>
      <c r="AE1863" s="2"/>
      <c r="AF1863" s="2"/>
      <c r="AG1863" s="2"/>
      <c r="AH1863" s="2"/>
      <c r="AJ1863" s="215"/>
      <c r="AK1863" s="215"/>
      <c r="AL1863" s="215"/>
      <c r="AM1863" s="215"/>
      <c r="AO1863" s="10"/>
      <c r="AP1863" s="10"/>
      <c r="AQ1863" s="10"/>
      <c r="AR1863" s="10"/>
      <c r="AS1863" s="10"/>
      <c r="AU1863" s="2"/>
      <c r="AV1863" s="2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</row>
    <row r="1864" spans="1:73" customFormat="1" ht="12.75" hidden="1" customHeight="1" x14ac:dyDescent="0.2">
      <c r="A1864" s="1"/>
      <c r="B1864" s="1"/>
      <c r="C1864" s="1"/>
      <c r="D1864" s="7"/>
      <c r="E1864" s="7"/>
      <c r="F1864" s="6"/>
      <c r="G1864" s="7"/>
      <c r="H1864" s="2"/>
      <c r="I1864" s="2"/>
      <c r="J1864" s="2"/>
      <c r="K1864" s="2"/>
      <c r="L1864" s="178"/>
      <c r="M1864" s="2"/>
      <c r="N1864" s="7"/>
      <c r="P1864" s="7"/>
      <c r="R1864" s="2"/>
      <c r="S1864" s="2"/>
      <c r="T1864" s="2"/>
      <c r="U1864" s="2"/>
      <c r="V1864" s="2"/>
      <c r="X1864" s="38"/>
      <c r="Y1864" s="38"/>
      <c r="Z1864" s="38"/>
      <c r="AA1864" s="38"/>
      <c r="AB1864" s="38"/>
      <c r="AD1864" s="2"/>
      <c r="AE1864" s="2"/>
      <c r="AF1864" s="2"/>
      <c r="AG1864" s="2"/>
      <c r="AH1864" s="2"/>
      <c r="AJ1864" s="215"/>
      <c r="AK1864" s="215"/>
      <c r="AL1864" s="215"/>
      <c r="AM1864" s="215"/>
      <c r="AO1864" s="10"/>
      <c r="AP1864" s="10"/>
      <c r="AQ1864" s="10"/>
      <c r="AR1864" s="10"/>
      <c r="AS1864" s="10"/>
      <c r="AU1864" s="2"/>
      <c r="AV1864" s="2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</row>
    <row r="1865" spans="1:73" customFormat="1" ht="12.75" hidden="1" customHeight="1" x14ac:dyDescent="0.2">
      <c r="A1865" s="1"/>
      <c r="B1865" s="1"/>
      <c r="C1865" s="1"/>
      <c r="D1865" s="7"/>
      <c r="E1865" s="7"/>
      <c r="F1865" s="6"/>
      <c r="G1865" s="7"/>
      <c r="H1865" s="2"/>
      <c r="I1865" s="2"/>
      <c r="J1865" s="2"/>
      <c r="K1865" s="2"/>
      <c r="L1865" s="178"/>
      <c r="M1865" s="2"/>
      <c r="N1865" s="7"/>
      <c r="P1865" s="7"/>
      <c r="R1865" s="2"/>
      <c r="S1865" s="2"/>
      <c r="T1865" s="2"/>
      <c r="U1865" s="2"/>
      <c r="V1865" s="2"/>
      <c r="X1865" s="38"/>
      <c r="Y1865" s="38"/>
      <c r="Z1865" s="38"/>
      <c r="AA1865" s="38"/>
      <c r="AB1865" s="38"/>
      <c r="AD1865" s="2"/>
      <c r="AE1865" s="2"/>
      <c r="AF1865" s="2"/>
      <c r="AG1865" s="2"/>
      <c r="AH1865" s="2"/>
      <c r="AJ1865" s="215"/>
      <c r="AK1865" s="215"/>
      <c r="AL1865" s="215"/>
      <c r="AM1865" s="215"/>
      <c r="AO1865" s="10"/>
      <c r="AP1865" s="10"/>
      <c r="AQ1865" s="10"/>
      <c r="AR1865" s="10"/>
      <c r="AS1865" s="10"/>
      <c r="AU1865" s="2"/>
      <c r="AV1865" s="2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</row>
    <row r="1866" spans="1:73" customFormat="1" ht="12.75" hidden="1" customHeight="1" x14ac:dyDescent="0.2">
      <c r="A1866" s="1"/>
      <c r="B1866" s="1"/>
      <c r="C1866" s="1"/>
      <c r="D1866" s="7"/>
      <c r="E1866" s="7"/>
      <c r="F1866" s="6"/>
      <c r="G1866" s="7"/>
      <c r="H1866" s="2"/>
      <c r="I1866" s="2"/>
      <c r="J1866" s="2"/>
      <c r="K1866" s="2"/>
      <c r="L1866" s="178"/>
      <c r="M1866" s="2"/>
      <c r="N1866" s="7"/>
      <c r="P1866" s="7"/>
      <c r="R1866" s="2"/>
      <c r="S1866" s="2"/>
      <c r="T1866" s="2"/>
      <c r="U1866" s="2"/>
      <c r="V1866" s="2"/>
      <c r="X1866" s="38"/>
      <c r="Y1866" s="38"/>
      <c r="Z1866" s="38"/>
      <c r="AA1866" s="38"/>
      <c r="AB1866" s="38"/>
      <c r="AD1866" s="2"/>
      <c r="AE1866" s="2"/>
      <c r="AF1866" s="2"/>
      <c r="AG1866" s="2"/>
      <c r="AH1866" s="2"/>
      <c r="AJ1866" s="215"/>
      <c r="AK1866" s="215"/>
      <c r="AL1866" s="215"/>
      <c r="AM1866" s="215"/>
      <c r="AO1866" s="10"/>
      <c r="AP1866" s="10"/>
      <c r="AQ1866" s="10"/>
      <c r="AR1866" s="10"/>
      <c r="AS1866" s="10"/>
      <c r="AU1866" s="2"/>
      <c r="AV1866" s="2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</row>
    <row r="1867" spans="1:73" customFormat="1" ht="12.75" hidden="1" customHeight="1" x14ac:dyDescent="0.2">
      <c r="A1867" s="1"/>
      <c r="B1867" s="1"/>
      <c r="C1867" s="1"/>
      <c r="D1867" s="7"/>
      <c r="E1867" s="7"/>
      <c r="F1867" s="6"/>
      <c r="G1867" s="7"/>
      <c r="H1867" s="2"/>
      <c r="I1867" s="2"/>
      <c r="J1867" s="2"/>
      <c r="K1867" s="2"/>
      <c r="L1867" s="178"/>
      <c r="M1867" s="2"/>
      <c r="N1867" s="7"/>
      <c r="P1867" s="7"/>
      <c r="R1867" s="2"/>
      <c r="S1867" s="2"/>
      <c r="T1867" s="2"/>
      <c r="U1867" s="2"/>
      <c r="V1867" s="2"/>
      <c r="X1867" s="38"/>
      <c r="Y1867" s="38"/>
      <c r="Z1867" s="38"/>
      <c r="AA1867" s="38"/>
      <c r="AB1867" s="38"/>
      <c r="AD1867" s="2"/>
      <c r="AE1867" s="2"/>
      <c r="AF1867" s="2"/>
      <c r="AG1867" s="2"/>
      <c r="AH1867" s="2"/>
      <c r="AJ1867" s="215"/>
      <c r="AK1867" s="215"/>
      <c r="AL1867" s="215"/>
      <c r="AM1867" s="215"/>
      <c r="AO1867" s="10"/>
      <c r="AP1867" s="10"/>
      <c r="AQ1867" s="10"/>
      <c r="AR1867" s="10"/>
      <c r="AS1867" s="10"/>
      <c r="AU1867" s="2"/>
      <c r="AV1867" s="2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</row>
    <row r="1868" spans="1:73" customFormat="1" ht="12.75" hidden="1" customHeight="1" x14ac:dyDescent="0.2">
      <c r="A1868" s="1"/>
      <c r="B1868" s="1"/>
      <c r="C1868" s="1"/>
      <c r="D1868" s="7"/>
      <c r="E1868" s="7"/>
      <c r="F1868" s="6"/>
      <c r="G1868" s="7"/>
      <c r="H1868" s="2"/>
      <c r="I1868" s="2"/>
      <c r="J1868" s="2"/>
      <c r="K1868" s="2"/>
      <c r="L1868" s="178"/>
      <c r="M1868" s="2"/>
      <c r="N1868" s="7"/>
      <c r="P1868" s="7"/>
      <c r="R1868" s="2"/>
      <c r="S1868" s="2"/>
      <c r="T1868" s="2"/>
      <c r="U1868" s="2"/>
      <c r="V1868" s="2"/>
      <c r="X1868" s="38"/>
      <c r="Y1868" s="38"/>
      <c r="Z1868" s="38"/>
      <c r="AA1868" s="38"/>
      <c r="AB1868" s="38"/>
      <c r="AD1868" s="2"/>
      <c r="AE1868" s="2"/>
      <c r="AF1868" s="2"/>
      <c r="AG1868" s="2"/>
      <c r="AH1868" s="2"/>
      <c r="AJ1868" s="215"/>
      <c r="AK1868" s="215"/>
      <c r="AL1868" s="215"/>
      <c r="AM1868" s="215"/>
      <c r="AO1868" s="10"/>
      <c r="AP1868" s="10"/>
      <c r="AQ1868" s="10"/>
      <c r="AR1868" s="10"/>
      <c r="AS1868" s="10"/>
      <c r="AU1868" s="2"/>
      <c r="AV1868" s="2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</row>
    <row r="1869" spans="1:73" customFormat="1" ht="12.75" hidden="1" customHeight="1" x14ac:dyDescent="0.2">
      <c r="A1869" s="1"/>
      <c r="B1869" s="1"/>
      <c r="C1869" s="1"/>
      <c r="D1869" s="7"/>
      <c r="E1869" s="7"/>
      <c r="F1869" s="6"/>
      <c r="G1869" s="7"/>
      <c r="H1869" s="2"/>
      <c r="I1869" s="2"/>
      <c r="J1869" s="2"/>
      <c r="K1869" s="2"/>
      <c r="L1869" s="178"/>
      <c r="M1869" s="2"/>
      <c r="N1869" s="7"/>
      <c r="P1869" s="7"/>
      <c r="R1869" s="2"/>
      <c r="S1869" s="2"/>
      <c r="T1869" s="2"/>
      <c r="U1869" s="2"/>
      <c r="V1869" s="2"/>
      <c r="X1869" s="38"/>
      <c r="Y1869" s="38"/>
      <c r="Z1869" s="38"/>
      <c r="AA1869" s="38"/>
      <c r="AB1869" s="38"/>
      <c r="AD1869" s="2"/>
      <c r="AE1869" s="2"/>
      <c r="AF1869" s="2"/>
      <c r="AG1869" s="2"/>
      <c r="AH1869" s="2"/>
      <c r="AJ1869" s="215"/>
      <c r="AK1869" s="215"/>
      <c r="AL1869" s="215"/>
      <c r="AM1869" s="215"/>
      <c r="AO1869" s="10"/>
      <c r="AP1869" s="10"/>
      <c r="AQ1869" s="10"/>
      <c r="AR1869" s="10"/>
      <c r="AS1869" s="10"/>
      <c r="AU1869" s="2"/>
      <c r="AV1869" s="2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</row>
    <row r="1870" spans="1:73" customFormat="1" ht="12.75" hidden="1" customHeight="1" x14ac:dyDescent="0.2">
      <c r="A1870" s="1"/>
      <c r="B1870" s="1"/>
      <c r="C1870" s="1"/>
      <c r="D1870" s="7"/>
      <c r="E1870" s="7"/>
      <c r="F1870" s="6"/>
      <c r="G1870" s="7"/>
      <c r="H1870" s="2"/>
      <c r="I1870" s="2"/>
      <c r="J1870" s="2"/>
      <c r="K1870" s="2"/>
      <c r="L1870" s="178"/>
      <c r="M1870" s="2"/>
      <c r="N1870" s="7"/>
      <c r="P1870" s="7"/>
      <c r="R1870" s="2"/>
      <c r="S1870" s="2"/>
      <c r="T1870" s="2"/>
      <c r="U1870" s="2"/>
      <c r="V1870" s="2"/>
      <c r="X1870" s="38"/>
      <c r="Y1870" s="38"/>
      <c r="Z1870" s="38"/>
      <c r="AA1870" s="38"/>
      <c r="AB1870" s="38"/>
      <c r="AD1870" s="2"/>
      <c r="AE1870" s="2"/>
      <c r="AF1870" s="2"/>
      <c r="AG1870" s="2"/>
      <c r="AH1870" s="2"/>
      <c r="AJ1870" s="215"/>
      <c r="AK1870" s="215"/>
      <c r="AL1870" s="215"/>
      <c r="AM1870" s="215"/>
      <c r="AO1870" s="10"/>
      <c r="AP1870" s="10"/>
      <c r="AQ1870" s="10"/>
      <c r="AR1870" s="10"/>
      <c r="AS1870" s="10"/>
      <c r="AU1870" s="2"/>
      <c r="AV1870" s="2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</row>
    <row r="1871" spans="1:73" customFormat="1" ht="12.75" hidden="1" customHeight="1" x14ac:dyDescent="0.2">
      <c r="A1871" s="1"/>
      <c r="B1871" s="1"/>
      <c r="C1871" s="1"/>
      <c r="D1871" s="7"/>
      <c r="E1871" s="7"/>
      <c r="F1871" s="6"/>
      <c r="G1871" s="7"/>
      <c r="H1871" s="2"/>
      <c r="I1871" s="2"/>
      <c r="J1871" s="2"/>
      <c r="K1871" s="2"/>
      <c r="L1871" s="178"/>
      <c r="M1871" s="2"/>
      <c r="N1871" s="7"/>
      <c r="P1871" s="7"/>
      <c r="R1871" s="2"/>
      <c r="S1871" s="2"/>
      <c r="T1871" s="2"/>
      <c r="U1871" s="2"/>
      <c r="V1871" s="2"/>
      <c r="X1871" s="38"/>
      <c r="Y1871" s="38"/>
      <c r="Z1871" s="38"/>
      <c r="AA1871" s="38"/>
      <c r="AB1871" s="38"/>
      <c r="AD1871" s="2"/>
      <c r="AE1871" s="2"/>
      <c r="AF1871" s="2"/>
      <c r="AG1871" s="2"/>
      <c r="AH1871" s="2"/>
      <c r="AJ1871" s="215"/>
      <c r="AK1871" s="215"/>
      <c r="AL1871" s="215"/>
      <c r="AM1871" s="215"/>
      <c r="AO1871" s="10"/>
      <c r="AP1871" s="10"/>
      <c r="AQ1871" s="10"/>
      <c r="AR1871" s="10"/>
      <c r="AS1871" s="10"/>
      <c r="AU1871" s="2"/>
      <c r="AV1871" s="2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</row>
    <row r="1872" spans="1:73" customFormat="1" ht="12.75" hidden="1" customHeight="1" x14ac:dyDescent="0.2">
      <c r="A1872" s="1"/>
      <c r="B1872" s="1"/>
      <c r="C1872" s="1"/>
      <c r="D1872" s="7"/>
      <c r="E1872" s="7"/>
      <c r="F1872" s="6"/>
      <c r="G1872" s="7"/>
      <c r="H1872" s="2"/>
      <c r="I1872" s="2"/>
      <c r="J1872" s="2"/>
      <c r="K1872" s="2"/>
      <c r="L1872" s="178"/>
      <c r="M1872" s="2"/>
      <c r="N1872" s="7"/>
      <c r="P1872" s="7"/>
      <c r="R1872" s="2"/>
      <c r="S1872" s="2"/>
      <c r="T1872" s="2"/>
      <c r="U1872" s="2"/>
      <c r="V1872" s="2"/>
      <c r="X1872" s="38"/>
      <c r="Y1872" s="38"/>
      <c r="Z1872" s="38"/>
      <c r="AA1872" s="38"/>
      <c r="AB1872" s="38"/>
      <c r="AD1872" s="2"/>
      <c r="AE1872" s="2"/>
      <c r="AF1872" s="2"/>
      <c r="AG1872" s="2"/>
      <c r="AH1872" s="2"/>
      <c r="AJ1872" s="215"/>
      <c r="AK1872" s="215"/>
      <c r="AL1872" s="215"/>
      <c r="AM1872" s="215"/>
      <c r="AO1872" s="10"/>
      <c r="AP1872" s="10"/>
      <c r="AQ1872" s="10"/>
      <c r="AR1872" s="10"/>
      <c r="AS1872" s="10"/>
      <c r="AU1872" s="2"/>
      <c r="AV1872" s="2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</row>
    <row r="1873" spans="1:73" customFormat="1" ht="12.75" hidden="1" customHeight="1" x14ac:dyDescent="0.2">
      <c r="A1873" s="1"/>
      <c r="B1873" s="1"/>
      <c r="C1873" s="1"/>
      <c r="D1873" s="7"/>
      <c r="E1873" s="7"/>
      <c r="F1873" s="6"/>
      <c r="G1873" s="7"/>
      <c r="H1873" s="2"/>
      <c r="I1873" s="2"/>
      <c r="J1873" s="2"/>
      <c r="K1873" s="2"/>
      <c r="L1873" s="178"/>
      <c r="M1873" s="2"/>
      <c r="N1873" s="7"/>
      <c r="P1873" s="7"/>
      <c r="R1873" s="2"/>
      <c r="S1873" s="2"/>
      <c r="T1873" s="2"/>
      <c r="U1873" s="2"/>
      <c r="V1873" s="2"/>
      <c r="X1873" s="38"/>
      <c r="Y1873" s="38"/>
      <c r="Z1873" s="38"/>
      <c r="AA1873" s="38"/>
      <c r="AB1873" s="38"/>
      <c r="AD1873" s="2"/>
      <c r="AE1873" s="2"/>
      <c r="AF1873" s="2"/>
      <c r="AG1873" s="2"/>
      <c r="AH1873" s="2"/>
      <c r="AJ1873" s="215"/>
      <c r="AK1873" s="215"/>
      <c r="AL1873" s="215"/>
      <c r="AM1873" s="215"/>
      <c r="AO1873" s="10"/>
      <c r="AP1873" s="10"/>
      <c r="AQ1873" s="10"/>
      <c r="AR1873" s="10"/>
      <c r="AS1873" s="10"/>
      <c r="AU1873" s="2"/>
      <c r="AV1873" s="2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</row>
    <row r="1874" spans="1:73" customFormat="1" ht="12.75" hidden="1" customHeight="1" x14ac:dyDescent="0.2">
      <c r="A1874" s="1"/>
      <c r="B1874" s="1"/>
      <c r="C1874" s="1"/>
      <c r="D1874" s="7"/>
      <c r="E1874" s="7"/>
      <c r="F1874" s="6"/>
      <c r="G1874" s="7"/>
      <c r="H1874" s="2"/>
      <c r="I1874" s="2"/>
      <c r="J1874" s="2"/>
      <c r="K1874" s="2"/>
      <c r="L1874" s="178"/>
      <c r="M1874" s="2"/>
      <c r="N1874" s="7"/>
      <c r="P1874" s="7"/>
      <c r="R1874" s="2"/>
      <c r="S1874" s="2"/>
      <c r="T1874" s="2"/>
      <c r="U1874" s="2"/>
      <c r="V1874" s="2"/>
      <c r="X1874" s="38"/>
      <c r="Y1874" s="38"/>
      <c r="Z1874" s="38"/>
      <c r="AA1874" s="38"/>
      <c r="AB1874" s="38"/>
      <c r="AD1874" s="2"/>
      <c r="AE1874" s="2"/>
      <c r="AF1874" s="2"/>
      <c r="AG1874" s="2"/>
      <c r="AH1874" s="2"/>
      <c r="AJ1874" s="215"/>
      <c r="AK1874" s="215"/>
      <c r="AL1874" s="215"/>
      <c r="AM1874" s="215"/>
      <c r="AO1874" s="10"/>
      <c r="AP1874" s="10"/>
      <c r="AQ1874" s="10"/>
      <c r="AR1874" s="10"/>
      <c r="AS1874" s="10"/>
      <c r="AU1874" s="2"/>
      <c r="AV1874" s="2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</row>
    <row r="1875" spans="1:73" customFormat="1" ht="12.75" hidden="1" customHeight="1" x14ac:dyDescent="0.2">
      <c r="A1875" s="1"/>
      <c r="B1875" s="1"/>
      <c r="C1875" s="1"/>
      <c r="D1875" s="7"/>
      <c r="E1875" s="7"/>
      <c r="F1875" s="6"/>
      <c r="G1875" s="7"/>
      <c r="H1875" s="2"/>
      <c r="I1875" s="2"/>
      <c r="J1875" s="2"/>
      <c r="K1875" s="2"/>
      <c r="L1875" s="178"/>
      <c r="M1875" s="2"/>
      <c r="N1875" s="7"/>
      <c r="P1875" s="7"/>
      <c r="R1875" s="2"/>
      <c r="S1875" s="2"/>
      <c r="T1875" s="2"/>
      <c r="U1875" s="2"/>
      <c r="V1875" s="2"/>
      <c r="X1875" s="38"/>
      <c r="Y1875" s="38"/>
      <c r="Z1875" s="38"/>
      <c r="AA1875" s="38"/>
      <c r="AB1875" s="38"/>
      <c r="AD1875" s="2"/>
      <c r="AE1875" s="2"/>
      <c r="AF1875" s="2"/>
      <c r="AG1875" s="2"/>
      <c r="AH1875" s="2"/>
      <c r="AJ1875" s="215"/>
      <c r="AK1875" s="215"/>
      <c r="AL1875" s="215"/>
      <c r="AM1875" s="215"/>
      <c r="AO1875" s="10"/>
      <c r="AP1875" s="10"/>
      <c r="AQ1875" s="10"/>
      <c r="AR1875" s="10"/>
      <c r="AS1875" s="10"/>
      <c r="AU1875" s="2"/>
      <c r="AV1875" s="2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</row>
    <row r="1876" spans="1:73" customFormat="1" ht="12.75" hidden="1" customHeight="1" x14ac:dyDescent="0.2">
      <c r="A1876" s="1"/>
      <c r="B1876" s="1"/>
      <c r="C1876" s="1"/>
      <c r="D1876" s="7"/>
      <c r="E1876" s="7"/>
      <c r="F1876" s="6"/>
      <c r="G1876" s="7"/>
      <c r="H1876" s="2"/>
      <c r="I1876" s="2"/>
      <c r="J1876" s="2"/>
      <c r="K1876" s="2"/>
      <c r="L1876" s="178"/>
      <c r="M1876" s="2"/>
      <c r="N1876" s="7"/>
      <c r="P1876" s="7"/>
      <c r="R1876" s="2"/>
      <c r="S1876" s="2"/>
      <c r="T1876" s="2"/>
      <c r="U1876" s="2"/>
      <c r="V1876" s="2"/>
      <c r="X1876" s="38"/>
      <c r="Y1876" s="38"/>
      <c r="Z1876" s="38"/>
      <c r="AA1876" s="38"/>
      <c r="AB1876" s="38"/>
      <c r="AD1876" s="2"/>
      <c r="AE1876" s="2"/>
      <c r="AF1876" s="2"/>
      <c r="AG1876" s="2"/>
      <c r="AH1876" s="2"/>
      <c r="AJ1876" s="215"/>
      <c r="AK1876" s="215"/>
      <c r="AL1876" s="215"/>
      <c r="AM1876" s="215"/>
      <c r="AO1876" s="10"/>
      <c r="AP1876" s="10"/>
      <c r="AQ1876" s="10"/>
      <c r="AR1876" s="10"/>
      <c r="AS1876" s="10"/>
      <c r="AU1876" s="2"/>
      <c r="AV1876" s="2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</row>
    <row r="1877" spans="1:73" customFormat="1" ht="12.75" hidden="1" customHeight="1" x14ac:dyDescent="0.2">
      <c r="A1877" s="1"/>
      <c r="B1877" s="1"/>
      <c r="C1877" s="1"/>
      <c r="D1877" s="7"/>
      <c r="E1877" s="7"/>
      <c r="F1877" s="6"/>
      <c r="G1877" s="7"/>
      <c r="H1877" s="2"/>
      <c r="I1877" s="2"/>
      <c r="J1877" s="2"/>
      <c r="K1877" s="2"/>
      <c r="L1877" s="178"/>
      <c r="M1877" s="2"/>
      <c r="N1877" s="7"/>
      <c r="P1877" s="7"/>
      <c r="R1877" s="2"/>
      <c r="S1877" s="2"/>
      <c r="T1877" s="2"/>
      <c r="U1877" s="2"/>
      <c r="V1877" s="2"/>
      <c r="X1877" s="38"/>
      <c r="Y1877" s="38"/>
      <c r="Z1877" s="38"/>
      <c r="AA1877" s="38"/>
      <c r="AB1877" s="38"/>
      <c r="AD1877" s="2"/>
      <c r="AE1877" s="2"/>
      <c r="AF1877" s="2"/>
      <c r="AG1877" s="2"/>
      <c r="AH1877" s="2"/>
      <c r="AJ1877" s="215"/>
      <c r="AK1877" s="215"/>
      <c r="AL1877" s="215"/>
      <c r="AM1877" s="215"/>
      <c r="AO1877" s="10"/>
      <c r="AP1877" s="10"/>
      <c r="AQ1877" s="10"/>
      <c r="AR1877" s="10"/>
      <c r="AS1877" s="10"/>
      <c r="AU1877" s="2"/>
      <c r="AV1877" s="2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</row>
    <row r="1878" spans="1:73" customFormat="1" ht="12.75" hidden="1" customHeight="1" x14ac:dyDescent="0.2">
      <c r="A1878" s="1"/>
      <c r="B1878" s="1"/>
      <c r="C1878" s="1"/>
      <c r="D1878" s="7"/>
      <c r="E1878" s="7"/>
      <c r="F1878" s="6"/>
      <c r="G1878" s="7"/>
      <c r="H1878" s="2"/>
      <c r="I1878" s="2"/>
      <c r="J1878" s="2"/>
      <c r="K1878" s="2"/>
      <c r="L1878" s="178"/>
      <c r="M1878" s="2"/>
      <c r="N1878" s="7"/>
      <c r="P1878" s="7"/>
      <c r="R1878" s="2"/>
      <c r="S1878" s="2"/>
      <c r="T1878" s="2"/>
      <c r="U1878" s="2"/>
      <c r="V1878" s="2"/>
      <c r="X1878" s="38"/>
      <c r="Y1878" s="38"/>
      <c r="Z1878" s="38"/>
      <c r="AA1878" s="38"/>
      <c r="AB1878" s="38"/>
      <c r="AD1878" s="2"/>
      <c r="AE1878" s="2"/>
      <c r="AF1878" s="2"/>
      <c r="AG1878" s="2"/>
      <c r="AH1878" s="2"/>
      <c r="AJ1878" s="215"/>
      <c r="AK1878" s="215"/>
      <c r="AL1878" s="215"/>
      <c r="AM1878" s="215"/>
      <c r="AO1878" s="10"/>
      <c r="AP1878" s="10"/>
      <c r="AQ1878" s="10"/>
      <c r="AR1878" s="10"/>
      <c r="AS1878" s="10"/>
      <c r="AU1878" s="2"/>
      <c r="AV1878" s="2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</row>
    <row r="1879" spans="1:73" customFormat="1" ht="12.75" hidden="1" customHeight="1" x14ac:dyDescent="0.2">
      <c r="A1879" s="1"/>
      <c r="B1879" s="1"/>
      <c r="C1879" s="1"/>
      <c r="D1879" s="7"/>
      <c r="E1879" s="7"/>
      <c r="F1879" s="6"/>
      <c r="G1879" s="7"/>
      <c r="H1879" s="2"/>
      <c r="I1879" s="2"/>
      <c r="J1879" s="2"/>
      <c r="K1879" s="2"/>
      <c r="L1879" s="178"/>
      <c r="M1879" s="2"/>
      <c r="N1879" s="7"/>
      <c r="P1879" s="7"/>
      <c r="R1879" s="2"/>
      <c r="S1879" s="2"/>
      <c r="T1879" s="2"/>
      <c r="U1879" s="2"/>
      <c r="V1879" s="2"/>
      <c r="X1879" s="38"/>
      <c r="Y1879" s="38"/>
      <c r="Z1879" s="38"/>
      <c r="AA1879" s="38"/>
      <c r="AB1879" s="38"/>
      <c r="AD1879" s="2"/>
      <c r="AE1879" s="2"/>
      <c r="AF1879" s="2"/>
      <c r="AG1879" s="2"/>
      <c r="AH1879" s="2"/>
      <c r="AJ1879" s="215"/>
      <c r="AK1879" s="215"/>
      <c r="AL1879" s="215"/>
      <c r="AM1879" s="215"/>
      <c r="AO1879" s="10"/>
      <c r="AP1879" s="10"/>
      <c r="AQ1879" s="10"/>
      <c r="AR1879" s="10"/>
      <c r="AS1879" s="10"/>
      <c r="AU1879" s="2"/>
      <c r="AV1879" s="2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</row>
    <row r="1880" spans="1:73" customFormat="1" ht="12.75" hidden="1" customHeight="1" x14ac:dyDescent="0.2">
      <c r="A1880" s="1"/>
      <c r="B1880" s="1"/>
      <c r="C1880" s="1"/>
      <c r="D1880" s="7"/>
      <c r="E1880" s="7"/>
      <c r="F1880" s="6"/>
      <c r="G1880" s="7"/>
      <c r="H1880" s="2"/>
      <c r="I1880" s="2"/>
      <c r="J1880" s="2"/>
      <c r="K1880" s="2"/>
      <c r="L1880" s="178"/>
      <c r="M1880" s="2"/>
      <c r="N1880" s="7"/>
      <c r="P1880" s="7"/>
      <c r="R1880" s="2"/>
      <c r="S1880" s="2"/>
      <c r="T1880" s="2"/>
      <c r="U1880" s="2"/>
      <c r="V1880" s="2"/>
      <c r="X1880" s="38"/>
      <c r="Y1880" s="38"/>
      <c r="Z1880" s="38"/>
      <c r="AA1880" s="38"/>
      <c r="AB1880" s="38"/>
      <c r="AD1880" s="2"/>
      <c r="AE1880" s="2"/>
      <c r="AF1880" s="2"/>
      <c r="AG1880" s="2"/>
      <c r="AH1880" s="2"/>
      <c r="AJ1880" s="215"/>
      <c r="AK1880" s="215"/>
      <c r="AL1880" s="215"/>
      <c r="AM1880" s="215"/>
      <c r="AO1880" s="10"/>
      <c r="AP1880" s="10"/>
      <c r="AQ1880" s="10"/>
      <c r="AR1880" s="10"/>
      <c r="AS1880" s="10"/>
      <c r="AU1880" s="2"/>
      <c r="AV1880" s="2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</row>
    <row r="1881" spans="1:73" customFormat="1" ht="12.75" hidden="1" customHeight="1" x14ac:dyDescent="0.2">
      <c r="A1881" s="1"/>
      <c r="B1881" s="1"/>
      <c r="C1881" s="1"/>
      <c r="D1881" s="7"/>
      <c r="E1881" s="7"/>
      <c r="F1881" s="6"/>
      <c r="G1881" s="7"/>
      <c r="H1881" s="2"/>
      <c r="I1881" s="2"/>
      <c r="J1881" s="2"/>
      <c r="K1881" s="2"/>
      <c r="L1881" s="178"/>
      <c r="M1881" s="2"/>
      <c r="N1881" s="7"/>
      <c r="P1881" s="7"/>
      <c r="R1881" s="2"/>
      <c r="S1881" s="2"/>
      <c r="T1881" s="2"/>
      <c r="U1881" s="2"/>
      <c r="V1881" s="2"/>
      <c r="X1881" s="38"/>
      <c r="Y1881" s="38"/>
      <c r="Z1881" s="38"/>
      <c r="AA1881" s="38"/>
      <c r="AB1881" s="38"/>
      <c r="AD1881" s="2"/>
      <c r="AE1881" s="2"/>
      <c r="AF1881" s="2"/>
      <c r="AG1881" s="2"/>
      <c r="AH1881" s="2"/>
      <c r="AJ1881" s="215"/>
      <c r="AK1881" s="215"/>
      <c r="AL1881" s="215"/>
      <c r="AM1881" s="215"/>
      <c r="AO1881" s="10"/>
      <c r="AP1881" s="10"/>
      <c r="AQ1881" s="10"/>
      <c r="AR1881" s="10"/>
      <c r="AS1881" s="10"/>
      <c r="AU1881" s="2"/>
      <c r="AV1881" s="2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</row>
    <row r="1882" spans="1:73" customFormat="1" ht="12.75" hidden="1" customHeight="1" x14ac:dyDescent="0.2">
      <c r="A1882" s="1"/>
      <c r="B1882" s="1"/>
      <c r="C1882" s="1"/>
      <c r="D1882" s="7"/>
      <c r="E1882" s="7"/>
      <c r="F1882" s="6"/>
      <c r="G1882" s="7"/>
      <c r="H1882" s="2"/>
      <c r="I1882" s="2"/>
      <c r="J1882" s="2"/>
      <c r="K1882" s="2"/>
      <c r="L1882" s="178"/>
      <c r="M1882" s="2"/>
      <c r="N1882" s="7"/>
      <c r="P1882" s="7"/>
      <c r="R1882" s="2"/>
      <c r="S1882" s="2"/>
      <c r="T1882" s="2"/>
      <c r="U1882" s="2"/>
      <c r="V1882" s="2"/>
      <c r="X1882" s="38"/>
      <c r="Y1882" s="38"/>
      <c r="Z1882" s="38"/>
      <c r="AA1882" s="38"/>
      <c r="AB1882" s="38"/>
      <c r="AD1882" s="2"/>
      <c r="AE1882" s="2"/>
      <c r="AF1882" s="2"/>
      <c r="AG1882" s="2"/>
      <c r="AH1882" s="2"/>
      <c r="AJ1882" s="215"/>
      <c r="AK1882" s="215"/>
      <c r="AL1882" s="215"/>
      <c r="AM1882" s="215"/>
      <c r="AO1882" s="10"/>
      <c r="AP1882" s="10"/>
      <c r="AQ1882" s="10"/>
      <c r="AR1882" s="10"/>
      <c r="AS1882" s="10"/>
      <c r="AU1882" s="2"/>
      <c r="AV1882" s="2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</row>
    <row r="1883" spans="1:73" customFormat="1" ht="12.75" hidden="1" customHeight="1" x14ac:dyDescent="0.2">
      <c r="A1883" s="1"/>
      <c r="B1883" s="1"/>
      <c r="C1883" s="1"/>
      <c r="D1883" s="7"/>
      <c r="E1883" s="7"/>
      <c r="F1883" s="6"/>
      <c r="G1883" s="7"/>
      <c r="H1883" s="2"/>
      <c r="I1883" s="2"/>
      <c r="J1883" s="2"/>
      <c r="K1883" s="2"/>
      <c r="L1883" s="178"/>
      <c r="M1883" s="2"/>
      <c r="N1883" s="7"/>
      <c r="P1883" s="7"/>
      <c r="R1883" s="2"/>
      <c r="S1883" s="2"/>
      <c r="T1883" s="2"/>
      <c r="U1883" s="2"/>
      <c r="V1883" s="2"/>
      <c r="X1883" s="38"/>
      <c r="Y1883" s="38"/>
      <c r="Z1883" s="38"/>
      <c r="AA1883" s="38"/>
      <c r="AB1883" s="38"/>
      <c r="AD1883" s="2"/>
      <c r="AE1883" s="2"/>
      <c r="AF1883" s="2"/>
      <c r="AG1883" s="2"/>
      <c r="AH1883" s="2"/>
      <c r="AJ1883" s="215"/>
      <c r="AK1883" s="215"/>
      <c r="AL1883" s="215"/>
      <c r="AM1883" s="215"/>
      <c r="AO1883" s="10"/>
      <c r="AP1883" s="10"/>
      <c r="AQ1883" s="10"/>
      <c r="AR1883" s="10"/>
      <c r="AS1883" s="10"/>
      <c r="AU1883" s="2"/>
      <c r="AV1883" s="2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</row>
    <row r="1884" spans="1:73" customFormat="1" ht="12.75" hidden="1" customHeight="1" x14ac:dyDescent="0.2">
      <c r="A1884" s="1"/>
      <c r="B1884" s="1"/>
      <c r="C1884" s="1"/>
      <c r="D1884" s="7"/>
      <c r="E1884" s="7"/>
      <c r="F1884" s="6"/>
      <c r="G1884" s="7"/>
      <c r="H1884" s="2"/>
      <c r="I1884" s="2"/>
      <c r="J1884" s="2"/>
      <c r="K1884" s="2"/>
      <c r="L1884" s="178"/>
      <c r="M1884" s="2"/>
      <c r="N1884" s="7"/>
      <c r="P1884" s="7"/>
      <c r="R1884" s="2"/>
      <c r="S1884" s="2"/>
      <c r="T1884" s="2"/>
      <c r="U1884" s="2"/>
      <c r="V1884" s="2"/>
      <c r="X1884" s="38"/>
      <c r="Y1884" s="38"/>
      <c r="Z1884" s="38"/>
      <c r="AA1884" s="38"/>
      <c r="AB1884" s="38"/>
      <c r="AD1884" s="2"/>
      <c r="AE1884" s="2"/>
      <c r="AF1884" s="2"/>
      <c r="AG1884" s="2"/>
      <c r="AH1884" s="2"/>
      <c r="AJ1884" s="215"/>
      <c r="AK1884" s="215"/>
      <c r="AL1884" s="215"/>
      <c r="AM1884" s="215"/>
      <c r="AO1884" s="10"/>
      <c r="AP1884" s="10"/>
      <c r="AQ1884" s="10"/>
      <c r="AR1884" s="10"/>
      <c r="AS1884" s="10"/>
      <c r="AU1884" s="2"/>
      <c r="AV1884" s="2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</row>
    <row r="1885" spans="1:73" customFormat="1" ht="12.75" hidden="1" customHeight="1" x14ac:dyDescent="0.2">
      <c r="A1885" s="1"/>
      <c r="B1885" s="1"/>
      <c r="C1885" s="1"/>
      <c r="D1885" s="7"/>
      <c r="E1885" s="7"/>
      <c r="F1885" s="6"/>
      <c r="G1885" s="7"/>
      <c r="H1885" s="2"/>
      <c r="I1885" s="2"/>
      <c r="J1885" s="2"/>
      <c r="K1885" s="2"/>
      <c r="L1885" s="178"/>
      <c r="M1885" s="2"/>
      <c r="N1885" s="7"/>
      <c r="P1885" s="7"/>
      <c r="R1885" s="2"/>
      <c r="S1885" s="2"/>
      <c r="T1885" s="2"/>
      <c r="U1885" s="2"/>
      <c r="V1885" s="2"/>
      <c r="X1885" s="38"/>
      <c r="Y1885" s="38"/>
      <c r="Z1885" s="38"/>
      <c r="AA1885" s="38"/>
      <c r="AB1885" s="38"/>
      <c r="AD1885" s="2"/>
      <c r="AE1885" s="2"/>
      <c r="AF1885" s="2"/>
      <c r="AG1885" s="2"/>
      <c r="AH1885" s="2"/>
      <c r="AJ1885" s="215"/>
      <c r="AK1885" s="215"/>
      <c r="AL1885" s="215"/>
      <c r="AM1885" s="215"/>
      <c r="AO1885" s="10"/>
      <c r="AP1885" s="10"/>
      <c r="AQ1885" s="10"/>
      <c r="AR1885" s="10"/>
      <c r="AS1885" s="10"/>
      <c r="AU1885" s="2"/>
      <c r="AV1885" s="2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</row>
    <row r="1886" spans="1:73" customFormat="1" ht="12.75" hidden="1" customHeight="1" x14ac:dyDescent="0.2">
      <c r="A1886" s="1"/>
      <c r="B1886" s="1"/>
      <c r="C1886" s="1"/>
      <c r="D1886" s="7"/>
      <c r="E1886" s="7"/>
      <c r="F1886" s="6"/>
      <c r="G1886" s="7"/>
      <c r="H1886" s="2"/>
      <c r="I1886" s="2"/>
      <c r="J1886" s="2"/>
      <c r="K1886" s="2"/>
      <c r="L1886" s="178"/>
      <c r="M1886" s="2"/>
      <c r="N1886" s="7"/>
      <c r="P1886" s="7"/>
      <c r="R1886" s="2"/>
      <c r="S1886" s="2"/>
      <c r="T1886" s="2"/>
      <c r="U1886" s="2"/>
      <c r="V1886" s="2"/>
      <c r="X1886" s="38"/>
      <c r="Y1886" s="38"/>
      <c r="Z1886" s="38"/>
      <c r="AA1886" s="38"/>
      <c r="AB1886" s="38"/>
      <c r="AD1886" s="2"/>
      <c r="AE1886" s="2"/>
      <c r="AF1886" s="2"/>
      <c r="AG1886" s="2"/>
      <c r="AH1886" s="2"/>
      <c r="AJ1886" s="215"/>
      <c r="AK1886" s="215"/>
      <c r="AL1886" s="215"/>
      <c r="AM1886" s="215"/>
      <c r="AO1886" s="10"/>
      <c r="AP1886" s="10"/>
      <c r="AQ1886" s="10"/>
      <c r="AR1886" s="10"/>
      <c r="AS1886" s="10"/>
      <c r="AU1886" s="2"/>
      <c r="AV1886" s="2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</row>
    <row r="1887" spans="1:73" customFormat="1" ht="12.75" hidden="1" customHeight="1" x14ac:dyDescent="0.2">
      <c r="A1887" s="1"/>
      <c r="B1887" s="1"/>
      <c r="C1887" s="1"/>
      <c r="D1887" s="7"/>
      <c r="E1887" s="7"/>
      <c r="F1887" s="6"/>
      <c r="G1887" s="7"/>
      <c r="H1887" s="2"/>
      <c r="I1887" s="2"/>
      <c r="J1887" s="2"/>
      <c r="K1887" s="2"/>
      <c r="L1887" s="178"/>
      <c r="M1887" s="2"/>
      <c r="N1887" s="7"/>
      <c r="P1887" s="7"/>
      <c r="R1887" s="2"/>
      <c r="S1887" s="2"/>
      <c r="T1887" s="2"/>
      <c r="U1887" s="2"/>
      <c r="V1887" s="2"/>
      <c r="X1887" s="38"/>
      <c r="Y1887" s="38"/>
      <c r="Z1887" s="38"/>
      <c r="AA1887" s="38"/>
      <c r="AB1887" s="38"/>
      <c r="AD1887" s="2"/>
      <c r="AE1887" s="2"/>
      <c r="AF1887" s="2"/>
      <c r="AG1887" s="2"/>
      <c r="AH1887" s="2"/>
      <c r="AJ1887" s="215"/>
      <c r="AK1887" s="215"/>
      <c r="AL1887" s="215"/>
      <c r="AM1887" s="215"/>
      <c r="AO1887" s="10"/>
      <c r="AP1887" s="10"/>
      <c r="AQ1887" s="10"/>
      <c r="AR1887" s="10"/>
      <c r="AS1887" s="10"/>
      <c r="AU1887" s="2"/>
      <c r="AV1887" s="2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</row>
    <row r="1888" spans="1:73" customFormat="1" ht="12.75" hidden="1" customHeight="1" x14ac:dyDescent="0.2">
      <c r="A1888" s="1"/>
      <c r="B1888" s="1"/>
      <c r="C1888" s="1"/>
      <c r="D1888" s="7"/>
      <c r="E1888" s="7"/>
      <c r="F1888" s="6"/>
      <c r="G1888" s="7"/>
      <c r="H1888" s="2"/>
      <c r="I1888" s="2"/>
      <c r="J1888" s="2"/>
      <c r="K1888" s="2"/>
      <c r="L1888" s="178"/>
      <c r="M1888" s="2"/>
      <c r="N1888" s="7"/>
      <c r="P1888" s="7"/>
      <c r="R1888" s="2"/>
      <c r="S1888" s="2"/>
      <c r="T1888" s="2"/>
      <c r="U1888" s="2"/>
      <c r="V1888" s="2"/>
      <c r="X1888" s="38"/>
      <c r="Y1888" s="38"/>
      <c r="Z1888" s="38"/>
      <c r="AA1888" s="38"/>
      <c r="AB1888" s="38"/>
      <c r="AD1888" s="2"/>
      <c r="AE1888" s="2"/>
      <c r="AF1888" s="2"/>
      <c r="AG1888" s="2"/>
      <c r="AH1888" s="2"/>
      <c r="AJ1888" s="215"/>
      <c r="AK1888" s="215"/>
      <c r="AL1888" s="215"/>
      <c r="AM1888" s="215"/>
      <c r="AO1888" s="10"/>
      <c r="AP1888" s="10"/>
      <c r="AQ1888" s="10"/>
      <c r="AR1888" s="10"/>
      <c r="AS1888" s="10"/>
      <c r="AU1888" s="2"/>
      <c r="AV1888" s="2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</row>
    <row r="1889" spans="1:73" customFormat="1" ht="12.75" hidden="1" customHeight="1" x14ac:dyDescent="0.2">
      <c r="A1889" s="1"/>
      <c r="B1889" s="1"/>
      <c r="C1889" s="1"/>
      <c r="D1889" s="7"/>
      <c r="E1889" s="7"/>
      <c r="F1889" s="6"/>
      <c r="G1889" s="7"/>
      <c r="H1889" s="2"/>
      <c r="I1889" s="2"/>
      <c r="J1889" s="2"/>
      <c r="K1889" s="2"/>
      <c r="L1889" s="178"/>
      <c r="M1889" s="2"/>
      <c r="N1889" s="7"/>
      <c r="P1889" s="7"/>
      <c r="R1889" s="2"/>
      <c r="S1889" s="2"/>
      <c r="T1889" s="2"/>
      <c r="U1889" s="2"/>
      <c r="V1889" s="2"/>
      <c r="X1889" s="38"/>
      <c r="Y1889" s="38"/>
      <c r="Z1889" s="38"/>
      <c r="AA1889" s="38"/>
      <c r="AB1889" s="38"/>
      <c r="AD1889" s="2"/>
      <c r="AE1889" s="2"/>
      <c r="AF1889" s="2"/>
      <c r="AG1889" s="2"/>
      <c r="AH1889" s="2"/>
      <c r="AJ1889" s="215"/>
      <c r="AK1889" s="215"/>
      <c r="AL1889" s="215"/>
      <c r="AM1889" s="215"/>
      <c r="AO1889" s="10"/>
      <c r="AP1889" s="10"/>
      <c r="AQ1889" s="10"/>
      <c r="AR1889" s="10"/>
      <c r="AS1889" s="10"/>
      <c r="AU1889" s="2"/>
      <c r="AV1889" s="2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</row>
    <row r="1890" spans="1:73" customFormat="1" ht="12.75" hidden="1" customHeight="1" x14ac:dyDescent="0.2">
      <c r="A1890" s="1"/>
      <c r="B1890" s="1"/>
      <c r="C1890" s="1"/>
      <c r="D1890" s="7"/>
      <c r="E1890" s="7"/>
      <c r="F1890" s="6"/>
      <c r="G1890" s="7"/>
      <c r="H1890" s="2"/>
      <c r="I1890" s="2"/>
      <c r="J1890" s="2"/>
      <c r="K1890" s="2"/>
      <c r="L1890" s="178"/>
      <c r="M1890" s="2"/>
      <c r="N1890" s="7"/>
      <c r="P1890" s="7"/>
      <c r="R1890" s="2"/>
      <c r="S1890" s="2"/>
      <c r="T1890" s="2"/>
      <c r="U1890" s="2"/>
      <c r="V1890" s="2"/>
      <c r="X1890" s="38"/>
      <c r="Y1890" s="38"/>
      <c r="Z1890" s="38"/>
      <c r="AA1890" s="38"/>
      <c r="AB1890" s="38"/>
      <c r="AD1890" s="2"/>
      <c r="AE1890" s="2"/>
      <c r="AF1890" s="2"/>
      <c r="AG1890" s="2"/>
      <c r="AH1890" s="2"/>
      <c r="AJ1890" s="215"/>
      <c r="AK1890" s="215"/>
      <c r="AL1890" s="215"/>
      <c r="AM1890" s="215"/>
      <c r="AO1890" s="10"/>
      <c r="AP1890" s="10"/>
      <c r="AQ1890" s="10"/>
      <c r="AR1890" s="10"/>
      <c r="AS1890" s="10"/>
      <c r="AU1890" s="2"/>
      <c r="AV1890" s="2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</row>
    <row r="1891" spans="1:73" customFormat="1" ht="12.75" hidden="1" customHeight="1" x14ac:dyDescent="0.2">
      <c r="A1891" s="1"/>
      <c r="B1891" s="1"/>
      <c r="C1891" s="1"/>
      <c r="D1891" s="7"/>
      <c r="E1891" s="7"/>
      <c r="F1891" s="6"/>
      <c r="G1891" s="7"/>
      <c r="H1891" s="2"/>
      <c r="I1891" s="2"/>
      <c r="J1891" s="2"/>
      <c r="K1891" s="2"/>
      <c r="L1891" s="178"/>
      <c r="M1891" s="2"/>
      <c r="N1891" s="7"/>
      <c r="P1891" s="7"/>
      <c r="R1891" s="2"/>
      <c r="S1891" s="2"/>
      <c r="T1891" s="2"/>
      <c r="U1891" s="2"/>
      <c r="V1891" s="2"/>
      <c r="X1891" s="38"/>
      <c r="Y1891" s="38"/>
      <c r="Z1891" s="38"/>
      <c r="AA1891" s="38"/>
      <c r="AB1891" s="38"/>
      <c r="AD1891" s="2"/>
      <c r="AE1891" s="2"/>
      <c r="AF1891" s="2"/>
      <c r="AG1891" s="2"/>
      <c r="AH1891" s="2"/>
      <c r="AJ1891" s="215"/>
      <c r="AK1891" s="215"/>
      <c r="AL1891" s="215"/>
      <c r="AM1891" s="215"/>
      <c r="AO1891" s="10"/>
      <c r="AP1891" s="10"/>
      <c r="AQ1891" s="10"/>
      <c r="AR1891" s="10"/>
      <c r="AS1891" s="10"/>
      <c r="AU1891" s="2"/>
      <c r="AV1891" s="2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</row>
    <row r="1892" spans="1:73" customFormat="1" ht="12.75" hidden="1" customHeight="1" x14ac:dyDescent="0.2">
      <c r="A1892" s="1"/>
      <c r="B1892" s="1"/>
      <c r="C1892" s="1"/>
      <c r="D1892" s="7"/>
      <c r="E1892" s="7"/>
      <c r="F1892" s="6"/>
      <c r="G1892" s="7"/>
      <c r="H1892" s="2"/>
      <c r="I1892" s="2"/>
      <c r="J1892" s="2"/>
      <c r="K1892" s="2"/>
      <c r="L1892" s="178"/>
      <c r="M1892" s="2"/>
      <c r="N1892" s="7"/>
      <c r="P1892" s="7"/>
      <c r="R1892" s="2"/>
      <c r="S1892" s="2"/>
      <c r="T1892" s="2"/>
      <c r="U1892" s="2"/>
      <c r="V1892" s="2"/>
      <c r="X1892" s="38"/>
      <c r="Y1892" s="38"/>
      <c r="Z1892" s="38"/>
      <c r="AA1892" s="38"/>
      <c r="AB1892" s="38"/>
      <c r="AD1892" s="2"/>
      <c r="AE1892" s="2"/>
      <c r="AF1892" s="2"/>
      <c r="AG1892" s="2"/>
      <c r="AH1892" s="2"/>
      <c r="AJ1892" s="215"/>
      <c r="AK1892" s="215"/>
      <c r="AL1892" s="215"/>
      <c r="AM1892" s="215"/>
      <c r="AO1892" s="10"/>
      <c r="AP1892" s="10"/>
      <c r="AQ1892" s="10"/>
      <c r="AR1892" s="10"/>
      <c r="AS1892" s="10"/>
      <c r="AU1892" s="2"/>
      <c r="AV1892" s="2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</row>
    <row r="1893" spans="1:73" customFormat="1" ht="12.75" hidden="1" customHeight="1" x14ac:dyDescent="0.2">
      <c r="A1893" s="1"/>
      <c r="B1893" s="1"/>
      <c r="C1893" s="1"/>
      <c r="D1893" s="7"/>
      <c r="E1893" s="7"/>
      <c r="F1893" s="6"/>
      <c r="G1893" s="7"/>
      <c r="H1893" s="2"/>
      <c r="I1893" s="2"/>
      <c r="J1893" s="2"/>
      <c r="K1893" s="2"/>
      <c r="L1893" s="178"/>
      <c r="M1893" s="2"/>
      <c r="N1893" s="7"/>
      <c r="P1893" s="7"/>
      <c r="R1893" s="2"/>
      <c r="S1893" s="2"/>
      <c r="T1893" s="2"/>
      <c r="U1893" s="2"/>
      <c r="V1893" s="2"/>
      <c r="X1893" s="38"/>
      <c r="Y1893" s="38"/>
      <c r="Z1893" s="38"/>
      <c r="AA1893" s="38"/>
      <c r="AB1893" s="38"/>
      <c r="AD1893" s="2"/>
      <c r="AE1893" s="2"/>
      <c r="AF1893" s="2"/>
      <c r="AG1893" s="2"/>
      <c r="AH1893" s="2"/>
      <c r="AJ1893" s="215"/>
      <c r="AK1893" s="215"/>
      <c r="AL1893" s="215"/>
      <c r="AM1893" s="215"/>
      <c r="AO1893" s="10"/>
      <c r="AP1893" s="10"/>
      <c r="AQ1893" s="10"/>
      <c r="AR1893" s="10"/>
      <c r="AS1893" s="10"/>
      <c r="AU1893" s="2"/>
      <c r="AV1893" s="2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</row>
    <row r="1894" spans="1:73" customFormat="1" ht="12.75" hidden="1" customHeight="1" x14ac:dyDescent="0.2">
      <c r="A1894" s="1"/>
      <c r="B1894" s="1"/>
      <c r="C1894" s="1"/>
      <c r="D1894" s="7"/>
      <c r="E1894" s="7"/>
      <c r="F1894" s="6"/>
      <c r="G1894" s="7"/>
      <c r="H1894" s="2"/>
      <c r="I1894" s="2"/>
      <c r="J1894" s="2"/>
      <c r="K1894" s="2"/>
      <c r="L1894" s="178"/>
      <c r="M1894" s="2"/>
      <c r="N1894" s="7"/>
      <c r="P1894" s="7"/>
      <c r="R1894" s="2"/>
      <c r="S1894" s="2"/>
      <c r="T1894" s="2"/>
      <c r="U1894" s="2"/>
      <c r="V1894" s="2"/>
      <c r="X1894" s="38"/>
      <c r="Y1894" s="38"/>
      <c r="Z1894" s="38"/>
      <c r="AA1894" s="38"/>
      <c r="AB1894" s="38"/>
      <c r="AD1894" s="2"/>
      <c r="AE1894" s="2"/>
      <c r="AF1894" s="2"/>
      <c r="AG1894" s="2"/>
      <c r="AH1894" s="2"/>
      <c r="AJ1894" s="215"/>
      <c r="AK1894" s="215"/>
      <c r="AL1894" s="215"/>
      <c r="AM1894" s="215"/>
      <c r="AO1894" s="10"/>
      <c r="AP1894" s="10"/>
      <c r="AQ1894" s="10"/>
      <c r="AR1894" s="10"/>
      <c r="AS1894" s="10"/>
      <c r="AU1894" s="2"/>
      <c r="AV1894" s="2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</row>
    <row r="1895" spans="1:73" customFormat="1" ht="12.75" hidden="1" customHeight="1" x14ac:dyDescent="0.2">
      <c r="A1895" s="1"/>
      <c r="B1895" s="1"/>
      <c r="C1895" s="1"/>
      <c r="D1895" s="7"/>
      <c r="E1895" s="7"/>
      <c r="F1895" s="6"/>
      <c r="G1895" s="7"/>
      <c r="H1895" s="2"/>
      <c r="I1895" s="2"/>
      <c r="J1895" s="2"/>
      <c r="K1895" s="2"/>
      <c r="L1895" s="178"/>
      <c r="M1895" s="2"/>
      <c r="N1895" s="7"/>
      <c r="P1895" s="7"/>
      <c r="R1895" s="2"/>
      <c r="S1895" s="2"/>
      <c r="T1895" s="2"/>
      <c r="U1895" s="2"/>
      <c r="V1895" s="2"/>
      <c r="X1895" s="38"/>
      <c r="Y1895" s="38"/>
      <c r="Z1895" s="38"/>
      <c r="AA1895" s="38"/>
      <c r="AB1895" s="38"/>
      <c r="AD1895" s="2"/>
      <c r="AE1895" s="2"/>
      <c r="AF1895" s="2"/>
      <c r="AG1895" s="2"/>
      <c r="AH1895" s="2"/>
      <c r="AJ1895" s="215"/>
      <c r="AK1895" s="215"/>
      <c r="AL1895" s="215"/>
      <c r="AM1895" s="215"/>
      <c r="AO1895" s="10"/>
      <c r="AP1895" s="10"/>
      <c r="AQ1895" s="10"/>
      <c r="AR1895" s="10"/>
      <c r="AS1895" s="10"/>
      <c r="AU1895" s="2"/>
      <c r="AV1895" s="2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</row>
    <row r="1896" spans="1:73" customFormat="1" ht="12.75" hidden="1" customHeight="1" x14ac:dyDescent="0.2">
      <c r="A1896" s="1"/>
      <c r="B1896" s="1"/>
      <c r="C1896" s="1"/>
      <c r="D1896" s="7"/>
      <c r="E1896" s="7"/>
      <c r="F1896" s="6"/>
      <c r="G1896" s="7"/>
      <c r="H1896" s="2"/>
      <c r="I1896" s="2"/>
      <c r="J1896" s="2"/>
      <c r="K1896" s="2"/>
      <c r="L1896" s="178"/>
      <c r="M1896" s="2"/>
      <c r="N1896" s="7"/>
      <c r="P1896" s="7"/>
      <c r="R1896" s="2"/>
      <c r="S1896" s="2"/>
      <c r="T1896" s="2"/>
      <c r="U1896" s="2"/>
      <c r="V1896" s="2"/>
      <c r="X1896" s="38"/>
      <c r="Y1896" s="38"/>
      <c r="Z1896" s="38"/>
      <c r="AA1896" s="38"/>
      <c r="AB1896" s="38"/>
      <c r="AD1896" s="2"/>
      <c r="AE1896" s="2"/>
      <c r="AF1896" s="2"/>
      <c r="AG1896" s="2"/>
      <c r="AH1896" s="2"/>
      <c r="AJ1896" s="215"/>
      <c r="AK1896" s="215"/>
      <c r="AL1896" s="215"/>
      <c r="AM1896" s="215"/>
      <c r="AO1896" s="10"/>
      <c r="AP1896" s="10"/>
      <c r="AQ1896" s="10"/>
      <c r="AR1896" s="10"/>
      <c r="AS1896" s="10"/>
      <c r="AU1896" s="2"/>
      <c r="AV1896" s="2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</row>
    <row r="1897" spans="1:73" customFormat="1" ht="12.75" hidden="1" customHeight="1" x14ac:dyDescent="0.2">
      <c r="A1897" s="1"/>
      <c r="B1897" s="1"/>
      <c r="C1897" s="1"/>
      <c r="D1897" s="7"/>
      <c r="E1897" s="7"/>
      <c r="F1897" s="6"/>
      <c r="G1897" s="7"/>
      <c r="H1897" s="2"/>
      <c r="I1897" s="2"/>
      <c r="J1897" s="2"/>
      <c r="K1897" s="2"/>
      <c r="L1897" s="178"/>
      <c r="M1897" s="2"/>
      <c r="N1897" s="7"/>
      <c r="P1897" s="7"/>
      <c r="R1897" s="2"/>
      <c r="S1897" s="2"/>
      <c r="T1897" s="2"/>
      <c r="U1897" s="2"/>
      <c r="V1897" s="2"/>
      <c r="X1897" s="38"/>
      <c r="Y1897" s="38"/>
      <c r="Z1897" s="38"/>
      <c r="AA1897" s="38"/>
      <c r="AB1897" s="38"/>
      <c r="AD1897" s="2"/>
      <c r="AE1897" s="2"/>
      <c r="AF1897" s="2"/>
      <c r="AG1897" s="2"/>
      <c r="AH1897" s="2"/>
      <c r="AJ1897" s="215"/>
      <c r="AK1897" s="215"/>
      <c r="AL1897" s="215"/>
      <c r="AM1897" s="215"/>
      <c r="AO1897" s="10"/>
      <c r="AP1897" s="10"/>
      <c r="AQ1897" s="10"/>
      <c r="AR1897" s="10"/>
      <c r="AS1897" s="10"/>
      <c r="AU1897" s="2"/>
      <c r="AV1897" s="2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</row>
    <row r="1898" spans="1:73" customFormat="1" ht="12.75" hidden="1" customHeight="1" x14ac:dyDescent="0.2">
      <c r="A1898" s="1"/>
      <c r="B1898" s="1"/>
      <c r="C1898" s="1"/>
      <c r="D1898" s="7"/>
      <c r="E1898" s="7"/>
      <c r="F1898" s="6"/>
      <c r="G1898" s="7"/>
      <c r="H1898" s="2"/>
      <c r="I1898" s="2"/>
      <c r="J1898" s="2"/>
      <c r="K1898" s="2"/>
      <c r="L1898" s="178"/>
      <c r="M1898" s="2"/>
      <c r="N1898" s="7"/>
      <c r="P1898" s="7"/>
      <c r="R1898" s="2"/>
      <c r="S1898" s="2"/>
      <c r="T1898" s="2"/>
      <c r="U1898" s="2"/>
      <c r="V1898" s="2"/>
      <c r="X1898" s="38"/>
      <c r="Y1898" s="38"/>
      <c r="Z1898" s="38"/>
      <c r="AA1898" s="38"/>
      <c r="AB1898" s="38"/>
      <c r="AD1898" s="2"/>
      <c r="AE1898" s="2"/>
      <c r="AF1898" s="2"/>
      <c r="AG1898" s="2"/>
      <c r="AH1898" s="2"/>
      <c r="AJ1898" s="215"/>
      <c r="AK1898" s="215"/>
      <c r="AL1898" s="215"/>
      <c r="AM1898" s="215"/>
      <c r="AO1898" s="10"/>
      <c r="AP1898" s="10"/>
      <c r="AQ1898" s="10"/>
      <c r="AR1898" s="10"/>
      <c r="AS1898" s="10"/>
      <c r="AU1898" s="2"/>
      <c r="AV1898" s="2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</row>
    <row r="1899" spans="1:73" customFormat="1" ht="12.75" hidden="1" customHeight="1" x14ac:dyDescent="0.2">
      <c r="A1899" s="1"/>
      <c r="B1899" s="1"/>
      <c r="C1899" s="1"/>
      <c r="D1899" s="7"/>
      <c r="E1899" s="7"/>
      <c r="F1899" s="6"/>
      <c r="G1899" s="7"/>
      <c r="H1899" s="2"/>
      <c r="I1899" s="2"/>
      <c r="J1899" s="2"/>
      <c r="K1899" s="2"/>
      <c r="L1899" s="178"/>
      <c r="M1899" s="2"/>
      <c r="N1899" s="7"/>
      <c r="P1899" s="7"/>
      <c r="R1899" s="2"/>
      <c r="S1899" s="2"/>
      <c r="T1899" s="2"/>
      <c r="U1899" s="2"/>
      <c r="V1899" s="2"/>
      <c r="X1899" s="38"/>
      <c r="Y1899" s="38"/>
      <c r="Z1899" s="38"/>
      <c r="AA1899" s="38"/>
      <c r="AB1899" s="38"/>
      <c r="AD1899" s="2"/>
      <c r="AE1899" s="2"/>
      <c r="AF1899" s="2"/>
      <c r="AG1899" s="2"/>
      <c r="AH1899" s="2"/>
      <c r="AJ1899" s="215"/>
      <c r="AK1899" s="215"/>
      <c r="AL1899" s="215"/>
      <c r="AM1899" s="215"/>
      <c r="AO1899" s="10"/>
      <c r="AP1899" s="10"/>
      <c r="AQ1899" s="10"/>
      <c r="AR1899" s="10"/>
      <c r="AS1899" s="10"/>
      <c r="AU1899" s="2"/>
      <c r="AV1899" s="2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</row>
    <row r="1900" spans="1:73" customFormat="1" ht="12.75" hidden="1" customHeight="1" x14ac:dyDescent="0.2">
      <c r="A1900" s="1"/>
      <c r="B1900" s="1"/>
      <c r="C1900" s="1"/>
      <c r="D1900" s="7"/>
      <c r="E1900" s="7"/>
      <c r="F1900" s="6"/>
      <c r="G1900" s="7"/>
      <c r="H1900" s="2"/>
      <c r="I1900" s="2"/>
      <c r="J1900" s="2"/>
      <c r="K1900" s="2"/>
      <c r="L1900" s="178"/>
      <c r="M1900" s="2"/>
      <c r="N1900" s="7"/>
      <c r="P1900" s="7"/>
      <c r="R1900" s="2"/>
      <c r="S1900" s="2"/>
      <c r="T1900" s="2"/>
      <c r="U1900" s="2"/>
      <c r="V1900" s="2"/>
      <c r="X1900" s="38"/>
      <c r="Y1900" s="38"/>
      <c r="Z1900" s="38"/>
      <c r="AA1900" s="38"/>
      <c r="AB1900" s="38"/>
      <c r="AD1900" s="2"/>
      <c r="AE1900" s="2"/>
      <c r="AF1900" s="2"/>
      <c r="AG1900" s="2"/>
      <c r="AH1900" s="2"/>
      <c r="AJ1900" s="215"/>
      <c r="AK1900" s="215"/>
      <c r="AL1900" s="215"/>
      <c r="AM1900" s="215"/>
      <c r="AO1900" s="10"/>
      <c r="AP1900" s="10"/>
      <c r="AQ1900" s="10"/>
      <c r="AR1900" s="10"/>
      <c r="AS1900" s="10"/>
      <c r="AU1900" s="2"/>
      <c r="AV1900" s="2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</row>
    <row r="1901" spans="1:73" customFormat="1" ht="12.75" hidden="1" customHeight="1" x14ac:dyDescent="0.2">
      <c r="A1901" s="1"/>
      <c r="B1901" s="1"/>
      <c r="C1901" s="1"/>
      <c r="D1901" s="7"/>
      <c r="E1901" s="7"/>
      <c r="F1901" s="6"/>
      <c r="G1901" s="7"/>
      <c r="H1901" s="2"/>
      <c r="I1901" s="2"/>
      <c r="J1901" s="2"/>
      <c r="K1901" s="2"/>
      <c r="L1901" s="178"/>
      <c r="M1901" s="2"/>
      <c r="N1901" s="7"/>
      <c r="P1901" s="7"/>
      <c r="R1901" s="2"/>
      <c r="S1901" s="2"/>
      <c r="T1901" s="2"/>
      <c r="U1901" s="2"/>
      <c r="V1901" s="2"/>
      <c r="X1901" s="38"/>
      <c r="Y1901" s="38"/>
      <c r="Z1901" s="38"/>
      <c r="AA1901" s="38"/>
      <c r="AB1901" s="38"/>
      <c r="AD1901" s="2"/>
      <c r="AE1901" s="2"/>
      <c r="AF1901" s="2"/>
      <c r="AG1901" s="2"/>
      <c r="AH1901" s="2"/>
      <c r="AJ1901" s="215"/>
      <c r="AK1901" s="215"/>
      <c r="AL1901" s="215"/>
      <c r="AM1901" s="215"/>
      <c r="AO1901" s="10"/>
      <c r="AP1901" s="10"/>
      <c r="AQ1901" s="10"/>
      <c r="AR1901" s="10"/>
      <c r="AS1901" s="10"/>
      <c r="AU1901" s="2"/>
      <c r="AV1901" s="2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</row>
    <row r="1902" spans="1:73" customFormat="1" ht="12.75" hidden="1" customHeight="1" x14ac:dyDescent="0.2">
      <c r="A1902" s="1"/>
      <c r="B1902" s="1"/>
      <c r="C1902" s="1"/>
      <c r="D1902" s="7"/>
      <c r="E1902" s="7"/>
      <c r="F1902" s="6"/>
      <c r="G1902" s="7"/>
      <c r="H1902" s="2"/>
      <c r="I1902" s="2"/>
      <c r="J1902" s="2"/>
      <c r="K1902" s="2"/>
      <c r="L1902" s="178"/>
      <c r="M1902" s="2"/>
      <c r="N1902" s="7"/>
      <c r="P1902" s="7"/>
      <c r="R1902" s="2"/>
      <c r="S1902" s="2"/>
      <c r="T1902" s="2"/>
      <c r="U1902" s="2"/>
      <c r="V1902" s="2"/>
      <c r="X1902" s="38"/>
      <c r="Y1902" s="38"/>
      <c r="Z1902" s="38"/>
      <c r="AA1902" s="38"/>
      <c r="AB1902" s="38"/>
      <c r="AD1902" s="2"/>
      <c r="AE1902" s="2"/>
      <c r="AF1902" s="2"/>
      <c r="AG1902" s="2"/>
      <c r="AH1902" s="2"/>
      <c r="AJ1902" s="215"/>
      <c r="AK1902" s="215"/>
      <c r="AL1902" s="215"/>
      <c r="AM1902" s="215"/>
      <c r="AO1902" s="10"/>
      <c r="AP1902" s="10"/>
      <c r="AQ1902" s="10"/>
      <c r="AR1902" s="10"/>
      <c r="AS1902" s="10"/>
      <c r="AU1902" s="2"/>
      <c r="AV1902" s="2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</row>
    <row r="1903" spans="1:73" customFormat="1" ht="12.75" hidden="1" customHeight="1" x14ac:dyDescent="0.2">
      <c r="A1903" s="1"/>
      <c r="B1903" s="1"/>
      <c r="C1903" s="1"/>
      <c r="D1903" s="7"/>
      <c r="E1903" s="7"/>
      <c r="F1903" s="6"/>
      <c r="G1903" s="7"/>
      <c r="H1903" s="2"/>
      <c r="I1903" s="2"/>
      <c r="J1903" s="2"/>
      <c r="K1903" s="2"/>
      <c r="L1903" s="178"/>
      <c r="M1903" s="2"/>
      <c r="N1903" s="7"/>
      <c r="P1903" s="7"/>
      <c r="R1903" s="2"/>
      <c r="S1903" s="2"/>
      <c r="T1903" s="2"/>
      <c r="U1903" s="2"/>
      <c r="V1903" s="2"/>
      <c r="X1903" s="38"/>
      <c r="Y1903" s="38"/>
      <c r="Z1903" s="38"/>
      <c r="AA1903" s="38"/>
      <c r="AB1903" s="38"/>
      <c r="AD1903" s="2"/>
      <c r="AE1903" s="2"/>
      <c r="AF1903" s="2"/>
      <c r="AG1903" s="2"/>
      <c r="AH1903" s="2"/>
      <c r="AJ1903" s="215"/>
      <c r="AK1903" s="215"/>
      <c r="AL1903" s="215"/>
      <c r="AM1903" s="215"/>
      <c r="AO1903" s="10"/>
      <c r="AP1903" s="10"/>
      <c r="AQ1903" s="10"/>
      <c r="AR1903" s="10"/>
      <c r="AS1903" s="10"/>
      <c r="AU1903" s="2"/>
      <c r="AV1903" s="2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</row>
    <row r="1904" spans="1:73" customFormat="1" ht="12.75" hidden="1" customHeight="1" x14ac:dyDescent="0.2">
      <c r="A1904" s="1"/>
      <c r="B1904" s="1"/>
      <c r="C1904" s="1"/>
      <c r="D1904" s="7"/>
      <c r="E1904" s="7"/>
      <c r="F1904" s="6"/>
      <c r="G1904" s="7"/>
      <c r="H1904" s="2"/>
      <c r="I1904" s="2"/>
      <c r="J1904" s="2"/>
      <c r="K1904" s="2"/>
      <c r="L1904" s="178"/>
      <c r="M1904" s="2"/>
      <c r="N1904" s="7"/>
      <c r="P1904" s="7"/>
      <c r="R1904" s="2"/>
      <c r="S1904" s="2"/>
      <c r="T1904" s="2"/>
      <c r="U1904" s="2"/>
      <c r="V1904" s="2"/>
      <c r="X1904" s="38"/>
      <c r="Y1904" s="38"/>
      <c r="Z1904" s="38"/>
      <c r="AA1904" s="38"/>
      <c r="AB1904" s="38"/>
      <c r="AD1904" s="2"/>
      <c r="AE1904" s="2"/>
      <c r="AF1904" s="2"/>
      <c r="AG1904" s="2"/>
      <c r="AH1904" s="2"/>
      <c r="AJ1904" s="215"/>
      <c r="AK1904" s="215"/>
      <c r="AL1904" s="215"/>
      <c r="AM1904" s="215"/>
      <c r="AO1904" s="10"/>
      <c r="AP1904" s="10"/>
      <c r="AQ1904" s="10"/>
      <c r="AR1904" s="10"/>
      <c r="AS1904" s="10"/>
      <c r="AU1904" s="2"/>
      <c r="AV1904" s="2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</row>
    <row r="1905" spans="1:73" customFormat="1" ht="12.75" hidden="1" customHeight="1" x14ac:dyDescent="0.2">
      <c r="A1905" s="1"/>
      <c r="B1905" s="1"/>
      <c r="C1905" s="1"/>
      <c r="D1905" s="7"/>
      <c r="E1905" s="7"/>
      <c r="F1905" s="6"/>
      <c r="G1905" s="7"/>
      <c r="H1905" s="2"/>
      <c r="I1905" s="2"/>
      <c r="J1905" s="2"/>
      <c r="K1905" s="2"/>
      <c r="L1905" s="178"/>
      <c r="M1905" s="2"/>
      <c r="N1905" s="7"/>
      <c r="P1905" s="7"/>
      <c r="R1905" s="2"/>
      <c r="S1905" s="2"/>
      <c r="T1905" s="2"/>
      <c r="U1905" s="2"/>
      <c r="V1905" s="2"/>
      <c r="X1905" s="38"/>
      <c r="Y1905" s="38"/>
      <c r="Z1905" s="38"/>
      <c r="AA1905" s="38"/>
      <c r="AB1905" s="38"/>
      <c r="AD1905" s="2"/>
      <c r="AE1905" s="2"/>
      <c r="AF1905" s="2"/>
      <c r="AG1905" s="2"/>
      <c r="AH1905" s="2"/>
      <c r="AJ1905" s="215"/>
      <c r="AK1905" s="215"/>
      <c r="AL1905" s="215"/>
      <c r="AM1905" s="215"/>
      <c r="AO1905" s="10"/>
      <c r="AP1905" s="10"/>
      <c r="AQ1905" s="10"/>
      <c r="AR1905" s="10"/>
      <c r="AS1905" s="10"/>
      <c r="AU1905" s="2"/>
      <c r="AV1905" s="2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</row>
    <row r="1906" spans="1:73" customFormat="1" ht="12.75" hidden="1" customHeight="1" x14ac:dyDescent="0.2">
      <c r="A1906" s="1"/>
      <c r="B1906" s="1"/>
      <c r="C1906" s="1"/>
      <c r="D1906" s="7"/>
      <c r="E1906" s="7"/>
      <c r="F1906" s="6"/>
      <c r="G1906" s="7"/>
      <c r="H1906" s="2"/>
      <c r="I1906" s="2"/>
      <c r="J1906" s="2"/>
      <c r="K1906" s="2"/>
      <c r="L1906" s="178"/>
      <c r="M1906" s="2"/>
      <c r="N1906" s="7"/>
      <c r="P1906" s="7"/>
      <c r="R1906" s="2"/>
      <c r="S1906" s="2"/>
      <c r="T1906" s="2"/>
      <c r="U1906" s="2"/>
      <c r="V1906" s="2"/>
      <c r="X1906" s="38"/>
      <c r="Y1906" s="38"/>
      <c r="Z1906" s="38"/>
      <c r="AA1906" s="38"/>
      <c r="AB1906" s="38"/>
      <c r="AD1906" s="2"/>
      <c r="AE1906" s="2"/>
      <c r="AF1906" s="2"/>
      <c r="AG1906" s="2"/>
      <c r="AH1906" s="2"/>
      <c r="AJ1906" s="215"/>
      <c r="AK1906" s="215"/>
      <c r="AL1906" s="215"/>
      <c r="AM1906" s="215"/>
      <c r="AO1906" s="10"/>
      <c r="AP1906" s="10"/>
      <c r="AQ1906" s="10"/>
      <c r="AR1906" s="10"/>
      <c r="AS1906" s="10"/>
      <c r="AU1906" s="2"/>
      <c r="AV1906" s="2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</row>
    <row r="1907" spans="1:73" customFormat="1" ht="12.75" hidden="1" customHeight="1" x14ac:dyDescent="0.2">
      <c r="A1907" s="1"/>
      <c r="B1907" s="1"/>
      <c r="C1907" s="1"/>
      <c r="D1907" s="7"/>
      <c r="E1907" s="7"/>
      <c r="F1907" s="6"/>
      <c r="G1907" s="7"/>
      <c r="H1907" s="2"/>
      <c r="I1907" s="2"/>
      <c r="J1907" s="2"/>
      <c r="K1907" s="2"/>
      <c r="L1907" s="178"/>
      <c r="M1907" s="2"/>
      <c r="N1907" s="7"/>
      <c r="P1907" s="7"/>
      <c r="R1907" s="2"/>
      <c r="S1907" s="2"/>
      <c r="T1907" s="2"/>
      <c r="U1907" s="2"/>
      <c r="V1907" s="2"/>
      <c r="X1907" s="38"/>
      <c r="Y1907" s="38"/>
      <c r="Z1907" s="38"/>
      <c r="AA1907" s="38"/>
      <c r="AB1907" s="38"/>
      <c r="AD1907" s="2"/>
      <c r="AE1907" s="2"/>
      <c r="AF1907" s="2"/>
      <c r="AG1907" s="2"/>
      <c r="AH1907" s="2"/>
      <c r="AJ1907" s="215"/>
      <c r="AK1907" s="215"/>
      <c r="AL1907" s="215"/>
      <c r="AM1907" s="215"/>
      <c r="AO1907" s="10"/>
      <c r="AP1907" s="10"/>
      <c r="AQ1907" s="10"/>
      <c r="AR1907" s="10"/>
      <c r="AS1907" s="10"/>
      <c r="AU1907" s="2"/>
      <c r="AV1907" s="2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</row>
    <row r="1908" spans="1:73" customFormat="1" ht="12.75" hidden="1" customHeight="1" x14ac:dyDescent="0.2">
      <c r="A1908" s="1"/>
      <c r="B1908" s="1"/>
      <c r="C1908" s="1"/>
      <c r="D1908" s="7"/>
      <c r="E1908" s="7"/>
      <c r="F1908" s="6"/>
      <c r="G1908" s="7"/>
      <c r="H1908" s="2"/>
      <c r="I1908" s="2"/>
      <c r="J1908" s="2"/>
      <c r="K1908" s="2"/>
      <c r="L1908" s="178"/>
      <c r="M1908" s="2"/>
      <c r="N1908" s="7"/>
      <c r="P1908" s="7"/>
      <c r="R1908" s="2"/>
      <c r="S1908" s="2"/>
      <c r="T1908" s="2"/>
      <c r="U1908" s="2"/>
      <c r="V1908" s="2"/>
      <c r="X1908" s="38"/>
      <c r="Y1908" s="38"/>
      <c r="Z1908" s="38"/>
      <c r="AA1908" s="38"/>
      <c r="AB1908" s="38"/>
      <c r="AD1908" s="2"/>
      <c r="AE1908" s="2"/>
      <c r="AF1908" s="2"/>
      <c r="AG1908" s="2"/>
      <c r="AH1908" s="2"/>
      <c r="AJ1908" s="215"/>
      <c r="AK1908" s="215"/>
      <c r="AL1908" s="215"/>
      <c r="AM1908" s="215"/>
      <c r="AO1908" s="10"/>
      <c r="AP1908" s="10"/>
      <c r="AQ1908" s="10"/>
      <c r="AR1908" s="10"/>
      <c r="AS1908" s="10"/>
      <c r="AU1908" s="2"/>
      <c r="AV1908" s="2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</row>
    <row r="1909" spans="1:73" customFormat="1" ht="12.75" hidden="1" customHeight="1" x14ac:dyDescent="0.2">
      <c r="A1909" s="1"/>
      <c r="B1909" s="1"/>
      <c r="C1909" s="1"/>
      <c r="D1909" s="7"/>
      <c r="E1909" s="7"/>
      <c r="F1909" s="6"/>
      <c r="G1909" s="7"/>
      <c r="H1909" s="2"/>
      <c r="I1909" s="2"/>
      <c r="J1909" s="2"/>
      <c r="K1909" s="2"/>
      <c r="L1909" s="178"/>
      <c r="M1909" s="2"/>
      <c r="N1909" s="7"/>
      <c r="P1909" s="7"/>
      <c r="R1909" s="2"/>
      <c r="S1909" s="2"/>
      <c r="T1909" s="2"/>
      <c r="U1909" s="2"/>
      <c r="V1909" s="2"/>
      <c r="X1909" s="38"/>
      <c r="Y1909" s="38"/>
      <c r="Z1909" s="38"/>
      <c r="AA1909" s="38"/>
      <c r="AB1909" s="38"/>
      <c r="AD1909" s="2"/>
      <c r="AE1909" s="2"/>
      <c r="AF1909" s="2"/>
      <c r="AG1909" s="2"/>
      <c r="AH1909" s="2"/>
      <c r="AJ1909" s="215"/>
      <c r="AK1909" s="215"/>
      <c r="AL1909" s="215"/>
      <c r="AM1909" s="215"/>
      <c r="AO1909" s="10"/>
      <c r="AP1909" s="10"/>
      <c r="AQ1909" s="10"/>
      <c r="AR1909" s="10"/>
      <c r="AS1909" s="10"/>
      <c r="AU1909" s="2"/>
      <c r="AV1909" s="2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</row>
    <row r="1910" spans="1:73" customFormat="1" ht="12.75" hidden="1" customHeight="1" x14ac:dyDescent="0.2">
      <c r="A1910" s="1"/>
      <c r="B1910" s="1"/>
      <c r="C1910" s="1"/>
      <c r="D1910" s="7"/>
      <c r="E1910" s="7"/>
      <c r="F1910" s="6"/>
      <c r="G1910" s="7"/>
      <c r="H1910" s="2"/>
      <c r="I1910" s="2"/>
      <c r="J1910" s="2"/>
      <c r="K1910" s="2"/>
      <c r="L1910" s="178"/>
      <c r="M1910" s="2"/>
      <c r="N1910" s="7"/>
      <c r="P1910" s="7"/>
      <c r="R1910" s="2"/>
      <c r="S1910" s="2"/>
      <c r="T1910" s="2"/>
      <c r="U1910" s="2"/>
      <c r="V1910" s="2"/>
      <c r="X1910" s="38"/>
      <c r="Y1910" s="38"/>
      <c r="Z1910" s="38"/>
      <c r="AA1910" s="38"/>
      <c r="AB1910" s="38"/>
      <c r="AD1910" s="2"/>
      <c r="AE1910" s="2"/>
      <c r="AF1910" s="2"/>
      <c r="AG1910" s="2"/>
      <c r="AH1910" s="2"/>
      <c r="AJ1910" s="215"/>
      <c r="AK1910" s="215"/>
      <c r="AL1910" s="215"/>
      <c r="AM1910" s="215"/>
      <c r="AO1910" s="10"/>
      <c r="AP1910" s="10"/>
      <c r="AQ1910" s="10"/>
      <c r="AR1910" s="10"/>
      <c r="AS1910" s="10"/>
      <c r="AU1910" s="2"/>
      <c r="AV1910" s="2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</row>
    <row r="1911" spans="1:73" customFormat="1" ht="12.75" hidden="1" customHeight="1" x14ac:dyDescent="0.2">
      <c r="A1911" s="1"/>
      <c r="B1911" s="1"/>
      <c r="C1911" s="1"/>
      <c r="D1911" s="7"/>
      <c r="E1911" s="7"/>
      <c r="F1911" s="6"/>
      <c r="G1911" s="7"/>
      <c r="H1911" s="2"/>
      <c r="I1911" s="2"/>
      <c r="J1911" s="2"/>
      <c r="K1911" s="2"/>
      <c r="L1911" s="178"/>
      <c r="M1911" s="2"/>
      <c r="N1911" s="7"/>
      <c r="P1911" s="7"/>
      <c r="R1911" s="2"/>
      <c r="S1911" s="2"/>
      <c r="T1911" s="2"/>
      <c r="U1911" s="2"/>
      <c r="V1911" s="2"/>
      <c r="X1911" s="38"/>
      <c r="Y1911" s="38"/>
      <c r="Z1911" s="38"/>
      <c r="AA1911" s="38"/>
      <c r="AB1911" s="38"/>
      <c r="AD1911" s="2"/>
      <c r="AE1911" s="2"/>
      <c r="AF1911" s="2"/>
      <c r="AG1911" s="2"/>
      <c r="AH1911" s="2"/>
      <c r="AJ1911" s="215"/>
      <c r="AK1911" s="215"/>
      <c r="AL1911" s="215"/>
      <c r="AM1911" s="215"/>
      <c r="AO1911" s="10"/>
      <c r="AP1911" s="10"/>
      <c r="AQ1911" s="10"/>
      <c r="AR1911" s="10"/>
      <c r="AS1911" s="10"/>
      <c r="AU1911" s="2"/>
      <c r="AV1911" s="2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</row>
    <row r="1912" spans="1:73" customFormat="1" ht="12.75" hidden="1" customHeight="1" x14ac:dyDescent="0.2">
      <c r="A1912" s="1"/>
      <c r="B1912" s="1"/>
      <c r="C1912" s="1"/>
      <c r="D1912" s="7"/>
      <c r="E1912" s="7"/>
      <c r="F1912" s="6"/>
      <c r="G1912" s="7"/>
      <c r="H1912" s="2"/>
      <c r="I1912" s="2"/>
      <c r="J1912" s="2"/>
      <c r="K1912" s="2"/>
      <c r="L1912" s="178"/>
      <c r="M1912" s="2"/>
      <c r="N1912" s="7"/>
      <c r="P1912" s="7"/>
      <c r="R1912" s="2"/>
      <c r="S1912" s="2"/>
      <c r="T1912" s="2"/>
      <c r="U1912" s="2"/>
      <c r="V1912" s="2"/>
      <c r="X1912" s="38"/>
      <c r="Y1912" s="38"/>
      <c r="Z1912" s="38"/>
      <c r="AA1912" s="38"/>
      <c r="AB1912" s="38"/>
      <c r="AD1912" s="2"/>
      <c r="AE1912" s="2"/>
      <c r="AF1912" s="2"/>
      <c r="AG1912" s="2"/>
      <c r="AH1912" s="2"/>
      <c r="AJ1912" s="215"/>
      <c r="AK1912" s="215"/>
      <c r="AL1912" s="215"/>
      <c r="AM1912" s="215"/>
      <c r="AO1912" s="10"/>
      <c r="AP1912" s="10"/>
      <c r="AQ1912" s="10"/>
      <c r="AR1912" s="10"/>
      <c r="AS1912" s="10"/>
      <c r="AU1912" s="2"/>
      <c r="AV1912" s="2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</row>
    <row r="1913" spans="1:73" customFormat="1" ht="12.75" hidden="1" customHeight="1" x14ac:dyDescent="0.2">
      <c r="A1913" s="1"/>
      <c r="B1913" s="1"/>
      <c r="C1913" s="1"/>
      <c r="D1913" s="7"/>
      <c r="E1913" s="7"/>
      <c r="F1913" s="6"/>
      <c r="G1913" s="7"/>
      <c r="H1913" s="2"/>
      <c r="I1913" s="2"/>
      <c r="J1913" s="2"/>
      <c r="K1913" s="2"/>
      <c r="L1913" s="178"/>
      <c r="M1913" s="2"/>
      <c r="N1913" s="7"/>
      <c r="P1913" s="7"/>
      <c r="R1913" s="2"/>
      <c r="S1913" s="2"/>
      <c r="T1913" s="2"/>
      <c r="U1913" s="2"/>
      <c r="V1913" s="2"/>
      <c r="X1913" s="38"/>
      <c r="Y1913" s="38"/>
      <c r="Z1913" s="38"/>
      <c r="AA1913" s="38"/>
      <c r="AB1913" s="38"/>
      <c r="AD1913" s="2"/>
      <c r="AE1913" s="2"/>
      <c r="AF1913" s="2"/>
      <c r="AG1913" s="2"/>
      <c r="AH1913" s="2"/>
      <c r="AJ1913" s="215"/>
      <c r="AK1913" s="215"/>
      <c r="AL1913" s="215"/>
      <c r="AM1913" s="215"/>
      <c r="AO1913" s="10"/>
      <c r="AP1913" s="10"/>
      <c r="AQ1913" s="10"/>
      <c r="AR1913" s="10"/>
      <c r="AS1913" s="10"/>
      <c r="AU1913" s="2"/>
      <c r="AV1913" s="2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</row>
    <row r="1914" spans="1:73" customFormat="1" ht="12.75" hidden="1" customHeight="1" x14ac:dyDescent="0.2">
      <c r="A1914" s="1"/>
      <c r="B1914" s="1"/>
      <c r="C1914" s="1"/>
      <c r="D1914" s="7"/>
      <c r="E1914" s="7"/>
      <c r="F1914" s="6"/>
      <c r="G1914" s="7"/>
      <c r="H1914" s="2"/>
      <c r="I1914" s="2"/>
      <c r="J1914" s="2"/>
      <c r="K1914" s="2"/>
      <c r="L1914" s="178"/>
      <c r="M1914" s="2"/>
      <c r="N1914" s="7"/>
      <c r="P1914" s="7"/>
      <c r="R1914" s="2"/>
      <c r="S1914" s="2"/>
      <c r="T1914" s="2"/>
      <c r="U1914" s="2"/>
      <c r="V1914" s="2"/>
      <c r="X1914" s="38"/>
      <c r="Y1914" s="38"/>
      <c r="Z1914" s="38"/>
      <c r="AA1914" s="38"/>
      <c r="AB1914" s="38"/>
      <c r="AD1914" s="2"/>
      <c r="AE1914" s="2"/>
      <c r="AF1914" s="2"/>
      <c r="AG1914" s="2"/>
      <c r="AH1914" s="2"/>
      <c r="AJ1914" s="215"/>
      <c r="AK1914" s="215"/>
      <c r="AL1914" s="215"/>
      <c r="AM1914" s="215"/>
      <c r="AO1914" s="10"/>
      <c r="AP1914" s="10"/>
      <c r="AQ1914" s="10"/>
      <c r="AR1914" s="10"/>
      <c r="AS1914" s="10"/>
      <c r="AU1914" s="2"/>
      <c r="AV1914" s="2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</row>
    <row r="1915" spans="1:73" customFormat="1" ht="12.75" hidden="1" customHeight="1" x14ac:dyDescent="0.2">
      <c r="A1915" s="1"/>
      <c r="B1915" s="1"/>
      <c r="C1915" s="1"/>
      <c r="D1915" s="7"/>
      <c r="E1915" s="7"/>
      <c r="F1915" s="6"/>
      <c r="G1915" s="7"/>
      <c r="H1915" s="2"/>
      <c r="I1915" s="2"/>
      <c r="J1915" s="2"/>
      <c r="K1915" s="2"/>
      <c r="L1915" s="178"/>
      <c r="M1915" s="2"/>
      <c r="N1915" s="7"/>
      <c r="P1915" s="7"/>
      <c r="R1915" s="2"/>
      <c r="S1915" s="2"/>
      <c r="T1915" s="2"/>
      <c r="U1915" s="2"/>
      <c r="V1915" s="2"/>
      <c r="X1915" s="38"/>
      <c r="Y1915" s="38"/>
      <c r="Z1915" s="38"/>
      <c r="AA1915" s="38"/>
      <c r="AB1915" s="38"/>
      <c r="AD1915" s="2"/>
      <c r="AE1915" s="2"/>
      <c r="AF1915" s="2"/>
      <c r="AG1915" s="2"/>
      <c r="AH1915" s="2"/>
      <c r="AJ1915" s="215"/>
      <c r="AK1915" s="215"/>
      <c r="AL1915" s="215"/>
      <c r="AM1915" s="215"/>
      <c r="AO1915" s="10"/>
      <c r="AP1915" s="10"/>
      <c r="AQ1915" s="10"/>
      <c r="AR1915" s="10"/>
      <c r="AS1915" s="10"/>
      <c r="AU1915" s="2"/>
      <c r="AV1915" s="2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</row>
    <row r="1916" spans="1:73" customFormat="1" ht="12.75" hidden="1" customHeight="1" x14ac:dyDescent="0.2">
      <c r="A1916" s="1"/>
      <c r="B1916" s="1"/>
      <c r="C1916" s="1"/>
      <c r="D1916" s="7"/>
      <c r="E1916" s="7"/>
      <c r="F1916" s="6"/>
      <c r="G1916" s="7"/>
      <c r="H1916" s="2"/>
      <c r="I1916" s="2"/>
      <c r="J1916" s="2"/>
      <c r="K1916" s="2"/>
      <c r="L1916" s="178"/>
      <c r="M1916" s="2"/>
      <c r="N1916" s="7"/>
      <c r="P1916" s="7"/>
      <c r="R1916" s="2"/>
      <c r="S1916" s="2"/>
      <c r="T1916" s="2"/>
      <c r="U1916" s="2"/>
      <c r="V1916" s="2"/>
      <c r="X1916" s="38"/>
      <c r="Y1916" s="38"/>
      <c r="Z1916" s="38"/>
      <c r="AA1916" s="38"/>
      <c r="AB1916" s="38"/>
      <c r="AD1916" s="2"/>
      <c r="AE1916" s="2"/>
      <c r="AF1916" s="2"/>
      <c r="AG1916" s="2"/>
      <c r="AH1916" s="2"/>
      <c r="AJ1916" s="215"/>
      <c r="AK1916" s="215"/>
      <c r="AL1916" s="215"/>
      <c r="AM1916" s="215"/>
      <c r="AO1916" s="10"/>
      <c r="AP1916" s="10"/>
      <c r="AQ1916" s="10"/>
      <c r="AR1916" s="10"/>
      <c r="AS1916" s="10"/>
      <c r="AU1916" s="2"/>
      <c r="AV1916" s="2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</row>
    <row r="1917" spans="1:73" customFormat="1" ht="12.75" hidden="1" customHeight="1" x14ac:dyDescent="0.2">
      <c r="A1917" s="1"/>
      <c r="B1917" s="1"/>
      <c r="C1917" s="1"/>
      <c r="D1917" s="7"/>
      <c r="E1917" s="7"/>
      <c r="F1917" s="6"/>
      <c r="G1917" s="7"/>
      <c r="H1917" s="2"/>
      <c r="I1917" s="2"/>
      <c r="J1917" s="2"/>
      <c r="K1917" s="2"/>
      <c r="L1917" s="178"/>
      <c r="M1917" s="2"/>
      <c r="N1917" s="7"/>
      <c r="P1917" s="7"/>
      <c r="R1917" s="2"/>
      <c r="S1917" s="2"/>
      <c r="T1917" s="2"/>
      <c r="U1917" s="2"/>
      <c r="V1917" s="2"/>
      <c r="X1917" s="38"/>
      <c r="Y1917" s="38"/>
      <c r="Z1917" s="38"/>
      <c r="AA1917" s="38"/>
      <c r="AB1917" s="38"/>
      <c r="AD1917" s="2"/>
      <c r="AE1917" s="2"/>
      <c r="AF1917" s="2"/>
      <c r="AG1917" s="2"/>
      <c r="AH1917" s="2"/>
      <c r="AJ1917" s="215"/>
      <c r="AK1917" s="215"/>
      <c r="AL1917" s="215"/>
      <c r="AM1917" s="215"/>
      <c r="AO1917" s="10"/>
      <c r="AP1917" s="10"/>
      <c r="AQ1917" s="10"/>
      <c r="AR1917" s="10"/>
      <c r="AS1917" s="10"/>
      <c r="AU1917" s="2"/>
      <c r="AV1917" s="2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</row>
    <row r="1918" spans="1:73" customFormat="1" ht="12.75" hidden="1" customHeight="1" x14ac:dyDescent="0.2">
      <c r="A1918" s="1"/>
      <c r="B1918" s="1"/>
      <c r="C1918" s="1"/>
      <c r="D1918" s="7"/>
      <c r="E1918" s="7"/>
      <c r="F1918" s="6"/>
      <c r="G1918" s="7"/>
      <c r="H1918" s="2"/>
      <c r="I1918" s="2"/>
      <c r="J1918" s="2"/>
      <c r="K1918" s="2"/>
      <c r="L1918" s="178"/>
      <c r="M1918" s="2"/>
      <c r="N1918" s="7"/>
      <c r="P1918" s="7"/>
      <c r="R1918" s="2"/>
      <c r="S1918" s="2"/>
      <c r="T1918" s="2"/>
      <c r="U1918" s="2"/>
      <c r="V1918" s="2"/>
      <c r="X1918" s="38"/>
      <c r="Y1918" s="38"/>
      <c r="Z1918" s="38"/>
      <c r="AA1918" s="38"/>
      <c r="AB1918" s="38"/>
      <c r="AD1918" s="2"/>
      <c r="AE1918" s="2"/>
      <c r="AF1918" s="2"/>
      <c r="AG1918" s="2"/>
      <c r="AH1918" s="2"/>
      <c r="AJ1918" s="215"/>
      <c r="AK1918" s="215"/>
      <c r="AL1918" s="215"/>
      <c r="AM1918" s="215"/>
      <c r="AO1918" s="10"/>
      <c r="AP1918" s="10"/>
      <c r="AQ1918" s="10"/>
      <c r="AR1918" s="10"/>
      <c r="AS1918" s="10"/>
      <c r="AU1918" s="2"/>
      <c r="AV1918" s="2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</row>
    <row r="1919" spans="1:73" customFormat="1" ht="12.75" hidden="1" customHeight="1" x14ac:dyDescent="0.2">
      <c r="A1919" s="1"/>
      <c r="B1919" s="1"/>
      <c r="C1919" s="1"/>
      <c r="D1919" s="7"/>
      <c r="E1919" s="7"/>
      <c r="F1919" s="6"/>
      <c r="G1919" s="7"/>
      <c r="H1919" s="2"/>
      <c r="I1919" s="2"/>
      <c r="J1919" s="2"/>
      <c r="K1919" s="2"/>
      <c r="L1919" s="178"/>
      <c r="M1919" s="2"/>
      <c r="N1919" s="7"/>
      <c r="P1919" s="7"/>
      <c r="R1919" s="2"/>
      <c r="S1919" s="2"/>
      <c r="T1919" s="2"/>
      <c r="U1919" s="2"/>
      <c r="V1919" s="2"/>
      <c r="X1919" s="38"/>
      <c r="Y1919" s="38"/>
      <c r="Z1919" s="38"/>
      <c r="AA1919" s="38"/>
      <c r="AB1919" s="38"/>
      <c r="AD1919" s="2"/>
      <c r="AE1919" s="2"/>
      <c r="AF1919" s="2"/>
      <c r="AG1919" s="2"/>
      <c r="AH1919" s="2"/>
      <c r="AJ1919" s="215"/>
      <c r="AK1919" s="215"/>
      <c r="AL1919" s="215"/>
      <c r="AM1919" s="215"/>
      <c r="AO1919" s="10"/>
      <c r="AP1919" s="10"/>
      <c r="AQ1919" s="10"/>
      <c r="AR1919" s="10"/>
      <c r="AS1919" s="10"/>
      <c r="AU1919" s="2"/>
      <c r="AV1919" s="2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</row>
    <row r="1920" spans="1:73" customFormat="1" ht="12.75" hidden="1" customHeight="1" x14ac:dyDescent="0.2">
      <c r="A1920" s="1"/>
      <c r="B1920" s="1"/>
      <c r="C1920" s="1"/>
      <c r="D1920" s="7"/>
      <c r="E1920" s="7"/>
      <c r="F1920" s="6"/>
      <c r="G1920" s="7"/>
      <c r="H1920" s="2"/>
      <c r="I1920" s="2"/>
      <c r="J1920" s="2"/>
      <c r="K1920" s="2"/>
      <c r="L1920" s="178"/>
      <c r="M1920" s="2"/>
      <c r="N1920" s="7"/>
      <c r="P1920" s="7"/>
      <c r="R1920" s="2"/>
      <c r="S1920" s="2"/>
      <c r="T1920" s="2"/>
      <c r="U1920" s="2"/>
      <c r="V1920" s="2"/>
      <c r="X1920" s="38"/>
      <c r="Y1920" s="38"/>
      <c r="Z1920" s="38"/>
      <c r="AA1920" s="38"/>
      <c r="AB1920" s="38"/>
      <c r="AD1920" s="2"/>
      <c r="AE1920" s="2"/>
      <c r="AF1920" s="2"/>
      <c r="AG1920" s="2"/>
      <c r="AH1920" s="2"/>
      <c r="AJ1920" s="215"/>
      <c r="AK1920" s="215"/>
      <c r="AL1920" s="215"/>
      <c r="AM1920" s="215"/>
      <c r="AO1920" s="10"/>
      <c r="AP1920" s="10"/>
      <c r="AQ1920" s="10"/>
      <c r="AR1920" s="10"/>
      <c r="AS1920" s="10"/>
      <c r="AU1920" s="2"/>
      <c r="AV1920" s="2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</row>
    <row r="1921" spans="1:73" customFormat="1" ht="12.75" hidden="1" customHeight="1" x14ac:dyDescent="0.2">
      <c r="A1921" s="1"/>
      <c r="B1921" s="1"/>
      <c r="C1921" s="1"/>
      <c r="D1921" s="7"/>
      <c r="E1921" s="7"/>
      <c r="F1921" s="6"/>
      <c r="G1921" s="7"/>
      <c r="H1921" s="2"/>
      <c r="I1921" s="2"/>
      <c r="J1921" s="2"/>
      <c r="K1921" s="2"/>
      <c r="L1921" s="178"/>
      <c r="M1921" s="2"/>
      <c r="N1921" s="7"/>
      <c r="P1921" s="7"/>
      <c r="R1921" s="2"/>
      <c r="S1921" s="2"/>
      <c r="T1921" s="2"/>
      <c r="U1921" s="2"/>
      <c r="V1921" s="2"/>
      <c r="X1921" s="38"/>
      <c r="Y1921" s="38"/>
      <c r="Z1921" s="38"/>
      <c r="AA1921" s="38"/>
      <c r="AB1921" s="38"/>
      <c r="AD1921" s="2"/>
      <c r="AE1921" s="2"/>
      <c r="AF1921" s="2"/>
      <c r="AG1921" s="2"/>
      <c r="AH1921" s="2"/>
      <c r="AJ1921" s="215"/>
      <c r="AK1921" s="215"/>
      <c r="AL1921" s="215"/>
      <c r="AM1921" s="215"/>
      <c r="AO1921" s="10"/>
      <c r="AP1921" s="10"/>
      <c r="AQ1921" s="10"/>
      <c r="AR1921" s="10"/>
      <c r="AS1921" s="10"/>
      <c r="AU1921" s="2"/>
      <c r="AV1921" s="2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</row>
    <row r="1922" spans="1:73" customFormat="1" ht="12.75" hidden="1" customHeight="1" x14ac:dyDescent="0.2">
      <c r="A1922" s="1"/>
      <c r="B1922" s="1"/>
      <c r="C1922" s="1"/>
      <c r="D1922" s="7"/>
      <c r="E1922" s="7"/>
      <c r="F1922" s="6"/>
      <c r="G1922" s="7"/>
      <c r="H1922" s="2"/>
      <c r="I1922" s="2"/>
      <c r="J1922" s="2"/>
      <c r="K1922" s="2"/>
      <c r="L1922" s="178"/>
      <c r="M1922" s="2"/>
      <c r="N1922" s="7"/>
      <c r="P1922" s="7"/>
      <c r="R1922" s="2"/>
      <c r="S1922" s="2"/>
      <c r="T1922" s="2"/>
      <c r="U1922" s="2"/>
      <c r="V1922" s="2"/>
      <c r="X1922" s="38"/>
      <c r="Y1922" s="38"/>
      <c r="Z1922" s="38"/>
      <c r="AA1922" s="38"/>
      <c r="AB1922" s="38"/>
      <c r="AD1922" s="2"/>
      <c r="AE1922" s="2"/>
      <c r="AF1922" s="2"/>
      <c r="AG1922" s="2"/>
      <c r="AH1922" s="2"/>
      <c r="AJ1922" s="215"/>
      <c r="AK1922" s="215"/>
      <c r="AL1922" s="215"/>
      <c r="AM1922" s="215"/>
      <c r="AO1922" s="10"/>
      <c r="AP1922" s="10"/>
      <c r="AQ1922" s="10"/>
      <c r="AR1922" s="10"/>
      <c r="AS1922" s="10"/>
      <c r="AU1922" s="2"/>
      <c r="AV1922" s="2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</row>
    <row r="1923" spans="1:73" customFormat="1" ht="12.75" hidden="1" customHeight="1" x14ac:dyDescent="0.2">
      <c r="A1923" s="1"/>
      <c r="B1923" s="1"/>
      <c r="C1923" s="1"/>
      <c r="D1923" s="7"/>
      <c r="E1923" s="7"/>
      <c r="F1923" s="6"/>
      <c r="G1923" s="7"/>
      <c r="H1923" s="2"/>
      <c r="I1923" s="2"/>
      <c r="J1923" s="2"/>
      <c r="K1923" s="2"/>
      <c r="L1923" s="178"/>
      <c r="M1923" s="2"/>
      <c r="N1923" s="7"/>
      <c r="P1923" s="7"/>
      <c r="R1923" s="2"/>
      <c r="S1923" s="2"/>
      <c r="T1923" s="2"/>
      <c r="U1923" s="2"/>
      <c r="V1923" s="2"/>
      <c r="X1923" s="38"/>
      <c r="Y1923" s="38"/>
      <c r="Z1923" s="38"/>
      <c r="AA1923" s="38"/>
      <c r="AB1923" s="38"/>
      <c r="AD1923" s="2"/>
      <c r="AE1923" s="2"/>
      <c r="AF1923" s="2"/>
      <c r="AG1923" s="2"/>
      <c r="AH1923" s="2"/>
      <c r="AJ1923" s="215"/>
      <c r="AK1923" s="215"/>
      <c r="AL1923" s="215"/>
      <c r="AM1923" s="215"/>
      <c r="AO1923" s="10"/>
      <c r="AP1923" s="10"/>
      <c r="AQ1923" s="10"/>
      <c r="AR1923" s="10"/>
      <c r="AS1923" s="10"/>
      <c r="AU1923" s="2"/>
      <c r="AV1923" s="2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</row>
    <row r="1924" spans="1:73" customFormat="1" ht="12.75" hidden="1" customHeight="1" x14ac:dyDescent="0.2">
      <c r="A1924" s="1"/>
      <c r="B1924" s="1"/>
      <c r="C1924" s="1"/>
      <c r="D1924" s="7"/>
      <c r="E1924" s="7"/>
      <c r="F1924" s="6"/>
      <c r="G1924" s="7"/>
      <c r="H1924" s="2"/>
      <c r="I1924" s="2"/>
      <c r="J1924" s="2"/>
      <c r="K1924" s="2"/>
      <c r="L1924" s="178"/>
      <c r="M1924" s="2"/>
      <c r="N1924" s="7"/>
      <c r="P1924" s="7"/>
      <c r="R1924" s="2"/>
      <c r="S1924" s="2"/>
      <c r="T1924" s="2"/>
      <c r="U1924" s="2"/>
      <c r="V1924" s="2"/>
      <c r="X1924" s="38"/>
      <c r="Y1924" s="38"/>
      <c r="Z1924" s="38"/>
      <c r="AA1924" s="38"/>
      <c r="AB1924" s="38"/>
      <c r="AD1924" s="2"/>
      <c r="AE1924" s="2"/>
      <c r="AF1924" s="2"/>
      <c r="AG1924" s="2"/>
      <c r="AH1924" s="2"/>
      <c r="AJ1924" s="215"/>
      <c r="AK1924" s="215"/>
      <c r="AL1924" s="215"/>
      <c r="AM1924" s="215"/>
      <c r="AO1924" s="10"/>
      <c r="AP1924" s="10"/>
      <c r="AQ1924" s="10"/>
      <c r="AR1924" s="10"/>
      <c r="AS1924" s="10"/>
      <c r="AU1924" s="2"/>
      <c r="AV1924" s="2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</row>
    <row r="1925" spans="1:73" customFormat="1" ht="12.75" hidden="1" customHeight="1" x14ac:dyDescent="0.2">
      <c r="A1925" s="1"/>
      <c r="B1925" s="1"/>
      <c r="C1925" s="1"/>
      <c r="D1925" s="7"/>
      <c r="E1925" s="7"/>
      <c r="F1925" s="6"/>
      <c r="G1925" s="7"/>
      <c r="H1925" s="2"/>
      <c r="I1925" s="2"/>
      <c r="J1925" s="2"/>
      <c r="K1925" s="2"/>
      <c r="L1925" s="178"/>
      <c r="M1925" s="2"/>
      <c r="N1925" s="7"/>
      <c r="P1925" s="7"/>
      <c r="R1925" s="2"/>
      <c r="S1925" s="2"/>
      <c r="T1925" s="2"/>
      <c r="U1925" s="2"/>
      <c r="V1925" s="2"/>
      <c r="X1925" s="38"/>
      <c r="Y1925" s="38"/>
      <c r="Z1925" s="38"/>
      <c r="AA1925" s="38"/>
      <c r="AB1925" s="38"/>
      <c r="AD1925" s="2"/>
      <c r="AE1925" s="2"/>
      <c r="AF1925" s="2"/>
      <c r="AG1925" s="2"/>
      <c r="AH1925" s="2"/>
      <c r="AJ1925" s="215"/>
      <c r="AK1925" s="215"/>
      <c r="AL1925" s="215"/>
      <c r="AM1925" s="215"/>
      <c r="AO1925" s="10"/>
      <c r="AP1925" s="10"/>
      <c r="AQ1925" s="10"/>
      <c r="AR1925" s="10"/>
      <c r="AS1925" s="10"/>
      <c r="AU1925" s="2"/>
      <c r="AV1925" s="2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</row>
    <row r="1926" spans="1:73" customFormat="1" ht="12.75" hidden="1" customHeight="1" x14ac:dyDescent="0.2">
      <c r="A1926" s="1"/>
      <c r="B1926" s="1"/>
      <c r="C1926" s="1"/>
      <c r="D1926" s="7"/>
      <c r="E1926" s="7"/>
      <c r="F1926" s="6"/>
      <c r="G1926" s="7"/>
      <c r="H1926" s="2"/>
      <c r="I1926" s="2"/>
      <c r="J1926" s="2"/>
      <c r="K1926" s="2"/>
      <c r="L1926" s="178"/>
      <c r="M1926" s="2"/>
      <c r="N1926" s="7"/>
      <c r="P1926" s="7"/>
      <c r="R1926" s="2"/>
      <c r="S1926" s="2"/>
      <c r="T1926" s="2"/>
      <c r="U1926" s="2"/>
      <c r="V1926" s="2"/>
      <c r="X1926" s="38"/>
      <c r="Y1926" s="38"/>
      <c r="Z1926" s="38"/>
      <c r="AA1926" s="38"/>
      <c r="AB1926" s="38"/>
      <c r="AD1926" s="2"/>
      <c r="AE1926" s="2"/>
      <c r="AF1926" s="2"/>
      <c r="AG1926" s="2"/>
      <c r="AH1926" s="2"/>
      <c r="AJ1926" s="215"/>
      <c r="AK1926" s="215"/>
      <c r="AL1926" s="215"/>
      <c r="AM1926" s="215"/>
      <c r="AO1926" s="10"/>
      <c r="AP1926" s="10"/>
      <c r="AQ1926" s="10"/>
      <c r="AR1926" s="10"/>
      <c r="AS1926" s="10"/>
      <c r="AU1926" s="2"/>
      <c r="AV1926" s="2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</row>
    <row r="1927" spans="1:73" customFormat="1" ht="12.75" hidden="1" customHeight="1" x14ac:dyDescent="0.2">
      <c r="A1927" s="1"/>
      <c r="B1927" s="1"/>
      <c r="C1927" s="1"/>
      <c r="D1927" s="7"/>
      <c r="E1927" s="7"/>
      <c r="F1927" s="6"/>
      <c r="G1927" s="7"/>
      <c r="H1927" s="2"/>
      <c r="I1927" s="2"/>
      <c r="J1927" s="2"/>
      <c r="K1927" s="2"/>
      <c r="L1927" s="178"/>
      <c r="M1927" s="2"/>
      <c r="N1927" s="7"/>
      <c r="P1927" s="7"/>
      <c r="R1927" s="2"/>
      <c r="S1927" s="2"/>
      <c r="T1927" s="2"/>
      <c r="U1927" s="2"/>
      <c r="V1927" s="2"/>
      <c r="X1927" s="38"/>
      <c r="Y1927" s="38"/>
      <c r="Z1927" s="38"/>
      <c r="AA1927" s="38"/>
      <c r="AB1927" s="38"/>
      <c r="AD1927" s="2"/>
      <c r="AE1927" s="2"/>
      <c r="AF1927" s="2"/>
      <c r="AG1927" s="2"/>
      <c r="AH1927" s="2"/>
      <c r="AJ1927" s="215"/>
      <c r="AK1927" s="215"/>
      <c r="AL1927" s="215"/>
      <c r="AM1927" s="215"/>
      <c r="AO1927" s="10"/>
      <c r="AP1927" s="10"/>
      <c r="AQ1927" s="10"/>
      <c r="AR1927" s="10"/>
      <c r="AS1927" s="10"/>
      <c r="AU1927" s="2"/>
      <c r="AV1927" s="2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</row>
    <row r="1928" spans="1:73" customFormat="1" ht="12.75" hidden="1" customHeight="1" x14ac:dyDescent="0.2">
      <c r="A1928" s="1"/>
      <c r="B1928" s="1"/>
      <c r="C1928" s="1"/>
      <c r="D1928" s="7"/>
      <c r="E1928" s="7"/>
      <c r="F1928" s="6"/>
      <c r="G1928" s="7"/>
      <c r="H1928" s="2"/>
      <c r="I1928" s="2"/>
      <c r="J1928" s="2"/>
      <c r="K1928" s="2"/>
      <c r="L1928" s="178"/>
      <c r="M1928" s="2"/>
      <c r="N1928" s="7"/>
      <c r="P1928" s="7"/>
      <c r="R1928" s="2"/>
      <c r="S1928" s="2"/>
      <c r="T1928" s="2"/>
      <c r="U1928" s="2"/>
      <c r="V1928" s="2"/>
      <c r="X1928" s="38"/>
      <c r="Y1928" s="38"/>
      <c r="Z1928" s="38"/>
      <c r="AA1928" s="38"/>
      <c r="AB1928" s="38"/>
      <c r="AD1928" s="2"/>
      <c r="AE1928" s="2"/>
      <c r="AF1928" s="2"/>
      <c r="AG1928" s="2"/>
      <c r="AH1928" s="2"/>
      <c r="AJ1928" s="215"/>
      <c r="AK1928" s="215"/>
      <c r="AL1928" s="215"/>
      <c r="AM1928" s="215"/>
      <c r="AO1928" s="10"/>
      <c r="AP1928" s="10"/>
      <c r="AQ1928" s="10"/>
      <c r="AR1928" s="10"/>
      <c r="AS1928" s="10"/>
      <c r="AU1928" s="2"/>
      <c r="AV1928" s="2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</row>
    <row r="1929" spans="1:73" customFormat="1" ht="12.75" hidden="1" customHeight="1" x14ac:dyDescent="0.2">
      <c r="A1929" s="1"/>
      <c r="B1929" s="1"/>
      <c r="C1929" s="1"/>
      <c r="D1929" s="7"/>
      <c r="E1929" s="7"/>
      <c r="F1929" s="6"/>
      <c r="G1929" s="7"/>
      <c r="H1929" s="2"/>
      <c r="I1929" s="2"/>
      <c r="J1929" s="2"/>
      <c r="K1929" s="2"/>
      <c r="L1929" s="178"/>
      <c r="M1929" s="2"/>
      <c r="N1929" s="7"/>
      <c r="P1929" s="7"/>
      <c r="R1929" s="2"/>
      <c r="S1929" s="2"/>
      <c r="T1929" s="2"/>
      <c r="U1929" s="2"/>
      <c r="V1929" s="2"/>
      <c r="X1929" s="38"/>
      <c r="Y1929" s="38"/>
      <c r="Z1929" s="38"/>
      <c r="AA1929" s="38"/>
      <c r="AB1929" s="38"/>
      <c r="AD1929" s="2"/>
      <c r="AE1929" s="2"/>
      <c r="AF1929" s="2"/>
      <c r="AG1929" s="2"/>
      <c r="AH1929" s="2"/>
      <c r="AJ1929" s="215"/>
      <c r="AK1929" s="215"/>
      <c r="AL1929" s="215"/>
      <c r="AM1929" s="215"/>
      <c r="AO1929" s="10"/>
      <c r="AP1929" s="10"/>
      <c r="AQ1929" s="10"/>
      <c r="AR1929" s="10"/>
      <c r="AS1929" s="10"/>
      <c r="AU1929" s="2"/>
      <c r="AV1929" s="2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</row>
    <row r="1930" spans="1:73" customFormat="1" ht="12.75" hidden="1" customHeight="1" x14ac:dyDescent="0.2">
      <c r="A1930" s="1"/>
      <c r="B1930" s="1"/>
      <c r="C1930" s="1"/>
      <c r="D1930" s="7"/>
      <c r="E1930" s="7"/>
      <c r="F1930" s="6"/>
      <c r="G1930" s="7"/>
      <c r="H1930" s="2"/>
      <c r="I1930" s="2"/>
      <c r="J1930" s="2"/>
      <c r="K1930" s="2"/>
      <c r="L1930" s="178"/>
      <c r="M1930" s="2"/>
      <c r="N1930" s="7"/>
      <c r="P1930" s="7"/>
      <c r="R1930" s="2"/>
      <c r="S1930" s="2"/>
      <c r="T1930" s="2"/>
      <c r="U1930" s="2"/>
      <c r="V1930" s="2"/>
      <c r="X1930" s="38"/>
      <c r="Y1930" s="38"/>
      <c r="Z1930" s="38"/>
      <c r="AA1930" s="38"/>
      <c r="AB1930" s="38"/>
      <c r="AD1930" s="2"/>
      <c r="AE1930" s="2"/>
      <c r="AF1930" s="2"/>
      <c r="AG1930" s="2"/>
      <c r="AH1930" s="2"/>
      <c r="AJ1930" s="215"/>
      <c r="AK1930" s="215"/>
      <c r="AL1930" s="215"/>
      <c r="AM1930" s="215"/>
      <c r="AO1930" s="10"/>
      <c r="AP1930" s="10"/>
      <c r="AQ1930" s="10"/>
      <c r="AR1930" s="10"/>
      <c r="AS1930" s="10"/>
      <c r="AU1930" s="2"/>
      <c r="AV1930" s="2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</row>
    <row r="1931" spans="1:73" customFormat="1" ht="12.75" hidden="1" customHeight="1" x14ac:dyDescent="0.2">
      <c r="A1931" s="1"/>
      <c r="B1931" s="1"/>
      <c r="C1931" s="1"/>
      <c r="D1931" s="7"/>
      <c r="E1931" s="7"/>
      <c r="F1931" s="6"/>
      <c r="G1931" s="7"/>
      <c r="H1931" s="2"/>
      <c r="I1931" s="2"/>
      <c r="J1931" s="2"/>
      <c r="K1931" s="2"/>
      <c r="L1931" s="178"/>
      <c r="M1931" s="2"/>
      <c r="N1931" s="7"/>
      <c r="P1931" s="7"/>
      <c r="R1931" s="2"/>
      <c r="S1931" s="2"/>
      <c r="T1931" s="2"/>
      <c r="U1931" s="2"/>
      <c r="V1931" s="2"/>
      <c r="X1931" s="38"/>
      <c r="Y1931" s="38"/>
      <c r="Z1931" s="38"/>
      <c r="AA1931" s="38"/>
      <c r="AB1931" s="38"/>
      <c r="AD1931" s="2"/>
      <c r="AE1931" s="2"/>
      <c r="AF1931" s="2"/>
      <c r="AG1931" s="2"/>
      <c r="AH1931" s="2"/>
      <c r="AJ1931" s="215"/>
      <c r="AK1931" s="215"/>
      <c r="AL1931" s="215"/>
      <c r="AM1931" s="215"/>
      <c r="AO1931" s="10"/>
      <c r="AP1931" s="10"/>
      <c r="AQ1931" s="10"/>
      <c r="AR1931" s="10"/>
      <c r="AS1931" s="10"/>
      <c r="AU1931" s="2"/>
      <c r="AV1931" s="2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</row>
    <row r="1932" spans="1:73" customFormat="1" ht="12.75" hidden="1" customHeight="1" x14ac:dyDescent="0.2">
      <c r="A1932" s="1"/>
      <c r="B1932" s="1"/>
      <c r="C1932" s="1"/>
      <c r="D1932" s="7"/>
      <c r="E1932" s="7"/>
      <c r="F1932" s="6"/>
      <c r="G1932" s="7"/>
      <c r="H1932" s="2"/>
      <c r="I1932" s="2"/>
      <c r="J1932" s="2"/>
      <c r="K1932" s="2"/>
      <c r="L1932" s="178"/>
      <c r="M1932" s="2"/>
      <c r="N1932" s="7"/>
      <c r="P1932" s="7"/>
      <c r="R1932" s="2"/>
      <c r="S1932" s="2"/>
      <c r="T1932" s="2"/>
      <c r="U1932" s="2"/>
      <c r="V1932" s="2"/>
      <c r="X1932" s="38"/>
      <c r="Y1932" s="38"/>
      <c r="Z1932" s="38"/>
      <c r="AA1932" s="38"/>
      <c r="AB1932" s="38"/>
      <c r="AD1932" s="2"/>
      <c r="AE1932" s="2"/>
      <c r="AF1932" s="2"/>
      <c r="AG1932" s="2"/>
      <c r="AH1932" s="2"/>
      <c r="AJ1932" s="215"/>
      <c r="AK1932" s="215"/>
      <c r="AL1932" s="215"/>
      <c r="AM1932" s="215"/>
      <c r="AO1932" s="10"/>
      <c r="AP1932" s="10"/>
      <c r="AQ1932" s="10"/>
      <c r="AR1932" s="10"/>
      <c r="AS1932" s="10"/>
      <c r="AU1932" s="2"/>
      <c r="AV1932" s="2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</row>
    <row r="1933" spans="1:73" customFormat="1" ht="12.75" hidden="1" customHeight="1" x14ac:dyDescent="0.2">
      <c r="A1933" s="1"/>
      <c r="B1933" s="1"/>
      <c r="C1933" s="1"/>
      <c r="D1933" s="7"/>
      <c r="E1933" s="7"/>
      <c r="F1933" s="6"/>
      <c r="G1933" s="7"/>
      <c r="H1933" s="2"/>
      <c r="I1933" s="2"/>
      <c r="J1933" s="2"/>
      <c r="K1933" s="2"/>
      <c r="L1933" s="178"/>
      <c r="M1933" s="2"/>
      <c r="N1933" s="7"/>
      <c r="P1933" s="7"/>
      <c r="R1933" s="2"/>
      <c r="S1933" s="2"/>
      <c r="T1933" s="2"/>
      <c r="U1933" s="2"/>
      <c r="V1933" s="2"/>
      <c r="X1933" s="38"/>
      <c r="Y1933" s="38"/>
      <c r="Z1933" s="38"/>
      <c r="AA1933" s="38"/>
      <c r="AB1933" s="38"/>
      <c r="AD1933" s="2"/>
      <c r="AE1933" s="2"/>
      <c r="AF1933" s="2"/>
      <c r="AG1933" s="2"/>
      <c r="AH1933" s="2"/>
      <c r="AJ1933" s="215"/>
      <c r="AK1933" s="215"/>
      <c r="AL1933" s="215"/>
      <c r="AM1933" s="215"/>
      <c r="AO1933" s="10"/>
      <c r="AP1933" s="10"/>
      <c r="AQ1933" s="10"/>
      <c r="AR1933" s="10"/>
      <c r="AS1933" s="10"/>
      <c r="AU1933" s="2"/>
      <c r="AV1933" s="2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</row>
    <row r="1934" spans="1:73" customFormat="1" ht="12.75" hidden="1" customHeight="1" x14ac:dyDescent="0.2">
      <c r="A1934" s="1"/>
      <c r="B1934" s="1"/>
      <c r="C1934" s="1"/>
      <c r="D1934" s="7"/>
      <c r="E1934" s="7"/>
      <c r="F1934" s="6"/>
      <c r="G1934" s="7"/>
      <c r="H1934" s="2"/>
      <c r="I1934" s="2"/>
      <c r="J1934" s="2"/>
      <c r="K1934" s="2"/>
      <c r="L1934" s="178"/>
      <c r="M1934" s="2"/>
      <c r="N1934" s="7"/>
      <c r="P1934" s="7"/>
      <c r="R1934" s="2"/>
      <c r="S1934" s="2"/>
      <c r="T1934" s="2"/>
      <c r="U1934" s="2"/>
      <c r="V1934" s="2"/>
      <c r="X1934" s="38"/>
      <c r="Y1934" s="38"/>
      <c r="Z1934" s="38"/>
      <c r="AA1934" s="38"/>
      <c r="AB1934" s="38"/>
      <c r="AD1934" s="2"/>
      <c r="AE1934" s="2"/>
      <c r="AF1934" s="2"/>
      <c r="AG1934" s="2"/>
      <c r="AH1934" s="2"/>
      <c r="AJ1934" s="215"/>
      <c r="AK1934" s="215"/>
      <c r="AL1934" s="215"/>
      <c r="AM1934" s="215"/>
      <c r="AO1934" s="10"/>
      <c r="AP1934" s="10"/>
      <c r="AQ1934" s="10"/>
      <c r="AR1934" s="10"/>
      <c r="AS1934" s="10"/>
      <c r="AU1934" s="2"/>
      <c r="AV1934" s="2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</row>
    <row r="1935" spans="1:73" customFormat="1" ht="12.75" hidden="1" customHeight="1" x14ac:dyDescent="0.2">
      <c r="A1935" s="1"/>
      <c r="B1935" s="1"/>
      <c r="C1935" s="1"/>
      <c r="D1935" s="7"/>
      <c r="E1935" s="7"/>
      <c r="F1935" s="6"/>
      <c r="G1935" s="7"/>
      <c r="H1935" s="2"/>
      <c r="I1935" s="2"/>
      <c r="J1935" s="2"/>
      <c r="K1935" s="2"/>
      <c r="L1935" s="178"/>
      <c r="M1935" s="2"/>
      <c r="N1935" s="7"/>
      <c r="P1935" s="7"/>
      <c r="R1935" s="2"/>
      <c r="S1935" s="2"/>
      <c r="T1935" s="2"/>
      <c r="U1935" s="2"/>
      <c r="V1935" s="2"/>
      <c r="X1935" s="38"/>
      <c r="Y1935" s="38"/>
      <c r="Z1935" s="38"/>
      <c r="AA1935" s="38"/>
      <c r="AB1935" s="38"/>
      <c r="AD1935" s="2"/>
      <c r="AE1935" s="2"/>
      <c r="AF1935" s="2"/>
      <c r="AG1935" s="2"/>
      <c r="AH1935" s="2"/>
      <c r="AJ1935" s="215"/>
      <c r="AK1935" s="215"/>
      <c r="AL1935" s="215"/>
      <c r="AM1935" s="215"/>
      <c r="AO1935" s="10"/>
      <c r="AP1935" s="10"/>
      <c r="AQ1935" s="10"/>
      <c r="AR1935" s="10"/>
      <c r="AS1935" s="10"/>
      <c r="AU1935" s="2"/>
      <c r="AV1935" s="2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</row>
    <row r="1936" spans="1:73" customFormat="1" ht="12.75" hidden="1" customHeight="1" x14ac:dyDescent="0.2">
      <c r="A1936" s="1"/>
      <c r="B1936" s="1"/>
      <c r="C1936" s="1"/>
      <c r="D1936" s="7"/>
      <c r="E1936" s="7"/>
      <c r="F1936" s="6"/>
      <c r="G1936" s="7"/>
      <c r="H1936" s="2"/>
      <c r="I1936" s="2"/>
      <c r="J1936" s="2"/>
      <c r="K1936" s="2"/>
      <c r="L1936" s="178"/>
      <c r="M1936" s="2"/>
      <c r="N1936" s="7"/>
      <c r="P1936" s="7"/>
      <c r="R1936" s="2"/>
      <c r="S1936" s="2"/>
      <c r="T1936" s="2"/>
      <c r="U1936" s="2"/>
      <c r="V1936" s="2"/>
      <c r="X1936" s="38"/>
      <c r="Y1936" s="38"/>
      <c r="Z1936" s="38"/>
      <c r="AA1936" s="38"/>
      <c r="AB1936" s="38"/>
      <c r="AD1936" s="2"/>
      <c r="AE1936" s="2"/>
      <c r="AF1936" s="2"/>
      <c r="AG1936" s="2"/>
      <c r="AH1936" s="2"/>
      <c r="AJ1936" s="215"/>
      <c r="AK1936" s="215"/>
      <c r="AL1936" s="215"/>
      <c r="AM1936" s="215"/>
      <c r="AO1936" s="10"/>
      <c r="AP1936" s="10"/>
      <c r="AQ1936" s="10"/>
      <c r="AR1936" s="10"/>
      <c r="AS1936" s="10"/>
      <c r="AU1936" s="2"/>
      <c r="AV1936" s="2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</row>
    <row r="1937" spans="1:73" customFormat="1" ht="12.75" hidden="1" customHeight="1" x14ac:dyDescent="0.2">
      <c r="A1937" s="1"/>
      <c r="B1937" s="1"/>
      <c r="C1937" s="1"/>
      <c r="D1937" s="7"/>
      <c r="E1937" s="7"/>
      <c r="F1937" s="6"/>
      <c r="G1937" s="7"/>
      <c r="H1937" s="2"/>
      <c r="I1937" s="2"/>
      <c r="J1937" s="2"/>
      <c r="K1937" s="2"/>
      <c r="L1937" s="178"/>
      <c r="M1937" s="2"/>
      <c r="N1937" s="7"/>
      <c r="P1937" s="7"/>
      <c r="R1937" s="2"/>
      <c r="S1937" s="2"/>
      <c r="T1937" s="2"/>
      <c r="U1937" s="2"/>
      <c r="V1937" s="2"/>
      <c r="X1937" s="38"/>
      <c r="Y1937" s="38"/>
      <c r="Z1937" s="38"/>
      <c r="AA1937" s="38"/>
      <c r="AB1937" s="38"/>
      <c r="AD1937" s="2"/>
      <c r="AE1937" s="2"/>
      <c r="AF1937" s="2"/>
      <c r="AG1937" s="2"/>
      <c r="AH1937" s="2"/>
      <c r="AJ1937" s="215"/>
      <c r="AK1937" s="215"/>
      <c r="AL1937" s="215"/>
      <c r="AM1937" s="215"/>
      <c r="AO1937" s="10"/>
      <c r="AP1937" s="10"/>
      <c r="AQ1937" s="10"/>
      <c r="AR1937" s="10"/>
      <c r="AS1937" s="10"/>
      <c r="AU1937" s="2"/>
      <c r="AV1937" s="2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</row>
    <row r="1938" spans="1:73" customFormat="1" ht="12.75" hidden="1" customHeight="1" x14ac:dyDescent="0.2">
      <c r="A1938" s="1"/>
      <c r="B1938" s="1"/>
      <c r="C1938" s="1"/>
      <c r="D1938" s="7"/>
      <c r="E1938" s="7"/>
      <c r="F1938" s="6"/>
      <c r="G1938" s="7"/>
      <c r="H1938" s="2"/>
      <c r="I1938" s="2"/>
      <c r="J1938" s="2"/>
      <c r="K1938" s="2"/>
      <c r="L1938" s="178"/>
      <c r="M1938" s="2"/>
      <c r="N1938" s="7"/>
      <c r="P1938" s="7"/>
      <c r="R1938" s="2"/>
      <c r="S1938" s="2"/>
      <c r="T1938" s="2"/>
      <c r="U1938" s="2"/>
      <c r="V1938" s="2"/>
      <c r="X1938" s="38"/>
      <c r="Y1938" s="38"/>
      <c r="Z1938" s="38"/>
      <c r="AA1938" s="38"/>
      <c r="AB1938" s="38"/>
      <c r="AD1938" s="2"/>
      <c r="AE1938" s="2"/>
      <c r="AF1938" s="2"/>
      <c r="AG1938" s="2"/>
      <c r="AH1938" s="2"/>
      <c r="AJ1938" s="215"/>
      <c r="AK1938" s="215"/>
      <c r="AL1938" s="215"/>
      <c r="AM1938" s="215"/>
      <c r="AO1938" s="10"/>
      <c r="AP1938" s="10"/>
      <c r="AQ1938" s="10"/>
      <c r="AR1938" s="10"/>
      <c r="AS1938" s="10"/>
      <c r="AU1938" s="2"/>
      <c r="AV1938" s="2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</row>
    <row r="1939" spans="1:73" customFormat="1" ht="12.75" hidden="1" customHeight="1" x14ac:dyDescent="0.2">
      <c r="A1939" s="1"/>
      <c r="B1939" s="1"/>
      <c r="C1939" s="1"/>
      <c r="D1939" s="7"/>
      <c r="E1939" s="7"/>
      <c r="F1939" s="6"/>
      <c r="G1939" s="7"/>
      <c r="H1939" s="2"/>
      <c r="I1939" s="2"/>
      <c r="J1939" s="2"/>
      <c r="K1939" s="2"/>
      <c r="L1939" s="178"/>
      <c r="M1939" s="2"/>
      <c r="N1939" s="7"/>
      <c r="P1939" s="7"/>
      <c r="R1939" s="2"/>
      <c r="S1939" s="2"/>
      <c r="T1939" s="2"/>
      <c r="U1939" s="2"/>
      <c r="V1939" s="2"/>
      <c r="X1939" s="38"/>
      <c r="Y1939" s="38"/>
      <c r="Z1939" s="38"/>
      <c r="AA1939" s="38"/>
      <c r="AB1939" s="38"/>
      <c r="AD1939" s="2"/>
      <c r="AE1939" s="2"/>
      <c r="AF1939" s="2"/>
      <c r="AG1939" s="2"/>
      <c r="AH1939" s="2"/>
      <c r="AJ1939" s="215"/>
      <c r="AK1939" s="215"/>
      <c r="AL1939" s="215"/>
      <c r="AM1939" s="215"/>
      <c r="AO1939" s="10"/>
      <c r="AP1939" s="10"/>
      <c r="AQ1939" s="10"/>
      <c r="AR1939" s="10"/>
      <c r="AS1939" s="10"/>
      <c r="AU1939" s="2"/>
      <c r="AV1939" s="2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</row>
    <row r="1940" spans="1:73" customFormat="1" ht="12.75" hidden="1" customHeight="1" x14ac:dyDescent="0.2">
      <c r="A1940" s="1"/>
      <c r="B1940" s="1"/>
      <c r="C1940" s="1"/>
      <c r="D1940" s="7"/>
      <c r="E1940" s="7"/>
      <c r="F1940" s="6"/>
      <c r="G1940" s="7"/>
      <c r="H1940" s="2"/>
      <c r="I1940" s="2"/>
      <c r="J1940" s="2"/>
      <c r="K1940" s="2"/>
      <c r="L1940" s="178"/>
      <c r="M1940" s="2"/>
      <c r="N1940" s="7"/>
      <c r="P1940" s="7"/>
      <c r="R1940" s="2"/>
      <c r="S1940" s="2"/>
      <c r="T1940" s="2"/>
      <c r="U1940" s="2"/>
      <c r="V1940" s="2"/>
      <c r="X1940" s="38"/>
      <c r="Y1940" s="38"/>
      <c r="Z1940" s="38"/>
      <c r="AA1940" s="38"/>
      <c r="AB1940" s="38"/>
      <c r="AD1940" s="2"/>
      <c r="AE1940" s="2"/>
      <c r="AF1940" s="2"/>
      <c r="AG1940" s="2"/>
      <c r="AH1940" s="2"/>
      <c r="AJ1940" s="215"/>
      <c r="AK1940" s="215"/>
      <c r="AL1940" s="215"/>
      <c r="AM1940" s="215"/>
      <c r="AO1940" s="10"/>
      <c r="AP1940" s="10"/>
      <c r="AQ1940" s="10"/>
      <c r="AR1940" s="10"/>
      <c r="AS1940" s="10"/>
      <c r="AU1940" s="2"/>
      <c r="AV1940" s="2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</row>
    <row r="1941" spans="1:73" customFormat="1" ht="12.75" hidden="1" customHeight="1" x14ac:dyDescent="0.2">
      <c r="A1941" s="1"/>
      <c r="B1941" s="1"/>
      <c r="C1941" s="1"/>
      <c r="D1941" s="7"/>
      <c r="E1941" s="7"/>
      <c r="F1941" s="6"/>
      <c r="G1941" s="7"/>
      <c r="H1941" s="2"/>
      <c r="I1941" s="2"/>
      <c r="J1941" s="2"/>
      <c r="K1941" s="2"/>
      <c r="L1941" s="178"/>
      <c r="M1941" s="2"/>
      <c r="N1941" s="7"/>
      <c r="P1941" s="7"/>
      <c r="R1941" s="2"/>
      <c r="S1941" s="2"/>
      <c r="T1941" s="2"/>
      <c r="U1941" s="2"/>
      <c r="V1941" s="2"/>
      <c r="X1941" s="38"/>
      <c r="Y1941" s="38"/>
      <c r="Z1941" s="38"/>
      <c r="AA1941" s="38"/>
      <c r="AB1941" s="38"/>
      <c r="AD1941" s="2"/>
      <c r="AE1941" s="2"/>
      <c r="AF1941" s="2"/>
      <c r="AG1941" s="2"/>
      <c r="AH1941" s="2"/>
      <c r="AJ1941" s="215"/>
      <c r="AK1941" s="215"/>
      <c r="AL1941" s="215"/>
      <c r="AM1941" s="215"/>
      <c r="AO1941" s="10"/>
      <c r="AP1941" s="10"/>
      <c r="AQ1941" s="10"/>
      <c r="AR1941" s="10"/>
      <c r="AS1941" s="10"/>
      <c r="AU1941" s="2"/>
      <c r="AV1941" s="2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</row>
    <row r="1942" spans="1:73" customFormat="1" ht="12.75" hidden="1" customHeight="1" x14ac:dyDescent="0.2">
      <c r="A1942" s="1"/>
      <c r="B1942" s="1"/>
      <c r="C1942" s="1"/>
      <c r="D1942" s="7"/>
      <c r="E1942" s="7"/>
      <c r="F1942" s="6"/>
      <c r="G1942" s="7"/>
      <c r="H1942" s="2"/>
      <c r="I1942" s="2"/>
      <c r="J1942" s="2"/>
      <c r="K1942" s="2"/>
      <c r="L1942" s="178"/>
      <c r="M1942" s="2"/>
      <c r="N1942" s="7"/>
      <c r="P1942" s="7"/>
      <c r="R1942" s="2"/>
      <c r="S1942" s="2"/>
      <c r="T1942" s="2"/>
      <c r="U1942" s="2"/>
      <c r="V1942" s="2"/>
      <c r="X1942" s="38"/>
      <c r="Y1942" s="38"/>
      <c r="Z1942" s="38"/>
      <c r="AA1942" s="38"/>
      <c r="AB1942" s="38"/>
      <c r="AD1942" s="2"/>
      <c r="AE1942" s="2"/>
      <c r="AF1942" s="2"/>
      <c r="AG1942" s="2"/>
      <c r="AH1942" s="2"/>
      <c r="AJ1942" s="215"/>
      <c r="AK1942" s="215"/>
      <c r="AL1942" s="215"/>
      <c r="AM1942" s="215"/>
      <c r="AO1942" s="10"/>
      <c r="AP1942" s="10"/>
      <c r="AQ1942" s="10"/>
      <c r="AR1942" s="10"/>
      <c r="AS1942" s="10"/>
      <c r="AU1942" s="2"/>
      <c r="AV1942" s="2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</row>
    <row r="1943" spans="1:73" customFormat="1" ht="12.75" hidden="1" customHeight="1" x14ac:dyDescent="0.2">
      <c r="A1943" s="1"/>
      <c r="B1943" s="1"/>
      <c r="C1943" s="1"/>
      <c r="D1943" s="7"/>
      <c r="E1943" s="7"/>
      <c r="F1943" s="6"/>
      <c r="G1943" s="7"/>
      <c r="H1943" s="2"/>
      <c r="I1943" s="2"/>
      <c r="J1943" s="2"/>
      <c r="K1943" s="2"/>
      <c r="L1943" s="178"/>
      <c r="M1943" s="2"/>
      <c r="N1943" s="7"/>
      <c r="P1943" s="7"/>
      <c r="R1943" s="2"/>
      <c r="S1943" s="2"/>
      <c r="T1943" s="2"/>
      <c r="U1943" s="2"/>
      <c r="V1943" s="2"/>
      <c r="X1943" s="38"/>
      <c r="Y1943" s="38"/>
      <c r="Z1943" s="38"/>
      <c r="AA1943" s="38"/>
      <c r="AB1943" s="38"/>
      <c r="AD1943" s="2"/>
      <c r="AE1943" s="2"/>
      <c r="AF1943" s="2"/>
      <c r="AG1943" s="2"/>
      <c r="AH1943" s="2"/>
      <c r="AJ1943" s="215"/>
      <c r="AK1943" s="215"/>
      <c r="AL1943" s="215"/>
      <c r="AM1943" s="215"/>
      <c r="AO1943" s="10"/>
      <c r="AP1943" s="10"/>
      <c r="AQ1943" s="10"/>
      <c r="AR1943" s="10"/>
      <c r="AS1943" s="10"/>
      <c r="AU1943" s="2"/>
      <c r="AV1943" s="2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</row>
    <row r="1944" spans="1:73" customFormat="1" ht="12.75" hidden="1" customHeight="1" x14ac:dyDescent="0.2">
      <c r="A1944" s="1"/>
      <c r="B1944" s="1"/>
      <c r="C1944" s="1"/>
      <c r="D1944" s="7"/>
      <c r="E1944" s="7"/>
      <c r="F1944" s="6"/>
      <c r="G1944" s="7"/>
      <c r="H1944" s="2"/>
      <c r="I1944" s="2"/>
      <c r="J1944" s="2"/>
      <c r="K1944" s="2"/>
      <c r="L1944" s="178"/>
      <c r="M1944" s="2"/>
      <c r="N1944" s="7"/>
      <c r="P1944" s="7"/>
      <c r="R1944" s="2"/>
      <c r="S1944" s="2"/>
      <c r="T1944" s="2"/>
      <c r="U1944" s="2"/>
      <c r="V1944" s="2"/>
      <c r="X1944" s="38"/>
      <c r="Y1944" s="38"/>
      <c r="Z1944" s="38"/>
      <c r="AA1944" s="38"/>
      <c r="AB1944" s="38"/>
      <c r="AD1944" s="2"/>
      <c r="AE1944" s="2"/>
      <c r="AF1944" s="2"/>
      <c r="AG1944" s="2"/>
      <c r="AH1944" s="2"/>
      <c r="AJ1944" s="215"/>
      <c r="AK1944" s="215"/>
      <c r="AL1944" s="215"/>
      <c r="AM1944" s="215"/>
      <c r="AO1944" s="10"/>
      <c r="AP1944" s="10"/>
      <c r="AQ1944" s="10"/>
      <c r="AR1944" s="10"/>
      <c r="AS1944" s="10"/>
      <c r="AU1944" s="2"/>
      <c r="AV1944" s="2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</row>
    <row r="1945" spans="1:73" customFormat="1" ht="12.75" hidden="1" customHeight="1" x14ac:dyDescent="0.2">
      <c r="A1945" s="1"/>
      <c r="B1945" s="1"/>
      <c r="C1945" s="1"/>
      <c r="D1945" s="7"/>
      <c r="E1945" s="7"/>
      <c r="F1945" s="6"/>
      <c r="G1945" s="7"/>
      <c r="H1945" s="2"/>
      <c r="I1945" s="2"/>
      <c r="J1945" s="2"/>
      <c r="K1945" s="2"/>
      <c r="L1945" s="178"/>
      <c r="M1945" s="2"/>
      <c r="N1945" s="7"/>
      <c r="P1945" s="7"/>
      <c r="R1945" s="2"/>
      <c r="S1945" s="2"/>
      <c r="T1945" s="2"/>
      <c r="U1945" s="2"/>
      <c r="V1945" s="2"/>
      <c r="X1945" s="38"/>
      <c r="Y1945" s="38"/>
      <c r="Z1945" s="38"/>
      <c r="AA1945" s="38"/>
      <c r="AB1945" s="38"/>
      <c r="AD1945" s="2"/>
      <c r="AE1945" s="2"/>
      <c r="AF1945" s="2"/>
      <c r="AG1945" s="2"/>
      <c r="AH1945" s="2"/>
      <c r="AJ1945" s="215"/>
      <c r="AK1945" s="215"/>
      <c r="AL1945" s="215"/>
      <c r="AM1945" s="215"/>
      <c r="AO1945" s="10"/>
      <c r="AP1945" s="10"/>
      <c r="AQ1945" s="10"/>
      <c r="AR1945" s="10"/>
      <c r="AS1945" s="10"/>
      <c r="AU1945" s="2"/>
      <c r="AV1945" s="2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</row>
    <row r="1946" spans="1:73" customFormat="1" ht="12.75" hidden="1" customHeight="1" x14ac:dyDescent="0.2">
      <c r="A1946" s="1"/>
      <c r="B1946" s="1"/>
      <c r="C1946" s="1"/>
      <c r="D1946" s="7"/>
      <c r="E1946" s="7"/>
      <c r="F1946" s="6"/>
      <c r="G1946" s="7"/>
      <c r="H1946" s="2"/>
      <c r="I1946" s="2"/>
      <c r="J1946" s="2"/>
      <c r="K1946" s="2"/>
      <c r="L1946" s="178"/>
      <c r="M1946" s="2"/>
      <c r="N1946" s="7"/>
      <c r="P1946" s="7"/>
      <c r="R1946" s="2"/>
      <c r="S1946" s="2"/>
      <c r="T1946" s="2"/>
      <c r="U1946" s="2"/>
      <c r="V1946" s="2"/>
      <c r="X1946" s="38"/>
      <c r="Y1946" s="38"/>
      <c r="Z1946" s="38"/>
      <c r="AA1946" s="38"/>
      <c r="AB1946" s="38"/>
      <c r="AD1946" s="2"/>
      <c r="AE1946" s="2"/>
      <c r="AF1946" s="2"/>
      <c r="AG1946" s="2"/>
      <c r="AH1946" s="2"/>
      <c r="AJ1946" s="215"/>
      <c r="AK1946" s="215"/>
      <c r="AL1946" s="215"/>
      <c r="AM1946" s="215"/>
      <c r="AO1946" s="10"/>
      <c r="AP1946" s="10"/>
      <c r="AQ1946" s="10"/>
      <c r="AR1946" s="10"/>
      <c r="AS1946" s="10"/>
      <c r="AU1946" s="2"/>
      <c r="AV1946" s="2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</row>
    <row r="1947" spans="1:73" customFormat="1" ht="12.75" hidden="1" customHeight="1" x14ac:dyDescent="0.2">
      <c r="A1947" s="1"/>
      <c r="B1947" s="1"/>
      <c r="C1947" s="1"/>
      <c r="D1947" s="7"/>
      <c r="E1947" s="7"/>
      <c r="F1947" s="6"/>
      <c r="G1947" s="7"/>
      <c r="H1947" s="2"/>
      <c r="I1947" s="2"/>
      <c r="J1947" s="2"/>
      <c r="K1947" s="2"/>
      <c r="L1947" s="178"/>
      <c r="M1947" s="2"/>
      <c r="N1947" s="7"/>
      <c r="P1947" s="7"/>
      <c r="R1947" s="2"/>
      <c r="S1947" s="2"/>
      <c r="T1947" s="2"/>
      <c r="U1947" s="2"/>
      <c r="V1947" s="2"/>
      <c r="X1947" s="38"/>
      <c r="Y1947" s="38"/>
      <c r="Z1947" s="38"/>
      <c r="AA1947" s="38"/>
      <c r="AB1947" s="38"/>
      <c r="AD1947" s="2"/>
      <c r="AE1947" s="2"/>
      <c r="AF1947" s="2"/>
      <c r="AG1947" s="2"/>
      <c r="AH1947" s="2"/>
      <c r="AJ1947" s="215"/>
      <c r="AK1947" s="215"/>
      <c r="AL1947" s="215"/>
      <c r="AM1947" s="215"/>
      <c r="AO1947" s="10"/>
      <c r="AP1947" s="10"/>
      <c r="AQ1947" s="10"/>
      <c r="AR1947" s="10"/>
      <c r="AS1947" s="10"/>
      <c r="AU1947" s="2"/>
      <c r="AV1947" s="2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</row>
    <row r="1948" spans="1:73" customFormat="1" ht="12.75" hidden="1" customHeight="1" x14ac:dyDescent="0.2">
      <c r="A1948" s="1"/>
      <c r="B1948" s="1"/>
      <c r="C1948" s="1"/>
      <c r="D1948" s="7"/>
      <c r="E1948" s="7"/>
      <c r="F1948" s="6"/>
      <c r="G1948" s="7"/>
      <c r="H1948" s="2"/>
      <c r="I1948" s="2"/>
      <c r="J1948" s="2"/>
      <c r="K1948" s="2"/>
      <c r="L1948" s="178"/>
      <c r="M1948" s="2"/>
      <c r="N1948" s="7"/>
      <c r="P1948" s="7"/>
      <c r="R1948" s="2"/>
      <c r="S1948" s="2"/>
      <c r="T1948" s="2"/>
      <c r="U1948" s="2"/>
      <c r="V1948" s="2"/>
      <c r="X1948" s="38"/>
      <c r="Y1948" s="38"/>
      <c r="Z1948" s="38"/>
      <c r="AA1948" s="38"/>
      <c r="AB1948" s="38"/>
      <c r="AD1948" s="2"/>
      <c r="AE1948" s="2"/>
      <c r="AF1948" s="2"/>
      <c r="AG1948" s="2"/>
      <c r="AH1948" s="2"/>
      <c r="AJ1948" s="215"/>
      <c r="AK1948" s="215"/>
      <c r="AL1948" s="215"/>
      <c r="AM1948" s="215"/>
      <c r="AO1948" s="10"/>
      <c r="AP1948" s="10"/>
      <c r="AQ1948" s="10"/>
      <c r="AR1948" s="10"/>
      <c r="AS1948" s="10"/>
      <c r="AU1948" s="2"/>
      <c r="AV1948" s="2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</row>
    <row r="1949" spans="1:73" customFormat="1" ht="12.75" hidden="1" customHeight="1" x14ac:dyDescent="0.2">
      <c r="A1949" s="1"/>
      <c r="B1949" s="1"/>
      <c r="C1949" s="1"/>
      <c r="D1949" s="7"/>
      <c r="E1949" s="7"/>
      <c r="F1949" s="6"/>
      <c r="G1949" s="7"/>
      <c r="H1949" s="2"/>
      <c r="I1949" s="2"/>
      <c r="J1949" s="2"/>
      <c r="K1949" s="2"/>
      <c r="L1949" s="178"/>
      <c r="M1949" s="2"/>
      <c r="N1949" s="7"/>
      <c r="P1949" s="7"/>
      <c r="R1949" s="2"/>
      <c r="S1949" s="2"/>
      <c r="T1949" s="2"/>
      <c r="U1949" s="2"/>
      <c r="V1949" s="2"/>
      <c r="X1949" s="38"/>
      <c r="Y1949" s="38"/>
      <c r="Z1949" s="38"/>
      <c r="AA1949" s="38"/>
      <c r="AB1949" s="38"/>
      <c r="AD1949" s="2"/>
      <c r="AE1949" s="2"/>
      <c r="AF1949" s="2"/>
      <c r="AG1949" s="2"/>
      <c r="AH1949" s="2"/>
      <c r="AJ1949" s="215"/>
      <c r="AK1949" s="215"/>
      <c r="AL1949" s="215"/>
      <c r="AM1949" s="215"/>
      <c r="AO1949" s="10"/>
      <c r="AP1949" s="10"/>
      <c r="AQ1949" s="10"/>
      <c r="AR1949" s="10"/>
      <c r="AS1949" s="10"/>
      <c r="AU1949" s="2"/>
      <c r="AV1949" s="2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</row>
    <row r="1950" spans="1:73" customFormat="1" ht="12.75" hidden="1" customHeight="1" x14ac:dyDescent="0.2">
      <c r="A1950" s="1"/>
      <c r="B1950" s="1"/>
      <c r="C1950" s="1"/>
      <c r="D1950" s="7"/>
      <c r="E1950" s="7"/>
      <c r="F1950" s="6"/>
      <c r="G1950" s="7"/>
      <c r="H1950" s="2"/>
      <c r="I1950" s="2"/>
      <c r="J1950" s="2"/>
      <c r="K1950" s="2"/>
      <c r="L1950" s="178"/>
      <c r="M1950" s="2"/>
      <c r="N1950" s="7"/>
      <c r="P1950" s="7"/>
      <c r="R1950" s="2"/>
      <c r="S1950" s="2"/>
      <c r="T1950" s="2"/>
      <c r="U1950" s="2"/>
      <c r="V1950" s="2"/>
      <c r="X1950" s="38"/>
      <c r="Y1950" s="38"/>
      <c r="Z1950" s="38"/>
      <c r="AA1950" s="38"/>
      <c r="AB1950" s="38"/>
      <c r="AD1950" s="2"/>
      <c r="AE1950" s="2"/>
      <c r="AF1950" s="2"/>
      <c r="AG1950" s="2"/>
      <c r="AH1950" s="2"/>
      <c r="AJ1950" s="215"/>
      <c r="AK1950" s="215"/>
      <c r="AL1950" s="215"/>
      <c r="AM1950" s="215"/>
      <c r="AO1950" s="10"/>
      <c r="AP1950" s="10"/>
      <c r="AQ1950" s="10"/>
      <c r="AR1950" s="10"/>
      <c r="AS1950" s="10"/>
      <c r="AU1950" s="2"/>
      <c r="AV1950" s="2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</row>
    <row r="1951" spans="1:73" customFormat="1" ht="12.75" hidden="1" customHeight="1" x14ac:dyDescent="0.2">
      <c r="A1951" s="1"/>
      <c r="B1951" s="1"/>
      <c r="C1951" s="1"/>
      <c r="D1951" s="7"/>
      <c r="E1951" s="7"/>
      <c r="F1951" s="6"/>
      <c r="G1951" s="7"/>
      <c r="H1951" s="2"/>
      <c r="I1951" s="2"/>
      <c r="J1951" s="2"/>
      <c r="K1951" s="2"/>
      <c r="L1951" s="178"/>
      <c r="M1951" s="2"/>
      <c r="N1951" s="7"/>
      <c r="P1951" s="7"/>
      <c r="R1951" s="2"/>
      <c r="S1951" s="2"/>
      <c r="T1951" s="2"/>
      <c r="U1951" s="2"/>
      <c r="V1951" s="2"/>
      <c r="X1951" s="38"/>
      <c r="Y1951" s="38"/>
      <c r="Z1951" s="38"/>
      <c r="AA1951" s="38"/>
      <c r="AB1951" s="38"/>
      <c r="AD1951" s="2"/>
      <c r="AE1951" s="2"/>
      <c r="AF1951" s="2"/>
      <c r="AG1951" s="2"/>
      <c r="AH1951" s="2"/>
      <c r="AJ1951" s="215"/>
      <c r="AK1951" s="215"/>
      <c r="AL1951" s="215"/>
      <c r="AM1951" s="215"/>
      <c r="AO1951" s="10"/>
      <c r="AP1951" s="10"/>
      <c r="AQ1951" s="10"/>
      <c r="AR1951" s="10"/>
      <c r="AS1951" s="10"/>
      <c r="AU1951" s="2"/>
      <c r="AV1951" s="2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</row>
    <row r="1952" spans="1:73" customFormat="1" ht="12.75" hidden="1" customHeight="1" x14ac:dyDescent="0.2">
      <c r="A1952" s="1"/>
      <c r="B1952" s="1"/>
      <c r="C1952" s="1"/>
      <c r="D1952" s="7"/>
      <c r="E1952" s="7"/>
      <c r="F1952" s="6"/>
      <c r="G1952" s="7"/>
      <c r="H1952" s="2"/>
      <c r="I1952" s="2"/>
      <c r="J1952" s="2"/>
      <c r="K1952" s="2"/>
      <c r="L1952" s="178"/>
      <c r="M1952" s="2"/>
      <c r="N1952" s="7"/>
      <c r="P1952" s="7"/>
      <c r="R1952" s="2"/>
      <c r="S1952" s="2"/>
      <c r="T1952" s="2"/>
      <c r="U1952" s="2"/>
      <c r="V1952" s="2"/>
      <c r="X1952" s="38"/>
      <c r="Y1952" s="38"/>
      <c r="Z1952" s="38"/>
      <c r="AA1952" s="38"/>
      <c r="AB1952" s="38"/>
      <c r="AD1952" s="2"/>
      <c r="AE1952" s="2"/>
      <c r="AF1952" s="2"/>
      <c r="AG1952" s="2"/>
      <c r="AH1952" s="2"/>
      <c r="AJ1952" s="215"/>
      <c r="AK1952" s="215"/>
      <c r="AL1952" s="215"/>
      <c r="AM1952" s="215"/>
      <c r="AO1952" s="10"/>
      <c r="AP1952" s="10"/>
      <c r="AQ1952" s="10"/>
      <c r="AR1952" s="10"/>
      <c r="AS1952" s="10"/>
      <c r="AU1952" s="2"/>
      <c r="AV1952" s="2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</row>
    <row r="1953" spans="1:73" customFormat="1" ht="12.75" hidden="1" customHeight="1" x14ac:dyDescent="0.2">
      <c r="A1953" s="1"/>
      <c r="B1953" s="1"/>
      <c r="C1953" s="1"/>
      <c r="D1953" s="7"/>
      <c r="E1953" s="7"/>
      <c r="F1953" s="6"/>
      <c r="G1953" s="7"/>
      <c r="H1953" s="2"/>
      <c r="I1953" s="2"/>
      <c r="J1953" s="2"/>
      <c r="K1953" s="2"/>
      <c r="L1953" s="178"/>
      <c r="M1953" s="2"/>
      <c r="N1953" s="7"/>
      <c r="P1953" s="7"/>
      <c r="R1953" s="2"/>
      <c r="S1953" s="2"/>
      <c r="T1953" s="2"/>
      <c r="U1953" s="2"/>
      <c r="V1953" s="2"/>
      <c r="X1953" s="38"/>
      <c r="Y1953" s="38"/>
      <c r="Z1953" s="38"/>
      <c r="AA1953" s="38"/>
      <c r="AB1953" s="38"/>
      <c r="AD1953" s="2"/>
      <c r="AE1953" s="2"/>
      <c r="AF1953" s="2"/>
      <c r="AG1953" s="2"/>
      <c r="AH1953" s="2"/>
      <c r="AJ1953" s="215"/>
      <c r="AK1953" s="215"/>
      <c r="AL1953" s="215"/>
      <c r="AM1953" s="215"/>
      <c r="AO1953" s="10"/>
      <c r="AP1953" s="10"/>
      <c r="AQ1953" s="10"/>
      <c r="AR1953" s="10"/>
      <c r="AS1953" s="10"/>
      <c r="AU1953" s="2"/>
      <c r="AV1953" s="2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</row>
    <row r="1954" spans="1:73" customFormat="1" ht="12.75" hidden="1" customHeight="1" x14ac:dyDescent="0.2">
      <c r="A1954" s="1"/>
      <c r="B1954" s="1"/>
      <c r="C1954" s="1"/>
      <c r="D1954" s="7"/>
      <c r="E1954" s="7"/>
      <c r="F1954" s="6"/>
      <c r="G1954" s="7"/>
      <c r="H1954" s="2"/>
      <c r="I1954" s="2"/>
      <c r="J1954" s="2"/>
      <c r="K1954" s="2"/>
      <c r="L1954" s="178"/>
      <c r="M1954" s="2"/>
      <c r="N1954" s="7"/>
      <c r="P1954" s="7"/>
      <c r="R1954" s="2"/>
      <c r="S1954" s="2"/>
      <c r="T1954" s="2"/>
      <c r="U1954" s="2"/>
      <c r="V1954" s="2"/>
      <c r="X1954" s="38"/>
      <c r="Y1954" s="38"/>
      <c r="Z1954" s="38"/>
      <c r="AA1954" s="38"/>
      <c r="AB1954" s="38"/>
      <c r="AD1954" s="2"/>
      <c r="AE1954" s="2"/>
      <c r="AF1954" s="2"/>
      <c r="AG1954" s="2"/>
      <c r="AH1954" s="2"/>
      <c r="AJ1954" s="215"/>
      <c r="AK1954" s="215"/>
      <c r="AL1954" s="215"/>
      <c r="AM1954" s="215"/>
      <c r="AO1954" s="10"/>
      <c r="AP1954" s="10"/>
      <c r="AQ1954" s="10"/>
      <c r="AR1954" s="10"/>
      <c r="AS1954" s="10"/>
      <c r="AU1954" s="2"/>
      <c r="AV1954" s="2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</row>
    <row r="1955" spans="1:73" customFormat="1" ht="12.75" hidden="1" customHeight="1" x14ac:dyDescent="0.2">
      <c r="A1955" s="1"/>
      <c r="B1955" s="1"/>
      <c r="C1955" s="1"/>
      <c r="D1955" s="7"/>
      <c r="E1955" s="7"/>
      <c r="F1955" s="6"/>
      <c r="G1955" s="7"/>
      <c r="H1955" s="2"/>
      <c r="I1955" s="2"/>
      <c r="J1955" s="2"/>
      <c r="K1955" s="2"/>
      <c r="L1955" s="178"/>
      <c r="M1955" s="2"/>
      <c r="N1955" s="7"/>
      <c r="P1955" s="7"/>
      <c r="R1955" s="2"/>
      <c r="S1955" s="2"/>
      <c r="T1955" s="2"/>
      <c r="U1955" s="2"/>
      <c r="V1955" s="2"/>
      <c r="X1955" s="38"/>
      <c r="Y1955" s="38"/>
      <c r="Z1955" s="38"/>
      <c r="AA1955" s="38"/>
      <c r="AB1955" s="38"/>
      <c r="AD1955" s="2"/>
      <c r="AE1955" s="2"/>
      <c r="AF1955" s="2"/>
      <c r="AG1955" s="2"/>
      <c r="AH1955" s="2"/>
      <c r="AJ1955" s="215"/>
      <c r="AK1955" s="215"/>
      <c r="AL1955" s="215"/>
      <c r="AM1955" s="215"/>
      <c r="AO1955" s="10"/>
      <c r="AP1955" s="10"/>
      <c r="AQ1955" s="10"/>
      <c r="AR1955" s="10"/>
      <c r="AS1955" s="10"/>
      <c r="AU1955" s="2"/>
      <c r="AV1955" s="2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</row>
    <row r="1956" spans="1:73" customFormat="1" ht="12.75" hidden="1" customHeight="1" x14ac:dyDescent="0.2">
      <c r="A1956" s="1"/>
      <c r="B1956" s="1"/>
      <c r="C1956" s="1"/>
      <c r="D1956" s="7"/>
      <c r="E1956" s="7"/>
      <c r="F1956" s="6"/>
      <c r="G1956" s="7"/>
      <c r="H1956" s="2"/>
      <c r="I1956" s="2"/>
      <c r="J1956" s="2"/>
      <c r="K1956" s="2"/>
      <c r="L1956" s="178"/>
      <c r="M1956" s="2"/>
      <c r="N1956" s="7"/>
      <c r="P1956" s="7"/>
      <c r="R1956" s="2"/>
      <c r="S1956" s="2"/>
      <c r="T1956" s="2"/>
      <c r="U1956" s="2"/>
      <c r="V1956" s="2"/>
      <c r="X1956" s="38"/>
      <c r="Y1956" s="38"/>
      <c r="Z1956" s="38"/>
      <c r="AA1956" s="38"/>
      <c r="AB1956" s="38"/>
      <c r="AD1956" s="2"/>
      <c r="AE1956" s="2"/>
      <c r="AF1956" s="2"/>
      <c r="AG1956" s="2"/>
      <c r="AH1956" s="2"/>
      <c r="AJ1956" s="215"/>
      <c r="AK1956" s="215"/>
      <c r="AL1956" s="215"/>
      <c r="AM1956" s="215"/>
      <c r="AO1956" s="10"/>
      <c r="AP1956" s="10"/>
      <c r="AQ1956" s="10"/>
      <c r="AR1956" s="10"/>
      <c r="AS1956" s="10"/>
      <c r="AU1956" s="2"/>
      <c r="AV1956" s="2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</row>
    <row r="1957" spans="1:73" customFormat="1" ht="12.75" hidden="1" customHeight="1" x14ac:dyDescent="0.2">
      <c r="A1957" s="1"/>
      <c r="B1957" s="1"/>
      <c r="C1957" s="1"/>
      <c r="D1957" s="7"/>
      <c r="E1957" s="7"/>
      <c r="F1957" s="6"/>
      <c r="G1957" s="7"/>
      <c r="H1957" s="2"/>
      <c r="I1957" s="2"/>
      <c r="J1957" s="2"/>
      <c r="K1957" s="2"/>
      <c r="L1957" s="178"/>
      <c r="M1957" s="2"/>
      <c r="N1957" s="7"/>
      <c r="P1957" s="7"/>
      <c r="R1957" s="2"/>
      <c r="S1957" s="2"/>
      <c r="T1957" s="2"/>
      <c r="U1957" s="2"/>
      <c r="V1957" s="2"/>
      <c r="X1957" s="38"/>
      <c r="Y1957" s="38"/>
      <c r="Z1957" s="38"/>
      <c r="AA1957" s="38"/>
      <c r="AB1957" s="38"/>
      <c r="AD1957" s="2"/>
      <c r="AE1957" s="2"/>
      <c r="AF1957" s="2"/>
      <c r="AG1957" s="2"/>
      <c r="AH1957" s="2"/>
      <c r="AJ1957" s="215"/>
      <c r="AK1957" s="215"/>
      <c r="AL1957" s="215"/>
      <c r="AM1957" s="215"/>
      <c r="AO1957" s="10"/>
      <c r="AP1957" s="10"/>
      <c r="AQ1957" s="10"/>
      <c r="AR1957" s="10"/>
      <c r="AS1957" s="10"/>
      <c r="AU1957" s="2"/>
      <c r="AV1957" s="2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</row>
    <row r="1958" spans="1:73" customFormat="1" ht="12.75" hidden="1" customHeight="1" x14ac:dyDescent="0.2">
      <c r="A1958" s="1"/>
      <c r="B1958" s="1"/>
      <c r="C1958" s="1"/>
      <c r="D1958" s="7"/>
      <c r="E1958" s="7"/>
      <c r="F1958" s="6"/>
      <c r="G1958" s="7"/>
      <c r="H1958" s="2"/>
      <c r="I1958" s="2"/>
      <c r="J1958" s="2"/>
      <c r="K1958" s="2"/>
      <c r="L1958" s="178"/>
      <c r="M1958" s="2"/>
      <c r="N1958" s="7"/>
      <c r="P1958" s="7"/>
      <c r="R1958" s="2"/>
      <c r="S1958" s="2"/>
      <c r="T1958" s="2"/>
      <c r="U1958" s="2"/>
      <c r="V1958" s="2"/>
      <c r="X1958" s="38"/>
      <c r="Y1958" s="38"/>
      <c r="Z1958" s="38"/>
      <c r="AA1958" s="38"/>
      <c r="AB1958" s="38"/>
      <c r="AD1958" s="2"/>
      <c r="AE1958" s="2"/>
      <c r="AF1958" s="2"/>
      <c r="AG1958" s="2"/>
      <c r="AH1958" s="2"/>
      <c r="AJ1958" s="215"/>
      <c r="AK1958" s="215"/>
      <c r="AL1958" s="215"/>
      <c r="AM1958" s="215"/>
      <c r="AO1958" s="10"/>
      <c r="AP1958" s="10"/>
      <c r="AQ1958" s="10"/>
      <c r="AR1958" s="10"/>
      <c r="AS1958" s="10"/>
      <c r="AU1958" s="2"/>
      <c r="AV1958" s="2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</row>
    <row r="1959" spans="1:73" customFormat="1" ht="12.75" hidden="1" customHeight="1" x14ac:dyDescent="0.2">
      <c r="A1959" s="1"/>
      <c r="B1959" s="1"/>
      <c r="C1959" s="1"/>
      <c r="D1959" s="7"/>
      <c r="E1959" s="7"/>
      <c r="F1959" s="6"/>
      <c r="G1959" s="7"/>
      <c r="H1959" s="2"/>
      <c r="I1959" s="2"/>
      <c r="J1959" s="2"/>
      <c r="K1959" s="2"/>
      <c r="L1959" s="178"/>
      <c r="M1959" s="2"/>
      <c r="N1959" s="7"/>
      <c r="P1959" s="7"/>
      <c r="R1959" s="2"/>
      <c r="S1959" s="2"/>
      <c r="T1959" s="2"/>
      <c r="U1959" s="2"/>
      <c r="V1959" s="2"/>
      <c r="X1959" s="38"/>
      <c r="Y1959" s="38"/>
      <c r="Z1959" s="38"/>
      <c r="AA1959" s="38"/>
      <c r="AB1959" s="38"/>
      <c r="AD1959" s="2"/>
      <c r="AE1959" s="2"/>
      <c r="AF1959" s="2"/>
      <c r="AG1959" s="2"/>
      <c r="AH1959" s="2"/>
      <c r="AJ1959" s="215"/>
      <c r="AK1959" s="215"/>
      <c r="AL1959" s="215"/>
      <c r="AM1959" s="215"/>
      <c r="AO1959" s="10"/>
      <c r="AP1959" s="10"/>
      <c r="AQ1959" s="10"/>
      <c r="AR1959" s="10"/>
      <c r="AS1959" s="10"/>
      <c r="AU1959" s="2"/>
      <c r="AV1959" s="2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</row>
    <row r="1960" spans="1:73" customFormat="1" ht="12.75" hidden="1" customHeight="1" x14ac:dyDescent="0.2">
      <c r="A1960" s="1"/>
      <c r="B1960" s="1"/>
      <c r="C1960" s="1"/>
      <c r="D1960" s="7"/>
      <c r="E1960" s="7"/>
      <c r="F1960" s="6"/>
      <c r="G1960" s="7"/>
      <c r="H1960" s="2"/>
      <c r="I1960" s="2"/>
      <c r="J1960" s="2"/>
      <c r="K1960" s="2"/>
      <c r="L1960" s="178"/>
      <c r="M1960" s="2"/>
      <c r="N1960" s="7"/>
      <c r="P1960" s="7"/>
      <c r="R1960" s="2"/>
      <c r="S1960" s="2"/>
      <c r="T1960" s="2"/>
      <c r="U1960" s="2"/>
      <c r="V1960" s="2"/>
      <c r="X1960" s="38"/>
      <c r="Y1960" s="38"/>
      <c r="Z1960" s="38"/>
      <c r="AA1960" s="38"/>
      <c r="AB1960" s="38"/>
      <c r="AD1960" s="2"/>
      <c r="AE1960" s="2"/>
      <c r="AF1960" s="2"/>
      <c r="AG1960" s="2"/>
      <c r="AH1960" s="2"/>
      <c r="AJ1960" s="215"/>
      <c r="AK1960" s="215"/>
      <c r="AL1960" s="215"/>
      <c r="AM1960" s="215"/>
      <c r="AO1960" s="10"/>
      <c r="AP1960" s="10"/>
      <c r="AQ1960" s="10"/>
      <c r="AR1960" s="10"/>
      <c r="AS1960" s="10"/>
      <c r="AU1960" s="2"/>
      <c r="AV1960" s="2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</row>
    <row r="1961" spans="1:73" customFormat="1" ht="12.75" hidden="1" customHeight="1" x14ac:dyDescent="0.2">
      <c r="A1961" s="1"/>
      <c r="B1961" s="1"/>
      <c r="C1961" s="1"/>
      <c r="D1961" s="7"/>
      <c r="E1961" s="7"/>
      <c r="F1961" s="6"/>
      <c r="G1961" s="7"/>
      <c r="H1961" s="2"/>
      <c r="I1961" s="2"/>
      <c r="J1961" s="2"/>
      <c r="K1961" s="2"/>
      <c r="L1961" s="178"/>
      <c r="M1961" s="2"/>
      <c r="N1961" s="7"/>
      <c r="P1961" s="7"/>
      <c r="R1961" s="2"/>
      <c r="S1961" s="2"/>
      <c r="T1961" s="2"/>
      <c r="U1961" s="2"/>
      <c r="V1961" s="2"/>
      <c r="X1961" s="38"/>
      <c r="Y1961" s="38"/>
      <c r="Z1961" s="38"/>
      <c r="AA1961" s="38"/>
      <c r="AB1961" s="38"/>
      <c r="AD1961" s="2"/>
      <c r="AE1961" s="2"/>
      <c r="AF1961" s="2"/>
      <c r="AG1961" s="2"/>
      <c r="AH1961" s="2"/>
      <c r="AJ1961" s="215"/>
      <c r="AK1961" s="215"/>
      <c r="AL1961" s="215"/>
      <c r="AM1961" s="215"/>
      <c r="AO1961" s="10"/>
      <c r="AP1961" s="10"/>
      <c r="AQ1961" s="10"/>
      <c r="AR1961" s="10"/>
      <c r="AS1961" s="10"/>
      <c r="AU1961" s="2"/>
      <c r="AV1961" s="2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</row>
    <row r="1962" spans="1:73" customFormat="1" ht="12.75" hidden="1" customHeight="1" x14ac:dyDescent="0.2">
      <c r="A1962" s="1"/>
      <c r="B1962" s="1"/>
      <c r="C1962" s="1"/>
      <c r="D1962" s="7"/>
      <c r="E1962" s="7"/>
      <c r="F1962" s="6"/>
      <c r="G1962" s="7"/>
      <c r="H1962" s="2"/>
      <c r="I1962" s="2"/>
      <c r="J1962" s="2"/>
      <c r="K1962" s="2"/>
      <c r="L1962" s="178"/>
      <c r="M1962" s="2"/>
      <c r="N1962" s="7"/>
      <c r="P1962" s="7"/>
      <c r="R1962" s="2"/>
      <c r="S1962" s="2"/>
      <c r="T1962" s="2"/>
      <c r="U1962" s="2"/>
      <c r="V1962" s="2"/>
      <c r="X1962" s="38"/>
      <c r="Y1962" s="38"/>
      <c r="Z1962" s="38"/>
      <c r="AA1962" s="38"/>
      <c r="AB1962" s="38"/>
      <c r="AD1962" s="2"/>
      <c r="AE1962" s="2"/>
      <c r="AF1962" s="2"/>
      <c r="AG1962" s="2"/>
      <c r="AH1962" s="2"/>
      <c r="AJ1962" s="215"/>
      <c r="AK1962" s="215"/>
      <c r="AL1962" s="215"/>
      <c r="AM1962" s="215"/>
      <c r="AO1962" s="10"/>
      <c r="AP1962" s="10"/>
      <c r="AQ1962" s="10"/>
      <c r="AR1962" s="10"/>
      <c r="AS1962" s="10"/>
      <c r="AU1962" s="2"/>
      <c r="AV1962" s="2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</row>
    <row r="1963" spans="1:73" customFormat="1" ht="12.75" hidden="1" customHeight="1" x14ac:dyDescent="0.2">
      <c r="A1963" s="1"/>
      <c r="B1963" s="1"/>
      <c r="C1963" s="1"/>
      <c r="D1963" s="7"/>
      <c r="E1963" s="7"/>
      <c r="F1963" s="6"/>
      <c r="G1963" s="7"/>
      <c r="H1963" s="2"/>
      <c r="I1963" s="2"/>
      <c r="J1963" s="2"/>
      <c r="K1963" s="2"/>
      <c r="L1963" s="178"/>
      <c r="M1963" s="2"/>
      <c r="N1963" s="7"/>
      <c r="P1963" s="7"/>
      <c r="R1963" s="2"/>
      <c r="S1963" s="2"/>
      <c r="T1963" s="2"/>
      <c r="U1963" s="2"/>
      <c r="V1963" s="2"/>
      <c r="X1963" s="38"/>
      <c r="Y1963" s="38"/>
      <c r="Z1963" s="38"/>
      <c r="AA1963" s="38"/>
      <c r="AB1963" s="38"/>
      <c r="AD1963" s="2"/>
      <c r="AE1963" s="2"/>
      <c r="AF1963" s="2"/>
      <c r="AG1963" s="2"/>
      <c r="AH1963" s="2"/>
      <c r="AJ1963" s="215"/>
      <c r="AK1963" s="215"/>
      <c r="AL1963" s="215"/>
      <c r="AM1963" s="215"/>
      <c r="AO1963" s="10"/>
      <c r="AP1963" s="10"/>
      <c r="AQ1963" s="10"/>
      <c r="AR1963" s="10"/>
      <c r="AS1963" s="10"/>
      <c r="AU1963" s="2"/>
      <c r="AV1963" s="2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</row>
    <row r="1964" spans="1:73" customFormat="1" ht="12.75" hidden="1" customHeight="1" x14ac:dyDescent="0.2">
      <c r="A1964" s="1"/>
      <c r="B1964" s="1"/>
      <c r="C1964" s="1"/>
      <c r="D1964" s="7"/>
      <c r="E1964" s="7"/>
      <c r="F1964" s="6"/>
      <c r="G1964" s="7"/>
      <c r="H1964" s="2"/>
      <c r="I1964" s="2"/>
      <c r="J1964" s="2"/>
      <c r="K1964" s="2"/>
      <c r="L1964" s="178"/>
      <c r="M1964" s="2"/>
      <c r="N1964" s="7"/>
      <c r="P1964" s="7"/>
      <c r="R1964" s="2"/>
      <c r="S1964" s="2"/>
      <c r="T1964" s="2"/>
      <c r="U1964" s="2"/>
      <c r="V1964" s="2"/>
      <c r="X1964" s="38"/>
      <c r="Y1964" s="38"/>
      <c r="Z1964" s="38"/>
      <c r="AA1964" s="38"/>
      <c r="AB1964" s="38"/>
      <c r="AD1964" s="2"/>
      <c r="AE1964" s="2"/>
      <c r="AF1964" s="2"/>
      <c r="AG1964" s="2"/>
      <c r="AH1964" s="2"/>
      <c r="AJ1964" s="215"/>
      <c r="AK1964" s="215"/>
      <c r="AL1964" s="215"/>
      <c r="AM1964" s="215"/>
      <c r="AO1964" s="10"/>
      <c r="AP1964" s="10"/>
      <c r="AQ1964" s="10"/>
      <c r="AR1964" s="10"/>
      <c r="AS1964" s="10"/>
      <c r="AU1964" s="2"/>
      <c r="AV1964" s="2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</row>
    <row r="1965" spans="1:73" customFormat="1" ht="12.75" hidden="1" customHeight="1" x14ac:dyDescent="0.2">
      <c r="A1965" s="1"/>
      <c r="B1965" s="1"/>
      <c r="C1965" s="1"/>
      <c r="D1965" s="7"/>
      <c r="E1965" s="7"/>
      <c r="F1965" s="6"/>
      <c r="G1965" s="7"/>
      <c r="H1965" s="2"/>
      <c r="I1965" s="2"/>
      <c r="J1965" s="2"/>
      <c r="K1965" s="2"/>
      <c r="L1965" s="178"/>
      <c r="M1965" s="2"/>
      <c r="N1965" s="7"/>
      <c r="P1965" s="7"/>
      <c r="R1965" s="2"/>
      <c r="S1965" s="2"/>
      <c r="T1965" s="2"/>
      <c r="U1965" s="2"/>
      <c r="V1965" s="2"/>
      <c r="X1965" s="38"/>
      <c r="Y1965" s="38"/>
      <c r="Z1965" s="38"/>
      <c r="AA1965" s="38"/>
      <c r="AB1965" s="38"/>
      <c r="AD1965" s="2"/>
      <c r="AE1965" s="2"/>
      <c r="AF1965" s="2"/>
      <c r="AG1965" s="2"/>
      <c r="AH1965" s="2"/>
      <c r="AJ1965" s="215"/>
      <c r="AK1965" s="215"/>
      <c r="AL1965" s="215"/>
      <c r="AM1965" s="215"/>
      <c r="AO1965" s="10"/>
      <c r="AP1965" s="10"/>
      <c r="AQ1965" s="10"/>
      <c r="AR1965" s="10"/>
      <c r="AS1965" s="10"/>
      <c r="AU1965" s="2"/>
      <c r="AV1965" s="2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</row>
    <row r="1966" spans="1:73" customFormat="1" ht="12.75" hidden="1" customHeight="1" x14ac:dyDescent="0.2">
      <c r="A1966" s="1"/>
      <c r="B1966" s="1"/>
      <c r="C1966" s="1"/>
      <c r="D1966" s="7"/>
      <c r="E1966" s="7"/>
      <c r="F1966" s="6"/>
      <c r="G1966" s="7"/>
      <c r="H1966" s="2"/>
      <c r="I1966" s="2"/>
      <c r="J1966" s="2"/>
      <c r="K1966" s="2"/>
      <c r="L1966" s="178"/>
      <c r="M1966" s="2"/>
      <c r="N1966" s="7"/>
      <c r="P1966" s="7"/>
      <c r="R1966" s="2"/>
      <c r="S1966" s="2"/>
      <c r="T1966" s="2"/>
      <c r="U1966" s="2"/>
      <c r="V1966" s="2"/>
      <c r="X1966" s="38"/>
      <c r="Y1966" s="38"/>
      <c r="Z1966" s="38"/>
      <c r="AA1966" s="38"/>
      <c r="AB1966" s="38"/>
      <c r="AD1966" s="2"/>
      <c r="AE1966" s="2"/>
      <c r="AF1966" s="2"/>
      <c r="AG1966" s="2"/>
      <c r="AH1966" s="2"/>
      <c r="AJ1966" s="215"/>
      <c r="AK1966" s="215"/>
      <c r="AL1966" s="215"/>
      <c r="AM1966" s="215"/>
      <c r="AO1966" s="10"/>
      <c r="AP1966" s="10"/>
      <c r="AQ1966" s="10"/>
      <c r="AR1966" s="10"/>
      <c r="AS1966" s="10"/>
      <c r="AU1966" s="2"/>
      <c r="AV1966" s="2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</row>
    <row r="1967" spans="1:73" customFormat="1" ht="12.75" hidden="1" customHeight="1" x14ac:dyDescent="0.2">
      <c r="A1967" s="1"/>
      <c r="B1967" s="1"/>
      <c r="C1967" s="1"/>
      <c r="D1967" s="7"/>
      <c r="E1967" s="7"/>
      <c r="F1967" s="6"/>
      <c r="G1967" s="7"/>
      <c r="H1967" s="2"/>
      <c r="I1967" s="2"/>
      <c r="J1967" s="2"/>
      <c r="K1967" s="2"/>
      <c r="L1967" s="178"/>
      <c r="M1967" s="2"/>
      <c r="N1967" s="7"/>
      <c r="P1967" s="7"/>
      <c r="R1967" s="2"/>
      <c r="S1967" s="2"/>
      <c r="T1967" s="2"/>
      <c r="U1967" s="2"/>
      <c r="V1967" s="2"/>
      <c r="X1967" s="38"/>
      <c r="Y1967" s="38"/>
      <c r="Z1967" s="38"/>
      <c r="AA1967" s="38"/>
      <c r="AB1967" s="38"/>
      <c r="AD1967" s="2"/>
      <c r="AE1967" s="2"/>
      <c r="AF1967" s="2"/>
      <c r="AG1967" s="2"/>
      <c r="AH1967" s="2"/>
      <c r="AJ1967" s="215"/>
      <c r="AK1967" s="215"/>
      <c r="AL1967" s="215"/>
      <c r="AM1967" s="215"/>
      <c r="AO1967" s="10"/>
      <c r="AP1967" s="10"/>
      <c r="AQ1967" s="10"/>
      <c r="AR1967" s="10"/>
      <c r="AS1967" s="10"/>
      <c r="AU1967" s="2"/>
      <c r="AV1967" s="2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</row>
    <row r="1968" spans="1:73" customFormat="1" ht="12.75" hidden="1" customHeight="1" x14ac:dyDescent="0.2">
      <c r="A1968" s="1"/>
      <c r="B1968" s="1"/>
      <c r="C1968" s="1"/>
      <c r="D1968" s="7"/>
      <c r="E1968" s="7"/>
      <c r="F1968" s="6"/>
      <c r="G1968" s="7"/>
      <c r="H1968" s="2"/>
      <c r="I1968" s="2"/>
      <c r="J1968" s="2"/>
      <c r="K1968" s="2"/>
      <c r="L1968" s="178"/>
      <c r="M1968" s="2"/>
      <c r="N1968" s="7"/>
      <c r="P1968" s="7"/>
      <c r="R1968" s="2"/>
      <c r="S1968" s="2"/>
      <c r="T1968" s="2"/>
      <c r="U1968" s="2"/>
      <c r="V1968" s="2"/>
      <c r="X1968" s="38"/>
      <c r="Y1968" s="38"/>
      <c r="Z1968" s="38"/>
      <c r="AA1968" s="38"/>
      <c r="AB1968" s="38"/>
      <c r="AD1968" s="2"/>
      <c r="AE1968" s="2"/>
      <c r="AF1968" s="2"/>
      <c r="AG1968" s="2"/>
      <c r="AH1968" s="2"/>
      <c r="AJ1968" s="215"/>
      <c r="AK1968" s="215"/>
      <c r="AL1968" s="215"/>
      <c r="AM1968" s="215"/>
      <c r="AO1968" s="10"/>
      <c r="AP1968" s="10"/>
      <c r="AQ1968" s="10"/>
      <c r="AR1968" s="10"/>
      <c r="AS1968" s="10"/>
      <c r="AU1968" s="2"/>
      <c r="AV1968" s="2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</row>
    <row r="1969" spans="1:73" customFormat="1" ht="12.75" hidden="1" customHeight="1" x14ac:dyDescent="0.2">
      <c r="A1969" s="1"/>
      <c r="B1969" s="1"/>
      <c r="C1969" s="1"/>
      <c r="D1969" s="7"/>
      <c r="E1969" s="7"/>
      <c r="F1969" s="6"/>
      <c r="G1969" s="7"/>
      <c r="H1969" s="2"/>
      <c r="I1969" s="2"/>
      <c r="J1969" s="2"/>
      <c r="K1969" s="2"/>
      <c r="L1969" s="178"/>
      <c r="M1969" s="2"/>
      <c r="N1969" s="7"/>
      <c r="P1969" s="7"/>
      <c r="R1969" s="2"/>
      <c r="S1969" s="2"/>
      <c r="T1969" s="2"/>
      <c r="U1969" s="2"/>
      <c r="V1969" s="2"/>
      <c r="X1969" s="38"/>
      <c r="Y1969" s="38"/>
      <c r="Z1969" s="38"/>
      <c r="AA1969" s="38"/>
      <c r="AB1969" s="38"/>
      <c r="AD1969" s="2"/>
      <c r="AE1969" s="2"/>
      <c r="AF1969" s="2"/>
      <c r="AG1969" s="2"/>
      <c r="AH1969" s="2"/>
      <c r="AJ1969" s="215"/>
      <c r="AK1969" s="215"/>
      <c r="AL1969" s="215"/>
      <c r="AM1969" s="215"/>
      <c r="AO1969" s="10"/>
      <c r="AP1969" s="10"/>
      <c r="AQ1969" s="10"/>
      <c r="AR1969" s="10"/>
      <c r="AS1969" s="10"/>
      <c r="AU1969" s="2"/>
      <c r="AV1969" s="2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</row>
    <row r="1970" spans="1:73" customFormat="1" ht="12.75" hidden="1" customHeight="1" x14ac:dyDescent="0.2">
      <c r="A1970" s="1"/>
      <c r="B1970" s="1"/>
      <c r="C1970" s="1"/>
      <c r="D1970" s="7"/>
      <c r="E1970" s="7"/>
      <c r="F1970" s="6"/>
      <c r="G1970" s="7"/>
      <c r="H1970" s="2"/>
      <c r="I1970" s="2"/>
      <c r="J1970" s="2"/>
      <c r="K1970" s="2"/>
      <c r="L1970" s="178"/>
      <c r="M1970" s="2"/>
      <c r="N1970" s="7"/>
      <c r="P1970" s="7"/>
      <c r="R1970" s="2"/>
      <c r="S1970" s="2"/>
      <c r="T1970" s="2"/>
      <c r="U1970" s="2"/>
      <c r="V1970" s="2"/>
      <c r="X1970" s="38"/>
      <c r="Y1970" s="38"/>
      <c r="Z1970" s="38"/>
      <c r="AA1970" s="38"/>
      <c r="AB1970" s="38"/>
      <c r="AD1970" s="2"/>
      <c r="AE1970" s="2"/>
      <c r="AF1970" s="2"/>
      <c r="AG1970" s="2"/>
      <c r="AH1970" s="2"/>
      <c r="AJ1970" s="215"/>
      <c r="AK1970" s="215"/>
      <c r="AL1970" s="215"/>
      <c r="AM1970" s="215"/>
      <c r="AO1970" s="10"/>
      <c r="AP1970" s="10"/>
      <c r="AQ1970" s="10"/>
      <c r="AR1970" s="10"/>
      <c r="AS1970" s="10"/>
      <c r="AU1970" s="2"/>
      <c r="AV1970" s="2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</row>
    <row r="1971" spans="1:73" customFormat="1" ht="12.75" hidden="1" customHeight="1" x14ac:dyDescent="0.2">
      <c r="A1971" s="1"/>
      <c r="B1971" s="1"/>
      <c r="C1971" s="1"/>
      <c r="D1971" s="7"/>
      <c r="E1971" s="7"/>
      <c r="F1971" s="6"/>
      <c r="G1971" s="7"/>
      <c r="H1971" s="2"/>
      <c r="I1971" s="2"/>
      <c r="J1971" s="2"/>
      <c r="K1971" s="2"/>
      <c r="L1971" s="178"/>
      <c r="M1971" s="2"/>
      <c r="N1971" s="7"/>
      <c r="P1971" s="7"/>
      <c r="R1971" s="2"/>
      <c r="S1971" s="2"/>
      <c r="T1971" s="2"/>
      <c r="U1971" s="2"/>
      <c r="V1971" s="2"/>
      <c r="X1971" s="38"/>
      <c r="Y1971" s="38"/>
      <c r="Z1971" s="38"/>
      <c r="AA1971" s="38"/>
      <c r="AB1971" s="38"/>
      <c r="AD1971" s="2"/>
      <c r="AE1971" s="2"/>
      <c r="AF1971" s="2"/>
      <c r="AG1971" s="2"/>
      <c r="AH1971" s="2"/>
      <c r="AJ1971" s="215"/>
      <c r="AK1971" s="215"/>
      <c r="AL1971" s="215"/>
      <c r="AM1971" s="215"/>
      <c r="AO1971" s="10"/>
      <c r="AP1971" s="10"/>
      <c r="AQ1971" s="10"/>
      <c r="AR1971" s="10"/>
      <c r="AS1971" s="10"/>
      <c r="AU1971" s="2"/>
      <c r="AV1971" s="2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</row>
    <row r="1972" spans="1:73" customFormat="1" ht="12.75" hidden="1" customHeight="1" x14ac:dyDescent="0.2">
      <c r="A1972" s="1"/>
      <c r="B1972" s="1"/>
      <c r="C1972" s="1"/>
      <c r="D1972" s="7"/>
      <c r="E1972" s="7"/>
      <c r="F1972" s="6"/>
      <c r="G1972" s="7"/>
      <c r="H1972" s="2"/>
      <c r="I1972" s="2"/>
      <c r="J1972" s="2"/>
      <c r="K1972" s="2"/>
      <c r="L1972" s="178"/>
      <c r="M1972" s="2"/>
      <c r="N1972" s="7"/>
      <c r="P1972" s="7"/>
      <c r="R1972" s="2"/>
      <c r="S1972" s="2"/>
      <c r="T1972" s="2"/>
      <c r="U1972" s="2"/>
      <c r="V1972" s="2"/>
      <c r="X1972" s="38"/>
      <c r="Y1972" s="38"/>
      <c r="Z1972" s="38"/>
      <c r="AA1972" s="38"/>
      <c r="AB1972" s="38"/>
      <c r="AD1972" s="2"/>
      <c r="AE1972" s="2"/>
      <c r="AF1972" s="2"/>
      <c r="AG1972" s="2"/>
      <c r="AH1972" s="2"/>
      <c r="AJ1972" s="215"/>
      <c r="AK1972" s="215"/>
      <c r="AL1972" s="215"/>
      <c r="AM1972" s="215"/>
      <c r="AO1972" s="10"/>
      <c r="AP1972" s="10"/>
      <c r="AQ1972" s="10"/>
      <c r="AR1972" s="10"/>
      <c r="AS1972" s="10"/>
      <c r="AU1972" s="2"/>
      <c r="AV1972" s="2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</row>
    <row r="1973" spans="1:73" customFormat="1" ht="12.75" hidden="1" customHeight="1" x14ac:dyDescent="0.2">
      <c r="A1973" s="1"/>
      <c r="B1973" s="1"/>
      <c r="C1973" s="1"/>
      <c r="D1973" s="7"/>
      <c r="E1973" s="7"/>
      <c r="F1973" s="6"/>
      <c r="G1973" s="7"/>
      <c r="H1973" s="2"/>
      <c r="I1973" s="2"/>
      <c r="J1973" s="2"/>
      <c r="K1973" s="2"/>
      <c r="L1973" s="178"/>
      <c r="M1973" s="2"/>
      <c r="N1973" s="7"/>
      <c r="P1973" s="7"/>
      <c r="R1973" s="2"/>
      <c r="S1973" s="2"/>
      <c r="T1973" s="2"/>
      <c r="U1973" s="2"/>
      <c r="V1973" s="2"/>
      <c r="X1973" s="38"/>
      <c r="Y1973" s="38"/>
      <c r="Z1973" s="38"/>
      <c r="AA1973" s="38"/>
      <c r="AB1973" s="38"/>
      <c r="AD1973" s="2"/>
      <c r="AE1973" s="2"/>
      <c r="AF1973" s="2"/>
      <c r="AG1973" s="2"/>
      <c r="AH1973" s="2"/>
      <c r="AJ1973" s="215"/>
      <c r="AK1973" s="215"/>
      <c r="AL1973" s="215"/>
      <c r="AM1973" s="215"/>
      <c r="AO1973" s="10"/>
      <c r="AP1973" s="10"/>
      <c r="AQ1973" s="10"/>
      <c r="AR1973" s="10"/>
      <c r="AS1973" s="10"/>
      <c r="AU1973" s="2"/>
      <c r="AV1973" s="2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</row>
    <row r="1974" spans="1:73" customFormat="1" ht="12.75" hidden="1" customHeight="1" x14ac:dyDescent="0.2">
      <c r="A1974" s="1"/>
      <c r="B1974" s="1"/>
      <c r="C1974" s="1"/>
      <c r="D1974" s="7"/>
      <c r="E1974" s="7"/>
      <c r="F1974" s="6"/>
      <c r="G1974" s="7"/>
      <c r="H1974" s="2"/>
      <c r="I1974" s="2"/>
      <c r="J1974" s="2"/>
      <c r="K1974" s="2"/>
      <c r="L1974" s="178"/>
      <c r="M1974" s="2"/>
      <c r="N1974" s="7"/>
      <c r="P1974" s="7"/>
      <c r="R1974" s="2"/>
      <c r="S1974" s="2"/>
      <c r="T1974" s="2"/>
      <c r="U1974" s="2"/>
      <c r="V1974" s="2"/>
      <c r="X1974" s="38"/>
      <c r="Y1974" s="38"/>
      <c r="Z1974" s="38"/>
      <c r="AA1974" s="38"/>
      <c r="AB1974" s="38"/>
      <c r="AD1974" s="2"/>
      <c r="AE1974" s="2"/>
      <c r="AF1974" s="2"/>
      <c r="AG1974" s="2"/>
      <c r="AH1974" s="2"/>
      <c r="AJ1974" s="215"/>
      <c r="AK1974" s="215"/>
      <c r="AL1974" s="215"/>
      <c r="AM1974" s="215"/>
      <c r="AO1974" s="10"/>
      <c r="AP1974" s="10"/>
      <c r="AQ1974" s="10"/>
      <c r="AR1974" s="10"/>
      <c r="AS1974" s="10"/>
      <c r="AU1974" s="2"/>
      <c r="AV1974" s="2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</row>
    <row r="1975" spans="1:73" customFormat="1" ht="12.75" hidden="1" customHeight="1" x14ac:dyDescent="0.2">
      <c r="A1975" s="1"/>
      <c r="B1975" s="1"/>
      <c r="C1975" s="1"/>
      <c r="D1975" s="7"/>
      <c r="E1975" s="7"/>
      <c r="F1975" s="6"/>
      <c r="G1975" s="7"/>
      <c r="H1975" s="2"/>
      <c r="I1975" s="2"/>
      <c r="J1975" s="2"/>
      <c r="K1975" s="2"/>
      <c r="L1975" s="178"/>
      <c r="M1975" s="2"/>
      <c r="N1975" s="7"/>
      <c r="P1975" s="7"/>
      <c r="R1975" s="2"/>
      <c r="S1975" s="2"/>
      <c r="T1975" s="2"/>
      <c r="U1975" s="2"/>
      <c r="V1975" s="2"/>
      <c r="X1975" s="38"/>
      <c r="Y1975" s="38"/>
      <c r="Z1975" s="38"/>
      <c r="AA1975" s="38"/>
      <c r="AB1975" s="38"/>
      <c r="AD1975" s="2"/>
      <c r="AE1975" s="2"/>
      <c r="AF1975" s="2"/>
      <c r="AG1975" s="2"/>
      <c r="AH1975" s="2"/>
      <c r="AJ1975" s="215"/>
      <c r="AK1975" s="215"/>
      <c r="AL1975" s="215"/>
      <c r="AM1975" s="215"/>
      <c r="AO1975" s="10"/>
      <c r="AP1975" s="10"/>
      <c r="AQ1975" s="10"/>
      <c r="AR1975" s="10"/>
      <c r="AS1975" s="10"/>
      <c r="AU1975" s="2"/>
      <c r="AV1975" s="2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</row>
    <row r="1976" spans="1:73" customFormat="1" ht="12.75" hidden="1" customHeight="1" x14ac:dyDescent="0.2">
      <c r="A1976" s="1"/>
      <c r="B1976" s="1"/>
      <c r="C1976" s="1"/>
      <c r="D1976" s="7"/>
      <c r="E1976" s="7"/>
      <c r="F1976" s="6"/>
      <c r="G1976" s="7"/>
      <c r="H1976" s="2"/>
      <c r="I1976" s="2"/>
      <c r="J1976" s="2"/>
      <c r="K1976" s="2"/>
      <c r="L1976" s="178"/>
      <c r="M1976" s="2"/>
      <c r="N1976" s="7"/>
      <c r="P1976" s="7"/>
      <c r="R1976" s="2"/>
      <c r="S1976" s="2"/>
      <c r="T1976" s="2"/>
      <c r="U1976" s="2"/>
      <c r="V1976" s="2"/>
      <c r="X1976" s="38"/>
      <c r="Y1976" s="38"/>
      <c r="Z1976" s="38"/>
      <c r="AA1976" s="38"/>
      <c r="AB1976" s="38"/>
      <c r="AD1976" s="2"/>
      <c r="AE1976" s="2"/>
      <c r="AF1976" s="2"/>
      <c r="AG1976" s="2"/>
      <c r="AH1976" s="2"/>
      <c r="AJ1976" s="215"/>
      <c r="AK1976" s="215"/>
      <c r="AL1976" s="215"/>
      <c r="AM1976" s="215"/>
      <c r="AO1976" s="10"/>
      <c r="AP1976" s="10"/>
      <c r="AQ1976" s="10"/>
      <c r="AR1976" s="10"/>
      <c r="AS1976" s="10"/>
      <c r="AU1976" s="2"/>
      <c r="AV1976" s="2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</row>
    <row r="1977" spans="1:73" customFormat="1" ht="12.75" hidden="1" customHeight="1" x14ac:dyDescent="0.2">
      <c r="A1977" s="1"/>
      <c r="B1977" s="1"/>
      <c r="C1977" s="1"/>
      <c r="D1977" s="7"/>
      <c r="E1977" s="7"/>
      <c r="F1977" s="6"/>
      <c r="G1977" s="7"/>
      <c r="H1977" s="2"/>
      <c r="I1977" s="2"/>
      <c r="J1977" s="2"/>
      <c r="K1977" s="2"/>
      <c r="L1977" s="178"/>
      <c r="M1977" s="2"/>
      <c r="N1977" s="7"/>
      <c r="P1977" s="7"/>
      <c r="R1977" s="2"/>
      <c r="S1977" s="2"/>
      <c r="T1977" s="2"/>
      <c r="U1977" s="2"/>
      <c r="V1977" s="2"/>
      <c r="X1977" s="38"/>
      <c r="Y1977" s="38"/>
      <c r="Z1977" s="38"/>
      <c r="AA1977" s="38"/>
      <c r="AB1977" s="38"/>
      <c r="AD1977" s="2"/>
      <c r="AE1977" s="2"/>
      <c r="AF1977" s="2"/>
      <c r="AG1977" s="2"/>
      <c r="AH1977" s="2"/>
      <c r="AJ1977" s="215"/>
      <c r="AK1977" s="215"/>
      <c r="AL1977" s="215"/>
      <c r="AM1977" s="215"/>
      <c r="AO1977" s="10"/>
      <c r="AP1977" s="10"/>
      <c r="AQ1977" s="10"/>
      <c r="AR1977" s="10"/>
      <c r="AS1977" s="10"/>
      <c r="AU1977" s="2"/>
      <c r="AV1977" s="2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</row>
    <row r="1978" spans="1:73" customFormat="1" ht="12.75" hidden="1" customHeight="1" x14ac:dyDescent="0.2">
      <c r="A1978" s="1"/>
      <c r="B1978" s="1"/>
      <c r="C1978" s="1"/>
      <c r="D1978" s="7"/>
      <c r="E1978" s="7"/>
      <c r="F1978" s="6"/>
      <c r="G1978" s="7"/>
      <c r="H1978" s="2"/>
      <c r="I1978" s="2"/>
      <c r="J1978" s="2"/>
      <c r="K1978" s="2"/>
      <c r="L1978" s="178"/>
      <c r="M1978" s="2"/>
      <c r="N1978" s="7"/>
      <c r="P1978" s="7"/>
      <c r="R1978" s="2"/>
      <c r="S1978" s="2"/>
      <c r="T1978" s="2"/>
      <c r="U1978" s="2"/>
      <c r="V1978" s="2"/>
      <c r="X1978" s="38"/>
      <c r="Y1978" s="38"/>
      <c r="Z1978" s="38"/>
      <c r="AA1978" s="38"/>
      <c r="AB1978" s="38"/>
      <c r="AD1978" s="2"/>
      <c r="AE1978" s="2"/>
      <c r="AF1978" s="2"/>
      <c r="AG1978" s="2"/>
      <c r="AH1978" s="2"/>
      <c r="AJ1978" s="215"/>
      <c r="AK1978" s="215"/>
      <c r="AL1978" s="215"/>
      <c r="AM1978" s="215"/>
      <c r="AO1978" s="10"/>
      <c r="AP1978" s="10"/>
      <c r="AQ1978" s="10"/>
      <c r="AR1978" s="10"/>
      <c r="AS1978" s="10"/>
      <c r="AU1978" s="2"/>
      <c r="AV1978" s="2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</row>
    <row r="1979" spans="1:73" customFormat="1" ht="12.75" hidden="1" customHeight="1" x14ac:dyDescent="0.2">
      <c r="A1979" s="1"/>
      <c r="B1979" s="1"/>
      <c r="C1979" s="1"/>
      <c r="D1979" s="7"/>
      <c r="E1979" s="7"/>
      <c r="F1979" s="6"/>
      <c r="G1979" s="7"/>
      <c r="H1979" s="2"/>
      <c r="I1979" s="2"/>
      <c r="J1979" s="2"/>
      <c r="K1979" s="2"/>
      <c r="L1979" s="178"/>
      <c r="M1979" s="2"/>
      <c r="N1979" s="7"/>
      <c r="P1979" s="7"/>
      <c r="R1979" s="2"/>
      <c r="S1979" s="2"/>
      <c r="T1979" s="2"/>
      <c r="U1979" s="2"/>
      <c r="V1979" s="2"/>
      <c r="X1979" s="38"/>
      <c r="Y1979" s="38"/>
      <c r="Z1979" s="38"/>
      <c r="AA1979" s="38"/>
      <c r="AB1979" s="38"/>
      <c r="AD1979" s="2"/>
      <c r="AE1979" s="2"/>
      <c r="AF1979" s="2"/>
      <c r="AG1979" s="2"/>
      <c r="AH1979" s="2"/>
      <c r="AJ1979" s="215"/>
      <c r="AK1979" s="215"/>
      <c r="AL1979" s="215"/>
      <c r="AM1979" s="215"/>
      <c r="AO1979" s="10"/>
      <c r="AP1979" s="10"/>
      <c r="AQ1979" s="10"/>
      <c r="AR1979" s="10"/>
      <c r="AS1979" s="10"/>
      <c r="AU1979" s="2"/>
      <c r="AV1979" s="2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</row>
    <row r="1980" spans="1:73" customFormat="1" ht="12.75" hidden="1" customHeight="1" x14ac:dyDescent="0.2">
      <c r="A1980" s="1"/>
      <c r="B1980" s="1"/>
      <c r="C1980" s="1"/>
      <c r="D1980" s="7"/>
      <c r="E1980" s="7"/>
      <c r="F1980" s="6"/>
      <c r="G1980" s="7"/>
      <c r="H1980" s="2"/>
      <c r="I1980" s="2"/>
      <c r="J1980" s="2"/>
      <c r="K1980" s="2"/>
      <c r="L1980" s="178"/>
      <c r="M1980" s="2"/>
      <c r="N1980" s="7"/>
      <c r="P1980" s="7"/>
      <c r="R1980" s="2"/>
      <c r="S1980" s="2"/>
      <c r="T1980" s="2"/>
      <c r="U1980" s="2"/>
      <c r="V1980" s="2"/>
      <c r="X1980" s="38"/>
      <c r="Y1980" s="38"/>
      <c r="Z1980" s="38"/>
      <c r="AA1980" s="38"/>
      <c r="AB1980" s="38"/>
      <c r="AD1980" s="2"/>
      <c r="AE1980" s="2"/>
      <c r="AF1980" s="2"/>
      <c r="AG1980" s="2"/>
      <c r="AH1980" s="2"/>
      <c r="AJ1980" s="215"/>
      <c r="AK1980" s="215"/>
      <c r="AL1980" s="215"/>
      <c r="AM1980" s="215"/>
      <c r="AO1980" s="10"/>
      <c r="AP1980" s="10"/>
      <c r="AQ1980" s="10"/>
      <c r="AR1980" s="10"/>
      <c r="AS1980" s="10"/>
      <c r="AU1980" s="2"/>
      <c r="AV1980" s="2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</row>
    <row r="1981" spans="1:73" customFormat="1" ht="12.75" hidden="1" customHeight="1" x14ac:dyDescent="0.2">
      <c r="A1981" s="1"/>
      <c r="B1981" s="1"/>
      <c r="C1981" s="1"/>
      <c r="D1981" s="7"/>
      <c r="E1981" s="7"/>
      <c r="F1981" s="6"/>
      <c r="G1981" s="7"/>
      <c r="H1981" s="2"/>
      <c r="I1981" s="2"/>
      <c r="J1981" s="2"/>
      <c r="K1981" s="2"/>
      <c r="L1981" s="178"/>
      <c r="M1981" s="2"/>
      <c r="N1981" s="7"/>
      <c r="P1981" s="7"/>
      <c r="R1981" s="2"/>
      <c r="S1981" s="2"/>
      <c r="T1981" s="2"/>
      <c r="U1981" s="2"/>
      <c r="V1981" s="2"/>
      <c r="X1981" s="38"/>
      <c r="Y1981" s="38"/>
      <c r="Z1981" s="38"/>
      <c r="AA1981" s="38"/>
      <c r="AB1981" s="38"/>
      <c r="AD1981" s="2"/>
      <c r="AE1981" s="2"/>
      <c r="AF1981" s="2"/>
      <c r="AG1981" s="2"/>
      <c r="AH1981" s="2"/>
      <c r="AJ1981" s="215"/>
      <c r="AK1981" s="215"/>
      <c r="AL1981" s="215"/>
      <c r="AM1981" s="215"/>
      <c r="AO1981" s="10"/>
      <c r="AP1981" s="10"/>
      <c r="AQ1981" s="10"/>
      <c r="AR1981" s="10"/>
      <c r="AS1981" s="10"/>
      <c r="AU1981" s="2"/>
      <c r="AV1981" s="2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</row>
    <row r="1982" spans="1:73" customFormat="1" ht="12.75" hidden="1" customHeight="1" x14ac:dyDescent="0.2">
      <c r="A1982" s="1"/>
      <c r="B1982" s="1"/>
      <c r="C1982" s="1"/>
      <c r="D1982" s="7"/>
      <c r="E1982" s="7"/>
      <c r="F1982" s="6"/>
      <c r="G1982" s="7"/>
      <c r="H1982" s="2"/>
      <c r="I1982" s="2"/>
      <c r="J1982" s="2"/>
      <c r="K1982" s="2"/>
      <c r="L1982" s="178"/>
      <c r="M1982" s="2"/>
      <c r="N1982" s="7"/>
      <c r="P1982" s="7"/>
      <c r="R1982" s="2"/>
      <c r="S1982" s="2"/>
      <c r="T1982" s="2"/>
      <c r="U1982" s="2"/>
      <c r="V1982" s="2"/>
      <c r="X1982" s="38"/>
      <c r="Y1982" s="38"/>
      <c r="Z1982" s="38"/>
      <c r="AA1982" s="38"/>
      <c r="AB1982" s="38"/>
      <c r="AD1982" s="2"/>
      <c r="AE1982" s="2"/>
      <c r="AF1982" s="2"/>
      <c r="AG1982" s="2"/>
      <c r="AH1982" s="2"/>
      <c r="AJ1982" s="215"/>
      <c r="AK1982" s="215"/>
      <c r="AL1982" s="215"/>
      <c r="AM1982" s="215"/>
      <c r="AO1982" s="10"/>
      <c r="AP1982" s="10"/>
      <c r="AQ1982" s="10"/>
      <c r="AR1982" s="10"/>
      <c r="AS1982" s="10"/>
      <c r="AU1982" s="2"/>
      <c r="AV1982" s="2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</row>
    <row r="1983" spans="1:73" customFormat="1" ht="12.75" hidden="1" customHeight="1" x14ac:dyDescent="0.2">
      <c r="A1983" s="1"/>
      <c r="B1983" s="1"/>
      <c r="C1983" s="1"/>
      <c r="D1983" s="7"/>
      <c r="E1983" s="7"/>
      <c r="F1983" s="6"/>
      <c r="G1983" s="7"/>
      <c r="H1983" s="2"/>
      <c r="I1983" s="2"/>
      <c r="J1983" s="2"/>
      <c r="K1983" s="2"/>
      <c r="L1983" s="178"/>
      <c r="M1983" s="2"/>
      <c r="N1983" s="7"/>
      <c r="P1983" s="7"/>
      <c r="R1983" s="2"/>
      <c r="S1983" s="2"/>
      <c r="T1983" s="2"/>
      <c r="U1983" s="2"/>
      <c r="V1983" s="2"/>
      <c r="X1983" s="38"/>
      <c r="Y1983" s="38"/>
      <c r="Z1983" s="38"/>
      <c r="AA1983" s="38"/>
      <c r="AB1983" s="38"/>
      <c r="AD1983" s="2"/>
      <c r="AE1983" s="2"/>
      <c r="AF1983" s="2"/>
      <c r="AG1983" s="2"/>
      <c r="AH1983" s="2"/>
      <c r="AJ1983" s="215"/>
      <c r="AK1983" s="215"/>
      <c r="AL1983" s="215"/>
      <c r="AM1983" s="215"/>
      <c r="AO1983" s="10"/>
      <c r="AP1983" s="10"/>
      <c r="AQ1983" s="10"/>
      <c r="AR1983" s="10"/>
      <c r="AS1983" s="10"/>
      <c r="AU1983" s="2"/>
      <c r="AV1983" s="2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</row>
    <row r="1984" spans="1:73" customFormat="1" ht="12.75" hidden="1" customHeight="1" x14ac:dyDescent="0.2">
      <c r="A1984" s="1"/>
      <c r="B1984" s="1"/>
      <c r="C1984" s="1"/>
      <c r="D1984" s="7"/>
      <c r="E1984" s="7"/>
      <c r="F1984" s="6"/>
      <c r="G1984" s="7"/>
      <c r="H1984" s="2"/>
      <c r="I1984" s="2"/>
      <c r="J1984" s="2"/>
      <c r="K1984" s="2"/>
      <c r="L1984" s="178"/>
      <c r="M1984" s="2"/>
      <c r="N1984" s="7"/>
      <c r="P1984" s="7"/>
      <c r="R1984" s="2"/>
      <c r="S1984" s="2"/>
      <c r="T1984" s="2"/>
      <c r="U1984" s="2"/>
      <c r="V1984" s="2"/>
      <c r="X1984" s="38"/>
      <c r="Y1984" s="38"/>
      <c r="Z1984" s="38"/>
      <c r="AA1984" s="38"/>
      <c r="AB1984" s="38"/>
      <c r="AD1984" s="2"/>
      <c r="AE1984" s="2"/>
      <c r="AF1984" s="2"/>
      <c r="AG1984" s="2"/>
      <c r="AH1984" s="2"/>
      <c r="AJ1984" s="215"/>
      <c r="AK1984" s="215"/>
      <c r="AL1984" s="215"/>
      <c r="AM1984" s="215"/>
      <c r="AO1984" s="10"/>
      <c r="AP1984" s="10"/>
      <c r="AQ1984" s="10"/>
      <c r="AR1984" s="10"/>
      <c r="AS1984" s="10"/>
      <c r="AU1984" s="2"/>
      <c r="AV1984" s="2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</row>
    <row r="1985" spans="1:73" customFormat="1" ht="12.75" hidden="1" customHeight="1" x14ac:dyDescent="0.2">
      <c r="A1985" s="1"/>
      <c r="B1985" s="1"/>
      <c r="C1985" s="1"/>
      <c r="D1985" s="7"/>
      <c r="E1985" s="7"/>
      <c r="F1985" s="6"/>
      <c r="G1985" s="7"/>
      <c r="H1985" s="2"/>
      <c r="I1985" s="2"/>
      <c r="J1985" s="2"/>
      <c r="K1985" s="2"/>
      <c r="L1985" s="178"/>
      <c r="M1985" s="2"/>
      <c r="N1985" s="7"/>
      <c r="P1985" s="7"/>
      <c r="R1985" s="2"/>
      <c r="S1985" s="2"/>
      <c r="T1985" s="2"/>
      <c r="U1985" s="2"/>
      <c r="V1985" s="2"/>
      <c r="X1985" s="38"/>
      <c r="Y1985" s="38"/>
      <c r="Z1985" s="38"/>
      <c r="AA1985" s="38"/>
      <c r="AB1985" s="38"/>
      <c r="AD1985" s="2"/>
      <c r="AE1985" s="2"/>
      <c r="AF1985" s="2"/>
      <c r="AG1985" s="2"/>
      <c r="AH1985" s="2"/>
      <c r="AJ1985" s="215"/>
      <c r="AK1985" s="215"/>
      <c r="AL1985" s="215"/>
      <c r="AM1985" s="215"/>
      <c r="AO1985" s="10"/>
      <c r="AP1985" s="10"/>
      <c r="AQ1985" s="10"/>
      <c r="AR1985" s="10"/>
      <c r="AS1985" s="10"/>
      <c r="AU1985" s="2"/>
      <c r="AV1985" s="2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</row>
    <row r="1986" spans="1:73" customFormat="1" ht="12.75" hidden="1" customHeight="1" x14ac:dyDescent="0.2">
      <c r="A1986" s="1"/>
      <c r="B1986" s="1"/>
      <c r="C1986" s="1"/>
      <c r="D1986" s="7"/>
      <c r="E1986" s="7"/>
      <c r="F1986" s="6"/>
      <c r="G1986" s="7"/>
      <c r="H1986" s="2"/>
      <c r="I1986" s="2"/>
      <c r="J1986" s="2"/>
      <c r="K1986" s="2"/>
      <c r="L1986" s="178"/>
      <c r="M1986" s="2"/>
      <c r="N1986" s="7"/>
      <c r="P1986" s="7"/>
      <c r="R1986" s="2"/>
      <c r="S1986" s="2"/>
      <c r="T1986" s="2"/>
      <c r="U1986" s="2"/>
      <c r="V1986" s="2"/>
      <c r="X1986" s="38"/>
      <c r="Y1986" s="38"/>
      <c r="Z1986" s="38"/>
      <c r="AA1986" s="38"/>
      <c r="AB1986" s="38"/>
      <c r="AD1986" s="2"/>
      <c r="AE1986" s="2"/>
      <c r="AF1986" s="2"/>
      <c r="AG1986" s="2"/>
      <c r="AH1986" s="2"/>
      <c r="AJ1986" s="215"/>
      <c r="AK1986" s="215"/>
      <c r="AL1986" s="215"/>
      <c r="AM1986" s="215"/>
      <c r="AO1986" s="10"/>
      <c r="AP1986" s="10"/>
      <c r="AQ1986" s="10"/>
      <c r="AR1986" s="10"/>
      <c r="AS1986" s="10"/>
      <c r="AU1986" s="2"/>
      <c r="AV1986" s="2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</row>
    <row r="1987" spans="1:73" customFormat="1" ht="12.75" hidden="1" customHeight="1" x14ac:dyDescent="0.2">
      <c r="A1987" s="1"/>
      <c r="B1987" s="1"/>
      <c r="C1987" s="1"/>
      <c r="D1987" s="7"/>
      <c r="E1987" s="7"/>
      <c r="F1987" s="6"/>
      <c r="G1987" s="7"/>
      <c r="H1987" s="2"/>
      <c r="I1987" s="2"/>
      <c r="J1987" s="2"/>
      <c r="K1987" s="2"/>
      <c r="L1987" s="178"/>
      <c r="M1987" s="2"/>
      <c r="N1987" s="7"/>
      <c r="P1987" s="7"/>
      <c r="R1987" s="2"/>
      <c r="S1987" s="2"/>
      <c r="T1987" s="2"/>
      <c r="U1987" s="2"/>
      <c r="V1987" s="2"/>
      <c r="X1987" s="38"/>
      <c r="Y1987" s="38"/>
      <c r="Z1987" s="38"/>
      <c r="AA1987" s="38"/>
      <c r="AB1987" s="38"/>
      <c r="AD1987" s="2"/>
      <c r="AE1987" s="2"/>
      <c r="AF1987" s="2"/>
      <c r="AG1987" s="2"/>
      <c r="AH1987" s="2"/>
      <c r="AJ1987" s="215"/>
      <c r="AK1987" s="215"/>
      <c r="AL1987" s="215"/>
      <c r="AM1987" s="215"/>
      <c r="AO1987" s="10"/>
      <c r="AP1987" s="10"/>
      <c r="AQ1987" s="10"/>
      <c r="AR1987" s="10"/>
      <c r="AS1987" s="10"/>
      <c r="AU1987" s="2"/>
      <c r="AV1987" s="2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</row>
    <row r="1988" spans="1:73" customFormat="1" ht="12.75" hidden="1" customHeight="1" x14ac:dyDescent="0.2">
      <c r="A1988" s="1"/>
      <c r="B1988" s="1"/>
      <c r="C1988" s="1"/>
      <c r="D1988" s="7"/>
      <c r="E1988" s="7"/>
      <c r="F1988" s="6"/>
      <c r="G1988" s="7"/>
      <c r="H1988" s="2"/>
      <c r="I1988" s="2"/>
      <c r="J1988" s="2"/>
      <c r="K1988" s="2"/>
      <c r="L1988" s="178"/>
      <c r="M1988" s="2"/>
      <c r="N1988" s="7"/>
      <c r="P1988" s="7"/>
      <c r="R1988" s="2"/>
      <c r="S1988" s="2"/>
      <c r="T1988" s="2"/>
      <c r="U1988" s="2"/>
      <c r="V1988" s="2"/>
      <c r="X1988" s="38"/>
      <c r="Y1988" s="38"/>
      <c r="Z1988" s="38"/>
      <c r="AA1988" s="38"/>
      <c r="AB1988" s="38"/>
      <c r="AD1988" s="2"/>
      <c r="AE1988" s="2"/>
      <c r="AF1988" s="2"/>
      <c r="AG1988" s="2"/>
      <c r="AH1988" s="2"/>
      <c r="AJ1988" s="215"/>
      <c r="AK1988" s="215"/>
      <c r="AL1988" s="215"/>
      <c r="AM1988" s="215"/>
      <c r="AO1988" s="10"/>
      <c r="AP1988" s="10"/>
      <c r="AQ1988" s="10"/>
      <c r="AR1988" s="10"/>
      <c r="AS1988" s="10"/>
      <c r="AU1988" s="2"/>
      <c r="AV1988" s="2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</row>
    <row r="1989" spans="1:73" customFormat="1" ht="12.75" hidden="1" customHeight="1" x14ac:dyDescent="0.2">
      <c r="A1989" s="1"/>
      <c r="B1989" s="1"/>
      <c r="C1989" s="1"/>
      <c r="D1989" s="7"/>
      <c r="E1989" s="7"/>
      <c r="F1989" s="6"/>
      <c r="G1989" s="7"/>
      <c r="H1989" s="2"/>
      <c r="I1989" s="2"/>
      <c r="J1989" s="2"/>
      <c r="K1989" s="2"/>
      <c r="L1989" s="178"/>
      <c r="M1989" s="2"/>
      <c r="N1989" s="7"/>
      <c r="P1989" s="7"/>
      <c r="R1989" s="2"/>
      <c r="S1989" s="2"/>
      <c r="T1989" s="2"/>
      <c r="U1989" s="2"/>
      <c r="V1989" s="2"/>
      <c r="X1989" s="38"/>
      <c r="Y1989" s="38"/>
      <c r="Z1989" s="38"/>
      <c r="AA1989" s="38"/>
      <c r="AB1989" s="38"/>
      <c r="AD1989" s="2"/>
      <c r="AE1989" s="2"/>
      <c r="AF1989" s="2"/>
      <c r="AG1989" s="2"/>
      <c r="AH1989" s="2"/>
      <c r="AJ1989" s="215"/>
      <c r="AK1989" s="215"/>
      <c r="AL1989" s="215"/>
      <c r="AM1989" s="215"/>
      <c r="AO1989" s="10"/>
      <c r="AP1989" s="10"/>
      <c r="AQ1989" s="10"/>
      <c r="AR1989" s="10"/>
      <c r="AS1989" s="10"/>
      <c r="AU1989" s="2"/>
      <c r="AV1989" s="2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</row>
    <row r="1990" spans="1:73" customFormat="1" ht="12.75" hidden="1" customHeight="1" x14ac:dyDescent="0.2">
      <c r="A1990" s="1"/>
      <c r="B1990" s="1"/>
      <c r="C1990" s="1"/>
      <c r="D1990" s="7"/>
      <c r="E1990" s="7"/>
      <c r="F1990" s="6"/>
      <c r="G1990" s="7"/>
      <c r="H1990" s="2"/>
      <c r="I1990" s="2"/>
      <c r="J1990" s="2"/>
      <c r="K1990" s="2"/>
      <c r="L1990" s="178"/>
      <c r="M1990" s="2"/>
      <c r="N1990" s="7"/>
      <c r="P1990" s="7"/>
      <c r="R1990" s="2"/>
      <c r="S1990" s="2"/>
      <c r="T1990" s="2"/>
      <c r="U1990" s="2"/>
      <c r="V1990" s="2"/>
      <c r="X1990" s="38"/>
      <c r="Y1990" s="38"/>
      <c r="Z1990" s="38"/>
      <c r="AA1990" s="38"/>
      <c r="AB1990" s="38"/>
      <c r="AD1990" s="2"/>
      <c r="AE1990" s="2"/>
      <c r="AF1990" s="2"/>
      <c r="AG1990" s="2"/>
      <c r="AH1990" s="2"/>
      <c r="AJ1990" s="215"/>
      <c r="AK1990" s="215"/>
      <c r="AL1990" s="215"/>
      <c r="AM1990" s="215"/>
      <c r="AO1990" s="10"/>
      <c r="AP1990" s="10"/>
      <c r="AQ1990" s="10"/>
      <c r="AR1990" s="10"/>
      <c r="AS1990" s="10"/>
      <c r="AU1990" s="2"/>
      <c r="AV1990" s="2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</row>
    <row r="1991" spans="1:73" customFormat="1" ht="12.75" hidden="1" customHeight="1" x14ac:dyDescent="0.2">
      <c r="A1991" s="1"/>
      <c r="B1991" s="1"/>
      <c r="C1991" s="1"/>
      <c r="D1991" s="7"/>
      <c r="E1991" s="7"/>
      <c r="F1991" s="6"/>
      <c r="G1991" s="7"/>
      <c r="H1991" s="2"/>
      <c r="I1991" s="2"/>
      <c r="J1991" s="2"/>
      <c r="K1991" s="2"/>
      <c r="L1991" s="178"/>
      <c r="M1991" s="2"/>
      <c r="N1991" s="7"/>
      <c r="P1991" s="7"/>
      <c r="R1991" s="2"/>
      <c r="S1991" s="2"/>
      <c r="T1991" s="2"/>
      <c r="U1991" s="2"/>
      <c r="V1991" s="2"/>
      <c r="X1991" s="38"/>
      <c r="Y1991" s="38"/>
      <c r="Z1991" s="38"/>
      <c r="AA1991" s="38"/>
      <c r="AB1991" s="38"/>
      <c r="AD1991" s="2"/>
      <c r="AE1991" s="2"/>
      <c r="AF1991" s="2"/>
      <c r="AG1991" s="2"/>
      <c r="AH1991" s="2"/>
      <c r="AJ1991" s="215"/>
      <c r="AK1991" s="215"/>
      <c r="AL1991" s="215"/>
      <c r="AM1991" s="215"/>
      <c r="AO1991" s="10"/>
      <c r="AP1991" s="10"/>
      <c r="AQ1991" s="10"/>
      <c r="AR1991" s="10"/>
      <c r="AS1991" s="10"/>
      <c r="AU1991" s="2"/>
      <c r="AV1991" s="2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</row>
    <row r="1992" spans="1:73" customFormat="1" ht="12.75" hidden="1" customHeight="1" x14ac:dyDescent="0.2">
      <c r="A1992" s="1"/>
      <c r="B1992" s="1"/>
      <c r="C1992" s="1"/>
      <c r="D1992" s="7"/>
      <c r="E1992" s="7"/>
      <c r="F1992" s="6"/>
      <c r="G1992" s="7"/>
      <c r="H1992" s="2"/>
      <c r="I1992" s="2"/>
      <c r="J1992" s="2"/>
      <c r="K1992" s="2"/>
      <c r="L1992" s="178"/>
      <c r="M1992" s="2"/>
      <c r="N1992" s="7"/>
      <c r="P1992" s="7"/>
      <c r="R1992" s="2"/>
      <c r="S1992" s="2"/>
      <c r="T1992" s="2"/>
      <c r="U1992" s="2"/>
      <c r="V1992" s="2"/>
      <c r="X1992" s="38"/>
      <c r="Y1992" s="38"/>
      <c r="Z1992" s="38"/>
      <c r="AA1992" s="38"/>
      <c r="AB1992" s="38"/>
      <c r="AD1992" s="2"/>
      <c r="AE1992" s="2"/>
      <c r="AF1992" s="2"/>
      <c r="AG1992" s="2"/>
      <c r="AH1992" s="2"/>
      <c r="AJ1992" s="215"/>
      <c r="AK1992" s="215"/>
      <c r="AL1992" s="215"/>
      <c r="AM1992" s="215"/>
      <c r="AO1992" s="10"/>
      <c r="AP1992" s="10"/>
      <c r="AQ1992" s="10"/>
      <c r="AR1992" s="10"/>
      <c r="AS1992" s="10"/>
      <c r="AU1992" s="2"/>
      <c r="AV1992" s="2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</row>
    <row r="1993" spans="1:73" customFormat="1" ht="12.75" hidden="1" customHeight="1" x14ac:dyDescent="0.2">
      <c r="A1993" s="1"/>
      <c r="B1993" s="1"/>
      <c r="C1993" s="1"/>
      <c r="D1993" s="7"/>
      <c r="E1993" s="7"/>
      <c r="F1993" s="6"/>
      <c r="G1993" s="7"/>
      <c r="H1993" s="2"/>
      <c r="I1993" s="2"/>
      <c r="J1993" s="2"/>
      <c r="K1993" s="2"/>
      <c r="L1993" s="178"/>
      <c r="M1993" s="2"/>
      <c r="N1993" s="7"/>
      <c r="P1993" s="7"/>
      <c r="R1993" s="2"/>
      <c r="S1993" s="2"/>
      <c r="T1993" s="2"/>
      <c r="U1993" s="2"/>
      <c r="V1993" s="2"/>
      <c r="X1993" s="38"/>
      <c r="Y1993" s="38"/>
      <c r="Z1993" s="38"/>
      <c r="AA1993" s="38"/>
      <c r="AB1993" s="38"/>
      <c r="AD1993" s="2"/>
      <c r="AE1993" s="2"/>
      <c r="AF1993" s="2"/>
      <c r="AG1993" s="2"/>
      <c r="AH1993" s="2"/>
      <c r="AJ1993" s="215"/>
      <c r="AK1993" s="215"/>
      <c r="AL1993" s="215"/>
      <c r="AM1993" s="215"/>
      <c r="AO1993" s="10"/>
      <c r="AP1993" s="10"/>
      <c r="AQ1993" s="10"/>
      <c r="AR1993" s="10"/>
      <c r="AS1993" s="10"/>
      <c r="AU1993" s="2"/>
      <c r="AV1993" s="2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</row>
    <row r="1994" spans="1:73" customFormat="1" ht="12.75" hidden="1" customHeight="1" x14ac:dyDescent="0.2">
      <c r="A1994" s="1"/>
      <c r="B1994" s="1"/>
      <c r="C1994" s="1"/>
      <c r="D1994" s="7"/>
      <c r="E1994" s="7"/>
      <c r="F1994" s="6"/>
      <c r="G1994" s="7"/>
      <c r="H1994" s="2"/>
      <c r="I1994" s="2"/>
      <c r="J1994" s="2"/>
      <c r="K1994" s="2"/>
      <c r="L1994" s="178"/>
      <c r="M1994" s="2"/>
      <c r="N1994" s="7"/>
      <c r="P1994" s="7"/>
      <c r="R1994" s="2"/>
      <c r="S1994" s="2"/>
      <c r="T1994" s="2"/>
      <c r="U1994" s="2"/>
      <c r="V1994" s="2"/>
      <c r="X1994" s="38"/>
      <c r="Y1994" s="38"/>
      <c r="Z1994" s="38"/>
      <c r="AA1994" s="38"/>
      <c r="AB1994" s="38"/>
      <c r="AD1994" s="2"/>
      <c r="AE1994" s="2"/>
      <c r="AF1994" s="2"/>
      <c r="AG1994" s="2"/>
      <c r="AH1994" s="2"/>
      <c r="AJ1994" s="215"/>
      <c r="AK1994" s="215"/>
      <c r="AL1994" s="215"/>
      <c r="AM1994" s="215"/>
      <c r="AO1994" s="10"/>
      <c r="AP1994" s="10"/>
      <c r="AQ1994" s="10"/>
      <c r="AR1994" s="10"/>
      <c r="AS1994" s="10"/>
      <c r="AU1994" s="2"/>
      <c r="AV1994" s="2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</row>
    <row r="1995" spans="1:73" customFormat="1" ht="12.75" hidden="1" customHeight="1" x14ac:dyDescent="0.2">
      <c r="A1995" s="1"/>
      <c r="B1995" s="1"/>
      <c r="C1995" s="1"/>
      <c r="D1995" s="7"/>
      <c r="E1995" s="7"/>
      <c r="F1995" s="6"/>
      <c r="G1995" s="7"/>
      <c r="H1995" s="2"/>
      <c r="I1995" s="2"/>
      <c r="J1995" s="2"/>
      <c r="K1995" s="2"/>
      <c r="L1995" s="178"/>
      <c r="M1995" s="2"/>
      <c r="N1995" s="7"/>
      <c r="P1995" s="7"/>
      <c r="R1995" s="2"/>
      <c r="S1995" s="2"/>
      <c r="T1995" s="2"/>
      <c r="U1995" s="2"/>
      <c r="V1995" s="2"/>
      <c r="X1995" s="38"/>
      <c r="Y1995" s="38"/>
      <c r="Z1995" s="38"/>
      <c r="AA1995" s="38"/>
      <c r="AB1995" s="38"/>
      <c r="AD1995" s="2"/>
      <c r="AE1995" s="2"/>
      <c r="AF1995" s="2"/>
      <c r="AG1995" s="2"/>
      <c r="AH1995" s="2"/>
      <c r="AJ1995" s="215"/>
      <c r="AK1995" s="215"/>
      <c r="AL1995" s="215"/>
      <c r="AM1995" s="215"/>
      <c r="AO1995" s="10"/>
      <c r="AP1995" s="10"/>
      <c r="AQ1995" s="10"/>
      <c r="AR1995" s="10"/>
      <c r="AS1995" s="10"/>
      <c r="AU1995" s="2"/>
      <c r="AV1995" s="2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</row>
    <row r="1996" spans="1:73" customFormat="1" ht="12.75" hidden="1" customHeight="1" x14ac:dyDescent="0.2">
      <c r="A1996" s="1"/>
      <c r="B1996" s="1"/>
      <c r="C1996" s="1"/>
      <c r="D1996" s="7"/>
      <c r="E1996" s="7"/>
      <c r="F1996" s="6"/>
      <c r="G1996" s="7"/>
      <c r="H1996" s="2"/>
      <c r="I1996" s="2"/>
      <c r="J1996" s="2"/>
      <c r="K1996" s="2"/>
      <c r="L1996" s="178"/>
      <c r="M1996" s="2"/>
      <c r="N1996" s="7"/>
      <c r="P1996" s="7"/>
      <c r="R1996" s="2"/>
      <c r="S1996" s="2"/>
      <c r="T1996" s="2"/>
      <c r="U1996" s="2"/>
      <c r="V1996" s="2"/>
      <c r="X1996" s="38"/>
      <c r="Y1996" s="38"/>
      <c r="Z1996" s="38"/>
      <c r="AA1996" s="38"/>
      <c r="AB1996" s="38"/>
      <c r="AD1996" s="2"/>
      <c r="AE1996" s="2"/>
      <c r="AF1996" s="2"/>
      <c r="AG1996" s="2"/>
      <c r="AH1996" s="2"/>
      <c r="AJ1996" s="215"/>
      <c r="AK1996" s="215"/>
      <c r="AL1996" s="215"/>
      <c r="AM1996" s="215"/>
      <c r="AO1996" s="10"/>
      <c r="AP1996" s="10"/>
      <c r="AQ1996" s="10"/>
      <c r="AR1996" s="10"/>
      <c r="AS1996" s="10"/>
      <c r="AU1996" s="2"/>
      <c r="AV1996" s="2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</row>
    <row r="1997" spans="1:73" customFormat="1" ht="12.75" hidden="1" customHeight="1" x14ac:dyDescent="0.2">
      <c r="A1997" s="1"/>
      <c r="B1997" s="1"/>
      <c r="C1997" s="1"/>
      <c r="D1997" s="7"/>
      <c r="E1997" s="7"/>
      <c r="F1997" s="6"/>
      <c r="G1997" s="7"/>
      <c r="H1997" s="2"/>
      <c r="I1997" s="2"/>
      <c r="J1997" s="2"/>
      <c r="K1997" s="2"/>
      <c r="L1997" s="178"/>
      <c r="M1997" s="2"/>
      <c r="N1997" s="7"/>
      <c r="P1997" s="7"/>
      <c r="R1997" s="2"/>
      <c r="S1997" s="2"/>
      <c r="T1997" s="2"/>
      <c r="U1997" s="2"/>
      <c r="V1997" s="2"/>
      <c r="X1997" s="38"/>
      <c r="Y1997" s="38"/>
      <c r="Z1997" s="38"/>
      <c r="AA1997" s="38"/>
      <c r="AB1997" s="38"/>
      <c r="AD1997" s="2"/>
      <c r="AE1997" s="2"/>
      <c r="AF1997" s="2"/>
      <c r="AG1997" s="2"/>
      <c r="AH1997" s="2"/>
      <c r="AJ1997" s="215"/>
      <c r="AK1997" s="215"/>
      <c r="AL1997" s="215"/>
      <c r="AM1997" s="215"/>
      <c r="AO1997" s="10"/>
      <c r="AP1997" s="10"/>
      <c r="AQ1997" s="10"/>
      <c r="AR1997" s="10"/>
      <c r="AS1997" s="10"/>
      <c r="AU1997" s="2"/>
      <c r="AV1997" s="2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</row>
    <row r="1998" spans="1:73" customFormat="1" ht="12.75" hidden="1" customHeight="1" x14ac:dyDescent="0.2">
      <c r="A1998" s="1"/>
      <c r="B1998" s="1"/>
      <c r="C1998" s="1"/>
      <c r="D1998" s="7"/>
      <c r="E1998" s="7"/>
      <c r="F1998" s="6"/>
      <c r="G1998" s="7"/>
      <c r="H1998" s="2"/>
      <c r="I1998" s="2"/>
      <c r="J1998" s="2"/>
      <c r="K1998" s="2"/>
      <c r="L1998" s="178"/>
      <c r="M1998" s="2"/>
      <c r="N1998" s="7"/>
      <c r="P1998" s="7"/>
      <c r="R1998" s="2"/>
      <c r="S1998" s="2"/>
      <c r="T1998" s="2"/>
      <c r="U1998" s="2"/>
      <c r="V1998" s="2"/>
      <c r="X1998" s="38"/>
      <c r="Y1998" s="38"/>
      <c r="Z1998" s="38"/>
      <c r="AA1998" s="38"/>
      <c r="AB1998" s="38"/>
      <c r="AD1998" s="2"/>
      <c r="AE1998" s="2"/>
      <c r="AF1998" s="2"/>
      <c r="AG1998" s="2"/>
      <c r="AH1998" s="2"/>
      <c r="AJ1998" s="215"/>
      <c r="AK1998" s="215"/>
      <c r="AL1998" s="215"/>
      <c r="AM1998" s="215"/>
      <c r="AO1998" s="10"/>
      <c r="AP1998" s="10"/>
      <c r="AQ1998" s="10"/>
      <c r="AR1998" s="10"/>
      <c r="AS1998" s="10"/>
      <c r="AU1998" s="2"/>
      <c r="AV1998" s="2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</row>
    <row r="1999" spans="1:73" customFormat="1" ht="12.75" hidden="1" customHeight="1" x14ac:dyDescent="0.2">
      <c r="A1999" s="1"/>
      <c r="B1999" s="1"/>
      <c r="C1999" s="1"/>
      <c r="D1999" s="7"/>
      <c r="E1999" s="7"/>
      <c r="F1999" s="6"/>
      <c r="G1999" s="7"/>
      <c r="H1999" s="2"/>
      <c r="I1999" s="2"/>
      <c r="J1999" s="2"/>
      <c r="K1999" s="2"/>
      <c r="L1999" s="178"/>
      <c r="M1999" s="2"/>
      <c r="N1999" s="7"/>
      <c r="P1999" s="7"/>
      <c r="R1999" s="2"/>
      <c r="S1999" s="2"/>
      <c r="T1999" s="2"/>
      <c r="U1999" s="2"/>
      <c r="V1999" s="2"/>
      <c r="X1999" s="38"/>
      <c r="Y1999" s="38"/>
      <c r="Z1999" s="38"/>
      <c r="AA1999" s="38"/>
      <c r="AB1999" s="38"/>
      <c r="AD1999" s="2"/>
      <c r="AE1999" s="2"/>
      <c r="AF1999" s="2"/>
      <c r="AG1999" s="2"/>
      <c r="AH1999" s="2"/>
      <c r="AJ1999" s="215"/>
      <c r="AK1999" s="215"/>
      <c r="AL1999" s="215"/>
      <c r="AM1999" s="215"/>
      <c r="AO1999" s="10"/>
      <c r="AP1999" s="10"/>
      <c r="AQ1999" s="10"/>
      <c r="AR1999" s="10"/>
      <c r="AS1999" s="10"/>
      <c r="AU1999" s="2"/>
      <c r="AV1999" s="2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</row>
    <row r="2000" spans="1:73" customFormat="1" ht="12.75" hidden="1" customHeight="1" x14ac:dyDescent="0.2">
      <c r="A2000" s="1"/>
      <c r="B2000" s="1"/>
      <c r="C2000" s="1"/>
      <c r="D2000" s="7"/>
      <c r="E2000" s="7"/>
      <c r="F2000" s="6"/>
      <c r="G2000" s="7"/>
      <c r="H2000" s="2"/>
      <c r="I2000" s="2"/>
      <c r="J2000" s="2"/>
      <c r="K2000" s="2"/>
      <c r="L2000" s="178"/>
      <c r="M2000" s="2"/>
      <c r="N2000" s="7"/>
      <c r="P2000" s="7"/>
      <c r="R2000" s="2"/>
      <c r="S2000" s="2"/>
      <c r="T2000" s="2"/>
      <c r="U2000" s="2"/>
      <c r="V2000" s="2"/>
      <c r="X2000" s="38"/>
      <c r="Y2000" s="38"/>
      <c r="Z2000" s="38"/>
      <c r="AA2000" s="38"/>
      <c r="AB2000" s="38"/>
      <c r="AD2000" s="2"/>
      <c r="AE2000" s="2"/>
      <c r="AF2000" s="2"/>
      <c r="AG2000" s="2"/>
      <c r="AH2000" s="2"/>
      <c r="AJ2000" s="215"/>
      <c r="AK2000" s="215"/>
      <c r="AL2000" s="215"/>
      <c r="AM2000" s="215"/>
      <c r="AO2000" s="10"/>
      <c r="AP2000" s="10"/>
      <c r="AQ2000" s="10"/>
      <c r="AR2000" s="10"/>
      <c r="AS2000" s="10"/>
      <c r="AU2000" s="2"/>
      <c r="AV2000" s="2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</row>
    <row r="2001" spans="1:73" customFormat="1" ht="12.75" hidden="1" customHeight="1" x14ac:dyDescent="0.2">
      <c r="A2001" s="1"/>
      <c r="B2001" s="1"/>
      <c r="C2001" s="1"/>
      <c r="D2001" s="7"/>
      <c r="E2001" s="7"/>
      <c r="F2001" s="6"/>
      <c r="G2001" s="7"/>
      <c r="H2001" s="2"/>
      <c r="I2001" s="2"/>
      <c r="J2001" s="2"/>
      <c r="K2001" s="2"/>
      <c r="L2001" s="178"/>
      <c r="M2001" s="2"/>
      <c r="N2001" s="7"/>
      <c r="P2001" s="7"/>
      <c r="R2001" s="2"/>
      <c r="S2001" s="2"/>
      <c r="T2001" s="2"/>
      <c r="U2001" s="2"/>
      <c r="V2001" s="2"/>
      <c r="X2001" s="38"/>
      <c r="Y2001" s="38"/>
      <c r="Z2001" s="38"/>
      <c r="AA2001" s="38"/>
      <c r="AB2001" s="38"/>
      <c r="AD2001" s="2"/>
      <c r="AE2001" s="2"/>
      <c r="AF2001" s="2"/>
      <c r="AG2001" s="2"/>
      <c r="AH2001" s="2"/>
      <c r="AJ2001" s="215"/>
      <c r="AK2001" s="215"/>
      <c r="AL2001" s="215"/>
      <c r="AM2001" s="215"/>
      <c r="AO2001" s="10"/>
      <c r="AP2001" s="10"/>
      <c r="AQ2001" s="10"/>
      <c r="AR2001" s="10"/>
      <c r="AS2001" s="10"/>
      <c r="AU2001" s="2"/>
      <c r="AV2001" s="2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</row>
    <row r="2002" spans="1:73" customFormat="1" ht="12.75" hidden="1" customHeight="1" x14ac:dyDescent="0.2">
      <c r="A2002" s="1"/>
      <c r="B2002" s="1"/>
      <c r="C2002" s="1"/>
      <c r="D2002" s="7"/>
      <c r="E2002" s="7"/>
      <c r="F2002" s="6"/>
      <c r="G2002" s="7"/>
      <c r="H2002" s="2"/>
      <c r="I2002" s="2"/>
      <c r="J2002" s="2"/>
      <c r="K2002" s="2"/>
      <c r="L2002" s="178"/>
      <c r="M2002" s="2"/>
      <c r="N2002" s="7"/>
      <c r="P2002" s="7"/>
      <c r="R2002" s="2"/>
      <c r="S2002" s="2"/>
      <c r="T2002" s="2"/>
      <c r="U2002" s="2"/>
      <c r="V2002" s="2"/>
      <c r="X2002" s="38"/>
      <c r="Y2002" s="38"/>
      <c r="Z2002" s="38"/>
      <c r="AA2002" s="38"/>
      <c r="AB2002" s="38"/>
      <c r="AD2002" s="2"/>
      <c r="AE2002" s="2"/>
      <c r="AF2002" s="2"/>
      <c r="AG2002" s="2"/>
      <c r="AH2002" s="2"/>
      <c r="AJ2002" s="215"/>
      <c r="AK2002" s="215"/>
      <c r="AL2002" s="215"/>
      <c r="AM2002" s="215"/>
      <c r="AO2002" s="10"/>
      <c r="AP2002" s="10"/>
      <c r="AQ2002" s="10"/>
      <c r="AR2002" s="10"/>
      <c r="AS2002" s="10"/>
      <c r="AU2002" s="2"/>
      <c r="AV2002" s="2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</row>
    <row r="2003" spans="1:73" customFormat="1" ht="12.75" hidden="1" customHeight="1" x14ac:dyDescent="0.2">
      <c r="A2003" s="1"/>
      <c r="B2003" s="1"/>
      <c r="C2003" s="1"/>
      <c r="D2003" s="7"/>
      <c r="E2003" s="7"/>
      <c r="F2003" s="6"/>
      <c r="G2003" s="7"/>
      <c r="H2003" s="2"/>
      <c r="I2003" s="2"/>
      <c r="J2003" s="2"/>
      <c r="K2003" s="2"/>
      <c r="L2003" s="178"/>
      <c r="M2003" s="2"/>
      <c r="N2003" s="7"/>
      <c r="P2003" s="7"/>
      <c r="R2003" s="2"/>
      <c r="S2003" s="2"/>
      <c r="T2003" s="2"/>
      <c r="U2003" s="2"/>
      <c r="V2003" s="2"/>
      <c r="X2003" s="38"/>
      <c r="Y2003" s="38"/>
      <c r="Z2003" s="38"/>
      <c r="AA2003" s="38"/>
      <c r="AB2003" s="38"/>
      <c r="AD2003" s="2"/>
      <c r="AE2003" s="2"/>
      <c r="AF2003" s="2"/>
      <c r="AG2003" s="2"/>
      <c r="AH2003" s="2"/>
      <c r="AJ2003" s="215"/>
      <c r="AK2003" s="215"/>
      <c r="AL2003" s="215"/>
      <c r="AM2003" s="215"/>
      <c r="AO2003" s="10"/>
      <c r="AP2003" s="10"/>
      <c r="AQ2003" s="10"/>
      <c r="AR2003" s="10"/>
      <c r="AS2003" s="10"/>
      <c r="AU2003" s="2"/>
      <c r="AV2003" s="2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</row>
    <row r="2004" spans="1:73" customFormat="1" ht="12.75" hidden="1" customHeight="1" x14ac:dyDescent="0.2">
      <c r="A2004" s="1"/>
      <c r="B2004" s="1"/>
      <c r="C2004" s="1"/>
      <c r="D2004" s="7"/>
      <c r="E2004" s="7"/>
      <c r="F2004" s="6"/>
      <c r="G2004" s="7"/>
      <c r="H2004" s="2"/>
      <c r="I2004" s="2"/>
      <c r="J2004" s="2"/>
      <c r="K2004" s="2"/>
      <c r="L2004" s="178"/>
      <c r="M2004" s="2"/>
      <c r="N2004" s="7"/>
      <c r="P2004" s="7"/>
      <c r="R2004" s="2"/>
      <c r="S2004" s="2"/>
      <c r="T2004" s="2"/>
      <c r="U2004" s="2"/>
      <c r="V2004" s="2"/>
      <c r="X2004" s="38"/>
      <c r="Y2004" s="38"/>
      <c r="Z2004" s="38"/>
      <c r="AA2004" s="38"/>
      <c r="AB2004" s="38"/>
      <c r="AD2004" s="2"/>
      <c r="AE2004" s="2"/>
      <c r="AF2004" s="2"/>
      <c r="AG2004" s="2"/>
      <c r="AH2004" s="2"/>
      <c r="AJ2004" s="215"/>
      <c r="AK2004" s="215"/>
      <c r="AL2004" s="215"/>
      <c r="AM2004" s="215"/>
      <c r="AO2004" s="10"/>
      <c r="AP2004" s="10"/>
      <c r="AQ2004" s="10"/>
      <c r="AR2004" s="10"/>
      <c r="AS2004" s="10"/>
      <c r="AU2004" s="2"/>
      <c r="AV2004" s="2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</row>
    <row r="2005" spans="1:73" customFormat="1" ht="12.75" hidden="1" customHeight="1" x14ac:dyDescent="0.2">
      <c r="A2005" s="1"/>
      <c r="B2005" s="1"/>
      <c r="C2005" s="1"/>
      <c r="D2005" s="7"/>
      <c r="E2005" s="7"/>
      <c r="F2005" s="6"/>
      <c r="G2005" s="7"/>
      <c r="H2005" s="2"/>
      <c r="I2005" s="2"/>
      <c r="J2005" s="2"/>
      <c r="K2005" s="2"/>
      <c r="L2005" s="178"/>
      <c r="M2005" s="2"/>
      <c r="N2005" s="7"/>
      <c r="P2005" s="7"/>
      <c r="R2005" s="2"/>
      <c r="S2005" s="2"/>
      <c r="T2005" s="2"/>
      <c r="U2005" s="2"/>
      <c r="V2005" s="2"/>
      <c r="X2005" s="38"/>
      <c r="Y2005" s="38"/>
      <c r="Z2005" s="38"/>
      <c r="AA2005" s="38"/>
      <c r="AB2005" s="38"/>
      <c r="AD2005" s="2"/>
      <c r="AE2005" s="2"/>
      <c r="AF2005" s="2"/>
      <c r="AG2005" s="2"/>
      <c r="AH2005" s="2"/>
      <c r="AJ2005" s="215"/>
      <c r="AK2005" s="215"/>
      <c r="AL2005" s="215"/>
      <c r="AM2005" s="215"/>
      <c r="AO2005" s="10"/>
      <c r="AP2005" s="10"/>
      <c r="AQ2005" s="10"/>
      <c r="AR2005" s="10"/>
      <c r="AS2005" s="10"/>
      <c r="AU2005" s="2"/>
      <c r="AV2005" s="2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</row>
    <row r="2006" spans="1:73" customFormat="1" ht="12.75" hidden="1" customHeight="1" x14ac:dyDescent="0.2">
      <c r="A2006" s="1"/>
      <c r="B2006" s="1"/>
      <c r="C2006" s="1"/>
      <c r="D2006" s="7"/>
      <c r="E2006" s="7"/>
      <c r="F2006" s="6"/>
      <c r="G2006" s="7"/>
      <c r="H2006" s="2"/>
      <c r="I2006" s="2"/>
      <c r="J2006" s="2"/>
      <c r="K2006" s="2"/>
      <c r="L2006" s="178"/>
      <c r="M2006" s="2"/>
      <c r="N2006" s="7"/>
      <c r="P2006" s="7"/>
      <c r="R2006" s="2"/>
      <c r="S2006" s="2"/>
      <c r="T2006" s="2"/>
      <c r="U2006" s="2"/>
      <c r="V2006" s="2"/>
      <c r="X2006" s="38"/>
      <c r="Y2006" s="38"/>
      <c r="Z2006" s="38"/>
      <c r="AA2006" s="38"/>
      <c r="AB2006" s="38"/>
      <c r="AD2006" s="2"/>
      <c r="AE2006" s="2"/>
      <c r="AF2006" s="2"/>
      <c r="AG2006" s="2"/>
      <c r="AH2006" s="2"/>
      <c r="AJ2006" s="215"/>
      <c r="AK2006" s="215"/>
      <c r="AL2006" s="215"/>
      <c r="AM2006" s="215"/>
      <c r="AO2006" s="10"/>
      <c r="AP2006" s="10"/>
      <c r="AQ2006" s="10"/>
      <c r="AR2006" s="10"/>
      <c r="AS2006" s="10"/>
      <c r="AU2006" s="2"/>
      <c r="AV2006" s="2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</row>
    <row r="2007" spans="1:73" customFormat="1" ht="12.75" hidden="1" customHeight="1" x14ac:dyDescent="0.2">
      <c r="A2007" s="1"/>
      <c r="B2007" s="1"/>
      <c r="C2007" s="1"/>
      <c r="D2007" s="7"/>
      <c r="E2007" s="7"/>
      <c r="F2007" s="6"/>
      <c r="G2007" s="7"/>
      <c r="H2007" s="2"/>
      <c r="I2007" s="2"/>
      <c r="J2007" s="2"/>
      <c r="K2007" s="2"/>
      <c r="L2007" s="178"/>
      <c r="M2007" s="2"/>
      <c r="N2007" s="7"/>
      <c r="P2007" s="7"/>
      <c r="R2007" s="2"/>
      <c r="S2007" s="2"/>
      <c r="T2007" s="2"/>
      <c r="U2007" s="2"/>
      <c r="V2007" s="2"/>
      <c r="X2007" s="38"/>
      <c r="Y2007" s="38"/>
      <c r="Z2007" s="38"/>
      <c r="AA2007" s="38"/>
      <c r="AB2007" s="38"/>
      <c r="AD2007" s="2"/>
      <c r="AE2007" s="2"/>
      <c r="AF2007" s="2"/>
      <c r="AG2007" s="2"/>
      <c r="AH2007" s="2"/>
      <c r="AJ2007" s="215"/>
      <c r="AK2007" s="215"/>
      <c r="AL2007" s="215"/>
      <c r="AM2007" s="215"/>
      <c r="AO2007" s="10"/>
      <c r="AP2007" s="10"/>
      <c r="AQ2007" s="10"/>
      <c r="AR2007" s="10"/>
      <c r="AS2007" s="10"/>
      <c r="AU2007" s="2"/>
      <c r="AV2007" s="2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</row>
    <row r="2008" spans="1:73" customFormat="1" ht="12.75" hidden="1" customHeight="1" x14ac:dyDescent="0.2">
      <c r="A2008" s="1"/>
      <c r="B2008" s="1"/>
      <c r="C2008" s="1"/>
      <c r="D2008" s="7"/>
      <c r="E2008" s="7"/>
      <c r="F2008" s="6"/>
      <c r="G2008" s="7"/>
      <c r="H2008" s="2"/>
      <c r="I2008" s="2"/>
      <c r="J2008" s="2"/>
      <c r="K2008" s="2"/>
      <c r="L2008" s="178"/>
      <c r="M2008" s="2"/>
      <c r="N2008" s="7"/>
      <c r="P2008" s="7"/>
      <c r="R2008" s="2"/>
      <c r="S2008" s="2"/>
      <c r="T2008" s="2"/>
      <c r="U2008" s="2"/>
      <c r="V2008" s="2"/>
      <c r="X2008" s="38"/>
      <c r="Y2008" s="38"/>
      <c r="Z2008" s="38"/>
      <c r="AA2008" s="38"/>
      <c r="AB2008" s="38"/>
      <c r="AD2008" s="2"/>
      <c r="AE2008" s="2"/>
      <c r="AF2008" s="2"/>
      <c r="AG2008" s="2"/>
      <c r="AH2008" s="2"/>
      <c r="AJ2008" s="215"/>
      <c r="AK2008" s="215"/>
      <c r="AL2008" s="215"/>
      <c r="AM2008" s="215"/>
      <c r="AO2008" s="10"/>
      <c r="AP2008" s="10"/>
      <c r="AQ2008" s="10"/>
      <c r="AR2008" s="10"/>
      <c r="AS2008" s="10"/>
      <c r="AU2008" s="2"/>
      <c r="AV2008" s="2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</row>
    <row r="2009" spans="1:73" customFormat="1" ht="12.75" hidden="1" customHeight="1" x14ac:dyDescent="0.2">
      <c r="A2009" s="1"/>
      <c r="B2009" s="1"/>
      <c r="C2009" s="1"/>
      <c r="D2009" s="7"/>
      <c r="E2009" s="7"/>
      <c r="F2009" s="6"/>
      <c r="G2009" s="7"/>
      <c r="H2009" s="2"/>
      <c r="I2009" s="2"/>
      <c r="J2009" s="2"/>
      <c r="K2009" s="2"/>
      <c r="L2009" s="178"/>
      <c r="M2009" s="2"/>
      <c r="N2009" s="7"/>
      <c r="P2009" s="7"/>
      <c r="R2009" s="2"/>
      <c r="S2009" s="2"/>
      <c r="T2009" s="2"/>
      <c r="U2009" s="2"/>
      <c r="V2009" s="2"/>
      <c r="X2009" s="38"/>
      <c r="Y2009" s="38"/>
      <c r="Z2009" s="38"/>
      <c r="AA2009" s="38"/>
      <c r="AB2009" s="38"/>
      <c r="AD2009" s="2"/>
      <c r="AE2009" s="2"/>
      <c r="AF2009" s="2"/>
      <c r="AG2009" s="2"/>
      <c r="AH2009" s="2"/>
      <c r="AJ2009" s="215"/>
      <c r="AK2009" s="215"/>
      <c r="AL2009" s="215"/>
      <c r="AM2009" s="215"/>
      <c r="AO2009" s="10"/>
      <c r="AP2009" s="10"/>
      <c r="AQ2009" s="10"/>
      <c r="AR2009" s="10"/>
      <c r="AS2009" s="10"/>
      <c r="AU2009" s="2"/>
      <c r="AV2009" s="2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</row>
    <row r="2010" spans="1:73" customFormat="1" ht="12.75" hidden="1" customHeight="1" x14ac:dyDescent="0.2">
      <c r="A2010" s="1"/>
      <c r="B2010" s="1"/>
      <c r="C2010" s="1"/>
      <c r="D2010" s="7"/>
      <c r="E2010" s="7"/>
      <c r="F2010" s="6"/>
      <c r="G2010" s="7"/>
      <c r="H2010" s="2"/>
      <c r="I2010" s="2"/>
      <c r="J2010" s="2"/>
      <c r="K2010" s="2"/>
      <c r="L2010" s="178"/>
      <c r="M2010" s="2"/>
      <c r="N2010" s="7"/>
      <c r="P2010" s="7"/>
      <c r="R2010" s="2"/>
      <c r="S2010" s="2"/>
      <c r="T2010" s="2"/>
      <c r="U2010" s="2"/>
      <c r="V2010" s="2"/>
      <c r="X2010" s="38"/>
      <c r="Y2010" s="38"/>
      <c r="Z2010" s="38"/>
      <c r="AA2010" s="38"/>
      <c r="AB2010" s="38"/>
      <c r="AD2010" s="2"/>
      <c r="AE2010" s="2"/>
      <c r="AF2010" s="2"/>
      <c r="AG2010" s="2"/>
      <c r="AH2010" s="2"/>
      <c r="AJ2010" s="215"/>
      <c r="AK2010" s="215"/>
      <c r="AL2010" s="215"/>
      <c r="AM2010" s="215"/>
      <c r="AO2010" s="10"/>
      <c r="AP2010" s="10"/>
      <c r="AQ2010" s="10"/>
      <c r="AR2010" s="10"/>
      <c r="AS2010" s="10"/>
      <c r="AU2010" s="2"/>
      <c r="AV2010" s="2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</row>
    <row r="2011" spans="1:73" customFormat="1" ht="12.75" hidden="1" customHeight="1" x14ac:dyDescent="0.2">
      <c r="A2011" s="1"/>
      <c r="B2011" s="1"/>
      <c r="C2011" s="1"/>
      <c r="D2011" s="7"/>
      <c r="E2011" s="7"/>
      <c r="F2011" s="6"/>
      <c r="G2011" s="7"/>
      <c r="H2011" s="2"/>
      <c r="I2011" s="2"/>
      <c r="J2011" s="2"/>
      <c r="K2011" s="2"/>
      <c r="L2011" s="178"/>
      <c r="M2011" s="2"/>
      <c r="N2011" s="7"/>
      <c r="P2011" s="7"/>
      <c r="R2011" s="2"/>
      <c r="S2011" s="2"/>
      <c r="T2011" s="2"/>
      <c r="U2011" s="2"/>
      <c r="V2011" s="2"/>
      <c r="X2011" s="38"/>
      <c r="Y2011" s="38"/>
      <c r="Z2011" s="38"/>
      <c r="AA2011" s="38"/>
      <c r="AB2011" s="38"/>
      <c r="AD2011" s="2"/>
      <c r="AE2011" s="2"/>
      <c r="AF2011" s="2"/>
      <c r="AG2011" s="2"/>
      <c r="AH2011" s="2"/>
      <c r="AJ2011" s="215"/>
      <c r="AK2011" s="215"/>
      <c r="AL2011" s="215"/>
      <c r="AM2011" s="215"/>
      <c r="AO2011" s="10"/>
      <c r="AP2011" s="10"/>
      <c r="AQ2011" s="10"/>
      <c r="AR2011" s="10"/>
      <c r="AS2011" s="10"/>
      <c r="AU2011" s="2"/>
      <c r="AV2011" s="2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</row>
    <row r="2012" spans="1:73" customFormat="1" ht="12.75" hidden="1" customHeight="1" x14ac:dyDescent="0.2">
      <c r="A2012" s="1"/>
      <c r="B2012" s="1"/>
      <c r="C2012" s="1"/>
      <c r="D2012" s="7"/>
      <c r="E2012" s="7"/>
      <c r="F2012" s="6"/>
      <c r="G2012" s="7"/>
      <c r="H2012" s="2"/>
      <c r="I2012" s="2"/>
      <c r="J2012" s="2"/>
      <c r="K2012" s="2"/>
      <c r="L2012" s="178"/>
      <c r="M2012" s="2"/>
      <c r="N2012" s="7"/>
      <c r="P2012" s="7"/>
      <c r="R2012" s="2"/>
      <c r="S2012" s="2"/>
      <c r="T2012" s="2"/>
      <c r="U2012" s="2"/>
      <c r="V2012" s="2"/>
      <c r="X2012" s="38"/>
      <c r="Y2012" s="38"/>
      <c r="Z2012" s="38"/>
      <c r="AA2012" s="38"/>
      <c r="AB2012" s="38"/>
      <c r="AD2012" s="2"/>
      <c r="AE2012" s="2"/>
      <c r="AF2012" s="2"/>
      <c r="AG2012" s="2"/>
      <c r="AH2012" s="2"/>
      <c r="AJ2012" s="215"/>
      <c r="AK2012" s="215"/>
      <c r="AL2012" s="215"/>
      <c r="AM2012" s="215"/>
      <c r="AO2012" s="10"/>
      <c r="AP2012" s="10"/>
      <c r="AQ2012" s="10"/>
      <c r="AR2012" s="10"/>
      <c r="AS2012" s="10"/>
      <c r="AU2012" s="2"/>
      <c r="AV2012" s="2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</row>
    <row r="2013" spans="1:73" customFormat="1" ht="12.75" hidden="1" customHeight="1" x14ac:dyDescent="0.2">
      <c r="A2013" s="1"/>
      <c r="B2013" s="1"/>
      <c r="C2013" s="1"/>
      <c r="D2013" s="7"/>
      <c r="E2013" s="7"/>
      <c r="F2013" s="6"/>
      <c r="G2013" s="7"/>
      <c r="H2013" s="2"/>
      <c r="I2013" s="2"/>
      <c r="J2013" s="2"/>
      <c r="K2013" s="2"/>
      <c r="L2013" s="178"/>
      <c r="M2013" s="2"/>
      <c r="N2013" s="7"/>
      <c r="P2013" s="7"/>
      <c r="R2013" s="2"/>
      <c r="S2013" s="2"/>
      <c r="T2013" s="2"/>
      <c r="U2013" s="2"/>
      <c r="V2013" s="2"/>
      <c r="X2013" s="38"/>
      <c r="Y2013" s="38"/>
      <c r="Z2013" s="38"/>
      <c r="AA2013" s="38"/>
      <c r="AB2013" s="38"/>
      <c r="AD2013" s="2"/>
      <c r="AE2013" s="2"/>
      <c r="AF2013" s="2"/>
      <c r="AG2013" s="2"/>
      <c r="AH2013" s="2"/>
      <c r="AJ2013" s="215"/>
      <c r="AK2013" s="215"/>
      <c r="AL2013" s="215"/>
      <c r="AM2013" s="215"/>
      <c r="AO2013" s="10"/>
      <c r="AP2013" s="10"/>
      <c r="AQ2013" s="10"/>
      <c r="AR2013" s="10"/>
      <c r="AS2013" s="10"/>
      <c r="AU2013" s="2"/>
      <c r="AV2013" s="2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</row>
    <row r="2014" spans="1:73" customFormat="1" ht="12.75" hidden="1" customHeight="1" x14ac:dyDescent="0.2">
      <c r="A2014" s="1"/>
      <c r="B2014" s="1"/>
      <c r="C2014" s="1"/>
      <c r="D2014" s="7"/>
      <c r="E2014" s="7"/>
      <c r="F2014" s="6"/>
      <c r="G2014" s="7"/>
      <c r="H2014" s="2"/>
      <c r="I2014" s="2"/>
      <c r="J2014" s="2"/>
      <c r="K2014" s="2"/>
      <c r="L2014" s="178"/>
      <c r="M2014" s="2"/>
      <c r="N2014" s="7"/>
      <c r="P2014" s="7"/>
      <c r="R2014" s="2"/>
      <c r="S2014" s="2"/>
      <c r="T2014" s="2"/>
      <c r="U2014" s="2"/>
      <c r="V2014" s="2"/>
      <c r="X2014" s="38"/>
      <c r="Y2014" s="38"/>
      <c r="Z2014" s="38"/>
      <c r="AA2014" s="38"/>
      <c r="AB2014" s="38"/>
      <c r="AD2014" s="2"/>
      <c r="AE2014" s="2"/>
      <c r="AF2014" s="2"/>
      <c r="AG2014" s="2"/>
      <c r="AH2014" s="2"/>
      <c r="AJ2014" s="215"/>
      <c r="AK2014" s="215"/>
      <c r="AL2014" s="215"/>
      <c r="AM2014" s="215"/>
      <c r="AO2014" s="10"/>
      <c r="AP2014" s="10"/>
      <c r="AQ2014" s="10"/>
      <c r="AR2014" s="10"/>
      <c r="AS2014" s="10"/>
      <c r="AU2014" s="2"/>
      <c r="AV2014" s="2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</row>
    <row r="2015" spans="1:73" customFormat="1" ht="12.75" hidden="1" customHeight="1" x14ac:dyDescent="0.2">
      <c r="A2015" s="1"/>
      <c r="B2015" s="1"/>
      <c r="C2015" s="1"/>
      <c r="D2015" s="7"/>
      <c r="E2015" s="7"/>
      <c r="F2015" s="6"/>
      <c r="G2015" s="7"/>
      <c r="H2015" s="2"/>
      <c r="I2015" s="2"/>
      <c r="J2015" s="2"/>
      <c r="K2015" s="2"/>
      <c r="L2015" s="178"/>
      <c r="M2015" s="2"/>
      <c r="N2015" s="7"/>
      <c r="P2015" s="7"/>
      <c r="R2015" s="2"/>
      <c r="S2015" s="2"/>
      <c r="T2015" s="2"/>
      <c r="U2015" s="2"/>
      <c r="V2015" s="2"/>
      <c r="X2015" s="38"/>
      <c r="Y2015" s="38"/>
      <c r="Z2015" s="38"/>
      <c r="AA2015" s="38"/>
      <c r="AB2015" s="38"/>
      <c r="AD2015" s="2"/>
      <c r="AE2015" s="2"/>
      <c r="AF2015" s="2"/>
      <c r="AG2015" s="2"/>
      <c r="AH2015" s="2"/>
      <c r="AJ2015" s="215"/>
      <c r="AK2015" s="215"/>
      <c r="AL2015" s="215"/>
      <c r="AM2015" s="215"/>
      <c r="AO2015" s="10"/>
      <c r="AP2015" s="10"/>
      <c r="AQ2015" s="10"/>
      <c r="AR2015" s="10"/>
      <c r="AS2015" s="10"/>
      <c r="AU2015" s="2"/>
      <c r="AV2015" s="2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</row>
    <row r="2016" spans="1:73" customFormat="1" ht="12.75" hidden="1" customHeight="1" x14ac:dyDescent="0.2">
      <c r="A2016" s="1"/>
      <c r="B2016" s="1"/>
      <c r="C2016" s="1"/>
      <c r="D2016" s="7"/>
      <c r="E2016" s="7"/>
      <c r="F2016" s="6"/>
      <c r="G2016" s="7"/>
      <c r="H2016" s="2"/>
      <c r="I2016" s="2"/>
      <c r="J2016" s="2"/>
      <c r="K2016" s="2"/>
      <c r="L2016" s="178"/>
      <c r="M2016" s="2"/>
      <c r="N2016" s="7"/>
      <c r="P2016" s="7"/>
      <c r="R2016" s="2"/>
      <c r="S2016" s="2"/>
      <c r="T2016" s="2"/>
      <c r="U2016" s="2"/>
      <c r="V2016" s="2"/>
      <c r="X2016" s="38"/>
      <c r="Y2016" s="38"/>
      <c r="Z2016" s="38"/>
      <c r="AA2016" s="38"/>
      <c r="AB2016" s="38"/>
      <c r="AD2016" s="2"/>
      <c r="AE2016" s="2"/>
      <c r="AF2016" s="2"/>
      <c r="AG2016" s="2"/>
      <c r="AH2016" s="2"/>
      <c r="AJ2016" s="215"/>
      <c r="AK2016" s="215"/>
      <c r="AL2016" s="215"/>
      <c r="AM2016" s="215"/>
      <c r="AO2016" s="10"/>
      <c r="AP2016" s="10"/>
      <c r="AQ2016" s="10"/>
      <c r="AR2016" s="10"/>
      <c r="AS2016" s="10"/>
      <c r="AU2016" s="2"/>
      <c r="AV2016" s="2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</row>
    <row r="2017" spans="1:73" customFormat="1" ht="12.75" hidden="1" customHeight="1" x14ac:dyDescent="0.2">
      <c r="A2017" s="1"/>
      <c r="B2017" s="1"/>
      <c r="C2017" s="1"/>
      <c r="D2017" s="7"/>
      <c r="E2017" s="7"/>
      <c r="F2017" s="6"/>
      <c r="G2017" s="7"/>
      <c r="H2017" s="2"/>
      <c r="I2017" s="2"/>
      <c r="J2017" s="2"/>
      <c r="K2017" s="2"/>
      <c r="L2017" s="178"/>
      <c r="M2017" s="2"/>
      <c r="N2017" s="7"/>
      <c r="P2017" s="7"/>
      <c r="R2017" s="2"/>
      <c r="S2017" s="2"/>
      <c r="T2017" s="2"/>
      <c r="U2017" s="2"/>
      <c r="V2017" s="2"/>
      <c r="X2017" s="38"/>
      <c r="Y2017" s="38"/>
      <c r="Z2017" s="38"/>
      <c r="AA2017" s="38"/>
      <c r="AB2017" s="38"/>
      <c r="AD2017" s="2"/>
      <c r="AE2017" s="2"/>
      <c r="AF2017" s="2"/>
      <c r="AG2017" s="2"/>
      <c r="AH2017" s="2"/>
      <c r="AJ2017" s="215"/>
      <c r="AK2017" s="215"/>
      <c r="AL2017" s="215"/>
      <c r="AM2017" s="215"/>
      <c r="AO2017" s="10"/>
      <c r="AP2017" s="10"/>
      <c r="AQ2017" s="10"/>
      <c r="AR2017" s="10"/>
      <c r="AS2017" s="10"/>
      <c r="AU2017" s="2"/>
      <c r="AV2017" s="2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</row>
    <row r="2018" spans="1:73" customFormat="1" ht="12.75" hidden="1" customHeight="1" x14ac:dyDescent="0.2">
      <c r="A2018" s="1"/>
      <c r="B2018" s="1"/>
      <c r="C2018" s="1"/>
      <c r="D2018" s="7"/>
      <c r="E2018" s="7"/>
      <c r="F2018" s="6"/>
      <c r="G2018" s="7"/>
      <c r="H2018" s="2"/>
      <c r="I2018" s="2"/>
      <c r="J2018" s="2"/>
      <c r="K2018" s="2"/>
      <c r="L2018" s="178"/>
      <c r="M2018" s="2"/>
      <c r="N2018" s="7"/>
      <c r="P2018" s="7"/>
      <c r="R2018" s="2"/>
      <c r="S2018" s="2"/>
      <c r="T2018" s="2"/>
      <c r="U2018" s="2"/>
      <c r="V2018" s="2"/>
      <c r="X2018" s="38"/>
      <c r="Y2018" s="38"/>
      <c r="Z2018" s="38"/>
      <c r="AA2018" s="38"/>
      <c r="AB2018" s="38"/>
      <c r="AD2018" s="2"/>
      <c r="AE2018" s="2"/>
      <c r="AF2018" s="2"/>
      <c r="AG2018" s="2"/>
      <c r="AH2018" s="2"/>
      <c r="AJ2018" s="215"/>
      <c r="AK2018" s="215"/>
      <c r="AL2018" s="215"/>
      <c r="AM2018" s="215"/>
      <c r="AO2018" s="10"/>
      <c r="AP2018" s="10"/>
      <c r="AQ2018" s="10"/>
      <c r="AR2018" s="10"/>
      <c r="AS2018" s="10"/>
      <c r="AU2018" s="2"/>
      <c r="AV2018" s="2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</row>
    <row r="2019" spans="1:73" customFormat="1" ht="12.75" hidden="1" customHeight="1" x14ac:dyDescent="0.2">
      <c r="A2019" s="1"/>
      <c r="B2019" s="1"/>
      <c r="C2019" s="1"/>
      <c r="D2019" s="7"/>
      <c r="E2019" s="7"/>
      <c r="F2019" s="6"/>
      <c r="G2019" s="7"/>
      <c r="H2019" s="2"/>
      <c r="I2019" s="2"/>
      <c r="J2019" s="2"/>
      <c r="K2019" s="2"/>
      <c r="L2019" s="178"/>
      <c r="M2019" s="2"/>
      <c r="N2019" s="7"/>
      <c r="P2019" s="7"/>
      <c r="R2019" s="2"/>
      <c r="S2019" s="2"/>
      <c r="T2019" s="2"/>
      <c r="U2019" s="2"/>
      <c r="V2019" s="2"/>
      <c r="X2019" s="38"/>
      <c r="Y2019" s="38"/>
      <c r="Z2019" s="38"/>
      <c r="AA2019" s="38"/>
      <c r="AB2019" s="38"/>
      <c r="AD2019" s="2"/>
      <c r="AE2019" s="2"/>
      <c r="AF2019" s="2"/>
      <c r="AG2019" s="2"/>
      <c r="AH2019" s="2"/>
      <c r="AJ2019" s="215"/>
      <c r="AK2019" s="215"/>
      <c r="AL2019" s="215"/>
      <c r="AM2019" s="215"/>
      <c r="AO2019" s="10"/>
      <c r="AP2019" s="10"/>
      <c r="AQ2019" s="10"/>
      <c r="AR2019" s="10"/>
      <c r="AS2019" s="10"/>
      <c r="AU2019" s="2"/>
      <c r="AV2019" s="2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</row>
    <row r="2020" spans="1:73" customFormat="1" ht="12.75" hidden="1" customHeight="1" x14ac:dyDescent="0.2">
      <c r="A2020" s="1"/>
      <c r="B2020" s="1"/>
      <c r="C2020" s="1"/>
      <c r="D2020" s="7"/>
      <c r="E2020" s="7"/>
      <c r="F2020" s="6"/>
      <c r="G2020" s="7"/>
      <c r="H2020" s="2"/>
      <c r="I2020" s="2"/>
      <c r="J2020" s="2"/>
      <c r="K2020" s="2"/>
      <c r="L2020" s="178"/>
      <c r="M2020" s="2"/>
      <c r="N2020" s="7"/>
      <c r="P2020" s="7"/>
      <c r="R2020" s="2"/>
      <c r="S2020" s="2"/>
      <c r="T2020" s="2"/>
      <c r="U2020" s="2"/>
      <c r="V2020" s="2"/>
      <c r="X2020" s="38"/>
      <c r="Y2020" s="38"/>
      <c r="Z2020" s="38"/>
      <c r="AA2020" s="38"/>
      <c r="AB2020" s="38"/>
      <c r="AD2020" s="2"/>
      <c r="AE2020" s="2"/>
      <c r="AF2020" s="2"/>
      <c r="AG2020" s="2"/>
      <c r="AH2020" s="2"/>
      <c r="AJ2020" s="215"/>
      <c r="AK2020" s="215"/>
      <c r="AL2020" s="215"/>
      <c r="AM2020" s="215"/>
      <c r="AO2020" s="10"/>
      <c r="AP2020" s="10"/>
      <c r="AQ2020" s="10"/>
      <c r="AR2020" s="10"/>
      <c r="AS2020" s="10"/>
      <c r="AU2020" s="2"/>
      <c r="AV2020" s="2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</row>
    <row r="2021" spans="1:73" customFormat="1" ht="12.75" hidden="1" customHeight="1" x14ac:dyDescent="0.2">
      <c r="A2021" s="1"/>
      <c r="B2021" s="1"/>
      <c r="C2021" s="1"/>
      <c r="D2021" s="7"/>
      <c r="E2021" s="7"/>
      <c r="F2021" s="6"/>
      <c r="G2021" s="7"/>
      <c r="H2021" s="2"/>
      <c r="I2021" s="2"/>
      <c r="J2021" s="2"/>
      <c r="K2021" s="2"/>
      <c r="L2021" s="178"/>
      <c r="M2021" s="2"/>
      <c r="N2021" s="7"/>
      <c r="P2021" s="7"/>
      <c r="R2021" s="2"/>
      <c r="S2021" s="2"/>
      <c r="T2021" s="2"/>
      <c r="U2021" s="2"/>
      <c r="V2021" s="2"/>
      <c r="X2021" s="38"/>
      <c r="Y2021" s="38"/>
      <c r="Z2021" s="38"/>
      <c r="AA2021" s="38"/>
      <c r="AB2021" s="38"/>
      <c r="AD2021" s="2"/>
      <c r="AE2021" s="2"/>
      <c r="AF2021" s="2"/>
      <c r="AG2021" s="2"/>
      <c r="AH2021" s="2"/>
      <c r="AJ2021" s="215"/>
      <c r="AK2021" s="215"/>
      <c r="AL2021" s="215"/>
      <c r="AM2021" s="215"/>
      <c r="AO2021" s="10"/>
      <c r="AP2021" s="10"/>
      <c r="AQ2021" s="10"/>
      <c r="AR2021" s="10"/>
      <c r="AS2021" s="10"/>
      <c r="AU2021" s="2"/>
      <c r="AV2021" s="2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</row>
    <row r="2022" spans="1:73" customFormat="1" ht="12.75" hidden="1" customHeight="1" x14ac:dyDescent="0.2">
      <c r="A2022" s="1"/>
      <c r="B2022" s="1"/>
      <c r="C2022" s="1"/>
      <c r="D2022" s="7"/>
      <c r="E2022" s="7"/>
      <c r="F2022" s="6"/>
      <c r="G2022" s="7"/>
      <c r="H2022" s="2"/>
      <c r="I2022" s="2"/>
      <c r="J2022" s="2"/>
      <c r="K2022" s="2"/>
      <c r="L2022" s="178"/>
      <c r="M2022" s="2"/>
      <c r="N2022" s="7"/>
      <c r="P2022" s="7"/>
      <c r="R2022" s="2"/>
      <c r="S2022" s="2"/>
      <c r="T2022" s="2"/>
      <c r="U2022" s="2"/>
      <c r="V2022" s="2"/>
      <c r="X2022" s="38"/>
      <c r="Y2022" s="38"/>
      <c r="Z2022" s="38"/>
      <c r="AA2022" s="38"/>
      <c r="AB2022" s="38"/>
      <c r="AD2022" s="2"/>
      <c r="AE2022" s="2"/>
      <c r="AF2022" s="2"/>
      <c r="AG2022" s="2"/>
      <c r="AH2022" s="2"/>
      <c r="AJ2022" s="215"/>
      <c r="AK2022" s="215"/>
      <c r="AL2022" s="215"/>
      <c r="AM2022" s="215"/>
      <c r="AO2022" s="10"/>
      <c r="AP2022" s="10"/>
      <c r="AQ2022" s="10"/>
      <c r="AR2022" s="10"/>
      <c r="AS2022" s="10"/>
      <c r="AU2022" s="2"/>
      <c r="AV2022" s="2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</row>
    <row r="2023" spans="1:73" customFormat="1" ht="12.75" hidden="1" customHeight="1" x14ac:dyDescent="0.2">
      <c r="A2023" s="1"/>
      <c r="B2023" s="1"/>
      <c r="C2023" s="1"/>
      <c r="D2023" s="7"/>
      <c r="E2023" s="7"/>
      <c r="F2023" s="6"/>
      <c r="G2023" s="7"/>
      <c r="H2023" s="2"/>
      <c r="I2023" s="2"/>
      <c r="J2023" s="2"/>
      <c r="K2023" s="2"/>
      <c r="L2023" s="178"/>
      <c r="M2023" s="2"/>
      <c r="N2023" s="7"/>
      <c r="P2023" s="7"/>
      <c r="R2023" s="2"/>
      <c r="S2023" s="2"/>
      <c r="T2023" s="2"/>
      <c r="U2023" s="2"/>
      <c r="V2023" s="2"/>
      <c r="X2023" s="38"/>
      <c r="Y2023" s="38"/>
      <c r="Z2023" s="38"/>
      <c r="AA2023" s="38"/>
      <c r="AB2023" s="38"/>
      <c r="AD2023" s="2"/>
      <c r="AE2023" s="2"/>
      <c r="AF2023" s="2"/>
      <c r="AG2023" s="2"/>
      <c r="AH2023" s="2"/>
      <c r="AJ2023" s="215"/>
      <c r="AK2023" s="215"/>
      <c r="AL2023" s="215"/>
      <c r="AM2023" s="215"/>
      <c r="AO2023" s="10"/>
      <c r="AP2023" s="10"/>
      <c r="AQ2023" s="10"/>
      <c r="AR2023" s="10"/>
      <c r="AS2023" s="10"/>
      <c r="AU2023" s="2"/>
      <c r="AV2023" s="2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</row>
    <row r="2024" spans="1:73" customFormat="1" ht="12.75" hidden="1" customHeight="1" x14ac:dyDescent="0.2">
      <c r="A2024" s="1"/>
      <c r="B2024" s="1"/>
      <c r="C2024" s="1"/>
      <c r="D2024" s="7"/>
      <c r="E2024" s="7"/>
      <c r="F2024" s="6"/>
      <c r="G2024" s="7"/>
      <c r="H2024" s="2"/>
      <c r="I2024" s="2"/>
      <c r="J2024" s="2"/>
      <c r="K2024" s="2"/>
      <c r="L2024" s="178"/>
      <c r="M2024" s="2"/>
      <c r="N2024" s="7"/>
      <c r="P2024" s="7"/>
      <c r="R2024" s="2"/>
      <c r="S2024" s="2"/>
      <c r="T2024" s="2"/>
      <c r="U2024" s="2"/>
      <c r="V2024" s="2"/>
      <c r="X2024" s="38"/>
      <c r="Y2024" s="38"/>
      <c r="Z2024" s="38"/>
      <c r="AA2024" s="38"/>
      <c r="AB2024" s="38"/>
      <c r="AD2024" s="2"/>
      <c r="AE2024" s="2"/>
      <c r="AF2024" s="2"/>
      <c r="AG2024" s="2"/>
      <c r="AH2024" s="2"/>
      <c r="AJ2024" s="215"/>
      <c r="AK2024" s="215"/>
      <c r="AL2024" s="215"/>
      <c r="AM2024" s="215"/>
      <c r="AO2024" s="10"/>
      <c r="AP2024" s="10"/>
      <c r="AQ2024" s="10"/>
      <c r="AR2024" s="10"/>
      <c r="AS2024" s="10"/>
      <c r="AU2024" s="2"/>
      <c r="AV2024" s="2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</row>
    <row r="2025" spans="1:73" customFormat="1" ht="12.75" hidden="1" customHeight="1" x14ac:dyDescent="0.2">
      <c r="A2025" s="1"/>
      <c r="B2025" s="1"/>
      <c r="C2025" s="1"/>
      <c r="D2025" s="7"/>
      <c r="E2025" s="7"/>
      <c r="F2025" s="6"/>
      <c r="G2025" s="7"/>
      <c r="H2025" s="2"/>
      <c r="I2025" s="2"/>
      <c r="J2025" s="2"/>
      <c r="K2025" s="2"/>
      <c r="L2025" s="178"/>
      <c r="M2025" s="2"/>
      <c r="N2025" s="7"/>
      <c r="P2025" s="7"/>
      <c r="R2025" s="2"/>
      <c r="S2025" s="2"/>
      <c r="T2025" s="2"/>
      <c r="U2025" s="2"/>
      <c r="V2025" s="2"/>
      <c r="X2025" s="38"/>
      <c r="Y2025" s="38"/>
      <c r="Z2025" s="38"/>
      <c r="AA2025" s="38"/>
      <c r="AB2025" s="38"/>
      <c r="AD2025" s="2"/>
      <c r="AE2025" s="2"/>
      <c r="AF2025" s="2"/>
      <c r="AG2025" s="2"/>
      <c r="AH2025" s="2"/>
      <c r="AJ2025" s="215"/>
      <c r="AK2025" s="215"/>
      <c r="AL2025" s="215"/>
      <c r="AM2025" s="215"/>
      <c r="AO2025" s="10"/>
      <c r="AP2025" s="10"/>
      <c r="AQ2025" s="10"/>
      <c r="AR2025" s="10"/>
      <c r="AS2025" s="10"/>
      <c r="AU2025" s="2"/>
      <c r="AV2025" s="2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</row>
    <row r="2026" spans="1:73" customFormat="1" ht="12.75" hidden="1" customHeight="1" x14ac:dyDescent="0.2">
      <c r="A2026" s="1"/>
      <c r="B2026" s="1"/>
      <c r="C2026" s="1"/>
      <c r="D2026" s="7"/>
      <c r="E2026" s="7"/>
      <c r="F2026" s="6"/>
      <c r="G2026" s="7"/>
      <c r="H2026" s="2"/>
      <c r="I2026" s="2"/>
      <c r="J2026" s="2"/>
      <c r="K2026" s="2"/>
      <c r="L2026" s="178"/>
      <c r="M2026" s="2"/>
      <c r="N2026" s="7"/>
      <c r="P2026" s="7"/>
      <c r="R2026" s="2"/>
      <c r="S2026" s="2"/>
      <c r="T2026" s="2"/>
      <c r="U2026" s="2"/>
      <c r="V2026" s="2"/>
      <c r="X2026" s="38"/>
      <c r="Y2026" s="38"/>
      <c r="Z2026" s="38"/>
      <c r="AA2026" s="38"/>
      <c r="AB2026" s="38"/>
      <c r="AD2026" s="2"/>
      <c r="AE2026" s="2"/>
      <c r="AF2026" s="2"/>
      <c r="AG2026" s="2"/>
      <c r="AH2026" s="2"/>
      <c r="AJ2026" s="215"/>
      <c r="AK2026" s="215"/>
      <c r="AL2026" s="215"/>
      <c r="AM2026" s="215"/>
      <c r="AO2026" s="10"/>
      <c r="AP2026" s="10"/>
      <c r="AQ2026" s="10"/>
      <c r="AR2026" s="10"/>
      <c r="AS2026" s="10"/>
      <c r="AU2026" s="2"/>
      <c r="AV2026" s="2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</row>
    <row r="2027" spans="1:73" customFormat="1" ht="12.75" hidden="1" customHeight="1" x14ac:dyDescent="0.2">
      <c r="A2027" s="1"/>
      <c r="B2027" s="1"/>
      <c r="C2027" s="1"/>
      <c r="D2027" s="7"/>
      <c r="E2027" s="7"/>
      <c r="F2027" s="6"/>
      <c r="G2027" s="7"/>
      <c r="H2027" s="2"/>
      <c r="I2027" s="2"/>
      <c r="J2027" s="2"/>
      <c r="K2027" s="2"/>
      <c r="L2027" s="178"/>
      <c r="M2027" s="2"/>
      <c r="N2027" s="7"/>
      <c r="P2027" s="7"/>
      <c r="R2027" s="2"/>
      <c r="S2027" s="2"/>
      <c r="T2027" s="2"/>
      <c r="U2027" s="2"/>
      <c r="V2027" s="2"/>
      <c r="X2027" s="38"/>
      <c r="Y2027" s="38"/>
      <c r="Z2027" s="38"/>
      <c r="AA2027" s="38"/>
      <c r="AB2027" s="38"/>
      <c r="AD2027" s="2"/>
      <c r="AE2027" s="2"/>
      <c r="AF2027" s="2"/>
      <c r="AG2027" s="2"/>
      <c r="AH2027" s="2"/>
      <c r="AJ2027" s="215"/>
      <c r="AK2027" s="215"/>
      <c r="AL2027" s="215"/>
      <c r="AM2027" s="215"/>
      <c r="AO2027" s="10"/>
      <c r="AP2027" s="10"/>
      <c r="AQ2027" s="10"/>
      <c r="AR2027" s="10"/>
      <c r="AS2027" s="10"/>
      <c r="AU2027" s="2"/>
      <c r="AV2027" s="2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</row>
    <row r="2028" spans="1:73" customFormat="1" ht="12.75" hidden="1" customHeight="1" x14ac:dyDescent="0.2">
      <c r="A2028" s="1"/>
      <c r="B2028" s="1"/>
      <c r="C2028" s="1"/>
      <c r="D2028" s="7"/>
      <c r="E2028" s="7"/>
      <c r="F2028" s="6"/>
      <c r="G2028" s="7"/>
      <c r="H2028" s="2"/>
      <c r="I2028" s="2"/>
      <c r="J2028" s="2"/>
      <c r="K2028" s="2"/>
      <c r="L2028" s="178"/>
      <c r="M2028" s="2"/>
      <c r="N2028" s="7"/>
      <c r="P2028" s="7"/>
      <c r="R2028" s="2"/>
      <c r="S2028" s="2"/>
      <c r="T2028" s="2"/>
      <c r="U2028" s="2"/>
      <c r="V2028" s="2"/>
      <c r="X2028" s="38"/>
      <c r="Y2028" s="38"/>
      <c r="Z2028" s="38"/>
      <c r="AA2028" s="38"/>
      <c r="AB2028" s="38"/>
      <c r="AD2028" s="2"/>
      <c r="AE2028" s="2"/>
      <c r="AF2028" s="2"/>
      <c r="AG2028" s="2"/>
      <c r="AH2028" s="2"/>
      <c r="AJ2028" s="215"/>
      <c r="AK2028" s="215"/>
      <c r="AL2028" s="215"/>
      <c r="AM2028" s="215"/>
      <c r="AO2028" s="10"/>
      <c r="AP2028" s="10"/>
      <c r="AQ2028" s="10"/>
      <c r="AR2028" s="10"/>
      <c r="AS2028" s="10"/>
      <c r="AU2028" s="2"/>
      <c r="AV2028" s="2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</row>
    <row r="2029" spans="1:73" customFormat="1" ht="12.75" hidden="1" customHeight="1" x14ac:dyDescent="0.2">
      <c r="A2029" s="1"/>
      <c r="B2029" s="1"/>
      <c r="C2029" s="1"/>
      <c r="D2029" s="7"/>
      <c r="E2029" s="7"/>
      <c r="F2029" s="6"/>
      <c r="G2029" s="7"/>
      <c r="H2029" s="2"/>
      <c r="I2029" s="2"/>
      <c r="J2029" s="2"/>
      <c r="K2029" s="2"/>
      <c r="L2029" s="178"/>
      <c r="M2029" s="2"/>
      <c r="N2029" s="7"/>
      <c r="P2029" s="7"/>
      <c r="R2029" s="2"/>
      <c r="S2029" s="2"/>
      <c r="T2029" s="2"/>
      <c r="U2029" s="2"/>
      <c r="V2029" s="2"/>
      <c r="X2029" s="38"/>
      <c r="Y2029" s="38"/>
      <c r="Z2029" s="38"/>
      <c r="AA2029" s="38"/>
      <c r="AB2029" s="38"/>
      <c r="AD2029" s="2"/>
      <c r="AE2029" s="2"/>
      <c r="AF2029" s="2"/>
      <c r="AG2029" s="2"/>
      <c r="AH2029" s="2"/>
      <c r="AJ2029" s="215"/>
      <c r="AK2029" s="215"/>
      <c r="AL2029" s="215"/>
      <c r="AM2029" s="215"/>
      <c r="AO2029" s="10"/>
      <c r="AP2029" s="10"/>
      <c r="AQ2029" s="10"/>
      <c r="AR2029" s="10"/>
      <c r="AS2029" s="10"/>
      <c r="AU2029" s="2"/>
      <c r="AV2029" s="2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</row>
    <row r="2030" spans="1:73" customFormat="1" ht="12.75" hidden="1" customHeight="1" x14ac:dyDescent="0.2">
      <c r="A2030" s="1"/>
      <c r="B2030" s="1"/>
      <c r="C2030" s="1"/>
      <c r="D2030" s="7"/>
      <c r="E2030" s="7"/>
      <c r="F2030" s="6"/>
      <c r="G2030" s="7"/>
      <c r="H2030" s="2"/>
      <c r="I2030" s="2"/>
      <c r="J2030" s="2"/>
      <c r="K2030" s="2"/>
      <c r="L2030" s="178"/>
      <c r="M2030" s="2"/>
      <c r="N2030" s="7"/>
      <c r="P2030" s="7"/>
      <c r="R2030" s="2"/>
      <c r="S2030" s="2"/>
      <c r="T2030" s="2"/>
      <c r="U2030" s="2"/>
      <c r="V2030" s="2"/>
      <c r="X2030" s="38"/>
      <c r="Y2030" s="38"/>
      <c r="Z2030" s="38"/>
      <c r="AA2030" s="38"/>
      <c r="AB2030" s="38"/>
      <c r="AD2030" s="2"/>
      <c r="AE2030" s="2"/>
      <c r="AF2030" s="2"/>
      <c r="AG2030" s="2"/>
      <c r="AH2030" s="2"/>
      <c r="AJ2030" s="215"/>
      <c r="AK2030" s="215"/>
      <c r="AL2030" s="215"/>
      <c r="AM2030" s="215"/>
      <c r="AO2030" s="10"/>
      <c r="AP2030" s="10"/>
      <c r="AQ2030" s="10"/>
      <c r="AR2030" s="10"/>
      <c r="AS2030" s="10"/>
      <c r="AU2030" s="2"/>
      <c r="AV2030" s="2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</row>
    <row r="2031" spans="1:73" customFormat="1" ht="12.75" hidden="1" customHeight="1" x14ac:dyDescent="0.2">
      <c r="A2031" s="1"/>
      <c r="B2031" s="1"/>
      <c r="C2031" s="1"/>
      <c r="D2031" s="7"/>
      <c r="E2031" s="7"/>
      <c r="F2031" s="6"/>
      <c r="G2031" s="7"/>
      <c r="H2031" s="2"/>
      <c r="I2031" s="2"/>
      <c r="J2031" s="2"/>
      <c r="K2031" s="2"/>
      <c r="L2031" s="178"/>
      <c r="M2031" s="2"/>
      <c r="N2031" s="7"/>
      <c r="P2031" s="7"/>
      <c r="R2031" s="2"/>
      <c r="S2031" s="2"/>
      <c r="T2031" s="2"/>
      <c r="U2031" s="2"/>
      <c r="V2031" s="2"/>
      <c r="X2031" s="38"/>
      <c r="Y2031" s="38"/>
      <c r="Z2031" s="38"/>
      <c r="AA2031" s="38"/>
      <c r="AB2031" s="38"/>
      <c r="AD2031" s="2"/>
      <c r="AE2031" s="2"/>
      <c r="AF2031" s="2"/>
      <c r="AG2031" s="2"/>
      <c r="AH2031" s="2"/>
      <c r="AJ2031" s="215"/>
      <c r="AK2031" s="215"/>
      <c r="AL2031" s="215"/>
      <c r="AM2031" s="215"/>
      <c r="AO2031" s="10"/>
      <c r="AP2031" s="10"/>
      <c r="AQ2031" s="10"/>
      <c r="AR2031" s="10"/>
      <c r="AS2031" s="10"/>
      <c r="AU2031" s="2"/>
      <c r="AV2031" s="2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</row>
    <row r="2032" spans="1:73" customFormat="1" ht="12.75" hidden="1" customHeight="1" x14ac:dyDescent="0.2">
      <c r="A2032" s="1"/>
      <c r="B2032" s="1"/>
      <c r="C2032" s="1"/>
      <c r="D2032" s="7"/>
      <c r="E2032" s="7"/>
      <c r="F2032" s="6"/>
      <c r="G2032" s="7"/>
      <c r="H2032" s="2"/>
      <c r="I2032" s="2"/>
      <c r="J2032" s="2"/>
      <c r="K2032" s="2"/>
      <c r="L2032" s="178"/>
      <c r="M2032" s="2"/>
      <c r="N2032" s="7"/>
      <c r="P2032" s="7"/>
      <c r="R2032" s="2"/>
      <c r="S2032" s="2"/>
      <c r="T2032" s="2"/>
      <c r="U2032" s="2"/>
      <c r="V2032" s="2"/>
      <c r="X2032" s="38"/>
      <c r="Y2032" s="38"/>
      <c r="Z2032" s="38"/>
      <c r="AA2032" s="38"/>
      <c r="AB2032" s="38"/>
      <c r="AD2032" s="2"/>
      <c r="AE2032" s="2"/>
      <c r="AF2032" s="2"/>
      <c r="AG2032" s="2"/>
      <c r="AH2032" s="2"/>
      <c r="AJ2032" s="215"/>
      <c r="AK2032" s="215"/>
      <c r="AL2032" s="215"/>
      <c r="AM2032" s="215"/>
      <c r="AO2032" s="10"/>
      <c r="AP2032" s="10"/>
      <c r="AQ2032" s="10"/>
      <c r="AR2032" s="10"/>
      <c r="AS2032" s="10"/>
      <c r="AU2032" s="2"/>
      <c r="AV2032" s="2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</row>
    <row r="2033" spans="1:73" customFormat="1" ht="12.75" hidden="1" customHeight="1" x14ac:dyDescent="0.2">
      <c r="A2033" s="1"/>
      <c r="B2033" s="1"/>
      <c r="C2033" s="1"/>
      <c r="D2033" s="7"/>
      <c r="E2033" s="7"/>
      <c r="F2033" s="6"/>
      <c r="G2033" s="7"/>
      <c r="H2033" s="2"/>
      <c r="I2033" s="2"/>
      <c r="J2033" s="2"/>
      <c r="K2033" s="2"/>
      <c r="L2033" s="178"/>
      <c r="M2033" s="2"/>
      <c r="N2033" s="7"/>
      <c r="P2033" s="7"/>
      <c r="R2033" s="2"/>
      <c r="S2033" s="2"/>
      <c r="T2033" s="2"/>
      <c r="U2033" s="2"/>
      <c r="V2033" s="2"/>
      <c r="X2033" s="38"/>
      <c r="Y2033" s="38"/>
      <c r="Z2033" s="38"/>
      <c r="AA2033" s="38"/>
      <c r="AB2033" s="38"/>
      <c r="AD2033" s="2"/>
      <c r="AE2033" s="2"/>
      <c r="AF2033" s="2"/>
      <c r="AG2033" s="2"/>
      <c r="AH2033" s="2"/>
      <c r="AJ2033" s="215"/>
      <c r="AK2033" s="215"/>
      <c r="AL2033" s="215"/>
      <c r="AM2033" s="215"/>
      <c r="AO2033" s="10"/>
      <c r="AP2033" s="10"/>
      <c r="AQ2033" s="10"/>
      <c r="AR2033" s="10"/>
      <c r="AS2033" s="10"/>
      <c r="AU2033" s="2"/>
      <c r="AV2033" s="2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</row>
    <row r="2034" spans="1:73" customFormat="1" ht="12.75" hidden="1" customHeight="1" x14ac:dyDescent="0.2">
      <c r="A2034" s="1"/>
      <c r="B2034" s="1"/>
      <c r="C2034" s="1"/>
      <c r="D2034" s="7"/>
      <c r="E2034" s="7"/>
      <c r="F2034" s="6"/>
      <c r="G2034" s="7"/>
      <c r="H2034" s="2"/>
      <c r="I2034" s="2"/>
      <c r="J2034" s="2"/>
      <c r="K2034" s="2"/>
      <c r="L2034" s="178"/>
      <c r="M2034" s="2"/>
      <c r="N2034" s="7"/>
      <c r="P2034" s="7"/>
      <c r="R2034" s="2"/>
      <c r="S2034" s="2"/>
      <c r="T2034" s="2"/>
      <c r="U2034" s="2"/>
      <c r="V2034" s="2"/>
      <c r="X2034" s="38"/>
      <c r="Y2034" s="38"/>
      <c r="Z2034" s="38"/>
      <c r="AA2034" s="38"/>
      <c r="AB2034" s="38"/>
      <c r="AD2034" s="2"/>
      <c r="AE2034" s="2"/>
      <c r="AF2034" s="2"/>
      <c r="AG2034" s="2"/>
      <c r="AH2034" s="2"/>
      <c r="AJ2034" s="215"/>
      <c r="AK2034" s="215"/>
      <c r="AL2034" s="215"/>
      <c r="AM2034" s="215"/>
      <c r="AO2034" s="10"/>
      <c r="AP2034" s="10"/>
      <c r="AQ2034" s="10"/>
      <c r="AR2034" s="10"/>
      <c r="AS2034" s="10"/>
      <c r="AU2034" s="2"/>
      <c r="AV2034" s="2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</row>
    <row r="2035" spans="1:73" customFormat="1" ht="12.75" hidden="1" customHeight="1" x14ac:dyDescent="0.2">
      <c r="A2035" s="1"/>
      <c r="B2035" s="1"/>
      <c r="C2035" s="1"/>
      <c r="D2035" s="7"/>
      <c r="E2035" s="7"/>
      <c r="F2035" s="6"/>
      <c r="G2035" s="7"/>
      <c r="H2035" s="2"/>
      <c r="I2035" s="2"/>
      <c r="J2035" s="2"/>
      <c r="K2035" s="2"/>
      <c r="L2035" s="178"/>
      <c r="M2035" s="2"/>
      <c r="N2035" s="7"/>
      <c r="P2035" s="7"/>
      <c r="R2035" s="2"/>
      <c r="S2035" s="2"/>
      <c r="T2035" s="2"/>
      <c r="U2035" s="2"/>
      <c r="V2035" s="2"/>
      <c r="X2035" s="38"/>
      <c r="Y2035" s="38"/>
      <c r="Z2035" s="38"/>
      <c r="AA2035" s="38"/>
      <c r="AB2035" s="38"/>
      <c r="AD2035" s="2"/>
      <c r="AE2035" s="2"/>
      <c r="AF2035" s="2"/>
      <c r="AG2035" s="2"/>
      <c r="AH2035" s="2"/>
      <c r="AJ2035" s="215"/>
      <c r="AK2035" s="215"/>
      <c r="AL2035" s="215"/>
      <c r="AM2035" s="215"/>
      <c r="AO2035" s="10"/>
      <c r="AP2035" s="10"/>
      <c r="AQ2035" s="10"/>
      <c r="AR2035" s="10"/>
      <c r="AS2035" s="10"/>
      <c r="AU2035" s="2"/>
      <c r="AV2035" s="2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</row>
    <row r="2036" spans="1:73" customFormat="1" ht="12.75" hidden="1" customHeight="1" x14ac:dyDescent="0.2">
      <c r="A2036" s="1"/>
      <c r="B2036" s="1"/>
      <c r="C2036" s="1"/>
      <c r="D2036" s="7"/>
      <c r="E2036" s="7"/>
      <c r="F2036" s="6"/>
      <c r="G2036" s="7"/>
      <c r="H2036" s="2"/>
      <c r="I2036" s="2"/>
      <c r="J2036" s="2"/>
      <c r="K2036" s="2"/>
      <c r="L2036" s="178"/>
      <c r="M2036" s="2"/>
      <c r="N2036" s="7"/>
      <c r="P2036" s="7"/>
      <c r="R2036" s="2"/>
      <c r="S2036" s="2"/>
      <c r="T2036" s="2"/>
      <c r="U2036" s="2"/>
      <c r="V2036" s="2"/>
      <c r="X2036" s="38"/>
      <c r="Y2036" s="38"/>
      <c r="Z2036" s="38"/>
      <c r="AA2036" s="38"/>
      <c r="AB2036" s="38"/>
      <c r="AD2036" s="2"/>
      <c r="AE2036" s="2"/>
      <c r="AF2036" s="2"/>
      <c r="AG2036" s="2"/>
      <c r="AH2036" s="2"/>
      <c r="AJ2036" s="215"/>
      <c r="AK2036" s="215"/>
      <c r="AL2036" s="215"/>
      <c r="AM2036" s="215"/>
      <c r="AO2036" s="10"/>
      <c r="AP2036" s="10"/>
      <c r="AQ2036" s="10"/>
      <c r="AR2036" s="10"/>
      <c r="AS2036" s="10"/>
      <c r="AU2036" s="2"/>
      <c r="AV2036" s="2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</row>
    <row r="2037" spans="1:73" customFormat="1" ht="12.75" hidden="1" customHeight="1" x14ac:dyDescent="0.2">
      <c r="A2037" s="1"/>
      <c r="B2037" s="1"/>
      <c r="C2037" s="1"/>
      <c r="D2037" s="7"/>
      <c r="E2037" s="7"/>
      <c r="F2037" s="6"/>
      <c r="G2037" s="7"/>
      <c r="H2037" s="2"/>
      <c r="I2037" s="2"/>
      <c r="J2037" s="2"/>
      <c r="K2037" s="2"/>
      <c r="L2037" s="178"/>
      <c r="M2037" s="2"/>
      <c r="N2037" s="7"/>
      <c r="P2037" s="7"/>
      <c r="R2037" s="2"/>
      <c r="S2037" s="2"/>
      <c r="T2037" s="2"/>
      <c r="U2037" s="2"/>
      <c r="V2037" s="2"/>
      <c r="X2037" s="38"/>
      <c r="Y2037" s="38"/>
      <c r="Z2037" s="38"/>
      <c r="AA2037" s="38"/>
      <c r="AB2037" s="38"/>
      <c r="AD2037" s="2"/>
      <c r="AE2037" s="2"/>
      <c r="AF2037" s="2"/>
      <c r="AG2037" s="2"/>
      <c r="AH2037" s="2"/>
      <c r="AJ2037" s="215"/>
      <c r="AK2037" s="215"/>
      <c r="AL2037" s="215"/>
      <c r="AM2037" s="215"/>
      <c r="AO2037" s="10"/>
      <c r="AP2037" s="10"/>
      <c r="AQ2037" s="10"/>
      <c r="AR2037" s="10"/>
      <c r="AS2037" s="10"/>
      <c r="AU2037" s="2"/>
      <c r="AV2037" s="2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</row>
    <row r="2038" spans="1:73" customFormat="1" ht="12.75" hidden="1" customHeight="1" x14ac:dyDescent="0.2">
      <c r="A2038" s="1"/>
      <c r="B2038" s="1"/>
      <c r="C2038" s="1"/>
      <c r="D2038" s="7"/>
      <c r="E2038" s="7"/>
      <c r="F2038" s="6"/>
      <c r="G2038" s="7"/>
      <c r="H2038" s="2"/>
      <c r="I2038" s="2"/>
      <c r="J2038" s="2"/>
      <c r="K2038" s="2"/>
      <c r="L2038" s="178"/>
      <c r="M2038" s="2"/>
      <c r="N2038" s="7"/>
      <c r="P2038" s="7"/>
      <c r="R2038" s="2"/>
      <c r="S2038" s="2"/>
      <c r="T2038" s="2"/>
      <c r="U2038" s="2"/>
      <c r="V2038" s="2"/>
      <c r="X2038" s="38"/>
      <c r="Y2038" s="38"/>
      <c r="Z2038" s="38"/>
      <c r="AA2038" s="38"/>
      <c r="AB2038" s="38"/>
      <c r="AD2038" s="2"/>
      <c r="AE2038" s="2"/>
      <c r="AF2038" s="2"/>
      <c r="AG2038" s="2"/>
      <c r="AH2038" s="2"/>
      <c r="AJ2038" s="215"/>
      <c r="AK2038" s="215"/>
      <c r="AL2038" s="215"/>
      <c r="AM2038" s="215"/>
      <c r="AO2038" s="10"/>
      <c r="AP2038" s="10"/>
      <c r="AQ2038" s="10"/>
      <c r="AR2038" s="10"/>
      <c r="AS2038" s="10"/>
      <c r="AU2038" s="2"/>
      <c r="AV2038" s="2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</row>
    <row r="2039" spans="1:73" customFormat="1" ht="12.75" hidden="1" customHeight="1" x14ac:dyDescent="0.2">
      <c r="A2039" s="1"/>
      <c r="B2039" s="1"/>
      <c r="C2039" s="1"/>
      <c r="D2039" s="7"/>
      <c r="E2039" s="7"/>
      <c r="F2039" s="6"/>
      <c r="G2039" s="7"/>
      <c r="H2039" s="2"/>
      <c r="I2039" s="2"/>
      <c r="J2039" s="2"/>
      <c r="K2039" s="2"/>
      <c r="L2039" s="178"/>
      <c r="M2039" s="2"/>
      <c r="N2039" s="7"/>
      <c r="P2039" s="7"/>
      <c r="R2039" s="2"/>
      <c r="S2039" s="2"/>
      <c r="T2039" s="2"/>
      <c r="U2039" s="2"/>
      <c r="V2039" s="2"/>
      <c r="X2039" s="38"/>
      <c r="Y2039" s="38"/>
      <c r="Z2039" s="38"/>
      <c r="AA2039" s="38"/>
      <c r="AB2039" s="38"/>
      <c r="AD2039" s="2"/>
      <c r="AE2039" s="2"/>
      <c r="AF2039" s="2"/>
      <c r="AG2039" s="2"/>
      <c r="AH2039" s="2"/>
      <c r="AJ2039" s="215"/>
      <c r="AK2039" s="215"/>
      <c r="AL2039" s="215"/>
      <c r="AM2039" s="215"/>
      <c r="AO2039" s="10"/>
      <c r="AP2039" s="10"/>
      <c r="AQ2039" s="10"/>
      <c r="AR2039" s="10"/>
      <c r="AS2039" s="10"/>
      <c r="AU2039" s="2"/>
      <c r="AV2039" s="2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</row>
    <row r="2040" spans="1:73" customFormat="1" ht="12.75" hidden="1" customHeight="1" x14ac:dyDescent="0.2">
      <c r="A2040" s="1"/>
      <c r="B2040" s="1"/>
      <c r="C2040" s="1"/>
      <c r="D2040" s="7"/>
      <c r="E2040" s="7"/>
      <c r="F2040" s="6"/>
      <c r="G2040" s="7"/>
      <c r="H2040" s="2"/>
      <c r="I2040" s="2"/>
      <c r="J2040" s="2"/>
      <c r="K2040" s="2"/>
      <c r="L2040" s="178"/>
      <c r="M2040" s="2"/>
      <c r="N2040" s="7"/>
      <c r="P2040" s="7"/>
      <c r="R2040" s="2"/>
      <c r="S2040" s="2"/>
      <c r="T2040" s="2"/>
      <c r="U2040" s="2"/>
      <c r="V2040" s="2"/>
      <c r="X2040" s="38"/>
      <c r="Y2040" s="38"/>
      <c r="Z2040" s="38"/>
      <c r="AA2040" s="38"/>
      <c r="AB2040" s="38"/>
      <c r="AD2040" s="2"/>
      <c r="AE2040" s="2"/>
      <c r="AF2040" s="2"/>
      <c r="AG2040" s="2"/>
      <c r="AH2040" s="2"/>
      <c r="AJ2040" s="215"/>
      <c r="AK2040" s="215"/>
      <c r="AL2040" s="215"/>
      <c r="AM2040" s="215"/>
      <c r="AO2040" s="10"/>
      <c r="AP2040" s="10"/>
      <c r="AQ2040" s="10"/>
      <c r="AR2040" s="10"/>
      <c r="AS2040" s="10"/>
      <c r="AU2040" s="2"/>
      <c r="AV2040" s="2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</row>
    <row r="2041" spans="1:73" customFormat="1" ht="12.75" hidden="1" customHeight="1" x14ac:dyDescent="0.2">
      <c r="A2041" s="1"/>
      <c r="B2041" s="1"/>
      <c r="C2041" s="1"/>
      <c r="D2041" s="7"/>
      <c r="E2041" s="7"/>
      <c r="F2041" s="6"/>
      <c r="G2041" s="7"/>
      <c r="H2041" s="2"/>
      <c r="I2041" s="2"/>
      <c r="J2041" s="2"/>
      <c r="K2041" s="2"/>
      <c r="L2041" s="178"/>
      <c r="M2041" s="2"/>
      <c r="N2041" s="7"/>
      <c r="P2041" s="7"/>
      <c r="R2041" s="2"/>
      <c r="S2041" s="2"/>
      <c r="T2041" s="2"/>
      <c r="U2041" s="2"/>
      <c r="V2041" s="2"/>
      <c r="X2041" s="38"/>
      <c r="Y2041" s="38"/>
      <c r="Z2041" s="38"/>
      <c r="AA2041" s="38"/>
      <c r="AB2041" s="38"/>
      <c r="AD2041" s="2"/>
      <c r="AE2041" s="2"/>
      <c r="AF2041" s="2"/>
      <c r="AG2041" s="2"/>
      <c r="AH2041" s="2"/>
      <c r="AJ2041" s="215"/>
      <c r="AK2041" s="215"/>
      <c r="AL2041" s="215"/>
      <c r="AM2041" s="215"/>
      <c r="AO2041" s="10"/>
      <c r="AP2041" s="10"/>
      <c r="AQ2041" s="10"/>
      <c r="AR2041" s="10"/>
      <c r="AS2041" s="10"/>
      <c r="AU2041" s="2"/>
      <c r="AV2041" s="2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</row>
    <row r="2042" spans="1:73" customFormat="1" ht="12.75" hidden="1" customHeight="1" x14ac:dyDescent="0.2">
      <c r="A2042" s="1"/>
      <c r="B2042" s="1"/>
      <c r="C2042" s="1"/>
      <c r="D2042" s="7"/>
      <c r="E2042" s="7"/>
      <c r="F2042" s="6"/>
      <c r="G2042" s="7"/>
      <c r="H2042" s="2"/>
      <c r="I2042" s="2"/>
      <c r="J2042" s="2"/>
      <c r="K2042" s="2"/>
      <c r="L2042" s="178"/>
      <c r="M2042" s="2"/>
      <c r="N2042" s="7"/>
      <c r="P2042" s="7"/>
      <c r="R2042" s="2"/>
      <c r="S2042" s="2"/>
      <c r="T2042" s="2"/>
      <c r="U2042" s="2"/>
      <c r="V2042" s="2"/>
      <c r="X2042" s="38"/>
      <c r="Y2042" s="38"/>
      <c r="Z2042" s="38"/>
      <c r="AA2042" s="38"/>
      <c r="AB2042" s="38"/>
      <c r="AD2042" s="2"/>
      <c r="AE2042" s="2"/>
      <c r="AF2042" s="2"/>
      <c r="AG2042" s="2"/>
      <c r="AH2042" s="2"/>
      <c r="AJ2042" s="215"/>
      <c r="AK2042" s="215"/>
      <c r="AL2042" s="215"/>
      <c r="AM2042" s="215"/>
      <c r="AO2042" s="10"/>
      <c r="AP2042" s="10"/>
      <c r="AQ2042" s="10"/>
      <c r="AR2042" s="10"/>
      <c r="AS2042" s="10"/>
      <c r="AU2042" s="2"/>
      <c r="AV2042" s="2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</row>
    <row r="2043" spans="1:73" customFormat="1" ht="12.75" hidden="1" customHeight="1" x14ac:dyDescent="0.2">
      <c r="A2043" s="1"/>
      <c r="B2043" s="1"/>
      <c r="C2043" s="1"/>
      <c r="D2043" s="7"/>
      <c r="E2043" s="7"/>
      <c r="F2043" s="6"/>
      <c r="G2043" s="7"/>
      <c r="H2043" s="2"/>
      <c r="I2043" s="2"/>
      <c r="J2043" s="2"/>
      <c r="K2043" s="2"/>
      <c r="L2043" s="178"/>
      <c r="M2043" s="2"/>
      <c r="N2043" s="7"/>
      <c r="P2043" s="7"/>
      <c r="R2043" s="2"/>
      <c r="S2043" s="2"/>
      <c r="T2043" s="2"/>
      <c r="U2043" s="2"/>
      <c r="V2043" s="2"/>
      <c r="X2043" s="38"/>
      <c r="Y2043" s="38"/>
      <c r="Z2043" s="38"/>
      <c r="AA2043" s="38"/>
      <c r="AB2043" s="38"/>
      <c r="AD2043" s="2"/>
      <c r="AE2043" s="2"/>
      <c r="AF2043" s="2"/>
      <c r="AG2043" s="2"/>
      <c r="AH2043" s="2"/>
      <c r="AJ2043" s="215"/>
      <c r="AK2043" s="215"/>
      <c r="AL2043" s="215"/>
      <c r="AM2043" s="215"/>
      <c r="AO2043" s="10"/>
      <c r="AP2043" s="10"/>
      <c r="AQ2043" s="10"/>
      <c r="AR2043" s="10"/>
      <c r="AS2043" s="10"/>
      <c r="AU2043" s="2"/>
      <c r="AV2043" s="2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</row>
    <row r="2044" spans="1:73" customFormat="1" ht="12.75" hidden="1" customHeight="1" x14ac:dyDescent="0.2">
      <c r="A2044" s="1"/>
      <c r="B2044" s="1"/>
      <c r="C2044" s="1"/>
      <c r="D2044" s="7"/>
      <c r="E2044" s="7"/>
      <c r="F2044" s="6"/>
      <c r="G2044" s="7"/>
      <c r="H2044" s="2"/>
      <c r="I2044" s="2"/>
      <c r="J2044" s="2"/>
      <c r="K2044" s="2"/>
      <c r="L2044" s="178"/>
      <c r="M2044" s="2"/>
      <c r="N2044" s="7"/>
      <c r="P2044" s="7"/>
      <c r="R2044" s="2"/>
      <c r="S2044" s="2"/>
      <c r="T2044" s="2"/>
      <c r="U2044" s="2"/>
      <c r="V2044" s="2"/>
      <c r="X2044" s="38"/>
      <c r="Y2044" s="38"/>
      <c r="Z2044" s="38"/>
      <c r="AA2044" s="38"/>
      <c r="AB2044" s="38"/>
      <c r="AD2044" s="2"/>
      <c r="AE2044" s="2"/>
      <c r="AF2044" s="2"/>
      <c r="AG2044" s="2"/>
      <c r="AH2044" s="2"/>
      <c r="AJ2044" s="215"/>
      <c r="AK2044" s="215"/>
      <c r="AL2044" s="215"/>
      <c r="AM2044" s="215"/>
      <c r="AO2044" s="10"/>
      <c r="AP2044" s="10"/>
      <c r="AQ2044" s="10"/>
      <c r="AR2044" s="10"/>
      <c r="AS2044" s="10"/>
      <c r="AU2044" s="2"/>
      <c r="AV2044" s="2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</row>
    <row r="2045" spans="1:73" customFormat="1" ht="12.75" hidden="1" customHeight="1" x14ac:dyDescent="0.2">
      <c r="A2045" s="1"/>
      <c r="B2045" s="1"/>
      <c r="C2045" s="1"/>
      <c r="D2045" s="7"/>
      <c r="E2045" s="7"/>
      <c r="F2045" s="6"/>
      <c r="G2045" s="7"/>
      <c r="H2045" s="2"/>
      <c r="I2045" s="2"/>
      <c r="J2045" s="2"/>
      <c r="K2045" s="2"/>
      <c r="L2045" s="178"/>
      <c r="M2045" s="2"/>
      <c r="N2045" s="7"/>
      <c r="P2045" s="7"/>
      <c r="R2045" s="2"/>
      <c r="S2045" s="2"/>
      <c r="T2045" s="2"/>
      <c r="U2045" s="2"/>
      <c r="V2045" s="2"/>
      <c r="X2045" s="38"/>
      <c r="Y2045" s="38"/>
      <c r="Z2045" s="38"/>
      <c r="AA2045" s="38"/>
      <c r="AB2045" s="38"/>
      <c r="AD2045" s="2"/>
      <c r="AE2045" s="2"/>
      <c r="AF2045" s="2"/>
      <c r="AG2045" s="2"/>
      <c r="AH2045" s="2"/>
      <c r="AJ2045" s="215"/>
      <c r="AK2045" s="215"/>
      <c r="AL2045" s="215"/>
      <c r="AM2045" s="215"/>
      <c r="AO2045" s="10"/>
      <c r="AP2045" s="10"/>
      <c r="AQ2045" s="10"/>
      <c r="AR2045" s="10"/>
      <c r="AS2045" s="10"/>
      <c r="AU2045" s="2"/>
      <c r="AV2045" s="2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</row>
    <row r="2046" spans="1:73" customFormat="1" ht="12.75" hidden="1" customHeight="1" x14ac:dyDescent="0.2">
      <c r="A2046" s="1"/>
      <c r="B2046" s="1"/>
      <c r="C2046" s="1"/>
      <c r="D2046" s="7"/>
      <c r="E2046" s="7"/>
      <c r="F2046" s="6"/>
      <c r="G2046" s="7"/>
      <c r="H2046" s="2"/>
      <c r="I2046" s="2"/>
      <c r="J2046" s="2"/>
      <c r="K2046" s="2"/>
      <c r="L2046" s="178"/>
      <c r="M2046" s="2"/>
      <c r="N2046" s="7"/>
      <c r="P2046" s="7"/>
      <c r="R2046" s="2"/>
      <c r="S2046" s="2"/>
      <c r="T2046" s="2"/>
      <c r="U2046" s="2"/>
      <c r="V2046" s="2"/>
      <c r="X2046" s="38"/>
      <c r="Y2046" s="38"/>
      <c r="Z2046" s="38"/>
      <c r="AA2046" s="38"/>
      <c r="AB2046" s="38"/>
      <c r="AD2046" s="2"/>
      <c r="AE2046" s="2"/>
      <c r="AF2046" s="2"/>
      <c r="AG2046" s="2"/>
      <c r="AH2046" s="2"/>
      <c r="AJ2046" s="215"/>
      <c r="AK2046" s="215"/>
      <c r="AL2046" s="215"/>
      <c r="AM2046" s="215"/>
      <c r="AO2046" s="10"/>
      <c r="AP2046" s="10"/>
      <c r="AQ2046" s="10"/>
      <c r="AR2046" s="10"/>
      <c r="AS2046" s="10"/>
      <c r="AU2046" s="2"/>
      <c r="AV2046" s="2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</row>
    <row r="2047" spans="1:73" customFormat="1" ht="12.75" hidden="1" customHeight="1" x14ac:dyDescent="0.2">
      <c r="A2047" s="1"/>
      <c r="B2047" s="1"/>
      <c r="C2047" s="1"/>
      <c r="D2047" s="7"/>
      <c r="E2047" s="7"/>
      <c r="F2047" s="6"/>
      <c r="G2047" s="7"/>
      <c r="H2047" s="2"/>
      <c r="I2047" s="2"/>
      <c r="J2047" s="2"/>
      <c r="K2047" s="2"/>
      <c r="L2047" s="178"/>
      <c r="M2047" s="2"/>
      <c r="N2047" s="7"/>
      <c r="P2047" s="7"/>
      <c r="R2047" s="2"/>
      <c r="S2047" s="2"/>
      <c r="T2047" s="2"/>
      <c r="U2047" s="2"/>
      <c r="V2047" s="2"/>
      <c r="X2047" s="38"/>
      <c r="Y2047" s="38"/>
      <c r="Z2047" s="38"/>
      <c r="AA2047" s="38"/>
      <c r="AB2047" s="38"/>
      <c r="AD2047" s="2"/>
      <c r="AE2047" s="2"/>
      <c r="AF2047" s="2"/>
      <c r="AG2047" s="2"/>
      <c r="AH2047" s="2"/>
      <c r="AJ2047" s="215"/>
      <c r="AK2047" s="215"/>
      <c r="AL2047" s="215"/>
      <c r="AM2047" s="215"/>
      <c r="AO2047" s="10"/>
      <c r="AP2047" s="10"/>
      <c r="AQ2047" s="10"/>
      <c r="AR2047" s="10"/>
      <c r="AS2047" s="10"/>
      <c r="AU2047" s="2"/>
      <c r="AV2047" s="2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</row>
    <row r="2048" spans="1:73" customFormat="1" ht="12.75" hidden="1" customHeight="1" x14ac:dyDescent="0.2">
      <c r="A2048" s="1"/>
      <c r="B2048" s="1"/>
      <c r="C2048" s="1"/>
      <c r="D2048" s="7"/>
      <c r="E2048" s="7"/>
      <c r="F2048" s="6"/>
      <c r="G2048" s="7"/>
      <c r="H2048" s="2"/>
      <c r="I2048" s="2"/>
      <c r="J2048" s="2"/>
      <c r="K2048" s="2"/>
      <c r="L2048" s="178"/>
      <c r="M2048" s="2"/>
      <c r="N2048" s="7"/>
      <c r="P2048" s="7"/>
      <c r="R2048" s="2"/>
      <c r="S2048" s="2"/>
      <c r="T2048" s="2"/>
      <c r="U2048" s="2"/>
      <c r="V2048" s="2"/>
      <c r="X2048" s="38"/>
      <c r="Y2048" s="38"/>
      <c r="Z2048" s="38"/>
      <c r="AA2048" s="38"/>
      <c r="AB2048" s="38"/>
      <c r="AD2048" s="2"/>
      <c r="AE2048" s="2"/>
      <c r="AF2048" s="2"/>
      <c r="AG2048" s="2"/>
      <c r="AH2048" s="2"/>
      <c r="AJ2048" s="215"/>
      <c r="AK2048" s="215"/>
      <c r="AL2048" s="215"/>
      <c r="AM2048" s="215"/>
      <c r="AO2048" s="10"/>
      <c r="AP2048" s="10"/>
      <c r="AQ2048" s="10"/>
      <c r="AR2048" s="10"/>
      <c r="AS2048" s="10"/>
      <c r="AU2048" s="2"/>
      <c r="AV2048" s="2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</row>
    <row r="2049" spans="1:73" customFormat="1" ht="12.75" hidden="1" customHeight="1" x14ac:dyDescent="0.2">
      <c r="A2049" s="1"/>
      <c r="B2049" s="1"/>
      <c r="C2049" s="1"/>
      <c r="D2049" s="7"/>
      <c r="E2049" s="7"/>
      <c r="F2049" s="6"/>
      <c r="G2049" s="7"/>
      <c r="H2049" s="2"/>
      <c r="I2049" s="2"/>
      <c r="J2049" s="2"/>
      <c r="K2049" s="2"/>
      <c r="L2049" s="178"/>
      <c r="M2049" s="2"/>
      <c r="N2049" s="7"/>
      <c r="P2049" s="7"/>
      <c r="R2049" s="2"/>
      <c r="S2049" s="2"/>
      <c r="T2049" s="2"/>
      <c r="U2049" s="2"/>
      <c r="V2049" s="2"/>
      <c r="X2049" s="38"/>
      <c r="Y2049" s="38"/>
      <c r="Z2049" s="38"/>
      <c r="AA2049" s="38"/>
      <c r="AB2049" s="38"/>
      <c r="AD2049" s="2"/>
      <c r="AE2049" s="2"/>
      <c r="AF2049" s="2"/>
      <c r="AG2049" s="2"/>
      <c r="AH2049" s="2"/>
      <c r="AJ2049" s="215"/>
      <c r="AK2049" s="215"/>
      <c r="AL2049" s="215"/>
      <c r="AM2049" s="215"/>
      <c r="AO2049" s="10"/>
      <c r="AP2049" s="10"/>
      <c r="AQ2049" s="10"/>
      <c r="AR2049" s="10"/>
      <c r="AS2049" s="10"/>
      <c r="AU2049" s="2"/>
      <c r="AV2049" s="2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</row>
    <row r="2050" spans="1:73" customFormat="1" ht="12.75" hidden="1" customHeight="1" x14ac:dyDescent="0.2">
      <c r="A2050" s="1"/>
      <c r="B2050" s="1"/>
      <c r="C2050" s="1"/>
      <c r="D2050" s="7"/>
      <c r="E2050" s="7"/>
      <c r="F2050" s="6"/>
      <c r="G2050" s="7"/>
      <c r="H2050" s="2"/>
      <c r="I2050" s="2"/>
      <c r="J2050" s="2"/>
      <c r="K2050" s="2"/>
      <c r="L2050" s="178"/>
      <c r="M2050" s="2"/>
      <c r="N2050" s="7"/>
      <c r="P2050" s="7"/>
      <c r="R2050" s="2"/>
      <c r="S2050" s="2"/>
      <c r="T2050" s="2"/>
      <c r="U2050" s="2"/>
      <c r="V2050" s="2"/>
      <c r="X2050" s="38"/>
      <c r="Y2050" s="38"/>
      <c r="Z2050" s="38"/>
      <c r="AA2050" s="38"/>
      <c r="AB2050" s="38"/>
      <c r="AD2050" s="2"/>
      <c r="AE2050" s="2"/>
      <c r="AF2050" s="2"/>
      <c r="AG2050" s="2"/>
      <c r="AH2050" s="2"/>
      <c r="AJ2050" s="215"/>
      <c r="AK2050" s="215"/>
      <c r="AL2050" s="215"/>
      <c r="AM2050" s="215"/>
      <c r="AO2050" s="10"/>
      <c r="AP2050" s="10"/>
      <c r="AQ2050" s="10"/>
      <c r="AR2050" s="10"/>
      <c r="AS2050" s="10"/>
      <c r="AU2050" s="2"/>
      <c r="AV2050" s="2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</row>
    <row r="2051" spans="1:73" customFormat="1" ht="12.75" hidden="1" customHeight="1" x14ac:dyDescent="0.2">
      <c r="A2051" s="1"/>
      <c r="B2051" s="1"/>
      <c r="C2051" s="1"/>
      <c r="D2051" s="7"/>
      <c r="E2051" s="7"/>
      <c r="F2051" s="6"/>
      <c r="G2051" s="7"/>
      <c r="H2051" s="2"/>
      <c r="I2051" s="2"/>
      <c r="J2051" s="2"/>
      <c r="K2051" s="2"/>
      <c r="L2051" s="178"/>
      <c r="M2051" s="2"/>
      <c r="N2051" s="7"/>
      <c r="P2051" s="7"/>
      <c r="R2051" s="2"/>
      <c r="S2051" s="2"/>
      <c r="T2051" s="2"/>
      <c r="U2051" s="2"/>
      <c r="V2051" s="2"/>
      <c r="X2051" s="38"/>
      <c r="Y2051" s="38"/>
      <c r="Z2051" s="38"/>
      <c r="AA2051" s="38"/>
      <c r="AB2051" s="38"/>
      <c r="AD2051" s="2"/>
      <c r="AE2051" s="2"/>
      <c r="AF2051" s="2"/>
      <c r="AG2051" s="2"/>
      <c r="AH2051" s="2"/>
      <c r="AJ2051" s="215"/>
      <c r="AK2051" s="215"/>
      <c r="AL2051" s="215"/>
      <c r="AM2051" s="215"/>
      <c r="AO2051" s="10"/>
      <c r="AP2051" s="10"/>
      <c r="AQ2051" s="10"/>
      <c r="AR2051" s="10"/>
      <c r="AS2051" s="10"/>
      <c r="AU2051" s="2"/>
      <c r="AV2051" s="2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</row>
    <row r="2052" spans="1:73" customFormat="1" ht="12.75" hidden="1" customHeight="1" x14ac:dyDescent="0.2">
      <c r="A2052" s="1"/>
      <c r="B2052" s="1"/>
      <c r="C2052" s="1"/>
      <c r="D2052" s="7"/>
      <c r="E2052" s="7"/>
      <c r="F2052" s="6"/>
      <c r="G2052" s="7"/>
      <c r="H2052" s="2"/>
      <c r="I2052" s="2"/>
      <c r="J2052" s="2"/>
      <c r="K2052" s="2"/>
      <c r="L2052" s="178"/>
      <c r="M2052" s="2"/>
      <c r="N2052" s="7"/>
      <c r="P2052" s="7"/>
      <c r="R2052" s="2"/>
      <c r="S2052" s="2"/>
      <c r="T2052" s="2"/>
      <c r="U2052" s="2"/>
      <c r="V2052" s="2"/>
      <c r="X2052" s="38"/>
      <c r="Y2052" s="38"/>
      <c r="Z2052" s="38"/>
      <c r="AA2052" s="38"/>
      <c r="AB2052" s="38"/>
      <c r="AD2052" s="2"/>
      <c r="AE2052" s="2"/>
      <c r="AF2052" s="2"/>
      <c r="AG2052" s="2"/>
      <c r="AH2052" s="2"/>
      <c r="AJ2052" s="215"/>
      <c r="AK2052" s="215"/>
      <c r="AL2052" s="215"/>
      <c r="AM2052" s="215"/>
      <c r="AO2052" s="10"/>
      <c r="AP2052" s="10"/>
      <c r="AQ2052" s="10"/>
      <c r="AR2052" s="10"/>
      <c r="AS2052" s="10"/>
      <c r="AU2052" s="2"/>
      <c r="AV2052" s="2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</row>
    <row r="2053" spans="1:73" customFormat="1" ht="12.75" hidden="1" customHeight="1" x14ac:dyDescent="0.2">
      <c r="A2053" s="1"/>
      <c r="B2053" s="1"/>
      <c r="C2053" s="1"/>
      <c r="D2053" s="7"/>
      <c r="E2053" s="7"/>
      <c r="F2053" s="6"/>
      <c r="G2053" s="7"/>
      <c r="H2053" s="2"/>
      <c r="I2053" s="2"/>
      <c r="J2053" s="2"/>
      <c r="K2053" s="2"/>
      <c r="L2053" s="178"/>
      <c r="M2053" s="2"/>
      <c r="N2053" s="7"/>
      <c r="P2053" s="7"/>
      <c r="R2053" s="2"/>
      <c r="S2053" s="2"/>
      <c r="T2053" s="2"/>
      <c r="U2053" s="2"/>
      <c r="V2053" s="2"/>
      <c r="X2053" s="38"/>
      <c r="Y2053" s="38"/>
      <c r="Z2053" s="38"/>
      <c r="AA2053" s="38"/>
      <c r="AB2053" s="38"/>
      <c r="AD2053" s="2"/>
      <c r="AE2053" s="2"/>
      <c r="AF2053" s="2"/>
      <c r="AG2053" s="2"/>
      <c r="AH2053" s="2"/>
      <c r="AJ2053" s="215"/>
      <c r="AK2053" s="215"/>
      <c r="AL2053" s="215"/>
      <c r="AM2053" s="215"/>
      <c r="AO2053" s="10"/>
      <c r="AP2053" s="10"/>
      <c r="AQ2053" s="10"/>
      <c r="AR2053" s="10"/>
      <c r="AS2053" s="10"/>
      <c r="AU2053" s="2"/>
      <c r="AV2053" s="2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</row>
    <row r="2054" spans="1:73" customFormat="1" ht="12.75" hidden="1" customHeight="1" x14ac:dyDescent="0.2">
      <c r="A2054" s="1"/>
      <c r="B2054" s="1"/>
      <c r="C2054" s="1"/>
      <c r="D2054" s="7"/>
      <c r="E2054" s="7"/>
      <c r="F2054" s="6"/>
      <c r="G2054" s="7"/>
      <c r="H2054" s="2"/>
      <c r="I2054" s="2"/>
      <c r="J2054" s="2"/>
      <c r="K2054" s="2"/>
      <c r="L2054" s="178"/>
      <c r="M2054" s="2"/>
      <c r="N2054" s="7"/>
      <c r="P2054" s="7"/>
      <c r="R2054" s="2"/>
      <c r="S2054" s="2"/>
      <c r="T2054" s="2"/>
      <c r="U2054" s="2"/>
      <c r="V2054" s="2"/>
      <c r="X2054" s="38"/>
      <c r="Y2054" s="38"/>
      <c r="Z2054" s="38"/>
      <c r="AA2054" s="38"/>
      <c r="AB2054" s="38"/>
      <c r="AD2054" s="2"/>
      <c r="AE2054" s="2"/>
      <c r="AF2054" s="2"/>
      <c r="AG2054" s="2"/>
      <c r="AH2054" s="2"/>
      <c r="AJ2054" s="215"/>
      <c r="AK2054" s="215"/>
      <c r="AL2054" s="215"/>
      <c r="AM2054" s="215"/>
      <c r="AO2054" s="10"/>
      <c r="AP2054" s="10"/>
      <c r="AQ2054" s="10"/>
      <c r="AR2054" s="10"/>
      <c r="AS2054" s="10"/>
      <c r="AU2054" s="2"/>
      <c r="AV2054" s="2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</row>
    <row r="2055" spans="1:73" customFormat="1" ht="12.75" hidden="1" customHeight="1" x14ac:dyDescent="0.2">
      <c r="A2055" s="1"/>
      <c r="B2055" s="1"/>
      <c r="C2055" s="1"/>
      <c r="D2055" s="7"/>
      <c r="E2055" s="7"/>
      <c r="F2055" s="6"/>
      <c r="G2055" s="7"/>
      <c r="H2055" s="2"/>
      <c r="I2055" s="2"/>
      <c r="J2055" s="2"/>
      <c r="K2055" s="2"/>
      <c r="L2055" s="178"/>
      <c r="M2055" s="2"/>
      <c r="N2055" s="7"/>
      <c r="P2055" s="7"/>
      <c r="R2055" s="2"/>
      <c r="S2055" s="2"/>
      <c r="T2055" s="2"/>
      <c r="U2055" s="2"/>
      <c r="V2055" s="2"/>
      <c r="X2055" s="38"/>
      <c r="Y2055" s="38"/>
      <c r="Z2055" s="38"/>
      <c r="AA2055" s="38"/>
      <c r="AB2055" s="38"/>
      <c r="AD2055" s="2"/>
      <c r="AE2055" s="2"/>
      <c r="AF2055" s="2"/>
      <c r="AG2055" s="2"/>
      <c r="AH2055" s="2"/>
      <c r="AJ2055" s="215"/>
      <c r="AK2055" s="215"/>
      <c r="AL2055" s="215"/>
      <c r="AM2055" s="215"/>
      <c r="AO2055" s="10"/>
      <c r="AP2055" s="10"/>
      <c r="AQ2055" s="10"/>
      <c r="AR2055" s="10"/>
      <c r="AS2055" s="10"/>
      <c r="AU2055" s="2"/>
      <c r="AV2055" s="2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</row>
    <row r="2056" spans="1:73" customFormat="1" ht="12.75" hidden="1" customHeight="1" x14ac:dyDescent="0.2">
      <c r="A2056" s="1"/>
      <c r="B2056" s="1"/>
      <c r="C2056" s="1"/>
      <c r="D2056" s="7"/>
      <c r="E2056" s="7"/>
      <c r="F2056" s="6"/>
      <c r="G2056" s="7"/>
      <c r="H2056" s="2"/>
      <c r="I2056" s="2"/>
      <c r="J2056" s="2"/>
      <c r="K2056" s="2"/>
      <c r="L2056" s="178"/>
      <c r="M2056" s="2"/>
      <c r="N2056" s="7"/>
      <c r="P2056" s="7"/>
      <c r="R2056" s="2"/>
      <c r="S2056" s="2"/>
      <c r="T2056" s="2"/>
      <c r="U2056" s="2"/>
      <c r="V2056" s="2"/>
      <c r="X2056" s="38"/>
      <c r="Y2056" s="38"/>
      <c r="Z2056" s="38"/>
      <c r="AA2056" s="38"/>
      <c r="AB2056" s="38"/>
      <c r="AD2056" s="2"/>
      <c r="AE2056" s="2"/>
      <c r="AF2056" s="2"/>
      <c r="AG2056" s="2"/>
      <c r="AH2056" s="2"/>
      <c r="AJ2056" s="215"/>
      <c r="AK2056" s="215"/>
      <c r="AL2056" s="215"/>
      <c r="AM2056" s="215"/>
      <c r="AO2056" s="10"/>
      <c r="AP2056" s="10"/>
      <c r="AQ2056" s="10"/>
      <c r="AR2056" s="10"/>
      <c r="AS2056" s="10"/>
      <c r="AU2056" s="2"/>
      <c r="AV2056" s="2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</row>
    <row r="2057" spans="1:73" customFormat="1" ht="12.75" hidden="1" customHeight="1" x14ac:dyDescent="0.2">
      <c r="A2057" s="1"/>
      <c r="B2057" s="1"/>
      <c r="C2057" s="1"/>
      <c r="D2057" s="7"/>
      <c r="E2057" s="7"/>
      <c r="F2057" s="6"/>
      <c r="G2057" s="7"/>
      <c r="H2057" s="2"/>
      <c r="I2057" s="2"/>
      <c r="J2057" s="2"/>
      <c r="K2057" s="2"/>
      <c r="L2057" s="178"/>
      <c r="M2057" s="2"/>
      <c r="N2057" s="7"/>
      <c r="P2057" s="7"/>
      <c r="R2057" s="2"/>
      <c r="S2057" s="2"/>
      <c r="T2057" s="2"/>
      <c r="U2057" s="2"/>
      <c r="V2057" s="2"/>
      <c r="X2057" s="38"/>
      <c r="Y2057" s="38"/>
      <c r="Z2057" s="38"/>
      <c r="AA2057" s="38"/>
      <c r="AB2057" s="38"/>
      <c r="AD2057" s="2"/>
      <c r="AE2057" s="2"/>
      <c r="AF2057" s="2"/>
      <c r="AG2057" s="2"/>
      <c r="AH2057" s="2"/>
      <c r="AJ2057" s="215"/>
      <c r="AK2057" s="215"/>
      <c r="AL2057" s="215"/>
      <c r="AM2057" s="215"/>
      <c r="AO2057" s="10"/>
      <c r="AP2057" s="10"/>
      <c r="AQ2057" s="10"/>
      <c r="AR2057" s="10"/>
      <c r="AS2057" s="10"/>
      <c r="AU2057" s="2"/>
      <c r="AV2057" s="2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</row>
    <row r="2058" spans="1:73" customFormat="1" ht="12.75" hidden="1" customHeight="1" x14ac:dyDescent="0.2">
      <c r="A2058" s="1"/>
      <c r="B2058" s="1"/>
      <c r="C2058" s="1"/>
      <c r="D2058" s="7"/>
      <c r="E2058" s="7"/>
      <c r="F2058" s="6"/>
      <c r="G2058" s="7"/>
      <c r="H2058" s="2"/>
      <c r="I2058" s="2"/>
      <c r="J2058" s="2"/>
      <c r="K2058" s="2"/>
      <c r="L2058" s="178"/>
      <c r="M2058" s="2"/>
      <c r="N2058" s="7"/>
      <c r="P2058" s="7"/>
      <c r="R2058" s="2"/>
      <c r="S2058" s="2"/>
      <c r="T2058" s="2"/>
      <c r="U2058" s="2"/>
      <c r="V2058" s="2"/>
      <c r="X2058" s="38"/>
      <c r="Y2058" s="38"/>
      <c r="Z2058" s="38"/>
      <c r="AA2058" s="38"/>
      <c r="AB2058" s="38"/>
      <c r="AD2058" s="2"/>
      <c r="AE2058" s="2"/>
      <c r="AF2058" s="2"/>
      <c r="AG2058" s="2"/>
      <c r="AH2058" s="2"/>
      <c r="AJ2058" s="215"/>
      <c r="AK2058" s="215"/>
      <c r="AL2058" s="215"/>
      <c r="AM2058" s="215"/>
      <c r="AO2058" s="10"/>
      <c r="AP2058" s="10"/>
      <c r="AQ2058" s="10"/>
      <c r="AR2058" s="10"/>
      <c r="AS2058" s="10"/>
      <c r="AU2058" s="2"/>
      <c r="AV2058" s="2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</row>
    <row r="2059" spans="1:73" customFormat="1" ht="12.75" hidden="1" customHeight="1" x14ac:dyDescent="0.2">
      <c r="A2059" s="1"/>
      <c r="B2059" s="1"/>
      <c r="C2059" s="1"/>
      <c r="D2059" s="7"/>
      <c r="E2059" s="7"/>
      <c r="F2059" s="6"/>
      <c r="G2059" s="7"/>
      <c r="H2059" s="2"/>
      <c r="I2059" s="2"/>
      <c r="J2059" s="2"/>
      <c r="K2059" s="2"/>
      <c r="L2059" s="178"/>
      <c r="M2059" s="2"/>
      <c r="N2059" s="7"/>
      <c r="P2059" s="7"/>
      <c r="R2059" s="2"/>
      <c r="S2059" s="2"/>
      <c r="T2059" s="2"/>
      <c r="U2059" s="2"/>
      <c r="V2059" s="2"/>
      <c r="X2059" s="38"/>
      <c r="Y2059" s="38"/>
      <c r="Z2059" s="38"/>
      <c r="AA2059" s="38"/>
      <c r="AB2059" s="38"/>
      <c r="AD2059" s="2"/>
      <c r="AE2059" s="2"/>
      <c r="AF2059" s="2"/>
      <c r="AG2059" s="2"/>
      <c r="AH2059" s="2"/>
      <c r="AJ2059" s="215"/>
      <c r="AK2059" s="215"/>
      <c r="AL2059" s="215"/>
      <c r="AM2059" s="215"/>
      <c r="AO2059" s="10"/>
      <c r="AP2059" s="10"/>
      <c r="AQ2059" s="10"/>
      <c r="AR2059" s="10"/>
      <c r="AS2059" s="10"/>
      <c r="AU2059" s="2"/>
      <c r="AV2059" s="2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</row>
    <row r="2060" spans="1:73" customFormat="1" ht="12.75" hidden="1" customHeight="1" x14ac:dyDescent="0.2">
      <c r="A2060" s="1"/>
      <c r="B2060" s="1"/>
      <c r="C2060" s="1"/>
      <c r="D2060" s="7"/>
      <c r="E2060" s="7"/>
      <c r="F2060" s="6"/>
      <c r="G2060" s="7"/>
      <c r="H2060" s="2"/>
      <c r="I2060" s="2"/>
      <c r="J2060" s="2"/>
      <c r="K2060" s="2"/>
      <c r="L2060" s="178"/>
      <c r="M2060" s="2"/>
      <c r="N2060" s="7"/>
      <c r="P2060" s="7"/>
      <c r="R2060" s="2"/>
      <c r="S2060" s="2"/>
      <c r="T2060" s="2"/>
      <c r="U2060" s="2"/>
      <c r="V2060" s="2"/>
      <c r="X2060" s="38"/>
      <c r="Y2060" s="38"/>
      <c r="Z2060" s="38"/>
      <c r="AA2060" s="38"/>
      <c r="AB2060" s="38"/>
      <c r="AD2060" s="2"/>
      <c r="AE2060" s="2"/>
      <c r="AF2060" s="2"/>
      <c r="AG2060" s="2"/>
      <c r="AH2060" s="2"/>
      <c r="AJ2060" s="215"/>
      <c r="AK2060" s="215"/>
      <c r="AL2060" s="215"/>
      <c r="AM2060" s="215"/>
      <c r="AO2060" s="10"/>
      <c r="AP2060" s="10"/>
      <c r="AQ2060" s="10"/>
      <c r="AR2060" s="10"/>
      <c r="AS2060" s="10"/>
      <c r="AU2060" s="2"/>
      <c r="AV2060" s="2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</row>
    <row r="2061" spans="1:73" customFormat="1" ht="12.75" hidden="1" customHeight="1" x14ac:dyDescent="0.2">
      <c r="A2061" s="1"/>
      <c r="B2061" s="1"/>
      <c r="C2061" s="1"/>
      <c r="D2061" s="7"/>
      <c r="E2061" s="7"/>
      <c r="F2061" s="6"/>
      <c r="G2061" s="7"/>
      <c r="H2061" s="2"/>
      <c r="I2061" s="2"/>
      <c r="J2061" s="2"/>
      <c r="K2061" s="2"/>
      <c r="L2061" s="178"/>
      <c r="M2061" s="2"/>
      <c r="N2061" s="7"/>
      <c r="P2061" s="7"/>
      <c r="R2061" s="2"/>
      <c r="S2061" s="2"/>
      <c r="T2061" s="2"/>
      <c r="U2061" s="2"/>
      <c r="V2061" s="2"/>
      <c r="X2061" s="38"/>
      <c r="Y2061" s="38"/>
      <c r="Z2061" s="38"/>
      <c r="AA2061" s="38"/>
      <c r="AB2061" s="38"/>
      <c r="AD2061" s="2"/>
      <c r="AE2061" s="2"/>
      <c r="AF2061" s="2"/>
      <c r="AG2061" s="2"/>
      <c r="AH2061" s="2"/>
      <c r="AJ2061" s="215"/>
      <c r="AK2061" s="215"/>
      <c r="AL2061" s="215"/>
      <c r="AM2061" s="215"/>
      <c r="AO2061" s="10"/>
      <c r="AP2061" s="10"/>
      <c r="AQ2061" s="10"/>
      <c r="AR2061" s="10"/>
      <c r="AS2061" s="10"/>
      <c r="AU2061" s="2"/>
      <c r="AV2061" s="2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</row>
    <row r="2062" spans="1:73" customFormat="1" ht="12.75" hidden="1" customHeight="1" x14ac:dyDescent="0.2">
      <c r="A2062" s="1"/>
      <c r="B2062" s="1"/>
      <c r="C2062" s="1"/>
      <c r="D2062" s="7"/>
      <c r="E2062" s="7"/>
      <c r="F2062" s="6"/>
      <c r="G2062" s="7"/>
      <c r="H2062" s="2"/>
      <c r="I2062" s="2"/>
      <c r="J2062" s="2"/>
      <c r="K2062" s="2"/>
      <c r="L2062" s="178"/>
      <c r="M2062" s="2"/>
      <c r="N2062" s="7"/>
      <c r="P2062" s="7"/>
      <c r="R2062" s="2"/>
      <c r="S2062" s="2"/>
      <c r="T2062" s="2"/>
      <c r="U2062" s="2"/>
      <c r="V2062" s="2"/>
      <c r="X2062" s="38"/>
      <c r="Y2062" s="38"/>
      <c r="Z2062" s="38"/>
      <c r="AA2062" s="38"/>
      <c r="AB2062" s="38"/>
      <c r="AD2062" s="2"/>
      <c r="AE2062" s="2"/>
      <c r="AF2062" s="2"/>
      <c r="AG2062" s="2"/>
      <c r="AH2062" s="2"/>
      <c r="AJ2062" s="215"/>
      <c r="AK2062" s="215"/>
      <c r="AL2062" s="215"/>
      <c r="AM2062" s="215"/>
      <c r="AO2062" s="10"/>
      <c r="AP2062" s="10"/>
      <c r="AQ2062" s="10"/>
      <c r="AR2062" s="10"/>
      <c r="AS2062" s="10"/>
      <c r="AU2062" s="2"/>
      <c r="AV2062" s="2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</row>
    <row r="2063" spans="1:73" customFormat="1" ht="12.75" hidden="1" customHeight="1" x14ac:dyDescent="0.2">
      <c r="A2063" s="1"/>
      <c r="B2063" s="1"/>
      <c r="C2063" s="1"/>
      <c r="D2063" s="7"/>
      <c r="E2063" s="7"/>
      <c r="F2063" s="6"/>
      <c r="G2063" s="7"/>
      <c r="H2063" s="2"/>
      <c r="I2063" s="2"/>
      <c r="J2063" s="2"/>
      <c r="K2063" s="2"/>
      <c r="L2063" s="178"/>
      <c r="M2063" s="2"/>
      <c r="N2063" s="7"/>
      <c r="P2063" s="7"/>
      <c r="R2063" s="2"/>
      <c r="S2063" s="2"/>
      <c r="T2063" s="2"/>
      <c r="U2063" s="2"/>
      <c r="V2063" s="2"/>
      <c r="X2063" s="38"/>
      <c r="Y2063" s="38"/>
      <c r="Z2063" s="38"/>
      <c r="AA2063" s="38"/>
      <c r="AB2063" s="38"/>
      <c r="AD2063" s="2"/>
      <c r="AE2063" s="2"/>
      <c r="AF2063" s="2"/>
      <c r="AG2063" s="2"/>
      <c r="AH2063" s="2"/>
      <c r="AJ2063" s="215"/>
      <c r="AK2063" s="215"/>
      <c r="AL2063" s="215"/>
      <c r="AM2063" s="215"/>
      <c r="AO2063" s="10"/>
      <c r="AP2063" s="10"/>
      <c r="AQ2063" s="10"/>
      <c r="AR2063" s="10"/>
      <c r="AS2063" s="10"/>
      <c r="AU2063" s="2"/>
      <c r="AV2063" s="2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</row>
    <row r="2064" spans="1:73" customFormat="1" ht="12.75" hidden="1" customHeight="1" x14ac:dyDescent="0.2">
      <c r="A2064" s="1"/>
      <c r="B2064" s="1"/>
      <c r="C2064" s="1"/>
      <c r="D2064" s="7"/>
      <c r="E2064" s="7"/>
      <c r="F2064" s="6"/>
      <c r="G2064" s="7"/>
      <c r="H2064" s="2"/>
      <c r="I2064" s="2"/>
      <c r="J2064" s="2"/>
      <c r="K2064" s="2"/>
      <c r="L2064" s="178"/>
      <c r="M2064" s="2"/>
      <c r="N2064" s="7"/>
      <c r="P2064" s="7"/>
      <c r="R2064" s="2"/>
      <c r="S2064" s="2"/>
      <c r="T2064" s="2"/>
      <c r="U2064" s="2"/>
      <c r="V2064" s="2"/>
      <c r="X2064" s="38"/>
      <c r="Y2064" s="38"/>
      <c r="Z2064" s="38"/>
      <c r="AA2064" s="38"/>
      <c r="AB2064" s="38"/>
      <c r="AD2064" s="2"/>
      <c r="AE2064" s="2"/>
      <c r="AF2064" s="2"/>
      <c r="AG2064" s="2"/>
      <c r="AH2064" s="2"/>
      <c r="AJ2064" s="215"/>
      <c r="AK2064" s="215"/>
      <c r="AL2064" s="215"/>
      <c r="AM2064" s="215"/>
      <c r="AO2064" s="10"/>
      <c r="AP2064" s="10"/>
      <c r="AQ2064" s="10"/>
      <c r="AR2064" s="10"/>
      <c r="AS2064" s="10"/>
      <c r="AU2064" s="2"/>
      <c r="AV2064" s="2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</row>
    <row r="2065" spans="1:73" customFormat="1" ht="12.75" hidden="1" customHeight="1" x14ac:dyDescent="0.2">
      <c r="A2065" s="1"/>
      <c r="B2065" s="1"/>
      <c r="C2065" s="1"/>
      <c r="D2065" s="7"/>
      <c r="E2065" s="7"/>
      <c r="F2065" s="6"/>
      <c r="G2065" s="7"/>
      <c r="H2065" s="2"/>
      <c r="I2065" s="2"/>
      <c r="J2065" s="2"/>
      <c r="K2065" s="2"/>
      <c r="L2065" s="178"/>
      <c r="M2065" s="2"/>
      <c r="N2065" s="7"/>
      <c r="P2065" s="7"/>
      <c r="R2065" s="2"/>
      <c r="S2065" s="2"/>
      <c r="T2065" s="2"/>
      <c r="U2065" s="2"/>
      <c r="V2065" s="2"/>
      <c r="X2065" s="38"/>
      <c r="Y2065" s="38"/>
      <c r="Z2065" s="38"/>
      <c r="AA2065" s="38"/>
      <c r="AB2065" s="38"/>
      <c r="AD2065" s="2"/>
      <c r="AE2065" s="2"/>
      <c r="AF2065" s="2"/>
      <c r="AG2065" s="2"/>
      <c r="AH2065" s="2"/>
      <c r="AJ2065" s="215"/>
      <c r="AK2065" s="215"/>
      <c r="AL2065" s="215"/>
      <c r="AM2065" s="215"/>
      <c r="AO2065" s="10"/>
      <c r="AP2065" s="10"/>
      <c r="AQ2065" s="10"/>
      <c r="AR2065" s="10"/>
      <c r="AS2065" s="10"/>
      <c r="AU2065" s="2"/>
      <c r="AV2065" s="2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</row>
    <row r="2066" spans="1:73" customFormat="1" ht="12.75" hidden="1" customHeight="1" x14ac:dyDescent="0.2">
      <c r="A2066" s="1"/>
      <c r="B2066" s="1"/>
      <c r="C2066" s="1"/>
      <c r="D2066" s="7"/>
      <c r="E2066" s="7"/>
      <c r="F2066" s="6"/>
      <c r="G2066" s="7"/>
      <c r="H2066" s="2"/>
      <c r="I2066" s="2"/>
      <c r="J2066" s="2"/>
      <c r="K2066" s="2"/>
      <c r="L2066" s="178"/>
      <c r="M2066" s="2"/>
      <c r="N2066" s="7"/>
      <c r="P2066" s="7"/>
      <c r="R2066" s="2"/>
      <c r="S2066" s="2"/>
      <c r="T2066" s="2"/>
      <c r="U2066" s="2"/>
      <c r="V2066" s="2"/>
      <c r="X2066" s="38"/>
      <c r="Y2066" s="38"/>
      <c r="Z2066" s="38"/>
      <c r="AA2066" s="38"/>
      <c r="AB2066" s="38"/>
      <c r="AD2066" s="2"/>
      <c r="AE2066" s="2"/>
      <c r="AF2066" s="2"/>
      <c r="AG2066" s="2"/>
      <c r="AH2066" s="2"/>
      <c r="AJ2066" s="215"/>
      <c r="AK2066" s="215"/>
      <c r="AL2066" s="215"/>
      <c r="AM2066" s="215"/>
      <c r="AO2066" s="10"/>
      <c r="AP2066" s="10"/>
      <c r="AQ2066" s="10"/>
      <c r="AR2066" s="10"/>
      <c r="AS2066" s="10"/>
      <c r="AU2066" s="2"/>
      <c r="AV2066" s="2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</row>
    <row r="2067" spans="1:73" customFormat="1" ht="12.75" hidden="1" customHeight="1" x14ac:dyDescent="0.2">
      <c r="A2067" s="1"/>
      <c r="B2067" s="1"/>
      <c r="C2067" s="1"/>
      <c r="D2067" s="7"/>
      <c r="E2067" s="7"/>
      <c r="F2067" s="6"/>
      <c r="G2067" s="7"/>
      <c r="H2067" s="2"/>
      <c r="I2067" s="2"/>
      <c r="J2067" s="2"/>
      <c r="K2067" s="2"/>
      <c r="L2067" s="178"/>
      <c r="M2067" s="2"/>
      <c r="N2067" s="7"/>
      <c r="P2067" s="7"/>
      <c r="R2067" s="2"/>
      <c r="S2067" s="2"/>
      <c r="T2067" s="2"/>
      <c r="U2067" s="2"/>
      <c r="V2067" s="2"/>
      <c r="X2067" s="38"/>
      <c r="Y2067" s="38"/>
      <c r="Z2067" s="38"/>
      <c r="AA2067" s="38"/>
      <c r="AB2067" s="38"/>
      <c r="AD2067" s="2"/>
      <c r="AE2067" s="2"/>
      <c r="AF2067" s="2"/>
      <c r="AG2067" s="2"/>
      <c r="AH2067" s="2"/>
      <c r="AJ2067" s="215"/>
      <c r="AK2067" s="215"/>
      <c r="AL2067" s="215"/>
      <c r="AM2067" s="215"/>
      <c r="AO2067" s="10"/>
      <c r="AP2067" s="10"/>
      <c r="AQ2067" s="10"/>
      <c r="AR2067" s="10"/>
      <c r="AS2067" s="10"/>
      <c r="AU2067" s="2"/>
      <c r="AV2067" s="2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</row>
    <row r="2068" spans="1:73" customFormat="1" ht="12.75" hidden="1" customHeight="1" x14ac:dyDescent="0.2">
      <c r="A2068" s="1"/>
      <c r="B2068" s="1"/>
      <c r="C2068" s="1"/>
      <c r="D2068" s="7"/>
      <c r="E2068" s="7"/>
      <c r="F2068" s="6"/>
      <c r="G2068" s="7"/>
      <c r="H2068" s="2"/>
      <c r="I2068" s="2"/>
      <c r="J2068" s="2"/>
      <c r="K2068" s="2"/>
      <c r="L2068" s="178"/>
      <c r="M2068" s="2"/>
      <c r="N2068" s="7"/>
      <c r="P2068" s="7"/>
      <c r="R2068" s="2"/>
      <c r="S2068" s="2"/>
      <c r="T2068" s="2"/>
      <c r="U2068" s="2"/>
      <c r="V2068" s="2"/>
      <c r="X2068" s="38"/>
      <c r="Y2068" s="38"/>
      <c r="Z2068" s="38"/>
      <c r="AA2068" s="38"/>
      <c r="AB2068" s="38"/>
      <c r="AD2068" s="2"/>
      <c r="AE2068" s="2"/>
      <c r="AF2068" s="2"/>
      <c r="AG2068" s="2"/>
      <c r="AH2068" s="2"/>
      <c r="AJ2068" s="215"/>
      <c r="AK2068" s="215"/>
      <c r="AL2068" s="215"/>
      <c r="AM2068" s="215"/>
      <c r="AO2068" s="10"/>
      <c r="AP2068" s="10"/>
      <c r="AQ2068" s="10"/>
      <c r="AR2068" s="10"/>
      <c r="AS2068" s="10"/>
      <c r="AU2068" s="2"/>
      <c r="AV2068" s="2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</row>
    <row r="2069" spans="1:73" customFormat="1" ht="12.75" hidden="1" customHeight="1" x14ac:dyDescent="0.2">
      <c r="A2069" s="1"/>
      <c r="B2069" s="1"/>
      <c r="C2069" s="1"/>
      <c r="D2069" s="7"/>
      <c r="E2069" s="7"/>
      <c r="F2069" s="6"/>
      <c r="G2069" s="7"/>
      <c r="H2069" s="2"/>
      <c r="I2069" s="2"/>
      <c r="J2069" s="2"/>
      <c r="K2069" s="2"/>
      <c r="L2069" s="178"/>
      <c r="M2069" s="2"/>
      <c r="N2069" s="7"/>
      <c r="P2069" s="7"/>
      <c r="R2069" s="2"/>
      <c r="S2069" s="2"/>
      <c r="T2069" s="2"/>
      <c r="U2069" s="2"/>
      <c r="V2069" s="2"/>
      <c r="X2069" s="38"/>
      <c r="Y2069" s="38"/>
      <c r="Z2069" s="38"/>
      <c r="AA2069" s="38"/>
      <c r="AB2069" s="38"/>
      <c r="AD2069" s="2"/>
      <c r="AE2069" s="2"/>
      <c r="AF2069" s="2"/>
      <c r="AG2069" s="2"/>
      <c r="AH2069" s="2"/>
      <c r="AJ2069" s="215"/>
      <c r="AK2069" s="215"/>
      <c r="AL2069" s="215"/>
      <c r="AM2069" s="215"/>
      <c r="AO2069" s="10"/>
      <c r="AP2069" s="10"/>
      <c r="AQ2069" s="10"/>
      <c r="AR2069" s="10"/>
      <c r="AS2069" s="10"/>
      <c r="AU2069" s="2"/>
      <c r="AV2069" s="2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</row>
    <row r="2070" spans="1:73" customFormat="1" ht="12.75" hidden="1" customHeight="1" x14ac:dyDescent="0.2">
      <c r="A2070" s="1"/>
      <c r="B2070" s="1"/>
      <c r="C2070" s="1"/>
      <c r="D2070" s="7"/>
      <c r="E2070" s="7"/>
      <c r="F2070" s="6"/>
      <c r="G2070" s="7"/>
      <c r="H2070" s="2"/>
      <c r="I2070" s="2"/>
      <c r="J2070" s="2"/>
      <c r="K2070" s="2"/>
      <c r="L2070" s="178"/>
      <c r="M2070" s="2"/>
      <c r="N2070" s="7"/>
      <c r="P2070" s="7"/>
      <c r="R2070" s="2"/>
      <c r="S2070" s="2"/>
      <c r="T2070" s="2"/>
      <c r="U2070" s="2"/>
      <c r="V2070" s="2"/>
      <c r="X2070" s="38"/>
      <c r="Y2070" s="38"/>
      <c r="Z2070" s="38"/>
      <c r="AA2070" s="38"/>
      <c r="AB2070" s="38"/>
      <c r="AD2070" s="2"/>
      <c r="AE2070" s="2"/>
      <c r="AF2070" s="2"/>
      <c r="AG2070" s="2"/>
      <c r="AH2070" s="2"/>
      <c r="AJ2070" s="215"/>
      <c r="AK2070" s="215"/>
      <c r="AL2070" s="215"/>
      <c r="AM2070" s="215"/>
      <c r="AO2070" s="10"/>
      <c r="AP2070" s="10"/>
      <c r="AQ2070" s="10"/>
      <c r="AR2070" s="10"/>
      <c r="AS2070" s="10"/>
      <c r="AU2070" s="2"/>
      <c r="AV2070" s="2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</row>
    <row r="2071" spans="1:73" customFormat="1" ht="12.75" hidden="1" customHeight="1" x14ac:dyDescent="0.2">
      <c r="A2071" s="1"/>
      <c r="B2071" s="1"/>
      <c r="C2071" s="1"/>
      <c r="D2071" s="7"/>
      <c r="E2071" s="7"/>
      <c r="F2071" s="6"/>
      <c r="G2071" s="7"/>
      <c r="H2071" s="2"/>
      <c r="I2071" s="2"/>
      <c r="J2071" s="2"/>
      <c r="K2071" s="2"/>
      <c r="L2071" s="178"/>
      <c r="M2071" s="2"/>
      <c r="N2071" s="7"/>
      <c r="P2071" s="7"/>
      <c r="R2071" s="2"/>
      <c r="S2071" s="2"/>
      <c r="T2071" s="2"/>
      <c r="U2071" s="2"/>
      <c r="V2071" s="2"/>
      <c r="X2071" s="38"/>
      <c r="Y2071" s="38"/>
      <c r="Z2071" s="38"/>
      <c r="AA2071" s="38"/>
      <c r="AB2071" s="38"/>
      <c r="AD2071" s="2"/>
      <c r="AE2071" s="2"/>
      <c r="AF2071" s="2"/>
      <c r="AG2071" s="2"/>
      <c r="AH2071" s="2"/>
      <c r="AJ2071" s="215"/>
      <c r="AK2071" s="215"/>
      <c r="AL2071" s="215"/>
      <c r="AM2071" s="215"/>
      <c r="AO2071" s="10"/>
      <c r="AP2071" s="10"/>
      <c r="AQ2071" s="10"/>
      <c r="AR2071" s="10"/>
      <c r="AS2071" s="10"/>
      <c r="AU2071" s="2"/>
      <c r="AV2071" s="2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</row>
    <row r="2072" spans="1:73" customFormat="1" ht="12.75" hidden="1" customHeight="1" x14ac:dyDescent="0.2">
      <c r="A2072" s="1"/>
      <c r="B2072" s="1"/>
      <c r="C2072" s="1"/>
      <c r="D2072" s="7"/>
      <c r="E2072" s="7"/>
      <c r="F2072" s="6"/>
      <c r="G2072" s="7"/>
      <c r="H2072" s="2"/>
      <c r="I2072" s="2"/>
      <c r="J2072" s="2"/>
      <c r="K2072" s="2"/>
      <c r="L2072" s="178"/>
      <c r="M2072" s="2"/>
      <c r="N2072" s="7"/>
      <c r="P2072" s="7"/>
      <c r="R2072" s="2"/>
      <c r="S2072" s="2"/>
      <c r="T2072" s="2"/>
      <c r="U2072" s="2"/>
      <c r="V2072" s="2"/>
      <c r="X2072" s="38"/>
      <c r="Y2072" s="38"/>
      <c r="Z2072" s="38"/>
      <c r="AA2072" s="38"/>
      <c r="AB2072" s="38"/>
      <c r="AD2072" s="2"/>
      <c r="AE2072" s="2"/>
      <c r="AF2072" s="2"/>
      <c r="AG2072" s="2"/>
      <c r="AH2072" s="2"/>
      <c r="AJ2072" s="215"/>
      <c r="AK2072" s="215"/>
      <c r="AL2072" s="215"/>
      <c r="AM2072" s="215"/>
      <c r="AO2072" s="10"/>
      <c r="AP2072" s="10"/>
      <c r="AQ2072" s="10"/>
      <c r="AR2072" s="10"/>
      <c r="AS2072" s="10"/>
      <c r="AU2072" s="2"/>
      <c r="AV2072" s="2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</row>
    <row r="2073" spans="1:73" customFormat="1" ht="12.75" hidden="1" customHeight="1" x14ac:dyDescent="0.2">
      <c r="A2073" s="1"/>
      <c r="B2073" s="1"/>
      <c r="C2073" s="1"/>
      <c r="D2073" s="7"/>
      <c r="E2073" s="7"/>
      <c r="F2073" s="6"/>
      <c r="G2073" s="7"/>
      <c r="H2073" s="2"/>
      <c r="I2073" s="2"/>
      <c r="J2073" s="2"/>
      <c r="K2073" s="2"/>
      <c r="L2073" s="178"/>
      <c r="M2073" s="2"/>
      <c r="N2073" s="7"/>
      <c r="P2073" s="7"/>
      <c r="R2073" s="2"/>
      <c r="S2073" s="2"/>
      <c r="T2073" s="2"/>
      <c r="U2073" s="2"/>
      <c r="V2073" s="2"/>
      <c r="X2073" s="38"/>
      <c r="Y2073" s="38"/>
      <c r="Z2073" s="38"/>
      <c r="AA2073" s="38"/>
      <c r="AB2073" s="38"/>
      <c r="AD2073" s="2"/>
      <c r="AE2073" s="2"/>
      <c r="AF2073" s="2"/>
      <c r="AG2073" s="2"/>
      <c r="AH2073" s="2"/>
      <c r="AJ2073" s="215"/>
      <c r="AK2073" s="215"/>
      <c r="AL2073" s="215"/>
      <c r="AM2073" s="215"/>
      <c r="AO2073" s="10"/>
      <c r="AP2073" s="10"/>
      <c r="AQ2073" s="10"/>
      <c r="AR2073" s="10"/>
      <c r="AS2073" s="10"/>
      <c r="AU2073" s="2"/>
      <c r="AV2073" s="2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</row>
    <row r="2074" spans="1:73" customFormat="1" ht="12.75" hidden="1" customHeight="1" x14ac:dyDescent="0.2">
      <c r="A2074" s="1"/>
      <c r="B2074" s="1"/>
      <c r="C2074" s="1"/>
      <c r="D2074" s="7"/>
      <c r="E2074" s="7"/>
      <c r="F2074" s="6"/>
      <c r="G2074" s="7"/>
      <c r="H2074" s="2"/>
      <c r="I2074" s="2"/>
      <c r="J2074" s="2"/>
      <c r="K2074" s="2"/>
      <c r="L2074" s="178"/>
      <c r="M2074" s="2"/>
      <c r="N2074" s="7"/>
      <c r="P2074" s="7"/>
      <c r="R2074" s="2"/>
      <c r="S2074" s="2"/>
      <c r="T2074" s="2"/>
      <c r="U2074" s="2"/>
      <c r="V2074" s="2"/>
      <c r="X2074" s="38"/>
      <c r="Y2074" s="38"/>
      <c r="Z2074" s="38"/>
      <c r="AA2074" s="38"/>
      <c r="AB2074" s="38"/>
      <c r="AD2074" s="2"/>
      <c r="AE2074" s="2"/>
      <c r="AF2074" s="2"/>
      <c r="AG2074" s="2"/>
      <c r="AH2074" s="2"/>
      <c r="AJ2074" s="215"/>
      <c r="AK2074" s="215"/>
      <c r="AL2074" s="215"/>
      <c r="AM2074" s="215"/>
      <c r="AO2074" s="10"/>
      <c r="AP2074" s="10"/>
      <c r="AQ2074" s="10"/>
      <c r="AR2074" s="10"/>
      <c r="AS2074" s="10"/>
      <c r="AU2074" s="2"/>
      <c r="AV2074" s="2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</row>
    <row r="2075" spans="1:73" customFormat="1" ht="12.75" hidden="1" customHeight="1" x14ac:dyDescent="0.2">
      <c r="A2075" s="1"/>
      <c r="B2075" s="1"/>
      <c r="C2075" s="1"/>
      <c r="D2075" s="7"/>
      <c r="E2075" s="7"/>
      <c r="F2075" s="6"/>
      <c r="G2075" s="7"/>
      <c r="H2075" s="2"/>
      <c r="I2075" s="2"/>
      <c r="J2075" s="2"/>
      <c r="K2075" s="2"/>
      <c r="L2075" s="178"/>
      <c r="M2075" s="2"/>
      <c r="N2075" s="7"/>
      <c r="P2075" s="7"/>
      <c r="R2075" s="2"/>
      <c r="S2075" s="2"/>
      <c r="T2075" s="2"/>
      <c r="U2075" s="2"/>
      <c r="V2075" s="2"/>
      <c r="X2075" s="38"/>
      <c r="Y2075" s="38"/>
      <c r="Z2075" s="38"/>
      <c r="AA2075" s="38"/>
      <c r="AB2075" s="38"/>
      <c r="AD2075" s="2"/>
      <c r="AE2075" s="2"/>
      <c r="AF2075" s="2"/>
      <c r="AG2075" s="2"/>
      <c r="AH2075" s="2"/>
      <c r="AJ2075" s="215"/>
      <c r="AK2075" s="215"/>
      <c r="AL2075" s="215"/>
      <c r="AM2075" s="215"/>
      <c r="AO2075" s="10"/>
      <c r="AP2075" s="10"/>
      <c r="AQ2075" s="10"/>
      <c r="AR2075" s="10"/>
      <c r="AS2075" s="10"/>
      <c r="AU2075" s="2"/>
      <c r="AV2075" s="2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</row>
    <row r="2076" spans="1:73" customFormat="1" ht="12.75" hidden="1" customHeight="1" x14ac:dyDescent="0.2">
      <c r="A2076" s="1"/>
      <c r="B2076" s="1"/>
      <c r="C2076" s="1"/>
      <c r="D2076" s="7"/>
      <c r="E2076" s="7"/>
      <c r="F2076" s="6"/>
      <c r="G2076" s="7"/>
      <c r="H2076" s="2"/>
      <c r="I2076" s="2"/>
      <c r="J2076" s="2"/>
      <c r="K2076" s="2"/>
      <c r="L2076" s="178"/>
      <c r="M2076" s="2"/>
      <c r="N2076" s="7"/>
      <c r="P2076" s="7"/>
      <c r="R2076" s="2"/>
      <c r="S2076" s="2"/>
      <c r="T2076" s="2"/>
      <c r="U2076" s="2"/>
      <c r="V2076" s="2"/>
      <c r="X2076" s="38"/>
      <c r="Y2076" s="38"/>
      <c r="Z2076" s="38"/>
      <c r="AA2076" s="38"/>
      <c r="AB2076" s="38"/>
      <c r="AD2076" s="2"/>
      <c r="AE2076" s="2"/>
      <c r="AF2076" s="2"/>
      <c r="AG2076" s="2"/>
      <c r="AH2076" s="2"/>
      <c r="AJ2076" s="215"/>
      <c r="AK2076" s="215"/>
      <c r="AL2076" s="215"/>
      <c r="AM2076" s="215"/>
      <c r="AO2076" s="10"/>
      <c r="AP2076" s="10"/>
      <c r="AQ2076" s="10"/>
      <c r="AR2076" s="10"/>
      <c r="AS2076" s="10"/>
      <c r="AU2076" s="2"/>
      <c r="AV2076" s="2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</row>
    <row r="2077" spans="1:73" customFormat="1" ht="12.75" hidden="1" customHeight="1" x14ac:dyDescent="0.2">
      <c r="A2077" s="1"/>
      <c r="B2077" s="1"/>
      <c r="C2077" s="1"/>
      <c r="D2077" s="7"/>
      <c r="E2077" s="7"/>
      <c r="F2077" s="6"/>
      <c r="G2077" s="7"/>
      <c r="H2077" s="2"/>
      <c r="I2077" s="2"/>
      <c r="J2077" s="2"/>
      <c r="K2077" s="2"/>
      <c r="L2077" s="178"/>
      <c r="M2077" s="2"/>
      <c r="N2077" s="7"/>
      <c r="P2077" s="7"/>
      <c r="R2077" s="2"/>
      <c r="S2077" s="2"/>
      <c r="T2077" s="2"/>
      <c r="U2077" s="2"/>
      <c r="V2077" s="2"/>
      <c r="X2077" s="38"/>
      <c r="Y2077" s="38"/>
      <c r="Z2077" s="38"/>
      <c r="AA2077" s="38"/>
      <c r="AB2077" s="38"/>
      <c r="AD2077" s="2"/>
      <c r="AE2077" s="2"/>
      <c r="AF2077" s="2"/>
      <c r="AG2077" s="2"/>
      <c r="AH2077" s="2"/>
      <c r="AJ2077" s="215"/>
      <c r="AK2077" s="215"/>
      <c r="AL2077" s="215"/>
      <c r="AM2077" s="215"/>
      <c r="AO2077" s="10"/>
      <c r="AP2077" s="10"/>
      <c r="AQ2077" s="10"/>
      <c r="AR2077" s="10"/>
      <c r="AS2077" s="10"/>
      <c r="AU2077" s="2"/>
      <c r="AV2077" s="2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</row>
    <row r="2078" spans="1:73" customFormat="1" ht="12.75" hidden="1" customHeight="1" x14ac:dyDescent="0.2">
      <c r="A2078" s="1"/>
      <c r="B2078" s="1"/>
      <c r="C2078" s="1"/>
      <c r="D2078" s="7"/>
      <c r="E2078" s="7"/>
      <c r="F2078" s="6"/>
      <c r="G2078" s="7"/>
      <c r="H2078" s="2"/>
      <c r="I2078" s="2"/>
      <c r="J2078" s="2"/>
      <c r="K2078" s="2"/>
      <c r="L2078" s="178"/>
      <c r="M2078" s="2"/>
      <c r="N2078" s="7"/>
      <c r="P2078" s="7"/>
      <c r="R2078" s="2"/>
      <c r="S2078" s="2"/>
      <c r="T2078" s="2"/>
      <c r="U2078" s="2"/>
      <c r="V2078" s="2"/>
      <c r="X2078" s="38"/>
      <c r="Y2078" s="38"/>
      <c r="Z2078" s="38"/>
      <c r="AA2078" s="38"/>
      <c r="AB2078" s="38"/>
      <c r="AD2078" s="2"/>
      <c r="AE2078" s="2"/>
      <c r="AF2078" s="2"/>
      <c r="AG2078" s="2"/>
      <c r="AH2078" s="2"/>
      <c r="AJ2078" s="215"/>
      <c r="AK2078" s="215"/>
      <c r="AL2078" s="215"/>
      <c r="AM2078" s="215"/>
      <c r="AO2078" s="10"/>
      <c r="AP2078" s="10"/>
      <c r="AQ2078" s="10"/>
      <c r="AR2078" s="10"/>
      <c r="AS2078" s="10"/>
      <c r="AU2078" s="2"/>
      <c r="AV2078" s="2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</row>
    <row r="2079" spans="1:73" customFormat="1" ht="12.75" hidden="1" customHeight="1" x14ac:dyDescent="0.2">
      <c r="A2079" s="1"/>
      <c r="B2079" s="1"/>
      <c r="C2079" s="1"/>
      <c r="D2079" s="7"/>
      <c r="E2079" s="7"/>
      <c r="F2079" s="6"/>
      <c r="G2079" s="7"/>
      <c r="H2079" s="2"/>
      <c r="I2079" s="2"/>
      <c r="J2079" s="2"/>
      <c r="K2079" s="2"/>
      <c r="L2079" s="178"/>
      <c r="M2079" s="2"/>
      <c r="N2079" s="7"/>
      <c r="P2079" s="7"/>
      <c r="R2079" s="2"/>
      <c r="S2079" s="2"/>
      <c r="T2079" s="2"/>
      <c r="U2079" s="2"/>
      <c r="V2079" s="2"/>
      <c r="X2079" s="38"/>
      <c r="Y2079" s="38"/>
      <c r="Z2079" s="38"/>
      <c r="AA2079" s="38"/>
      <c r="AB2079" s="38"/>
      <c r="AD2079" s="2"/>
      <c r="AE2079" s="2"/>
      <c r="AF2079" s="2"/>
      <c r="AG2079" s="2"/>
      <c r="AH2079" s="2"/>
      <c r="AJ2079" s="215"/>
      <c r="AK2079" s="215"/>
      <c r="AL2079" s="215"/>
      <c r="AM2079" s="215"/>
      <c r="AO2079" s="10"/>
      <c r="AP2079" s="10"/>
      <c r="AQ2079" s="10"/>
      <c r="AR2079" s="10"/>
      <c r="AS2079" s="10"/>
      <c r="AU2079" s="2"/>
      <c r="AV2079" s="2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</row>
    <row r="2080" spans="1:73" customFormat="1" ht="12.75" hidden="1" customHeight="1" x14ac:dyDescent="0.2">
      <c r="A2080" s="1"/>
      <c r="B2080" s="1"/>
      <c r="C2080" s="1"/>
      <c r="D2080" s="7"/>
      <c r="E2080" s="7"/>
      <c r="F2080" s="6"/>
      <c r="G2080" s="7"/>
      <c r="H2080" s="2"/>
      <c r="I2080" s="2"/>
      <c r="J2080" s="2"/>
      <c r="K2080" s="2"/>
      <c r="L2080" s="178"/>
      <c r="M2080" s="2"/>
      <c r="N2080" s="7"/>
      <c r="P2080" s="7"/>
      <c r="R2080" s="2"/>
      <c r="S2080" s="2"/>
      <c r="T2080" s="2"/>
      <c r="U2080" s="2"/>
      <c r="V2080" s="2"/>
      <c r="X2080" s="38"/>
      <c r="Y2080" s="38"/>
      <c r="Z2080" s="38"/>
      <c r="AA2080" s="38"/>
      <c r="AB2080" s="38"/>
      <c r="AD2080" s="2"/>
      <c r="AE2080" s="2"/>
      <c r="AF2080" s="2"/>
      <c r="AG2080" s="2"/>
      <c r="AH2080" s="2"/>
      <c r="AJ2080" s="215"/>
      <c r="AK2080" s="215"/>
      <c r="AL2080" s="215"/>
      <c r="AM2080" s="215"/>
      <c r="AO2080" s="10"/>
      <c r="AP2080" s="10"/>
      <c r="AQ2080" s="10"/>
      <c r="AR2080" s="10"/>
      <c r="AS2080" s="10"/>
      <c r="AU2080" s="2"/>
      <c r="AV2080" s="2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</row>
    <row r="2081" spans="1:73" customFormat="1" ht="12.75" hidden="1" customHeight="1" x14ac:dyDescent="0.2">
      <c r="A2081" s="1"/>
      <c r="B2081" s="1"/>
      <c r="C2081" s="1"/>
      <c r="D2081" s="7"/>
      <c r="E2081" s="7"/>
      <c r="F2081" s="6"/>
      <c r="G2081" s="7"/>
      <c r="H2081" s="2"/>
      <c r="I2081" s="2"/>
      <c r="J2081" s="2"/>
      <c r="K2081" s="2"/>
      <c r="L2081" s="178"/>
      <c r="M2081" s="2"/>
      <c r="N2081" s="7"/>
      <c r="P2081" s="7"/>
      <c r="R2081" s="2"/>
      <c r="S2081" s="2"/>
      <c r="T2081" s="2"/>
      <c r="U2081" s="2"/>
      <c r="V2081" s="2"/>
      <c r="X2081" s="38"/>
      <c r="Y2081" s="38"/>
      <c r="Z2081" s="38"/>
      <c r="AA2081" s="38"/>
      <c r="AB2081" s="38"/>
      <c r="AD2081" s="2"/>
      <c r="AE2081" s="2"/>
      <c r="AF2081" s="2"/>
      <c r="AG2081" s="2"/>
      <c r="AH2081" s="2"/>
      <c r="AJ2081" s="215"/>
      <c r="AK2081" s="215"/>
      <c r="AL2081" s="215"/>
      <c r="AM2081" s="215"/>
      <c r="AO2081" s="10"/>
      <c r="AP2081" s="10"/>
      <c r="AQ2081" s="10"/>
      <c r="AR2081" s="10"/>
      <c r="AS2081" s="10"/>
      <c r="AU2081" s="2"/>
      <c r="AV2081" s="2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</row>
    <row r="2082" spans="1:73" customFormat="1" ht="12.75" hidden="1" customHeight="1" x14ac:dyDescent="0.2">
      <c r="A2082" s="1"/>
      <c r="B2082" s="1"/>
      <c r="C2082" s="1"/>
      <c r="D2082" s="7"/>
      <c r="E2082" s="7"/>
      <c r="F2082" s="6"/>
      <c r="G2082" s="7"/>
      <c r="H2082" s="2"/>
      <c r="I2082" s="2"/>
      <c r="J2082" s="2"/>
      <c r="K2082" s="2"/>
      <c r="L2082" s="178"/>
      <c r="M2082" s="2"/>
      <c r="N2082" s="7"/>
      <c r="P2082" s="7"/>
      <c r="R2082" s="2"/>
      <c r="S2082" s="2"/>
      <c r="T2082" s="2"/>
      <c r="U2082" s="2"/>
      <c r="V2082" s="2"/>
      <c r="X2082" s="38"/>
      <c r="Y2082" s="38"/>
      <c r="Z2082" s="38"/>
      <c r="AA2082" s="38"/>
      <c r="AB2082" s="38"/>
      <c r="AD2082" s="2"/>
      <c r="AE2082" s="2"/>
      <c r="AF2082" s="2"/>
      <c r="AG2082" s="2"/>
      <c r="AH2082" s="2"/>
      <c r="AJ2082" s="215"/>
      <c r="AK2082" s="215"/>
      <c r="AL2082" s="215"/>
      <c r="AM2082" s="215"/>
      <c r="AO2082" s="10"/>
      <c r="AP2082" s="10"/>
      <c r="AQ2082" s="10"/>
      <c r="AR2082" s="10"/>
      <c r="AS2082" s="10"/>
      <c r="AU2082" s="2"/>
      <c r="AV2082" s="2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</row>
    <row r="2083" spans="1:73" customFormat="1" ht="12.75" hidden="1" customHeight="1" x14ac:dyDescent="0.2">
      <c r="A2083" s="1"/>
      <c r="B2083" s="1"/>
      <c r="C2083" s="1"/>
      <c r="D2083" s="7"/>
      <c r="E2083" s="7"/>
      <c r="F2083" s="6"/>
      <c r="G2083" s="7"/>
      <c r="H2083" s="2"/>
      <c r="I2083" s="2"/>
      <c r="J2083" s="2"/>
      <c r="K2083" s="2"/>
      <c r="L2083" s="178"/>
      <c r="M2083" s="2"/>
      <c r="N2083" s="7"/>
      <c r="P2083" s="7"/>
      <c r="R2083" s="2"/>
      <c r="S2083" s="2"/>
      <c r="T2083" s="2"/>
      <c r="U2083" s="2"/>
      <c r="V2083" s="2"/>
      <c r="X2083" s="38"/>
      <c r="Y2083" s="38"/>
      <c r="Z2083" s="38"/>
      <c r="AA2083" s="38"/>
      <c r="AB2083" s="38"/>
      <c r="AD2083" s="2"/>
      <c r="AE2083" s="2"/>
      <c r="AF2083" s="2"/>
      <c r="AG2083" s="2"/>
      <c r="AH2083" s="2"/>
      <c r="AJ2083" s="215"/>
      <c r="AK2083" s="215"/>
      <c r="AL2083" s="215"/>
      <c r="AM2083" s="215"/>
      <c r="AO2083" s="10"/>
      <c r="AP2083" s="10"/>
      <c r="AQ2083" s="10"/>
      <c r="AR2083" s="10"/>
      <c r="AS2083" s="10"/>
      <c r="AU2083" s="2"/>
      <c r="AV2083" s="2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</row>
    <row r="2084" spans="1:73" customFormat="1" ht="12.75" hidden="1" customHeight="1" x14ac:dyDescent="0.2">
      <c r="A2084" s="1"/>
      <c r="B2084" s="1"/>
      <c r="C2084" s="1"/>
      <c r="D2084" s="7"/>
      <c r="E2084" s="7"/>
      <c r="F2084" s="6"/>
      <c r="G2084" s="7"/>
      <c r="H2084" s="2"/>
      <c r="I2084" s="2"/>
      <c r="J2084" s="2"/>
      <c r="K2084" s="2"/>
      <c r="L2084" s="178"/>
      <c r="M2084" s="2"/>
      <c r="N2084" s="7"/>
      <c r="P2084" s="7"/>
      <c r="R2084" s="2"/>
      <c r="S2084" s="2"/>
      <c r="T2084" s="2"/>
      <c r="U2084" s="2"/>
      <c r="V2084" s="2"/>
      <c r="X2084" s="38"/>
      <c r="Y2084" s="38"/>
      <c r="Z2084" s="38"/>
      <c r="AA2084" s="38"/>
      <c r="AB2084" s="38"/>
      <c r="AD2084" s="2"/>
      <c r="AE2084" s="2"/>
      <c r="AF2084" s="2"/>
      <c r="AG2084" s="2"/>
      <c r="AH2084" s="2"/>
      <c r="AJ2084" s="215"/>
      <c r="AK2084" s="215"/>
      <c r="AL2084" s="215"/>
      <c r="AM2084" s="215"/>
      <c r="AO2084" s="10"/>
      <c r="AP2084" s="10"/>
      <c r="AQ2084" s="10"/>
      <c r="AR2084" s="10"/>
      <c r="AS2084" s="10"/>
      <c r="AU2084" s="2"/>
      <c r="AV2084" s="2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</row>
    <row r="2085" spans="1:73" customFormat="1" ht="12.75" hidden="1" customHeight="1" x14ac:dyDescent="0.2">
      <c r="A2085" s="1"/>
      <c r="B2085" s="1"/>
      <c r="C2085" s="1"/>
      <c r="D2085" s="7"/>
      <c r="E2085" s="7"/>
      <c r="F2085" s="6"/>
      <c r="G2085" s="7"/>
      <c r="H2085" s="2"/>
      <c r="I2085" s="2"/>
      <c r="J2085" s="2"/>
      <c r="K2085" s="2"/>
      <c r="L2085" s="178"/>
      <c r="M2085" s="2"/>
      <c r="N2085" s="7"/>
      <c r="P2085" s="7"/>
      <c r="R2085" s="2"/>
      <c r="S2085" s="2"/>
      <c r="T2085" s="2"/>
      <c r="U2085" s="2"/>
      <c r="V2085" s="2"/>
      <c r="X2085" s="38"/>
      <c r="Y2085" s="38"/>
      <c r="Z2085" s="38"/>
      <c r="AA2085" s="38"/>
      <c r="AB2085" s="38"/>
      <c r="AD2085" s="2"/>
      <c r="AE2085" s="2"/>
      <c r="AF2085" s="2"/>
      <c r="AG2085" s="2"/>
      <c r="AH2085" s="2"/>
      <c r="AJ2085" s="215"/>
      <c r="AK2085" s="215"/>
      <c r="AL2085" s="215"/>
      <c r="AM2085" s="215"/>
      <c r="AO2085" s="10"/>
      <c r="AP2085" s="10"/>
      <c r="AQ2085" s="10"/>
      <c r="AR2085" s="10"/>
      <c r="AS2085" s="10"/>
      <c r="AU2085" s="2"/>
      <c r="AV2085" s="2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</row>
    <row r="2086" spans="1:73" customFormat="1" ht="12.75" hidden="1" customHeight="1" x14ac:dyDescent="0.2">
      <c r="A2086" s="1"/>
      <c r="B2086" s="1"/>
      <c r="C2086" s="1"/>
      <c r="D2086" s="7"/>
      <c r="E2086" s="7"/>
      <c r="F2086" s="6"/>
      <c r="G2086" s="7"/>
      <c r="H2086" s="2"/>
      <c r="I2086" s="2"/>
      <c r="J2086" s="2"/>
      <c r="K2086" s="2"/>
      <c r="L2086" s="178"/>
      <c r="M2086" s="2"/>
      <c r="N2086" s="7"/>
      <c r="P2086" s="7"/>
      <c r="R2086" s="2"/>
      <c r="S2086" s="2"/>
      <c r="T2086" s="2"/>
      <c r="U2086" s="2"/>
      <c r="V2086" s="2"/>
      <c r="X2086" s="38"/>
      <c r="Y2086" s="38"/>
      <c r="Z2086" s="38"/>
      <c r="AA2086" s="38"/>
      <c r="AB2086" s="38"/>
      <c r="AD2086" s="2"/>
      <c r="AE2086" s="2"/>
      <c r="AF2086" s="2"/>
      <c r="AG2086" s="2"/>
      <c r="AH2086" s="2"/>
      <c r="AJ2086" s="215"/>
      <c r="AK2086" s="215"/>
      <c r="AL2086" s="215"/>
      <c r="AM2086" s="215"/>
      <c r="AO2086" s="10"/>
      <c r="AP2086" s="10"/>
      <c r="AQ2086" s="10"/>
      <c r="AR2086" s="10"/>
      <c r="AS2086" s="10"/>
      <c r="AU2086" s="2"/>
      <c r="AV2086" s="2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</row>
    <row r="2087" spans="1:73" customFormat="1" ht="12.75" hidden="1" customHeight="1" x14ac:dyDescent="0.2">
      <c r="A2087" s="1"/>
      <c r="B2087" s="1"/>
      <c r="C2087" s="1"/>
      <c r="D2087" s="7"/>
      <c r="E2087" s="7"/>
      <c r="F2087" s="6"/>
      <c r="G2087" s="7"/>
      <c r="H2087" s="2"/>
      <c r="I2087" s="2"/>
      <c r="J2087" s="2"/>
      <c r="K2087" s="2"/>
      <c r="L2087" s="178"/>
      <c r="M2087" s="2"/>
      <c r="N2087" s="7"/>
      <c r="P2087" s="7"/>
      <c r="R2087" s="2"/>
      <c r="S2087" s="2"/>
      <c r="T2087" s="2"/>
      <c r="U2087" s="2"/>
      <c r="V2087" s="2"/>
      <c r="X2087" s="38"/>
      <c r="Y2087" s="38"/>
      <c r="Z2087" s="38"/>
      <c r="AA2087" s="38"/>
      <c r="AB2087" s="38"/>
      <c r="AD2087" s="2"/>
      <c r="AE2087" s="2"/>
      <c r="AF2087" s="2"/>
      <c r="AG2087" s="2"/>
      <c r="AH2087" s="2"/>
      <c r="AJ2087" s="215"/>
      <c r="AK2087" s="215"/>
      <c r="AL2087" s="215"/>
      <c r="AM2087" s="215"/>
      <c r="AO2087" s="10"/>
      <c r="AP2087" s="10"/>
      <c r="AQ2087" s="10"/>
      <c r="AR2087" s="10"/>
      <c r="AS2087" s="10"/>
      <c r="AU2087" s="2"/>
      <c r="AV2087" s="2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</row>
    <row r="2088" spans="1:73" customFormat="1" ht="12.75" hidden="1" customHeight="1" x14ac:dyDescent="0.2">
      <c r="A2088" s="1"/>
      <c r="B2088" s="1"/>
      <c r="C2088" s="1"/>
      <c r="D2088" s="7"/>
      <c r="E2088" s="7"/>
      <c r="F2088" s="6"/>
      <c r="G2088" s="7"/>
      <c r="H2088" s="2"/>
      <c r="I2088" s="2"/>
      <c r="J2088" s="2"/>
      <c r="K2088" s="2"/>
      <c r="L2088" s="178"/>
      <c r="M2088" s="2"/>
      <c r="N2088" s="7"/>
      <c r="P2088" s="7"/>
      <c r="R2088" s="2"/>
      <c r="S2088" s="2"/>
      <c r="T2088" s="2"/>
      <c r="U2088" s="2"/>
      <c r="V2088" s="2"/>
      <c r="X2088" s="38"/>
      <c r="Y2088" s="38"/>
      <c r="Z2088" s="38"/>
      <c r="AA2088" s="38"/>
      <c r="AB2088" s="38"/>
      <c r="AD2088" s="2"/>
      <c r="AE2088" s="2"/>
      <c r="AF2088" s="2"/>
      <c r="AG2088" s="2"/>
      <c r="AH2088" s="2"/>
      <c r="AJ2088" s="215"/>
      <c r="AK2088" s="215"/>
      <c r="AL2088" s="215"/>
      <c r="AM2088" s="215"/>
      <c r="AO2088" s="10"/>
      <c r="AP2088" s="10"/>
      <c r="AQ2088" s="10"/>
      <c r="AR2088" s="10"/>
      <c r="AS2088" s="10"/>
      <c r="AU2088" s="2"/>
      <c r="AV2088" s="2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</row>
    <row r="2089" spans="1:73" customFormat="1" ht="12.75" hidden="1" customHeight="1" x14ac:dyDescent="0.2">
      <c r="A2089" s="1"/>
      <c r="B2089" s="1"/>
      <c r="C2089" s="1"/>
      <c r="D2089" s="7"/>
      <c r="E2089" s="7"/>
      <c r="F2089" s="6"/>
      <c r="G2089" s="7"/>
      <c r="H2089" s="2"/>
      <c r="I2089" s="2"/>
      <c r="J2089" s="2"/>
      <c r="K2089" s="2"/>
      <c r="L2089" s="178"/>
      <c r="M2089" s="2"/>
      <c r="N2089" s="7"/>
      <c r="P2089" s="7"/>
      <c r="R2089" s="2"/>
      <c r="S2089" s="2"/>
      <c r="T2089" s="2"/>
      <c r="U2089" s="2"/>
      <c r="V2089" s="2"/>
      <c r="X2089" s="38"/>
      <c r="Y2089" s="38"/>
      <c r="Z2089" s="38"/>
      <c r="AA2089" s="38"/>
      <c r="AB2089" s="38"/>
      <c r="AD2089" s="2"/>
      <c r="AE2089" s="2"/>
      <c r="AF2089" s="2"/>
      <c r="AG2089" s="2"/>
      <c r="AH2089" s="2"/>
      <c r="AJ2089" s="215"/>
      <c r="AK2089" s="215"/>
      <c r="AL2089" s="215"/>
      <c r="AM2089" s="215"/>
      <c r="AO2089" s="10"/>
      <c r="AP2089" s="10"/>
      <c r="AQ2089" s="10"/>
      <c r="AR2089" s="10"/>
      <c r="AS2089" s="10"/>
      <c r="AU2089" s="2"/>
      <c r="AV2089" s="2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</row>
    <row r="2090" spans="1:73" customFormat="1" ht="12.75" hidden="1" customHeight="1" x14ac:dyDescent="0.2">
      <c r="A2090" s="1"/>
      <c r="B2090" s="1"/>
      <c r="C2090" s="1"/>
      <c r="D2090" s="7"/>
      <c r="E2090" s="7"/>
      <c r="F2090" s="6"/>
      <c r="G2090" s="7"/>
      <c r="H2090" s="2"/>
      <c r="I2090" s="2"/>
      <c r="J2090" s="2"/>
      <c r="K2090" s="2"/>
      <c r="L2090" s="178"/>
      <c r="M2090" s="2"/>
      <c r="N2090" s="7"/>
      <c r="P2090" s="7"/>
      <c r="R2090" s="2"/>
      <c r="S2090" s="2"/>
      <c r="T2090" s="2"/>
      <c r="U2090" s="2"/>
      <c r="V2090" s="2"/>
      <c r="X2090" s="38"/>
      <c r="Y2090" s="38"/>
      <c r="Z2090" s="38"/>
      <c r="AA2090" s="38"/>
      <c r="AB2090" s="38"/>
      <c r="AD2090" s="2"/>
      <c r="AE2090" s="2"/>
      <c r="AF2090" s="2"/>
      <c r="AG2090" s="2"/>
      <c r="AH2090" s="2"/>
      <c r="AJ2090" s="215"/>
      <c r="AK2090" s="215"/>
      <c r="AL2090" s="215"/>
      <c r="AM2090" s="215"/>
      <c r="AO2090" s="10"/>
      <c r="AP2090" s="10"/>
      <c r="AQ2090" s="10"/>
      <c r="AR2090" s="10"/>
      <c r="AS2090" s="10"/>
      <c r="AU2090" s="2"/>
      <c r="AV2090" s="2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</row>
    <row r="2091" spans="1:73" customFormat="1" ht="12.75" hidden="1" customHeight="1" x14ac:dyDescent="0.2">
      <c r="A2091" s="1"/>
      <c r="B2091" s="1"/>
      <c r="C2091" s="1"/>
      <c r="D2091" s="7"/>
      <c r="E2091" s="7"/>
      <c r="F2091" s="6"/>
      <c r="G2091" s="7"/>
      <c r="H2091" s="2"/>
      <c r="I2091" s="2"/>
      <c r="J2091" s="2"/>
      <c r="K2091" s="2"/>
      <c r="L2091" s="178"/>
      <c r="M2091" s="2"/>
      <c r="N2091" s="7"/>
      <c r="P2091" s="7"/>
      <c r="R2091" s="2"/>
      <c r="S2091" s="2"/>
      <c r="T2091" s="2"/>
      <c r="U2091" s="2"/>
      <c r="V2091" s="2"/>
      <c r="X2091" s="38"/>
      <c r="Y2091" s="38"/>
      <c r="Z2091" s="38"/>
      <c r="AA2091" s="38"/>
      <c r="AB2091" s="38"/>
      <c r="AD2091" s="2"/>
      <c r="AE2091" s="2"/>
      <c r="AF2091" s="2"/>
      <c r="AG2091" s="2"/>
      <c r="AH2091" s="2"/>
      <c r="AJ2091" s="215"/>
      <c r="AK2091" s="215"/>
      <c r="AL2091" s="215"/>
      <c r="AM2091" s="215"/>
      <c r="AO2091" s="10"/>
      <c r="AP2091" s="10"/>
      <c r="AQ2091" s="10"/>
      <c r="AR2091" s="10"/>
      <c r="AS2091" s="10"/>
      <c r="AU2091" s="2"/>
      <c r="AV2091" s="2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</row>
    <row r="2092" spans="1:73" customFormat="1" ht="12.75" hidden="1" customHeight="1" x14ac:dyDescent="0.2">
      <c r="A2092" s="1"/>
      <c r="B2092" s="1"/>
      <c r="C2092" s="1"/>
      <c r="D2092" s="7"/>
      <c r="E2092" s="7"/>
      <c r="F2092" s="6"/>
      <c r="G2092" s="7"/>
      <c r="H2092" s="2"/>
      <c r="I2092" s="2"/>
      <c r="J2092" s="2"/>
      <c r="K2092" s="2"/>
      <c r="L2092" s="178"/>
      <c r="M2092" s="2"/>
      <c r="N2092" s="7"/>
      <c r="P2092" s="7"/>
      <c r="R2092" s="2"/>
      <c r="S2092" s="2"/>
      <c r="T2092" s="2"/>
      <c r="U2092" s="2"/>
      <c r="V2092" s="2"/>
      <c r="X2092" s="38"/>
      <c r="Y2092" s="38"/>
      <c r="Z2092" s="38"/>
      <c r="AA2092" s="38"/>
      <c r="AB2092" s="38"/>
      <c r="AD2092" s="2"/>
      <c r="AE2092" s="2"/>
      <c r="AF2092" s="2"/>
      <c r="AG2092" s="2"/>
      <c r="AH2092" s="2"/>
      <c r="AJ2092" s="215"/>
      <c r="AK2092" s="215"/>
      <c r="AL2092" s="215"/>
      <c r="AM2092" s="215"/>
      <c r="AO2092" s="10"/>
      <c r="AP2092" s="10"/>
      <c r="AQ2092" s="10"/>
      <c r="AR2092" s="10"/>
      <c r="AS2092" s="10"/>
      <c r="AU2092" s="2"/>
      <c r="AV2092" s="2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</row>
    <row r="2093" spans="1:73" customFormat="1" ht="12.75" hidden="1" customHeight="1" x14ac:dyDescent="0.2">
      <c r="A2093" s="1"/>
      <c r="B2093" s="1"/>
      <c r="C2093" s="1"/>
      <c r="D2093" s="7"/>
      <c r="E2093" s="7"/>
      <c r="F2093" s="6"/>
      <c r="G2093" s="7"/>
      <c r="H2093" s="2"/>
      <c r="I2093" s="2"/>
      <c r="J2093" s="2"/>
      <c r="K2093" s="2"/>
      <c r="L2093" s="178"/>
      <c r="M2093" s="2"/>
      <c r="N2093" s="7"/>
      <c r="P2093" s="7"/>
      <c r="R2093" s="2"/>
      <c r="S2093" s="2"/>
      <c r="T2093" s="2"/>
      <c r="U2093" s="2"/>
      <c r="V2093" s="2"/>
      <c r="X2093" s="38"/>
      <c r="Y2093" s="38"/>
      <c r="Z2093" s="38"/>
      <c r="AA2093" s="38"/>
      <c r="AB2093" s="38"/>
      <c r="AD2093" s="2"/>
      <c r="AE2093" s="2"/>
      <c r="AF2093" s="2"/>
      <c r="AG2093" s="2"/>
      <c r="AH2093" s="2"/>
      <c r="AJ2093" s="215"/>
      <c r="AK2093" s="215"/>
      <c r="AL2093" s="215"/>
      <c r="AM2093" s="215"/>
      <c r="AO2093" s="10"/>
      <c r="AP2093" s="10"/>
      <c r="AQ2093" s="10"/>
      <c r="AR2093" s="10"/>
      <c r="AS2093" s="10"/>
      <c r="AU2093" s="2"/>
      <c r="AV2093" s="2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</row>
    <row r="2094" spans="1:73" customFormat="1" ht="12.75" hidden="1" customHeight="1" x14ac:dyDescent="0.2">
      <c r="A2094" s="1"/>
      <c r="B2094" s="1"/>
      <c r="C2094" s="1"/>
      <c r="D2094" s="7"/>
      <c r="E2094" s="7"/>
      <c r="F2094" s="6"/>
      <c r="G2094" s="7"/>
      <c r="H2094" s="2"/>
      <c r="I2094" s="2"/>
      <c r="J2094" s="2"/>
      <c r="K2094" s="2"/>
      <c r="L2094" s="178"/>
      <c r="M2094" s="2"/>
      <c r="N2094" s="7"/>
      <c r="P2094" s="7"/>
      <c r="R2094" s="2"/>
      <c r="S2094" s="2"/>
      <c r="T2094" s="2"/>
      <c r="U2094" s="2"/>
      <c r="V2094" s="2"/>
      <c r="X2094" s="38"/>
      <c r="Y2094" s="38"/>
      <c r="Z2094" s="38"/>
      <c r="AA2094" s="38"/>
      <c r="AB2094" s="38"/>
      <c r="AD2094" s="2"/>
      <c r="AE2094" s="2"/>
      <c r="AF2094" s="2"/>
      <c r="AG2094" s="2"/>
      <c r="AH2094" s="2"/>
      <c r="AJ2094" s="215"/>
      <c r="AK2094" s="215"/>
      <c r="AL2094" s="215"/>
      <c r="AM2094" s="215"/>
      <c r="AO2094" s="10"/>
      <c r="AP2094" s="10"/>
      <c r="AQ2094" s="10"/>
      <c r="AR2094" s="10"/>
      <c r="AS2094" s="10"/>
      <c r="AU2094" s="2"/>
      <c r="AV2094" s="2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</row>
    <row r="2095" spans="1:73" customFormat="1" ht="12.75" hidden="1" customHeight="1" x14ac:dyDescent="0.2">
      <c r="A2095" s="1"/>
      <c r="B2095" s="1"/>
      <c r="C2095" s="1"/>
      <c r="D2095" s="7"/>
      <c r="E2095" s="7"/>
      <c r="F2095" s="6"/>
      <c r="G2095" s="7"/>
      <c r="H2095" s="2"/>
      <c r="I2095" s="2"/>
      <c r="J2095" s="2"/>
      <c r="K2095" s="2"/>
      <c r="L2095" s="178"/>
      <c r="M2095" s="2"/>
      <c r="N2095" s="7"/>
      <c r="P2095" s="7"/>
      <c r="R2095" s="2"/>
      <c r="S2095" s="2"/>
      <c r="T2095" s="2"/>
      <c r="U2095" s="2"/>
      <c r="V2095" s="2"/>
      <c r="X2095" s="38"/>
      <c r="Y2095" s="38"/>
      <c r="Z2095" s="38"/>
      <c r="AA2095" s="38"/>
      <c r="AB2095" s="38"/>
      <c r="AD2095" s="2"/>
      <c r="AE2095" s="2"/>
      <c r="AF2095" s="2"/>
      <c r="AG2095" s="2"/>
      <c r="AH2095" s="2"/>
      <c r="AJ2095" s="215"/>
      <c r="AK2095" s="215"/>
      <c r="AL2095" s="215"/>
      <c r="AM2095" s="215"/>
      <c r="AO2095" s="10"/>
      <c r="AP2095" s="10"/>
      <c r="AQ2095" s="10"/>
      <c r="AR2095" s="10"/>
      <c r="AS2095" s="10"/>
      <c r="AU2095" s="2"/>
      <c r="AV2095" s="2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</row>
    <row r="2096" spans="1:73" customFormat="1" ht="12.75" hidden="1" customHeight="1" x14ac:dyDescent="0.2">
      <c r="A2096" s="1"/>
      <c r="B2096" s="1"/>
      <c r="C2096" s="1"/>
      <c r="D2096" s="7"/>
      <c r="E2096" s="7"/>
      <c r="F2096" s="6"/>
      <c r="G2096" s="7"/>
      <c r="H2096" s="2"/>
      <c r="I2096" s="2"/>
      <c r="J2096" s="2"/>
      <c r="K2096" s="2"/>
      <c r="L2096" s="178"/>
      <c r="M2096" s="2"/>
      <c r="N2096" s="7"/>
      <c r="P2096" s="7"/>
      <c r="R2096" s="2"/>
      <c r="S2096" s="2"/>
      <c r="T2096" s="2"/>
      <c r="U2096" s="2"/>
      <c r="V2096" s="2"/>
      <c r="X2096" s="38"/>
      <c r="Y2096" s="38"/>
      <c r="Z2096" s="38"/>
      <c r="AA2096" s="38"/>
      <c r="AB2096" s="38"/>
      <c r="AD2096" s="2"/>
      <c r="AE2096" s="2"/>
      <c r="AF2096" s="2"/>
      <c r="AG2096" s="2"/>
      <c r="AH2096" s="2"/>
      <c r="AJ2096" s="215"/>
      <c r="AK2096" s="215"/>
      <c r="AL2096" s="215"/>
      <c r="AM2096" s="215"/>
      <c r="AO2096" s="10"/>
      <c r="AP2096" s="10"/>
      <c r="AQ2096" s="10"/>
      <c r="AR2096" s="10"/>
      <c r="AS2096" s="10"/>
      <c r="AU2096" s="2"/>
      <c r="AV2096" s="2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</row>
    <row r="2097" spans="1:73" customFormat="1" ht="12.75" hidden="1" customHeight="1" x14ac:dyDescent="0.2">
      <c r="A2097" s="1"/>
      <c r="B2097" s="1"/>
      <c r="C2097" s="1"/>
      <c r="D2097" s="7"/>
      <c r="E2097" s="7"/>
      <c r="F2097" s="6"/>
      <c r="G2097" s="7"/>
      <c r="H2097" s="2"/>
      <c r="I2097" s="2"/>
      <c r="J2097" s="2"/>
      <c r="K2097" s="2"/>
      <c r="L2097" s="178"/>
      <c r="M2097" s="2"/>
      <c r="N2097" s="7"/>
      <c r="P2097" s="7"/>
      <c r="R2097" s="2"/>
      <c r="S2097" s="2"/>
      <c r="T2097" s="2"/>
      <c r="U2097" s="2"/>
      <c r="V2097" s="2"/>
      <c r="X2097" s="38"/>
      <c r="Y2097" s="38"/>
      <c r="Z2097" s="38"/>
      <c r="AA2097" s="38"/>
      <c r="AB2097" s="38"/>
      <c r="AD2097" s="2"/>
      <c r="AE2097" s="2"/>
      <c r="AF2097" s="2"/>
      <c r="AG2097" s="2"/>
      <c r="AH2097" s="2"/>
      <c r="AJ2097" s="215"/>
      <c r="AK2097" s="215"/>
      <c r="AL2097" s="215"/>
      <c r="AM2097" s="215"/>
      <c r="AO2097" s="10"/>
      <c r="AP2097" s="10"/>
      <c r="AQ2097" s="10"/>
      <c r="AR2097" s="10"/>
      <c r="AS2097" s="10"/>
      <c r="AU2097" s="2"/>
      <c r="AV2097" s="2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</row>
    <row r="2098" spans="1:73" customFormat="1" ht="12.75" hidden="1" customHeight="1" x14ac:dyDescent="0.2">
      <c r="A2098" s="1"/>
      <c r="B2098" s="1"/>
      <c r="C2098" s="1"/>
      <c r="D2098" s="7"/>
      <c r="E2098" s="7"/>
      <c r="F2098" s="6"/>
      <c r="G2098" s="7"/>
      <c r="H2098" s="2"/>
      <c r="I2098" s="2"/>
      <c r="J2098" s="2"/>
      <c r="K2098" s="2"/>
      <c r="L2098" s="178"/>
      <c r="M2098" s="2"/>
      <c r="N2098" s="7"/>
      <c r="P2098" s="7"/>
      <c r="R2098" s="2"/>
      <c r="S2098" s="2"/>
      <c r="T2098" s="2"/>
      <c r="U2098" s="2"/>
      <c r="V2098" s="2"/>
      <c r="X2098" s="38"/>
      <c r="Y2098" s="38"/>
      <c r="Z2098" s="38"/>
      <c r="AA2098" s="38"/>
      <c r="AB2098" s="38"/>
      <c r="AD2098" s="2"/>
      <c r="AE2098" s="2"/>
      <c r="AF2098" s="2"/>
      <c r="AG2098" s="2"/>
      <c r="AH2098" s="2"/>
      <c r="AJ2098" s="215"/>
      <c r="AK2098" s="215"/>
      <c r="AL2098" s="215"/>
      <c r="AM2098" s="215"/>
      <c r="AO2098" s="10"/>
      <c r="AP2098" s="10"/>
      <c r="AQ2098" s="10"/>
      <c r="AR2098" s="10"/>
      <c r="AS2098" s="10"/>
      <c r="AU2098" s="2"/>
      <c r="AV2098" s="2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</row>
    <row r="2099" spans="1:73" customFormat="1" ht="12.75" hidden="1" customHeight="1" x14ac:dyDescent="0.2">
      <c r="A2099" s="1"/>
      <c r="B2099" s="1"/>
      <c r="C2099" s="1"/>
      <c r="D2099" s="7"/>
      <c r="E2099" s="7"/>
      <c r="F2099" s="6"/>
      <c r="G2099" s="7"/>
      <c r="H2099" s="2"/>
      <c r="I2099" s="2"/>
      <c r="J2099" s="2"/>
      <c r="K2099" s="2"/>
      <c r="L2099" s="178"/>
      <c r="M2099" s="2"/>
      <c r="N2099" s="7"/>
      <c r="P2099" s="7"/>
      <c r="R2099" s="2"/>
      <c r="S2099" s="2"/>
      <c r="T2099" s="2"/>
      <c r="U2099" s="2"/>
      <c r="V2099" s="2"/>
      <c r="X2099" s="38"/>
      <c r="Y2099" s="38"/>
      <c r="Z2099" s="38"/>
      <c r="AA2099" s="38"/>
      <c r="AB2099" s="38"/>
      <c r="AD2099" s="2"/>
      <c r="AE2099" s="2"/>
      <c r="AF2099" s="2"/>
      <c r="AG2099" s="2"/>
      <c r="AH2099" s="2"/>
      <c r="AJ2099" s="215"/>
      <c r="AK2099" s="215"/>
      <c r="AL2099" s="215"/>
      <c r="AM2099" s="215"/>
      <c r="AO2099" s="10"/>
      <c r="AP2099" s="10"/>
      <c r="AQ2099" s="10"/>
      <c r="AR2099" s="10"/>
      <c r="AS2099" s="10"/>
      <c r="AU2099" s="2"/>
      <c r="AV2099" s="2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</row>
    <row r="2100" spans="1:73" customFormat="1" ht="12.75" hidden="1" customHeight="1" x14ac:dyDescent="0.2">
      <c r="A2100" s="1"/>
      <c r="B2100" s="1"/>
      <c r="C2100" s="1"/>
      <c r="D2100" s="7"/>
      <c r="E2100" s="7"/>
      <c r="F2100" s="6"/>
      <c r="G2100" s="7"/>
      <c r="H2100" s="2"/>
      <c r="I2100" s="2"/>
      <c r="J2100" s="2"/>
      <c r="K2100" s="2"/>
      <c r="L2100" s="178"/>
      <c r="M2100" s="2"/>
      <c r="N2100" s="7"/>
      <c r="P2100" s="7"/>
      <c r="R2100" s="2"/>
      <c r="S2100" s="2"/>
      <c r="T2100" s="2"/>
      <c r="U2100" s="2"/>
      <c r="V2100" s="2"/>
      <c r="X2100" s="38"/>
      <c r="Y2100" s="38"/>
      <c r="Z2100" s="38"/>
      <c r="AA2100" s="38"/>
      <c r="AB2100" s="38"/>
      <c r="AD2100" s="2"/>
      <c r="AE2100" s="2"/>
      <c r="AF2100" s="2"/>
      <c r="AG2100" s="2"/>
      <c r="AH2100" s="2"/>
      <c r="AJ2100" s="215"/>
      <c r="AK2100" s="215"/>
      <c r="AL2100" s="215"/>
      <c r="AM2100" s="215"/>
      <c r="AO2100" s="10"/>
      <c r="AP2100" s="10"/>
      <c r="AQ2100" s="10"/>
      <c r="AR2100" s="10"/>
      <c r="AS2100" s="10"/>
      <c r="AU2100" s="2"/>
      <c r="AV2100" s="2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</row>
    <row r="2101" spans="1:73" customFormat="1" ht="12.75" hidden="1" customHeight="1" x14ac:dyDescent="0.2">
      <c r="A2101" s="1"/>
      <c r="B2101" s="1"/>
      <c r="C2101" s="1"/>
      <c r="D2101" s="7"/>
      <c r="E2101" s="7"/>
      <c r="F2101" s="6"/>
      <c r="G2101" s="7"/>
      <c r="H2101" s="2"/>
      <c r="I2101" s="2"/>
      <c r="J2101" s="2"/>
      <c r="K2101" s="2"/>
      <c r="L2101" s="178"/>
      <c r="M2101" s="2"/>
      <c r="N2101" s="7"/>
      <c r="P2101" s="7"/>
      <c r="R2101" s="2"/>
      <c r="S2101" s="2"/>
      <c r="T2101" s="2"/>
      <c r="U2101" s="2"/>
      <c r="V2101" s="2"/>
      <c r="X2101" s="38"/>
      <c r="Y2101" s="38"/>
      <c r="Z2101" s="38"/>
      <c r="AA2101" s="38"/>
      <c r="AB2101" s="38"/>
      <c r="AD2101" s="2"/>
      <c r="AE2101" s="2"/>
      <c r="AF2101" s="2"/>
      <c r="AG2101" s="2"/>
      <c r="AH2101" s="2"/>
      <c r="AJ2101" s="215"/>
      <c r="AK2101" s="215"/>
      <c r="AL2101" s="215"/>
      <c r="AM2101" s="215"/>
      <c r="AO2101" s="10"/>
      <c r="AP2101" s="10"/>
      <c r="AQ2101" s="10"/>
      <c r="AR2101" s="10"/>
      <c r="AS2101" s="10"/>
      <c r="AU2101" s="2"/>
      <c r="AV2101" s="2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</row>
    <row r="2102" spans="1:73" customFormat="1" ht="12.75" hidden="1" customHeight="1" x14ac:dyDescent="0.2">
      <c r="A2102" s="1"/>
      <c r="B2102" s="1"/>
      <c r="C2102" s="1"/>
      <c r="D2102" s="7"/>
      <c r="E2102" s="7"/>
      <c r="F2102" s="6"/>
      <c r="G2102" s="7"/>
      <c r="H2102" s="2"/>
      <c r="I2102" s="2"/>
      <c r="J2102" s="2"/>
      <c r="K2102" s="2"/>
      <c r="L2102" s="178"/>
      <c r="M2102" s="2"/>
      <c r="N2102" s="7"/>
      <c r="P2102" s="7"/>
      <c r="R2102" s="2"/>
      <c r="S2102" s="2"/>
      <c r="T2102" s="2"/>
      <c r="U2102" s="2"/>
      <c r="V2102" s="2"/>
      <c r="X2102" s="38"/>
      <c r="Y2102" s="38"/>
      <c r="Z2102" s="38"/>
      <c r="AA2102" s="38"/>
      <c r="AB2102" s="38"/>
      <c r="AD2102" s="2"/>
      <c r="AE2102" s="2"/>
      <c r="AF2102" s="2"/>
      <c r="AG2102" s="2"/>
      <c r="AH2102" s="2"/>
      <c r="AJ2102" s="215"/>
      <c r="AK2102" s="215"/>
      <c r="AL2102" s="215"/>
      <c r="AM2102" s="215"/>
      <c r="AO2102" s="10"/>
      <c r="AP2102" s="10"/>
      <c r="AQ2102" s="10"/>
      <c r="AR2102" s="10"/>
      <c r="AS2102" s="10"/>
      <c r="AU2102" s="2"/>
      <c r="AV2102" s="2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</row>
    <row r="2103" spans="1:73" customFormat="1" ht="12.75" hidden="1" customHeight="1" x14ac:dyDescent="0.2">
      <c r="A2103" s="1"/>
      <c r="B2103" s="1"/>
      <c r="C2103" s="1"/>
      <c r="D2103" s="7"/>
      <c r="E2103" s="7"/>
      <c r="F2103" s="6"/>
      <c r="G2103" s="7"/>
      <c r="H2103" s="2"/>
      <c r="I2103" s="2"/>
      <c r="J2103" s="2"/>
      <c r="K2103" s="2"/>
      <c r="L2103" s="178"/>
      <c r="M2103" s="2"/>
      <c r="N2103" s="7"/>
      <c r="P2103" s="7"/>
      <c r="R2103" s="2"/>
      <c r="S2103" s="2"/>
      <c r="T2103" s="2"/>
      <c r="U2103" s="2"/>
      <c r="V2103" s="2"/>
      <c r="X2103" s="38"/>
      <c r="Y2103" s="38"/>
      <c r="Z2103" s="38"/>
      <c r="AA2103" s="38"/>
      <c r="AB2103" s="38"/>
      <c r="AD2103" s="2"/>
      <c r="AE2103" s="2"/>
      <c r="AF2103" s="2"/>
      <c r="AG2103" s="2"/>
      <c r="AH2103" s="2"/>
      <c r="AJ2103" s="215"/>
      <c r="AK2103" s="215"/>
      <c r="AL2103" s="215"/>
      <c r="AM2103" s="215"/>
      <c r="AO2103" s="10"/>
      <c r="AP2103" s="10"/>
      <c r="AQ2103" s="10"/>
      <c r="AR2103" s="10"/>
      <c r="AS2103" s="10"/>
      <c r="AU2103" s="2"/>
      <c r="AV2103" s="2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</row>
    <row r="2104" spans="1:73" customFormat="1" ht="12.75" hidden="1" customHeight="1" x14ac:dyDescent="0.2">
      <c r="A2104" s="1"/>
      <c r="B2104" s="1"/>
      <c r="C2104" s="1"/>
      <c r="D2104" s="7"/>
      <c r="E2104" s="7"/>
      <c r="F2104" s="6"/>
      <c r="G2104" s="7"/>
      <c r="H2104" s="2"/>
      <c r="I2104" s="2"/>
      <c r="J2104" s="2"/>
      <c r="K2104" s="2"/>
      <c r="L2104" s="178"/>
      <c r="M2104" s="2"/>
      <c r="N2104" s="7"/>
      <c r="P2104" s="7"/>
      <c r="R2104" s="2"/>
      <c r="S2104" s="2"/>
      <c r="T2104" s="2"/>
      <c r="U2104" s="2"/>
      <c r="V2104" s="2"/>
      <c r="X2104" s="38"/>
      <c r="Y2104" s="38"/>
      <c r="Z2104" s="38"/>
      <c r="AA2104" s="38"/>
      <c r="AB2104" s="38"/>
      <c r="AD2104" s="2"/>
      <c r="AE2104" s="2"/>
      <c r="AF2104" s="2"/>
      <c r="AG2104" s="2"/>
      <c r="AH2104" s="2"/>
      <c r="AJ2104" s="215"/>
      <c r="AK2104" s="215"/>
      <c r="AL2104" s="215"/>
      <c r="AM2104" s="215"/>
      <c r="AO2104" s="10"/>
      <c r="AP2104" s="10"/>
      <c r="AQ2104" s="10"/>
      <c r="AR2104" s="10"/>
      <c r="AS2104" s="10"/>
      <c r="AU2104" s="2"/>
      <c r="AV2104" s="2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</row>
    <row r="2105" spans="1:73" customFormat="1" ht="12.75" hidden="1" customHeight="1" x14ac:dyDescent="0.2">
      <c r="A2105" s="1"/>
      <c r="B2105" s="1"/>
      <c r="C2105" s="1"/>
      <c r="D2105" s="7"/>
      <c r="E2105" s="7"/>
      <c r="F2105" s="6"/>
      <c r="G2105" s="7"/>
      <c r="H2105" s="2"/>
      <c r="I2105" s="2"/>
      <c r="J2105" s="2"/>
      <c r="K2105" s="2"/>
      <c r="L2105" s="178"/>
      <c r="M2105" s="2"/>
      <c r="N2105" s="7"/>
      <c r="P2105" s="7"/>
      <c r="R2105" s="2"/>
      <c r="S2105" s="2"/>
      <c r="T2105" s="2"/>
      <c r="U2105" s="2"/>
      <c r="V2105" s="2"/>
      <c r="X2105" s="38"/>
      <c r="Y2105" s="38"/>
      <c r="Z2105" s="38"/>
      <c r="AA2105" s="38"/>
      <c r="AB2105" s="38"/>
      <c r="AD2105" s="2"/>
      <c r="AE2105" s="2"/>
      <c r="AF2105" s="2"/>
      <c r="AG2105" s="2"/>
      <c r="AH2105" s="2"/>
      <c r="AJ2105" s="215"/>
      <c r="AK2105" s="215"/>
      <c r="AL2105" s="215"/>
      <c r="AM2105" s="215"/>
      <c r="AO2105" s="10"/>
      <c r="AP2105" s="10"/>
      <c r="AQ2105" s="10"/>
      <c r="AR2105" s="10"/>
      <c r="AS2105" s="10"/>
      <c r="AU2105" s="2"/>
      <c r="AV2105" s="2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</row>
    <row r="2106" spans="1:73" customFormat="1" ht="12.75" hidden="1" customHeight="1" x14ac:dyDescent="0.2">
      <c r="A2106" s="1"/>
      <c r="B2106" s="1"/>
      <c r="C2106" s="1"/>
      <c r="D2106" s="7"/>
      <c r="E2106" s="7"/>
      <c r="F2106" s="6"/>
      <c r="G2106" s="7"/>
      <c r="H2106" s="2"/>
      <c r="I2106" s="2"/>
      <c r="J2106" s="2"/>
      <c r="K2106" s="2"/>
      <c r="L2106" s="178"/>
      <c r="M2106" s="2"/>
      <c r="N2106" s="7"/>
      <c r="P2106" s="7"/>
      <c r="R2106" s="2"/>
      <c r="S2106" s="2"/>
      <c r="T2106" s="2"/>
      <c r="U2106" s="2"/>
      <c r="V2106" s="2"/>
      <c r="X2106" s="38"/>
      <c r="Y2106" s="38"/>
      <c r="Z2106" s="38"/>
      <c r="AA2106" s="38"/>
      <c r="AB2106" s="38"/>
      <c r="AD2106" s="2"/>
      <c r="AE2106" s="2"/>
      <c r="AF2106" s="2"/>
      <c r="AG2106" s="2"/>
      <c r="AH2106" s="2"/>
      <c r="AJ2106" s="215"/>
      <c r="AK2106" s="215"/>
      <c r="AL2106" s="215"/>
      <c r="AM2106" s="215"/>
      <c r="AO2106" s="10"/>
      <c r="AP2106" s="10"/>
      <c r="AQ2106" s="10"/>
      <c r="AR2106" s="10"/>
      <c r="AS2106" s="10"/>
      <c r="AU2106" s="2"/>
      <c r="AV2106" s="2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</row>
    <row r="2107" spans="1:73" customFormat="1" ht="12.75" hidden="1" customHeight="1" x14ac:dyDescent="0.2">
      <c r="A2107" s="1"/>
      <c r="B2107" s="1"/>
      <c r="C2107" s="1"/>
      <c r="D2107" s="7"/>
      <c r="E2107" s="7"/>
      <c r="F2107" s="6"/>
      <c r="G2107" s="7"/>
      <c r="H2107" s="2"/>
      <c r="I2107" s="2"/>
      <c r="J2107" s="2"/>
      <c r="K2107" s="2"/>
      <c r="L2107" s="178"/>
      <c r="M2107" s="2"/>
      <c r="N2107" s="7"/>
      <c r="P2107" s="7"/>
      <c r="R2107" s="2"/>
      <c r="S2107" s="2"/>
      <c r="T2107" s="2"/>
      <c r="U2107" s="2"/>
      <c r="V2107" s="2"/>
      <c r="X2107" s="38"/>
      <c r="Y2107" s="38"/>
      <c r="Z2107" s="38"/>
      <c r="AA2107" s="38"/>
      <c r="AB2107" s="38"/>
      <c r="AD2107" s="2"/>
      <c r="AE2107" s="2"/>
      <c r="AF2107" s="2"/>
      <c r="AG2107" s="2"/>
      <c r="AH2107" s="2"/>
      <c r="AJ2107" s="215"/>
      <c r="AK2107" s="215"/>
      <c r="AL2107" s="215"/>
      <c r="AM2107" s="215"/>
      <c r="AO2107" s="10"/>
      <c r="AP2107" s="10"/>
      <c r="AQ2107" s="10"/>
      <c r="AR2107" s="10"/>
      <c r="AS2107" s="10"/>
      <c r="AU2107" s="2"/>
      <c r="AV2107" s="2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</row>
    <row r="2108" spans="1:73" customFormat="1" ht="12.75" hidden="1" customHeight="1" x14ac:dyDescent="0.2">
      <c r="A2108" s="1"/>
      <c r="B2108" s="1"/>
      <c r="C2108" s="1"/>
      <c r="D2108" s="7"/>
      <c r="E2108" s="7"/>
      <c r="F2108" s="6"/>
      <c r="G2108" s="7"/>
      <c r="H2108" s="2"/>
      <c r="I2108" s="2"/>
      <c r="J2108" s="2"/>
      <c r="K2108" s="2"/>
      <c r="L2108" s="178"/>
      <c r="M2108" s="2"/>
      <c r="N2108" s="7"/>
      <c r="P2108" s="7"/>
      <c r="R2108" s="2"/>
      <c r="S2108" s="2"/>
      <c r="T2108" s="2"/>
      <c r="U2108" s="2"/>
      <c r="V2108" s="2"/>
      <c r="X2108" s="38"/>
      <c r="Y2108" s="38"/>
      <c r="Z2108" s="38"/>
      <c r="AA2108" s="38"/>
      <c r="AB2108" s="38"/>
      <c r="AD2108" s="2"/>
      <c r="AE2108" s="2"/>
      <c r="AF2108" s="2"/>
      <c r="AG2108" s="2"/>
      <c r="AH2108" s="2"/>
      <c r="AJ2108" s="215"/>
      <c r="AK2108" s="215"/>
      <c r="AL2108" s="215"/>
      <c r="AM2108" s="215"/>
      <c r="AO2108" s="10"/>
      <c r="AP2108" s="10"/>
      <c r="AQ2108" s="10"/>
      <c r="AR2108" s="10"/>
      <c r="AS2108" s="10"/>
      <c r="AU2108" s="2"/>
      <c r="AV2108" s="2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</row>
    <row r="2109" spans="1:73" customFormat="1" ht="12.75" hidden="1" customHeight="1" x14ac:dyDescent="0.2">
      <c r="A2109" s="1"/>
      <c r="B2109" s="1"/>
      <c r="C2109" s="1"/>
      <c r="D2109" s="7"/>
      <c r="E2109" s="7"/>
      <c r="F2109" s="6"/>
      <c r="G2109" s="7"/>
      <c r="H2109" s="2"/>
      <c r="I2109" s="2"/>
      <c r="J2109" s="2"/>
      <c r="K2109" s="2"/>
      <c r="L2109" s="178"/>
      <c r="M2109" s="2"/>
      <c r="N2109" s="7"/>
      <c r="P2109" s="7"/>
      <c r="R2109" s="2"/>
      <c r="S2109" s="2"/>
      <c r="T2109" s="2"/>
      <c r="U2109" s="2"/>
      <c r="V2109" s="2"/>
      <c r="X2109" s="38"/>
      <c r="Y2109" s="38"/>
      <c r="Z2109" s="38"/>
      <c r="AA2109" s="38"/>
      <c r="AB2109" s="38"/>
      <c r="AD2109" s="2"/>
      <c r="AE2109" s="2"/>
      <c r="AF2109" s="2"/>
      <c r="AG2109" s="2"/>
      <c r="AH2109" s="2"/>
      <c r="AJ2109" s="215"/>
      <c r="AK2109" s="215"/>
      <c r="AL2109" s="215"/>
      <c r="AM2109" s="215"/>
      <c r="AO2109" s="10"/>
      <c r="AP2109" s="10"/>
      <c r="AQ2109" s="10"/>
      <c r="AR2109" s="10"/>
      <c r="AS2109" s="10"/>
      <c r="AU2109" s="2"/>
      <c r="AV2109" s="2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</row>
    <row r="2110" spans="1:73" customFormat="1" ht="12.75" hidden="1" customHeight="1" x14ac:dyDescent="0.2">
      <c r="A2110" s="1"/>
      <c r="B2110" s="1"/>
      <c r="C2110" s="1"/>
      <c r="D2110" s="7"/>
      <c r="E2110" s="7"/>
      <c r="F2110" s="6"/>
      <c r="G2110" s="7"/>
      <c r="H2110" s="2"/>
      <c r="I2110" s="2"/>
      <c r="J2110" s="2"/>
      <c r="K2110" s="2"/>
      <c r="L2110" s="178"/>
      <c r="M2110" s="2"/>
      <c r="N2110" s="7"/>
      <c r="P2110" s="7"/>
      <c r="R2110" s="2"/>
      <c r="S2110" s="2"/>
      <c r="T2110" s="2"/>
      <c r="U2110" s="2"/>
      <c r="V2110" s="2"/>
      <c r="X2110" s="38"/>
      <c r="Y2110" s="38"/>
      <c r="Z2110" s="38"/>
      <c r="AA2110" s="38"/>
      <c r="AB2110" s="38"/>
      <c r="AD2110" s="2"/>
      <c r="AE2110" s="2"/>
      <c r="AF2110" s="2"/>
      <c r="AG2110" s="2"/>
      <c r="AH2110" s="2"/>
      <c r="AJ2110" s="215"/>
      <c r="AK2110" s="215"/>
      <c r="AL2110" s="215"/>
      <c r="AM2110" s="215"/>
      <c r="AO2110" s="10"/>
      <c r="AP2110" s="10"/>
      <c r="AQ2110" s="10"/>
      <c r="AR2110" s="10"/>
      <c r="AS2110" s="10"/>
      <c r="AU2110" s="2"/>
      <c r="AV2110" s="2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</row>
    <row r="2111" spans="1:73" customFormat="1" ht="12.75" hidden="1" customHeight="1" x14ac:dyDescent="0.2">
      <c r="A2111" s="1"/>
      <c r="B2111" s="1"/>
      <c r="C2111" s="1"/>
      <c r="D2111" s="7"/>
      <c r="E2111" s="7"/>
      <c r="F2111" s="6"/>
      <c r="G2111" s="7"/>
      <c r="H2111" s="2"/>
      <c r="I2111" s="2"/>
      <c r="J2111" s="2"/>
      <c r="K2111" s="2"/>
      <c r="L2111" s="178"/>
      <c r="M2111" s="2"/>
      <c r="N2111" s="7"/>
      <c r="P2111" s="7"/>
      <c r="R2111" s="2"/>
      <c r="S2111" s="2"/>
      <c r="T2111" s="2"/>
      <c r="U2111" s="2"/>
      <c r="V2111" s="2"/>
      <c r="X2111" s="38"/>
      <c r="Y2111" s="38"/>
      <c r="Z2111" s="38"/>
      <c r="AA2111" s="38"/>
      <c r="AB2111" s="38"/>
      <c r="AD2111" s="2"/>
      <c r="AE2111" s="2"/>
      <c r="AF2111" s="2"/>
      <c r="AG2111" s="2"/>
      <c r="AH2111" s="2"/>
      <c r="AJ2111" s="215"/>
      <c r="AK2111" s="215"/>
      <c r="AL2111" s="215"/>
      <c r="AM2111" s="215"/>
      <c r="AO2111" s="10"/>
      <c r="AP2111" s="10"/>
      <c r="AQ2111" s="10"/>
      <c r="AR2111" s="10"/>
      <c r="AS2111" s="10"/>
      <c r="AU2111" s="2"/>
      <c r="AV2111" s="2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</row>
    <row r="2112" spans="1:73" customFormat="1" ht="12.75" hidden="1" customHeight="1" x14ac:dyDescent="0.2">
      <c r="A2112" s="1"/>
      <c r="B2112" s="1"/>
      <c r="C2112" s="1"/>
      <c r="D2112" s="7"/>
      <c r="E2112" s="7"/>
      <c r="F2112" s="6"/>
      <c r="G2112" s="7"/>
      <c r="H2112" s="2"/>
      <c r="I2112" s="2"/>
      <c r="J2112" s="2"/>
      <c r="K2112" s="2"/>
      <c r="L2112" s="178"/>
      <c r="M2112" s="2"/>
      <c r="N2112" s="7"/>
      <c r="P2112" s="7"/>
      <c r="R2112" s="2"/>
      <c r="S2112" s="2"/>
      <c r="T2112" s="2"/>
      <c r="U2112" s="2"/>
      <c r="V2112" s="2"/>
      <c r="X2112" s="38"/>
      <c r="Y2112" s="38"/>
      <c r="Z2112" s="38"/>
      <c r="AA2112" s="38"/>
      <c r="AB2112" s="38"/>
      <c r="AD2112" s="2"/>
      <c r="AE2112" s="2"/>
      <c r="AF2112" s="2"/>
      <c r="AG2112" s="2"/>
      <c r="AH2112" s="2"/>
      <c r="AJ2112" s="215"/>
      <c r="AK2112" s="215"/>
      <c r="AL2112" s="215"/>
      <c r="AM2112" s="215"/>
      <c r="AO2112" s="10"/>
      <c r="AP2112" s="10"/>
      <c r="AQ2112" s="10"/>
      <c r="AR2112" s="10"/>
      <c r="AS2112" s="10"/>
      <c r="AU2112" s="2"/>
      <c r="AV2112" s="2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</row>
    <row r="2113" spans="1:73" customFormat="1" ht="12.75" hidden="1" customHeight="1" x14ac:dyDescent="0.2">
      <c r="A2113" s="1"/>
      <c r="B2113" s="1"/>
      <c r="C2113" s="1"/>
      <c r="D2113" s="7"/>
      <c r="E2113" s="7"/>
      <c r="F2113" s="6"/>
      <c r="G2113" s="7"/>
      <c r="H2113" s="2"/>
      <c r="I2113" s="2"/>
      <c r="J2113" s="2"/>
      <c r="K2113" s="2"/>
      <c r="L2113" s="178"/>
      <c r="M2113" s="2"/>
      <c r="N2113" s="7"/>
      <c r="P2113" s="7"/>
      <c r="R2113" s="2"/>
      <c r="S2113" s="2"/>
      <c r="T2113" s="2"/>
      <c r="U2113" s="2"/>
      <c r="V2113" s="2"/>
      <c r="X2113" s="38"/>
      <c r="Y2113" s="38"/>
      <c r="Z2113" s="38"/>
      <c r="AA2113" s="38"/>
      <c r="AB2113" s="38"/>
      <c r="AD2113" s="2"/>
      <c r="AE2113" s="2"/>
      <c r="AF2113" s="2"/>
      <c r="AG2113" s="2"/>
      <c r="AH2113" s="2"/>
      <c r="AJ2113" s="215"/>
      <c r="AK2113" s="215"/>
      <c r="AL2113" s="215"/>
      <c r="AM2113" s="215"/>
      <c r="AO2113" s="10"/>
      <c r="AP2113" s="10"/>
      <c r="AQ2113" s="10"/>
      <c r="AR2113" s="10"/>
      <c r="AS2113" s="10"/>
      <c r="AU2113" s="2"/>
      <c r="AV2113" s="2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</row>
    <row r="2114" spans="1:73" customFormat="1" ht="12.75" hidden="1" customHeight="1" x14ac:dyDescent="0.2">
      <c r="A2114" s="1"/>
      <c r="B2114" s="1"/>
      <c r="C2114" s="1"/>
      <c r="D2114" s="7"/>
      <c r="E2114" s="7"/>
      <c r="F2114" s="6"/>
      <c r="G2114" s="7"/>
      <c r="H2114" s="2"/>
      <c r="I2114" s="2"/>
      <c r="J2114" s="2"/>
      <c r="K2114" s="2"/>
      <c r="L2114" s="178"/>
      <c r="M2114" s="2"/>
      <c r="N2114" s="7"/>
      <c r="P2114" s="7"/>
      <c r="R2114" s="2"/>
      <c r="S2114" s="2"/>
      <c r="T2114" s="2"/>
      <c r="U2114" s="2"/>
      <c r="V2114" s="2"/>
      <c r="X2114" s="38"/>
      <c r="Y2114" s="38"/>
      <c r="Z2114" s="38"/>
      <c r="AA2114" s="38"/>
      <c r="AB2114" s="38"/>
      <c r="AD2114" s="2"/>
      <c r="AE2114" s="2"/>
      <c r="AF2114" s="2"/>
      <c r="AG2114" s="2"/>
      <c r="AH2114" s="2"/>
      <c r="AJ2114" s="215"/>
      <c r="AK2114" s="215"/>
      <c r="AL2114" s="215"/>
      <c r="AM2114" s="215"/>
      <c r="AO2114" s="10"/>
      <c r="AP2114" s="10"/>
      <c r="AQ2114" s="10"/>
      <c r="AR2114" s="10"/>
      <c r="AS2114" s="10"/>
      <c r="AU2114" s="2"/>
      <c r="AV2114" s="2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</row>
    <row r="2115" spans="1:73" customFormat="1" ht="12.75" hidden="1" customHeight="1" x14ac:dyDescent="0.2">
      <c r="A2115" s="1"/>
      <c r="B2115" s="1"/>
      <c r="C2115" s="1"/>
      <c r="D2115" s="7"/>
      <c r="E2115" s="7"/>
      <c r="F2115" s="6"/>
      <c r="G2115" s="7"/>
      <c r="H2115" s="2"/>
      <c r="I2115" s="2"/>
      <c r="J2115" s="2"/>
      <c r="K2115" s="2"/>
      <c r="L2115" s="178"/>
      <c r="M2115" s="2"/>
      <c r="N2115" s="7"/>
      <c r="P2115" s="7"/>
      <c r="R2115" s="2"/>
      <c r="S2115" s="2"/>
      <c r="T2115" s="2"/>
      <c r="U2115" s="2"/>
      <c r="V2115" s="2"/>
      <c r="X2115" s="38"/>
      <c r="Y2115" s="38"/>
      <c r="Z2115" s="38"/>
      <c r="AA2115" s="38"/>
      <c r="AB2115" s="38"/>
      <c r="AD2115" s="2"/>
      <c r="AE2115" s="2"/>
      <c r="AF2115" s="2"/>
      <c r="AG2115" s="2"/>
      <c r="AH2115" s="2"/>
      <c r="AJ2115" s="215"/>
      <c r="AK2115" s="215"/>
      <c r="AL2115" s="215"/>
      <c r="AM2115" s="215"/>
      <c r="AO2115" s="10"/>
      <c r="AP2115" s="10"/>
      <c r="AQ2115" s="10"/>
      <c r="AR2115" s="10"/>
      <c r="AS2115" s="10"/>
      <c r="AU2115" s="2"/>
      <c r="AV2115" s="2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</row>
    <row r="2116" spans="1:73" customFormat="1" ht="12.75" hidden="1" customHeight="1" x14ac:dyDescent="0.2">
      <c r="A2116" s="1"/>
      <c r="B2116" s="1"/>
      <c r="C2116" s="1"/>
      <c r="D2116" s="7"/>
      <c r="E2116" s="7"/>
      <c r="F2116" s="6"/>
      <c r="G2116" s="7"/>
      <c r="H2116" s="2"/>
      <c r="I2116" s="2"/>
      <c r="J2116" s="2"/>
      <c r="K2116" s="2"/>
      <c r="L2116" s="178"/>
      <c r="M2116" s="2"/>
      <c r="N2116" s="7"/>
      <c r="P2116" s="7"/>
      <c r="R2116" s="2"/>
      <c r="S2116" s="2"/>
      <c r="T2116" s="2"/>
      <c r="U2116" s="2"/>
      <c r="V2116" s="2"/>
      <c r="X2116" s="38"/>
      <c r="Y2116" s="38"/>
      <c r="Z2116" s="38"/>
      <c r="AA2116" s="38"/>
      <c r="AB2116" s="38"/>
      <c r="AD2116" s="2"/>
      <c r="AE2116" s="2"/>
      <c r="AF2116" s="2"/>
      <c r="AG2116" s="2"/>
      <c r="AH2116" s="2"/>
      <c r="AJ2116" s="215"/>
      <c r="AK2116" s="215"/>
      <c r="AL2116" s="215"/>
      <c r="AM2116" s="215"/>
      <c r="AO2116" s="10"/>
      <c r="AP2116" s="10"/>
      <c r="AQ2116" s="10"/>
      <c r="AR2116" s="10"/>
      <c r="AS2116" s="10"/>
      <c r="AU2116" s="2"/>
      <c r="AV2116" s="2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</row>
    <row r="2117" spans="1:73" customFormat="1" ht="12.75" hidden="1" customHeight="1" x14ac:dyDescent="0.2">
      <c r="A2117" s="1"/>
      <c r="B2117" s="1"/>
      <c r="C2117" s="1"/>
      <c r="D2117" s="7"/>
      <c r="E2117" s="7"/>
      <c r="F2117" s="6"/>
      <c r="G2117" s="7"/>
      <c r="H2117" s="2"/>
      <c r="I2117" s="2"/>
      <c r="J2117" s="2"/>
      <c r="K2117" s="2"/>
      <c r="L2117" s="178"/>
      <c r="M2117" s="2"/>
      <c r="N2117" s="7"/>
      <c r="P2117" s="7"/>
      <c r="R2117" s="2"/>
      <c r="S2117" s="2"/>
      <c r="T2117" s="2"/>
      <c r="U2117" s="2"/>
      <c r="V2117" s="2"/>
      <c r="X2117" s="38"/>
      <c r="Y2117" s="38"/>
      <c r="Z2117" s="38"/>
      <c r="AA2117" s="38"/>
      <c r="AB2117" s="38"/>
      <c r="AD2117" s="2"/>
      <c r="AE2117" s="2"/>
      <c r="AF2117" s="2"/>
      <c r="AG2117" s="2"/>
      <c r="AH2117" s="2"/>
      <c r="AJ2117" s="215"/>
      <c r="AK2117" s="215"/>
      <c r="AL2117" s="215"/>
      <c r="AM2117" s="215"/>
      <c r="AO2117" s="10"/>
      <c r="AP2117" s="10"/>
      <c r="AQ2117" s="10"/>
      <c r="AR2117" s="10"/>
      <c r="AS2117" s="10"/>
      <c r="AU2117" s="2"/>
      <c r="AV2117" s="2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</row>
    <row r="2118" spans="1:73" customFormat="1" ht="12.75" hidden="1" customHeight="1" x14ac:dyDescent="0.2">
      <c r="A2118" s="1"/>
      <c r="B2118" s="1"/>
      <c r="C2118" s="1"/>
      <c r="D2118" s="7"/>
      <c r="E2118" s="7"/>
      <c r="F2118" s="6"/>
      <c r="G2118" s="7"/>
      <c r="H2118" s="2"/>
      <c r="I2118" s="2"/>
      <c r="J2118" s="2"/>
      <c r="K2118" s="2"/>
      <c r="L2118" s="178"/>
      <c r="M2118" s="2"/>
      <c r="N2118" s="7"/>
      <c r="P2118" s="7"/>
      <c r="R2118" s="2"/>
      <c r="S2118" s="2"/>
      <c r="T2118" s="2"/>
      <c r="U2118" s="2"/>
      <c r="V2118" s="2"/>
      <c r="X2118" s="38"/>
      <c r="Y2118" s="38"/>
      <c r="Z2118" s="38"/>
      <c r="AA2118" s="38"/>
      <c r="AB2118" s="38"/>
      <c r="AD2118" s="2"/>
      <c r="AE2118" s="2"/>
      <c r="AF2118" s="2"/>
      <c r="AG2118" s="2"/>
      <c r="AH2118" s="2"/>
      <c r="AJ2118" s="215"/>
      <c r="AK2118" s="215"/>
      <c r="AL2118" s="215"/>
      <c r="AM2118" s="215"/>
      <c r="AO2118" s="10"/>
      <c r="AP2118" s="10"/>
      <c r="AQ2118" s="10"/>
      <c r="AR2118" s="10"/>
      <c r="AS2118" s="10"/>
      <c r="AU2118" s="2"/>
      <c r="AV2118" s="2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</row>
    <row r="2119" spans="1:73" customFormat="1" ht="12.75" hidden="1" customHeight="1" x14ac:dyDescent="0.2">
      <c r="A2119" s="1"/>
      <c r="B2119" s="1"/>
      <c r="C2119" s="1"/>
      <c r="D2119" s="7"/>
      <c r="E2119" s="7"/>
      <c r="F2119" s="6"/>
      <c r="G2119" s="7"/>
      <c r="H2119" s="2"/>
      <c r="I2119" s="2"/>
      <c r="J2119" s="2"/>
      <c r="K2119" s="2"/>
      <c r="L2119" s="178"/>
      <c r="M2119" s="2"/>
      <c r="N2119" s="7"/>
      <c r="P2119" s="7"/>
      <c r="R2119" s="2"/>
      <c r="S2119" s="2"/>
      <c r="T2119" s="2"/>
      <c r="U2119" s="2"/>
      <c r="V2119" s="2"/>
      <c r="X2119" s="38"/>
      <c r="Y2119" s="38"/>
      <c r="Z2119" s="38"/>
      <c r="AA2119" s="38"/>
      <c r="AB2119" s="38"/>
      <c r="AD2119" s="2"/>
      <c r="AE2119" s="2"/>
      <c r="AF2119" s="2"/>
      <c r="AG2119" s="2"/>
      <c r="AH2119" s="2"/>
      <c r="AJ2119" s="215"/>
      <c r="AK2119" s="215"/>
      <c r="AL2119" s="215"/>
      <c r="AM2119" s="215"/>
      <c r="AO2119" s="10"/>
      <c r="AP2119" s="10"/>
      <c r="AQ2119" s="10"/>
      <c r="AR2119" s="10"/>
      <c r="AS2119" s="10"/>
      <c r="AU2119" s="2"/>
      <c r="AV2119" s="2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</row>
    <row r="2120" spans="1:73" customFormat="1" ht="12.75" hidden="1" customHeight="1" x14ac:dyDescent="0.2">
      <c r="A2120" s="1"/>
      <c r="B2120" s="1"/>
      <c r="C2120" s="1"/>
      <c r="D2120" s="7"/>
      <c r="E2120" s="7"/>
      <c r="F2120" s="6"/>
      <c r="G2120" s="7"/>
      <c r="H2120" s="2"/>
      <c r="I2120" s="2"/>
      <c r="J2120" s="2"/>
      <c r="K2120" s="2"/>
      <c r="L2120" s="178"/>
      <c r="M2120" s="2"/>
      <c r="N2120" s="7"/>
      <c r="P2120" s="7"/>
      <c r="R2120" s="2"/>
      <c r="S2120" s="2"/>
      <c r="T2120" s="2"/>
      <c r="U2120" s="2"/>
      <c r="V2120" s="2"/>
      <c r="X2120" s="38"/>
      <c r="Y2120" s="38"/>
      <c r="Z2120" s="38"/>
      <c r="AA2120" s="38"/>
      <c r="AB2120" s="38"/>
      <c r="AD2120" s="2"/>
      <c r="AE2120" s="2"/>
      <c r="AF2120" s="2"/>
      <c r="AG2120" s="2"/>
      <c r="AH2120" s="2"/>
      <c r="AJ2120" s="215"/>
      <c r="AK2120" s="215"/>
      <c r="AL2120" s="215"/>
      <c r="AM2120" s="215"/>
      <c r="AO2120" s="10"/>
      <c r="AP2120" s="10"/>
      <c r="AQ2120" s="10"/>
      <c r="AR2120" s="10"/>
      <c r="AS2120" s="10"/>
      <c r="AU2120" s="2"/>
      <c r="AV2120" s="2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</row>
    <row r="2121" spans="1:73" customFormat="1" ht="12.75" hidden="1" customHeight="1" x14ac:dyDescent="0.2">
      <c r="A2121" s="1"/>
      <c r="B2121" s="1"/>
      <c r="C2121" s="1"/>
      <c r="D2121" s="7"/>
      <c r="E2121" s="7"/>
      <c r="F2121" s="6"/>
      <c r="G2121" s="7"/>
      <c r="H2121" s="2"/>
      <c r="I2121" s="2"/>
      <c r="J2121" s="2"/>
      <c r="K2121" s="2"/>
      <c r="L2121" s="178"/>
      <c r="M2121" s="2"/>
      <c r="N2121" s="7"/>
      <c r="P2121" s="7"/>
      <c r="R2121" s="2"/>
      <c r="S2121" s="2"/>
      <c r="T2121" s="2"/>
      <c r="U2121" s="2"/>
      <c r="V2121" s="2"/>
      <c r="X2121" s="38"/>
      <c r="Y2121" s="38"/>
      <c r="Z2121" s="38"/>
      <c r="AA2121" s="38"/>
      <c r="AB2121" s="38"/>
      <c r="AD2121" s="2"/>
      <c r="AE2121" s="2"/>
      <c r="AF2121" s="2"/>
      <c r="AG2121" s="2"/>
      <c r="AH2121" s="2"/>
      <c r="AJ2121" s="215"/>
      <c r="AK2121" s="215"/>
      <c r="AL2121" s="215"/>
      <c r="AM2121" s="215"/>
      <c r="AO2121" s="10"/>
      <c r="AP2121" s="10"/>
      <c r="AQ2121" s="10"/>
      <c r="AR2121" s="10"/>
      <c r="AS2121" s="10"/>
      <c r="AU2121" s="2"/>
      <c r="AV2121" s="2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</row>
    <row r="2122" spans="1:73" customFormat="1" ht="12.75" hidden="1" customHeight="1" x14ac:dyDescent="0.2">
      <c r="A2122" s="1"/>
      <c r="B2122" s="1"/>
      <c r="C2122" s="1"/>
      <c r="D2122" s="7"/>
      <c r="E2122" s="7"/>
      <c r="F2122" s="6"/>
      <c r="G2122" s="7"/>
      <c r="H2122" s="2"/>
      <c r="I2122" s="2"/>
      <c r="J2122" s="2"/>
      <c r="K2122" s="2"/>
      <c r="L2122" s="178"/>
      <c r="M2122" s="2"/>
      <c r="N2122" s="7"/>
      <c r="P2122" s="7"/>
      <c r="R2122" s="2"/>
      <c r="S2122" s="2"/>
      <c r="T2122" s="2"/>
      <c r="U2122" s="2"/>
      <c r="V2122" s="2"/>
      <c r="X2122" s="38"/>
      <c r="Y2122" s="38"/>
      <c r="Z2122" s="38"/>
      <c r="AA2122" s="38"/>
      <c r="AB2122" s="38"/>
      <c r="AD2122" s="2"/>
      <c r="AE2122" s="2"/>
      <c r="AF2122" s="2"/>
      <c r="AG2122" s="2"/>
      <c r="AH2122" s="2"/>
      <c r="AJ2122" s="215"/>
      <c r="AK2122" s="215"/>
      <c r="AL2122" s="215"/>
      <c r="AM2122" s="215"/>
      <c r="AO2122" s="10"/>
      <c r="AP2122" s="10"/>
      <c r="AQ2122" s="10"/>
      <c r="AR2122" s="10"/>
      <c r="AS2122" s="10"/>
      <c r="AU2122" s="2"/>
      <c r="AV2122" s="2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</row>
    <row r="2123" spans="1:73" customFormat="1" ht="12.75" hidden="1" customHeight="1" x14ac:dyDescent="0.2">
      <c r="A2123" s="1"/>
      <c r="B2123" s="1"/>
      <c r="C2123" s="1"/>
      <c r="D2123" s="7"/>
      <c r="E2123" s="7"/>
      <c r="F2123" s="6"/>
      <c r="G2123" s="7"/>
      <c r="H2123" s="2"/>
      <c r="I2123" s="2"/>
      <c r="J2123" s="2"/>
      <c r="K2123" s="2"/>
      <c r="L2123" s="178"/>
      <c r="M2123" s="2"/>
      <c r="N2123" s="7"/>
      <c r="P2123" s="7"/>
      <c r="R2123" s="2"/>
      <c r="S2123" s="2"/>
      <c r="T2123" s="2"/>
      <c r="U2123" s="2"/>
      <c r="V2123" s="2"/>
      <c r="X2123" s="38"/>
      <c r="Y2123" s="38"/>
      <c r="Z2123" s="38"/>
      <c r="AA2123" s="38"/>
      <c r="AB2123" s="38"/>
      <c r="AD2123" s="2"/>
      <c r="AE2123" s="2"/>
      <c r="AF2123" s="2"/>
      <c r="AG2123" s="2"/>
      <c r="AH2123" s="2"/>
      <c r="AJ2123" s="215"/>
      <c r="AK2123" s="215"/>
      <c r="AL2123" s="215"/>
      <c r="AM2123" s="215"/>
      <c r="AO2123" s="10"/>
      <c r="AP2123" s="10"/>
      <c r="AQ2123" s="10"/>
      <c r="AR2123" s="10"/>
      <c r="AS2123" s="10"/>
      <c r="AU2123" s="2"/>
      <c r="AV2123" s="2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</row>
    <row r="2124" spans="1:73" customFormat="1" ht="12.75" hidden="1" customHeight="1" x14ac:dyDescent="0.2">
      <c r="A2124" s="1"/>
      <c r="B2124" s="1"/>
      <c r="C2124" s="1"/>
      <c r="D2124" s="7"/>
      <c r="E2124" s="7"/>
      <c r="F2124" s="6"/>
      <c r="G2124" s="7"/>
      <c r="H2124" s="2"/>
      <c r="I2124" s="2"/>
      <c r="J2124" s="2"/>
      <c r="K2124" s="2"/>
      <c r="L2124" s="178"/>
      <c r="M2124" s="2"/>
      <c r="N2124" s="7"/>
      <c r="P2124" s="7"/>
      <c r="R2124" s="2"/>
      <c r="S2124" s="2"/>
      <c r="T2124" s="2"/>
      <c r="U2124" s="2"/>
      <c r="V2124" s="2"/>
      <c r="X2124" s="38"/>
      <c r="Y2124" s="38"/>
      <c r="Z2124" s="38"/>
      <c r="AA2124" s="38"/>
      <c r="AB2124" s="38"/>
      <c r="AD2124" s="2"/>
      <c r="AE2124" s="2"/>
      <c r="AF2124" s="2"/>
      <c r="AG2124" s="2"/>
      <c r="AH2124" s="2"/>
      <c r="AJ2124" s="215"/>
      <c r="AK2124" s="215"/>
      <c r="AL2124" s="215"/>
      <c r="AM2124" s="215"/>
      <c r="AO2124" s="10"/>
      <c r="AP2124" s="10"/>
      <c r="AQ2124" s="10"/>
      <c r="AR2124" s="10"/>
      <c r="AS2124" s="10"/>
      <c r="AU2124" s="2"/>
      <c r="AV2124" s="2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</row>
    <row r="2125" spans="1:73" customFormat="1" ht="12.75" hidden="1" customHeight="1" x14ac:dyDescent="0.2">
      <c r="A2125" s="1"/>
      <c r="B2125" s="1"/>
      <c r="C2125" s="1"/>
      <c r="D2125" s="7"/>
      <c r="E2125" s="7"/>
      <c r="F2125" s="6"/>
      <c r="G2125" s="7"/>
      <c r="H2125" s="2"/>
      <c r="I2125" s="2"/>
      <c r="J2125" s="2"/>
      <c r="K2125" s="2"/>
      <c r="L2125" s="178"/>
      <c r="M2125" s="2"/>
      <c r="N2125" s="7"/>
      <c r="P2125" s="7"/>
      <c r="R2125" s="2"/>
      <c r="S2125" s="2"/>
      <c r="T2125" s="2"/>
      <c r="U2125" s="2"/>
      <c r="V2125" s="2"/>
      <c r="X2125" s="38"/>
      <c r="Y2125" s="38"/>
      <c r="Z2125" s="38"/>
      <c r="AA2125" s="38"/>
      <c r="AB2125" s="38"/>
      <c r="AD2125" s="2"/>
      <c r="AE2125" s="2"/>
      <c r="AF2125" s="2"/>
      <c r="AG2125" s="2"/>
      <c r="AH2125" s="2"/>
      <c r="AJ2125" s="215"/>
      <c r="AK2125" s="215"/>
      <c r="AL2125" s="215"/>
      <c r="AM2125" s="215"/>
      <c r="AO2125" s="10"/>
      <c r="AP2125" s="10"/>
      <c r="AQ2125" s="10"/>
      <c r="AR2125" s="10"/>
      <c r="AS2125" s="10"/>
      <c r="AU2125" s="2"/>
      <c r="AV2125" s="2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</row>
    <row r="2126" spans="1:73" customFormat="1" ht="12.75" hidden="1" customHeight="1" x14ac:dyDescent="0.2">
      <c r="A2126" s="1"/>
      <c r="B2126" s="1"/>
      <c r="C2126" s="1"/>
      <c r="D2126" s="7"/>
      <c r="E2126" s="7"/>
      <c r="F2126" s="6"/>
      <c r="G2126" s="7"/>
      <c r="H2126" s="2"/>
      <c r="I2126" s="2"/>
      <c r="J2126" s="2"/>
      <c r="K2126" s="2"/>
      <c r="L2126" s="178"/>
      <c r="M2126" s="2"/>
      <c r="N2126" s="7"/>
      <c r="P2126" s="7"/>
      <c r="R2126" s="2"/>
      <c r="S2126" s="2"/>
      <c r="T2126" s="2"/>
      <c r="U2126" s="2"/>
      <c r="V2126" s="2"/>
      <c r="X2126" s="38"/>
      <c r="Y2126" s="38"/>
      <c r="Z2126" s="38"/>
      <c r="AA2126" s="38"/>
      <c r="AB2126" s="38"/>
      <c r="AD2126" s="2"/>
      <c r="AE2126" s="2"/>
      <c r="AF2126" s="2"/>
      <c r="AG2126" s="2"/>
      <c r="AH2126" s="2"/>
      <c r="AJ2126" s="215"/>
      <c r="AK2126" s="215"/>
      <c r="AL2126" s="215"/>
      <c r="AM2126" s="215"/>
      <c r="AO2126" s="10"/>
      <c r="AP2126" s="10"/>
      <c r="AQ2126" s="10"/>
      <c r="AR2126" s="10"/>
      <c r="AS2126" s="10"/>
      <c r="AU2126" s="2"/>
      <c r="AV2126" s="2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</row>
    <row r="2127" spans="1:73" customFormat="1" ht="12.75" hidden="1" customHeight="1" x14ac:dyDescent="0.2">
      <c r="A2127" s="1"/>
      <c r="B2127" s="1"/>
      <c r="C2127" s="1"/>
      <c r="D2127" s="7"/>
      <c r="E2127" s="7"/>
      <c r="F2127" s="6"/>
      <c r="G2127" s="7"/>
      <c r="H2127" s="2"/>
      <c r="I2127" s="2"/>
      <c r="J2127" s="2"/>
      <c r="K2127" s="2"/>
      <c r="L2127" s="178"/>
      <c r="M2127" s="2"/>
      <c r="N2127" s="7"/>
      <c r="P2127" s="7"/>
      <c r="R2127" s="2"/>
      <c r="S2127" s="2"/>
      <c r="T2127" s="2"/>
      <c r="U2127" s="2"/>
      <c r="V2127" s="2"/>
      <c r="X2127" s="38"/>
      <c r="Y2127" s="38"/>
      <c r="Z2127" s="38"/>
      <c r="AA2127" s="38"/>
      <c r="AB2127" s="38"/>
      <c r="AD2127" s="2"/>
      <c r="AE2127" s="2"/>
      <c r="AF2127" s="2"/>
      <c r="AG2127" s="2"/>
      <c r="AH2127" s="2"/>
      <c r="AJ2127" s="215"/>
      <c r="AK2127" s="215"/>
      <c r="AL2127" s="215"/>
      <c r="AM2127" s="215"/>
      <c r="AO2127" s="10"/>
      <c r="AP2127" s="10"/>
      <c r="AQ2127" s="10"/>
      <c r="AR2127" s="10"/>
      <c r="AS2127" s="10"/>
      <c r="AU2127" s="2"/>
      <c r="AV2127" s="2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</row>
    <row r="2128" spans="1:73" customFormat="1" ht="12.75" hidden="1" customHeight="1" x14ac:dyDescent="0.2">
      <c r="A2128" s="1"/>
      <c r="B2128" s="1"/>
      <c r="C2128" s="1"/>
      <c r="D2128" s="7"/>
      <c r="E2128" s="7"/>
      <c r="F2128" s="6"/>
      <c r="G2128" s="7"/>
      <c r="H2128" s="2"/>
      <c r="I2128" s="2"/>
      <c r="J2128" s="2"/>
      <c r="K2128" s="2"/>
      <c r="L2128" s="178"/>
      <c r="M2128" s="2"/>
      <c r="N2128" s="7"/>
      <c r="P2128" s="7"/>
      <c r="R2128" s="2"/>
      <c r="S2128" s="2"/>
      <c r="T2128" s="2"/>
      <c r="U2128" s="2"/>
      <c r="V2128" s="2"/>
      <c r="X2128" s="38"/>
      <c r="Y2128" s="38"/>
      <c r="Z2128" s="38"/>
      <c r="AA2128" s="38"/>
      <c r="AB2128" s="38"/>
      <c r="AD2128" s="2"/>
      <c r="AE2128" s="2"/>
      <c r="AF2128" s="2"/>
      <c r="AG2128" s="2"/>
      <c r="AH2128" s="2"/>
      <c r="AJ2128" s="215"/>
      <c r="AK2128" s="215"/>
      <c r="AL2128" s="215"/>
      <c r="AM2128" s="215"/>
      <c r="AO2128" s="10"/>
      <c r="AP2128" s="10"/>
      <c r="AQ2128" s="10"/>
      <c r="AR2128" s="10"/>
      <c r="AS2128" s="10"/>
      <c r="AU2128" s="2"/>
      <c r="AV2128" s="2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</row>
    <row r="2129" spans="1:73" customFormat="1" ht="12.75" hidden="1" customHeight="1" x14ac:dyDescent="0.2">
      <c r="A2129" s="1"/>
      <c r="B2129" s="1"/>
      <c r="C2129" s="1"/>
      <c r="D2129" s="7"/>
      <c r="E2129" s="7"/>
      <c r="F2129" s="6"/>
      <c r="G2129" s="7"/>
      <c r="H2129" s="2"/>
      <c r="I2129" s="2"/>
      <c r="J2129" s="2"/>
      <c r="K2129" s="2"/>
      <c r="L2129" s="178"/>
      <c r="M2129" s="2"/>
      <c r="N2129" s="7"/>
      <c r="P2129" s="7"/>
      <c r="R2129" s="2"/>
      <c r="S2129" s="2"/>
      <c r="T2129" s="2"/>
      <c r="U2129" s="2"/>
      <c r="V2129" s="2"/>
      <c r="X2129" s="38"/>
      <c r="Y2129" s="38"/>
      <c r="Z2129" s="38"/>
      <c r="AA2129" s="38"/>
      <c r="AB2129" s="38"/>
      <c r="AD2129" s="2"/>
      <c r="AE2129" s="2"/>
      <c r="AF2129" s="2"/>
      <c r="AG2129" s="2"/>
      <c r="AH2129" s="2"/>
      <c r="AJ2129" s="215"/>
      <c r="AK2129" s="215"/>
      <c r="AL2129" s="215"/>
      <c r="AM2129" s="215"/>
      <c r="AO2129" s="10"/>
      <c r="AP2129" s="10"/>
      <c r="AQ2129" s="10"/>
      <c r="AR2129" s="10"/>
      <c r="AS2129" s="10"/>
      <c r="AU2129" s="2"/>
      <c r="AV2129" s="2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</row>
    <row r="2130" spans="1:73" customFormat="1" ht="12.75" hidden="1" customHeight="1" x14ac:dyDescent="0.2">
      <c r="A2130" s="1"/>
      <c r="B2130" s="1"/>
      <c r="C2130" s="1"/>
      <c r="D2130" s="7"/>
      <c r="E2130" s="7"/>
      <c r="F2130" s="6"/>
      <c r="G2130" s="7"/>
      <c r="H2130" s="2"/>
      <c r="I2130" s="2"/>
      <c r="J2130" s="2"/>
      <c r="K2130" s="2"/>
      <c r="L2130" s="178"/>
      <c r="M2130" s="2"/>
      <c r="N2130" s="7"/>
      <c r="P2130" s="7"/>
      <c r="R2130" s="2"/>
      <c r="S2130" s="2"/>
      <c r="T2130" s="2"/>
      <c r="U2130" s="2"/>
      <c r="V2130" s="2"/>
      <c r="X2130" s="38"/>
      <c r="Y2130" s="38"/>
      <c r="Z2130" s="38"/>
      <c r="AA2130" s="38"/>
      <c r="AB2130" s="38"/>
      <c r="AD2130" s="2"/>
      <c r="AE2130" s="2"/>
      <c r="AF2130" s="2"/>
      <c r="AG2130" s="2"/>
      <c r="AH2130" s="2"/>
      <c r="AJ2130" s="215"/>
      <c r="AK2130" s="215"/>
      <c r="AL2130" s="215"/>
      <c r="AM2130" s="215"/>
      <c r="AO2130" s="10"/>
      <c r="AP2130" s="10"/>
      <c r="AQ2130" s="10"/>
      <c r="AR2130" s="10"/>
      <c r="AS2130" s="10"/>
      <c r="AU2130" s="2"/>
      <c r="AV2130" s="2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</row>
    <row r="2131" spans="1:73" customFormat="1" ht="12.75" hidden="1" customHeight="1" x14ac:dyDescent="0.2">
      <c r="A2131" s="1"/>
      <c r="B2131" s="1"/>
      <c r="C2131" s="1"/>
      <c r="D2131" s="7"/>
      <c r="E2131" s="7"/>
      <c r="F2131" s="6"/>
      <c r="G2131" s="7"/>
      <c r="H2131" s="2"/>
      <c r="I2131" s="2"/>
      <c r="J2131" s="2"/>
      <c r="K2131" s="2"/>
      <c r="L2131" s="178"/>
      <c r="M2131" s="2"/>
      <c r="N2131" s="7"/>
      <c r="P2131" s="7"/>
      <c r="R2131" s="2"/>
      <c r="S2131" s="2"/>
      <c r="T2131" s="2"/>
      <c r="U2131" s="2"/>
      <c r="V2131" s="2"/>
      <c r="X2131" s="38"/>
      <c r="Y2131" s="38"/>
      <c r="Z2131" s="38"/>
      <c r="AA2131" s="38"/>
      <c r="AB2131" s="38"/>
      <c r="AD2131" s="2"/>
      <c r="AE2131" s="2"/>
      <c r="AF2131" s="2"/>
      <c r="AG2131" s="2"/>
      <c r="AH2131" s="2"/>
      <c r="AJ2131" s="215"/>
      <c r="AK2131" s="215"/>
      <c r="AL2131" s="215"/>
      <c r="AM2131" s="215"/>
      <c r="AO2131" s="10"/>
      <c r="AP2131" s="10"/>
      <c r="AQ2131" s="10"/>
      <c r="AR2131" s="10"/>
      <c r="AS2131" s="10"/>
      <c r="AU2131" s="2"/>
      <c r="AV2131" s="2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</row>
    <row r="2132" spans="1:73" customFormat="1" ht="12.75" hidden="1" customHeight="1" x14ac:dyDescent="0.2">
      <c r="A2132" s="1"/>
      <c r="B2132" s="1"/>
      <c r="C2132" s="1"/>
      <c r="D2132" s="7"/>
      <c r="E2132" s="7"/>
      <c r="F2132" s="6"/>
      <c r="G2132" s="7"/>
      <c r="H2132" s="2"/>
      <c r="I2132" s="2"/>
      <c r="J2132" s="2"/>
      <c r="K2132" s="2"/>
      <c r="L2132" s="178"/>
      <c r="M2132" s="2"/>
      <c r="N2132" s="7"/>
      <c r="P2132" s="7"/>
      <c r="R2132" s="2"/>
      <c r="S2132" s="2"/>
      <c r="T2132" s="2"/>
      <c r="U2132" s="2"/>
      <c r="V2132" s="2"/>
      <c r="X2132" s="38"/>
      <c r="Y2132" s="38"/>
      <c r="Z2132" s="38"/>
      <c r="AA2132" s="38"/>
      <c r="AB2132" s="38"/>
      <c r="AD2132" s="2"/>
      <c r="AE2132" s="2"/>
      <c r="AF2132" s="2"/>
      <c r="AG2132" s="2"/>
      <c r="AH2132" s="2"/>
      <c r="AJ2132" s="215"/>
      <c r="AK2132" s="215"/>
      <c r="AL2132" s="215"/>
      <c r="AM2132" s="215"/>
      <c r="AO2132" s="10"/>
      <c r="AP2132" s="10"/>
      <c r="AQ2132" s="10"/>
      <c r="AR2132" s="10"/>
      <c r="AS2132" s="10"/>
      <c r="AU2132" s="2"/>
      <c r="AV2132" s="2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</row>
    <row r="2133" spans="1:73" customFormat="1" ht="12.75" hidden="1" customHeight="1" x14ac:dyDescent="0.2">
      <c r="A2133" s="1"/>
      <c r="B2133" s="1"/>
      <c r="C2133" s="1"/>
      <c r="D2133" s="7"/>
      <c r="E2133" s="7"/>
      <c r="F2133" s="6"/>
      <c r="G2133" s="7"/>
      <c r="H2133" s="2"/>
      <c r="I2133" s="2"/>
      <c r="J2133" s="2"/>
      <c r="K2133" s="2"/>
      <c r="L2133" s="178"/>
      <c r="M2133" s="2"/>
      <c r="N2133" s="7"/>
      <c r="P2133" s="7"/>
      <c r="R2133" s="2"/>
      <c r="S2133" s="2"/>
      <c r="T2133" s="2"/>
      <c r="U2133" s="2"/>
      <c r="V2133" s="2"/>
      <c r="X2133" s="38"/>
      <c r="Y2133" s="38"/>
      <c r="Z2133" s="38"/>
      <c r="AA2133" s="38"/>
      <c r="AB2133" s="38"/>
      <c r="AD2133" s="2"/>
      <c r="AE2133" s="2"/>
      <c r="AF2133" s="2"/>
      <c r="AG2133" s="2"/>
      <c r="AH2133" s="2"/>
      <c r="AJ2133" s="215"/>
      <c r="AK2133" s="215"/>
      <c r="AL2133" s="215"/>
      <c r="AM2133" s="215"/>
      <c r="AO2133" s="10"/>
      <c r="AP2133" s="10"/>
      <c r="AQ2133" s="10"/>
      <c r="AR2133" s="10"/>
      <c r="AS2133" s="10"/>
      <c r="AU2133" s="2"/>
      <c r="AV2133" s="2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</row>
    <row r="2134" spans="1:73" customFormat="1" ht="12.75" hidden="1" customHeight="1" x14ac:dyDescent="0.2">
      <c r="A2134" s="1"/>
      <c r="B2134" s="1"/>
      <c r="C2134" s="1"/>
      <c r="D2134" s="7"/>
      <c r="E2134" s="7"/>
      <c r="F2134" s="6"/>
      <c r="G2134" s="7"/>
      <c r="H2134" s="2"/>
      <c r="I2134" s="2"/>
      <c r="J2134" s="2"/>
      <c r="K2134" s="2"/>
      <c r="L2134" s="178"/>
      <c r="M2134" s="2"/>
      <c r="N2134" s="7"/>
      <c r="P2134" s="7"/>
      <c r="R2134" s="2"/>
      <c r="S2134" s="2"/>
      <c r="T2134" s="2"/>
      <c r="U2134" s="2"/>
      <c r="V2134" s="2"/>
      <c r="X2134" s="38"/>
      <c r="Y2134" s="38"/>
      <c r="Z2134" s="38"/>
      <c r="AA2134" s="38"/>
      <c r="AB2134" s="38"/>
      <c r="AD2134" s="2"/>
      <c r="AE2134" s="2"/>
      <c r="AF2134" s="2"/>
      <c r="AG2134" s="2"/>
      <c r="AH2134" s="2"/>
      <c r="AJ2134" s="215"/>
      <c r="AK2134" s="215"/>
      <c r="AL2134" s="215"/>
      <c r="AM2134" s="215"/>
      <c r="AO2134" s="10"/>
      <c r="AP2134" s="10"/>
      <c r="AQ2134" s="10"/>
      <c r="AR2134" s="10"/>
      <c r="AS2134" s="10"/>
      <c r="AU2134" s="2"/>
      <c r="AV2134" s="2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</row>
    <row r="2135" spans="1:73" customFormat="1" ht="12.75" hidden="1" customHeight="1" x14ac:dyDescent="0.2">
      <c r="A2135" s="1"/>
      <c r="B2135" s="1"/>
      <c r="C2135" s="1"/>
      <c r="D2135" s="7"/>
      <c r="E2135" s="7"/>
      <c r="F2135" s="6"/>
      <c r="G2135" s="7"/>
      <c r="H2135" s="2"/>
      <c r="I2135" s="2"/>
      <c r="J2135" s="2"/>
      <c r="K2135" s="2"/>
      <c r="L2135" s="178"/>
      <c r="M2135" s="2"/>
      <c r="N2135" s="7"/>
      <c r="P2135" s="7"/>
      <c r="R2135" s="2"/>
      <c r="S2135" s="2"/>
      <c r="T2135" s="2"/>
      <c r="U2135" s="2"/>
      <c r="V2135" s="2"/>
      <c r="X2135" s="38"/>
      <c r="Y2135" s="38"/>
      <c r="Z2135" s="38"/>
      <c r="AA2135" s="38"/>
      <c r="AB2135" s="38"/>
      <c r="AD2135" s="2"/>
      <c r="AE2135" s="2"/>
      <c r="AF2135" s="2"/>
      <c r="AG2135" s="2"/>
      <c r="AH2135" s="2"/>
      <c r="AJ2135" s="215"/>
      <c r="AK2135" s="215"/>
      <c r="AL2135" s="215"/>
      <c r="AM2135" s="215"/>
      <c r="AO2135" s="10"/>
      <c r="AP2135" s="10"/>
      <c r="AQ2135" s="10"/>
      <c r="AR2135" s="10"/>
      <c r="AS2135" s="10"/>
      <c r="AU2135" s="2"/>
      <c r="AV2135" s="2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</row>
    <row r="2136" spans="1:73" customFormat="1" ht="12.75" hidden="1" customHeight="1" x14ac:dyDescent="0.2">
      <c r="A2136" s="1"/>
      <c r="B2136" s="1"/>
      <c r="C2136" s="1"/>
      <c r="D2136" s="7"/>
      <c r="E2136" s="7"/>
      <c r="F2136" s="6"/>
      <c r="G2136" s="7"/>
      <c r="H2136" s="2"/>
      <c r="I2136" s="2"/>
      <c r="J2136" s="2"/>
      <c r="K2136" s="2"/>
      <c r="L2136" s="178"/>
      <c r="M2136" s="2"/>
      <c r="N2136" s="7"/>
      <c r="P2136" s="7"/>
      <c r="R2136" s="2"/>
      <c r="S2136" s="2"/>
      <c r="T2136" s="2"/>
      <c r="U2136" s="2"/>
      <c r="V2136" s="2"/>
      <c r="X2136" s="38"/>
      <c r="Y2136" s="38"/>
      <c r="Z2136" s="38"/>
      <c r="AA2136" s="38"/>
      <c r="AB2136" s="38"/>
      <c r="AD2136" s="2"/>
      <c r="AE2136" s="2"/>
      <c r="AF2136" s="2"/>
      <c r="AG2136" s="2"/>
      <c r="AH2136" s="2"/>
      <c r="AJ2136" s="215"/>
      <c r="AK2136" s="215"/>
      <c r="AL2136" s="215"/>
      <c r="AM2136" s="215"/>
      <c r="AO2136" s="10"/>
      <c r="AP2136" s="10"/>
      <c r="AQ2136" s="10"/>
      <c r="AR2136" s="10"/>
      <c r="AS2136" s="10"/>
      <c r="AU2136" s="2"/>
      <c r="AV2136" s="2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</row>
    <row r="2137" spans="1:73" customFormat="1" ht="12.75" hidden="1" customHeight="1" x14ac:dyDescent="0.2">
      <c r="A2137" s="1"/>
      <c r="B2137" s="1"/>
      <c r="C2137" s="1"/>
      <c r="D2137" s="7"/>
      <c r="E2137" s="7"/>
      <c r="F2137" s="6"/>
      <c r="G2137" s="7"/>
      <c r="H2137" s="2"/>
      <c r="I2137" s="2"/>
      <c r="J2137" s="2"/>
      <c r="K2137" s="2"/>
      <c r="L2137" s="178"/>
      <c r="M2137" s="2"/>
      <c r="N2137" s="7"/>
      <c r="P2137" s="7"/>
      <c r="R2137" s="2"/>
      <c r="S2137" s="2"/>
      <c r="T2137" s="2"/>
      <c r="U2137" s="2"/>
      <c r="V2137" s="2"/>
      <c r="X2137" s="38"/>
      <c r="Y2137" s="38"/>
      <c r="Z2137" s="38"/>
      <c r="AA2137" s="38"/>
      <c r="AB2137" s="38"/>
      <c r="AD2137" s="2"/>
      <c r="AE2137" s="2"/>
      <c r="AF2137" s="2"/>
      <c r="AG2137" s="2"/>
      <c r="AH2137" s="2"/>
      <c r="AJ2137" s="215"/>
      <c r="AK2137" s="215"/>
      <c r="AL2137" s="215"/>
      <c r="AM2137" s="215"/>
      <c r="AO2137" s="10"/>
      <c r="AP2137" s="10"/>
      <c r="AQ2137" s="10"/>
      <c r="AR2137" s="10"/>
      <c r="AS2137" s="10"/>
      <c r="AU2137" s="2"/>
      <c r="AV2137" s="2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</row>
    <row r="2138" spans="1:73" customFormat="1" ht="12.75" hidden="1" customHeight="1" x14ac:dyDescent="0.2">
      <c r="A2138" s="1"/>
      <c r="B2138" s="1"/>
      <c r="C2138" s="1"/>
      <c r="D2138" s="7"/>
      <c r="E2138" s="7"/>
      <c r="F2138" s="6"/>
      <c r="G2138" s="7"/>
      <c r="H2138" s="2"/>
      <c r="I2138" s="2"/>
      <c r="J2138" s="2"/>
      <c r="K2138" s="2"/>
      <c r="L2138" s="178"/>
      <c r="M2138" s="2"/>
      <c r="N2138" s="7"/>
      <c r="P2138" s="7"/>
      <c r="R2138" s="2"/>
      <c r="S2138" s="2"/>
      <c r="T2138" s="2"/>
      <c r="U2138" s="2"/>
      <c r="V2138" s="2"/>
      <c r="X2138" s="38"/>
      <c r="Y2138" s="38"/>
      <c r="Z2138" s="38"/>
      <c r="AA2138" s="38"/>
      <c r="AB2138" s="38"/>
      <c r="AD2138" s="2"/>
      <c r="AE2138" s="2"/>
      <c r="AF2138" s="2"/>
      <c r="AG2138" s="2"/>
      <c r="AH2138" s="2"/>
      <c r="AJ2138" s="215"/>
      <c r="AK2138" s="215"/>
      <c r="AL2138" s="215"/>
      <c r="AM2138" s="215"/>
      <c r="AO2138" s="10"/>
      <c r="AP2138" s="10"/>
      <c r="AQ2138" s="10"/>
      <c r="AR2138" s="10"/>
      <c r="AS2138" s="10"/>
      <c r="AU2138" s="2"/>
      <c r="AV2138" s="2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</row>
    <row r="2139" spans="1:73" customFormat="1" ht="12.75" hidden="1" customHeight="1" x14ac:dyDescent="0.2">
      <c r="A2139" s="1"/>
      <c r="B2139" s="1"/>
      <c r="C2139" s="1"/>
      <c r="D2139" s="7"/>
      <c r="E2139" s="7"/>
      <c r="F2139" s="6"/>
      <c r="G2139" s="7"/>
      <c r="H2139" s="2"/>
      <c r="I2139" s="2"/>
      <c r="J2139" s="2"/>
      <c r="K2139" s="2"/>
      <c r="L2139" s="178"/>
      <c r="M2139" s="2"/>
      <c r="N2139" s="7"/>
      <c r="P2139" s="7"/>
      <c r="R2139" s="2"/>
      <c r="S2139" s="2"/>
      <c r="T2139" s="2"/>
      <c r="U2139" s="2"/>
      <c r="V2139" s="2"/>
      <c r="X2139" s="38"/>
      <c r="Y2139" s="38"/>
      <c r="Z2139" s="38"/>
      <c r="AA2139" s="38"/>
      <c r="AB2139" s="38"/>
      <c r="AD2139" s="2"/>
      <c r="AE2139" s="2"/>
      <c r="AF2139" s="2"/>
      <c r="AG2139" s="2"/>
      <c r="AH2139" s="2"/>
      <c r="AJ2139" s="215"/>
      <c r="AK2139" s="215"/>
      <c r="AL2139" s="215"/>
      <c r="AM2139" s="215"/>
      <c r="AO2139" s="10"/>
      <c r="AP2139" s="10"/>
      <c r="AQ2139" s="10"/>
      <c r="AR2139" s="10"/>
      <c r="AS2139" s="10"/>
      <c r="AU2139" s="2"/>
      <c r="AV2139" s="2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</row>
    <row r="2140" spans="1:73" customFormat="1" ht="12.75" hidden="1" customHeight="1" x14ac:dyDescent="0.2">
      <c r="A2140" s="1"/>
      <c r="B2140" s="1"/>
      <c r="C2140" s="1"/>
      <c r="D2140" s="7"/>
      <c r="E2140" s="7"/>
      <c r="F2140" s="6"/>
      <c r="G2140" s="7"/>
      <c r="H2140" s="2"/>
      <c r="I2140" s="2"/>
      <c r="J2140" s="2"/>
      <c r="K2140" s="2"/>
      <c r="L2140" s="178"/>
      <c r="M2140" s="2"/>
      <c r="N2140" s="7"/>
      <c r="P2140" s="7"/>
      <c r="R2140" s="2"/>
      <c r="S2140" s="2"/>
      <c r="T2140" s="2"/>
      <c r="U2140" s="2"/>
      <c r="V2140" s="2"/>
      <c r="X2140" s="38"/>
      <c r="Y2140" s="38"/>
      <c r="Z2140" s="38"/>
      <c r="AA2140" s="38"/>
      <c r="AB2140" s="38"/>
      <c r="AD2140" s="2"/>
      <c r="AE2140" s="2"/>
      <c r="AF2140" s="2"/>
      <c r="AG2140" s="2"/>
      <c r="AH2140" s="2"/>
      <c r="AJ2140" s="215"/>
      <c r="AK2140" s="215"/>
      <c r="AL2140" s="215"/>
      <c r="AM2140" s="215"/>
      <c r="AO2140" s="10"/>
      <c r="AP2140" s="10"/>
      <c r="AQ2140" s="10"/>
      <c r="AR2140" s="10"/>
      <c r="AS2140" s="10"/>
      <c r="AU2140" s="2"/>
      <c r="AV2140" s="2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</row>
    <row r="2141" spans="1:73" customFormat="1" ht="12.75" hidden="1" customHeight="1" x14ac:dyDescent="0.2">
      <c r="A2141" s="1"/>
      <c r="B2141" s="1"/>
      <c r="C2141" s="1"/>
      <c r="D2141" s="7"/>
      <c r="E2141" s="7"/>
      <c r="F2141" s="6"/>
      <c r="G2141" s="7"/>
      <c r="H2141" s="2"/>
      <c r="I2141" s="2"/>
      <c r="J2141" s="2"/>
      <c r="K2141" s="2"/>
      <c r="L2141" s="178"/>
      <c r="M2141" s="2"/>
      <c r="N2141" s="7"/>
      <c r="P2141" s="7"/>
      <c r="R2141" s="2"/>
      <c r="S2141" s="2"/>
      <c r="T2141" s="2"/>
      <c r="U2141" s="2"/>
      <c r="V2141" s="2"/>
      <c r="X2141" s="38"/>
      <c r="Y2141" s="38"/>
      <c r="Z2141" s="38"/>
      <c r="AA2141" s="38"/>
      <c r="AB2141" s="38"/>
      <c r="AD2141" s="2"/>
      <c r="AE2141" s="2"/>
      <c r="AF2141" s="2"/>
      <c r="AG2141" s="2"/>
      <c r="AH2141" s="2"/>
      <c r="AJ2141" s="215"/>
      <c r="AK2141" s="215"/>
      <c r="AL2141" s="215"/>
      <c r="AM2141" s="215"/>
      <c r="AO2141" s="10"/>
      <c r="AP2141" s="10"/>
      <c r="AQ2141" s="10"/>
      <c r="AR2141" s="10"/>
      <c r="AS2141" s="10"/>
      <c r="AU2141" s="2"/>
      <c r="AV2141" s="2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</row>
    <row r="2142" spans="1:73" customFormat="1" ht="12.75" hidden="1" customHeight="1" x14ac:dyDescent="0.2">
      <c r="A2142" s="1"/>
      <c r="B2142" s="1"/>
      <c r="C2142" s="1"/>
      <c r="D2142" s="7"/>
      <c r="E2142" s="7"/>
      <c r="F2142" s="6"/>
      <c r="G2142" s="7"/>
      <c r="H2142" s="2"/>
      <c r="I2142" s="2"/>
      <c r="J2142" s="2"/>
      <c r="K2142" s="2"/>
      <c r="L2142" s="178"/>
      <c r="M2142" s="2"/>
      <c r="N2142" s="7"/>
      <c r="P2142" s="7"/>
      <c r="R2142" s="2"/>
      <c r="S2142" s="2"/>
      <c r="T2142" s="2"/>
      <c r="U2142" s="2"/>
      <c r="V2142" s="2"/>
      <c r="X2142" s="38"/>
      <c r="Y2142" s="38"/>
      <c r="Z2142" s="38"/>
      <c r="AA2142" s="38"/>
      <c r="AB2142" s="38"/>
      <c r="AD2142" s="2"/>
      <c r="AE2142" s="2"/>
      <c r="AF2142" s="2"/>
      <c r="AG2142" s="2"/>
      <c r="AH2142" s="2"/>
      <c r="AJ2142" s="215"/>
      <c r="AK2142" s="215"/>
      <c r="AL2142" s="215"/>
      <c r="AM2142" s="215"/>
      <c r="AO2142" s="10"/>
      <c r="AP2142" s="10"/>
      <c r="AQ2142" s="10"/>
      <c r="AR2142" s="10"/>
      <c r="AS2142" s="10"/>
      <c r="AU2142" s="2"/>
      <c r="AV2142" s="2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</row>
    <row r="2143" spans="1:73" customFormat="1" ht="12.75" hidden="1" customHeight="1" x14ac:dyDescent="0.2">
      <c r="A2143" s="1"/>
      <c r="B2143" s="1"/>
      <c r="C2143" s="1"/>
      <c r="D2143" s="7"/>
      <c r="E2143" s="7"/>
      <c r="F2143" s="6"/>
      <c r="G2143" s="7"/>
      <c r="H2143" s="2"/>
      <c r="I2143" s="2"/>
      <c r="J2143" s="2"/>
      <c r="K2143" s="2"/>
      <c r="L2143" s="178"/>
      <c r="M2143" s="2"/>
      <c r="N2143" s="7"/>
      <c r="P2143" s="7"/>
      <c r="R2143" s="2"/>
      <c r="S2143" s="2"/>
      <c r="T2143" s="2"/>
      <c r="U2143" s="2"/>
      <c r="V2143" s="2"/>
      <c r="X2143" s="38"/>
      <c r="Y2143" s="38"/>
      <c r="Z2143" s="38"/>
      <c r="AA2143" s="38"/>
      <c r="AB2143" s="38"/>
      <c r="AD2143" s="2"/>
      <c r="AE2143" s="2"/>
      <c r="AF2143" s="2"/>
      <c r="AG2143" s="2"/>
      <c r="AH2143" s="2"/>
      <c r="AJ2143" s="215"/>
      <c r="AK2143" s="215"/>
      <c r="AL2143" s="215"/>
      <c r="AM2143" s="215"/>
      <c r="AO2143" s="10"/>
      <c r="AP2143" s="10"/>
      <c r="AQ2143" s="10"/>
      <c r="AR2143" s="10"/>
      <c r="AS2143" s="10"/>
      <c r="AU2143" s="2"/>
      <c r="AV2143" s="2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</row>
    <row r="2144" spans="1:73" customFormat="1" ht="12.75" hidden="1" customHeight="1" x14ac:dyDescent="0.2">
      <c r="A2144" s="1"/>
      <c r="B2144" s="1"/>
      <c r="C2144" s="1"/>
      <c r="D2144" s="7"/>
      <c r="E2144" s="7"/>
      <c r="F2144" s="6"/>
      <c r="G2144" s="7"/>
      <c r="H2144" s="2"/>
      <c r="I2144" s="2"/>
      <c r="J2144" s="2"/>
      <c r="K2144" s="2"/>
      <c r="L2144" s="178"/>
      <c r="M2144" s="2"/>
      <c r="N2144" s="7"/>
      <c r="P2144" s="7"/>
      <c r="R2144" s="2"/>
      <c r="S2144" s="2"/>
      <c r="T2144" s="2"/>
      <c r="U2144" s="2"/>
      <c r="V2144" s="2"/>
      <c r="X2144" s="38"/>
      <c r="Y2144" s="38"/>
      <c r="Z2144" s="38"/>
      <c r="AA2144" s="38"/>
      <c r="AB2144" s="38"/>
      <c r="AD2144" s="2"/>
      <c r="AE2144" s="2"/>
      <c r="AF2144" s="2"/>
      <c r="AG2144" s="2"/>
      <c r="AH2144" s="2"/>
      <c r="AJ2144" s="215"/>
      <c r="AK2144" s="215"/>
      <c r="AL2144" s="215"/>
      <c r="AM2144" s="215"/>
      <c r="AO2144" s="10"/>
      <c r="AP2144" s="10"/>
      <c r="AQ2144" s="10"/>
      <c r="AR2144" s="10"/>
      <c r="AS2144" s="10"/>
      <c r="AU2144" s="2"/>
      <c r="AV2144" s="2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</row>
    <row r="2145" spans="1:73" customFormat="1" ht="12.75" hidden="1" customHeight="1" x14ac:dyDescent="0.2">
      <c r="A2145" s="1"/>
      <c r="B2145" s="1"/>
      <c r="C2145" s="1"/>
      <c r="D2145" s="7"/>
      <c r="E2145" s="7"/>
      <c r="F2145" s="6"/>
      <c r="G2145" s="7"/>
      <c r="H2145" s="2"/>
      <c r="I2145" s="2"/>
      <c r="J2145" s="2"/>
      <c r="K2145" s="2"/>
      <c r="L2145" s="178"/>
      <c r="M2145" s="2"/>
      <c r="N2145" s="7"/>
      <c r="P2145" s="7"/>
      <c r="R2145" s="2"/>
      <c r="S2145" s="2"/>
      <c r="T2145" s="2"/>
      <c r="U2145" s="2"/>
      <c r="V2145" s="2"/>
      <c r="X2145" s="38"/>
      <c r="Y2145" s="38"/>
      <c r="Z2145" s="38"/>
      <c r="AA2145" s="38"/>
      <c r="AB2145" s="38"/>
      <c r="AD2145" s="2"/>
      <c r="AE2145" s="2"/>
      <c r="AF2145" s="2"/>
      <c r="AG2145" s="2"/>
      <c r="AH2145" s="2"/>
      <c r="AJ2145" s="215"/>
      <c r="AK2145" s="215"/>
      <c r="AL2145" s="215"/>
      <c r="AM2145" s="215"/>
      <c r="AO2145" s="10"/>
      <c r="AP2145" s="10"/>
      <c r="AQ2145" s="10"/>
      <c r="AR2145" s="10"/>
      <c r="AS2145" s="10"/>
      <c r="AU2145" s="2"/>
      <c r="AV2145" s="2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</row>
    <row r="2146" spans="1:73" customFormat="1" ht="12.75" hidden="1" customHeight="1" x14ac:dyDescent="0.2">
      <c r="A2146" s="1"/>
      <c r="B2146" s="1"/>
      <c r="C2146" s="1"/>
      <c r="D2146" s="7"/>
      <c r="E2146" s="7"/>
      <c r="F2146" s="6"/>
      <c r="G2146" s="7"/>
      <c r="H2146" s="2"/>
      <c r="I2146" s="2"/>
      <c r="J2146" s="2"/>
      <c r="K2146" s="2"/>
      <c r="L2146" s="178"/>
      <c r="M2146" s="2"/>
      <c r="N2146" s="7"/>
      <c r="P2146" s="7"/>
      <c r="R2146" s="2"/>
      <c r="S2146" s="2"/>
      <c r="T2146" s="2"/>
      <c r="U2146" s="2"/>
      <c r="V2146" s="2"/>
      <c r="X2146" s="38"/>
      <c r="Y2146" s="38"/>
      <c r="Z2146" s="38"/>
      <c r="AA2146" s="38"/>
      <c r="AB2146" s="38"/>
      <c r="AD2146" s="2"/>
      <c r="AE2146" s="2"/>
      <c r="AF2146" s="2"/>
      <c r="AG2146" s="2"/>
      <c r="AH2146" s="2"/>
      <c r="AJ2146" s="215"/>
      <c r="AK2146" s="215"/>
      <c r="AL2146" s="215"/>
      <c r="AM2146" s="215"/>
      <c r="AO2146" s="10"/>
      <c r="AP2146" s="10"/>
      <c r="AQ2146" s="10"/>
      <c r="AR2146" s="10"/>
      <c r="AS2146" s="10"/>
      <c r="AU2146" s="2"/>
      <c r="AV2146" s="2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</row>
    <row r="2147" spans="1:73" customFormat="1" ht="12.75" hidden="1" customHeight="1" x14ac:dyDescent="0.2">
      <c r="A2147" s="1"/>
      <c r="B2147" s="1"/>
      <c r="C2147" s="1"/>
      <c r="D2147" s="7"/>
      <c r="E2147" s="7"/>
      <c r="F2147" s="6"/>
      <c r="G2147" s="7"/>
      <c r="H2147" s="2"/>
      <c r="I2147" s="2"/>
      <c r="J2147" s="2"/>
      <c r="K2147" s="2"/>
      <c r="L2147" s="178"/>
      <c r="M2147" s="2"/>
      <c r="N2147" s="7"/>
      <c r="P2147" s="7"/>
      <c r="R2147" s="2"/>
      <c r="S2147" s="2"/>
      <c r="T2147" s="2"/>
      <c r="U2147" s="2"/>
      <c r="V2147" s="2"/>
      <c r="X2147" s="38"/>
      <c r="Y2147" s="38"/>
      <c r="Z2147" s="38"/>
      <c r="AA2147" s="38"/>
      <c r="AB2147" s="38"/>
      <c r="AD2147" s="2"/>
      <c r="AE2147" s="2"/>
      <c r="AF2147" s="2"/>
      <c r="AG2147" s="2"/>
      <c r="AH2147" s="2"/>
      <c r="AJ2147" s="215"/>
      <c r="AK2147" s="215"/>
      <c r="AL2147" s="215"/>
      <c r="AM2147" s="215"/>
      <c r="AO2147" s="10"/>
      <c r="AP2147" s="10"/>
      <c r="AQ2147" s="10"/>
      <c r="AR2147" s="10"/>
      <c r="AS2147" s="10"/>
      <c r="AU2147" s="2"/>
      <c r="AV2147" s="2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</row>
    <row r="2148" spans="1:73" customFormat="1" ht="12.75" hidden="1" customHeight="1" x14ac:dyDescent="0.2">
      <c r="A2148" s="1"/>
      <c r="B2148" s="1"/>
      <c r="C2148" s="1"/>
      <c r="D2148" s="7"/>
      <c r="E2148" s="7"/>
      <c r="F2148" s="6"/>
      <c r="G2148" s="7"/>
      <c r="H2148" s="2"/>
      <c r="I2148" s="2"/>
      <c r="J2148" s="2"/>
      <c r="K2148" s="2"/>
      <c r="L2148" s="178"/>
      <c r="M2148" s="2"/>
      <c r="N2148" s="7"/>
      <c r="P2148" s="7"/>
      <c r="R2148" s="2"/>
      <c r="S2148" s="2"/>
      <c r="T2148" s="2"/>
      <c r="U2148" s="2"/>
      <c r="V2148" s="2"/>
      <c r="X2148" s="38"/>
      <c r="Y2148" s="38"/>
      <c r="Z2148" s="38"/>
      <c r="AA2148" s="38"/>
      <c r="AB2148" s="38"/>
      <c r="AD2148" s="2"/>
      <c r="AE2148" s="2"/>
      <c r="AF2148" s="2"/>
      <c r="AG2148" s="2"/>
      <c r="AH2148" s="2"/>
      <c r="AJ2148" s="215"/>
      <c r="AK2148" s="215"/>
      <c r="AL2148" s="215"/>
      <c r="AM2148" s="215"/>
      <c r="AO2148" s="10"/>
      <c r="AP2148" s="10"/>
      <c r="AQ2148" s="10"/>
      <c r="AR2148" s="10"/>
      <c r="AS2148" s="10"/>
      <c r="AU2148" s="2"/>
      <c r="AV2148" s="2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</row>
    <row r="2149" spans="1:73" customFormat="1" ht="12.75" hidden="1" customHeight="1" x14ac:dyDescent="0.2">
      <c r="A2149" s="1"/>
      <c r="B2149" s="1"/>
      <c r="C2149" s="1"/>
      <c r="D2149" s="7"/>
      <c r="E2149" s="7"/>
      <c r="F2149" s="6"/>
      <c r="G2149" s="7"/>
      <c r="H2149" s="2"/>
      <c r="I2149" s="2"/>
      <c r="J2149" s="2"/>
      <c r="K2149" s="2"/>
      <c r="L2149" s="178"/>
      <c r="M2149" s="2"/>
      <c r="N2149" s="7"/>
      <c r="P2149" s="7"/>
      <c r="R2149" s="2"/>
      <c r="S2149" s="2"/>
      <c r="T2149" s="2"/>
      <c r="U2149" s="2"/>
      <c r="V2149" s="2"/>
      <c r="X2149" s="38"/>
      <c r="Y2149" s="38"/>
      <c r="Z2149" s="38"/>
      <c r="AA2149" s="38"/>
      <c r="AB2149" s="38"/>
      <c r="AD2149" s="2"/>
      <c r="AE2149" s="2"/>
      <c r="AF2149" s="2"/>
      <c r="AG2149" s="2"/>
      <c r="AH2149" s="2"/>
      <c r="AJ2149" s="215"/>
      <c r="AK2149" s="215"/>
      <c r="AL2149" s="215"/>
      <c r="AM2149" s="215"/>
      <c r="AO2149" s="10"/>
      <c r="AP2149" s="10"/>
      <c r="AQ2149" s="10"/>
      <c r="AR2149" s="10"/>
      <c r="AS2149" s="10"/>
      <c r="AU2149" s="2"/>
      <c r="AV2149" s="2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</row>
    <row r="2150" spans="1:73" customFormat="1" ht="12.75" hidden="1" customHeight="1" x14ac:dyDescent="0.2">
      <c r="A2150" s="1"/>
      <c r="B2150" s="1"/>
      <c r="C2150" s="1"/>
      <c r="D2150" s="7"/>
      <c r="E2150" s="7"/>
      <c r="F2150" s="6"/>
      <c r="G2150" s="7"/>
      <c r="H2150" s="2"/>
      <c r="I2150" s="2"/>
      <c r="J2150" s="2"/>
      <c r="K2150" s="2"/>
      <c r="L2150" s="178"/>
      <c r="M2150" s="2"/>
      <c r="N2150" s="7"/>
      <c r="P2150" s="7"/>
      <c r="R2150" s="2"/>
      <c r="S2150" s="2"/>
      <c r="T2150" s="2"/>
      <c r="U2150" s="2"/>
      <c r="V2150" s="2"/>
      <c r="X2150" s="38"/>
      <c r="Y2150" s="38"/>
      <c r="Z2150" s="38"/>
      <c r="AA2150" s="38"/>
      <c r="AB2150" s="38"/>
      <c r="AD2150" s="2"/>
      <c r="AE2150" s="2"/>
      <c r="AF2150" s="2"/>
      <c r="AG2150" s="2"/>
      <c r="AH2150" s="2"/>
      <c r="AJ2150" s="215"/>
      <c r="AK2150" s="215"/>
      <c r="AL2150" s="215"/>
      <c r="AM2150" s="215"/>
      <c r="AO2150" s="10"/>
      <c r="AP2150" s="10"/>
      <c r="AQ2150" s="10"/>
      <c r="AR2150" s="10"/>
      <c r="AS2150" s="10"/>
      <c r="AU2150" s="2"/>
      <c r="AV2150" s="2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</row>
    <row r="2151" spans="1:73" customFormat="1" ht="12.75" hidden="1" customHeight="1" x14ac:dyDescent="0.2">
      <c r="A2151" s="1"/>
      <c r="B2151" s="1"/>
      <c r="C2151" s="1"/>
      <c r="D2151" s="7"/>
      <c r="E2151" s="7"/>
      <c r="F2151" s="6"/>
      <c r="G2151" s="7"/>
      <c r="H2151" s="2"/>
      <c r="I2151" s="2"/>
      <c r="J2151" s="2"/>
      <c r="K2151" s="2"/>
      <c r="L2151" s="178"/>
      <c r="M2151" s="2"/>
      <c r="N2151" s="7"/>
      <c r="P2151" s="7"/>
      <c r="R2151" s="2"/>
      <c r="S2151" s="2"/>
      <c r="T2151" s="2"/>
      <c r="U2151" s="2"/>
      <c r="V2151" s="2"/>
      <c r="X2151" s="38"/>
      <c r="Y2151" s="38"/>
      <c r="Z2151" s="38"/>
      <c r="AA2151" s="38"/>
      <c r="AB2151" s="38"/>
      <c r="AD2151" s="2"/>
      <c r="AE2151" s="2"/>
      <c r="AF2151" s="2"/>
      <c r="AG2151" s="2"/>
      <c r="AH2151" s="2"/>
      <c r="AJ2151" s="215"/>
      <c r="AK2151" s="215"/>
      <c r="AL2151" s="215"/>
      <c r="AM2151" s="215"/>
      <c r="AO2151" s="10"/>
      <c r="AP2151" s="10"/>
      <c r="AQ2151" s="10"/>
      <c r="AR2151" s="10"/>
      <c r="AS2151" s="10"/>
      <c r="AU2151" s="2"/>
      <c r="AV2151" s="2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</row>
    <row r="2152" spans="1:73" customFormat="1" ht="12.75" hidden="1" customHeight="1" x14ac:dyDescent="0.2">
      <c r="A2152" s="1"/>
      <c r="B2152" s="1"/>
      <c r="C2152" s="1"/>
      <c r="D2152" s="7"/>
      <c r="E2152" s="7"/>
      <c r="F2152" s="6"/>
      <c r="G2152" s="7"/>
      <c r="H2152" s="2"/>
      <c r="I2152" s="2"/>
      <c r="J2152" s="2"/>
      <c r="K2152" s="2"/>
      <c r="L2152" s="178"/>
      <c r="M2152" s="2"/>
      <c r="N2152" s="7"/>
      <c r="P2152" s="7"/>
      <c r="R2152" s="2"/>
      <c r="S2152" s="2"/>
      <c r="T2152" s="2"/>
      <c r="U2152" s="2"/>
      <c r="V2152" s="2"/>
      <c r="X2152" s="38"/>
      <c r="Y2152" s="38"/>
      <c r="Z2152" s="38"/>
      <c r="AA2152" s="38"/>
      <c r="AB2152" s="38"/>
      <c r="AD2152" s="2"/>
      <c r="AE2152" s="2"/>
      <c r="AF2152" s="2"/>
      <c r="AG2152" s="2"/>
      <c r="AH2152" s="2"/>
      <c r="AJ2152" s="215"/>
      <c r="AK2152" s="215"/>
      <c r="AL2152" s="215"/>
      <c r="AM2152" s="215"/>
      <c r="AO2152" s="10"/>
      <c r="AP2152" s="10"/>
      <c r="AQ2152" s="10"/>
      <c r="AR2152" s="10"/>
      <c r="AS2152" s="10"/>
      <c r="AU2152" s="2"/>
      <c r="AV2152" s="2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</row>
    <row r="2153" spans="1:73" customFormat="1" ht="12.75" hidden="1" customHeight="1" x14ac:dyDescent="0.2">
      <c r="A2153" s="1"/>
      <c r="B2153" s="1"/>
      <c r="C2153" s="1"/>
      <c r="D2153" s="7"/>
      <c r="E2153" s="7"/>
      <c r="F2153" s="6"/>
      <c r="G2153" s="7"/>
      <c r="H2153" s="2"/>
      <c r="I2153" s="2"/>
      <c r="J2153" s="2"/>
      <c r="K2153" s="2"/>
      <c r="L2153" s="178"/>
      <c r="M2153" s="2"/>
      <c r="N2153" s="7"/>
      <c r="P2153" s="7"/>
      <c r="R2153" s="2"/>
      <c r="S2153" s="2"/>
      <c r="T2153" s="2"/>
      <c r="U2153" s="2"/>
      <c r="V2153" s="2"/>
      <c r="X2153" s="38"/>
      <c r="Y2153" s="38"/>
      <c r="Z2153" s="38"/>
      <c r="AA2153" s="38"/>
      <c r="AB2153" s="38"/>
      <c r="AD2153" s="2"/>
      <c r="AE2153" s="2"/>
      <c r="AF2153" s="2"/>
      <c r="AG2153" s="2"/>
      <c r="AH2153" s="2"/>
      <c r="AJ2153" s="215"/>
      <c r="AK2153" s="215"/>
      <c r="AL2153" s="215"/>
      <c r="AM2153" s="215"/>
      <c r="AO2153" s="10"/>
      <c r="AP2153" s="10"/>
      <c r="AQ2153" s="10"/>
      <c r="AR2153" s="10"/>
      <c r="AS2153" s="10"/>
      <c r="AU2153" s="2"/>
      <c r="AV2153" s="2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</row>
    <row r="2154" spans="1:73" customFormat="1" ht="12.75" hidden="1" customHeight="1" x14ac:dyDescent="0.2">
      <c r="A2154" s="1"/>
      <c r="B2154" s="1"/>
      <c r="C2154" s="1"/>
      <c r="D2154" s="7"/>
      <c r="E2154" s="7"/>
      <c r="F2154" s="6"/>
      <c r="G2154" s="7"/>
      <c r="H2154" s="2"/>
      <c r="I2154" s="2"/>
      <c r="J2154" s="2"/>
      <c r="K2154" s="2"/>
      <c r="L2154" s="178"/>
      <c r="M2154" s="2"/>
      <c r="N2154" s="7"/>
      <c r="P2154" s="7"/>
      <c r="R2154" s="2"/>
      <c r="S2154" s="2"/>
      <c r="T2154" s="2"/>
      <c r="U2154" s="2"/>
      <c r="V2154" s="2"/>
      <c r="X2154" s="38"/>
      <c r="Y2154" s="38"/>
      <c r="Z2154" s="38"/>
      <c r="AA2154" s="38"/>
      <c r="AB2154" s="38"/>
      <c r="AD2154" s="2"/>
      <c r="AE2154" s="2"/>
      <c r="AF2154" s="2"/>
      <c r="AG2154" s="2"/>
      <c r="AH2154" s="2"/>
      <c r="AJ2154" s="215"/>
      <c r="AK2154" s="215"/>
      <c r="AL2154" s="215"/>
      <c r="AM2154" s="215"/>
      <c r="AO2154" s="10"/>
      <c r="AP2154" s="10"/>
      <c r="AQ2154" s="10"/>
      <c r="AR2154" s="10"/>
      <c r="AS2154" s="10"/>
      <c r="AU2154" s="2"/>
      <c r="AV2154" s="2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</row>
    <row r="2155" spans="1:73" customFormat="1" ht="12.75" hidden="1" customHeight="1" x14ac:dyDescent="0.2">
      <c r="A2155" s="1"/>
      <c r="B2155" s="1"/>
      <c r="C2155" s="1"/>
      <c r="D2155" s="7"/>
      <c r="E2155" s="7"/>
      <c r="F2155" s="6"/>
      <c r="G2155" s="7"/>
      <c r="H2155" s="2"/>
      <c r="I2155" s="2"/>
      <c r="J2155" s="2"/>
      <c r="K2155" s="2"/>
      <c r="L2155" s="178"/>
      <c r="M2155" s="2"/>
      <c r="N2155" s="7"/>
      <c r="P2155" s="7"/>
      <c r="R2155" s="2"/>
      <c r="S2155" s="2"/>
      <c r="T2155" s="2"/>
      <c r="U2155" s="2"/>
      <c r="V2155" s="2"/>
      <c r="X2155" s="38"/>
      <c r="Y2155" s="38"/>
      <c r="Z2155" s="38"/>
      <c r="AA2155" s="38"/>
      <c r="AB2155" s="38"/>
      <c r="AD2155" s="2"/>
      <c r="AE2155" s="2"/>
      <c r="AF2155" s="2"/>
      <c r="AG2155" s="2"/>
      <c r="AH2155" s="2"/>
      <c r="AJ2155" s="215"/>
      <c r="AK2155" s="215"/>
      <c r="AL2155" s="215"/>
      <c r="AM2155" s="215"/>
      <c r="AO2155" s="10"/>
      <c r="AP2155" s="10"/>
      <c r="AQ2155" s="10"/>
      <c r="AR2155" s="10"/>
      <c r="AS2155" s="10"/>
      <c r="AU2155" s="2"/>
      <c r="AV2155" s="2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</row>
    <row r="2156" spans="1:73" customFormat="1" ht="12.75" hidden="1" customHeight="1" x14ac:dyDescent="0.2">
      <c r="A2156" s="1"/>
      <c r="B2156" s="1"/>
      <c r="C2156" s="1"/>
      <c r="D2156" s="7"/>
      <c r="E2156" s="7"/>
      <c r="F2156" s="6"/>
      <c r="G2156" s="7"/>
      <c r="H2156" s="2"/>
      <c r="I2156" s="2"/>
      <c r="J2156" s="2"/>
      <c r="K2156" s="2"/>
      <c r="L2156" s="178"/>
      <c r="M2156" s="2"/>
      <c r="N2156" s="7"/>
      <c r="P2156" s="7"/>
      <c r="R2156" s="2"/>
      <c r="S2156" s="2"/>
      <c r="T2156" s="2"/>
      <c r="U2156" s="2"/>
      <c r="V2156" s="2"/>
      <c r="X2156" s="38"/>
      <c r="Y2156" s="38"/>
      <c r="Z2156" s="38"/>
      <c r="AA2156" s="38"/>
      <c r="AB2156" s="38"/>
      <c r="AD2156" s="2"/>
      <c r="AE2156" s="2"/>
      <c r="AF2156" s="2"/>
      <c r="AG2156" s="2"/>
      <c r="AH2156" s="2"/>
      <c r="AJ2156" s="215"/>
      <c r="AK2156" s="215"/>
      <c r="AL2156" s="215"/>
      <c r="AM2156" s="215"/>
      <c r="AO2156" s="10"/>
      <c r="AP2156" s="10"/>
      <c r="AQ2156" s="10"/>
      <c r="AR2156" s="10"/>
      <c r="AS2156" s="10"/>
      <c r="AU2156" s="2"/>
      <c r="AV2156" s="2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</row>
    <row r="2157" spans="1:73" customFormat="1" ht="12.75" hidden="1" customHeight="1" x14ac:dyDescent="0.2">
      <c r="A2157" s="1"/>
      <c r="B2157" s="1"/>
      <c r="C2157" s="1"/>
      <c r="D2157" s="7"/>
      <c r="E2157" s="7"/>
      <c r="F2157" s="6"/>
      <c r="G2157" s="7"/>
      <c r="H2157" s="2"/>
      <c r="I2157" s="2"/>
      <c r="J2157" s="2"/>
      <c r="K2157" s="2"/>
      <c r="L2157" s="178"/>
      <c r="M2157" s="2"/>
      <c r="N2157" s="7"/>
      <c r="P2157" s="7"/>
      <c r="R2157" s="2"/>
      <c r="S2157" s="2"/>
      <c r="T2157" s="2"/>
      <c r="U2157" s="2"/>
      <c r="V2157" s="2"/>
      <c r="X2157" s="38"/>
      <c r="Y2157" s="38"/>
      <c r="Z2157" s="38"/>
      <c r="AA2157" s="38"/>
      <c r="AB2157" s="38"/>
      <c r="AD2157" s="2"/>
      <c r="AE2157" s="2"/>
      <c r="AF2157" s="2"/>
      <c r="AG2157" s="2"/>
      <c r="AH2157" s="2"/>
      <c r="AJ2157" s="215"/>
      <c r="AK2157" s="215"/>
      <c r="AL2157" s="215"/>
      <c r="AM2157" s="215"/>
      <c r="AO2157" s="10"/>
      <c r="AP2157" s="10"/>
      <c r="AQ2157" s="10"/>
      <c r="AR2157" s="10"/>
      <c r="AS2157" s="10"/>
      <c r="AU2157" s="2"/>
      <c r="AV2157" s="2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</row>
    <row r="2158" spans="1:73" customFormat="1" ht="12.75" hidden="1" customHeight="1" x14ac:dyDescent="0.2">
      <c r="A2158" s="1"/>
      <c r="B2158" s="1"/>
      <c r="C2158" s="1"/>
      <c r="D2158" s="7"/>
      <c r="E2158" s="7"/>
      <c r="F2158" s="6"/>
      <c r="G2158" s="7"/>
      <c r="H2158" s="2"/>
      <c r="I2158" s="2"/>
      <c r="J2158" s="2"/>
      <c r="K2158" s="2"/>
      <c r="L2158" s="178"/>
      <c r="M2158" s="2"/>
      <c r="N2158" s="7"/>
      <c r="P2158" s="7"/>
      <c r="R2158" s="2"/>
      <c r="S2158" s="2"/>
      <c r="T2158" s="2"/>
      <c r="U2158" s="2"/>
      <c r="V2158" s="2"/>
      <c r="X2158" s="38"/>
      <c r="Y2158" s="38"/>
      <c r="Z2158" s="38"/>
      <c r="AA2158" s="38"/>
      <c r="AB2158" s="38"/>
      <c r="AD2158" s="2"/>
      <c r="AE2158" s="2"/>
      <c r="AF2158" s="2"/>
      <c r="AG2158" s="2"/>
      <c r="AH2158" s="2"/>
      <c r="AJ2158" s="215"/>
      <c r="AK2158" s="215"/>
      <c r="AL2158" s="215"/>
      <c r="AM2158" s="215"/>
      <c r="AO2158" s="10"/>
      <c r="AP2158" s="10"/>
      <c r="AQ2158" s="10"/>
      <c r="AR2158" s="10"/>
      <c r="AS2158" s="10"/>
      <c r="AU2158" s="2"/>
      <c r="AV2158" s="2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</row>
    <row r="2159" spans="1:73" customFormat="1" ht="12.75" hidden="1" customHeight="1" x14ac:dyDescent="0.2">
      <c r="A2159" s="1"/>
      <c r="B2159" s="1"/>
      <c r="C2159" s="1"/>
      <c r="D2159" s="7"/>
      <c r="E2159" s="7"/>
      <c r="F2159" s="6"/>
      <c r="G2159" s="7"/>
      <c r="H2159" s="2"/>
      <c r="I2159" s="2"/>
      <c r="J2159" s="2"/>
      <c r="K2159" s="2"/>
      <c r="L2159" s="178"/>
      <c r="M2159" s="2"/>
      <c r="N2159" s="7"/>
      <c r="P2159" s="7"/>
      <c r="R2159" s="2"/>
      <c r="S2159" s="2"/>
      <c r="T2159" s="2"/>
      <c r="U2159" s="2"/>
      <c r="V2159" s="2"/>
      <c r="X2159" s="38"/>
      <c r="Y2159" s="38"/>
      <c r="Z2159" s="38"/>
      <c r="AA2159" s="38"/>
      <c r="AB2159" s="38"/>
      <c r="AD2159" s="2"/>
      <c r="AE2159" s="2"/>
      <c r="AF2159" s="2"/>
      <c r="AG2159" s="2"/>
      <c r="AH2159" s="2"/>
      <c r="AJ2159" s="215"/>
      <c r="AK2159" s="215"/>
      <c r="AL2159" s="215"/>
      <c r="AM2159" s="215"/>
      <c r="AO2159" s="10"/>
      <c r="AP2159" s="10"/>
      <c r="AQ2159" s="10"/>
      <c r="AR2159" s="10"/>
      <c r="AS2159" s="10"/>
      <c r="AU2159" s="2"/>
      <c r="AV2159" s="2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</row>
    <row r="2160" spans="1:73" customFormat="1" ht="12.75" hidden="1" customHeight="1" x14ac:dyDescent="0.2">
      <c r="A2160" s="1"/>
      <c r="B2160" s="1"/>
      <c r="C2160" s="1"/>
      <c r="D2160" s="7"/>
      <c r="E2160" s="7"/>
      <c r="F2160" s="6"/>
      <c r="G2160" s="7"/>
      <c r="H2160" s="2"/>
      <c r="I2160" s="2"/>
      <c r="J2160" s="2"/>
      <c r="K2160" s="2"/>
      <c r="L2160" s="178"/>
      <c r="M2160" s="2"/>
      <c r="N2160" s="7"/>
      <c r="P2160" s="7"/>
      <c r="R2160" s="2"/>
      <c r="S2160" s="2"/>
      <c r="T2160" s="2"/>
      <c r="U2160" s="2"/>
      <c r="V2160" s="2"/>
      <c r="X2160" s="38"/>
      <c r="Y2160" s="38"/>
      <c r="Z2160" s="38"/>
      <c r="AA2160" s="38"/>
      <c r="AB2160" s="38"/>
      <c r="AD2160" s="2"/>
      <c r="AE2160" s="2"/>
      <c r="AF2160" s="2"/>
      <c r="AG2160" s="2"/>
      <c r="AH2160" s="2"/>
      <c r="AJ2160" s="215"/>
      <c r="AK2160" s="215"/>
      <c r="AL2160" s="215"/>
      <c r="AM2160" s="215"/>
      <c r="AO2160" s="10"/>
      <c r="AP2160" s="10"/>
      <c r="AQ2160" s="10"/>
      <c r="AR2160" s="10"/>
      <c r="AS2160" s="10"/>
      <c r="AU2160" s="2"/>
      <c r="AV2160" s="2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</row>
    <row r="2161" spans="1:73" customFormat="1" ht="12.75" hidden="1" customHeight="1" x14ac:dyDescent="0.2">
      <c r="A2161" s="1"/>
      <c r="B2161" s="1"/>
      <c r="C2161" s="1"/>
      <c r="D2161" s="7"/>
      <c r="E2161" s="7"/>
      <c r="F2161" s="6"/>
      <c r="G2161" s="7"/>
      <c r="H2161" s="2"/>
      <c r="I2161" s="2"/>
      <c r="J2161" s="2"/>
      <c r="K2161" s="2"/>
      <c r="L2161" s="178"/>
      <c r="M2161" s="2"/>
      <c r="N2161" s="7"/>
      <c r="P2161" s="7"/>
      <c r="R2161" s="2"/>
      <c r="S2161" s="2"/>
      <c r="T2161" s="2"/>
      <c r="U2161" s="2"/>
      <c r="V2161" s="2"/>
      <c r="X2161" s="38"/>
      <c r="Y2161" s="38"/>
      <c r="Z2161" s="38"/>
      <c r="AA2161" s="38"/>
      <c r="AB2161" s="38"/>
      <c r="AD2161" s="2"/>
      <c r="AE2161" s="2"/>
      <c r="AF2161" s="2"/>
      <c r="AG2161" s="2"/>
      <c r="AH2161" s="2"/>
      <c r="AJ2161" s="215"/>
      <c r="AK2161" s="215"/>
      <c r="AL2161" s="215"/>
      <c r="AM2161" s="215"/>
      <c r="AO2161" s="10"/>
      <c r="AP2161" s="10"/>
      <c r="AQ2161" s="10"/>
      <c r="AR2161" s="10"/>
      <c r="AS2161" s="10"/>
      <c r="AU2161" s="2"/>
      <c r="AV2161" s="2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</row>
    <row r="2162" spans="1:73" customFormat="1" ht="12.75" hidden="1" customHeight="1" x14ac:dyDescent="0.2">
      <c r="A2162" s="1"/>
      <c r="B2162" s="1"/>
      <c r="C2162" s="1"/>
      <c r="D2162" s="7"/>
      <c r="E2162" s="7"/>
      <c r="F2162" s="6"/>
      <c r="G2162" s="7"/>
      <c r="H2162" s="2"/>
      <c r="I2162" s="2"/>
      <c r="J2162" s="2"/>
      <c r="K2162" s="2"/>
      <c r="L2162" s="178"/>
      <c r="M2162" s="2"/>
      <c r="N2162" s="7"/>
      <c r="P2162" s="7"/>
      <c r="R2162" s="2"/>
      <c r="S2162" s="2"/>
      <c r="T2162" s="2"/>
      <c r="U2162" s="2"/>
      <c r="V2162" s="2"/>
      <c r="X2162" s="38"/>
      <c r="Y2162" s="38"/>
      <c r="Z2162" s="38"/>
      <c r="AA2162" s="38"/>
      <c r="AB2162" s="38"/>
      <c r="AD2162" s="2"/>
      <c r="AE2162" s="2"/>
      <c r="AF2162" s="2"/>
      <c r="AG2162" s="2"/>
      <c r="AH2162" s="2"/>
      <c r="AJ2162" s="215"/>
      <c r="AK2162" s="215"/>
      <c r="AL2162" s="215"/>
      <c r="AM2162" s="215"/>
      <c r="AO2162" s="10"/>
      <c r="AP2162" s="10"/>
      <c r="AQ2162" s="10"/>
      <c r="AR2162" s="10"/>
      <c r="AS2162" s="10"/>
      <c r="AU2162" s="2"/>
      <c r="AV2162" s="2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</row>
    <row r="2163" spans="1:73" customFormat="1" ht="12.75" hidden="1" customHeight="1" x14ac:dyDescent="0.2">
      <c r="A2163" s="1"/>
      <c r="B2163" s="1"/>
      <c r="C2163" s="1"/>
      <c r="D2163" s="7"/>
      <c r="E2163" s="7"/>
      <c r="F2163" s="6"/>
      <c r="G2163" s="7"/>
      <c r="H2163" s="2"/>
      <c r="I2163" s="2"/>
      <c r="J2163" s="2"/>
      <c r="K2163" s="2"/>
      <c r="L2163" s="178"/>
      <c r="M2163" s="2"/>
      <c r="N2163" s="7"/>
      <c r="P2163" s="7"/>
      <c r="R2163" s="2"/>
      <c r="S2163" s="2"/>
      <c r="T2163" s="2"/>
      <c r="U2163" s="2"/>
      <c r="V2163" s="2"/>
      <c r="X2163" s="38"/>
      <c r="Y2163" s="38"/>
      <c r="Z2163" s="38"/>
      <c r="AA2163" s="38"/>
      <c r="AB2163" s="38"/>
      <c r="AD2163" s="2"/>
      <c r="AE2163" s="2"/>
      <c r="AF2163" s="2"/>
      <c r="AG2163" s="2"/>
      <c r="AH2163" s="2"/>
      <c r="AJ2163" s="215"/>
      <c r="AK2163" s="215"/>
      <c r="AL2163" s="215"/>
      <c r="AM2163" s="215"/>
      <c r="AO2163" s="10"/>
      <c r="AP2163" s="10"/>
      <c r="AQ2163" s="10"/>
      <c r="AR2163" s="10"/>
      <c r="AS2163" s="10"/>
      <c r="AU2163" s="2"/>
      <c r="AV2163" s="2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</row>
    <row r="2164" spans="1:73" customFormat="1" ht="12.75" hidden="1" customHeight="1" x14ac:dyDescent="0.2">
      <c r="A2164" s="1"/>
      <c r="B2164" s="1"/>
      <c r="C2164" s="1"/>
      <c r="D2164" s="7"/>
      <c r="E2164" s="7"/>
      <c r="F2164" s="6"/>
      <c r="G2164" s="7"/>
      <c r="H2164" s="2"/>
      <c r="I2164" s="2"/>
      <c r="J2164" s="2"/>
      <c r="K2164" s="2"/>
      <c r="L2164" s="178"/>
      <c r="M2164" s="2"/>
      <c r="N2164" s="7"/>
      <c r="P2164" s="7"/>
      <c r="R2164" s="2"/>
      <c r="S2164" s="2"/>
      <c r="T2164" s="2"/>
      <c r="U2164" s="2"/>
      <c r="V2164" s="2"/>
      <c r="X2164" s="38"/>
      <c r="Y2164" s="38"/>
      <c r="Z2164" s="38"/>
      <c r="AA2164" s="38"/>
      <c r="AB2164" s="38"/>
      <c r="AD2164" s="2"/>
      <c r="AE2164" s="2"/>
      <c r="AF2164" s="2"/>
      <c r="AG2164" s="2"/>
      <c r="AH2164" s="2"/>
      <c r="AJ2164" s="215"/>
      <c r="AK2164" s="215"/>
      <c r="AL2164" s="215"/>
      <c r="AM2164" s="215"/>
      <c r="AO2164" s="10"/>
      <c r="AP2164" s="10"/>
      <c r="AQ2164" s="10"/>
      <c r="AR2164" s="10"/>
      <c r="AS2164" s="10"/>
      <c r="AU2164" s="2"/>
      <c r="AV2164" s="2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</row>
    <row r="2165" spans="1:73" customFormat="1" ht="12.75" hidden="1" customHeight="1" x14ac:dyDescent="0.2">
      <c r="A2165" s="1"/>
      <c r="B2165" s="1"/>
      <c r="C2165" s="1"/>
      <c r="D2165" s="7"/>
      <c r="E2165" s="7"/>
      <c r="F2165" s="6"/>
      <c r="G2165" s="7"/>
      <c r="H2165" s="2"/>
      <c r="I2165" s="2"/>
      <c r="J2165" s="2"/>
      <c r="K2165" s="2"/>
      <c r="L2165" s="178"/>
      <c r="M2165" s="2"/>
      <c r="N2165" s="7"/>
      <c r="P2165" s="7"/>
      <c r="R2165" s="2"/>
      <c r="S2165" s="2"/>
      <c r="T2165" s="2"/>
      <c r="U2165" s="2"/>
      <c r="V2165" s="2"/>
      <c r="X2165" s="38"/>
      <c r="Y2165" s="38"/>
      <c r="Z2165" s="38"/>
      <c r="AA2165" s="38"/>
      <c r="AB2165" s="38"/>
      <c r="AD2165" s="2"/>
      <c r="AE2165" s="2"/>
      <c r="AF2165" s="2"/>
      <c r="AG2165" s="2"/>
      <c r="AH2165" s="2"/>
      <c r="AJ2165" s="215"/>
      <c r="AK2165" s="215"/>
      <c r="AL2165" s="215"/>
      <c r="AM2165" s="215"/>
      <c r="AO2165" s="10"/>
      <c r="AP2165" s="10"/>
      <c r="AQ2165" s="10"/>
      <c r="AR2165" s="10"/>
      <c r="AS2165" s="10"/>
      <c r="AU2165" s="2"/>
      <c r="AV2165" s="2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</row>
    <row r="2166" spans="1:73" customFormat="1" ht="12.75" hidden="1" customHeight="1" x14ac:dyDescent="0.2">
      <c r="A2166" s="1"/>
      <c r="B2166" s="1"/>
      <c r="C2166" s="1"/>
      <c r="D2166" s="7"/>
      <c r="E2166" s="7"/>
      <c r="F2166" s="6"/>
      <c r="G2166" s="7"/>
      <c r="H2166" s="2"/>
      <c r="I2166" s="2"/>
      <c r="J2166" s="2"/>
      <c r="K2166" s="2"/>
      <c r="L2166" s="178"/>
      <c r="M2166" s="2"/>
      <c r="N2166" s="7"/>
      <c r="P2166" s="7"/>
      <c r="R2166" s="2"/>
      <c r="S2166" s="2"/>
      <c r="T2166" s="2"/>
      <c r="U2166" s="2"/>
      <c r="V2166" s="2"/>
      <c r="X2166" s="38"/>
      <c r="Y2166" s="38"/>
      <c r="Z2166" s="38"/>
      <c r="AA2166" s="38"/>
      <c r="AB2166" s="38"/>
      <c r="AD2166" s="2"/>
      <c r="AE2166" s="2"/>
      <c r="AF2166" s="2"/>
      <c r="AG2166" s="2"/>
      <c r="AH2166" s="2"/>
      <c r="AJ2166" s="215"/>
      <c r="AK2166" s="215"/>
      <c r="AL2166" s="215"/>
      <c r="AM2166" s="215"/>
      <c r="AO2166" s="10"/>
      <c r="AP2166" s="10"/>
      <c r="AQ2166" s="10"/>
      <c r="AR2166" s="10"/>
      <c r="AS2166" s="10"/>
      <c r="AU2166" s="2"/>
      <c r="AV2166" s="2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</row>
    <row r="2167" spans="1:73" customFormat="1" ht="12.75" hidden="1" customHeight="1" x14ac:dyDescent="0.2">
      <c r="A2167" s="1"/>
      <c r="B2167" s="1"/>
      <c r="C2167" s="1"/>
      <c r="D2167" s="7"/>
      <c r="E2167" s="7"/>
      <c r="F2167" s="6"/>
      <c r="G2167" s="7"/>
      <c r="H2167" s="2"/>
      <c r="I2167" s="2"/>
      <c r="J2167" s="2"/>
      <c r="K2167" s="2"/>
      <c r="L2167" s="178"/>
      <c r="M2167" s="2"/>
      <c r="N2167" s="7"/>
      <c r="P2167" s="7"/>
      <c r="R2167" s="2"/>
      <c r="S2167" s="2"/>
      <c r="T2167" s="2"/>
      <c r="U2167" s="2"/>
      <c r="V2167" s="2"/>
      <c r="X2167" s="38"/>
      <c r="Y2167" s="38"/>
      <c r="Z2167" s="38"/>
      <c r="AA2167" s="38"/>
      <c r="AB2167" s="38"/>
      <c r="AD2167" s="2"/>
      <c r="AE2167" s="2"/>
      <c r="AF2167" s="2"/>
      <c r="AG2167" s="2"/>
      <c r="AH2167" s="2"/>
      <c r="AJ2167" s="215"/>
      <c r="AK2167" s="215"/>
      <c r="AL2167" s="215"/>
      <c r="AM2167" s="215"/>
      <c r="AO2167" s="10"/>
      <c r="AP2167" s="10"/>
      <c r="AQ2167" s="10"/>
      <c r="AR2167" s="10"/>
      <c r="AS2167" s="10"/>
      <c r="AU2167" s="2"/>
      <c r="AV2167" s="2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</row>
    <row r="2168" spans="1:73" customFormat="1" ht="12.75" hidden="1" customHeight="1" x14ac:dyDescent="0.2">
      <c r="A2168" s="1"/>
      <c r="B2168" s="1"/>
      <c r="C2168" s="1"/>
      <c r="D2168" s="7"/>
      <c r="E2168" s="7"/>
      <c r="F2168" s="6"/>
      <c r="G2168" s="7"/>
      <c r="H2168" s="2"/>
      <c r="I2168" s="2"/>
      <c r="J2168" s="2"/>
      <c r="K2168" s="2"/>
      <c r="L2168" s="178"/>
      <c r="M2168" s="2"/>
      <c r="N2168" s="7"/>
      <c r="P2168" s="7"/>
      <c r="R2168" s="2"/>
      <c r="S2168" s="2"/>
      <c r="T2168" s="2"/>
      <c r="U2168" s="2"/>
      <c r="V2168" s="2"/>
      <c r="X2168" s="38"/>
      <c r="Y2168" s="38"/>
      <c r="Z2168" s="38"/>
      <c r="AA2168" s="38"/>
      <c r="AB2168" s="38"/>
      <c r="AD2168" s="2"/>
      <c r="AE2168" s="2"/>
      <c r="AF2168" s="2"/>
      <c r="AG2168" s="2"/>
      <c r="AH2168" s="2"/>
      <c r="AJ2168" s="215"/>
      <c r="AK2168" s="215"/>
      <c r="AL2168" s="215"/>
      <c r="AM2168" s="215"/>
      <c r="AO2168" s="10"/>
      <c r="AP2168" s="10"/>
      <c r="AQ2168" s="10"/>
      <c r="AR2168" s="10"/>
      <c r="AS2168" s="10"/>
      <c r="AU2168" s="2"/>
      <c r="AV2168" s="2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</row>
    <row r="2169" spans="1:73" customFormat="1" ht="12.75" hidden="1" customHeight="1" x14ac:dyDescent="0.2">
      <c r="A2169" s="1"/>
      <c r="B2169" s="1"/>
      <c r="C2169" s="1"/>
      <c r="D2169" s="7"/>
      <c r="E2169" s="7"/>
      <c r="F2169" s="6"/>
      <c r="G2169" s="7"/>
      <c r="H2169" s="2"/>
      <c r="I2169" s="2"/>
      <c r="J2169" s="2"/>
      <c r="K2169" s="2"/>
      <c r="L2169" s="178"/>
      <c r="M2169" s="2"/>
      <c r="N2169" s="7"/>
      <c r="P2169" s="7"/>
      <c r="R2169" s="2"/>
      <c r="S2169" s="2"/>
      <c r="T2169" s="2"/>
      <c r="U2169" s="2"/>
      <c r="V2169" s="2"/>
      <c r="X2169" s="38"/>
      <c r="Y2169" s="38"/>
      <c r="Z2169" s="38"/>
      <c r="AA2169" s="38"/>
      <c r="AB2169" s="38"/>
      <c r="AD2169" s="2"/>
      <c r="AE2169" s="2"/>
      <c r="AF2169" s="2"/>
      <c r="AG2169" s="2"/>
      <c r="AH2169" s="2"/>
      <c r="AJ2169" s="215"/>
      <c r="AK2169" s="215"/>
      <c r="AL2169" s="215"/>
      <c r="AM2169" s="215"/>
      <c r="AO2169" s="10"/>
      <c r="AP2169" s="10"/>
      <c r="AQ2169" s="10"/>
      <c r="AR2169" s="10"/>
      <c r="AS2169" s="10"/>
      <c r="AU2169" s="2"/>
      <c r="AV2169" s="2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</row>
    <row r="2170" spans="1:73" customFormat="1" ht="12.75" hidden="1" customHeight="1" x14ac:dyDescent="0.2">
      <c r="A2170" s="1"/>
      <c r="B2170" s="1"/>
      <c r="C2170" s="1"/>
      <c r="D2170" s="7"/>
      <c r="E2170" s="7"/>
      <c r="F2170" s="6"/>
      <c r="G2170" s="7"/>
      <c r="H2170" s="2"/>
      <c r="I2170" s="2"/>
      <c r="J2170" s="2"/>
      <c r="K2170" s="2"/>
      <c r="L2170" s="178"/>
      <c r="M2170" s="2"/>
      <c r="N2170" s="7"/>
      <c r="P2170" s="7"/>
      <c r="R2170" s="2"/>
      <c r="S2170" s="2"/>
      <c r="T2170" s="2"/>
      <c r="U2170" s="2"/>
      <c r="V2170" s="2"/>
      <c r="X2170" s="38"/>
      <c r="Y2170" s="38"/>
      <c r="Z2170" s="38"/>
      <c r="AA2170" s="38"/>
      <c r="AB2170" s="38"/>
      <c r="AD2170" s="2"/>
      <c r="AE2170" s="2"/>
      <c r="AF2170" s="2"/>
      <c r="AG2170" s="2"/>
      <c r="AH2170" s="2"/>
      <c r="AJ2170" s="215"/>
      <c r="AK2170" s="215"/>
      <c r="AL2170" s="215"/>
      <c r="AM2170" s="215"/>
      <c r="AO2170" s="10"/>
      <c r="AP2170" s="10"/>
      <c r="AQ2170" s="10"/>
      <c r="AR2170" s="10"/>
      <c r="AS2170" s="10"/>
      <c r="AU2170" s="2"/>
      <c r="AV2170" s="2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</row>
    <row r="2171" spans="1:73" customFormat="1" ht="12.75" hidden="1" customHeight="1" x14ac:dyDescent="0.2">
      <c r="A2171" s="1"/>
      <c r="B2171" s="1"/>
      <c r="C2171" s="1"/>
      <c r="D2171" s="7"/>
      <c r="E2171" s="7"/>
      <c r="F2171" s="6"/>
      <c r="G2171" s="7"/>
      <c r="H2171" s="2"/>
      <c r="I2171" s="2"/>
      <c r="J2171" s="2"/>
      <c r="K2171" s="2"/>
      <c r="L2171" s="178"/>
      <c r="M2171" s="2"/>
      <c r="N2171" s="7"/>
      <c r="P2171" s="7"/>
      <c r="R2171" s="2"/>
      <c r="S2171" s="2"/>
      <c r="T2171" s="2"/>
      <c r="U2171" s="2"/>
      <c r="V2171" s="2"/>
      <c r="X2171" s="38"/>
      <c r="Y2171" s="38"/>
      <c r="Z2171" s="38"/>
      <c r="AA2171" s="38"/>
      <c r="AB2171" s="38"/>
      <c r="AD2171" s="2"/>
      <c r="AE2171" s="2"/>
      <c r="AF2171" s="2"/>
      <c r="AG2171" s="2"/>
      <c r="AH2171" s="2"/>
      <c r="AJ2171" s="215"/>
      <c r="AK2171" s="215"/>
      <c r="AL2171" s="215"/>
      <c r="AM2171" s="215"/>
      <c r="AO2171" s="10"/>
      <c r="AP2171" s="10"/>
      <c r="AQ2171" s="10"/>
      <c r="AR2171" s="10"/>
      <c r="AS2171" s="10"/>
      <c r="AU2171" s="2"/>
      <c r="AV2171" s="2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</row>
    <row r="2172" spans="1:73" customFormat="1" ht="12.75" hidden="1" customHeight="1" x14ac:dyDescent="0.2">
      <c r="A2172" s="1"/>
      <c r="B2172" s="1"/>
      <c r="C2172" s="1"/>
      <c r="D2172" s="7"/>
      <c r="E2172" s="7"/>
      <c r="F2172" s="6"/>
      <c r="G2172" s="7"/>
      <c r="H2172" s="2"/>
      <c r="I2172" s="2"/>
      <c r="J2172" s="2"/>
      <c r="K2172" s="2"/>
      <c r="L2172" s="178"/>
      <c r="M2172" s="2"/>
      <c r="N2172" s="7"/>
      <c r="P2172" s="7"/>
      <c r="R2172" s="2"/>
      <c r="S2172" s="2"/>
      <c r="T2172" s="2"/>
      <c r="U2172" s="2"/>
      <c r="V2172" s="2"/>
      <c r="X2172" s="38"/>
      <c r="Y2172" s="38"/>
      <c r="Z2172" s="38"/>
      <c r="AA2172" s="38"/>
      <c r="AB2172" s="38"/>
      <c r="AD2172" s="2"/>
      <c r="AE2172" s="2"/>
      <c r="AF2172" s="2"/>
      <c r="AG2172" s="2"/>
      <c r="AH2172" s="2"/>
      <c r="AJ2172" s="215"/>
      <c r="AK2172" s="215"/>
      <c r="AL2172" s="215"/>
      <c r="AM2172" s="215"/>
      <c r="AO2172" s="10"/>
      <c r="AP2172" s="10"/>
      <c r="AQ2172" s="10"/>
      <c r="AR2172" s="10"/>
      <c r="AS2172" s="10"/>
      <c r="AU2172" s="2"/>
      <c r="AV2172" s="2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</row>
    <row r="2173" spans="1:73" customFormat="1" ht="12.75" hidden="1" customHeight="1" x14ac:dyDescent="0.2">
      <c r="A2173" s="1"/>
      <c r="B2173" s="1"/>
      <c r="C2173" s="1"/>
      <c r="D2173" s="7"/>
      <c r="E2173" s="7"/>
      <c r="F2173" s="6"/>
      <c r="G2173" s="7"/>
      <c r="H2173" s="2"/>
      <c r="I2173" s="2"/>
      <c r="J2173" s="2"/>
      <c r="K2173" s="2"/>
      <c r="L2173" s="178"/>
      <c r="M2173" s="2"/>
      <c r="N2173" s="7"/>
      <c r="P2173" s="7"/>
      <c r="R2173" s="2"/>
      <c r="S2173" s="2"/>
      <c r="T2173" s="2"/>
      <c r="U2173" s="2"/>
      <c r="V2173" s="2"/>
      <c r="X2173" s="38"/>
      <c r="Y2173" s="38"/>
      <c r="Z2173" s="38"/>
      <c r="AA2173" s="38"/>
      <c r="AB2173" s="38"/>
      <c r="AD2173" s="2"/>
      <c r="AE2173" s="2"/>
      <c r="AF2173" s="2"/>
      <c r="AG2173" s="2"/>
      <c r="AH2173" s="2"/>
      <c r="AJ2173" s="215"/>
      <c r="AK2173" s="215"/>
      <c r="AL2173" s="215"/>
      <c r="AM2173" s="215"/>
      <c r="AO2173" s="10"/>
      <c r="AP2173" s="10"/>
      <c r="AQ2173" s="10"/>
      <c r="AR2173" s="10"/>
      <c r="AS2173" s="10"/>
      <c r="AU2173" s="2"/>
      <c r="AV2173" s="2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</row>
    <row r="2174" spans="1:73" customFormat="1" ht="12.75" hidden="1" customHeight="1" x14ac:dyDescent="0.2">
      <c r="A2174" s="1"/>
      <c r="B2174" s="1"/>
      <c r="C2174" s="1"/>
      <c r="D2174" s="7"/>
      <c r="E2174" s="7"/>
      <c r="F2174" s="6"/>
      <c r="G2174" s="7"/>
      <c r="H2174" s="2"/>
      <c r="I2174" s="2"/>
      <c r="J2174" s="2"/>
      <c r="K2174" s="2"/>
      <c r="L2174" s="178"/>
      <c r="M2174" s="2"/>
      <c r="N2174" s="7"/>
      <c r="P2174" s="7"/>
      <c r="R2174" s="2"/>
      <c r="S2174" s="2"/>
      <c r="T2174" s="2"/>
      <c r="U2174" s="2"/>
      <c r="V2174" s="2"/>
      <c r="X2174" s="38"/>
      <c r="Y2174" s="38"/>
      <c r="Z2174" s="38"/>
      <c r="AA2174" s="38"/>
      <c r="AB2174" s="38"/>
      <c r="AD2174" s="2"/>
      <c r="AE2174" s="2"/>
      <c r="AF2174" s="2"/>
      <c r="AG2174" s="2"/>
      <c r="AH2174" s="2"/>
      <c r="AJ2174" s="215"/>
      <c r="AK2174" s="215"/>
      <c r="AL2174" s="215"/>
      <c r="AM2174" s="215"/>
      <c r="AO2174" s="10"/>
      <c r="AP2174" s="10"/>
      <c r="AQ2174" s="10"/>
      <c r="AR2174" s="10"/>
      <c r="AS2174" s="10"/>
      <c r="AU2174" s="2"/>
      <c r="AV2174" s="2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</row>
    <row r="2175" spans="1:73" customFormat="1" ht="12.75" hidden="1" customHeight="1" x14ac:dyDescent="0.2">
      <c r="A2175" s="1"/>
      <c r="B2175" s="1"/>
      <c r="C2175" s="1"/>
      <c r="D2175" s="7"/>
      <c r="E2175" s="7"/>
      <c r="F2175" s="6"/>
      <c r="G2175" s="7"/>
      <c r="H2175" s="2"/>
      <c r="I2175" s="2"/>
      <c r="J2175" s="2"/>
      <c r="K2175" s="2"/>
      <c r="L2175" s="178"/>
      <c r="M2175" s="2"/>
      <c r="N2175" s="7"/>
      <c r="P2175" s="7"/>
      <c r="R2175" s="2"/>
      <c r="S2175" s="2"/>
      <c r="T2175" s="2"/>
      <c r="U2175" s="2"/>
      <c r="V2175" s="2"/>
      <c r="X2175" s="38"/>
      <c r="Y2175" s="38"/>
      <c r="Z2175" s="38"/>
      <c r="AA2175" s="38"/>
      <c r="AB2175" s="38"/>
      <c r="AD2175" s="2"/>
      <c r="AE2175" s="2"/>
      <c r="AF2175" s="2"/>
      <c r="AG2175" s="2"/>
      <c r="AH2175" s="2"/>
      <c r="AJ2175" s="215"/>
      <c r="AK2175" s="215"/>
      <c r="AL2175" s="215"/>
      <c r="AM2175" s="215"/>
      <c r="AO2175" s="10"/>
      <c r="AP2175" s="10"/>
      <c r="AQ2175" s="10"/>
      <c r="AR2175" s="10"/>
      <c r="AS2175" s="10"/>
      <c r="AU2175" s="2"/>
      <c r="AV2175" s="2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</row>
    <row r="2176" spans="1:73" customFormat="1" ht="12.75" hidden="1" customHeight="1" x14ac:dyDescent="0.2">
      <c r="A2176" s="1"/>
      <c r="B2176" s="1"/>
      <c r="C2176" s="1"/>
      <c r="D2176" s="7"/>
      <c r="E2176" s="7"/>
      <c r="F2176" s="6"/>
      <c r="G2176" s="7"/>
      <c r="H2176" s="2"/>
      <c r="I2176" s="2"/>
      <c r="J2176" s="2"/>
      <c r="K2176" s="2"/>
      <c r="L2176" s="178"/>
      <c r="M2176" s="2"/>
      <c r="N2176" s="7"/>
      <c r="P2176" s="7"/>
      <c r="R2176" s="2"/>
      <c r="S2176" s="2"/>
      <c r="T2176" s="2"/>
      <c r="U2176" s="2"/>
      <c r="V2176" s="2"/>
      <c r="X2176" s="38"/>
      <c r="Y2176" s="38"/>
      <c r="Z2176" s="38"/>
      <c r="AA2176" s="38"/>
      <c r="AB2176" s="38"/>
      <c r="AD2176" s="2"/>
      <c r="AE2176" s="2"/>
      <c r="AF2176" s="2"/>
      <c r="AG2176" s="2"/>
      <c r="AH2176" s="2"/>
      <c r="AJ2176" s="215"/>
      <c r="AK2176" s="215"/>
      <c r="AL2176" s="215"/>
      <c r="AM2176" s="215"/>
      <c r="AO2176" s="10"/>
      <c r="AP2176" s="10"/>
      <c r="AQ2176" s="10"/>
      <c r="AR2176" s="10"/>
      <c r="AS2176" s="10"/>
      <c r="AU2176" s="2"/>
      <c r="AV2176" s="2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</row>
    <row r="2177" spans="1:73" customFormat="1" ht="12.75" hidden="1" customHeight="1" x14ac:dyDescent="0.2">
      <c r="A2177" s="1"/>
      <c r="B2177" s="1"/>
      <c r="C2177" s="1"/>
      <c r="D2177" s="7"/>
      <c r="E2177" s="7"/>
      <c r="F2177" s="6"/>
      <c r="G2177" s="7"/>
      <c r="H2177" s="2"/>
      <c r="I2177" s="2"/>
      <c r="J2177" s="2"/>
      <c r="K2177" s="2"/>
      <c r="L2177" s="178"/>
      <c r="M2177" s="2"/>
      <c r="N2177" s="7"/>
      <c r="P2177" s="7"/>
      <c r="R2177" s="2"/>
      <c r="S2177" s="2"/>
      <c r="T2177" s="2"/>
      <c r="U2177" s="2"/>
      <c r="V2177" s="2"/>
      <c r="X2177" s="38"/>
      <c r="Y2177" s="38"/>
      <c r="Z2177" s="38"/>
      <c r="AA2177" s="38"/>
      <c r="AB2177" s="38"/>
      <c r="AD2177" s="2"/>
      <c r="AE2177" s="2"/>
      <c r="AF2177" s="2"/>
      <c r="AG2177" s="2"/>
      <c r="AH2177" s="2"/>
      <c r="AJ2177" s="215"/>
      <c r="AK2177" s="215"/>
      <c r="AL2177" s="215"/>
      <c r="AM2177" s="215"/>
      <c r="AO2177" s="10"/>
      <c r="AP2177" s="10"/>
      <c r="AQ2177" s="10"/>
      <c r="AR2177" s="10"/>
      <c r="AS2177" s="10"/>
      <c r="AU2177" s="2"/>
      <c r="AV2177" s="2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</row>
    <row r="2178" spans="1:73" customFormat="1" ht="12.75" hidden="1" customHeight="1" x14ac:dyDescent="0.2">
      <c r="A2178" s="1"/>
      <c r="B2178" s="1"/>
      <c r="C2178" s="1"/>
      <c r="D2178" s="7"/>
      <c r="E2178" s="7"/>
      <c r="F2178" s="6"/>
      <c r="G2178" s="7"/>
      <c r="H2178" s="2"/>
      <c r="I2178" s="2"/>
      <c r="J2178" s="2"/>
      <c r="K2178" s="2"/>
      <c r="L2178" s="178"/>
      <c r="M2178" s="2"/>
      <c r="N2178" s="7"/>
      <c r="P2178" s="7"/>
      <c r="R2178" s="2"/>
      <c r="S2178" s="2"/>
      <c r="T2178" s="2"/>
      <c r="U2178" s="2"/>
      <c r="V2178" s="2"/>
      <c r="X2178" s="38"/>
      <c r="Y2178" s="38"/>
      <c r="Z2178" s="38"/>
      <c r="AA2178" s="38"/>
      <c r="AB2178" s="38"/>
      <c r="AD2178" s="2"/>
      <c r="AE2178" s="2"/>
      <c r="AF2178" s="2"/>
      <c r="AG2178" s="2"/>
      <c r="AH2178" s="2"/>
      <c r="AJ2178" s="215"/>
      <c r="AK2178" s="215"/>
      <c r="AL2178" s="215"/>
      <c r="AM2178" s="215"/>
      <c r="AO2178" s="10"/>
      <c r="AP2178" s="10"/>
      <c r="AQ2178" s="10"/>
      <c r="AR2178" s="10"/>
      <c r="AS2178" s="10"/>
      <c r="AU2178" s="2"/>
      <c r="AV2178" s="2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</row>
    <row r="2179" spans="1:73" customFormat="1" ht="12.75" hidden="1" customHeight="1" x14ac:dyDescent="0.2">
      <c r="A2179" s="1"/>
      <c r="B2179" s="1"/>
      <c r="C2179" s="1"/>
      <c r="D2179" s="7"/>
      <c r="E2179" s="7"/>
      <c r="F2179" s="6"/>
      <c r="G2179" s="7"/>
      <c r="H2179" s="2"/>
      <c r="I2179" s="2"/>
      <c r="J2179" s="2"/>
      <c r="K2179" s="2"/>
      <c r="L2179" s="178"/>
      <c r="M2179" s="2"/>
      <c r="N2179" s="7"/>
      <c r="P2179" s="7"/>
      <c r="R2179" s="2"/>
      <c r="S2179" s="2"/>
      <c r="T2179" s="2"/>
      <c r="U2179" s="2"/>
      <c r="V2179" s="2"/>
      <c r="X2179" s="38"/>
      <c r="Y2179" s="38"/>
      <c r="Z2179" s="38"/>
      <c r="AA2179" s="38"/>
      <c r="AB2179" s="38"/>
      <c r="AD2179" s="2"/>
      <c r="AE2179" s="2"/>
      <c r="AF2179" s="2"/>
      <c r="AG2179" s="2"/>
      <c r="AH2179" s="2"/>
      <c r="AJ2179" s="215"/>
      <c r="AK2179" s="215"/>
      <c r="AL2179" s="215"/>
      <c r="AM2179" s="215"/>
      <c r="AO2179" s="10"/>
      <c r="AP2179" s="10"/>
      <c r="AQ2179" s="10"/>
      <c r="AR2179" s="10"/>
      <c r="AS2179" s="10"/>
      <c r="AU2179" s="2"/>
      <c r="AV2179" s="2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</row>
    <row r="2180" spans="1:73" customFormat="1" ht="12.75" hidden="1" customHeight="1" x14ac:dyDescent="0.2">
      <c r="A2180" s="1"/>
      <c r="B2180" s="1"/>
      <c r="C2180" s="1"/>
      <c r="D2180" s="7"/>
      <c r="E2180" s="7"/>
      <c r="F2180" s="6"/>
      <c r="G2180" s="7"/>
      <c r="H2180" s="2"/>
      <c r="I2180" s="2"/>
      <c r="J2180" s="2"/>
      <c r="K2180" s="2"/>
      <c r="L2180" s="178"/>
      <c r="M2180" s="2"/>
      <c r="N2180" s="7"/>
      <c r="P2180" s="7"/>
      <c r="R2180" s="2"/>
      <c r="S2180" s="2"/>
      <c r="T2180" s="2"/>
      <c r="U2180" s="2"/>
      <c r="V2180" s="2"/>
      <c r="X2180" s="38"/>
      <c r="Y2180" s="38"/>
      <c r="Z2180" s="38"/>
      <c r="AA2180" s="38"/>
      <c r="AB2180" s="38"/>
      <c r="AD2180" s="2"/>
      <c r="AE2180" s="2"/>
      <c r="AF2180" s="2"/>
      <c r="AG2180" s="2"/>
      <c r="AH2180" s="2"/>
      <c r="AJ2180" s="215"/>
      <c r="AK2180" s="215"/>
      <c r="AL2180" s="215"/>
      <c r="AM2180" s="215"/>
      <c r="AO2180" s="10"/>
      <c r="AP2180" s="10"/>
      <c r="AQ2180" s="10"/>
      <c r="AR2180" s="10"/>
      <c r="AS2180" s="10"/>
      <c r="AU2180" s="2"/>
      <c r="AV2180" s="2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</row>
    <row r="2181" spans="1:73" customFormat="1" ht="12.75" hidden="1" customHeight="1" x14ac:dyDescent="0.2">
      <c r="A2181" s="1"/>
      <c r="B2181" s="1"/>
      <c r="C2181" s="1"/>
      <c r="D2181" s="7"/>
      <c r="E2181" s="7"/>
      <c r="F2181" s="6"/>
      <c r="G2181" s="7"/>
      <c r="H2181" s="2"/>
      <c r="I2181" s="2"/>
      <c r="J2181" s="2"/>
      <c r="K2181" s="2"/>
      <c r="L2181" s="178"/>
      <c r="M2181" s="2"/>
      <c r="N2181" s="7"/>
      <c r="P2181" s="7"/>
      <c r="R2181" s="2"/>
      <c r="S2181" s="2"/>
      <c r="T2181" s="2"/>
      <c r="U2181" s="2"/>
      <c r="V2181" s="2"/>
      <c r="X2181" s="38"/>
      <c r="Y2181" s="38"/>
      <c r="Z2181" s="38"/>
      <c r="AA2181" s="38"/>
      <c r="AB2181" s="38"/>
      <c r="AD2181" s="2"/>
      <c r="AE2181" s="2"/>
      <c r="AF2181" s="2"/>
      <c r="AG2181" s="2"/>
      <c r="AH2181" s="2"/>
      <c r="AJ2181" s="215"/>
      <c r="AK2181" s="215"/>
      <c r="AL2181" s="215"/>
      <c r="AM2181" s="215"/>
      <c r="AO2181" s="10"/>
      <c r="AP2181" s="10"/>
      <c r="AQ2181" s="10"/>
      <c r="AR2181" s="10"/>
      <c r="AS2181" s="10"/>
      <c r="AU2181" s="2"/>
      <c r="AV2181" s="2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</row>
    <row r="2182" spans="1:73" customFormat="1" ht="12.75" hidden="1" customHeight="1" x14ac:dyDescent="0.2">
      <c r="A2182" s="1"/>
      <c r="B2182" s="1"/>
      <c r="C2182" s="1"/>
      <c r="D2182" s="7"/>
      <c r="E2182" s="7"/>
      <c r="F2182" s="6"/>
      <c r="G2182" s="7"/>
      <c r="H2182" s="2"/>
      <c r="I2182" s="2"/>
      <c r="J2182" s="2"/>
      <c r="K2182" s="2"/>
      <c r="L2182" s="178"/>
      <c r="M2182" s="2"/>
      <c r="N2182" s="7"/>
      <c r="P2182" s="7"/>
      <c r="R2182" s="2"/>
      <c r="S2182" s="2"/>
      <c r="T2182" s="2"/>
      <c r="U2182" s="2"/>
      <c r="V2182" s="2"/>
      <c r="X2182" s="38"/>
      <c r="Y2182" s="38"/>
      <c r="Z2182" s="38"/>
      <c r="AA2182" s="38"/>
      <c r="AB2182" s="38"/>
      <c r="AD2182" s="2"/>
      <c r="AE2182" s="2"/>
      <c r="AF2182" s="2"/>
      <c r="AG2182" s="2"/>
      <c r="AH2182" s="2"/>
      <c r="AJ2182" s="215"/>
      <c r="AK2182" s="215"/>
      <c r="AL2182" s="215"/>
      <c r="AM2182" s="215"/>
      <c r="AO2182" s="10"/>
      <c r="AP2182" s="10"/>
      <c r="AQ2182" s="10"/>
      <c r="AR2182" s="10"/>
      <c r="AS2182" s="10"/>
      <c r="AU2182" s="2"/>
      <c r="AV2182" s="2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</row>
    <row r="2183" spans="1:73" customFormat="1" ht="12.75" hidden="1" customHeight="1" x14ac:dyDescent="0.2">
      <c r="A2183" s="1"/>
      <c r="B2183" s="1"/>
      <c r="C2183" s="1"/>
      <c r="D2183" s="7"/>
      <c r="E2183" s="7"/>
      <c r="F2183" s="6"/>
      <c r="G2183" s="7"/>
      <c r="H2183" s="2"/>
      <c r="I2183" s="2"/>
      <c r="J2183" s="2"/>
      <c r="K2183" s="2"/>
      <c r="L2183" s="178"/>
      <c r="M2183" s="2"/>
      <c r="N2183" s="7"/>
      <c r="P2183" s="7"/>
      <c r="R2183" s="2"/>
      <c r="S2183" s="2"/>
      <c r="T2183" s="2"/>
      <c r="U2183" s="2"/>
      <c r="V2183" s="2"/>
      <c r="X2183" s="38"/>
      <c r="Y2183" s="38"/>
      <c r="Z2183" s="38"/>
      <c r="AA2183" s="38"/>
      <c r="AB2183" s="38"/>
      <c r="AD2183" s="2"/>
      <c r="AE2183" s="2"/>
      <c r="AF2183" s="2"/>
      <c r="AG2183" s="2"/>
      <c r="AH2183" s="2"/>
      <c r="AJ2183" s="215"/>
      <c r="AK2183" s="215"/>
      <c r="AL2183" s="215"/>
      <c r="AM2183" s="215"/>
      <c r="AO2183" s="10"/>
      <c r="AP2183" s="10"/>
      <c r="AQ2183" s="10"/>
      <c r="AR2183" s="10"/>
      <c r="AS2183" s="10"/>
      <c r="AU2183" s="2"/>
      <c r="AV2183" s="2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</row>
    <row r="2184" spans="1:73" customFormat="1" ht="12.75" hidden="1" customHeight="1" x14ac:dyDescent="0.2">
      <c r="A2184" s="1"/>
      <c r="B2184" s="1"/>
      <c r="C2184" s="1"/>
      <c r="D2184" s="7"/>
      <c r="E2184" s="7"/>
      <c r="F2184" s="6"/>
      <c r="G2184" s="7"/>
      <c r="H2184" s="2"/>
      <c r="I2184" s="2"/>
      <c r="J2184" s="2"/>
      <c r="K2184" s="2"/>
      <c r="L2184" s="178"/>
      <c r="M2184" s="2"/>
      <c r="N2184" s="7"/>
      <c r="P2184" s="7"/>
      <c r="R2184" s="2"/>
      <c r="S2184" s="2"/>
      <c r="T2184" s="2"/>
      <c r="U2184" s="2"/>
      <c r="V2184" s="2"/>
      <c r="X2184" s="38"/>
      <c r="Y2184" s="38"/>
      <c r="Z2184" s="38"/>
      <c r="AA2184" s="38"/>
      <c r="AB2184" s="38"/>
      <c r="AD2184" s="2"/>
      <c r="AE2184" s="2"/>
      <c r="AF2184" s="2"/>
      <c r="AG2184" s="2"/>
      <c r="AH2184" s="2"/>
      <c r="AJ2184" s="215"/>
      <c r="AK2184" s="215"/>
      <c r="AL2184" s="215"/>
      <c r="AM2184" s="215"/>
      <c r="AO2184" s="10"/>
      <c r="AP2184" s="10"/>
      <c r="AQ2184" s="10"/>
      <c r="AR2184" s="10"/>
      <c r="AS2184" s="10"/>
      <c r="AU2184" s="2"/>
      <c r="AV2184" s="2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</row>
    <row r="2185" spans="1:73" customFormat="1" ht="12.75" hidden="1" customHeight="1" x14ac:dyDescent="0.2">
      <c r="A2185" s="1"/>
      <c r="B2185" s="1"/>
      <c r="C2185" s="1"/>
      <c r="D2185" s="7"/>
      <c r="E2185" s="7"/>
      <c r="F2185" s="6"/>
      <c r="G2185" s="7"/>
      <c r="H2185" s="2"/>
      <c r="I2185" s="2"/>
      <c r="J2185" s="2"/>
      <c r="K2185" s="2"/>
      <c r="L2185" s="178"/>
      <c r="M2185" s="2"/>
      <c r="N2185" s="7"/>
      <c r="P2185" s="7"/>
      <c r="R2185" s="2"/>
      <c r="S2185" s="2"/>
      <c r="T2185" s="2"/>
      <c r="U2185" s="2"/>
      <c r="V2185" s="2"/>
      <c r="X2185" s="38"/>
      <c r="Y2185" s="38"/>
      <c r="Z2185" s="38"/>
      <c r="AA2185" s="38"/>
      <c r="AB2185" s="38"/>
      <c r="AD2185" s="2"/>
      <c r="AE2185" s="2"/>
      <c r="AF2185" s="2"/>
      <c r="AG2185" s="2"/>
      <c r="AH2185" s="2"/>
      <c r="AJ2185" s="215"/>
      <c r="AK2185" s="215"/>
      <c r="AL2185" s="215"/>
      <c r="AM2185" s="215"/>
      <c r="AO2185" s="10"/>
      <c r="AP2185" s="10"/>
      <c r="AQ2185" s="10"/>
      <c r="AR2185" s="10"/>
      <c r="AS2185" s="10"/>
      <c r="AU2185" s="2"/>
      <c r="AV2185" s="2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</row>
    <row r="2186" spans="1:73" customFormat="1" ht="12.75" hidden="1" customHeight="1" x14ac:dyDescent="0.2">
      <c r="A2186" s="1"/>
      <c r="B2186" s="1"/>
      <c r="C2186" s="1"/>
      <c r="D2186" s="7"/>
      <c r="E2186" s="7"/>
      <c r="F2186" s="6"/>
      <c r="G2186" s="7"/>
      <c r="H2186" s="2"/>
      <c r="I2186" s="2"/>
      <c r="J2186" s="2"/>
      <c r="K2186" s="2"/>
      <c r="L2186" s="178"/>
      <c r="M2186" s="2"/>
      <c r="N2186" s="7"/>
      <c r="P2186" s="7"/>
      <c r="R2186" s="2"/>
      <c r="S2186" s="2"/>
      <c r="T2186" s="2"/>
      <c r="U2186" s="2"/>
      <c r="V2186" s="2"/>
      <c r="X2186" s="38"/>
      <c r="Y2186" s="38"/>
      <c r="Z2186" s="38"/>
      <c r="AA2186" s="38"/>
      <c r="AB2186" s="38"/>
      <c r="AD2186" s="2"/>
      <c r="AE2186" s="2"/>
      <c r="AF2186" s="2"/>
      <c r="AG2186" s="2"/>
      <c r="AH2186" s="2"/>
      <c r="AJ2186" s="215"/>
      <c r="AK2186" s="215"/>
      <c r="AL2186" s="215"/>
      <c r="AM2186" s="215"/>
      <c r="AO2186" s="10"/>
      <c r="AP2186" s="10"/>
      <c r="AQ2186" s="10"/>
      <c r="AR2186" s="10"/>
      <c r="AS2186" s="10"/>
      <c r="AU2186" s="2"/>
      <c r="AV2186" s="2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</row>
    <row r="2187" spans="1:73" customFormat="1" ht="12.75" hidden="1" customHeight="1" x14ac:dyDescent="0.2">
      <c r="A2187" s="1"/>
      <c r="B2187" s="1"/>
      <c r="C2187" s="1"/>
      <c r="D2187" s="7"/>
      <c r="E2187" s="7"/>
      <c r="F2187" s="6"/>
      <c r="G2187" s="7"/>
      <c r="H2187" s="2"/>
      <c r="I2187" s="2"/>
      <c r="J2187" s="2"/>
      <c r="K2187" s="2"/>
      <c r="L2187" s="178"/>
      <c r="M2187" s="2"/>
      <c r="N2187" s="7"/>
      <c r="P2187" s="7"/>
      <c r="R2187" s="2"/>
      <c r="S2187" s="2"/>
      <c r="T2187" s="2"/>
      <c r="U2187" s="2"/>
      <c r="V2187" s="2"/>
      <c r="X2187" s="38"/>
      <c r="Y2187" s="38"/>
      <c r="Z2187" s="38"/>
      <c r="AA2187" s="38"/>
      <c r="AB2187" s="38"/>
      <c r="AD2187" s="2"/>
      <c r="AE2187" s="2"/>
      <c r="AF2187" s="2"/>
      <c r="AG2187" s="2"/>
      <c r="AH2187" s="2"/>
      <c r="AJ2187" s="215"/>
      <c r="AK2187" s="215"/>
      <c r="AL2187" s="215"/>
      <c r="AM2187" s="215"/>
      <c r="AO2187" s="10"/>
      <c r="AP2187" s="10"/>
      <c r="AQ2187" s="10"/>
      <c r="AR2187" s="10"/>
      <c r="AS2187" s="10"/>
      <c r="AU2187" s="2"/>
      <c r="AV2187" s="2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</row>
    <row r="2188" spans="1:73" customFormat="1" ht="12.75" hidden="1" customHeight="1" x14ac:dyDescent="0.2">
      <c r="A2188" s="1"/>
      <c r="B2188" s="1"/>
      <c r="C2188" s="1"/>
      <c r="D2188" s="7"/>
      <c r="E2188" s="7"/>
      <c r="F2188" s="6"/>
      <c r="G2188" s="7"/>
      <c r="H2188" s="2"/>
      <c r="I2188" s="2"/>
      <c r="J2188" s="2"/>
      <c r="K2188" s="2"/>
      <c r="L2188" s="178"/>
      <c r="M2188" s="2"/>
      <c r="N2188" s="7"/>
      <c r="P2188" s="7"/>
      <c r="R2188" s="2"/>
      <c r="S2188" s="2"/>
      <c r="T2188" s="2"/>
      <c r="U2188" s="2"/>
      <c r="V2188" s="2"/>
      <c r="X2188" s="38"/>
      <c r="Y2188" s="38"/>
      <c r="Z2188" s="38"/>
      <c r="AA2188" s="38"/>
      <c r="AB2188" s="38"/>
      <c r="AD2188" s="2"/>
      <c r="AE2188" s="2"/>
      <c r="AF2188" s="2"/>
      <c r="AG2188" s="2"/>
      <c r="AH2188" s="2"/>
      <c r="AJ2188" s="215"/>
      <c r="AK2188" s="215"/>
      <c r="AL2188" s="215"/>
      <c r="AM2188" s="215"/>
      <c r="AO2188" s="10"/>
      <c r="AP2188" s="10"/>
      <c r="AQ2188" s="10"/>
      <c r="AR2188" s="10"/>
      <c r="AS2188" s="10"/>
      <c r="AU2188" s="2"/>
      <c r="AV2188" s="2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</row>
    <row r="2189" spans="1:73" customFormat="1" ht="12.75" hidden="1" customHeight="1" x14ac:dyDescent="0.2">
      <c r="A2189" s="1"/>
      <c r="B2189" s="1"/>
      <c r="C2189" s="1"/>
      <c r="D2189" s="7"/>
      <c r="E2189" s="7"/>
      <c r="F2189" s="6"/>
      <c r="G2189" s="7"/>
      <c r="H2189" s="2"/>
      <c r="I2189" s="2"/>
      <c r="J2189" s="2"/>
      <c r="K2189" s="2"/>
      <c r="L2189" s="178"/>
      <c r="M2189" s="2"/>
      <c r="N2189" s="7"/>
      <c r="P2189" s="7"/>
      <c r="R2189" s="2"/>
      <c r="S2189" s="2"/>
      <c r="T2189" s="2"/>
      <c r="U2189" s="2"/>
      <c r="V2189" s="2"/>
      <c r="X2189" s="38"/>
      <c r="Y2189" s="38"/>
      <c r="Z2189" s="38"/>
      <c r="AA2189" s="38"/>
      <c r="AB2189" s="38"/>
      <c r="AD2189" s="2"/>
      <c r="AE2189" s="2"/>
      <c r="AF2189" s="2"/>
      <c r="AG2189" s="2"/>
      <c r="AH2189" s="2"/>
      <c r="AJ2189" s="215"/>
      <c r="AK2189" s="215"/>
      <c r="AL2189" s="215"/>
      <c r="AM2189" s="215"/>
      <c r="AO2189" s="10"/>
      <c r="AP2189" s="10"/>
      <c r="AQ2189" s="10"/>
      <c r="AR2189" s="10"/>
      <c r="AS2189" s="10"/>
      <c r="AU2189" s="2"/>
      <c r="AV2189" s="2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</row>
    <row r="2190" spans="1:73" customFormat="1" ht="12.75" hidden="1" customHeight="1" x14ac:dyDescent="0.2">
      <c r="A2190" s="1"/>
      <c r="B2190" s="1"/>
      <c r="C2190" s="1"/>
      <c r="D2190" s="7"/>
      <c r="E2190" s="7"/>
      <c r="F2190" s="6"/>
      <c r="G2190" s="7"/>
      <c r="H2190" s="2"/>
      <c r="I2190" s="2"/>
      <c r="J2190" s="2"/>
      <c r="K2190" s="2"/>
      <c r="L2190" s="178"/>
      <c r="M2190" s="2"/>
      <c r="N2190" s="7"/>
      <c r="P2190" s="7"/>
      <c r="R2190" s="2"/>
      <c r="S2190" s="2"/>
      <c r="T2190" s="2"/>
      <c r="U2190" s="2"/>
      <c r="V2190" s="2"/>
      <c r="X2190" s="38"/>
      <c r="Y2190" s="38"/>
      <c r="Z2190" s="38"/>
      <c r="AA2190" s="38"/>
      <c r="AB2190" s="38"/>
      <c r="AD2190" s="2"/>
      <c r="AE2190" s="2"/>
      <c r="AF2190" s="2"/>
      <c r="AG2190" s="2"/>
      <c r="AH2190" s="2"/>
      <c r="AJ2190" s="215"/>
      <c r="AK2190" s="215"/>
      <c r="AL2190" s="215"/>
      <c r="AM2190" s="215"/>
      <c r="AO2190" s="10"/>
      <c r="AP2190" s="10"/>
      <c r="AQ2190" s="10"/>
      <c r="AR2190" s="10"/>
      <c r="AS2190" s="10"/>
      <c r="AU2190" s="2"/>
      <c r="AV2190" s="2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</row>
    <row r="2191" spans="1:73" customFormat="1" ht="12.75" hidden="1" customHeight="1" x14ac:dyDescent="0.2">
      <c r="A2191" s="1"/>
      <c r="B2191" s="1"/>
      <c r="C2191" s="1"/>
      <c r="D2191" s="7"/>
      <c r="E2191" s="7"/>
      <c r="F2191" s="6"/>
      <c r="G2191" s="7"/>
      <c r="H2191" s="2"/>
      <c r="I2191" s="2"/>
      <c r="J2191" s="2"/>
      <c r="K2191" s="2"/>
      <c r="L2191" s="178"/>
      <c r="M2191" s="2"/>
      <c r="N2191" s="7"/>
      <c r="P2191" s="7"/>
      <c r="R2191" s="2"/>
      <c r="S2191" s="2"/>
      <c r="T2191" s="2"/>
      <c r="U2191" s="2"/>
      <c r="V2191" s="2"/>
      <c r="X2191" s="38"/>
      <c r="Y2191" s="38"/>
      <c r="Z2191" s="38"/>
      <c r="AA2191" s="38"/>
      <c r="AB2191" s="38"/>
      <c r="AD2191" s="2"/>
      <c r="AE2191" s="2"/>
      <c r="AF2191" s="2"/>
      <c r="AG2191" s="2"/>
      <c r="AH2191" s="2"/>
      <c r="AJ2191" s="215"/>
      <c r="AK2191" s="215"/>
      <c r="AL2191" s="215"/>
      <c r="AM2191" s="215"/>
      <c r="AO2191" s="10"/>
      <c r="AP2191" s="10"/>
      <c r="AQ2191" s="10"/>
      <c r="AR2191" s="10"/>
      <c r="AS2191" s="10"/>
      <c r="AU2191" s="2"/>
      <c r="AV2191" s="2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</row>
    <row r="2192" spans="1:73" customFormat="1" ht="12.75" hidden="1" customHeight="1" x14ac:dyDescent="0.2">
      <c r="A2192" s="1"/>
      <c r="B2192" s="1"/>
      <c r="C2192" s="1"/>
      <c r="D2192" s="7"/>
      <c r="E2192" s="7"/>
      <c r="F2192" s="6"/>
      <c r="G2192" s="7"/>
      <c r="H2192" s="2"/>
      <c r="I2192" s="2"/>
      <c r="J2192" s="2"/>
      <c r="K2192" s="2"/>
      <c r="L2192" s="178"/>
      <c r="M2192" s="2"/>
      <c r="N2192" s="7"/>
      <c r="P2192" s="7"/>
      <c r="R2192" s="2"/>
      <c r="S2192" s="2"/>
      <c r="T2192" s="2"/>
      <c r="U2192" s="2"/>
      <c r="V2192" s="2"/>
      <c r="X2192" s="38"/>
      <c r="Y2192" s="38"/>
      <c r="Z2192" s="38"/>
      <c r="AA2192" s="38"/>
      <c r="AB2192" s="38"/>
      <c r="AD2192" s="2"/>
      <c r="AE2192" s="2"/>
      <c r="AF2192" s="2"/>
      <c r="AG2192" s="2"/>
      <c r="AH2192" s="2"/>
      <c r="AJ2192" s="215"/>
      <c r="AK2192" s="215"/>
      <c r="AL2192" s="215"/>
      <c r="AM2192" s="215"/>
      <c r="AO2192" s="10"/>
      <c r="AP2192" s="10"/>
      <c r="AQ2192" s="10"/>
      <c r="AR2192" s="10"/>
      <c r="AS2192" s="10"/>
      <c r="AU2192" s="2"/>
      <c r="AV2192" s="2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</row>
    <row r="2193" spans="1:73" customFormat="1" ht="12.75" hidden="1" customHeight="1" x14ac:dyDescent="0.2">
      <c r="A2193" s="1"/>
      <c r="B2193" s="1"/>
      <c r="C2193" s="1"/>
      <c r="D2193" s="7"/>
      <c r="E2193" s="7"/>
      <c r="F2193" s="6"/>
      <c r="G2193" s="7"/>
      <c r="H2193" s="2"/>
      <c r="I2193" s="2"/>
      <c r="J2193" s="2"/>
      <c r="K2193" s="2"/>
      <c r="L2193" s="178"/>
      <c r="M2193" s="2"/>
      <c r="N2193" s="7"/>
      <c r="P2193" s="7"/>
      <c r="R2193" s="2"/>
      <c r="S2193" s="2"/>
      <c r="T2193" s="2"/>
      <c r="U2193" s="2"/>
      <c r="V2193" s="2"/>
      <c r="X2193" s="38"/>
      <c r="Y2193" s="38"/>
      <c r="Z2193" s="38"/>
      <c r="AA2193" s="38"/>
      <c r="AB2193" s="38"/>
      <c r="AD2193" s="2"/>
      <c r="AE2193" s="2"/>
      <c r="AF2193" s="2"/>
      <c r="AG2193" s="2"/>
      <c r="AH2193" s="2"/>
      <c r="AJ2193" s="215"/>
      <c r="AK2193" s="215"/>
      <c r="AL2193" s="215"/>
      <c r="AM2193" s="215"/>
      <c r="AO2193" s="10"/>
      <c r="AP2193" s="10"/>
      <c r="AQ2193" s="10"/>
      <c r="AR2193" s="10"/>
      <c r="AS2193" s="10"/>
      <c r="AU2193" s="2"/>
      <c r="AV2193" s="2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</row>
    <row r="2194" spans="1:73" customFormat="1" ht="12.75" hidden="1" customHeight="1" x14ac:dyDescent="0.2">
      <c r="A2194" s="1"/>
      <c r="B2194" s="1"/>
      <c r="C2194" s="1"/>
      <c r="D2194" s="7"/>
      <c r="E2194" s="7"/>
      <c r="F2194" s="6"/>
      <c r="G2194" s="7"/>
      <c r="H2194" s="2"/>
      <c r="I2194" s="2"/>
      <c r="J2194" s="2"/>
      <c r="K2194" s="2"/>
      <c r="L2194" s="178"/>
      <c r="M2194" s="2"/>
      <c r="N2194" s="7"/>
      <c r="P2194" s="7"/>
      <c r="R2194" s="2"/>
      <c r="S2194" s="2"/>
      <c r="T2194" s="2"/>
      <c r="U2194" s="2"/>
      <c r="V2194" s="2"/>
      <c r="X2194" s="38"/>
      <c r="Y2194" s="38"/>
      <c r="Z2194" s="38"/>
      <c r="AA2194" s="38"/>
      <c r="AB2194" s="38"/>
      <c r="AD2194" s="2"/>
      <c r="AE2194" s="2"/>
      <c r="AF2194" s="2"/>
      <c r="AG2194" s="2"/>
      <c r="AH2194" s="2"/>
      <c r="AJ2194" s="215"/>
      <c r="AK2194" s="215"/>
      <c r="AL2194" s="215"/>
      <c r="AM2194" s="215"/>
      <c r="AO2194" s="10"/>
      <c r="AP2194" s="10"/>
      <c r="AQ2194" s="10"/>
      <c r="AR2194" s="10"/>
      <c r="AS2194" s="10"/>
      <c r="AU2194" s="2"/>
      <c r="AV2194" s="2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</row>
    <row r="2195" spans="1:73" customFormat="1" ht="12.75" hidden="1" customHeight="1" x14ac:dyDescent="0.2">
      <c r="A2195" s="1"/>
      <c r="B2195" s="1"/>
      <c r="C2195" s="1"/>
      <c r="D2195" s="7"/>
      <c r="E2195" s="7"/>
      <c r="F2195" s="6"/>
      <c r="G2195" s="7"/>
      <c r="H2195" s="2"/>
      <c r="I2195" s="2"/>
      <c r="J2195" s="2"/>
      <c r="K2195" s="2"/>
      <c r="L2195" s="178"/>
      <c r="M2195" s="2"/>
      <c r="N2195" s="7"/>
      <c r="P2195" s="7"/>
      <c r="R2195" s="2"/>
      <c r="S2195" s="2"/>
      <c r="T2195" s="2"/>
      <c r="U2195" s="2"/>
      <c r="V2195" s="2"/>
      <c r="X2195" s="38"/>
      <c r="Y2195" s="38"/>
      <c r="Z2195" s="38"/>
      <c r="AA2195" s="38"/>
      <c r="AB2195" s="38"/>
      <c r="AD2195" s="2"/>
      <c r="AE2195" s="2"/>
      <c r="AF2195" s="2"/>
      <c r="AG2195" s="2"/>
      <c r="AH2195" s="2"/>
      <c r="AJ2195" s="215"/>
      <c r="AK2195" s="215"/>
      <c r="AL2195" s="215"/>
      <c r="AM2195" s="215"/>
      <c r="AO2195" s="10"/>
      <c r="AP2195" s="10"/>
      <c r="AQ2195" s="10"/>
      <c r="AR2195" s="10"/>
      <c r="AS2195" s="10"/>
      <c r="AU2195" s="2"/>
      <c r="AV2195" s="2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</row>
    <row r="2196" spans="1:73" customFormat="1" ht="12.75" hidden="1" customHeight="1" x14ac:dyDescent="0.2">
      <c r="A2196" s="1"/>
      <c r="B2196" s="1"/>
      <c r="C2196" s="1"/>
      <c r="D2196" s="7"/>
      <c r="E2196" s="7"/>
      <c r="F2196" s="6"/>
      <c r="G2196" s="7"/>
      <c r="H2196" s="2"/>
      <c r="I2196" s="2"/>
      <c r="J2196" s="2"/>
      <c r="K2196" s="2"/>
      <c r="L2196" s="178"/>
      <c r="M2196" s="2"/>
      <c r="N2196" s="7"/>
      <c r="P2196" s="7"/>
      <c r="R2196" s="2"/>
      <c r="S2196" s="2"/>
      <c r="T2196" s="2"/>
      <c r="U2196" s="2"/>
      <c r="V2196" s="2"/>
      <c r="X2196" s="38"/>
      <c r="Y2196" s="38"/>
      <c r="Z2196" s="38"/>
      <c r="AA2196" s="38"/>
      <c r="AB2196" s="38"/>
      <c r="AD2196" s="2"/>
      <c r="AE2196" s="2"/>
      <c r="AF2196" s="2"/>
      <c r="AG2196" s="2"/>
      <c r="AH2196" s="2"/>
      <c r="AJ2196" s="215"/>
      <c r="AK2196" s="215"/>
      <c r="AL2196" s="215"/>
      <c r="AM2196" s="215"/>
      <c r="AO2196" s="10"/>
      <c r="AP2196" s="10"/>
      <c r="AQ2196" s="10"/>
      <c r="AR2196" s="10"/>
      <c r="AS2196" s="10"/>
      <c r="AU2196" s="2"/>
      <c r="AV2196" s="2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</row>
    <row r="2197" spans="1:73" customFormat="1" ht="12.75" hidden="1" customHeight="1" x14ac:dyDescent="0.2">
      <c r="A2197" s="1"/>
      <c r="B2197" s="1"/>
      <c r="C2197" s="1"/>
      <c r="D2197" s="7"/>
      <c r="E2197" s="7"/>
      <c r="F2197" s="6"/>
      <c r="G2197" s="7"/>
      <c r="H2197" s="2"/>
      <c r="I2197" s="2"/>
      <c r="J2197" s="2"/>
      <c r="K2197" s="2"/>
      <c r="L2197" s="178"/>
      <c r="M2197" s="2"/>
      <c r="N2197" s="7"/>
      <c r="P2197" s="7"/>
      <c r="R2197" s="2"/>
      <c r="S2197" s="2"/>
      <c r="T2197" s="2"/>
      <c r="U2197" s="2"/>
      <c r="V2197" s="2"/>
      <c r="X2197" s="38"/>
      <c r="Y2197" s="38"/>
      <c r="Z2197" s="38"/>
      <c r="AA2197" s="38"/>
      <c r="AB2197" s="38"/>
      <c r="AD2197" s="2"/>
      <c r="AE2197" s="2"/>
      <c r="AF2197" s="2"/>
      <c r="AG2197" s="2"/>
      <c r="AH2197" s="2"/>
      <c r="AJ2197" s="215"/>
      <c r="AK2197" s="215"/>
      <c r="AL2197" s="215"/>
      <c r="AM2197" s="215"/>
      <c r="AO2197" s="10"/>
      <c r="AP2197" s="10"/>
      <c r="AQ2197" s="10"/>
      <c r="AR2197" s="10"/>
      <c r="AS2197" s="10"/>
      <c r="AU2197" s="2"/>
      <c r="AV2197" s="2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</row>
    <row r="2198" spans="1:73" customFormat="1" ht="12.75" hidden="1" customHeight="1" x14ac:dyDescent="0.2">
      <c r="A2198" s="1"/>
      <c r="B2198" s="1"/>
      <c r="C2198" s="1"/>
      <c r="D2198" s="7"/>
      <c r="E2198" s="7"/>
      <c r="F2198" s="6"/>
      <c r="G2198" s="7"/>
      <c r="H2198" s="2"/>
      <c r="I2198" s="2"/>
      <c r="J2198" s="2"/>
      <c r="K2198" s="2"/>
      <c r="L2198" s="178"/>
      <c r="M2198" s="2"/>
      <c r="N2198" s="7"/>
      <c r="P2198" s="7"/>
      <c r="R2198" s="2"/>
      <c r="S2198" s="2"/>
      <c r="T2198" s="2"/>
      <c r="U2198" s="2"/>
      <c r="V2198" s="2"/>
      <c r="X2198" s="38"/>
      <c r="Y2198" s="38"/>
      <c r="Z2198" s="38"/>
      <c r="AA2198" s="38"/>
      <c r="AB2198" s="38"/>
      <c r="AD2198" s="2"/>
      <c r="AE2198" s="2"/>
      <c r="AF2198" s="2"/>
      <c r="AG2198" s="2"/>
      <c r="AH2198" s="2"/>
      <c r="AJ2198" s="215"/>
      <c r="AK2198" s="215"/>
      <c r="AL2198" s="215"/>
      <c r="AM2198" s="215"/>
      <c r="AO2198" s="10"/>
      <c r="AP2198" s="10"/>
      <c r="AQ2198" s="10"/>
      <c r="AR2198" s="10"/>
      <c r="AS2198" s="10"/>
      <c r="AU2198" s="2"/>
      <c r="AV2198" s="2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</row>
    <row r="2199" spans="1:73" customFormat="1" ht="12.75" hidden="1" customHeight="1" x14ac:dyDescent="0.2">
      <c r="A2199" s="1"/>
      <c r="B2199" s="1"/>
      <c r="C2199" s="1"/>
      <c r="D2199" s="7"/>
      <c r="E2199" s="7"/>
      <c r="F2199" s="6"/>
      <c r="G2199" s="7"/>
      <c r="H2199" s="2"/>
      <c r="I2199" s="2"/>
      <c r="J2199" s="2"/>
      <c r="K2199" s="2"/>
      <c r="L2199" s="178"/>
      <c r="M2199" s="2"/>
      <c r="N2199" s="7"/>
      <c r="P2199" s="7"/>
      <c r="R2199" s="2"/>
      <c r="S2199" s="2"/>
      <c r="T2199" s="2"/>
      <c r="U2199" s="2"/>
      <c r="V2199" s="2"/>
      <c r="X2199" s="38"/>
      <c r="Y2199" s="38"/>
      <c r="Z2199" s="38"/>
      <c r="AA2199" s="38"/>
      <c r="AB2199" s="38"/>
      <c r="AD2199" s="2"/>
      <c r="AE2199" s="2"/>
      <c r="AF2199" s="2"/>
      <c r="AG2199" s="2"/>
      <c r="AH2199" s="2"/>
      <c r="AJ2199" s="215"/>
      <c r="AK2199" s="215"/>
      <c r="AL2199" s="215"/>
      <c r="AM2199" s="215"/>
      <c r="AO2199" s="10"/>
      <c r="AP2199" s="10"/>
      <c r="AQ2199" s="10"/>
      <c r="AR2199" s="10"/>
      <c r="AS2199" s="10"/>
      <c r="AU2199" s="2"/>
      <c r="AV2199" s="2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</row>
    <row r="2200" spans="1:73" customFormat="1" ht="12.75" hidden="1" customHeight="1" x14ac:dyDescent="0.2">
      <c r="A2200" s="1"/>
      <c r="B2200" s="1"/>
      <c r="C2200" s="1"/>
      <c r="D2200" s="7"/>
      <c r="E2200" s="7"/>
      <c r="F2200" s="6"/>
      <c r="G2200" s="7"/>
      <c r="H2200" s="2"/>
      <c r="I2200" s="2"/>
      <c r="J2200" s="2"/>
      <c r="K2200" s="2"/>
      <c r="L2200" s="178"/>
      <c r="M2200" s="2"/>
      <c r="N2200" s="7"/>
      <c r="P2200" s="7"/>
      <c r="R2200" s="2"/>
      <c r="S2200" s="2"/>
      <c r="T2200" s="2"/>
      <c r="U2200" s="2"/>
      <c r="V2200" s="2"/>
      <c r="X2200" s="38"/>
      <c r="Y2200" s="38"/>
      <c r="Z2200" s="38"/>
      <c r="AA2200" s="38"/>
      <c r="AB2200" s="38"/>
      <c r="AD2200" s="2"/>
      <c r="AE2200" s="2"/>
      <c r="AF2200" s="2"/>
      <c r="AG2200" s="2"/>
      <c r="AH2200" s="2"/>
      <c r="AJ2200" s="215"/>
      <c r="AK2200" s="215"/>
      <c r="AL2200" s="215"/>
      <c r="AM2200" s="215"/>
      <c r="AO2200" s="10"/>
      <c r="AP2200" s="10"/>
      <c r="AQ2200" s="10"/>
      <c r="AR2200" s="10"/>
      <c r="AS2200" s="10"/>
      <c r="AU2200" s="2"/>
      <c r="AV2200" s="2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</row>
    <row r="2201" spans="1:73" customFormat="1" ht="12.75" hidden="1" customHeight="1" x14ac:dyDescent="0.2">
      <c r="A2201" s="1"/>
      <c r="B2201" s="1"/>
      <c r="C2201" s="1"/>
      <c r="D2201" s="7"/>
      <c r="E2201" s="7"/>
      <c r="F2201" s="6"/>
      <c r="G2201" s="7"/>
      <c r="H2201" s="2"/>
      <c r="I2201" s="2"/>
      <c r="J2201" s="2"/>
      <c r="K2201" s="2"/>
      <c r="L2201" s="178"/>
      <c r="M2201" s="2"/>
      <c r="N2201" s="7"/>
      <c r="P2201" s="7"/>
      <c r="R2201" s="2"/>
      <c r="S2201" s="2"/>
      <c r="T2201" s="2"/>
      <c r="U2201" s="2"/>
      <c r="V2201" s="2"/>
      <c r="X2201" s="38"/>
      <c r="Y2201" s="38"/>
      <c r="Z2201" s="38"/>
      <c r="AA2201" s="38"/>
      <c r="AB2201" s="38"/>
      <c r="AD2201" s="2"/>
      <c r="AE2201" s="2"/>
      <c r="AF2201" s="2"/>
      <c r="AG2201" s="2"/>
      <c r="AH2201" s="2"/>
      <c r="AJ2201" s="215"/>
      <c r="AK2201" s="215"/>
      <c r="AL2201" s="215"/>
      <c r="AM2201" s="215"/>
      <c r="AO2201" s="10"/>
      <c r="AP2201" s="10"/>
      <c r="AQ2201" s="10"/>
      <c r="AR2201" s="10"/>
      <c r="AS2201" s="10"/>
      <c r="AU2201" s="2"/>
      <c r="AV2201" s="2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</row>
    <row r="2202" spans="1:73" customFormat="1" ht="12.75" hidden="1" customHeight="1" x14ac:dyDescent="0.2">
      <c r="A2202" s="1"/>
      <c r="B2202" s="1"/>
      <c r="C2202" s="1"/>
      <c r="D2202" s="7"/>
      <c r="E2202" s="7"/>
      <c r="F2202" s="6"/>
      <c r="G2202" s="7"/>
      <c r="H2202" s="2"/>
      <c r="I2202" s="2"/>
      <c r="J2202" s="2"/>
      <c r="K2202" s="2"/>
      <c r="L2202" s="178"/>
      <c r="M2202" s="2"/>
      <c r="N2202" s="7"/>
      <c r="P2202" s="7"/>
      <c r="R2202" s="2"/>
      <c r="S2202" s="2"/>
      <c r="T2202" s="2"/>
      <c r="U2202" s="2"/>
      <c r="V2202" s="2"/>
      <c r="X2202" s="38"/>
      <c r="Y2202" s="38"/>
      <c r="Z2202" s="38"/>
      <c r="AA2202" s="38"/>
      <c r="AB2202" s="38"/>
      <c r="AD2202" s="2"/>
      <c r="AE2202" s="2"/>
      <c r="AF2202" s="2"/>
      <c r="AG2202" s="2"/>
      <c r="AH2202" s="2"/>
      <c r="AJ2202" s="215"/>
      <c r="AK2202" s="215"/>
      <c r="AL2202" s="215"/>
      <c r="AM2202" s="215"/>
      <c r="AO2202" s="10"/>
      <c r="AP2202" s="10"/>
      <c r="AQ2202" s="10"/>
      <c r="AR2202" s="10"/>
      <c r="AS2202" s="10"/>
      <c r="AU2202" s="2"/>
      <c r="AV2202" s="2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</row>
    <row r="2203" spans="1:73" customFormat="1" ht="12.75" hidden="1" customHeight="1" x14ac:dyDescent="0.2">
      <c r="A2203" s="1"/>
      <c r="B2203" s="1"/>
      <c r="C2203" s="1"/>
      <c r="D2203" s="7"/>
      <c r="E2203" s="7"/>
      <c r="F2203" s="6"/>
      <c r="G2203" s="7"/>
      <c r="H2203" s="2"/>
      <c r="I2203" s="2"/>
      <c r="J2203" s="2"/>
      <c r="K2203" s="2"/>
      <c r="L2203" s="178"/>
      <c r="M2203" s="2"/>
      <c r="N2203" s="7"/>
      <c r="P2203" s="7"/>
      <c r="R2203" s="2"/>
      <c r="S2203" s="2"/>
      <c r="T2203" s="2"/>
      <c r="U2203" s="2"/>
      <c r="V2203" s="2"/>
      <c r="X2203" s="38"/>
      <c r="Y2203" s="38"/>
      <c r="Z2203" s="38"/>
      <c r="AA2203" s="38"/>
      <c r="AB2203" s="38"/>
      <c r="AD2203" s="2"/>
      <c r="AE2203" s="2"/>
      <c r="AF2203" s="2"/>
      <c r="AG2203" s="2"/>
      <c r="AH2203" s="2"/>
      <c r="AJ2203" s="215"/>
      <c r="AK2203" s="215"/>
      <c r="AL2203" s="215"/>
      <c r="AM2203" s="215"/>
      <c r="AO2203" s="10"/>
      <c r="AP2203" s="10"/>
      <c r="AQ2203" s="10"/>
      <c r="AR2203" s="10"/>
      <c r="AS2203" s="10"/>
      <c r="AU2203" s="2"/>
      <c r="AV2203" s="2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</row>
    <row r="2204" spans="1:73" customFormat="1" ht="12.75" hidden="1" customHeight="1" x14ac:dyDescent="0.2">
      <c r="A2204" s="1"/>
      <c r="B2204" s="1"/>
      <c r="C2204" s="1"/>
      <c r="D2204" s="7"/>
      <c r="E2204" s="7"/>
      <c r="F2204" s="6"/>
      <c r="G2204" s="7"/>
      <c r="H2204" s="2"/>
      <c r="I2204" s="2"/>
      <c r="J2204" s="2"/>
      <c r="K2204" s="2"/>
      <c r="L2204" s="178"/>
      <c r="M2204" s="2"/>
      <c r="N2204" s="7"/>
      <c r="P2204" s="7"/>
      <c r="R2204" s="2"/>
      <c r="S2204" s="2"/>
      <c r="T2204" s="2"/>
      <c r="U2204" s="2"/>
      <c r="V2204" s="2"/>
      <c r="X2204" s="38"/>
      <c r="Y2204" s="38"/>
      <c r="Z2204" s="38"/>
      <c r="AA2204" s="38"/>
      <c r="AB2204" s="38"/>
      <c r="AD2204" s="2"/>
      <c r="AE2204" s="2"/>
      <c r="AF2204" s="2"/>
      <c r="AG2204" s="2"/>
      <c r="AH2204" s="2"/>
      <c r="AJ2204" s="215"/>
      <c r="AK2204" s="215"/>
      <c r="AL2204" s="215"/>
      <c r="AM2204" s="215"/>
      <c r="AO2204" s="10"/>
      <c r="AP2204" s="10"/>
      <c r="AQ2204" s="10"/>
      <c r="AR2204" s="10"/>
      <c r="AS2204" s="10"/>
      <c r="AU2204" s="2"/>
      <c r="AV2204" s="2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</row>
    <row r="2205" spans="1:73" customFormat="1" ht="12.75" hidden="1" customHeight="1" x14ac:dyDescent="0.2">
      <c r="A2205" s="1"/>
      <c r="B2205" s="1"/>
      <c r="C2205" s="1"/>
      <c r="D2205" s="7"/>
      <c r="E2205" s="7"/>
      <c r="F2205" s="6"/>
      <c r="G2205" s="7"/>
      <c r="H2205" s="2"/>
      <c r="I2205" s="2"/>
      <c r="J2205" s="2"/>
      <c r="K2205" s="2"/>
      <c r="L2205" s="178"/>
      <c r="M2205" s="2"/>
      <c r="N2205" s="7"/>
      <c r="P2205" s="7"/>
      <c r="R2205" s="2"/>
      <c r="S2205" s="2"/>
      <c r="T2205" s="2"/>
      <c r="U2205" s="2"/>
      <c r="V2205" s="2"/>
      <c r="X2205" s="38"/>
      <c r="Y2205" s="38"/>
      <c r="Z2205" s="38"/>
      <c r="AA2205" s="38"/>
      <c r="AB2205" s="38"/>
      <c r="AD2205" s="2"/>
      <c r="AE2205" s="2"/>
      <c r="AF2205" s="2"/>
      <c r="AG2205" s="2"/>
      <c r="AH2205" s="2"/>
      <c r="AJ2205" s="215"/>
      <c r="AK2205" s="215"/>
      <c r="AL2205" s="215"/>
      <c r="AM2205" s="215"/>
      <c r="AO2205" s="10"/>
      <c r="AP2205" s="10"/>
      <c r="AQ2205" s="10"/>
      <c r="AR2205" s="10"/>
      <c r="AS2205" s="10"/>
      <c r="AU2205" s="2"/>
      <c r="AV2205" s="2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</row>
    <row r="2206" spans="1:73" customFormat="1" ht="12.75" hidden="1" customHeight="1" x14ac:dyDescent="0.2">
      <c r="A2206" s="1"/>
      <c r="B2206" s="1"/>
      <c r="C2206" s="1"/>
      <c r="D2206" s="7"/>
      <c r="E2206" s="7"/>
      <c r="F2206" s="6"/>
      <c r="G2206" s="7"/>
      <c r="H2206" s="2"/>
      <c r="I2206" s="2"/>
      <c r="J2206" s="2"/>
      <c r="K2206" s="2"/>
      <c r="L2206" s="178"/>
      <c r="M2206" s="2"/>
      <c r="N2206" s="7"/>
      <c r="P2206" s="7"/>
      <c r="R2206" s="2"/>
      <c r="S2206" s="2"/>
      <c r="T2206" s="2"/>
      <c r="U2206" s="2"/>
      <c r="V2206" s="2"/>
      <c r="X2206" s="38"/>
      <c r="Y2206" s="38"/>
      <c r="Z2206" s="38"/>
      <c r="AA2206" s="38"/>
      <c r="AB2206" s="38"/>
      <c r="AD2206" s="2"/>
      <c r="AE2206" s="2"/>
      <c r="AF2206" s="2"/>
      <c r="AG2206" s="2"/>
      <c r="AH2206" s="2"/>
      <c r="AJ2206" s="215"/>
      <c r="AK2206" s="215"/>
      <c r="AL2206" s="215"/>
      <c r="AM2206" s="215"/>
      <c r="AO2206" s="10"/>
      <c r="AP2206" s="10"/>
      <c r="AQ2206" s="10"/>
      <c r="AR2206" s="10"/>
      <c r="AS2206" s="10"/>
      <c r="AU2206" s="2"/>
      <c r="AV2206" s="2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</row>
    <row r="2207" spans="1:73" customFormat="1" ht="12.75" hidden="1" customHeight="1" x14ac:dyDescent="0.2">
      <c r="A2207" s="1"/>
      <c r="B2207" s="1"/>
      <c r="C2207" s="1"/>
      <c r="D2207" s="7"/>
      <c r="E2207" s="7"/>
      <c r="F2207" s="6"/>
      <c r="G2207" s="7"/>
      <c r="H2207" s="2"/>
      <c r="I2207" s="2"/>
      <c r="J2207" s="2"/>
      <c r="K2207" s="2"/>
      <c r="L2207" s="178"/>
      <c r="M2207" s="2"/>
      <c r="N2207" s="7"/>
      <c r="P2207" s="7"/>
      <c r="R2207" s="2"/>
      <c r="S2207" s="2"/>
      <c r="T2207" s="2"/>
      <c r="U2207" s="2"/>
      <c r="V2207" s="2"/>
      <c r="X2207" s="38"/>
      <c r="Y2207" s="38"/>
      <c r="Z2207" s="38"/>
      <c r="AA2207" s="38"/>
      <c r="AB2207" s="38"/>
      <c r="AD2207" s="2"/>
      <c r="AE2207" s="2"/>
      <c r="AF2207" s="2"/>
      <c r="AG2207" s="2"/>
      <c r="AH2207" s="2"/>
      <c r="AJ2207" s="215"/>
      <c r="AK2207" s="215"/>
      <c r="AL2207" s="215"/>
      <c r="AM2207" s="215"/>
      <c r="AO2207" s="10"/>
      <c r="AP2207" s="10"/>
      <c r="AQ2207" s="10"/>
      <c r="AR2207" s="10"/>
      <c r="AS2207" s="10"/>
      <c r="AU2207" s="2"/>
      <c r="AV2207" s="2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</row>
    <row r="2208" spans="1:73" customFormat="1" ht="12.75" hidden="1" customHeight="1" x14ac:dyDescent="0.2">
      <c r="A2208" s="1"/>
      <c r="B2208" s="1"/>
      <c r="C2208" s="1"/>
      <c r="D2208" s="7"/>
      <c r="E2208" s="7"/>
      <c r="F2208" s="6"/>
      <c r="G2208" s="7"/>
      <c r="H2208" s="2"/>
      <c r="I2208" s="2"/>
      <c r="J2208" s="2"/>
      <c r="K2208" s="2"/>
      <c r="L2208" s="178"/>
      <c r="M2208" s="2"/>
      <c r="N2208" s="7"/>
      <c r="P2208" s="7"/>
      <c r="R2208" s="2"/>
      <c r="S2208" s="2"/>
      <c r="T2208" s="2"/>
      <c r="U2208" s="2"/>
      <c r="V2208" s="2"/>
      <c r="X2208" s="38"/>
      <c r="Y2208" s="38"/>
      <c r="Z2208" s="38"/>
      <c r="AA2208" s="38"/>
      <c r="AB2208" s="38"/>
      <c r="AD2208" s="2"/>
      <c r="AE2208" s="2"/>
      <c r="AF2208" s="2"/>
      <c r="AG2208" s="2"/>
      <c r="AH2208" s="2"/>
      <c r="AJ2208" s="215"/>
      <c r="AK2208" s="215"/>
      <c r="AL2208" s="215"/>
      <c r="AM2208" s="215"/>
      <c r="AO2208" s="10"/>
      <c r="AP2208" s="10"/>
      <c r="AQ2208" s="10"/>
      <c r="AR2208" s="10"/>
      <c r="AS2208" s="10"/>
      <c r="AU2208" s="2"/>
      <c r="AV2208" s="2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</row>
    <row r="2209" spans="1:73" customFormat="1" ht="12.75" hidden="1" customHeight="1" x14ac:dyDescent="0.2">
      <c r="A2209" s="1"/>
      <c r="B2209" s="1"/>
      <c r="C2209" s="1"/>
      <c r="D2209" s="7"/>
      <c r="E2209" s="7"/>
      <c r="F2209" s="6"/>
      <c r="G2209" s="7"/>
      <c r="H2209" s="2"/>
      <c r="I2209" s="2"/>
      <c r="J2209" s="2"/>
      <c r="K2209" s="2"/>
      <c r="L2209" s="178"/>
      <c r="M2209" s="2"/>
      <c r="N2209" s="7"/>
      <c r="P2209" s="7"/>
      <c r="R2209" s="2"/>
      <c r="S2209" s="2"/>
      <c r="T2209" s="2"/>
      <c r="U2209" s="2"/>
      <c r="V2209" s="2"/>
      <c r="X2209" s="38"/>
      <c r="Y2209" s="38"/>
      <c r="Z2209" s="38"/>
      <c r="AA2209" s="38"/>
      <c r="AB2209" s="38"/>
      <c r="AD2209" s="2"/>
      <c r="AE2209" s="2"/>
      <c r="AF2209" s="2"/>
      <c r="AG2209" s="2"/>
      <c r="AH2209" s="2"/>
      <c r="AJ2209" s="215"/>
      <c r="AK2209" s="215"/>
      <c r="AL2209" s="215"/>
      <c r="AM2209" s="215"/>
      <c r="AO2209" s="10"/>
      <c r="AP2209" s="10"/>
      <c r="AQ2209" s="10"/>
      <c r="AR2209" s="10"/>
      <c r="AS2209" s="10"/>
      <c r="AU2209" s="2"/>
      <c r="AV2209" s="2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</row>
    <row r="2210" spans="1:73" customFormat="1" ht="12.75" hidden="1" customHeight="1" x14ac:dyDescent="0.2">
      <c r="A2210" s="1"/>
      <c r="B2210" s="1"/>
      <c r="C2210" s="1"/>
      <c r="D2210" s="7"/>
      <c r="E2210" s="7"/>
      <c r="F2210" s="6"/>
      <c r="G2210" s="7"/>
      <c r="H2210" s="2"/>
      <c r="I2210" s="2"/>
      <c r="J2210" s="2"/>
      <c r="K2210" s="2"/>
      <c r="L2210" s="178"/>
      <c r="M2210" s="2"/>
      <c r="N2210" s="7"/>
      <c r="P2210" s="7"/>
      <c r="R2210" s="2"/>
      <c r="S2210" s="2"/>
      <c r="T2210" s="2"/>
      <c r="U2210" s="2"/>
      <c r="V2210" s="2"/>
      <c r="X2210" s="38"/>
      <c r="Y2210" s="38"/>
      <c r="Z2210" s="38"/>
      <c r="AA2210" s="38"/>
      <c r="AB2210" s="38"/>
      <c r="AD2210" s="2"/>
      <c r="AE2210" s="2"/>
      <c r="AF2210" s="2"/>
      <c r="AG2210" s="2"/>
      <c r="AH2210" s="2"/>
      <c r="AJ2210" s="215"/>
      <c r="AK2210" s="215"/>
      <c r="AL2210" s="215"/>
      <c r="AM2210" s="215"/>
      <c r="AO2210" s="10"/>
      <c r="AP2210" s="10"/>
      <c r="AQ2210" s="10"/>
      <c r="AR2210" s="10"/>
      <c r="AS2210" s="10"/>
      <c r="AU2210" s="2"/>
      <c r="AV2210" s="2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</row>
    <row r="2211" spans="1:73" customFormat="1" ht="12.75" hidden="1" customHeight="1" x14ac:dyDescent="0.2">
      <c r="A2211" s="1"/>
      <c r="B2211" s="1"/>
      <c r="C2211" s="1"/>
      <c r="D2211" s="7"/>
      <c r="E2211" s="7"/>
      <c r="F2211" s="6"/>
      <c r="G2211" s="7"/>
      <c r="H2211" s="2"/>
      <c r="I2211" s="2"/>
      <c r="J2211" s="2"/>
      <c r="K2211" s="2"/>
      <c r="L2211" s="178"/>
      <c r="M2211" s="2"/>
      <c r="N2211" s="7"/>
      <c r="P2211" s="7"/>
      <c r="R2211" s="2"/>
      <c r="S2211" s="2"/>
      <c r="T2211" s="2"/>
      <c r="U2211" s="2"/>
      <c r="V2211" s="2"/>
      <c r="X2211" s="38"/>
      <c r="Y2211" s="38"/>
      <c r="Z2211" s="38"/>
      <c r="AA2211" s="38"/>
      <c r="AB2211" s="38"/>
      <c r="AD2211" s="2"/>
      <c r="AE2211" s="2"/>
      <c r="AF2211" s="2"/>
      <c r="AG2211" s="2"/>
      <c r="AH2211" s="2"/>
      <c r="AJ2211" s="215"/>
      <c r="AK2211" s="215"/>
      <c r="AL2211" s="215"/>
      <c r="AM2211" s="215"/>
      <c r="AO2211" s="10"/>
      <c r="AP2211" s="10"/>
      <c r="AQ2211" s="10"/>
      <c r="AR2211" s="10"/>
      <c r="AS2211" s="10"/>
      <c r="AU2211" s="2"/>
      <c r="AV2211" s="2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</row>
    <row r="2212" spans="1:73" customFormat="1" ht="12.75" hidden="1" customHeight="1" x14ac:dyDescent="0.2">
      <c r="A2212" s="1"/>
      <c r="B2212" s="1"/>
      <c r="C2212" s="1"/>
      <c r="D2212" s="7"/>
      <c r="E2212" s="7"/>
      <c r="F2212" s="6"/>
      <c r="G2212" s="7"/>
      <c r="H2212" s="2"/>
      <c r="I2212" s="2"/>
      <c r="J2212" s="2"/>
      <c r="K2212" s="2"/>
      <c r="L2212" s="178"/>
      <c r="M2212" s="2"/>
      <c r="N2212" s="7"/>
      <c r="P2212" s="7"/>
      <c r="R2212" s="2"/>
      <c r="S2212" s="2"/>
      <c r="T2212" s="2"/>
      <c r="U2212" s="2"/>
      <c r="V2212" s="2"/>
      <c r="X2212" s="38"/>
      <c r="Y2212" s="38"/>
      <c r="Z2212" s="38"/>
      <c r="AA2212" s="38"/>
      <c r="AB2212" s="38"/>
      <c r="AD2212" s="2"/>
      <c r="AE2212" s="2"/>
      <c r="AF2212" s="2"/>
      <c r="AG2212" s="2"/>
      <c r="AH2212" s="2"/>
      <c r="AJ2212" s="215"/>
      <c r="AK2212" s="215"/>
      <c r="AL2212" s="215"/>
      <c r="AM2212" s="215"/>
      <c r="AO2212" s="10"/>
      <c r="AP2212" s="10"/>
      <c r="AQ2212" s="10"/>
      <c r="AR2212" s="10"/>
      <c r="AS2212" s="10"/>
      <c r="AU2212" s="2"/>
      <c r="AV2212" s="2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</row>
    <row r="2213" spans="1:73" customFormat="1" ht="12.75" hidden="1" customHeight="1" x14ac:dyDescent="0.2">
      <c r="A2213" s="1"/>
      <c r="B2213" s="1"/>
      <c r="C2213" s="1"/>
      <c r="D2213" s="7"/>
      <c r="E2213" s="7"/>
      <c r="F2213" s="6"/>
      <c r="G2213" s="7"/>
      <c r="H2213" s="2"/>
      <c r="I2213" s="2"/>
      <c r="J2213" s="2"/>
      <c r="K2213" s="2"/>
      <c r="L2213" s="178"/>
      <c r="M2213" s="2"/>
      <c r="N2213" s="7"/>
      <c r="P2213" s="7"/>
      <c r="R2213" s="2"/>
      <c r="S2213" s="2"/>
      <c r="T2213" s="2"/>
      <c r="U2213" s="2"/>
      <c r="V2213" s="2"/>
      <c r="X2213" s="38"/>
      <c r="Y2213" s="38"/>
      <c r="Z2213" s="38"/>
      <c r="AA2213" s="38"/>
      <c r="AB2213" s="38"/>
      <c r="AD2213" s="2"/>
      <c r="AE2213" s="2"/>
      <c r="AF2213" s="2"/>
      <c r="AG2213" s="2"/>
      <c r="AH2213" s="2"/>
      <c r="AJ2213" s="215"/>
      <c r="AK2213" s="215"/>
      <c r="AL2213" s="215"/>
      <c r="AM2213" s="215"/>
      <c r="AO2213" s="10"/>
      <c r="AP2213" s="10"/>
      <c r="AQ2213" s="10"/>
      <c r="AR2213" s="10"/>
      <c r="AS2213" s="10"/>
      <c r="AU2213" s="2"/>
      <c r="AV2213" s="2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</row>
    <row r="2214" spans="1:73" customFormat="1" ht="12.75" hidden="1" customHeight="1" x14ac:dyDescent="0.2">
      <c r="A2214" s="1"/>
      <c r="B2214" s="1"/>
      <c r="C2214" s="1"/>
      <c r="D2214" s="7"/>
      <c r="E2214" s="7"/>
      <c r="F2214" s="6"/>
      <c r="G2214" s="7"/>
      <c r="H2214" s="2"/>
      <c r="I2214" s="2"/>
      <c r="J2214" s="2"/>
      <c r="K2214" s="2"/>
      <c r="L2214" s="178"/>
      <c r="M2214" s="2"/>
      <c r="N2214" s="7"/>
      <c r="P2214" s="7"/>
      <c r="R2214" s="2"/>
      <c r="S2214" s="2"/>
      <c r="T2214" s="2"/>
      <c r="U2214" s="2"/>
      <c r="V2214" s="2"/>
      <c r="X2214" s="38"/>
      <c r="Y2214" s="38"/>
      <c r="Z2214" s="38"/>
      <c r="AA2214" s="38"/>
      <c r="AB2214" s="38"/>
      <c r="AD2214" s="2"/>
      <c r="AE2214" s="2"/>
      <c r="AF2214" s="2"/>
      <c r="AG2214" s="2"/>
      <c r="AH2214" s="2"/>
      <c r="AJ2214" s="215"/>
      <c r="AK2214" s="215"/>
      <c r="AL2214" s="215"/>
      <c r="AM2214" s="215"/>
      <c r="AO2214" s="10"/>
      <c r="AP2214" s="10"/>
      <c r="AQ2214" s="10"/>
      <c r="AR2214" s="10"/>
      <c r="AS2214" s="10"/>
      <c r="AU2214" s="2"/>
      <c r="AV2214" s="2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</row>
    <row r="2215" spans="1:73" customFormat="1" ht="12.75" hidden="1" customHeight="1" x14ac:dyDescent="0.2">
      <c r="A2215" s="1"/>
      <c r="B2215" s="1"/>
      <c r="C2215" s="1"/>
      <c r="D2215" s="7"/>
      <c r="E2215" s="7"/>
      <c r="F2215" s="6"/>
      <c r="G2215" s="7"/>
      <c r="H2215" s="2"/>
      <c r="I2215" s="2"/>
      <c r="J2215" s="2"/>
      <c r="K2215" s="2"/>
      <c r="L2215" s="178"/>
      <c r="M2215" s="2"/>
      <c r="N2215" s="7"/>
      <c r="P2215" s="7"/>
      <c r="R2215" s="2"/>
      <c r="S2215" s="2"/>
      <c r="T2215" s="2"/>
      <c r="U2215" s="2"/>
      <c r="V2215" s="2"/>
      <c r="X2215" s="38"/>
      <c r="Y2215" s="38"/>
      <c r="Z2215" s="38"/>
      <c r="AA2215" s="38"/>
      <c r="AB2215" s="38"/>
      <c r="AD2215" s="2"/>
      <c r="AE2215" s="2"/>
      <c r="AF2215" s="2"/>
      <c r="AG2215" s="2"/>
      <c r="AH2215" s="2"/>
      <c r="AJ2215" s="215"/>
      <c r="AK2215" s="215"/>
      <c r="AL2215" s="215"/>
      <c r="AM2215" s="215"/>
      <c r="AO2215" s="10"/>
      <c r="AP2215" s="10"/>
      <c r="AQ2215" s="10"/>
      <c r="AR2215" s="10"/>
      <c r="AS2215" s="10"/>
      <c r="AU2215" s="2"/>
      <c r="AV2215" s="2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</row>
    <row r="2216" spans="1:73" customFormat="1" ht="12.75" hidden="1" customHeight="1" x14ac:dyDescent="0.2">
      <c r="A2216" s="1"/>
      <c r="B2216" s="1"/>
      <c r="C2216" s="1"/>
      <c r="D2216" s="7"/>
      <c r="E2216" s="7"/>
      <c r="F2216" s="6"/>
      <c r="G2216" s="7"/>
      <c r="H2216" s="2"/>
      <c r="I2216" s="2"/>
      <c r="J2216" s="2"/>
      <c r="K2216" s="2"/>
      <c r="L2216" s="178"/>
      <c r="M2216" s="2"/>
      <c r="N2216" s="7"/>
      <c r="P2216" s="7"/>
      <c r="R2216" s="2"/>
      <c r="S2216" s="2"/>
      <c r="T2216" s="2"/>
      <c r="U2216" s="2"/>
      <c r="V2216" s="2"/>
      <c r="X2216" s="38"/>
      <c r="Y2216" s="38"/>
      <c r="Z2216" s="38"/>
      <c r="AA2216" s="38"/>
      <c r="AB2216" s="38"/>
      <c r="AD2216" s="2"/>
      <c r="AE2216" s="2"/>
      <c r="AF2216" s="2"/>
      <c r="AG2216" s="2"/>
      <c r="AH2216" s="2"/>
      <c r="AJ2216" s="215"/>
      <c r="AK2216" s="215"/>
      <c r="AL2216" s="215"/>
      <c r="AM2216" s="215"/>
      <c r="AO2216" s="10"/>
      <c r="AP2216" s="10"/>
      <c r="AQ2216" s="10"/>
      <c r="AR2216" s="10"/>
      <c r="AS2216" s="10"/>
      <c r="AU2216" s="2"/>
      <c r="AV2216" s="2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</row>
    <row r="2217" spans="1:73" customFormat="1" ht="12.75" hidden="1" customHeight="1" x14ac:dyDescent="0.2">
      <c r="A2217" s="1"/>
      <c r="B2217" s="1"/>
      <c r="C2217" s="1"/>
      <c r="D2217" s="7"/>
      <c r="E2217" s="7"/>
      <c r="F2217" s="6"/>
      <c r="G2217" s="7"/>
      <c r="H2217" s="2"/>
      <c r="I2217" s="2"/>
      <c r="J2217" s="2"/>
      <c r="K2217" s="2"/>
      <c r="L2217" s="178"/>
      <c r="M2217" s="2"/>
      <c r="N2217" s="7"/>
      <c r="P2217" s="7"/>
      <c r="R2217" s="2"/>
      <c r="S2217" s="2"/>
      <c r="T2217" s="2"/>
      <c r="U2217" s="2"/>
      <c r="V2217" s="2"/>
      <c r="X2217" s="38"/>
      <c r="Y2217" s="38"/>
      <c r="Z2217" s="38"/>
      <c r="AA2217" s="38"/>
      <c r="AB2217" s="38"/>
      <c r="AD2217" s="2"/>
      <c r="AE2217" s="2"/>
      <c r="AF2217" s="2"/>
      <c r="AG2217" s="2"/>
      <c r="AH2217" s="2"/>
      <c r="AJ2217" s="215"/>
      <c r="AK2217" s="215"/>
      <c r="AL2217" s="215"/>
      <c r="AM2217" s="215"/>
      <c r="AO2217" s="10"/>
      <c r="AP2217" s="10"/>
      <c r="AQ2217" s="10"/>
      <c r="AR2217" s="10"/>
      <c r="AS2217" s="10"/>
      <c r="AU2217" s="2"/>
      <c r="AV2217" s="2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</row>
    <row r="2218" spans="1:73" customFormat="1" ht="12.75" hidden="1" customHeight="1" x14ac:dyDescent="0.2">
      <c r="A2218" s="1"/>
      <c r="B2218" s="1"/>
      <c r="C2218" s="1"/>
      <c r="D2218" s="7"/>
      <c r="E2218" s="7"/>
      <c r="F2218" s="6"/>
      <c r="G2218" s="7"/>
      <c r="H2218" s="2"/>
      <c r="I2218" s="2"/>
      <c r="J2218" s="2"/>
      <c r="K2218" s="2"/>
      <c r="L2218" s="178"/>
      <c r="M2218" s="2"/>
      <c r="N2218" s="7"/>
      <c r="P2218" s="7"/>
      <c r="R2218" s="2"/>
      <c r="S2218" s="2"/>
      <c r="T2218" s="2"/>
      <c r="U2218" s="2"/>
      <c r="V2218" s="2"/>
      <c r="X2218" s="38"/>
      <c r="Y2218" s="38"/>
      <c r="Z2218" s="38"/>
      <c r="AA2218" s="38"/>
      <c r="AB2218" s="38"/>
      <c r="AD2218" s="2"/>
      <c r="AE2218" s="2"/>
      <c r="AF2218" s="2"/>
      <c r="AG2218" s="2"/>
      <c r="AH2218" s="2"/>
      <c r="AJ2218" s="215"/>
      <c r="AK2218" s="215"/>
      <c r="AL2218" s="215"/>
      <c r="AM2218" s="215"/>
      <c r="AO2218" s="10"/>
      <c r="AP2218" s="10"/>
      <c r="AQ2218" s="10"/>
      <c r="AR2218" s="10"/>
      <c r="AS2218" s="10"/>
      <c r="AU2218" s="2"/>
      <c r="AV2218" s="2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</row>
    <row r="2219" spans="1:73" customFormat="1" ht="12.75" hidden="1" customHeight="1" x14ac:dyDescent="0.2">
      <c r="A2219" s="1"/>
      <c r="B2219" s="1"/>
      <c r="C2219" s="1"/>
      <c r="D2219" s="7"/>
      <c r="E2219" s="7"/>
      <c r="F2219" s="6"/>
      <c r="G2219" s="7"/>
      <c r="H2219" s="2"/>
      <c r="I2219" s="2"/>
      <c r="J2219" s="2"/>
      <c r="K2219" s="2"/>
      <c r="L2219" s="178"/>
      <c r="M2219" s="2"/>
      <c r="N2219" s="7"/>
      <c r="P2219" s="7"/>
      <c r="R2219" s="2"/>
      <c r="S2219" s="2"/>
      <c r="T2219" s="2"/>
      <c r="U2219" s="2"/>
      <c r="V2219" s="2"/>
      <c r="X2219" s="38"/>
      <c r="Y2219" s="38"/>
      <c r="Z2219" s="38"/>
      <c r="AA2219" s="38"/>
      <c r="AB2219" s="38"/>
      <c r="AD2219" s="2"/>
      <c r="AE2219" s="2"/>
      <c r="AF2219" s="2"/>
      <c r="AG2219" s="2"/>
      <c r="AH2219" s="2"/>
      <c r="AJ2219" s="215"/>
      <c r="AK2219" s="215"/>
      <c r="AL2219" s="215"/>
      <c r="AM2219" s="215"/>
      <c r="AO2219" s="10"/>
      <c r="AP2219" s="10"/>
      <c r="AQ2219" s="10"/>
      <c r="AR2219" s="10"/>
      <c r="AS2219" s="10"/>
      <c r="AU2219" s="2"/>
      <c r="AV2219" s="2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</row>
    <row r="2220" spans="1:73" customFormat="1" ht="12.75" hidden="1" customHeight="1" x14ac:dyDescent="0.2">
      <c r="A2220" s="1"/>
      <c r="B2220" s="1"/>
      <c r="C2220" s="1"/>
      <c r="D2220" s="7"/>
      <c r="E2220" s="7"/>
      <c r="F2220" s="6"/>
      <c r="G2220" s="7"/>
      <c r="H2220" s="2"/>
      <c r="I2220" s="2"/>
      <c r="J2220" s="2"/>
      <c r="K2220" s="2"/>
      <c r="L2220" s="178"/>
      <c r="M2220" s="2"/>
      <c r="N2220" s="7"/>
      <c r="P2220" s="7"/>
      <c r="R2220" s="2"/>
      <c r="S2220" s="2"/>
      <c r="T2220" s="2"/>
      <c r="U2220" s="2"/>
      <c r="V2220" s="2"/>
      <c r="X2220" s="38"/>
      <c r="Y2220" s="38"/>
      <c r="Z2220" s="38"/>
      <c r="AA2220" s="38"/>
      <c r="AB2220" s="38"/>
      <c r="AD2220" s="2"/>
      <c r="AE2220" s="2"/>
      <c r="AF2220" s="2"/>
      <c r="AG2220" s="2"/>
      <c r="AH2220" s="2"/>
      <c r="AJ2220" s="215"/>
      <c r="AK2220" s="215"/>
      <c r="AL2220" s="215"/>
      <c r="AM2220" s="215"/>
      <c r="AO2220" s="10"/>
      <c r="AP2220" s="10"/>
      <c r="AQ2220" s="10"/>
      <c r="AR2220" s="10"/>
      <c r="AS2220" s="10"/>
      <c r="AU2220" s="2"/>
      <c r="AV2220" s="2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</row>
    <row r="2221" spans="1:73" customFormat="1" ht="12.75" hidden="1" customHeight="1" x14ac:dyDescent="0.2">
      <c r="A2221" s="1"/>
      <c r="B2221" s="1"/>
      <c r="C2221" s="1"/>
      <c r="D2221" s="7"/>
      <c r="E2221" s="7"/>
      <c r="F2221" s="6"/>
      <c r="G2221" s="7"/>
      <c r="H2221" s="2"/>
      <c r="I2221" s="2"/>
      <c r="J2221" s="2"/>
      <c r="K2221" s="2"/>
      <c r="L2221" s="178"/>
      <c r="M2221" s="2"/>
      <c r="N2221" s="7"/>
      <c r="P2221" s="7"/>
      <c r="R2221" s="2"/>
      <c r="S2221" s="2"/>
      <c r="T2221" s="2"/>
      <c r="U2221" s="2"/>
      <c r="V2221" s="2"/>
      <c r="X2221" s="38"/>
      <c r="Y2221" s="38"/>
      <c r="Z2221" s="38"/>
      <c r="AA2221" s="38"/>
      <c r="AB2221" s="38"/>
      <c r="AD2221" s="2"/>
      <c r="AE2221" s="2"/>
      <c r="AF2221" s="2"/>
      <c r="AG2221" s="2"/>
      <c r="AH2221" s="2"/>
      <c r="AJ2221" s="215"/>
      <c r="AK2221" s="215"/>
      <c r="AL2221" s="215"/>
      <c r="AM2221" s="215"/>
      <c r="AO2221" s="10"/>
      <c r="AP2221" s="10"/>
      <c r="AQ2221" s="10"/>
      <c r="AR2221" s="10"/>
      <c r="AS2221" s="10"/>
      <c r="AU2221" s="2"/>
      <c r="AV2221" s="2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</row>
    <row r="2222" spans="1:73" customFormat="1" ht="12.75" hidden="1" customHeight="1" x14ac:dyDescent="0.2">
      <c r="A2222" s="1"/>
      <c r="B2222" s="1"/>
      <c r="C2222" s="1"/>
      <c r="D2222" s="7"/>
      <c r="E2222" s="7"/>
      <c r="F2222" s="6"/>
      <c r="G2222" s="7"/>
      <c r="H2222" s="2"/>
      <c r="I2222" s="2"/>
      <c r="J2222" s="2"/>
      <c r="K2222" s="2"/>
      <c r="L2222" s="178"/>
      <c r="M2222" s="2"/>
      <c r="N2222" s="7"/>
      <c r="P2222" s="7"/>
      <c r="R2222" s="2"/>
      <c r="S2222" s="2"/>
      <c r="T2222" s="2"/>
      <c r="U2222" s="2"/>
      <c r="V2222" s="2"/>
      <c r="X2222" s="38"/>
      <c r="Y2222" s="38"/>
      <c r="Z2222" s="38"/>
      <c r="AA2222" s="38"/>
      <c r="AB2222" s="38"/>
      <c r="AD2222" s="2"/>
      <c r="AE2222" s="2"/>
      <c r="AF2222" s="2"/>
      <c r="AG2222" s="2"/>
      <c r="AH2222" s="2"/>
      <c r="AJ2222" s="215"/>
      <c r="AK2222" s="215"/>
      <c r="AL2222" s="215"/>
      <c r="AM2222" s="215"/>
      <c r="AO2222" s="10"/>
      <c r="AP2222" s="10"/>
      <c r="AQ2222" s="10"/>
      <c r="AR2222" s="10"/>
      <c r="AS2222" s="10"/>
      <c r="AU2222" s="2"/>
      <c r="AV2222" s="2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</row>
    <row r="2223" spans="1:73" customFormat="1" ht="12.75" hidden="1" customHeight="1" x14ac:dyDescent="0.2">
      <c r="A2223" s="1"/>
      <c r="B2223" s="1"/>
      <c r="C2223" s="1"/>
      <c r="D2223" s="7"/>
      <c r="E2223" s="7"/>
      <c r="F2223" s="6"/>
      <c r="G2223" s="7"/>
      <c r="H2223" s="2"/>
      <c r="I2223" s="2"/>
      <c r="J2223" s="2"/>
      <c r="K2223" s="2"/>
      <c r="L2223" s="178"/>
      <c r="M2223" s="2"/>
      <c r="N2223" s="7"/>
      <c r="P2223" s="7"/>
      <c r="R2223" s="2"/>
      <c r="S2223" s="2"/>
      <c r="T2223" s="2"/>
      <c r="U2223" s="2"/>
      <c r="V2223" s="2"/>
      <c r="X2223" s="38"/>
      <c r="Y2223" s="38"/>
      <c r="Z2223" s="38"/>
      <c r="AA2223" s="38"/>
      <c r="AB2223" s="38"/>
      <c r="AD2223" s="2"/>
      <c r="AE2223" s="2"/>
      <c r="AF2223" s="2"/>
      <c r="AG2223" s="2"/>
      <c r="AH2223" s="2"/>
      <c r="AJ2223" s="215"/>
      <c r="AK2223" s="215"/>
      <c r="AL2223" s="215"/>
      <c r="AM2223" s="215"/>
      <c r="AO2223" s="10"/>
      <c r="AP2223" s="10"/>
      <c r="AQ2223" s="10"/>
      <c r="AR2223" s="10"/>
      <c r="AS2223" s="10"/>
      <c r="AU2223" s="2"/>
      <c r="AV2223" s="2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</row>
    <row r="2224" spans="1:73" customFormat="1" ht="12.75" hidden="1" customHeight="1" x14ac:dyDescent="0.2">
      <c r="A2224" s="1"/>
      <c r="B2224" s="1"/>
      <c r="C2224" s="1"/>
      <c r="D2224" s="7"/>
      <c r="E2224" s="7"/>
      <c r="F2224" s="6"/>
      <c r="G2224" s="7"/>
      <c r="H2224" s="2"/>
      <c r="I2224" s="2"/>
      <c r="J2224" s="2"/>
      <c r="K2224" s="2"/>
      <c r="L2224" s="178"/>
      <c r="M2224" s="2"/>
      <c r="N2224" s="7"/>
      <c r="P2224" s="7"/>
      <c r="R2224" s="2"/>
      <c r="S2224" s="2"/>
      <c r="T2224" s="2"/>
      <c r="U2224" s="2"/>
      <c r="V2224" s="2"/>
      <c r="X2224" s="38"/>
      <c r="Y2224" s="38"/>
      <c r="Z2224" s="38"/>
      <c r="AA2224" s="38"/>
      <c r="AB2224" s="38"/>
      <c r="AD2224" s="2"/>
      <c r="AE2224" s="2"/>
      <c r="AF2224" s="2"/>
      <c r="AG2224" s="2"/>
      <c r="AH2224" s="2"/>
      <c r="AJ2224" s="215"/>
      <c r="AK2224" s="215"/>
      <c r="AL2224" s="215"/>
      <c r="AM2224" s="215"/>
      <c r="AO2224" s="10"/>
      <c r="AP2224" s="10"/>
      <c r="AQ2224" s="10"/>
      <c r="AR2224" s="10"/>
      <c r="AS2224" s="10"/>
      <c r="AU2224" s="2"/>
      <c r="AV2224" s="2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</row>
    <row r="2225" spans="1:73" customFormat="1" ht="12.75" hidden="1" customHeight="1" x14ac:dyDescent="0.2">
      <c r="A2225" s="1"/>
      <c r="B2225" s="1"/>
      <c r="C2225" s="1"/>
      <c r="D2225" s="7"/>
      <c r="E2225" s="7"/>
      <c r="F2225" s="6"/>
      <c r="G2225" s="7"/>
      <c r="H2225" s="2"/>
      <c r="I2225" s="2"/>
      <c r="J2225" s="2"/>
      <c r="K2225" s="2"/>
      <c r="L2225" s="178"/>
      <c r="M2225" s="2"/>
      <c r="N2225" s="7"/>
      <c r="P2225" s="7"/>
      <c r="R2225" s="2"/>
      <c r="S2225" s="2"/>
      <c r="T2225" s="2"/>
      <c r="U2225" s="2"/>
      <c r="V2225" s="2"/>
      <c r="X2225" s="38"/>
      <c r="Y2225" s="38"/>
      <c r="Z2225" s="38"/>
      <c r="AA2225" s="38"/>
      <c r="AB2225" s="38"/>
      <c r="AD2225" s="2"/>
      <c r="AE2225" s="2"/>
      <c r="AF2225" s="2"/>
      <c r="AG2225" s="2"/>
      <c r="AH2225" s="2"/>
      <c r="AJ2225" s="215"/>
      <c r="AK2225" s="215"/>
      <c r="AL2225" s="215"/>
      <c r="AM2225" s="215"/>
      <c r="AO2225" s="10"/>
      <c r="AP2225" s="10"/>
      <c r="AQ2225" s="10"/>
      <c r="AR2225" s="10"/>
      <c r="AS2225" s="10"/>
      <c r="AU2225" s="2"/>
      <c r="AV2225" s="2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</row>
    <row r="2226" spans="1:73" customFormat="1" ht="12.75" hidden="1" customHeight="1" x14ac:dyDescent="0.2">
      <c r="A2226" s="1"/>
      <c r="B2226" s="1"/>
      <c r="C2226" s="1"/>
      <c r="D2226" s="7"/>
      <c r="E2226" s="7"/>
      <c r="F2226" s="6"/>
      <c r="G2226" s="7"/>
      <c r="H2226" s="2"/>
      <c r="I2226" s="2"/>
      <c r="J2226" s="2"/>
      <c r="K2226" s="2"/>
      <c r="L2226" s="178"/>
      <c r="M2226" s="2"/>
      <c r="N2226" s="7"/>
      <c r="P2226" s="7"/>
      <c r="R2226" s="2"/>
      <c r="S2226" s="2"/>
      <c r="T2226" s="2"/>
      <c r="U2226" s="2"/>
      <c r="V2226" s="2"/>
      <c r="X2226" s="38"/>
      <c r="Y2226" s="38"/>
      <c r="Z2226" s="38"/>
      <c r="AA2226" s="38"/>
      <c r="AB2226" s="38"/>
      <c r="AD2226" s="2"/>
      <c r="AE2226" s="2"/>
      <c r="AF2226" s="2"/>
      <c r="AG2226" s="2"/>
      <c r="AH2226" s="2"/>
      <c r="AJ2226" s="215"/>
      <c r="AK2226" s="215"/>
      <c r="AL2226" s="215"/>
      <c r="AM2226" s="215"/>
      <c r="AO2226" s="10"/>
      <c r="AP2226" s="10"/>
      <c r="AQ2226" s="10"/>
      <c r="AR2226" s="10"/>
      <c r="AS2226" s="10"/>
      <c r="AU2226" s="2"/>
      <c r="AV2226" s="2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</row>
    <row r="2227" spans="1:73" customFormat="1" ht="12.75" hidden="1" customHeight="1" x14ac:dyDescent="0.2">
      <c r="A2227" s="1"/>
      <c r="B2227" s="1"/>
      <c r="C2227" s="1"/>
      <c r="D2227" s="7"/>
      <c r="E2227" s="7"/>
      <c r="F2227" s="6"/>
      <c r="G2227" s="7"/>
      <c r="H2227" s="2"/>
      <c r="I2227" s="2"/>
      <c r="J2227" s="2"/>
      <c r="K2227" s="2"/>
      <c r="L2227" s="178"/>
      <c r="M2227" s="2"/>
      <c r="N2227" s="7"/>
      <c r="P2227" s="7"/>
      <c r="R2227" s="2"/>
      <c r="S2227" s="2"/>
      <c r="T2227" s="2"/>
      <c r="U2227" s="2"/>
      <c r="V2227" s="2"/>
      <c r="X2227" s="38"/>
      <c r="Y2227" s="38"/>
      <c r="Z2227" s="38"/>
      <c r="AA2227" s="38"/>
      <c r="AB2227" s="38"/>
      <c r="AD2227" s="2"/>
      <c r="AE2227" s="2"/>
      <c r="AF2227" s="2"/>
      <c r="AG2227" s="2"/>
      <c r="AH2227" s="2"/>
      <c r="AJ2227" s="215"/>
      <c r="AK2227" s="215"/>
      <c r="AL2227" s="215"/>
      <c r="AM2227" s="215"/>
      <c r="AO2227" s="10"/>
      <c r="AP2227" s="10"/>
      <c r="AQ2227" s="10"/>
      <c r="AR2227" s="10"/>
      <c r="AS2227" s="10"/>
      <c r="AU2227" s="2"/>
      <c r="AV2227" s="2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</row>
    <row r="2228" spans="1:73" customFormat="1" ht="12.75" hidden="1" customHeight="1" x14ac:dyDescent="0.2">
      <c r="A2228" s="1"/>
      <c r="B2228" s="1"/>
      <c r="C2228" s="1"/>
      <c r="D2228" s="7"/>
      <c r="E2228" s="7"/>
      <c r="F2228" s="6"/>
      <c r="G2228" s="7"/>
      <c r="H2228" s="2"/>
      <c r="I2228" s="2"/>
      <c r="J2228" s="2"/>
      <c r="K2228" s="2"/>
      <c r="L2228" s="178"/>
      <c r="M2228" s="2"/>
      <c r="N2228" s="7"/>
      <c r="P2228" s="7"/>
      <c r="R2228" s="2"/>
      <c r="S2228" s="2"/>
      <c r="T2228" s="2"/>
      <c r="U2228" s="2"/>
      <c r="V2228" s="2"/>
      <c r="X2228" s="38"/>
      <c r="Y2228" s="38"/>
      <c r="Z2228" s="38"/>
      <c r="AA2228" s="38"/>
      <c r="AB2228" s="38"/>
      <c r="AD2228" s="2"/>
      <c r="AE2228" s="2"/>
      <c r="AF2228" s="2"/>
      <c r="AG2228" s="2"/>
      <c r="AH2228" s="2"/>
      <c r="AJ2228" s="215"/>
      <c r="AK2228" s="215"/>
      <c r="AL2228" s="215"/>
      <c r="AM2228" s="215"/>
      <c r="AO2228" s="10"/>
      <c r="AP2228" s="10"/>
      <c r="AQ2228" s="10"/>
      <c r="AR2228" s="10"/>
      <c r="AS2228" s="10"/>
      <c r="AU2228" s="2"/>
      <c r="AV2228" s="2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</row>
    <row r="2229" spans="1:73" customFormat="1" ht="12.75" hidden="1" customHeight="1" x14ac:dyDescent="0.2">
      <c r="A2229" s="1"/>
      <c r="B2229" s="1"/>
      <c r="C2229" s="1"/>
      <c r="D2229" s="7"/>
      <c r="E2229" s="7"/>
      <c r="F2229" s="6"/>
      <c r="G2229" s="7"/>
      <c r="H2229" s="2"/>
      <c r="I2229" s="2"/>
      <c r="J2229" s="2"/>
      <c r="K2229" s="2"/>
      <c r="L2229" s="178"/>
      <c r="M2229" s="2"/>
      <c r="N2229" s="7"/>
      <c r="P2229" s="7"/>
      <c r="R2229" s="2"/>
      <c r="S2229" s="2"/>
      <c r="T2229" s="2"/>
      <c r="U2229" s="2"/>
      <c r="V2229" s="2"/>
      <c r="X2229" s="38"/>
      <c r="Y2229" s="38"/>
      <c r="Z2229" s="38"/>
      <c r="AA2229" s="38"/>
      <c r="AB2229" s="38"/>
      <c r="AD2229" s="2"/>
      <c r="AE2229" s="2"/>
      <c r="AF2229" s="2"/>
      <c r="AG2229" s="2"/>
      <c r="AH2229" s="2"/>
      <c r="AJ2229" s="215"/>
      <c r="AK2229" s="215"/>
      <c r="AL2229" s="215"/>
      <c r="AM2229" s="215"/>
      <c r="AO2229" s="10"/>
      <c r="AP2229" s="10"/>
      <c r="AQ2229" s="10"/>
      <c r="AR2229" s="10"/>
      <c r="AS2229" s="10"/>
      <c r="AU2229" s="2"/>
      <c r="AV2229" s="2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</row>
    <row r="2230" spans="1:73" customFormat="1" ht="12.75" hidden="1" customHeight="1" x14ac:dyDescent="0.2">
      <c r="A2230" s="1"/>
      <c r="B2230" s="1"/>
      <c r="C2230" s="1"/>
      <c r="D2230" s="7"/>
      <c r="E2230" s="7"/>
      <c r="F2230" s="6"/>
      <c r="G2230" s="7"/>
      <c r="H2230" s="2"/>
      <c r="I2230" s="2"/>
      <c r="J2230" s="2"/>
      <c r="K2230" s="2"/>
      <c r="L2230" s="178"/>
      <c r="M2230" s="2"/>
      <c r="N2230" s="7"/>
      <c r="P2230" s="7"/>
      <c r="R2230" s="2"/>
      <c r="S2230" s="2"/>
      <c r="T2230" s="2"/>
      <c r="U2230" s="2"/>
      <c r="V2230" s="2"/>
      <c r="X2230" s="38"/>
      <c r="Y2230" s="38"/>
      <c r="Z2230" s="38"/>
      <c r="AA2230" s="38"/>
      <c r="AB2230" s="38"/>
      <c r="AD2230" s="2"/>
      <c r="AE2230" s="2"/>
      <c r="AF2230" s="2"/>
      <c r="AG2230" s="2"/>
      <c r="AH2230" s="2"/>
      <c r="AJ2230" s="215"/>
      <c r="AK2230" s="215"/>
      <c r="AL2230" s="215"/>
      <c r="AM2230" s="215"/>
      <c r="AO2230" s="10"/>
      <c r="AP2230" s="10"/>
      <c r="AQ2230" s="10"/>
      <c r="AR2230" s="10"/>
      <c r="AS2230" s="10"/>
      <c r="AU2230" s="2"/>
      <c r="AV2230" s="2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</row>
    <row r="2231" spans="1:73" customFormat="1" ht="12.75" hidden="1" customHeight="1" x14ac:dyDescent="0.2">
      <c r="A2231" s="1"/>
      <c r="B2231" s="1"/>
      <c r="C2231" s="1"/>
      <c r="D2231" s="7"/>
      <c r="E2231" s="7"/>
      <c r="F2231" s="6"/>
      <c r="G2231" s="7"/>
      <c r="H2231" s="2"/>
      <c r="I2231" s="2"/>
      <c r="J2231" s="2"/>
      <c r="K2231" s="2"/>
      <c r="L2231" s="178"/>
      <c r="M2231" s="2"/>
      <c r="N2231" s="7"/>
      <c r="P2231" s="7"/>
      <c r="R2231" s="2"/>
      <c r="S2231" s="2"/>
      <c r="T2231" s="2"/>
      <c r="U2231" s="2"/>
      <c r="V2231" s="2"/>
      <c r="X2231" s="38"/>
      <c r="Y2231" s="38"/>
      <c r="Z2231" s="38"/>
      <c r="AA2231" s="38"/>
      <c r="AB2231" s="38"/>
      <c r="AD2231" s="2"/>
      <c r="AE2231" s="2"/>
      <c r="AF2231" s="2"/>
      <c r="AG2231" s="2"/>
      <c r="AH2231" s="2"/>
      <c r="AJ2231" s="215"/>
      <c r="AK2231" s="215"/>
      <c r="AL2231" s="215"/>
      <c r="AM2231" s="215"/>
      <c r="AO2231" s="10"/>
      <c r="AP2231" s="10"/>
      <c r="AQ2231" s="10"/>
      <c r="AR2231" s="10"/>
      <c r="AS2231" s="10"/>
      <c r="AU2231" s="2"/>
      <c r="AV2231" s="2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</row>
    <row r="2232" spans="1:73" customFormat="1" ht="12.75" hidden="1" customHeight="1" x14ac:dyDescent="0.2">
      <c r="A2232" s="1"/>
      <c r="B2232" s="1"/>
      <c r="C2232" s="1"/>
      <c r="D2232" s="7"/>
      <c r="E2232" s="7"/>
      <c r="F2232" s="6"/>
      <c r="G2232" s="7"/>
      <c r="H2232" s="2"/>
      <c r="I2232" s="2"/>
      <c r="J2232" s="2"/>
      <c r="K2232" s="2"/>
      <c r="L2232" s="178"/>
      <c r="M2232" s="2"/>
      <c r="N2232" s="7"/>
      <c r="P2232" s="7"/>
      <c r="R2232" s="2"/>
      <c r="S2232" s="2"/>
      <c r="T2232" s="2"/>
      <c r="U2232" s="2"/>
      <c r="V2232" s="2"/>
      <c r="X2232" s="38"/>
      <c r="Y2232" s="38"/>
      <c r="Z2232" s="38"/>
      <c r="AA2232" s="38"/>
      <c r="AB2232" s="38"/>
      <c r="AD2232" s="2"/>
      <c r="AE2232" s="2"/>
      <c r="AF2232" s="2"/>
      <c r="AG2232" s="2"/>
      <c r="AH2232" s="2"/>
      <c r="AJ2232" s="215"/>
      <c r="AK2232" s="215"/>
      <c r="AL2232" s="215"/>
      <c r="AM2232" s="215"/>
      <c r="AO2232" s="10"/>
      <c r="AP2232" s="10"/>
      <c r="AQ2232" s="10"/>
      <c r="AR2232" s="10"/>
      <c r="AS2232" s="10"/>
      <c r="AU2232" s="2"/>
      <c r="AV2232" s="2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</row>
    <row r="2233" spans="1:73" customFormat="1" ht="12.75" hidden="1" customHeight="1" x14ac:dyDescent="0.2">
      <c r="A2233" s="1"/>
      <c r="B2233" s="1"/>
      <c r="C2233" s="1"/>
      <c r="D2233" s="7"/>
      <c r="E2233" s="7"/>
      <c r="F2233" s="6"/>
      <c r="G2233" s="7"/>
      <c r="H2233" s="2"/>
      <c r="I2233" s="2"/>
      <c r="J2233" s="2"/>
      <c r="K2233" s="2"/>
      <c r="L2233" s="178"/>
      <c r="M2233" s="2"/>
      <c r="N2233" s="7"/>
      <c r="P2233" s="7"/>
      <c r="R2233" s="2"/>
      <c r="S2233" s="2"/>
      <c r="T2233" s="2"/>
      <c r="U2233" s="2"/>
      <c r="V2233" s="2"/>
      <c r="X2233" s="38"/>
      <c r="Y2233" s="38"/>
      <c r="Z2233" s="38"/>
      <c r="AA2233" s="38"/>
      <c r="AB2233" s="38"/>
      <c r="AD2233" s="2"/>
      <c r="AE2233" s="2"/>
      <c r="AF2233" s="2"/>
      <c r="AG2233" s="2"/>
      <c r="AH2233" s="2"/>
      <c r="AJ2233" s="215"/>
      <c r="AK2233" s="215"/>
      <c r="AL2233" s="215"/>
      <c r="AM2233" s="215"/>
      <c r="AO2233" s="10"/>
      <c r="AP2233" s="10"/>
      <c r="AQ2233" s="10"/>
      <c r="AR2233" s="10"/>
      <c r="AS2233" s="10"/>
      <c r="AU2233" s="2"/>
      <c r="AV2233" s="2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</row>
    <row r="2234" spans="1:73" customFormat="1" ht="12.75" hidden="1" customHeight="1" x14ac:dyDescent="0.2">
      <c r="A2234" s="1"/>
      <c r="B2234" s="1"/>
      <c r="C2234" s="1"/>
      <c r="D2234" s="7"/>
      <c r="E2234" s="7"/>
      <c r="F2234" s="6"/>
      <c r="G2234" s="7"/>
      <c r="H2234" s="2"/>
      <c r="I2234" s="2"/>
      <c r="J2234" s="2"/>
      <c r="K2234" s="2"/>
      <c r="L2234" s="178"/>
      <c r="M2234" s="2"/>
      <c r="N2234" s="7"/>
      <c r="P2234" s="7"/>
      <c r="R2234" s="2"/>
      <c r="S2234" s="2"/>
      <c r="T2234" s="2"/>
      <c r="U2234" s="2"/>
      <c r="V2234" s="2"/>
      <c r="X2234" s="38"/>
      <c r="Y2234" s="38"/>
      <c r="Z2234" s="38"/>
      <c r="AA2234" s="38"/>
      <c r="AB2234" s="38"/>
      <c r="AD2234" s="2"/>
      <c r="AE2234" s="2"/>
      <c r="AF2234" s="2"/>
      <c r="AG2234" s="2"/>
      <c r="AH2234" s="2"/>
      <c r="AJ2234" s="215"/>
      <c r="AK2234" s="215"/>
      <c r="AL2234" s="215"/>
      <c r="AM2234" s="215"/>
      <c r="AO2234" s="10"/>
      <c r="AP2234" s="10"/>
      <c r="AQ2234" s="10"/>
      <c r="AR2234" s="10"/>
      <c r="AS2234" s="10"/>
      <c r="AU2234" s="2"/>
      <c r="AV2234" s="2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</row>
    <row r="2235" spans="1:73" customFormat="1" ht="12.75" hidden="1" customHeight="1" x14ac:dyDescent="0.2">
      <c r="A2235" s="1"/>
      <c r="B2235" s="1"/>
      <c r="C2235" s="1"/>
      <c r="D2235" s="7"/>
      <c r="E2235" s="7"/>
      <c r="F2235" s="6"/>
      <c r="G2235" s="7"/>
      <c r="H2235" s="2"/>
      <c r="I2235" s="2"/>
      <c r="J2235" s="2"/>
      <c r="K2235" s="2"/>
      <c r="L2235" s="178"/>
      <c r="M2235" s="2"/>
      <c r="N2235" s="7"/>
      <c r="P2235" s="7"/>
      <c r="R2235" s="2"/>
      <c r="S2235" s="2"/>
      <c r="T2235" s="2"/>
      <c r="U2235" s="2"/>
      <c r="V2235" s="2"/>
      <c r="X2235" s="38"/>
      <c r="Y2235" s="38"/>
      <c r="Z2235" s="38"/>
      <c r="AA2235" s="38"/>
      <c r="AB2235" s="38"/>
      <c r="AD2235" s="2"/>
      <c r="AE2235" s="2"/>
      <c r="AF2235" s="2"/>
      <c r="AG2235" s="2"/>
      <c r="AH2235" s="2"/>
      <c r="AJ2235" s="215"/>
      <c r="AK2235" s="215"/>
      <c r="AL2235" s="215"/>
      <c r="AM2235" s="215"/>
      <c r="AO2235" s="10"/>
      <c r="AP2235" s="10"/>
      <c r="AQ2235" s="10"/>
      <c r="AR2235" s="10"/>
      <c r="AS2235" s="10"/>
      <c r="AU2235" s="2"/>
      <c r="AV2235" s="2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</row>
    <row r="2236" spans="1:73" customFormat="1" ht="12.75" hidden="1" customHeight="1" x14ac:dyDescent="0.2">
      <c r="A2236" s="1"/>
      <c r="B2236" s="1"/>
      <c r="C2236" s="1"/>
      <c r="D2236" s="7"/>
      <c r="E2236" s="7"/>
      <c r="F2236" s="6"/>
      <c r="G2236" s="7"/>
      <c r="H2236" s="2"/>
      <c r="I2236" s="2"/>
      <c r="J2236" s="2"/>
      <c r="K2236" s="2"/>
      <c r="L2236" s="178"/>
      <c r="M2236" s="2"/>
      <c r="N2236" s="7"/>
      <c r="P2236" s="7"/>
      <c r="R2236" s="2"/>
      <c r="S2236" s="2"/>
      <c r="T2236" s="2"/>
      <c r="U2236" s="2"/>
      <c r="V2236" s="2"/>
      <c r="X2236" s="38"/>
      <c r="Y2236" s="38"/>
      <c r="Z2236" s="38"/>
      <c r="AA2236" s="38"/>
      <c r="AB2236" s="38"/>
      <c r="AD2236" s="2"/>
      <c r="AE2236" s="2"/>
      <c r="AF2236" s="2"/>
      <c r="AG2236" s="2"/>
      <c r="AH2236" s="2"/>
      <c r="AJ2236" s="215"/>
      <c r="AK2236" s="215"/>
      <c r="AL2236" s="215"/>
      <c r="AM2236" s="215"/>
      <c r="AO2236" s="10"/>
      <c r="AP2236" s="10"/>
      <c r="AQ2236" s="10"/>
      <c r="AR2236" s="10"/>
      <c r="AS2236" s="10"/>
      <c r="AU2236" s="2"/>
      <c r="AV2236" s="2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</row>
    <row r="2237" spans="1:73" customFormat="1" ht="12.75" hidden="1" customHeight="1" x14ac:dyDescent="0.2">
      <c r="A2237" s="1"/>
      <c r="B2237" s="1"/>
      <c r="C2237" s="1"/>
      <c r="D2237" s="7"/>
      <c r="E2237" s="7"/>
      <c r="F2237" s="6"/>
      <c r="G2237" s="7"/>
      <c r="H2237" s="2"/>
      <c r="I2237" s="2"/>
      <c r="J2237" s="2"/>
      <c r="K2237" s="2"/>
      <c r="L2237" s="178"/>
      <c r="M2237" s="2"/>
      <c r="N2237" s="7"/>
      <c r="P2237" s="7"/>
      <c r="R2237" s="2"/>
      <c r="S2237" s="2"/>
      <c r="T2237" s="2"/>
      <c r="U2237" s="2"/>
      <c r="V2237" s="2"/>
      <c r="X2237" s="38"/>
      <c r="Y2237" s="38"/>
      <c r="Z2237" s="38"/>
      <c r="AA2237" s="38"/>
      <c r="AB2237" s="38"/>
      <c r="AD2237" s="2"/>
      <c r="AE2237" s="2"/>
      <c r="AF2237" s="2"/>
      <c r="AG2237" s="2"/>
      <c r="AH2237" s="2"/>
      <c r="AJ2237" s="215"/>
      <c r="AK2237" s="215"/>
      <c r="AL2237" s="215"/>
      <c r="AM2237" s="215"/>
      <c r="AO2237" s="10"/>
      <c r="AP2237" s="10"/>
      <c r="AQ2237" s="10"/>
      <c r="AR2237" s="10"/>
      <c r="AS2237" s="10"/>
      <c r="AU2237" s="2"/>
      <c r="AV2237" s="2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</row>
    <row r="2238" spans="1:73" customFormat="1" ht="12.75" hidden="1" customHeight="1" x14ac:dyDescent="0.2">
      <c r="A2238" s="1"/>
      <c r="B2238" s="1"/>
      <c r="C2238" s="1"/>
      <c r="D2238" s="7"/>
      <c r="E2238" s="7"/>
      <c r="F2238" s="6"/>
      <c r="G2238" s="7"/>
      <c r="H2238" s="2"/>
      <c r="I2238" s="2"/>
      <c r="J2238" s="2"/>
      <c r="K2238" s="2"/>
      <c r="L2238" s="178"/>
      <c r="M2238" s="2"/>
      <c r="N2238" s="7"/>
      <c r="P2238" s="7"/>
      <c r="R2238" s="2"/>
      <c r="S2238" s="2"/>
      <c r="T2238" s="2"/>
      <c r="U2238" s="2"/>
      <c r="V2238" s="2"/>
      <c r="X2238" s="38"/>
      <c r="Y2238" s="38"/>
      <c r="Z2238" s="38"/>
      <c r="AA2238" s="38"/>
      <c r="AB2238" s="38"/>
      <c r="AD2238" s="2"/>
      <c r="AE2238" s="2"/>
      <c r="AF2238" s="2"/>
      <c r="AG2238" s="2"/>
      <c r="AH2238" s="2"/>
      <c r="AJ2238" s="215"/>
      <c r="AK2238" s="215"/>
      <c r="AL2238" s="215"/>
      <c r="AM2238" s="215"/>
      <c r="AO2238" s="10"/>
      <c r="AP2238" s="10"/>
      <c r="AQ2238" s="10"/>
      <c r="AR2238" s="10"/>
      <c r="AS2238" s="10"/>
      <c r="AU2238" s="2"/>
      <c r="AV2238" s="2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</row>
    <row r="2239" spans="1:73" customFormat="1" ht="12.75" hidden="1" customHeight="1" x14ac:dyDescent="0.2">
      <c r="A2239" s="1"/>
      <c r="B2239" s="1"/>
      <c r="C2239" s="1"/>
      <c r="D2239" s="7"/>
      <c r="E2239" s="7"/>
      <c r="F2239" s="6"/>
      <c r="G2239" s="7"/>
      <c r="H2239" s="2"/>
      <c r="I2239" s="2"/>
      <c r="J2239" s="2"/>
      <c r="K2239" s="2"/>
      <c r="L2239" s="178"/>
      <c r="M2239" s="2"/>
      <c r="N2239" s="7"/>
      <c r="P2239" s="7"/>
      <c r="R2239" s="2"/>
      <c r="S2239" s="2"/>
      <c r="T2239" s="2"/>
      <c r="U2239" s="2"/>
      <c r="V2239" s="2"/>
      <c r="X2239" s="38"/>
      <c r="Y2239" s="38"/>
      <c r="Z2239" s="38"/>
      <c r="AA2239" s="38"/>
      <c r="AB2239" s="38"/>
      <c r="AD2239" s="2"/>
      <c r="AE2239" s="2"/>
      <c r="AF2239" s="2"/>
      <c r="AG2239" s="2"/>
      <c r="AH2239" s="2"/>
      <c r="AJ2239" s="215"/>
      <c r="AK2239" s="215"/>
      <c r="AL2239" s="215"/>
      <c r="AM2239" s="215"/>
      <c r="AO2239" s="10"/>
      <c r="AP2239" s="10"/>
      <c r="AQ2239" s="10"/>
      <c r="AR2239" s="10"/>
      <c r="AS2239" s="10"/>
      <c r="AU2239" s="2"/>
      <c r="AV2239" s="2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</row>
    <row r="2240" spans="1:73" customFormat="1" ht="12.75" hidden="1" customHeight="1" x14ac:dyDescent="0.2">
      <c r="A2240" s="1"/>
      <c r="B2240" s="1"/>
      <c r="C2240" s="1"/>
      <c r="D2240" s="7"/>
      <c r="E2240" s="7"/>
      <c r="F2240" s="6"/>
      <c r="G2240" s="7"/>
      <c r="H2240" s="2"/>
      <c r="I2240" s="2"/>
      <c r="J2240" s="2"/>
      <c r="K2240" s="2"/>
      <c r="L2240" s="178"/>
      <c r="M2240" s="2"/>
      <c r="N2240" s="7"/>
      <c r="P2240" s="7"/>
      <c r="R2240" s="2"/>
      <c r="S2240" s="2"/>
      <c r="T2240" s="2"/>
      <c r="U2240" s="2"/>
      <c r="V2240" s="2"/>
      <c r="X2240" s="38"/>
      <c r="Y2240" s="38"/>
      <c r="Z2240" s="38"/>
      <c r="AA2240" s="38"/>
      <c r="AB2240" s="38"/>
      <c r="AD2240" s="2"/>
      <c r="AE2240" s="2"/>
      <c r="AF2240" s="2"/>
      <c r="AG2240" s="2"/>
      <c r="AH2240" s="2"/>
      <c r="AJ2240" s="215"/>
      <c r="AK2240" s="215"/>
      <c r="AL2240" s="215"/>
      <c r="AM2240" s="215"/>
      <c r="AO2240" s="10"/>
      <c r="AP2240" s="10"/>
      <c r="AQ2240" s="10"/>
      <c r="AR2240" s="10"/>
      <c r="AS2240" s="10"/>
      <c r="AU2240" s="2"/>
      <c r="AV2240" s="2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</row>
    <row r="2241" spans="1:73" customFormat="1" ht="12.75" hidden="1" customHeight="1" x14ac:dyDescent="0.2">
      <c r="A2241" s="1"/>
      <c r="B2241" s="1"/>
      <c r="C2241" s="1"/>
      <c r="D2241" s="7"/>
      <c r="E2241" s="7"/>
      <c r="F2241" s="6"/>
      <c r="G2241" s="7"/>
      <c r="H2241" s="2"/>
      <c r="I2241" s="2"/>
      <c r="J2241" s="2"/>
      <c r="K2241" s="2"/>
      <c r="L2241" s="178"/>
      <c r="M2241" s="2"/>
      <c r="N2241" s="7"/>
      <c r="P2241" s="7"/>
      <c r="R2241" s="2"/>
      <c r="S2241" s="2"/>
      <c r="T2241" s="2"/>
      <c r="U2241" s="2"/>
      <c r="V2241" s="2"/>
      <c r="X2241" s="38"/>
      <c r="Y2241" s="38"/>
      <c r="Z2241" s="38"/>
      <c r="AA2241" s="38"/>
      <c r="AB2241" s="38"/>
      <c r="AD2241" s="2"/>
      <c r="AE2241" s="2"/>
      <c r="AF2241" s="2"/>
      <c r="AG2241" s="2"/>
      <c r="AH2241" s="2"/>
      <c r="AJ2241" s="215"/>
      <c r="AK2241" s="215"/>
      <c r="AL2241" s="215"/>
      <c r="AM2241" s="215"/>
      <c r="AO2241" s="10"/>
      <c r="AP2241" s="10"/>
      <c r="AQ2241" s="10"/>
      <c r="AR2241" s="10"/>
      <c r="AS2241" s="10"/>
      <c r="AU2241" s="2"/>
      <c r="AV2241" s="2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</row>
    <row r="2242" spans="1:73" customFormat="1" ht="12.75" hidden="1" customHeight="1" x14ac:dyDescent="0.2">
      <c r="A2242" s="1"/>
      <c r="B2242" s="1"/>
      <c r="C2242" s="1"/>
      <c r="D2242" s="7"/>
      <c r="E2242" s="7"/>
      <c r="F2242" s="6"/>
      <c r="G2242" s="7"/>
      <c r="H2242" s="2"/>
      <c r="I2242" s="2"/>
      <c r="J2242" s="2"/>
      <c r="K2242" s="2"/>
      <c r="L2242" s="178"/>
      <c r="M2242" s="2"/>
      <c r="N2242" s="7"/>
      <c r="P2242" s="7"/>
      <c r="R2242" s="2"/>
      <c r="S2242" s="2"/>
      <c r="T2242" s="2"/>
      <c r="U2242" s="2"/>
      <c r="V2242" s="2"/>
      <c r="X2242" s="38"/>
      <c r="Y2242" s="38"/>
      <c r="Z2242" s="38"/>
      <c r="AA2242" s="38"/>
      <c r="AB2242" s="38"/>
      <c r="AD2242" s="2"/>
      <c r="AE2242" s="2"/>
      <c r="AF2242" s="2"/>
      <c r="AG2242" s="2"/>
      <c r="AH2242" s="2"/>
      <c r="AJ2242" s="215"/>
      <c r="AK2242" s="215"/>
      <c r="AL2242" s="215"/>
      <c r="AM2242" s="215"/>
      <c r="AO2242" s="10"/>
      <c r="AP2242" s="10"/>
      <c r="AQ2242" s="10"/>
      <c r="AR2242" s="10"/>
      <c r="AS2242" s="10"/>
      <c r="AU2242" s="2"/>
      <c r="AV2242" s="2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</row>
    <row r="2243" spans="1:73" customFormat="1" ht="12.75" hidden="1" customHeight="1" x14ac:dyDescent="0.2">
      <c r="A2243" s="1"/>
      <c r="B2243" s="1"/>
      <c r="C2243" s="1"/>
      <c r="D2243" s="7"/>
      <c r="E2243" s="7"/>
      <c r="F2243" s="6"/>
      <c r="G2243" s="7"/>
      <c r="H2243" s="2"/>
      <c r="I2243" s="2"/>
      <c r="J2243" s="2"/>
      <c r="K2243" s="2"/>
      <c r="L2243" s="178"/>
      <c r="M2243" s="2"/>
      <c r="N2243" s="7"/>
      <c r="P2243" s="7"/>
      <c r="R2243" s="2"/>
      <c r="S2243" s="2"/>
      <c r="T2243" s="2"/>
      <c r="U2243" s="2"/>
      <c r="V2243" s="2"/>
      <c r="X2243" s="38"/>
      <c r="Y2243" s="38"/>
      <c r="Z2243" s="38"/>
      <c r="AA2243" s="38"/>
      <c r="AB2243" s="38"/>
      <c r="AD2243" s="2"/>
      <c r="AE2243" s="2"/>
      <c r="AF2243" s="2"/>
      <c r="AG2243" s="2"/>
      <c r="AH2243" s="2"/>
      <c r="AJ2243" s="215"/>
      <c r="AK2243" s="215"/>
      <c r="AL2243" s="215"/>
      <c r="AM2243" s="215"/>
      <c r="AO2243" s="10"/>
      <c r="AP2243" s="10"/>
      <c r="AQ2243" s="10"/>
      <c r="AR2243" s="10"/>
      <c r="AS2243" s="10"/>
      <c r="AU2243" s="2"/>
      <c r="AV2243" s="2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</row>
    <row r="2244" spans="1:73" customFormat="1" ht="12.75" hidden="1" customHeight="1" x14ac:dyDescent="0.2">
      <c r="A2244" s="1"/>
      <c r="B2244" s="1"/>
      <c r="C2244" s="1"/>
      <c r="D2244" s="7"/>
      <c r="E2244" s="7"/>
      <c r="F2244" s="6"/>
      <c r="G2244" s="7"/>
      <c r="H2244" s="2"/>
      <c r="I2244" s="2"/>
      <c r="J2244" s="2"/>
      <c r="K2244" s="2"/>
      <c r="L2244" s="178"/>
      <c r="M2244" s="2"/>
      <c r="N2244" s="7"/>
      <c r="P2244" s="7"/>
      <c r="R2244" s="2"/>
      <c r="S2244" s="2"/>
      <c r="T2244" s="2"/>
      <c r="U2244" s="2"/>
      <c r="V2244" s="2"/>
      <c r="X2244" s="38"/>
      <c r="Y2244" s="38"/>
      <c r="Z2244" s="38"/>
      <c r="AA2244" s="38"/>
      <c r="AB2244" s="38"/>
      <c r="AD2244" s="2"/>
      <c r="AE2244" s="2"/>
      <c r="AF2244" s="2"/>
      <c r="AG2244" s="2"/>
      <c r="AH2244" s="2"/>
      <c r="AJ2244" s="215"/>
      <c r="AK2244" s="215"/>
      <c r="AL2244" s="215"/>
      <c r="AM2244" s="215"/>
      <c r="AO2244" s="10"/>
      <c r="AP2244" s="10"/>
      <c r="AQ2244" s="10"/>
      <c r="AR2244" s="10"/>
      <c r="AS2244" s="10"/>
      <c r="AU2244" s="2"/>
      <c r="AV2244" s="2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</row>
    <row r="2245" spans="1:73" customFormat="1" ht="12.75" hidden="1" customHeight="1" x14ac:dyDescent="0.2">
      <c r="A2245" s="1"/>
      <c r="B2245" s="1"/>
      <c r="C2245" s="1"/>
      <c r="D2245" s="7"/>
      <c r="E2245" s="7"/>
      <c r="F2245" s="6"/>
      <c r="G2245" s="7"/>
      <c r="H2245" s="2"/>
      <c r="I2245" s="2"/>
      <c r="J2245" s="2"/>
      <c r="K2245" s="2"/>
      <c r="L2245" s="178"/>
      <c r="M2245" s="2"/>
      <c r="N2245" s="7"/>
      <c r="P2245" s="7"/>
      <c r="R2245" s="2"/>
      <c r="S2245" s="2"/>
      <c r="T2245" s="2"/>
      <c r="U2245" s="2"/>
      <c r="V2245" s="2"/>
      <c r="X2245" s="38"/>
      <c r="Y2245" s="38"/>
      <c r="Z2245" s="38"/>
      <c r="AA2245" s="38"/>
      <c r="AB2245" s="38"/>
      <c r="AD2245" s="2"/>
      <c r="AE2245" s="2"/>
      <c r="AF2245" s="2"/>
      <c r="AG2245" s="2"/>
      <c r="AH2245" s="2"/>
      <c r="AJ2245" s="215"/>
      <c r="AK2245" s="215"/>
      <c r="AL2245" s="215"/>
      <c r="AM2245" s="215"/>
      <c r="AO2245" s="10"/>
      <c r="AP2245" s="10"/>
      <c r="AQ2245" s="10"/>
      <c r="AR2245" s="10"/>
      <c r="AS2245" s="10"/>
      <c r="AU2245" s="2"/>
      <c r="AV2245" s="2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</row>
    <row r="2246" spans="1:73" customFormat="1" ht="12.75" hidden="1" customHeight="1" x14ac:dyDescent="0.2">
      <c r="A2246" s="1"/>
      <c r="B2246" s="1"/>
      <c r="C2246" s="1"/>
      <c r="D2246" s="7"/>
      <c r="E2246" s="7"/>
      <c r="F2246" s="6"/>
      <c r="G2246" s="7"/>
      <c r="H2246" s="2"/>
      <c r="I2246" s="2"/>
      <c r="J2246" s="2"/>
      <c r="K2246" s="2"/>
      <c r="L2246" s="178"/>
      <c r="M2246" s="2"/>
      <c r="N2246" s="7"/>
      <c r="P2246" s="7"/>
      <c r="R2246" s="2"/>
      <c r="S2246" s="2"/>
      <c r="T2246" s="2"/>
      <c r="U2246" s="2"/>
      <c r="V2246" s="2"/>
      <c r="X2246" s="38"/>
      <c r="Y2246" s="38"/>
      <c r="Z2246" s="38"/>
      <c r="AA2246" s="38"/>
      <c r="AB2246" s="38"/>
      <c r="AD2246" s="2"/>
      <c r="AE2246" s="2"/>
      <c r="AF2246" s="2"/>
      <c r="AG2246" s="2"/>
      <c r="AH2246" s="2"/>
      <c r="AJ2246" s="215"/>
      <c r="AK2246" s="215"/>
      <c r="AL2246" s="215"/>
      <c r="AM2246" s="215"/>
      <c r="AO2246" s="10"/>
      <c r="AP2246" s="10"/>
      <c r="AQ2246" s="10"/>
      <c r="AR2246" s="10"/>
      <c r="AS2246" s="10"/>
      <c r="AU2246" s="2"/>
      <c r="AV2246" s="2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</row>
    <row r="2247" spans="1:73" customFormat="1" ht="12.75" hidden="1" customHeight="1" x14ac:dyDescent="0.2">
      <c r="A2247" s="1"/>
      <c r="B2247" s="1"/>
      <c r="C2247" s="1"/>
      <c r="D2247" s="7"/>
      <c r="E2247" s="7"/>
      <c r="F2247" s="6"/>
      <c r="G2247" s="7"/>
      <c r="H2247" s="2"/>
      <c r="I2247" s="2"/>
      <c r="J2247" s="2"/>
      <c r="K2247" s="2"/>
      <c r="L2247" s="178"/>
      <c r="M2247" s="2"/>
      <c r="N2247" s="7"/>
      <c r="P2247" s="7"/>
      <c r="R2247" s="2"/>
      <c r="S2247" s="2"/>
      <c r="T2247" s="2"/>
      <c r="U2247" s="2"/>
      <c r="V2247" s="2"/>
      <c r="X2247" s="38"/>
      <c r="Y2247" s="38"/>
      <c r="Z2247" s="38"/>
      <c r="AA2247" s="38"/>
      <c r="AB2247" s="38"/>
      <c r="AD2247" s="2"/>
      <c r="AE2247" s="2"/>
      <c r="AF2247" s="2"/>
      <c r="AG2247" s="2"/>
      <c r="AH2247" s="2"/>
      <c r="AJ2247" s="215"/>
      <c r="AK2247" s="215"/>
      <c r="AL2247" s="215"/>
      <c r="AM2247" s="215"/>
      <c r="AO2247" s="10"/>
      <c r="AP2247" s="10"/>
      <c r="AQ2247" s="10"/>
      <c r="AR2247" s="10"/>
      <c r="AS2247" s="10"/>
      <c r="AU2247" s="2"/>
      <c r="AV2247" s="2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</row>
    <row r="2248" spans="1:73" customFormat="1" ht="12.75" hidden="1" customHeight="1" x14ac:dyDescent="0.2">
      <c r="A2248" s="1"/>
      <c r="B2248" s="1"/>
      <c r="C2248" s="1"/>
      <c r="D2248" s="7"/>
      <c r="E2248" s="7"/>
      <c r="F2248" s="6"/>
      <c r="G2248" s="7"/>
      <c r="H2248" s="2"/>
      <c r="I2248" s="2"/>
      <c r="J2248" s="2"/>
      <c r="K2248" s="2"/>
      <c r="L2248" s="178"/>
      <c r="M2248" s="2"/>
      <c r="N2248" s="7"/>
      <c r="P2248" s="7"/>
      <c r="R2248" s="2"/>
      <c r="S2248" s="2"/>
      <c r="T2248" s="2"/>
      <c r="U2248" s="2"/>
      <c r="V2248" s="2"/>
      <c r="X2248" s="38"/>
      <c r="Y2248" s="38"/>
      <c r="Z2248" s="38"/>
      <c r="AA2248" s="38"/>
      <c r="AB2248" s="38"/>
      <c r="AD2248" s="2"/>
      <c r="AE2248" s="2"/>
      <c r="AF2248" s="2"/>
      <c r="AG2248" s="2"/>
      <c r="AH2248" s="2"/>
      <c r="AJ2248" s="215"/>
      <c r="AK2248" s="215"/>
      <c r="AL2248" s="215"/>
      <c r="AM2248" s="215"/>
      <c r="AO2248" s="10"/>
      <c r="AP2248" s="10"/>
      <c r="AQ2248" s="10"/>
      <c r="AR2248" s="10"/>
      <c r="AS2248" s="10"/>
      <c r="AU2248" s="2"/>
      <c r="AV2248" s="2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</row>
    <row r="2249" spans="1:73" customFormat="1" ht="12.75" hidden="1" customHeight="1" x14ac:dyDescent="0.2">
      <c r="A2249" s="1"/>
      <c r="B2249" s="1"/>
      <c r="C2249" s="1"/>
      <c r="D2249" s="7"/>
      <c r="E2249" s="7"/>
      <c r="F2249" s="6"/>
      <c r="G2249" s="7"/>
      <c r="H2249" s="2"/>
      <c r="I2249" s="2"/>
      <c r="J2249" s="2"/>
      <c r="K2249" s="2"/>
      <c r="L2249" s="178"/>
      <c r="M2249" s="2"/>
      <c r="N2249" s="7"/>
      <c r="P2249" s="7"/>
      <c r="R2249" s="2"/>
      <c r="S2249" s="2"/>
      <c r="T2249" s="2"/>
      <c r="U2249" s="2"/>
      <c r="V2249" s="2"/>
      <c r="X2249" s="38"/>
      <c r="Y2249" s="38"/>
      <c r="Z2249" s="38"/>
      <c r="AA2249" s="38"/>
      <c r="AB2249" s="38"/>
      <c r="AD2249" s="2"/>
      <c r="AE2249" s="2"/>
      <c r="AF2249" s="2"/>
      <c r="AG2249" s="2"/>
      <c r="AH2249" s="2"/>
      <c r="AJ2249" s="215"/>
      <c r="AK2249" s="215"/>
      <c r="AL2249" s="215"/>
      <c r="AM2249" s="215"/>
      <c r="AO2249" s="10"/>
      <c r="AP2249" s="10"/>
      <c r="AQ2249" s="10"/>
      <c r="AR2249" s="10"/>
      <c r="AS2249" s="10"/>
      <c r="AU2249" s="2"/>
      <c r="AV2249" s="2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</row>
    <row r="2250" spans="1:73" customFormat="1" ht="12.75" hidden="1" customHeight="1" x14ac:dyDescent="0.2">
      <c r="A2250" s="1"/>
      <c r="B2250" s="1"/>
      <c r="C2250" s="1"/>
      <c r="D2250" s="7"/>
      <c r="E2250" s="7"/>
      <c r="F2250" s="6"/>
      <c r="G2250" s="7"/>
      <c r="H2250" s="2"/>
      <c r="I2250" s="2"/>
      <c r="J2250" s="2"/>
      <c r="K2250" s="2"/>
      <c r="L2250" s="178"/>
      <c r="M2250" s="2"/>
      <c r="N2250" s="7"/>
      <c r="P2250" s="7"/>
      <c r="R2250" s="2"/>
      <c r="S2250" s="2"/>
      <c r="T2250" s="2"/>
      <c r="U2250" s="2"/>
      <c r="V2250" s="2"/>
      <c r="X2250" s="38"/>
      <c r="Y2250" s="38"/>
      <c r="Z2250" s="38"/>
      <c r="AA2250" s="38"/>
      <c r="AB2250" s="38"/>
      <c r="AD2250" s="2"/>
      <c r="AE2250" s="2"/>
      <c r="AF2250" s="2"/>
      <c r="AG2250" s="2"/>
      <c r="AH2250" s="2"/>
      <c r="AJ2250" s="215"/>
      <c r="AK2250" s="215"/>
      <c r="AL2250" s="215"/>
      <c r="AM2250" s="215"/>
      <c r="AO2250" s="10"/>
      <c r="AP2250" s="10"/>
      <c r="AQ2250" s="10"/>
      <c r="AR2250" s="10"/>
      <c r="AS2250" s="10"/>
      <c r="AU2250" s="2"/>
      <c r="AV2250" s="2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</row>
    <row r="2251" spans="1:73" customFormat="1" ht="12.75" hidden="1" customHeight="1" x14ac:dyDescent="0.2">
      <c r="A2251" s="1"/>
      <c r="B2251" s="1"/>
      <c r="C2251" s="1"/>
      <c r="D2251" s="7"/>
      <c r="E2251" s="7"/>
      <c r="F2251" s="6"/>
      <c r="G2251" s="7"/>
      <c r="H2251" s="2"/>
      <c r="I2251" s="2"/>
      <c r="J2251" s="2"/>
      <c r="K2251" s="2"/>
      <c r="L2251" s="178"/>
      <c r="M2251" s="2"/>
      <c r="N2251" s="7"/>
      <c r="P2251" s="7"/>
      <c r="R2251" s="2"/>
      <c r="S2251" s="2"/>
      <c r="T2251" s="2"/>
      <c r="U2251" s="2"/>
      <c r="V2251" s="2"/>
      <c r="X2251" s="38"/>
      <c r="Y2251" s="38"/>
      <c r="Z2251" s="38"/>
      <c r="AA2251" s="38"/>
      <c r="AB2251" s="38"/>
      <c r="AD2251" s="2"/>
      <c r="AE2251" s="2"/>
      <c r="AF2251" s="2"/>
      <c r="AG2251" s="2"/>
      <c r="AH2251" s="2"/>
      <c r="AJ2251" s="215"/>
      <c r="AK2251" s="215"/>
      <c r="AL2251" s="215"/>
      <c r="AM2251" s="215"/>
      <c r="AO2251" s="10"/>
      <c r="AP2251" s="10"/>
      <c r="AQ2251" s="10"/>
      <c r="AR2251" s="10"/>
      <c r="AS2251" s="10"/>
      <c r="AU2251" s="2"/>
      <c r="AV2251" s="2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</row>
    <row r="2252" spans="1:73" customFormat="1" ht="12.75" hidden="1" customHeight="1" x14ac:dyDescent="0.2">
      <c r="A2252" s="1"/>
      <c r="B2252" s="1"/>
      <c r="C2252" s="1"/>
      <c r="D2252" s="7"/>
      <c r="E2252" s="7"/>
      <c r="F2252" s="6"/>
      <c r="G2252" s="7"/>
      <c r="H2252" s="2"/>
      <c r="I2252" s="2"/>
      <c r="J2252" s="2"/>
      <c r="K2252" s="2"/>
      <c r="L2252" s="178"/>
      <c r="M2252" s="2"/>
      <c r="N2252" s="7"/>
      <c r="P2252" s="7"/>
      <c r="R2252" s="2"/>
      <c r="S2252" s="2"/>
      <c r="T2252" s="2"/>
      <c r="U2252" s="2"/>
      <c r="V2252" s="2"/>
      <c r="X2252" s="38"/>
      <c r="Y2252" s="38"/>
      <c r="Z2252" s="38"/>
      <c r="AA2252" s="38"/>
      <c r="AB2252" s="38"/>
      <c r="AD2252" s="2"/>
      <c r="AE2252" s="2"/>
      <c r="AF2252" s="2"/>
      <c r="AG2252" s="2"/>
      <c r="AH2252" s="2"/>
      <c r="AJ2252" s="215"/>
      <c r="AK2252" s="215"/>
      <c r="AL2252" s="215"/>
      <c r="AM2252" s="215"/>
      <c r="AO2252" s="10"/>
      <c r="AP2252" s="10"/>
      <c r="AQ2252" s="10"/>
      <c r="AR2252" s="10"/>
      <c r="AS2252" s="10"/>
      <c r="AU2252" s="2"/>
      <c r="AV2252" s="2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</row>
  </sheetData>
  <sheetProtection algorithmName="SHA-512" hashValue="q+QNT3jX/ZEzpDrly13voGlxripEtspgdLNpakFRlmPIJQgXo0pob7UP7RmDx9QznClycqpxPTjlSdi31kd9+Q==" saltValue="adnoj6zfk6Ll0F8VDEymmg==" spinCount="100000" sheet="1" sort="0" autoFilter="0"/>
  <autoFilter ref="A9:AV711"/>
  <mergeCells count="7">
    <mergeCell ref="A1:C3"/>
    <mergeCell ref="A4:A5"/>
    <mergeCell ref="M7:M8"/>
    <mergeCell ref="AO7:AS7"/>
    <mergeCell ref="H8:J8"/>
    <mergeCell ref="AJ8:AL8"/>
    <mergeCell ref="AO8:AS8"/>
  </mergeCells>
  <dataValidations count="5">
    <dataValidation type="custom" allowBlank="1" showInputMessage="1" showErrorMessage="1" errorTitle="try again" error="&lt;200ºF" sqref="I2">
      <formula1>I2&lt;200</formula1>
    </dataValidation>
    <dataValidation type="decimal" allowBlank="1" showErrorMessage="1" errorTitle="ERROR" error="Entering T between 95 and 180ºF" sqref="R3 V3">
      <formula1>95</formula1>
      <formula2>210</formula2>
    </dataValidation>
    <dataValidation type="decimal" allowBlank="1" showErrorMessage="1" errorTitle="ERROR" error="Air T between 50 and 77ºF" promptTitle="Omgevingº:" prompt="Geheel getal tussen 10 en 25" sqref="R5 V5 T7">
      <formula1>50</formula1>
      <formula2>77</formula2>
    </dataValidation>
    <dataValidation type="decimal" operator="lessThan" allowBlank="1" showErrorMessage="1" errorTitle="ERROR" error="Return T must &lt;  Entering T" promptTitle="Retourº:" prompt="Altijd lager dan Aanvoerº" sqref="V4 R4">
      <formula1>R3</formula1>
    </dataValidation>
    <dataValidation type="list" allowBlank="1" showInputMessage="1" showErrorMessage="1" sqref="V7 R7">
      <formula1>#REF!</formula1>
    </dataValidation>
  </dataValidations>
  <printOptions horizontalCentered="1"/>
  <pageMargins left="0" right="0" top="0" bottom="0.19685039370078741" header="0" footer="0"/>
  <pageSetup paperSize="9" fitToHeight="1000" orientation="landscape" r:id="rId1"/>
  <headerFooter>
    <oddFooter>&amp;R&amp;8&amp;D 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2</xdr:row>
                    <xdr:rowOff>180975</xdr:rowOff>
                  </from>
                  <to>
                    <xdr:col>4</xdr:col>
                    <xdr:colOff>438150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>
    <pageSetUpPr fitToPage="1"/>
  </sheetPr>
  <dimension ref="A1:CG73"/>
  <sheetViews>
    <sheetView showGridLines="0" showRowColHeaders="0" showZeros="0" tabSelected="1" zoomScaleNormal="100" workbookViewId="0">
      <pane ySplit="9" topLeftCell="A10" activePane="bottomLeft" state="frozen"/>
      <selection pane="bottomLeft" activeCell="I2" sqref="I2"/>
    </sheetView>
  </sheetViews>
  <sheetFormatPr defaultColWidth="0" defaultRowHeight="12.75" customHeight="1" zeroHeight="1" x14ac:dyDescent="0.2"/>
  <cols>
    <col min="1" max="1" width="19.7109375" style="1" customWidth="1"/>
    <col min="2" max="3" width="24.140625" style="1" customWidth="1"/>
    <col min="4" max="5" width="6.7109375" style="7" customWidth="1"/>
    <col min="6" max="6" width="6.7109375" style="6" customWidth="1"/>
    <col min="7" max="7" width="6.7109375" style="7" customWidth="1"/>
    <col min="8" max="10" width="8.7109375" style="2" customWidth="1"/>
    <col min="11" max="12" width="11.28515625" style="2" customWidth="1"/>
    <col min="13" max="13" width="10.7109375" style="2" hidden="1" customWidth="1"/>
    <col min="14" max="14" width="9.7109375" style="2" customWidth="1"/>
    <col min="15" max="17" width="8.7109375" style="10" customWidth="1"/>
    <col min="18" max="19" width="11.28515625" style="10" customWidth="1"/>
    <col min="20" max="20" width="10.7109375" style="10" hidden="1" customWidth="1"/>
    <col min="21" max="21" width="7.7109375" style="7" hidden="1" customWidth="1"/>
    <col min="22" max="22" width="7.7109375" hidden="1" customWidth="1"/>
    <col min="23" max="23" width="7.7109375" style="7" hidden="1" customWidth="1"/>
    <col min="24" max="24" width="8.140625" style="7" hidden="1" customWidth="1"/>
    <col min="25" max="26" width="7.7109375" style="7" hidden="1" customWidth="1"/>
    <col min="27" max="27" width="7.7109375" style="2" hidden="1" customWidth="1"/>
    <col min="28" max="28" width="7.7109375" hidden="1" customWidth="1"/>
    <col min="29" max="33" width="7.7109375" style="2" hidden="1" customWidth="1"/>
    <col min="34" max="34" width="7.7109375" hidden="1" customWidth="1"/>
    <col min="35" max="39" width="7.7109375" style="38" hidden="1" customWidth="1"/>
    <col min="40" max="40" width="7.7109375" hidden="1" customWidth="1"/>
    <col min="41" max="45" width="7.7109375" style="2" hidden="1" customWidth="1"/>
    <col min="46" max="46" width="7.7109375" hidden="1" customWidth="1"/>
    <col min="47" max="47" width="22.7109375" hidden="1" customWidth="1"/>
    <col min="48" max="48" width="22.5703125" hidden="1" customWidth="1"/>
    <col min="49" max="49" width="7.7109375" hidden="1" customWidth="1"/>
    <col min="50" max="54" width="7.7109375" style="10" hidden="1" customWidth="1"/>
    <col min="55" max="55" width="7.7109375" hidden="1" customWidth="1"/>
    <col min="56" max="56" width="22.7109375" hidden="1" customWidth="1"/>
    <col min="57" max="57" width="22.5703125" hidden="1" customWidth="1"/>
    <col min="58" max="58" width="7.7109375" hidden="1" customWidth="1"/>
    <col min="59" max="59" width="7.7109375" style="2" hidden="1" customWidth="1"/>
    <col min="60" max="60" width="18.42578125" style="2" hidden="1" customWidth="1"/>
    <col min="61" max="61" width="7.140625" style="3" hidden="1" customWidth="1"/>
    <col min="62" max="62" width="6" style="3" hidden="1" customWidth="1"/>
    <col min="63" max="63" width="5.28515625" style="3" hidden="1" customWidth="1"/>
    <col min="64" max="64" width="7.7109375" style="3" hidden="1" customWidth="1"/>
    <col min="65" max="65" width="10.5703125" style="3" hidden="1" customWidth="1"/>
    <col min="66" max="66" width="7.7109375" style="3" hidden="1" customWidth="1"/>
    <col min="67" max="67" width="3" style="3" hidden="1" customWidth="1"/>
    <col min="68" max="68" width="10.5703125" style="3" hidden="1" customWidth="1"/>
    <col min="69" max="69" width="9.28515625" style="3" hidden="1" customWidth="1"/>
    <col min="70" max="70" width="10.5703125" style="3" hidden="1" customWidth="1"/>
    <col min="71" max="85" width="0" style="3" hidden="1" customWidth="1"/>
    <col min="86" max="16384" width="7.7109375" style="3" hidden="1"/>
  </cols>
  <sheetData>
    <row r="1" spans="1:85" ht="13.5" customHeight="1" x14ac:dyDescent="0.25">
      <c r="A1" s="247" t="str">
        <f>Basis!A1</f>
        <v>Selection Model 2022-10</v>
      </c>
      <c r="B1" s="247"/>
      <c r="C1" s="247"/>
      <c r="D1" s="21"/>
      <c r="E1" s="21"/>
      <c r="F1" s="22"/>
      <c r="G1" s="21"/>
      <c r="H1" s="25"/>
      <c r="I1" s="26"/>
      <c r="J1" s="27"/>
      <c r="K1" s="27"/>
      <c r="L1" s="27"/>
      <c r="M1" s="27"/>
      <c r="N1" s="25"/>
      <c r="O1" s="27"/>
      <c r="P1" s="27"/>
      <c r="Q1" s="27"/>
      <c r="R1" s="27"/>
      <c r="S1" s="27"/>
      <c r="T1" s="91"/>
      <c r="AW1" s="87" t="s">
        <v>101</v>
      </c>
      <c r="CE1"/>
      <c r="CF1"/>
      <c r="CG1"/>
    </row>
    <row r="2" spans="1:85" ht="15" customHeight="1" x14ac:dyDescent="0.25">
      <c r="A2" s="247"/>
      <c r="B2" s="247"/>
      <c r="C2" s="247"/>
      <c r="D2" s="139" t="s">
        <v>94</v>
      </c>
      <c r="E2" s="140"/>
      <c r="F2" s="141"/>
      <c r="G2" s="24"/>
      <c r="H2" s="146" t="s">
        <v>26</v>
      </c>
      <c r="I2" s="8">
        <v>140</v>
      </c>
      <c r="J2" s="28" t="str">
        <f>CHOOSE(Basis!$E$1,"EWT ºC","EWT ºF")</f>
        <v>EWT ºF</v>
      </c>
      <c r="K2" s="28"/>
      <c r="L2" s="28"/>
      <c r="M2" s="28"/>
      <c r="N2" s="9" t="s">
        <v>26</v>
      </c>
      <c r="O2" s="8">
        <v>45</v>
      </c>
      <c r="P2" s="28" t="str">
        <f>CHOOSE(Basis!$E$1,"EWT ºC","EWT ºF")</f>
        <v>EWT ºF</v>
      </c>
      <c r="Q2" s="27"/>
      <c r="R2" s="28"/>
      <c r="S2" s="28"/>
      <c r="T2" s="91"/>
      <c r="V2" s="135">
        <f>IF(Basis!$E$1=1,I2,(I2-32)/1.8)</f>
        <v>60</v>
      </c>
      <c r="W2" s="135">
        <f>IF(Basis!$E$1=1,O2,(O2-32)/1.8)</f>
        <v>7.2222222222222223</v>
      </c>
      <c r="AC2" s="34"/>
      <c r="AH2" s="54"/>
      <c r="AI2" s="36"/>
      <c r="AJ2" s="35"/>
      <c r="AK2" s="36"/>
      <c r="AL2" s="36"/>
      <c r="AM2" s="36"/>
      <c r="AN2" s="54"/>
      <c r="AO2" s="36"/>
      <c r="AP2" s="35"/>
      <c r="AQ2" s="36"/>
      <c r="AR2" s="36"/>
      <c r="AS2" s="36"/>
      <c r="AT2" s="54"/>
      <c r="AU2" s="54"/>
      <c r="AV2" s="54"/>
      <c r="AW2" t="s">
        <v>102</v>
      </c>
      <c r="AX2" s="86">
        <v>16</v>
      </c>
      <c r="AY2" s="89" t="s">
        <v>95</v>
      </c>
      <c r="AZ2" s="89"/>
      <c r="BA2" s="89"/>
      <c r="BB2" s="89"/>
      <c r="BC2" s="54"/>
      <c r="BD2" s="54"/>
      <c r="BE2" s="54"/>
      <c r="BG2" s="13"/>
      <c r="BH2" s="81"/>
      <c r="CE2"/>
      <c r="CF2"/>
      <c r="CG2"/>
    </row>
    <row r="3" spans="1:85" ht="15" customHeight="1" x14ac:dyDescent="0.25">
      <c r="A3" s="247"/>
      <c r="B3" s="247"/>
      <c r="C3" s="247"/>
      <c r="D3" s="142" t="str">
        <f>"Altitude in "&amp;CHOOSE(Basis!E1,"m¹","ft")</f>
        <v>Altitude in ft</v>
      </c>
      <c r="E3" s="143"/>
      <c r="F3" s="138"/>
      <c r="G3" s="136"/>
      <c r="H3" s="146" t="s">
        <v>24</v>
      </c>
      <c r="I3" s="8">
        <v>120</v>
      </c>
      <c r="J3" s="28" t="str">
        <f>CHOOSE(Basis!$E$1,"LWT ºC","LWT ºF")</f>
        <v>LWT ºF</v>
      </c>
      <c r="K3" s="28"/>
      <c r="L3" s="28"/>
      <c r="M3" s="28"/>
      <c r="N3" s="9" t="s">
        <v>24</v>
      </c>
      <c r="O3" s="8">
        <v>55</v>
      </c>
      <c r="P3" s="28" t="str">
        <f>CHOOSE(Basis!$E$1,"LWT ºC","LWT ºF")</f>
        <v>LWT ºF</v>
      </c>
      <c r="Q3" s="27"/>
      <c r="R3" s="28"/>
      <c r="S3" s="28"/>
      <c r="T3" s="91"/>
      <c r="V3" s="135">
        <f>IF(Basis!$E$1=1,I3,(I3-32)/1.8)</f>
        <v>48.888888888888886</v>
      </c>
      <c r="W3" s="135">
        <f>IF(Basis!$E$1=1,O3,(O3-32)/1.8)</f>
        <v>12.777777777777777</v>
      </c>
      <c r="X3" s="135" t="s">
        <v>3236</v>
      </c>
      <c r="Z3" s="7" t="s">
        <v>3334</v>
      </c>
      <c r="AA3" s="219">
        <f>IF(Basis!$E$1=1,$F$3/1000,IF(Basis!$E$1=2,$F$3*0.0003048))</f>
        <v>0</v>
      </c>
      <c r="AC3" s="55"/>
      <c r="AH3" s="54"/>
      <c r="AI3" s="36"/>
      <c r="AJ3" s="35"/>
      <c r="AK3" s="36"/>
      <c r="AL3" s="36"/>
      <c r="AM3" s="36"/>
      <c r="AN3" s="54"/>
      <c r="AO3" s="37"/>
      <c r="AP3" s="35"/>
      <c r="AQ3" s="37"/>
      <c r="AR3" s="37"/>
      <c r="AS3" s="37"/>
      <c r="AT3" s="54"/>
      <c r="AU3" s="54"/>
      <c r="AV3" s="54"/>
      <c r="AW3" t="s">
        <v>103</v>
      </c>
      <c r="AX3" s="86">
        <v>18</v>
      </c>
      <c r="AY3" s="89" t="s">
        <v>95</v>
      </c>
      <c r="AZ3" s="89"/>
      <c r="BA3" s="89"/>
      <c r="BB3" s="89"/>
      <c r="BC3" s="54"/>
      <c r="BD3" s="54"/>
      <c r="BE3" s="54"/>
      <c r="BG3" s="13"/>
      <c r="BH3" s="81"/>
      <c r="CE3"/>
      <c r="CF3"/>
      <c r="CG3"/>
    </row>
    <row r="4" spans="1:85" ht="15" customHeight="1" x14ac:dyDescent="0.25">
      <c r="A4" s="248" t="str">
        <f>CHOOSE(Basis!$E$1,"Metric","Imperial")</f>
        <v>Imperial</v>
      </c>
      <c r="B4" s="96"/>
      <c r="C4" s="17"/>
      <c r="D4" s="137">
        <v>1</v>
      </c>
      <c r="E4" s="144"/>
      <c r="F4" s="53"/>
      <c r="G4" s="23" t="s">
        <v>88</v>
      </c>
      <c r="H4" s="146" t="s">
        <v>2967</v>
      </c>
      <c r="I4" s="8">
        <v>65</v>
      </c>
      <c r="J4" s="28" t="str">
        <f>CHOOSE(Basis!$E$1,"AT ºC","AT ºF")</f>
        <v>AT ºF</v>
      </c>
      <c r="K4" s="28"/>
      <c r="L4" s="28"/>
      <c r="M4" s="28"/>
      <c r="N4" s="9" t="s">
        <v>27</v>
      </c>
      <c r="O4" s="8">
        <v>75</v>
      </c>
      <c r="P4" s="28" t="str">
        <f>CHOOSE(Basis!$E$1,"AT ºC","AT ºF")</f>
        <v>AT ºF</v>
      </c>
      <c r="Q4" s="27"/>
      <c r="R4" s="28"/>
      <c r="S4" s="28"/>
      <c r="T4" s="91"/>
      <c r="V4" s="135">
        <f>IF(Basis!$E$1=1,I4,(I4-32)/1.8)</f>
        <v>18.333333333333332</v>
      </c>
      <c r="W4" s="135">
        <f>IF(Basis!$E$1=1,O4,(O4-32)/1.8)</f>
        <v>23.888888888888889</v>
      </c>
      <c r="X4" s="207">
        <f>IF(Basis!E1=1,(101325*(1-((0.0065*$F$3)/(288.15)))^((9.81*0.028964)/(8.31447*0.0065))),IF(Basis!E1=2,(101325*(1-((0.0065*($F$3*0.3048))/(288.15)))^((9.81*0.028964)/(8.31447*0.0065)))))</f>
        <v>101325</v>
      </c>
      <c r="Z4" s="7" t="s">
        <v>3335</v>
      </c>
      <c r="AA4" s="220">
        <f>-(0.000265264729874266*$AA$3^6)+(0.000957582908802335*$AA$3^5)+(0.00470250661483425*$AA$3^4)-(0.0298716926548353*$AA$3^3)+(0.0557086806557086*$AA$3^2)-(0.0484008125693582*$AA$3)+1</f>
        <v>1</v>
      </c>
      <c r="AC4" s="55"/>
      <c r="AH4" s="54"/>
      <c r="AI4" s="36"/>
      <c r="AJ4" s="35"/>
      <c r="AK4" s="36"/>
      <c r="AL4" s="36"/>
      <c r="AM4" s="36"/>
      <c r="AN4" s="54"/>
      <c r="AO4" s="37"/>
      <c r="AP4" s="35"/>
      <c r="AQ4" s="37"/>
      <c r="AR4" s="37"/>
      <c r="AS4" s="37"/>
      <c r="AT4" s="54"/>
      <c r="AU4" s="54"/>
      <c r="AV4" s="54"/>
      <c r="AW4" t="s">
        <v>104</v>
      </c>
      <c r="AX4" s="86">
        <v>27</v>
      </c>
      <c r="AY4" s="89" t="s">
        <v>95</v>
      </c>
      <c r="AZ4" s="89"/>
      <c r="BA4" s="89"/>
      <c r="BB4" s="89"/>
      <c r="BC4" s="54"/>
      <c r="BD4" s="54"/>
      <c r="BE4" s="54"/>
      <c r="BG4" s="13"/>
      <c r="BH4" s="81"/>
      <c r="CE4"/>
      <c r="CF4"/>
      <c r="CG4"/>
    </row>
    <row r="5" spans="1:85" ht="15" customHeight="1" x14ac:dyDescent="0.25">
      <c r="A5" s="248"/>
      <c r="B5" s="96"/>
      <c r="C5" s="17"/>
      <c r="D5" s="23"/>
      <c r="E5" s="21"/>
      <c r="F5" s="22"/>
      <c r="G5" s="21"/>
      <c r="H5" s="29" t="s">
        <v>25</v>
      </c>
      <c r="I5" s="31">
        <f>(I2+I3)/2</f>
        <v>130</v>
      </c>
      <c r="J5" s="28" t="str">
        <f>CHOOSE(Basis!$E$1,"ºC","ºF")</f>
        <v>ºF</v>
      </c>
      <c r="K5" s="28"/>
      <c r="L5" s="28"/>
      <c r="M5" s="28"/>
      <c r="N5" s="29" t="s">
        <v>25</v>
      </c>
      <c r="O5" s="31">
        <f>(O2+O3)/2</f>
        <v>50</v>
      </c>
      <c r="P5" s="28" t="str">
        <f>CHOOSE(Basis!$E$1,"ºC","ºF")</f>
        <v>ºF</v>
      </c>
      <c r="Q5" s="27"/>
      <c r="R5" s="28"/>
      <c r="S5" s="28"/>
      <c r="T5" s="91"/>
      <c r="W5" s="211">
        <v>-13.701685902091285</v>
      </c>
      <c r="X5" s="211">
        <v>-9.9665773091279419</v>
      </c>
      <c r="AC5" s="55"/>
      <c r="AH5" s="54"/>
      <c r="AI5" s="36"/>
      <c r="AJ5" s="35"/>
      <c r="AK5" s="36"/>
      <c r="AL5" s="36"/>
      <c r="AM5" s="36"/>
      <c r="AN5" s="54"/>
      <c r="AO5" s="37"/>
      <c r="AP5" s="35"/>
      <c r="AQ5" s="37"/>
      <c r="AR5" s="37"/>
      <c r="AS5" s="37"/>
      <c r="AT5" s="54"/>
      <c r="AU5" s="54"/>
      <c r="AV5" s="54"/>
      <c r="AW5" s="54"/>
      <c r="AX5" s="88">
        <f>(AX2+AX3)/2-AX4</f>
        <v>-10</v>
      </c>
      <c r="AY5" s="34"/>
      <c r="AZ5" s="11"/>
      <c r="BA5" s="11"/>
      <c r="BB5" s="11"/>
      <c r="BC5" s="54"/>
      <c r="BD5" s="54"/>
      <c r="BE5" s="54"/>
      <c r="BF5" s="56"/>
      <c r="BG5" s="13"/>
      <c r="BH5" s="81"/>
      <c r="CE5"/>
      <c r="CF5"/>
      <c r="CG5"/>
    </row>
    <row r="6" spans="1:85" ht="15" customHeight="1" x14ac:dyDescent="0.25">
      <c r="A6" s="96"/>
      <c r="B6" s="33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9" t="s">
        <v>97</v>
      </c>
      <c r="O6" s="198">
        <v>0.5</v>
      </c>
      <c r="P6" s="28"/>
      <c r="Q6" s="28"/>
      <c r="R6" s="28"/>
      <c r="S6" s="28"/>
      <c r="T6" s="92"/>
      <c r="AC6" s="39"/>
      <c r="AH6" s="54"/>
      <c r="AJ6" s="35"/>
      <c r="AK6" s="36"/>
      <c r="AL6" s="36"/>
      <c r="AM6" s="36"/>
      <c r="AN6" s="54"/>
      <c r="AO6" s="37"/>
      <c r="AP6" s="35"/>
      <c r="AQ6" s="37"/>
      <c r="AR6" s="37"/>
      <c r="AS6" s="37"/>
      <c r="AT6" s="54"/>
      <c r="AU6" s="54"/>
      <c r="AV6" s="54"/>
      <c r="AW6" s="54"/>
      <c r="AX6" s="34"/>
      <c r="AY6" s="34"/>
      <c r="AZ6" s="13"/>
      <c r="BA6" s="13"/>
      <c r="BB6" s="35"/>
      <c r="BC6" s="54"/>
      <c r="BD6" s="54"/>
      <c r="BE6" s="54"/>
      <c r="BF6" s="56"/>
      <c r="BG6" s="13"/>
      <c r="BH6" s="81"/>
      <c r="CE6"/>
      <c r="CF6"/>
      <c r="CG6"/>
    </row>
    <row r="7" spans="1:85" ht="15" customHeight="1" x14ac:dyDescent="0.2">
      <c r="A7" s="18"/>
      <c r="B7" s="33"/>
      <c r="C7" s="17"/>
      <c r="D7" s="21"/>
      <c r="E7" s="21"/>
      <c r="F7" s="22"/>
      <c r="G7" s="21"/>
      <c r="H7" s="30" t="s">
        <v>96</v>
      </c>
      <c r="I7" s="80">
        <v>1</v>
      </c>
      <c r="J7" s="27"/>
      <c r="K7" s="27"/>
      <c r="L7" s="27"/>
      <c r="M7" s="27"/>
      <c r="N7" s="30" t="s">
        <v>96</v>
      </c>
      <c r="O7" s="80">
        <v>1</v>
      </c>
      <c r="P7" s="105"/>
      <c r="Q7" s="27"/>
      <c r="R7" s="27"/>
      <c r="S7" s="27"/>
      <c r="T7" s="259" t="s">
        <v>106</v>
      </c>
      <c r="U7" s="12"/>
      <c r="V7" s="54"/>
      <c r="W7" s="12"/>
      <c r="X7" s="12"/>
      <c r="Y7" s="12"/>
      <c r="Z7" s="12"/>
      <c r="AA7" s="12"/>
      <c r="AB7" s="54"/>
      <c r="AC7" s="57"/>
      <c r="AH7" s="54"/>
      <c r="AI7" s="36"/>
      <c r="AJ7" s="35"/>
      <c r="AK7" s="36"/>
      <c r="AL7" s="36"/>
      <c r="AM7" s="36"/>
      <c r="AN7" s="54"/>
      <c r="AO7" s="36"/>
      <c r="AP7" s="35"/>
      <c r="AQ7" s="36"/>
      <c r="AR7" s="36"/>
      <c r="AS7" s="36"/>
      <c r="AT7" s="54"/>
      <c r="AU7" s="54"/>
      <c r="AV7" s="54"/>
      <c r="AW7" s="54"/>
      <c r="AX7" s="251" t="s">
        <v>3333</v>
      </c>
      <c r="AY7" s="252"/>
      <c r="AZ7" s="252"/>
      <c r="BA7" s="252"/>
      <c r="BB7" s="253"/>
      <c r="BC7" s="54"/>
      <c r="BD7" s="54"/>
      <c r="BE7" s="54"/>
      <c r="BF7" s="56"/>
      <c r="BG7" s="13"/>
      <c r="BH7" s="81"/>
      <c r="CE7"/>
      <c r="CF7"/>
      <c r="CG7"/>
    </row>
    <row r="8" spans="1:85" s="5" customFormat="1" ht="23.25" customHeight="1" x14ac:dyDescent="0.2">
      <c r="A8" s="181" t="str">
        <f>Basis!C1</f>
        <v>LA/2022-10-12</v>
      </c>
      <c r="B8" s="19"/>
      <c r="C8" s="20"/>
      <c r="D8" s="42" t="s">
        <v>86</v>
      </c>
      <c r="E8" s="15" t="s">
        <v>84</v>
      </c>
      <c r="F8" s="16"/>
      <c r="G8" s="15" t="s">
        <v>85</v>
      </c>
      <c r="H8" s="261" t="str">
        <f>I2&amp;"/"&amp;I3&amp;"/"&amp;I4&amp;"º"</f>
        <v>140/120/65º</v>
      </c>
      <c r="I8" s="261"/>
      <c r="J8" s="27"/>
      <c r="K8" s="27"/>
      <c r="L8" s="27"/>
      <c r="M8" s="179"/>
      <c r="N8" s="262" t="str">
        <f>O2&amp;"/"&amp;O3&amp;"/"&amp;O4&amp;"º ("&amp;RH*100&amp;"% RH)"</f>
        <v>45/55/75º (50% RH)</v>
      </c>
      <c r="O8" s="263"/>
      <c r="P8" s="27"/>
      <c r="Q8" s="27"/>
      <c r="R8" s="27"/>
      <c r="S8" s="27"/>
      <c r="T8" s="260"/>
      <c r="U8" s="230" t="s">
        <v>118</v>
      </c>
      <c r="W8" s="264" t="s">
        <v>3332</v>
      </c>
      <c r="X8" s="264"/>
      <c r="Y8" s="264"/>
      <c r="Z8" s="264"/>
      <c r="AA8" s="265"/>
      <c r="AC8" s="58" t="s">
        <v>93</v>
      </c>
      <c r="AD8" s="90"/>
      <c r="AE8" s="40"/>
      <c r="AF8" s="35"/>
      <c r="AG8" s="40"/>
      <c r="AI8" s="58" t="s">
        <v>92</v>
      </c>
      <c r="AJ8" s="35"/>
      <c r="AK8" s="36"/>
      <c r="AL8" s="36"/>
      <c r="AM8" s="36"/>
      <c r="AO8" s="58" t="s">
        <v>140</v>
      </c>
      <c r="AP8" s="35"/>
      <c r="AQ8" s="36"/>
      <c r="AR8" s="36"/>
      <c r="AS8" s="36"/>
      <c r="AU8" s="58" t="s">
        <v>98</v>
      </c>
      <c r="AV8" s="35"/>
      <c r="AX8" s="251" t="s">
        <v>100</v>
      </c>
      <c r="AY8" s="252"/>
      <c r="AZ8" s="252"/>
      <c r="BA8" s="252"/>
      <c r="BB8" s="253"/>
      <c r="BD8" s="117" t="s">
        <v>98</v>
      </c>
      <c r="BE8" s="35"/>
      <c r="BF8" s="41"/>
      <c r="BG8" s="14"/>
      <c r="BH8" s="82"/>
      <c r="CE8"/>
      <c r="CF8"/>
      <c r="CG8"/>
    </row>
    <row r="9" spans="1:85" s="4" customFormat="1" ht="38.25" x14ac:dyDescent="0.2">
      <c r="A9" s="59" t="s">
        <v>22</v>
      </c>
      <c r="B9" s="59" t="s">
        <v>0</v>
      </c>
      <c r="C9" s="59" t="s">
        <v>87</v>
      </c>
      <c r="D9" s="60" t="str">
        <f>"H in "&amp;CHOOSE(Basis!$E$1,"cm","inch")</f>
        <v>H in inch</v>
      </c>
      <c r="E9" s="60" t="str">
        <f>"L in "&amp;CHOOSE(Basis!$E$1,"cm","inch")</f>
        <v>L in inch</v>
      </c>
      <c r="F9" s="61" t="s">
        <v>1</v>
      </c>
      <c r="G9" s="60" t="str">
        <f>"D in "&amp;CHOOSE(Basis!$E$1,"cm","inch")</f>
        <v>D in inch</v>
      </c>
      <c r="H9" s="60" t="str">
        <f>"Heating in "&amp;CHOOSE(Basis!$E$1,"Watt","BTU/h")</f>
        <v>Heating in BTU/h</v>
      </c>
      <c r="I9" s="60" t="str">
        <f>"Flow in "&amp;CHOOSE(Basis!$E$1,"l/s","GPM")</f>
        <v>Flow in GPM</v>
      </c>
      <c r="J9" s="60" t="str">
        <f>"Airflow in "&amp;CHOOSE(Basis!$E$1,"m³/h", "CFM")</f>
        <v>Airflow in CFM</v>
      </c>
      <c r="K9" s="94" t="s">
        <v>2980</v>
      </c>
      <c r="L9" s="60" t="str">
        <f>"Water side pressure drop "&amp;CHOOSE(Basis!$E$1,"[kPa]","ftH2O")</f>
        <v>Water side pressure drop ftH2O</v>
      </c>
      <c r="M9" s="60" t="s">
        <v>105</v>
      </c>
      <c r="N9" s="93" t="str">
        <f>"Sensible Cooling in "&amp;CHOOSE(Basis!$E$1,"Watt","BTU/h")</f>
        <v>Sensible Cooling in BTU/h</v>
      </c>
      <c r="O9" s="63" t="str">
        <f>"Total Cooling in "&amp;CHOOSE(Basis!$E$1,"Watt","BTU/h")</f>
        <v>Total Cooling in BTU/h</v>
      </c>
      <c r="P9" s="63" t="str">
        <f>"Flow in "&amp;CHOOSE(Basis!$E$1,"l/s","GPM")</f>
        <v>Flow in GPM</v>
      </c>
      <c r="Q9" s="62" t="str">
        <f>"Airflow in "&amp;CHOOSE(Basis!$E$1,"m³/h", "CFM")</f>
        <v>Airflow in CFM</v>
      </c>
      <c r="R9" s="95" t="s">
        <v>2980</v>
      </c>
      <c r="S9" s="62" t="str">
        <f>"Water side pressure drop "&amp;CHOOSE(Basis!$E$1,"[kPa]","ftH2O")</f>
        <v>Water side pressure drop ftH2O</v>
      </c>
      <c r="T9" s="107" t="s">
        <v>105</v>
      </c>
      <c r="U9" s="116" t="s">
        <v>3331</v>
      </c>
      <c r="V9" s="64" t="s">
        <v>99</v>
      </c>
      <c r="W9" s="79">
        <v>1</v>
      </c>
      <c r="X9" s="79">
        <v>0.8</v>
      </c>
      <c r="Y9" s="79">
        <v>0.6</v>
      </c>
      <c r="Z9" s="79">
        <v>0.4</v>
      </c>
      <c r="AA9" s="79">
        <v>0.2</v>
      </c>
      <c r="AB9" s="64" t="s">
        <v>99</v>
      </c>
      <c r="AC9" s="79">
        <v>1</v>
      </c>
      <c r="AD9" s="79">
        <v>0.8</v>
      </c>
      <c r="AE9" s="79">
        <v>0.6</v>
      </c>
      <c r="AF9" s="79">
        <v>0.4</v>
      </c>
      <c r="AG9" s="79">
        <v>0.2</v>
      </c>
      <c r="AH9" s="64" t="s">
        <v>99</v>
      </c>
      <c r="AI9" s="79">
        <v>1</v>
      </c>
      <c r="AJ9" s="79">
        <v>0.8</v>
      </c>
      <c r="AK9" s="79">
        <v>0.6</v>
      </c>
      <c r="AL9" s="79">
        <v>0.4</v>
      </c>
      <c r="AM9" s="79">
        <v>0.2</v>
      </c>
      <c r="AN9" s="64" t="s">
        <v>99</v>
      </c>
      <c r="AO9" s="79">
        <v>1</v>
      </c>
      <c r="AP9" s="79">
        <v>0.8</v>
      </c>
      <c r="AQ9" s="79">
        <v>0.6</v>
      </c>
      <c r="AR9" s="79">
        <v>0.4</v>
      </c>
      <c r="AS9" s="79">
        <v>0.2</v>
      </c>
      <c r="AT9" s="64" t="s">
        <v>99</v>
      </c>
      <c r="AU9" s="79" t="s">
        <v>108</v>
      </c>
      <c r="AV9" s="79" t="s">
        <v>109</v>
      </c>
      <c r="AW9" s="64" t="s">
        <v>99</v>
      </c>
      <c r="AX9" s="115">
        <v>1</v>
      </c>
      <c r="AY9" s="115">
        <v>0.8</v>
      </c>
      <c r="AZ9" s="115">
        <v>0.6</v>
      </c>
      <c r="BA9" s="115">
        <v>0.4</v>
      </c>
      <c r="BB9" s="115">
        <v>0.2</v>
      </c>
      <c r="BC9" s="64" t="s">
        <v>99</v>
      </c>
      <c r="BD9" s="116" t="s">
        <v>108</v>
      </c>
      <c r="BE9" s="116" t="s">
        <v>109</v>
      </c>
      <c r="BF9" s="64" t="s">
        <v>99</v>
      </c>
      <c r="BG9" s="65" t="s">
        <v>28</v>
      </c>
      <c r="BH9" s="66" t="s">
        <v>2</v>
      </c>
      <c r="BL9" s="32"/>
      <c r="CE9"/>
      <c r="CF9"/>
      <c r="CG9"/>
    </row>
    <row r="10" spans="1:85" ht="15" x14ac:dyDescent="0.25">
      <c r="A10" s="72" t="s">
        <v>20</v>
      </c>
      <c r="B10" s="43" t="s">
        <v>29</v>
      </c>
      <c r="C10" s="44" t="s">
        <v>3267</v>
      </c>
      <c r="D10" s="45">
        <f>ROUND(MID(Briza12!$C10,6,3)/Basis!$E$3,1)</f>
        <v>16.100000000000001</v>
      </c>
      <c r="E10" s="45">
        <f>ROUND(MID(Briza12!$C10,9,3)/Basis!$E$3,1)</f>
        <v>29.5</v>
      </c>
      <c r="F10" s="106" t="s">
        <v>51</v>
      </c>
      <c r="G10" s="45">
        <f>ROUND(14/Basis!$E$3,1)</f>
        <v>5.5</v>
      </c>
      <c r="H10" s="221">
        <f>(($AA10*U_H^4+$Z10*U_H^3+$Y10*U_H^2+$X10*U_H+$W10)*((((TaH-TrH)/LN((TaH-TlH)/(TrH-TlH)))/((75-65)/LN((75-20)/(65-20))))^1))*Basis!$E$2*$AA$4*Glycol</f>
        <v>4094.7645628559881</v>
      </c>
      <c r="I10" s="123">
        <f>ROUND((($H10/Basis!$E$2)/((TaH-TrH)*1.163))*Basis!$E$5,IF(Basis!$E$1=1,0,IF(Basis!$E$1=2,2)))</f>
        <v>0.41</v>
      </c>
      <c r="J10" s="83">
        <f>ROUND(INDEX($AC10:$AG10,0,FanspeedH)*Basis!$E$4,1)</f>
        <v>126</v>
      </c>
      <c r="K10" s="85">
        <f>INDEX($AO10:$AS10,0,FanspeedH)</f>
        <v>13</v>
      </c>
      <c r="L10" s="84">
        <f>CHOOSE(Basis!$E$1,$AU10*(I10*3600/Basis!$E$5)^$AV10*Basis!$E$6/Basis!$E$9,$AU10*(I10/Basis!$E$5)^$AV10*Basis!$E$6/Basis!$E$9)</f>
        <v>8.5826614131558107E-2</v>
      </c>
      <c r="M10" s="85">
        <f>INDEX($AI10:$AM10,0,FanspeedH)</f>
        <v>0</v>
      </c>
      <c r="N10" s="222">
        <f>(($BB10*U_C^4+$BA10*U_C^3+$AZ10*U_C^2+$AY10*U_C+$AX10)*((((TaC-TrC)/LN((TaC-TlC)/(TrC-TlC)))/((16-18)/LN((16-27)/(18-27))))^1))*Basis!$E$2*$AA$4*Glycol</f>
        <v>1004.2216803860616</v>
      </c>
      <c r="O10" s="108">
        <f>(($N10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1133.3016489151601</v>
      </c>
      <c r="P10" s="123">
        <f>ROUND((($O10/Basis!$E$2)/((TrC-TaC)*1.163))*Basis!$E$5,IF(Basis!$E$1=1,0,IF(Basis!$E$1=2,2)))</f>
        <v>0.23</v>
      </c>
      <c r="Q10" s="83">
        <f>IF(N10=0,0,ROUND(INDEX($AC10:$AG10,0,FanspeedC)*Basis!$E$4,1))</f>
        <v>126</v>
      </c>
      <c r="R10" s="85">
        <f>IF(N10=0,0,INDEX($AO10:$AS10,0,FanspeedC))</f>
        <v>13</v>
      </c>
      <c r="S10" s="84">
        <f>CHOOSE(Basis!$E$1,$BD10*(P10*3600/Basis!$E$5)^$BE10*Basis!$E$6/Basis!$E$9,$BD10*(P10/Basis!$E$5)^$BE10*Basis!$E$6/Basis!$E$9)</f>
        <v>2.9697818436856163E-2</v>
      </c>
      <c r="T10" s="85">
        <f>IF(N10=0,0,INDEX($AI10:$AM10,0,FanspeedC))</f>
        <v>0</v>
      </c>
      <c r="U10" s="109">
        <v>1</v>
      </c>
      <c r="V10" s="68"/>
      <c r="W10" s="217">
        <v>784.09312058876696</v>
      </c>
      <c r="X10" s="217">
        <v>57.973284405042172</v>
      </c>
      <c r="Y10" s="217">
        <v>0.19489833199562701</v>
      </c>
      <c r="Z10" s="217">
        <v>0.21173876801715211</v>
      </c>
      <c r="AA10" s="217">
        <v>7.4263626519463083E-3</v>
      </c>
      <c r="AB10" s="68"/>
      <c r="AC10" s="69">
        <v>214</v>
      </c>
      <c r="AD10" s="69">
        <v>178</v>
      </c>
      <c r="AE10" s="69">
        <v>141</v>
      </c>
      <c r="AF10" s="69">
        <v>101</v>
      </c>
      <c r="AG10" s="69">
        <v>64</v>
      </c>
      <c r="AH10" s="68"/>
      <c r="AI10" s="70"/>
      <c r="AJ10" s="70"/>
      <c r="AK10" s="70"/>
      <c r="AL10" s="70"/>
      <c r="AM10" s="70"/>
      <c r="AN10" s="68"/>
      <c r="AO10" s="71">
        <v>13</v>
      </c>
      <c r="AP10" s="71">
        <v>7.2</v>
      </c>
      <c r="AQ10" s="71">
        <v>4.3</v>
      </c>
      <c r="AR10" s="71">
        <v>2.6</v>
      </c>
      <c r="AS10" s="71">
        <v>1.6</v>
      </c>
      <c r="AT10" s="68"/>
      <c r="AU10" s="99">
        <v>6.2276819636539519E-5</v>
      </c>
      <c r="AV10" s="97">
        <v>1.8358350093844202</v>
      </c>
      <c r="AW10" s="68"/>
      <c r="AX10" s="109">
        <v>102.07589640134984</v>
      </c>
      <c r="AY10" s="109">
        <v>4.9047030669294314</v>
      </c>
      <c r="AZ10" s="109">
        <v>0.93056078652448071</v>
      </c>
      <c r="BA10" s="109">
        <v>-3.0099755140858282E-2</v>
      </c>
      <c r="BB10" s="109">
        <v>0</v>
      </c>
      <c r="BC10" s="68"/>
      <c r="BD10" s="99">
        <v>6.2276819636539519E-5</v>
      </c>
      <c r="BE10" s="97">
        <v>1.8358350093844202</v>
      </c>
      <c r="BF10" s="68"/>
      <c r="BG10" s="49" t="s">
        <v>15</v>
      </c>
      <c r="BH10" s="50" t="s">
        <v>76</v>
      </c>
      <c r="CE10"/>
      <c r="CF10"/>
      <c r="CG10"/>
    </row>
    <row r="11" spans="1:85" ht="15" x14ac:dyDescent="0.25">
      <c r="A11" s="72" t="s">
        <v>20</v>
      </c>
      <c r="B11" s="43" t="s">
        <v>29</v>
      </c>
      <c r="C11" s="44" t="s">
        <v>3268</v>
      </c>
      <c r="D11" s="45">
        <f>ROUND(MID(Briza12!$C11,6,3)/Basis!$E$3,1)</f>
        <v>16.100000000000001</v>
      </c>
      <c r="E11" s="45">
        <f>ROUND(MID(Briza12!$C11,9,3)/Basis!$E$3,1)</f>
        <v>37.4</v>
      </c>
      <c r="F11" s="46" t="s">
        <v>51</v>
      </c>
      <c r="G11" s="45">
        <f>ROUND(14/Basis!$E$3,1)</f>
        <v>5.5</v>
      </c>
      <c r="H11" s="221">
        <f>(($AA11*U_H^4+$Z11*U_H^3+$Y11*U_H^2+$X11*U_H+$W11)*((((TaH-TrH)/LN((TaH-TlH)/(TrH-TlH)))/((75-65)/LN((75-20)/(65-20))))^1))*Basis!$E$2*$AA$4*Glycol</f>
        <v>6743.7123385980212</v>
      </c>
      <c r="I11" s="123">
        <f>ROUND((($H11/Basis!$E$2)/((TaH-TrH)*1.163))*Basis!$E$5,IF(Basis!$E$1=1,0,IF(Basis!$E$1=2,2)))</f>
        <v>0.67</v>
      </c>
      <c r="J11" s="83">
        <f>ROUND(INDEX($AC11:$AG11,0,FanspeedH)*Basis!$E$4,1)</f>
        <v>203.6</v>
      </c>
      <c r="K11" s="85">
        <f>INDEX($AO11:$AS11,0,FanspeedH)</f>
        <v>18</v>
      </c>
      <c r="L11" s="84">
        <f>CHOOSE(Basis!$E$1,$AU11*(I11*3600/Basis!$E$5)^$AV11*Basis!$E$6/Basis!$E$9,$AU11*(I11/Basis!$E$5)^$AV11*Basis!$E$6/Basis!$E$9)</f>
        <v>0.27225894429957648</v>
      </c>
      <c r="M11" s="85">
        <f>INDEX($AI11:$AM11,0,FanspeedH)</f>
        <v>0</v>
      </c>
      <c r="N11" s="222">
        <f>(($BB11*U_C^4+$BA11*U_C^3+$AZ11*U_C^2+$AY11*U_C+$AX11)*((((TaC-TrC)/LN((TaC-TlC)/(TrC-TlC)))/((16-18)/LN((16-27)/(18-27))))^1))*Basis!$E$2*$AA$4*Glycol</f>
        <v>1652.9378040133329</v>
      </c>
      <c r="O11" s="108">
        <f>(($N11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1865.4020077741734</v>
      </c>
      <c r="P11" s="123">
        <f>ROUND((($O11/Basis!$E$2)/((TrC-TaC)*1.163))*Basis!$E$5,IF(Basis!$E$1=1,0,IF(Basis!$E$1=2,2)))</f>
        <v>0.37</v>
      </c>
      <c r="Q11" s="83">
        <f>IF(N11=0,0,ROUND(INDEX($AC11:$AG11,0,FanspeedC)*Basis!$E$4,1))</f>
        <v>203.6</v>
      </c>
      <c r="R11" s="85">
        <f>IF(N11=0,0,INDEX($AO11:$AS11,0,FanspeedC))</f>
        <v>18</v>
      </c>
      <c r="S11" s="84">
        <f>CHOOSE(Basis!$E$1,$BD11*(P11*3600/Basis!$E$5)^$BE11*Basis!$E$6/Basis!$E$9,$BD11*(P11/Basis!$E$5)^$BE11*Basis!$E$6/Basis!$E$9)</f>
        <v>9.2681190909633684E-2</v>
      </c>
      <c r="T11" s="85">
        <f>IF(N11=0,0,INDEX($AI11:$AM11,0,FanspeedC))</f>
        <v>0</v>
      </c>
      <c r="U11" s="110">
        <v>1</v>
      </c>
      <c r="V11" s="74"/>
      <c r="W11" s="218">
        <v>237.14568715178913</v>
      </c>
      <c r="X11" s="218">
        <v>1211.686145735049</v>
      </c>
      <c r="Y11" s="218">
        <v>-360.62494218047829</v>
      </c>
      <c r="Z11" s="218">
        <v>44.485461171044086</v>
      </c>
      <c r="AA11" s="218">
        <v>-1.8027755792474383</v>
      </c>
      <c r="AB11" s="74"/>
      <c r="AC11" s="75">
        <v>346</v>
      </c>
      <c r="AD11" s="75">
        <v>287</v>
      </c>
      <c r="AE11" s="75">
        <v>223</v>
      </c>
      <c r="AF11" s="75">
        <v>172</v>
      </c>
      <c r="AG11" s="75">
        <v>108</v>
      </c>
      <c r="AH11" s="74"/>
      <c r="AI11" s="76"/>
      <c r="AJ11" s="76"/>
      <c r="AK11" s="76"/>
      <c r="AL11" s="76"/>
      <c r="AM11" s="76"/>
      <c r="AN11" s="74"/>
      <c r="AO11" s="77">
        <v>18</v>
      </c>
      <c r="AP11" s="77">
        <v>11.5</v>
      </c>
      <c r="AQ11" s="77">
        <v>7.2</v>
      </c>
      <c r="AR11" s="77">
        <v>4.3</v>
      </c>
      <c r="AS11" s="77">
        <v>2.5</v>
      </c>
      <c r="AT11" s="74"/>
      <c r="AU11" s="100">
        <v>8.9125876915269658E-5</v>
      </c>
      <c r="AV11" s="98">
        <v>1.8148096460023067</v>
      </c>
      <c r="AW11" s="74"/>
      <c r="AX11" s="110">
        <v>173.56390044315711</v>
      </c>
      <c r="AY11" s="110">
        <v>6.8788639604089941</v>
      </c>
      <c r="AZ11" s="110">
        <v>0.95253155588610972</v>
      </c>
      <c r="BA11" s="110">
        <v>1.4766388390629539E-2</v>
      </c>
      <c r="BB11" s="110">
        <v>0</v>
      </c>
      <c r="BC11" s="74"/>
      <c r="BD11" s="100">
        <v>8.9125876915269658E-5</v>
      </c>
      <c r="BE11" s="98">
        <v>1.8148096460023067</v>
      </c>
      <c r="BF11" s="74"/>
      <c r="BG11" s="47" t="s">
        <v>15</v>
      </c>
      <c r="BH11" s="48" t="s">
        <v>78</v>
      </c>
      <c r="CE11"/>
      <c r="CF11"/>
      <c r="CG11"/>
    </row>
    <row r="12" spans="1:85" ht="15" x14ac:dyDescent="0.25">
      <c r="A12" s="72" t="s">
        <v>20</v>
      </c>
      <c r="B12" s="43" t="s">
        <v>29</v>
      </c>
      <c r="C12" s="44" t="s">
        <v>3269</v>
      </c>
      <c r="D12" s="45">
        <f>ROUND(MID(Briza12!$C12,6,3)/Basis!$E$3,1)</f>
        <v>16.100000000000001</v>
      </c>
      <c r="E12" s="45">
        <f>ROUND(MID(Briza12!$C12,9,3)/Basis!$E$3,1)</f>
        <v>49.2</v>
      </c>
      <c r="F12" s="46" t="s">
        <v>51</v>
      </c>
      <c r="G12" s="45">
        <f>ROUND(14/Basis!$E$3,1)</f>
        <v>5.5</v>
      </c>
      <c r="H12" s="221">
        <f>(($AA12*U_H^4+$Z12*U_H^3+$Y12*U_H^2+$X12*U_H+$W12)*((((TaH-TrH)/LN((TaH-TlH)/(TrH-TlH)))/((75-65)/LN((75-20)/(65-20))))^1))*Basis!$E$2*$AA$4*Glycol</f>
        <v>10711.420420552942</v>
      </c>
      <c r="I12" s="123">
        <f>ROUND((($H12/Basis!$E$2)/((TaH-TrH)*1.163))*Basis!$E$5,IF(Basis!$E$1=1,0,IF(Basis!$E$1=2,2)))</f>
        <v>1.07</v>
      </c>
      <c r="J12" s="83">
        <f>ROUND(INDEX($AC12:$AG12,0,FanspeedH)*Basis!$E$4,1)</f>
        <v>263.7</v>
      </c>
      <c r="K12" s="85">
        <f>INDEX($AO12:$AS12,0,FanspeedH)</f>
        <v>24</v>
      </c>
      <c r="L12" s="84">
        <f>CHOOSE(Basis!$E$1,$AU12*(I12*3600/Basis!$E$5)^$AV12*Basis!$E$6/Basis!$E$9,$AU12*(I12/Basis!$E$5)^$AV12*Basis!$E$6/Basis!$E$9)</f>
        <v>0.85961575833604298</v>
      </c>
      <c r="M12" s="85">
        <f>INDEX($AI12:$AM12,0,FanspeedH)</f>
        <v>0</v>
      </c>
      <c r="N12" s="222">
        <f>(($BB12*U_C^4+$BA12*U_C^3+$AZ12*U_C^2+$AY12*U_C+$AX12)*((((TaC-TrC)/LN((TaC-TlC)/(TrC-TlC)))/((16-18)/LN((16-27)/(18-27))))^1))*Basis!$E$2*$AA$4*Glycol</f>
        <v>2620.9815555381601</v>
      </c>
      <c r="O12" s="108">
        <f>(($N12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2957.8755136273253</v>
      </c>
      <c r="P12" s="123">
        <f>ROUND((($O12/Basis!$E$2)/((TrC-TaC)*1.163))*Basis!$E$5,IF(Basis!$E$1=1,0,IF(Basis!$E$1=2,2)))</f>
        <v>0.59</v>
      </c>
      <c r="Q12" s="83">
        <f>IF(N12=0,0,ROUND(INDEX($AC12:$AG12,0,FanspeedC)*Basis!$E$4,1))</f>
        <v>263.7</v>
      </c>
      <c r="R12" s="85">
        <f>IF(N12=0,0,INDEX($AO12:$AS12,0,FanspeedC))</f>
        <v>24</v>
      </c>
      <c r="S12" s="84">
        <f>CHOOSE(Basis!$E$1,$BD12*(P12*3600/Basis!$E$5)^$BE12*Basis!$E$6/Basis!$E$9,$BD12*(P12/Basis!$E$5)^$BE12*Basis!$E$6/Basis!$E$9)</f>
        <v>0.2918652029457991</v>
      </c>
      <c r="T12" s="85">
        <f>IF(N12=0,0,INDEX($AI12:$AM12,0,FanspeedC))</f>
        <v>0</v>
      </c>
      <c r="U12" s="109">
        <v>1</v>
      </c>
      <c r="V12" s="68"/>
      <c r="W12" s="217">
        <v>2161.5461388359286</v>
      </c>
      <c r="X12" s="217">
        <v>142.06849285698914</v>
      </c>
      <c r="Y12" s="217">
        <v>-6.6767123139735007</v>
      </c>
      <c r="Z12" s="217">
        <v>1.4785661107548795</v>
      </c>
      <c r="AA12" s="217">
        <v>-2.6386736307091345E-3</v>
      </c>
      <c r="AB12" s="68"/>
      <c r="AC12" s="69">
        <v>448</v>
      </c>
      <c r="AD12" s="69">
        <v>381</v>
      </c>
      <c r="AE12" s="69">
        <v>298</v>
      </c>
      <c r="AF12" s="69">
        <v>221</v>
      </c>
      <c r="AG12" s="69">
        <v>146</v>
      </c>
      <c r="AH12" s="68"/>
      <c r="AI12" s="70"/>
      <c r="AJ12" s="70"/>
      <c r="AK12" s="70"/>
      <c r="AL12" s="70"/>
      <c r="AM12" s="70"/>
      <c r="AN12" s="68"/>
      <c r="AO12" s="71">
        <v>24</v>
      </c>
      <c r="AP12" s="71">
        <v>14</v>
      </c>
      <c r="AQ12" s="71">
        <v>8</v>
      </c>
      <c r="AR12" s="71">
        <v>4.8</v>
      </c>
      <c r="AS12" s="71">
        <v>2.6</v>
      </c>
      <c r="AT12" s="68"/>
      <c r="AU12" s="99">
        <v>1.2048931502827451E-4</v>
      </c>
      <c r="AV12" s="97">
        <v>1.8145625016160318</v>
      </c>
      <c r="AW12" s="68"/>
      <c r="AX12" s="109">
        <v>290.7155392231125</v>
      </c>
      <c r="AY12" s="109">
        <v>9.4024328441996587</v>
      </c>
      <c r="AZ12" s="109">
        <v>0.78279583120261287</v>
      </c>
      <c r="BA12" s="109">
        <v>9.571949914823337E-2</v>
      </c>
      <c r="BB12" s="109">
        <v>0</v>
      </c>
      <c r="BC12" s="68"/>
      <c r="BD12" s="99">
        <v>1.2048931502827451E-4</v>
      </c>
      <c r="BE12" s="97">
        <v>1.8145625016160318</v>
      </c>
      <c r="BF12" s="68"/>
      <c r="BG12" s="49" t="s">
        <v>15</v>
      </c>
      <c r="BH12" s="50" t="s">
        <v>7</v>
      </c>
      <c r="CE12"/>
      <c r="CF12"/>
      <c r="CG12"/>
    </row>
    <row r="13" spans="1:85" ht="15" x14ac:dyDescent="0.25">
      <c r="A13" s="72" t="s">
        <v>20</v>
      </c>
      <c r="B13" s="43" t="s">
        <v>29</v>
      </c>
      <c r="C13" s="44" t="s">
        <v>3270</v>
      </c>
      <c r="D13" s="45">
        <f>ROUND(MID(Briza12!$C13,6,3)/Basis!$E$3,1)</f>
        <v>16.100000000000001</v>
      </c>
      <c r="E13" s="45">
        <f>ROUND(MID(Briza12!$C13,9,3)/Basis!$E$3,1)</f>
        <v>57.1</v>
      </c>
      <c r="F13" s="46" t="s">
        <v>51</v>
      </c>
      <c r="G13" s="45">
        <f>ROUND(14/Basis!$E$3,1)</f>
        <v>5.5</v>
      </c>
      <c r="H13" s="221">
        <f>(($AA13*U_H^4+$Z13*U_H^3+$Y13*U_H^2+$X13*U_H+$W13)*((((TaH-TrH)/LN((TaH-TlH)/(TrH-TlH)))/((75-65)/LN((75-20)/(65-20))))^1))*Basis!$E$2*$AA$4*Glycol</f>
        <v>13353.245399993426</v>
      </c>
      <c r="I13" s="123">
        <f>ROUND((($H13/Basis!$E$2)/((TaH-TrH)*1.163))*Basis!$E$5,IF(Basis!$E$1=1,0,IF(Basis!$E$1=2,2)))</f>
        <v>1.33</v>
      </c>
      <c r="J13" s="83">
        <f>ROUND(INDEX($AC13:$AG13,0,FanspeedH)*Basis!$E$4,1)</f>
        <v>300.2</v>
      </c>
      <c r="K13" s="85">
        <f>INDEX($AO13:$AS13,0,FanspeedH)</f>
        <v>28.8</v>
      </c>
      <c r="L13" s="84">
        <f>CHOOSE(Basis!$E$1,$AU13*(I13*3600/Basis!$E$5)^$AV13*Basis!$E$6/Basis!$E$9,$AU13*(I13/Basis!$E$5)^$AV13*Basis!$E$6/Basis!$E$9)</f>
        <v>1.4896883289456373</v>
      </c>
      <c r="M13" s="85">
        <f>INDEX($AI13:$AM13,0,FanspeedH)</f>
        <v>0</v>
      </c>
      <c r="N13" s="222">
        <f>(($BB13*U_C^4+$BA13*U_C^3+$AZ13*U_C^2+$AY13*U_C+$AX13)*((((TaC-TrC)/LN((TaC-TlC)/(TrC-TlC)))/((16-18)/LN((16-27)/(18-27))))^1))*Basis!$E$2*$AA$4*Glycol</f>
        <v>3272.0821028099181</v>
      </c>
      <c r="O13" s="108">
        <f>(($N13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3692.6667835678149</v>
      </c>
      <c r="P13" s="123">
        <f>ROUND((($O13/Basis!$E$2)/((TrC-TaC)*1.163))*Basis!$E$5,IF(Basis!$E$1=1,0,IF(Basis!$E$1=2,2)))</f>
        <v>0.74</v>
      </c>
      <c r="Q13" s="83">
        <f>IF(N13=0,0,ROUND(INDEX($AC13:$AG13,0,FanspeedC)*Basis!$E$4,1))</f>
        <v>300.2</v>
      </c>
      <c r="R13" s="85">
        <f>IF(N13=0,0,INDEX($AO13:$AS13,0,FanspeedC))</f>
        <v>28.8</v>
      </c>
      <c r="S13" s="84">
        <f>CHOOSE(Basis!$E$1,$BD13*(P13*3600/Basis!$E$5)^$BE13*Basis!$E$6/Basis!$E$9,$BD13*(P13/Basis!$E$5)^$BE13*Basis!$E$6/Basis!$E$9)</f>
        <v>0.5096963392119559</v>
      </c>
      <c r="T13" s="85">
        <f>IF(N13=0,0,INDEX($AI13:$AM13,0,FanspeedC))</f>
        <v>0</v>
      </c>
      <c r="U13" s="110">
        <v>1</v>
      </c>
      <c r="V13" s="74"/>
      <c r="W13" s="218">
        <v>2614.5642089837888</v>
      </c>
      <c r="X13" s="218">
        <v>199.5924373904281</v>
      </c>
      <c r="Y13" s="218">
        <v>-6.7861908639932995</v>
      </c>
      <c r="Z13" s="218">
        <v>1.5118660666407935</v>
      </c>
      <c r="AA13" s="218">
        <v>0</v>
      </c>
      <c r="AB13" s="74"/>
      <c r="AC13" s="75">
        <v>510</v>
      </c>
      <c r="AD13" s="75">
        <v>466</v>
      </c>
      <c r="AE13" s="75">
        <v>373</v>
      </c>
      <c r="AF13" s="75">
        <v>268</v>
      </c>
      <c r="AG13" s="75">
        <v>173</v>
      </c>
      <c r="AH13" s="74"/>
      <c r="AI13" s="76"/>
      <c r="AJ13" s="76"/>
      <c r="AK13" s="76"/>
      <c r="AL13" s="76"/>
      <c r="AM13" s="76"/>
      <c r="AN13" s="74"/>
      <c r="AO13" s="77">
        <v>28.8</v>
      </c>
      <c r="AP13" s="77">
        <v>18.5</v>
      </c>
      <c r="AQ13" s="77">
        <v>10.3</v>
      </c>
      <c r="AR13" s="77">
        <v>5.5</v>
      </c>
      <c r="AS13" s="77">
        <v>2.8</v>
      </c>
      <c r="AT13" s="74"/>
      <c r="AU13" s="100">
        <v>1.2932915211001514E-4</v>
      </c>
      <c r="AV13" s="98">
        <v>1.829330158620641</v>
      </c>
      <c r="AW13" s="74"/>
      <c r="AX13" s="110">
        <v>379.76208308685494</v>
      </c>
      <c r="AY13" s="110">
        <v>15.664455358346679</v>
      </c>
      <c r="AZ13" s="110">
        <v>-0.25188697625825573</v>
      </c>
      <c r="BA13" s="110">
        <v>0.18632215403912855</v>
      </c>
      <c r="BB13" s="110">
        <v>0</v>
      </c>
      <c r="BC13" s="74"/>
      <c r="BD13" s="100">
        <v>1.2932915211001514E-4</v>
      </c>
      <c r="BE13" s="98">
        <v>1.829330158620641</v>
      </c>
      <c r="BF13" s="74"/>
      <c r="BG13" s="47" t="s">
        <v>15</v>
      </c>
      <c r="BH13" s="48" t="s">
        <v>9</v>
      </c>
      <c r="CE13"/>
      <c r="CF13"/>
      <c r="CG13"/>
    </row>
    <row r="14" spans="1:85" ht="15" x14ac:dyDescent="0.25">
      <c r="A14" s="72" t="s">
        <v>20</v>
      </c>
      <c r="B14" s="43" t="s">
        <v>29</v>
      </c>
      <c r="C14" s="44" t="s">
        <v>3271</v>
      </c>
      <c r="D14" s="45">
        <f>ROUND(MID(Briza12!$C14,6,3)/Basis!$E$3,1)</f>
        <v>21.7</v>
      </c>
      <c r="E14" s="45">
        <f>ROUND(MID(Briza12!$C14,9,3)/Basis!$E$3,1)</f>
        <v>29.5</v>
      </c>
      <c r="F14" s="46" t="s">
        <v>51</v>
      </c>
      <c r="G14" s="45">
        <f>ROUND(14/Basis!$E$3,1)</f>
        <v>5.5</v>
      </c>
      <c r="H14" s="221">
        <f>(($AA14*U_H^4+$Z14*U_H^3+$Y14*U_H^2+$X14*U_H+$W14)*((((TaH-TrH)/LN((TaH-TlH)/(TrH-TlH)))/((75-65)/LN((75-20)/(65-20))))^1))*Basis!$E$2*$AA$4*Glycol</f>
        <v>6349.1031257050672</v>
      </c>
      <c r="I14" s="123">
        <f>ROUND((($H14/Basis!$E$2)/((TaH-TrH)*1.163))*Basis!$E$5,IF(Basis!$E$1=1,0,IF(Basis!$E$1=2,2)))</f>
        <v>0.63</v>
      </c>
      <c r="J14" s="83">
        <f>ROUND(INDEX($AC14:$AG14,0,FanspeedH)*Basis!$E$4,1)</f>
        <v>134.19999999999999</v>
      </c>
      <c r="K14" s="85">
        <f>INDEX($AO14:$AS14,0,FanspeedH)</f>
        <v>16.8</v>
      </c>
      <c r="L14" s="84">
        <f>CHOOSE(Basis!$E$1,$AU14*(I14*3600/Basis!$E$5)^$AV14*Basis!$E$6/Basis!$E$9,$AU14*(I14/Basis!$E$5)^$AV14*Basis!$E$6/Basis!$E$9)</f>
        <v>0.36033422862561088</v>
      </c>
      <c r="M14" s="85">
        <f>INDEX($AI14:$AM14,0,FanspeedH)</f>
        <v>0</v>
      </c>
      <c r="N14" s="222">
        <f>(($BB14*U_C^4+$BA14*U_C^3+$AZ14*U_C^2+$AY14*U_C+$AX14)*((((TaC-TrC)/LN((TaC-TlC)/(TrC-TlC)))/((16-18)/LN((16-27)/(18-27))))^1))*Basis!$E$2*$AA$4*Glycol</f>
        <v>1558.3338887161549</v>
      </c>
      <c r="O14" s="108">
        <f>(($N14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1758.6379582677891</v>
      </c>
      <c r="P14" s="123">
        <f>ROUND((($O14/Basis!$E$2)/((TrC-TaC)*1.163))*Basis!$E$5,IF(Basis!$E$1=1,0,IF(Basis!$E$1=2,2)))</f>
        <v>0.35</v>
      </c>
      <c r="Q14" s="83">
        <f>IF(N14=0,0,ROUND(INDEX($AC14:$AG14,0,FanspeedC)*Basis!$E$4,1))</f>
        <v>134.19999999999999</v>
      </c>
      <c r="R14" s="85">
        <f>IF(N14=0,0,INDEX($AO14:$AS14,0,FanspeedC))</f>
        <v>16.8</v>
      </c>
      <c r="S14" s="84">
        <f>CHOOSE(Basis!$E$1,$BD14*(P14*3600/Basis!$E$5)^$BE14*Basis!$E$6/Basis!$E$9,$BD14*(P14/Basis!$E$5)^$BE14*Basis!$E$6/Basis!$E$9)</f>
        <v>0.12408534721523913</v>
      </c>
      <c r="T14" s="85">
        <f>IF(N14=0,0,INDEX($AI14:$AM14,0,FanspeedC))</f>
        <v>0</v>
      </c>
      <c r="U14" s="109">
        <v>1</v>
      </c>
      <c r="V14" s="68"/>
      <c r="W14" s="217">
        <v>1095.2128520064889</v>
      </c>
      <c r="X14" s="217">
        <v>152.87981581044934</v>
      </c>
      <c r="Y14" s="217">
        <v>-0.35663575157485938</v>
      </c>
      <c r="Z14" s="217">
        <v>0</v>
      </c>
      <c r="AA14" s="217">
        <v>0</v>
      </c>
      <c r="AB14" s="68"/>
      <c r="AC14" s="69">
        <v>228</v>
      </c>
      <c r="AD14" s="69">
        <v>193</v>
      </c>
      <c r="AE14" s="69">
        <v>154</v>
      </c>
      <c r="AF14" s="69">
        <v>118</v>
      </c>
      <c r="AG14" s="69">
        <v>81</v>
      </c>
      <c r="AH14" s="68"/>
      <c r="AI14" s="70"/>
      <c r="AJ14" s="70"/>
      <c r="AK14" s="70"/>
      <c r="AL14" s="70"/>
      <c r="AM14" s="70"/>
      <c r="AN14" s="68"/>
      <c r="AO14" s="71">
        <v>16.8</v>
      </c>
      <c r="AP14" s="71">
        <v>9.6</v>
      </c>
      <c r="AQ14" s="71">
        <v>5.5</v>
      </c>
      <c r="AR14" s="71">
        <v>3.2</v>
      </c>
      <c r="AS14" s="71">
        <v>2</v>
      </c>
      <c r="AT14" s="68"/>
      <c r="AU14" s="99">
        <v>1.3263547865279744E-4</v>
      </c>
      <c r="AV14" s="97">
        <v>1.8136893271096062</v>
      </c>
      <c r="AW14" s="68"/>
      <c r="AX14" s="109">
        <v>124.68763734693975</v>
      </c>
      <c r="AY14" s="109">
        <v>22.687985802451447</v>
      </c>
      <c r="AZ14" s="109">
        <v>-7.2116473746031196E-2</v>
      </c>
      <c r="BA14" s="109">
        <v>-2.0070321215289355E-3</v>
      </c>
      <c r="BB14" s="109">
        <v>-1.0144326001132824E-3</v>
      </c>
      <c r="BC14" s="68"/>
      <c r="BD14" s="99">
        <v>1.3263547865279744E-4</v>
      </c>
      <c r="BE14" s="97">
        <v>1.8136893271096062</v>
      </c>
      <c r="BF14" s="68"/>
      <c r="BG14" s="49" t="s">
        <v>15</v>
      </c>
      <c r="BH14" s="50" t="s">
        <v>80</v>
      </c>
      <c r="CE14"/>
      <c r="CF14"/>
      <c r="CG14"/>
    </row>
    <row r="15" spans="1:85" ht="15" x14ac:dyDescent="0.25">
      <c r="A15" s="72" t="s">
        <v>20</v>
      </c>
      <c r="B15" s="43" t="s">
        <v>29</v>
      </c>
      <c r="C15" s="44" t="s">
        <v>3272</v>
      </c>
      <c r="D15" s="45">
        <f>ROUND(MID(Briza12!$C15,6,3)/Basis!$E$3,1)</f>
        <v>21.7</v>
      </c>
      <c r="E15" s="45">
        <f>ROUND(MID(Briza12!$C15,9,3)/Basis!$E$3,1)</f>
        <v>37.4</v>
      </c>
      <c r="F15" s="46" t="s">
        <v>51</v>
      </c>
      <c r="G15" s="45">
        <f>ROUND(14/Basis!$E$3,1)</f>
        <v>5.5</v>
      </c>
      <c r="H15" s="221">
        <f>(($AA15*U_H^4+$Z15*U_H^3+$Y15*U_H^2+$X15*U_H+$W15)*((((TaH-TrH)/LN((TaH-TlH)/(TrH-TlH)))/((75-65)/LN((75-20)/(65-20))))^1))*Basis!$E$2*$AA$4*Glycol</f>
        <v>10510.315747867287</v>
      </c>
      <c r="I15" s="123">
        <f>ROUND((($H15/Basis!$E$2)/((TaH-TrH)*1.163))*Basis!$E$5,IF(Basis!$E$1=1,0,IF(Basis!$E$1=2,2)))</f>
        <v>1.05</v>
      </c>
      <c r="J15" s="83">
        <f>ROUND(INDEX($AC15:$AG15,0,FanspeedH)*Basis!$E$4,1)</f>
        <v>195.4</v>
      </c>
      <c r="K15" s="85">
        <f>INDEX($AO15:$AS15,0,FanspeedH)</f>
        <v>15.6</v>
      </c>
      <c r="L15" s="84">
        <f>CHOOSE(Basis!$E$1,$AU15*(I15*3600/Basis!$E$5)^$AV15*Basis!$E$6/Basis!$E$9,$AU15*(I15/Basis!$E$5)^$AV15*Basis!$E$6/Basis!$E$9)</f>
        <v>1.1948411360335573</v>
      </c>
      <c r="M15" s="85">
        <f>INDEX($AI15:$AM15,0,FanspeedH)</f>
        <v>0</v>
      </c>
      <c r="N15" s="222">
        <f>(($BB15*U_C^4+$BA15*U_C^3+$AZ15*U_C^2+$AY15*U_C+$AX15)*((((TaC-TrC)/LN((TaC-TlC)/(TrC-TlC)))/((16-18)/LN((16-27)/(18-27))))^1))*Basis!$E$2*$AA$4*Glycol</f>
        <v>2580.9092429307843</v>
      </c>
      <c r="O15" s="108">
        <f>(($N15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2912.652413149825</v>
      </c>
      <c r="P15" s="123">
        <f>ROUND((($O15/Basis!$E$2)/((TrC-TaC)*1.163))*Basis!$E$5,IF(Basis!$E$1=1,0,IF(Basis!$E$1=2,2)))</f>
        <v>0.57999999999999996</v>
      </c>
      <c r="Q15" s="83">
        <f>IF(N15=0,0,ROUND(INDEX($AC15:$AG15,0,FanspeedC)*Basis!$E$4,1))</f>
        <v>195.4</v>
      </c>
      <c r="R15" s="85">
        <f>IF(N15=0,0,INDEX($AO15:$AS15,0,FanspeedC))</f>
        <v>15.6</v>
      </c>
      <c r="S15" s="84">
        <f>CHOOSE(Basis!$E$1,$BD15*(P15*3600/Basis!$E$5)^$BE15*Basis!$E$6/Basis!$E$9,$BD15*(P15/Basis!$E$5)^$BE15*Basis!$E$6/Basis!$E$9)</f>
        <v>0.40548501206189241</v>
      </c>
      <c r="T15" s="85">
        <f>IF(N15=0,0,INDEX($AI15:$AM15,0,FanspeedC))</f>
        <v>0</v>
      </c>
      <c r="U15" s="110">
        <v>1</v>
      </c>
      <c r="V15" s="74"/>
      <c r="W15" s="218">
        <v>1733.6902910445228</v>
      </c>
      <c r="X15" s="218">
        <v>251.43285822089797</v>
      </c>
      <c r="Y15" s="218">
        <v>4.0608619070466698</v>
      </c>
      <c r="Z15" s="218">
        <v>-0.36935046666650995</v>
      </c>
      <c r="AA15" s="218">
        <v>0</v>
      </c>
      <c r="AB15" s="74"/>
      <c r="AC15" s="75">
        <v>332</v>
      </c>
      <c r="AD15" s="75">
        <v>291</v>
      </c>
      <c r="AE15" s="75">
        <v>238</v>
      </c>
      <c r="AF15" s="75">
        <v>176</v>
      </c>
      <c r="AG15" s="75">
        <v>116</v>
      </c>
      <c r="AH15" s="74"/>
      <c r="AI15" s="76"/>
      <c r="AJ15" s="76"/>
      <c r="AK15" s="76"/>
      <c r="AL15" s="76"/>
      <c r="AM15" s="76"/>
      <c r="AN15" s="74"/>
      <c r="AO15" s="77">
        <v>15.6</v>
      </c>
      <c r="AP15" s="77">
        <v>9.6</v>
      </c>
      <c r="AQ15" s="77">
        <v>5.7</v>
      </c>
      <c r="AR15" s="77">
        <v>3.6</v>
      </c>
      <c r="AS15" s="77">
        <v>2.2000000000000002</v>
      </c>
      <c r="AT15" s="74"/>
      <c r="AU15" s="100">
        <v>1.6747942882275273E-4</v>
      </c>
      <c r="AV15" s="98">
        <v>1.8208138694468972</v>
      </c>
      <c r="AW15" s="74"/>
      <c r="AX15" s="110">
        <v>244.82210443399327</v>
      </c>
      <c r="AY15" s="110">
        <v>20.927015387969359</v>
      </c>
      <c r="AZ15" s="110">
        <v>2.4216316716249207</v>
      </c>
      <c r="BA15" s="110">
        <v>-0.14605906212444036</v>
      </c>
      <c r="BB15" s="110">
        <v>0</v>
      </c>
      <c r="BC15" s="74"/>
      <c r="BD15" s="100">
        <v>1.6747942882275273E-4</v>
      </c>
      <c r="BE15" s="98">
        <v>1.8208138694468972</v>
      </c>
      <c r="BF15" s="74"/>
      <c r="BG15" s="47" t="s">
        <v>15</v>
      </c>
      <c r="BH15" s="48" t="s">
        <v>82</v>
      </c>
      <c r="CE15"/>
      <c r="CF15"/>
      <c r="CG15"/>
    </row>
    <row r="16" spans="1:85" ht="15" x14ac:dyDescent="0.25">
      <c r="A16" s="72" t="s">
        <v>20</v>
      </c>
      <c r="B16" s="43" t="s">
        <v>29</v>
      </c>
      <c r="C16" s="44" t="s">
        <v>3273</v>
      </c>
      <c r="D16" s="45">
        <f>ROUND(MID(Briza12!$C16,6,3)/Basis!$E$3,1)</f>
        <v>21.7</v>
      </c>
      <c r="E16" s="45">
        <f>ROUND(MID(Briza12!$C16,9,3)/Basis!$E$3,1)</f>
        <v>49.2</v>
      </c>
      <c r="F16" s="46" t="s">
        <v>51</v>
      </c>
      <c r="G16" s="45">
        <f>ROUND(14/Basis!$E$3,1)</f>
        <v>5.5</v>
      </c>
      <c r="H16" s="221">
        <f>(($AA16*U_H^4+$Z16*U_H^3+$Y16*U_H^2+$X16*U_H+$W16)*((((TaH-TrH)/LN((TaH-TlH)/(TrH-TlH)))/((75-65)/LN((75-20)/(65-20))))^1))*Basis!$E$2*$AA$4*Glycol</f>
        <v>16755.190614228592</v>
      </c>
      <c r="I16" s="123">
        <f>ROUND((($H16/Basis!$E$2)/((TaH-TrH)*1.163))*Basis!$E$5,IF(Basis!$E$1=1,0,IF(Basis!$E$1=2,2)))</f>
        <v>1.67</v>
      </c>
      <c r="J16" s="83">
        <f>ROUND(INDEX($AC16:$AG16,0,FanspeedH)*Basis!$E$4,1)</f>
        <v>274.89999999999998</v>
      </c>
      <c r="K16" s="85">
        <f>INDEX($AO16:$AS16,0,FanspeedH)</f>
        <v>28.8</v>
      </c>
      <c r="L16" s="84">
        <f>CHOOSE(Basis!$E$1,$AU16*(I16*3600/Basis!$E$5)^$AV16*Basis!$E$6/Basis!$E$9,$AU16*(I16/Basis!$E$5)^$AV16*Basis!$E$6/Basis!$E$9)</f>
        <v>3.7280769240660674</v>
      </c>
      <c r="M16" s="85">
        <f>INDEX($AI16:$AM16,0,FanspeedH)</f>
        <v>0</v>
      </c>
      <c r="N16" s="222">
        <f>(($BB16*U_C^4+$BA16*U_C^3+$AZ16*U_C^2+$AY16*U_C+$AX16)*((((TaC-TrC)/LN((TaC-TlC)/(TrC-TlC)))/((16-18)/LN((16-27)/(18-27))))^1))*Basis!$E$2*$AA$4*Glycol</f>
        <v>4113.838127572506</v>
      </c>
      <c r="O16" s="108">
        <f>(($N16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4642.6198760772004</v>
      </c>
      <c r="P16" s="123">
        <f>ROUND((($O16/Basis!$E$2)/((TrC-TaC)*1.163))*Basis!$E$5,IF(Basis!$E$1=1,0,IF(Basis!$E$1=2,2)))</f>
        <v>0.93</v>
      </c>
      <c r="Q16" s="83">
        <f>IF(N16=0,0,ROUND(INDEX($AC16:$AG16,0,FanspeedC)*Basis!$E$4,1))</f>
        <v>274.89999999999998</v>
      </c>
      <c r="R16" s="85">
        <f>IF(N16=0,0,INDEX($AO16:$AS16,0,FanspeedC))</f>
        <v>28.8</v>
      </c>
      <c r="S16" s="84">
        <f>CHOOSE(Basis!$E$1,$BD16*(P16*3600/Basis!$E$5)^$BE16*Basis!$E$6/Basis!$E$9,$BD16*(P16/Basis!$E$5)^$BE16*Basis!$E$6/Basis!$E$9)</f>
        <v>1.2906055268091559</v>
      </c>
      <c r="T16" s="85">
        <f>IF(N16=0,0,INDEX($AI16:$AM16,0,FanspeedC))</f>
        <v>0</v>
      </c>
      <c r="U16" s="109">
        <v>1</v>
      </c>
      <c r="V16" s="68"/>
      <c r="W16" s="217">
        <v>2743.7411285852236</v>
      </c>
      <c r="X16" s="217">
        <v>390.82080301438873</v>
      </c>
      <c r="Y16" s="217">
        <v>10.601704948047237</v>
      </c>
      <c r="Z16" s="217">
        <v>-0.88150849635886974</v>
      </c>
      <c r="AA16" s="217">
        <v>0</v>
      </c>
      <c r="AB16" s="68"/>
      <c r="AC16" s="69">
        <v>467</v>
      </c>
      <c r="AD16" s="69">
        <v>398</v>
      </c>
      <c r="AE16" s="69">
        <v>321</v>
      </c>
      <c r="AF16" s="69">
        <v>236</v>
      </c>
      <c r="AG16" s="69">
        <v>153</v>
      </c>
      <c r="AH16" s="68"/>
      <c r="AI16" s="70"/>
      <c r="AJ16" s="70"/>
      <c r="AK16" s="70"/>
      <c r="AL16" s="70"/>
      <c r="AM16" s="70"/>
      <c r="AN16" s="68"/>
      <c r="AO16" s="71">
        <v>28.8</v>
      </c>
      <c r="AP16" s="71">
        <v>18</v>
      </c>
      <c r="AQ16" s="71">
        <v>10</v>
      </c>
      <c r="AR16" s="71">
        <v>5.4</v>
      </c>
      <c r="AS16" s="71">
        <v>2.8</v>
      </c>
      <c r="AT16" s="68"/>
      <c r="AU16" s="99">
        <v>2.364386444169621E-4</v>
      </c>
      <c r="AV16" s="97">
        <v>1.8120794599034276</v>
      </c>
      <c r="AW16" s="68"/>
      <c r="AX16" s="109">
        <v>404.43855949026653</v>
      </c>
      <c r="AY16" s="109">
        <v>26.676957361613045</v>
      </c>
      <c r="AZ16" s="109">
        <v>4.6734617843004802</v>
      </c>
      <c r="BA16" s="109">
        <v>-0.26156927868117719</v>
      </c>
      <c r="BB16" s="109">
        <v>0</v>
      </c>
      <c r="BC16" s="68"/>
      <c r="BD16" s="99">
        <v>2.364386444169621E-4</v>
      </c>
      <c r="BE16" s="97">
        <v>1.8120794599034276</v>
      </c>
      <c r="BF16" s="68"/>
      <c r="BG16" s="49" t="s">
        <v>15</v>
      </c>
      <c r="BH16" s="50" t="s">
        <v>11</v>
      </c>
      <c r="CE16"/>
      <c r="CF16"/>
      <c r="CG16"/>
    </row>
    <row r="17" spans="1:85" ht="15" x14ac:dyDescent="0.25">
      <c r="A17" s="72" t="s">
        <v>20</v>
      </c>
      <c r="B17" s="43" t="s">
        <v>29</v>
      </c>
      <c r="C17" s="44" t="s">
        <v>3274</v>
      </c>
      <c r="D17" s="45">
        <f>ROUND(MID(Briza12!$C17,6,3)/Basis!$E$3,1)</f>
        <v>21.7</v>
      </c>
      <c r="E17" s="45">
        <f>ROUND(MID(Briza12!$C17,9,3)/Basis!$E$3,1)</f>
        <v>57.1</v>
      </c>
      <c r="F17" s="46" t="s">
        <v>51</v>
      </c>
      <c r="G17" s="45">
        <f>ROUND(14/Basis!$E$3,1)</f>
        <v>5.5</v>
      </c>
      <c r="H17" s="221">
        <f>(($AA17*U_H^4+$Z17*U_H^3+$Y17*U_H^2+$X17*U_H+$W17)*((((TaH-TrH)/LN((TaH-TlH)/(TrH-TlH)))/((75-65)/LN((75-20)/(65-20))))^1))*Basis!$E$2*$AA$4*Glycol</f>
        <v>20913.212836593244</v>
      </c>
      <c r="I17" s="123">
        <f>ROUND((($H17/Basis!$E$2)/((TaH-TrH)*1.163))*Basis!$E$5,IF(Basis!$E$1=1,0,IF(Basis!$E$1=2,2)))</f>
        <v>2.09</v>
      </c>
      <c r="J17" s="83">
        <f>ROUND(INDEX($AC17:$AG17,0,FanspeedH)*Basis!$E$4,1)</f>
        <v>312.5</v>
      </c>
      <c r="K17" s="85">
        <f>INDEX($AO17:$AS17,0,FanspeedH)</f>
        <v>28.8</v>
      </c>
      <c r="L17" s="84">
        <f>CHOOSE(Basis!$E$1,$AU17*(I17*3600/Basis!$E$5)^$AV17*Basis!$E$6/Basis!$E$9,$AU17*(I17/Basis!$E$5)^$AV17*Basis!$E$6/Basis!$E$9)</f>
        <v>6.5674531346775069</v>
      </c>
      <c r="M17" s="85">
        <f>INDEX($AI17:$AM17,0,FanspeedH)</f>
        <v>0</v>
      </c>
      <c r="N17" s="222">
        <f>(($BB17*U_C^4+$BA17*U_C^3+$AZ17*U_C^2+$AY17*U_C+$AX17)*((((TaC-TrC)/LN((TaC-TlC)/(TrC-TlC)))/((16-18)/LN((16-27)/(18-27))))^1))*Basis!$E$2*$AA$4*Glycol</f>
        <v>5138.0930677919341</v>
      </c>
      <c r="O17" s="108">
        <f>(($N17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5798.5298064562421</v>
      </c>
      <c r="P17" s="123">
        <f>ROUND((($O17/Basis!$E$2)/((TrC-TaC)*1.163))*Basis!$E$5,IF(Basis!$E$1=1,0,IF(Basis!$E$1=2,2)))</f>
        <v>1.1599999999999999</v>
      </c>
      <c r="Q17" s="83">
        <f>IF(N17=0,0,ROUND(INDEX($AC17:$AG17,0,FanspeedC)*Basis!$E$4,1))</f>
        <v>312.5</v>
      </c>
      <c r="R17" s="85">
        <f>IF(N17=0,0,INDEX($AO17:$AS17,0,FanspeedC))</f>
        <v>28.8</v>
      </c>
      <c r="S17" s="84">
        <f>CHOOSE(Basis!$E$1,$BD17*(P17*3600/Basis!$E$5)^$BE17*Basis!$E$6/Basis!$E$9,$BD17*(P17/Basis!$E$5)^$BE17*Basis!$E$6/Basis!$E$9)</f>
        <v>2.2553317649314284</v>
      </c>
      <c r="T17" s="85">
        <f>IF(N17=0,0,INDEX($AI17:$AM17,0,FanspeedC))</f>
        <v>0</v>
      </c>
      <c r="U17" s="110">
        <v>1</v>
      </c>
      <c r="V17" s="74"/>
      <c r="W17" s="218">
        <v>3621.1755888499029</v>
      </c>
      <c r="X17" s="218">
        <v>398.10102592026755</v>
      </c>
      <c r="Y17" s="218">
        <v>26.268050048769958</v>
      </c>
      <c r="Z17" s="218">
        <v>-1.7032731680051472</v>
      </c>
      <c r="AA17" s="218">
        <v>0</v>
      </c>
      <c r="AB17" s="74"/>
      <c r="AC17" s="75">
        <v>531</v>
      </c>
      <c r="AD17" s="75">
        <v>455</v>
      </c>
      <c r="AE17" s="75">
        <v>360</v>
      </c>
      <c r="AF17" s="75">
        <v>270</v>
      </c>
      <c r="AG17" s="75">
        <v>182</v>
      </c>
      <c r="AH17" s="74"/>
      <c r="AI17" s="76"/>
      <c r="AJ17" s="76"/>
      <c r="AK17" s="76"/>
      <c r="AL17" s="76"/>
      <c r="AM17" s="76"/>
      <c r="AN17" s="74"/>
      <c r="AO17" s="77">
        <v>28.8</v>
      </c>
      <c r="AP17" s="77">
        <v>18</v>
      </c>
      <c r="AQ17" s="77">
        <v>10</v>
      </c>
      <c r="AR17" s="77">
        <v>5.5</v>
      </c>
      <c r="AS17" s="77">
        <v>2.8</v>
      </c>
      <c r="AT17" s="74"/>
      <c r="AU17" s="100">
        <v>2.7169905751214276E-4</v>
      </c>
      <c r="AV17" s="98">
        <v>1.8154391549649329</v>
      </c>
      <c r="AW17" s="74"/>
      <c r="AX17" s="110">
        <v>500.42990714727654</v>
      </c>
      <c r="AY17" s="110">
        <v>34.97111415527813</v>
      </c>
      <c r="AZ17" s="110">
        <v>5.5712720658712023</v>
      </c>
      <c r="BA17" s="110">
        <v>-0.31193329602618908</v>
      </c>
      <c r="BB17" s="110">
        <v>0</v>
      </c>
      <c r="BC17" s="74"/>
      <c r="BD17" s="100">
        <v>2.7169905751214276E-4</v>
      </c>
      <c r="BE17" s="98">
        <v>1.8154391549649329</v>
      </c>
      <c r="BF17" s="74"/>
      <c r="BG17" s="47" t="s">
        <v>15</v>
      </c>
      <c r="BH17" s="48" t="s">
        <v>13</v>
      </c>
      <c r="CE17"/>
      <c r="CF17"/>
      <c r="CG17"/>
    </row>
    <row r="18" spans="1:85" ht="15" x14ac:dyDescent="0.25">
      <c r="A18" s="72" t="s">
        <v>20</v>
      </c>
      <c r="B18" s="43" t="s">
        <v>29</v>
      </c>
      <c r="C18" s="44" t="s">
        <v>3275</v>
      </c>
      <c r="D18" s="45">
        <f>ROUND(MID(Briza12!$C18,6,3)/Basis!$E$3,1)</f>
        <v>16.100000000000001</v>
      </c>
      <c r="E18" s="45">
        <f>ROUND(MID(Briza12!$C18,9,3)/Basis!$E$3,1)</f>
        <v>29.5</v>
      </c>
      <c r="F18" s="46" t="s">
        <v>50</v>
      </c>
      <c r="G18" s="45">
        <f>ROUND(14/Basis!$E$3,1)</f>
        <v>5.5</v>
      </c>
      <c r="H18" s="221">
        <f>(($AA18*U_H^4+$Z18*U_H^3+$Y18*U_H^2+$X18*U_H+$W18)*((((TaH-TrH)/LN((TaH-TlH)/(TrH-TlH)))/((75-65)/LN((75-20)/(65-20))))^1))*Basis!$E$2*$AA$4*Glycol</f>
        <v>3277.2673929892271</v>
      </c>
      <c r="I18" s="123">
        <f>ROUND((($H18/Basis!$E$2)/((TaH-TrH)*1.163))*Basis!$E$5,IF(Basis!$E$1=1,0,IF(Basis!$E$1=2,2)))</f>
        <v>0.33</v>
      </c>
      <c r="J18" s="83">
        <f>ROUND(INDEX($AC18:$AG18,0,FanspeedH)*Basis!$E$4,1)</f>
        <v>84.2</v>
      </c>
      <c r="K18" s="85">
        <f>INDEX($AO18:$AS18,0,FanspeedH)</f>
        <v>13.7</v>
      </c>
      <c r="L18" s="84">
        <f>CHOOSE(Basis!$E$1,$AU18*(I18*3600/Basis!$E$5)^$AV18*Basis!$E$6/Basis!$E$9,$AU18*(I18/Basis!$E$5)^$AV18*Basis!$E$6/Basis!$E$9)</f>
        <v>5.7617971739233935E-2</v>
      </c>
      <c r="M18" s="85">
        <f>INDEX($AI18:$AM18,0,FanspeedH)</f>
        <v>0</v>
      </c>
      <c r="N18" s="222">
        <f>(($BB18*U_C^4+$BA18*U_C^3+$AZ18*U_C^2+$AY18*U_C+$AX18)*((((TaC-TrC)/LN((TaC-TlC)/(TrC-TlC)))/((16-18)/LN((16-27)/(18-27))))^1))*Basis!$E$2*$AA$4*Glycol</f>
        <v>801.16866566794272</v>
      </c>
      <c r="O18" s="108">
        <f>(($N18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904.14874284687903</v>
      </c>
      <c r="P18" s="123">
        <f>ROUND((($O18/Basis!$E$2)/((TrC-TaC)*1.163))*Basis!$E$5,IF(Basis!$E$1=1,0,IF(Basis!$E$1=2,2)))</f>
        <v>0.18</v>
      </c>
      <c r="Q18" s="83">
        <f>IF(N18=0,0,ROUND(INDEX($AC18:$AG18,0,FanspeedC)*Basis!$E$4,1))</f>
        <v>84.2</v>
      </c>
      <c r="R18" s="85">
        <f>IF(N18=0,0,INDEX($AO18:$AS18,0,FanspeedC))</f>
        <v>13.7</v>
      </c>
      <c r="S18" s="84">
        <f>CHOOSE(Basis!$E$1,$BD18*(P18*3600/Basis!$E$5)^$BE18*Basis!$E$6/Basis!$E$9,$BD18*(P18/Basis!$E$5)^$BE18*Basis!$E$6/Basis!$E$9)</f>
        <v>1.8936081946689134E-2</v>
      </c>
      <c r="T18" s="85">
        <f>IF(N18=0,0,INDEX($AI18:$AM18,0,FanspeedC))</f>
        <v>0</v>
      </c>
      <c r="U18" s="109">
        <v>1</v>
      </c>
      <c r="V18" s="68"/>
      <c r="W18" s="217">
        <v>309.52771297860744</v>
      </c>
      <c r="X18" s="217">
        <v>305.78049129814406</v>
      </c>
      <c r="Y18" s="217">
        <v>-70.674841607023481</v>
      </c>
      <c r="Z18" s="217">
        <v>8.050935653010697</v>
      </c>
      <c r="AA18" s="217">
        <v>-0.30147360997762745</v>
      </c>
      <c r="AB18" s="68"/>
      <c r="AC18" s="69">
        <v>143</v>
      </c>
      <c r="AD18" s="69">
        <v>116</v>
      </c>
      <c r="AE18" s="69">
        <v>86</v>
      </c>
      <c r="AF18" s="69">
        <v>61</v>
      </c>
      <c r="AG18" s="69">
        <v>29</v>
      </c>
      <c r="AH18" s="68"/>
      <c r="AI18" s="70"/>
      <c r="AJ18" s="70"/>
      <c r="AK18" s="70"/>
      <c r="AL18" s="70"/>
      <c r="AM18" s="70"/>
      <c r="AN18" s="68"/>
      <c r="AO18" s="71">
        <v>13.7</v>
      </c>
      <c r="AP18" s="71">
        <v>8</v>
      </c>
      <c r="AQ18" s="71">
        <v>4.8</v>
      </c>
      <c r="AR18" s="71">
        <v>3</v>
      </c>
      <c r="AS18" s="71">
        <v>1.8</v>
      </c>
      <c r="AT18" s="68"/>
      <c r="AU18" s="101">
        <v>6.2276819636539519E-5</v>
      </c>
      <c r="AV18" s="103">
        <v>1.8358350093844202</v>
      </c>
      <c r="AW18" s="68"/>
      <c r="AX18" s="109">
        <v>77.128705162163683</v>
      </c>
      <c r="AY18" s="109">
        <v>7.2063340139581697</v>
      </c>
      <c r="AZ18" s="109">
        <v>0.21600510650865656</v>
      </c>
      <c r="BA18" s="109">
        <v>0</v>
      </c>
      <c r="BB18" s="109">
        <v>0</v>
      </c>
      <c r="BC18" s="68"/>
      <c r="BD18" s="101">
        <v>6.2276819636539519E-5</v>
      </c>
      <c r="BE18" s="103">
        <v>1.8358350093844202</v>
      </c>
      <c r="BF18" s="68"/>
      <c r="BG18" s="49" t="s">
        <v>15</v>
      </c>
      <c r="BH18" s="50" t="s">
        <v>77</v>
      </c>
      <c r="CE18"/>
      <c r="CF18"/>
      <c r="CG18"/>
    </row>
    <row r="19" spans="1:85" ht="15" x14ac:dyDescent="0.25">
      <c r="A19" s="72" t="s">
        <v>20</v>
      </c>
      <c r="B19" s="43" t="s">
        <v>29</v>
      </c>
      <c r="C19" s="44" t="s">
        <v>3276</v>
      </c>
      <c r="D19" s="45">
        <f>ROUND(MID(Briza12!$C19,6,3)/Basis!$E$3,1)</f>
        <v>16.100000000000001</v>
      </c>
      <c r="E19" s="45">
        <f>ROUND(MID(Briza12!$C19,9,3)/Basis!$E$3,1)</f>
        <v>37.4</v>
      </c>
      <c r="F19" s="46" t="s">
        <v>50</v>
      </c>
      <c r="G19" s="45">
        <f>ROUND(14/Basis!$E$3,1)</f>
        <v>5.5</v>
      </c>
      <c r="H19" s="221">
        <f>(($AA19*U_H^4+$Z19*U_H^3+$Y19*U_H^2+$X19*U_H+$W19)*((((TaH-TrH)/LN((TaH-TlH)/(TrH-TlH)))/((75-65)/LN((75-20)/(65-20))))^1))*Basis!$E$2*$AA$4*Glycol</f>
        <v>5395.7651737105243</v>
      </c>
      <c r="I19" s="123">
        <f>ROUND((($H19/Basis!$E$2)/((TaH-TrH)*1.163))*Basis!$E$5,IF(Basis!$E$1=1,0,IF(Basis!$E$1=2,2)))</f>
        <v>0.54</v>
      </c>
      <c r="J19" s="83">
        <f>ROUND(INDEX($AC19:$AG19,0,FanspeedH)*Basis!$E$4,1)</f>
        <v>134.80000000000001</v>
      </c>
      <c r="K19" s="85">
        <f>INDEX($AO19:$AS19,0,FanspeedH)</f>
        <v>14.4</v>
      </c>
      <c r="L19" s="84">
        <f>CHOOSE(Basis!$E$1,$AU19*(I19*3600/Basis!$E$5)^$AV19*Basis!$E$6/Basis!$E$9,$AU19*(I19/Basis!$E$5)^$AV19*Basis!$E$6/Basis!$E$9)</f>
        <v>0.18406401704837408</v>
      </c>
      <c r="M19" s="85">
        <f>INDEX($AI19:$AM19,0,FanspeedH)</f>
        <v>0</v>
      </c>
      <c r="N19" s="222">
        <f>(($BB19*U_C^4+$BA19*U_C^3+$AZ19*U_C^2+$AY19*U_C+$AX19)*((((TaC-TrC)/LN((TaC-TlC)/(TrC-TlC)))/((16-18)/LN((16-27)/(18-27))))^1))*Basis!$E$2*$AA$4*Glycol</f>
        <v>1321.0453338065433</v>
      </c>
      <c r="O19" s="108">
        <f>(($N19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1490.8489672510095</v>
      </c>
      <c r="P19" s="123">
        <f>ROUND((($O19/Basis!$E$2)/((TrC-TaC)*1.163))*Basis!$E$5,IF(Basis!$E$1=1,0,IF(Basis!$E$1=2,2)))</f>
        <v>0.3</v>
      </c>
      <c r="Q19" s="83">
        <f>IF(N19=0,0,ROUND(INDEX($AC19:$AG19,0,FanspeedC)*Basis!$E$4,1))</f>
        <v>134.80000000000001</v>
      </c>
      <c r="R19" s="85">
        <f>IF(N19=0,0,INDEX($AO19:$AS19,0,FanspeedC))</f>
        <v>14.4</v>
      </c>
      <c r="S19" s="84">
        <f>CHOOSE(Basis!$E$1,$BD19*(P19*3600/Basis!$E$5)^$BE19*Basis!$E$6/Basis!$E$9,$BD19*(P19/Basis!$E$5)^$BE19*Basis!$E$6/Basis!$E$9)</f>
        <v>6.3342892517171359E-2</v>
      </c>
      <c r="T19" s="85">
        <f>IF(N19=0,0,INDEX($AI19:$AM19,0,FanspeedC))</f>
        <v>0</v>
      </c>
      <c r="U19" s="110">
        <v>1</v>
      </c>
      <c r="V19" s="74"/>
      <c r="W19" s="218">
        <v>1067.2269380900811</v>
      </c>
      <c r="X19" s="218">
        <v>80.732145519360756</v>
      </c>
      <c r="Y19" s="218">
        <v>-6.4342749126444518</v>
      </c>
      <c r="Z19" s="218">
        <v>0.96857796417835151</v>
      </c>
      <c r="AA19" s="218">
        <v>0</v>
      </c>
      <c r="AB19" s="74"/>
      <c r="AC19" s="75">
        <v>229</v>
      </c>
      <c r="AD19" s="75">
        <v>194</v>
      </c>
      <c r="AE19" s="75">
        <v>144</v>
      </c>
      <c r="AF19" s="75">
        <v>92</v>
      </c>
      <c r="AG19" s="75">
        <v>52</v>
      </c>
      <c r="AH19" s="74"/>
      <c r="AI19" s="76"/>
      <c r="AJ19" s="76"/>
      <c r="AK19" s="76"/>
      <c r="AL19" s="76"/>
      <c r="AM19" s="76"/>
      <c r="AN19" s="74"/>
      <c r="AO19" s="77">
        <v>14.4</v>
      </c>
      <c r="AP19" s="77">
        <v>8.4</v>
      </c>
      <c r="AQ19" s="77">
        <v>5.7</v>
      </c>
      <c r="AR19" s="77">
        <v>3.4</v>
      </c>
      <c r="AS19" s="77">
        <v>2</v>
      </c>
      <c r="AT19" s="74"/>
      <c r="AU19" s="102">
        <v>8.9125876915269658E-5</v>
      </c>
      <c r="AV19" s="104">
        <v>1.8148096460023067</v>
      </c>
      <c r="AW19" s="74"/>
      <c r="AX19" s="110">
        <v>110.71690101532077</v>
      </c>
      <c r="AY19" s="110">
        <v>21.493052785950599</v>
      </c>
      <c r="AZ19" s="110">
        <v>-1.8007451821026781</v>
      </c>
      <c r="BA19" s="110">
        <v>0.13604657691485619</v>
      </c>
      <c r="BB19" s="110">
        <v>0</v>
      </c>
      <c r="BC19" s="74"/>
      <c r="BD19" s="102">
        <v>8.9125876915269658E-5</v>
      </c>
      <c r="BE19" s="104">
        <v>1.8148096460023067</v>
      </c>
      <c r="BF19" s="74"/>
      <c r="BG19" s="47" t="s">
        <v>15</v>
      </c>
      <c r="BH19" s="48" t="s">
        <v>79</v>
      </c>
      <c r="CE19"/>
      <c r="CF19"/>
      <c r="CG19"/>
    </row>
    <row r="20" spans="1:85" ht="15" x14ac:dyDescent="0.25">
      <c r="A20" s="72" t="s">
        <v>20</v>
      </c>
      <c r="B20" s="43" t="s">
        <v>29</v>
      </c>
      <c r="C20" s="44" t="s">
        <v>3277</v>
      </c>
      <c r="D20" s="45">
        <f>ROUND(MID(Briza12!$C20,6,3)/Basis!$E$3,1)</f>
        <v>16.100000000000001</v>
      </c>
      <c r="E20" s="45">
        <f>ROUND(MID(Briza12!$C20,9,3)/Basis!$E$3,1)</f>
        <v>49.2</v>
      </c>
      <c r="F20" s="46" t="s">
        <v>50</v>
      </c>
      <c r="G20" s="45">
        <f>ROUND(14/Basis!$E$3,1)</f>
        <v>5.5</v>
      </c>
      <c r="H20" s="221">
        <f>(($AA20*U_H^4+$Z20*U_H^3+$Y20*U_H^2+$X20*U_H+$W20)*((((TaH-TrH)/LN((TaH-TlH)/(TrH-TlH)))/((75-65)/LN((75-20)/(65-20))))^1))*Basis!$E$2*$AA$4*Glycol</f>
        <v>8566.9283854618025</v>
      </c>
      <c r="I20" s="123">
        <f>ROUND((($H20/Basis!$E$2)/((TaH-TrH)*1.163))*Basis!$E$5,IF(Basis!$E$1=1,0,IF(Basis!$E$1=2,2)))</f>
        <v>0.86</v>
      </c>
      <c r="J20" s="83">
        <f>ROUND(INDEX($AC20:$AG20,0,FanspeedH)*Basis!$E$4,1)</f>
        <v>214.2</v>
      </c>
      <c r="K20" s="85">
        <f>INDEX($AO20:$AS20,0,FanspeedH)</f>
        <v>20.9</v>
      </c>
      <c r="L20" s="84">
        <f>CHOOSE(Basis!$E$1,$AU20*(I20*3600/Basis!$E$5)^$AV20*Basis!$E$6/Basis!$E$9,$AU20*(I20/Basis!$E$5)^$AV20*Basis!$E$6/Basis!$E$9)</f>
        <v>0.57826780409057665</v>
      </c>
      <c r="M20" s="85">
        <f>INDEX($AI20:$AM20,0,FanspeedH)</f>
        <v>0</v>
      </c>
      <c r="N20" s="222">
        <f>(($BB20*U_C^4+$BA20*U_C^3+$AZ20*U_C^2+$AY20*U_C+$AX20)*((((TaC-TrC)/LN((TaC-TlC)/(TrC-TlC)))/((16-18)/LN((16-27)/(18-27))))^1))*Basis!$E$2*$AA$4*Glycol</f>
        <v>2097.0810301497481</v>
      </c>
      <c r="O20" s="108">
        <f>(($N20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2366.6342161262096</v>
      </c>
      <c r="P20" s="123">
        <f>ROUND((($O20/Basis!$E$2)/((TrC-TaC)*1.163))*Basis!$E$5,IF(Basis!$E$1=1,0,IF(Basis!$E$1=2,2)))</f>
        <v>0.47</v>
      </c>
      <c r="Q20" s="83">
        <f>IF(N20=0,0,ROUND(INDEX($AC20:$AG20,0,FanspeedC)*Basis!$E$4,1))</f>
        <v>214.2</v>
      </c>
      <c r="R20" s="85">
        <f>IF(N20=0,0,INDEX($AO20:$AS20,0,FanspeedC))</f>
        <v>20.9</v>
      </c>
      <c r="S20" s="84">
        <f>CHOOSE(Basis!$E$1,$BD20*(P20*3600/Basis!$E$5)^$BE20*Basis!$E$6/Basis!$E$9,$BD20*(P20/Basis!$E$5)^$BE20*Basis!$E$6/Basis!$E$9)</f>
        <v>0.19319093126193956</v>
      </c>
      <c r="T20" s="85">
        <f>IF(N20=0,0,INDEX($AI20:$AM20,0,FanspeedC))</f>
        <v>0</v>
      </c>
      <c r="U20" s="109">
        <v>1</v>
      </c>
      <c r="V20" s="68"/>
      <c r="W20" s="217">
        <v>1703.0145175312946</v>
      </c>
      <c r="X20" s="217">
        <v>114.94135317144828</v>
      </c>
      <c r="Y20" s="217">
        <v>-4.2358848975583312</v>
      </c>
      <c r="Z20" s="217">
        <v>1.0636516905207274</v>
      </c>
      <c r="AA20" s="217">
        <v>0</v>
      </c>
      <c r="AB20" s="68"/>
      <c r="AC20" s="69">
        <v>364</v>
      </c>
      <c r="AD20" s="69">
        <v>278</v>
      </c>
      <c r="AE20" s="69">
        <v>220</v>
      </c>
      <c r="AF20" s="69">
        <v>149</v>
      </c>
      <c r="AG20" s="69">
        <v>73</v>
      </c>
      <c r="AH20" s="68"/>
      <c r="AI20" s="70"/>
      <c r="AJ20" s="70"/>
      <c r="AK20" s="70"/>
      <c r="AL20" s="70"/>
      <c r="AM20" s="70"/>
      <c r="AN20" s="68"/>
      <c r="AO20" s="71">
        <v>20.9</v>
      </c>
      <c r="AP20" s="71">
        <v>12.6</v>
      </c>
      <c r="AQ20" s="71">
        <v>7.4</v>
      </c>
      <c r="AR20" s="71">
        <v>4.0999999999999996</v>
      </c>
      <c r="AS20" s="71">
        <v>2.2999999999999998</v>
      </c>
      <c r="AT20" s="68"/>
      <c r="AU20" s="101">
        <v>1.2048931502827451E-4</v>
      </c>
      <c r="AV20" s="103">
        <v>1.8145625016160318</v>
      </c>
      <c r="AW20" s="68"/>
      <c r="AX20" s="109">
        <v>199.95460885224878</v>
      </c>
      <c r="AY20" s="109">
        <v>22.25052488649974</v>
      </c>
      <c r="AZ20" s="109">
        <v>-1.4664081399657958</v>
      </c>
      <c r="BA20" s="109">
        <v>0.17123517161163615</v>
      </c>
      <c r="BB20" s="109">
        <v>0</v>
      </c>
      <c r="BC20" s="68"/>
      <c r="BD20" s="101">
        <v>1.2048931502827451E-4</v>
      </c>
      <c r="BE20" s="103">
        <v>1.8145625016160318</v>
      </c>
      <c r="BF20" s="68"/>
      <c r="BG20" s="49" t="s">
        <v>15</v>
      </c>
      <c r="BH20" s="50" t="s">
        <v>8</v>
      </c>
      <c r="CE20"/>
      <c r="CF20"/>
      <c r="CG20"/>
    </row>
    <row r="21" spans="1:85" ht="15" x14ac:dyDescent="0.25">
      <c r="A21" s="72" t="s">
        <v>20</v>
      </c>
      <c r="B21" s="43" t="s">
        <v>29</v>
      </c>
      <c r="C21" s="44" t="s">
        <v>3278</v>
      </c>
      <c r="D21" s="45">
        <f>ROUND(MID(Briza12!$C21,6,3)/Basis!$E$3,1)</f>
        <v>16.100000000000001</v>
      </c>
      <c r="E21" s="45">
        <f>ROUND(MID(Briza12!$C21,9,3)/Basis!$E$3,1)</f>
        <v>57.1</v>
      </c>
      <c r="F21" s="46" t="s">
        <v>50</v>
      </c>
      <c r="G21" s="45">
        <f>ROUND(14/Basis!$E$3,1)</f>
        <v>5.5</v>
      </c>
      <c r="H21" s="221">
        <f>(($AA21*U_H^4+$Z21*U_H^3+$Y21*U_H^2+$X21*U_H+$W21)*((((TaH-TrH)/LN((TaH-TlH)/(TrH-TlH)))/((75-65)/LN((75-20)/(65-20))))^1))*Basis!$E$2*$AA$4*Glycol</f>
        <v>10683.214468018399</v>
      </c>
      <c r="I21" s="123">
        <f>ROUND((($H21/Basis!$E$2)/((TaH-TrH)*1.163))*Basis!$E$5,IF(Basis!$E$1=1,0,IF(Basis!$E$1=2,2)))</f>
        <v>1.07</v>
      </c>
      <c r="J21" s="83">
        <f>ROUND(INDEX($AC21:$AG21,0,FanspeedH)*Basis!$E$4,1)</f>
        <v>224.8</v>
      </c>
      <c r="K21" s="85">
        <f>INDEX($AO21:$AS21,0,FanspeedH)</f>
        <v>28.8</v>
      </c>
      <c r="L21" s="84">
        <f>CHOOSE(Basis!$E$1,$AU21*(I21*3600/Basis!$E$5)^$AV21*Basis!$E$6/Basis!$E$9,$AU21*(I21/Basis!$E$5)^$AV21*Basis!$E$6/Basis!$E$9)</f>
        <v>1.0006507010001049</v>
      </c>
      <c r="M21" s="85">
        <f>INDEX($AI21:$AM21,0,FanspeedH)</f>
        <v>0</v>
      </c>
      <c r="N21" s="222">
        <f>(($BB21*U_C^4+$BA21*U_C^3+$AZ21*U_C^2+$AY21*U_C+$AX21)*((((TaC-TrC)/LN((TaC-TlC)/(TrC-TlC)))/((16-18)/LN((16-27)/(18-27))))^1))*Basis!$E$2*$AA$4*Glycol</f>
        <v>2617.3157508311101</v>
      </c>
      <c r="O21" s="108">
        <f>(($N21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2953.7385161891661</v>
      </c>
      <c r="P21" s="123">
        <f>ROUND((($O21/Basis!$E$2)/((TrC-TaC)*1.163))*Basis!$E$5,IF(Basis!$E$1=1,0,IF(Basis!$E$1=2,2)))</f>
        <v>0.59</v>
      </c>
      <c r="Q21" s="83">
        <f>IF(N21=0,0,ROUND(INDEX($AC21:$AG21,0,FanspeedC)*Basis!$E$4,1))</f>
        <v>224.8</v>
      </c>
      <c r="R21" s="85">
        <f>IF(N21=0,0,INDEX($AO21:$AS21,0,FanspeedC))</f>
        <v>28.8</v>
      </c>
      <c r="S21" s="84">
        <f>CHOOSE(Basis!$E$1,$BD21*(P21*3600/Basis!$E$5)^$BE21*Basis!$E$6/Basis!$E$9,$BD21*(P21/Basis!$E$5)^$BE21*Basis!$E$6/Basis!$E$9)</f>
        <v>0.33677709571419023</v>
      </c>
      <c r="T21" s="85">
        <f>IF(N21=0,0,INDEX($AI21:$AM21,0,FanspeedC))</f>
        <v>0</v>
      </c>
      <c r="U21" s="110">
        <v>1</v>
      </c>
      <c r="V21" s="74"/>
      <c r="W21" s="218">
        <v>2025.6470693484523</v>
      </c>
      <c r="X21" s="218">
        <v>191.91978998142477</v>
      </c>
      <c r="Y21" s="218">
        <v>-10.163656045029517</v>
      </c>
      <c r="Z21" s="218">
        <v>1.4267610870824441</v>
      </c>
      <c r="AA21" s="218">
        <v>0</v>
      </c>
      <c r="AB21" s="74"/>
      <c r="AC21" s="75">
        <v>382</v>
      </c>
      <c r="AD21" s="75">
        <v>289</v>
      </c>
      <c r="AE21" s="75">
        <v>227</v>
      </c>
      <c r="AF21" s="75">
        <v>158</v>
      </c>
      <c r="AG21" s="75">
        <v>89</v>
      </c>
      <c r="AH21" s="74"/>
      <c r="AI21" s="76"/>
      <c r="AJ21" s="76"/>
      <c r="AK21" s="76"/>
      <c r="AL21" s="76"/>
      <c r="AM21" s="76"/>
      <c r="AN21" s="74"/>
      <c r="AO21" s="77">
        <v>28.8</v>
      </c>
      <c r="AP21" s="77">
        <v>17</v>
      </c>
      <c r="AQ21" s="77">
        <v>9</v>
      </c>
      <c r="AR21" s="77">
        <v>4.5</v>
      </c>
      <c r="AS21" s="77">
        <v>2.5</v>
      </c>
      <c r="AT21" s="74"/>
      <c r="AU21" s="102">
        <v>1.2932915211001514E-4</v>
      </c>
      <c r="AV21" s="104">
        <v>1.829330158620641</v>
      </c>
      <c r="AW21" s="74"/>
      <c r="AX21" s="110">
        <v>228.6064063053341</v>
      </c>
      <c r="AY21" s="110">
        <v>34.907583473887243</v>
      </c>
      <c r="AZ21" s="110">
        <v>-2.3124323057321829</v>
      </c>
      <c r="BA21" s="110">
        <v>0.21151846586988798</v>
      </c>
      <c r="BB21" s="110">
        <v>0</v>
      </c>
      <c r="BC21" s="74"/>
      <c r="BD21" s="102">
        <v>1.2932915211001514E-4</v>
      </c>
      <c r="BE21" s="104">
        <v>1.829330158620641</v>
      </c>
      <c r="BF21" s="74"/>
      <c r="BG21" s="47" t="s">
        <v>15</v>
      </c>
      <c r="BH21" s="48" t="s">
        <v>10</v>
      </c>
      <c r="CE21"/>
      <c r="CF21"/>
      <c r="CG21"/>
    </row>
    <row r="22" spans="1:85" ht="15" x14ac:dyDescent="0.25">
      <c r="A22" s="72" t="s">
        <v>20</v>
      </c>
      <c r="B22" s="43" t="s">
        <v>29</v>
      </c>
      <c r="C22" s="44" t="s">
        <v>3279</v>
      </c>
      <c r="D22" s="45">
        <f>ROUND(MID(Briza12!$C22,6,3)/Basis!$E$3,1)</f>
        <v>21.7</v>
      </c>
      <c r="E22" s="45">
        <f>ROUND(MID(Briza12!$C22,9,3)/Basis!$E$3,1)</f>
        <v>29.5</v>
      </c>
      <c r="F22" s="46" t="s">
        <v>50</v>
      </c>
      <c r="G22" s="45">
        <f>ROUND(14/Basis!$E$3,1)</f>
        <v>5.5</v>
      </c>
      <c r="H22" s="221">
        <f>(($AA22*U_H^4+$Z22*U_H^3+$Y22*U_H^2+$X22*U_H+$W22)*((((TaH-TrH)/LN((TaH-TlH)/(TrH-TlH)))/((75-65)/LN((75-20)/(65-20))))^1))*Basis!$E$2*$AA$4*Glycol</f>
        <v>2703.2655048229167</v>
      </c>
      <c r="I22" s="123">
        <f>ROUND((($H22/Basis!$E$2)/((TaH-TrH)*1.163))*Basis!$E$5,IF(Basis!$E$1=1,0,IF(Basis!$E$1=2,2)))</f>
        <v>0.27</v>
      </c>
      <c r="J22" s="83">
        <f>ROUND(INDEX($AC22:$AG22,0,FanspeedH)*Basis!$E$4,1)</f>
        <v>100.6</v>
      </c>
      <c r="K22" s="85">
        <f>INDEX($AO22:$AS22,0,FanspeedH)</f>
        <v>10.3</v>
      </c>
      <c r="L22" s="84">
        <f>CHOOSE(Basis!$E$1,$AU22*(I22*3600/Basis!$E$5)^$AV22*Basis!$E$6/Basis!$E$9,$AU22*(I22/Basis!$E$5)^$AV22*Basis!$E$6/Basis!$E$9)</f>
        <v>7.7501471813689563E-2</v>
      </c>
      <c r="M22" s="85">
        <f>INDEX($AI22:$AM22,0,FanspeedH)</f>
        <v>0</v>
      </c>
      <c r="N22" s="222">
        <f>(($BB22*U_C^4+$BA22*U_C^3+$AZ22*U_C^2+$AY22*U_C+$AX22)*((((TaC-TrC)/LN((TaC-TlC)/(TrC-TlC)))/((16-18)/LN((16-27)/(18-27))))^1))*Basis!$E$2*$AA$4*Glycol</f>
        <v>1168.3015326987493</v>
      </c>
      <c r="O22" s="108">
        <f>(($N22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1318.4718865346442</v>
      </c>
      <c r="P22" s="123">
        <f>ROUND((($O22/Basis!$E$2)/((TrC-TaC)*1.163))*Basis!$E$5,IF(Basis!$E$1=1,0,IF(Basis!$E$1=2,2)))</f>
        <v>0.26</v>
      </c>
      <c r="Q22" s="83">
        <f>IF(N22=0,0,ROUND(INDEX($AC22:$AG22,0,FanspeedC)*Basis!$E$4,1))</f>
        <v>100.6</v>
      </c>
      <c r="R22" s="85">
        <f>IF(N22=0,0,INDEX($AO22:$AS22,0,FanspeedC))</f>
        <v>10.3</v>
      </c>
      <c r="S22" s="84">
        <f>CHOOSE(Basis!$E$1,$BD22*(P22*3600/Basis!$E$5)^$BE22*Basis!$E$6/Basis!$E$9,$BD22*(P22/Basis!$E$5)^$BE22*Basis!$E$6/Basis!$E$9)</f>
        <v>7.2374041860212818E-2</v>
      </c>
      <c r="T22" s="85">
        <f>IF(N22=0,0,INDEX($AI22:$AM22,0,FanspeedC))</f>
        <v>0</v>
      </c>
      <c r="U22" s="109">
        <v>1</v>
      </c>
      <c r="V22" s="68"/>
      <c r="W22" s="217">
        <v>361.3522797245796</v>
      </c>
      <c r="X22" s="217">
        <v>203.12988403023203</v>
      </c>
      <c r="Y22" s="217">
        <v>-50.901906972048394</v>
      </c>
      <c r="Z22" s="217">
        <v>6.2288044399788918</v>
      </c>
      <c r="AA22" s="217">
        <v>-0.24292209682737784</v>
      </c>
      <c r="AB22" s="68"/>
      <c r="AC22" s="69">
        <v>171</v>
      </c>
      <c r="AD22" s="69">
        <v>137</v>
      </c>
      <c r="AE22" s="69">
        <v>107</v>
      </c>
      <c r="AF22" s="69">
        <v>67</v>
      </c>
      <c r="AG22" s="69">
        <v>27</v>
      </c>
      <c r="AH22" s="68"/>
      <c r="AI22" s="70"/>
      <c r="AJ22" s="70"/>
      <c r="AK22" s="70"/>
      <c r="AL22" s="70"/>
      <c r="AM22" s="70"/>
      <c r="AN22" s="68"/>
      <c r="AO22" s="71">
        <v>10.3</v>
      </c>
      <c r="AP22" s="71">
        <v>6.3</v>
      </c>
      <c r="AQ22" s="71">
        <v>3.6</v>
      </c>
      <c r="AR22" s="71">
        <v>2.2000000000000002</v>
      </c>
      <c r="AS22" s="71">
        <v>1.6</v>
      </c>
      <c r="AT22" s="68"/>
      <c r="AU22" s="101">
        <v>1.3263547865279744E-4</v>
      </c>
      <c r="AV22" s="103">
        <v>1.8136893271096062</v>
      </c>
      <c r="AW22" s="68"/>
      <c r="AX22" s="109">
        <v>122.85501458041243</v>
      </c>
      <c r="AY22" s="109">
        <v>4.1514201576003273</v>
      </c>
      <c r="AZ22" s="109">
        <v>1.8516402222660224</v>
      </c>
      <c r="BA22" s="109">
        <v>-0.10047556370896396</v>
      </c>
      <c r="BB22" s="109">
        <v>0</v>
      </c>
      <c r="BC22" s="68"/>
      <c r="BD22" s="101">
        <v>1.3263547865279744E-4</v>
      </c>
      <c r="BE22" s="103">
        <v>1.8136893271096062</v>
      </c>
      <c r="BF22" s="68"/>
      <c r="BG22" s="49" t="s">
        <v>15</v>
      </c>
      <c r="BH22" s="50" t="s">
        <v>81</v>
      </c>
      <c r="CE22"/>
      <c r="CF22"/>
      <c r="CG22"/>
    </row>
    <row r="23" spans="1:85" ht="15" x14ac:dyDescent="0.25">
      <c r="A23" s="72" t="s">
        <v>20</v>
      </c>
      <c r="B23" s="43" t="s">
        <v>29</v>
      </c>
      <c r="C23" s="44" t="s">
        <v>3280</v>
      </c>
      <c r="D23" s="45">
        <f>ROUND(MID(Briza12!$C23,6,3)/Basis!$E$3,1)</f>
        <v>21.7</v>
      </c>
      <c r="E23" s="45">
        <f>ROUND(MID(Briza12!$C23,9,3)/Basis!$E$3,1)</f>
        <v>37.4</v>
      </c>
      <c r="F23" s="46" t="s">
        <v>50</v>
      </c>
      <c r="G23" s="45">
        <f>ROUND(14/Basis!$E$3,1)</f>
        <v>5.5</v>
      </c>
      <c r="H23" s="221">
        <f>(($AA23*U_H^4+$Z23*U_H^3+$Y23*U_H^2+$X23*U_H+$W23)*((((TaH-TrH)/LN((TaH-TlH)/(TrH-TlH)))/((75-65)/LN((75-20)/(65-20))))^1))*Basis!$E$2*$AA$4*Glycol</f>
        <v>4447.1713561228753</v>
      </c>
      <c r="I23" s="123">
        <f>ROUND((($H23/Basis!$E$2)/((TaH-TrH)*1.163))*Basis!$E$5,IF(Basis!$E$1=1,0,IF(Basis!$E$1=2,2)))</f>
        <v>0.44</v>
      </c>
      <c r="J23" s="83">
        <f>ROUND(INDEX($AC23:$AG23,0,FanspeedH)*Basis!$E$4,1)</f>
        <v>151.30000000000001</v>
      </c>
      <c r="K23" s="85">
        <f>INDEX($AO23:$AS23,0,FanspeedH)</f>
        <v>15.6</v>
      </c>
      <c r="L23" s="84">
        <f>CHOOSE(Basis!$E$1,$AU23*(I23*3600/Basis!$E$5)^$AV23*Basis!$E$6/Basis!$E$9,$AU23*(I23/Basis!$E$5)^$AV23*Basis!$E$6/Basis!$E$9)</f>
        <v>0.24520091399482327</v>
      </c>
      <c r="M23" s="85">
        <f>INDEX($AI23:$AM23,0,FanspeedH)</f>
        <v>0</v>
      </c>
      <c r="N23" s="222">
        <f>(($BB23*U_C^4+$BA23*U_C^3+$AZ23*U_C^2+$AY23*U_C+$AX23)*((((TaC-TrC)/LN((TaC-TlC)/(TrC-TlC)))/((16-18)/LN((16-27)/(18-27))))^1))*Basis!$E$2*$AA$4*Glycol</f>
        <v>1933.9591979641939</v>
      </c>
      <c r="O23" s="108">
        <f>(($N23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2182.5451399783205</v>
      </c>
      <c r="P23" s="123">
        <f>ROUND((($O23/Basis!$E$2)/((TrC-TaC)*1.163))*Basis!$E$5,IF(Basis!$E$1=1,0,IF(Basis!$E$1=2,2)))</f>
        <v>0.44</v>
      </c>
      <c r="Q23" s="83">
        <f>IF(N23=0,0,ROUND(INDEX($AC23:$AG23,0,FanspeedC)*Basis!$E$4,1))</f>
        <v>151.30000000000001</v>
      </c>
      <c r="R23" s="85">
        <f>IF(N23=0,0,INDEX($AO23:$AS23,0,FanspeedC))</f>
        <v>15.6</v>
      </c>
      <c r="S23" s="84">
        <f>CHOOSE(Basis!$E$1,$BD23*(P23*3600/Basis!$E$5)^$BE23*Basis!$E$6/Basis!$E$9,$BD23*(P23/Basis!$E$5)^$BE23*Basis!$E$6/Basis!$E$9)</f>
        <v>0.24520091399482327</v>
      </c>
      <c r="T23" s="85">
        <f>IF(N23=0,0,INDEX($AI23:$AM23,0,FanspeedC))</f>
        <v>0</v>
      </c>
      <c r="U23" s="110">
        <v>1</v>
      </c>
      <c r="V23" s="74"/>
      <c r="W23" s="218">
        <v>758.53531193271272</v>
      </c>
      <c r="X23" s="218">
        <v>185.13171418104602</v>
      </c>
      <c r="Y23" s="218">
        <v>-41.886569073423779</v>
      </c>
      <c r="Z23" s="218">
        <v>5.1948232625655573</v>
      </c>
      <c r="AA23" s="218">
        <v>-0.18030344638520918</v>
      </c>
      <c r="AB23" s="74"/>
      <c r="AC23" s="75">
        <v>257</v>
      </c>
      <c r="AD23" s="75">
        <v>228</v>
      </c>
      <c r="AE23" s="75">
        <v>168</v>
      </c>
      <c r="AF23" s="75">
        <v>123</v>
      </c>
      <c r="AG23" s="75">
        <v>72</v>
      </c>
      <c r="AH23" s="74"/>
      <c r="AI23" s="76"/>
      <c r="AJ23" s="76"/>
      <c r="AK23" s="76"/>
      <c r="AL23" s="76"/>
      <c r="AM23" s="76"/>
      <c r="AN23" s="74"/>
      <c r="AO23" s="77">
        <v>15.6</v>
      </c>
      <c r="AP23" s="77">
        <v>10</v>
      </c>
      <c r="AQ23" s="77">
        <v>5.9</v>
      </c>
      <c r="AR23" s="77">
        <v>3.4</v>
      </c>
      <c r="AS23" s="77">
        <v>2.1</v>
      </c>
      <c r="AT23" s="74"/>
      <c r="AU23" s="102">
        <v>1.6747942882275273E-4</v>
      </c>
      <c r="AV23" s="104">
        <v>1.8208138694468972</v>
      </c>
      <c r="AW23" s="74"/>
      <c r="AX23" s="110">
        <v>192.26108685256855</v>
      </c>
      <c r="AY23" s="110">
        <v>12.859546260831442</v>
      </c>
      <c r="AZ23" s="110">
        <v>1.9707367773017559</v>
      </c>
      <c r="BA23" s="110">
        <v>-0.10565020591365754</v>
      </c>
      <c r="BB23" s="110">
        <v>0</v>
      </c>
      <c r="BC23" s="74"/>
      <c r="BD23" s="102">
        <v>1.6747942882275273E-4</v>
      </c>
      <c r="BE23" s="104">
        <v>1.8208138694468972</v>
      </c>
      <c r="BF23" s="74"/>
      <c r="BG23" s="47" t="s">
        <v>15</v>
      </c>
      <c r="BH23" s="48" t="s">
        <v>83</v>
      </c>
      <c r="CE23"/>
      <c r="CF23"/>
      <c r="CG23"/>
    </row>
    <row r="24" spans="1:85" ht="15" x14ac:dyDescent="0.25">
      <c r="A24" s="72" t="s">
        <v>20</v>
      </c>
      <c r="B24" s="43" t="s">
        <v>29</v>
      </c>
      <c r="C24" s="44" t="s">
        <v>3281</v>
      </c>
      <c r="D24" s="45">
        <f>ROUND(MID(Briza12!$C24,6,3)/Basis!$E$3,1)</f>
        <v>21.7</v>
      </c>
      <c r="E24" s="45">
        <f>ROUND(MID(Briza12!$C24,9,3)/Basis!$E$3,1)</f>
        <v>49.2</v>
      </c>
      <c r="F24" s="46" t="s">
        <v>50</v>
      </c>
      <c r="G24" s="45">
        <f>ROUND(14/Basis!$E$3,1)</f>
        <v>5.5</v>
      </c>
      <c r="H24" s="221">
        <f>(($AA24*U_H^4+$Z24*U_H^3+$Y24*U_H^2+$X24*U_H+$W24)*((((TaH-TrH)/LN((TaH-TlH)/(TrH-TlH)))/((75-65)/LN((75-20)/(65-20))))^1))*Basis!$E$2*$AA$4*Glycol</f>
        <v>7061.9522078843665</v>
      </c>
      <c r="I24" s="123">
        <f>ROUND((($H24/Basis!$E$2)/((TaH-TrH)*1.163))*Basis!$E$5,IF(Basis!$E$1=1,0,IF(Basis!$E$1=2,2)))</f>
        <v>0.71</v>
      </c>
      <c r="J24" s="83">
        <f>ROUND(INDEX($AC24:$AG24,0,FanspeedH)*Basis!$E$4,1)</f>
        <v>226.6</v>
      </c>
      <c r="K24" s="85">
        <f>INDEX($AO24:$AS24,0,FanspeedH)</f>
        <v>22.3</v>
      </c>
      <c r="L24" s="84">
        <f>CHOOSE(Basis!$E$1,$AU24*(I24*3600/Basis!$E$5)^$AV24*Basis!$E$6/Basis!$E$9,$AU24*(I24/Basis!$E$5)^$AV24*Basis!$E$6/Basis!$E$9)</f>
        <v>0.79135842625118913</v>
      </c>
      <c r="M24" s="85">
        <f>INDEX($AI24:$AM24,0,FanspeedH)</f>
        <v>0</v>
      </c>
      <c r="N24" s="222">
        <f>(($BB24*U_C^4+$BA24*U_C^3+$AZ24*U_C^2+$AY24*U_C+$AX24)*((((TaC-TrC)/LN((TaC-TlC)/(TrC-TlC)))/((16-18)/LN((16-27)/(18-27))))^1))*Basis!$E$2*$AA$4*Glycol</f>
        <v>3084.3924913955038</v>
      </c>
      <c r="O24" s="108">
        <f>(($N24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3480.8520515671794</v>
      </c>
      <c r="P24" s="123">
        <f>ROUND((($O24/Basis!$E$2)/((TrC-TaC)*1.163))*Basis!$E$5,IF(Basis!$E$1=1,0,IF(Basis!$E$1=2,2)))</f>
        <v>0.7</v>
      </c>
      <c r="Q24" s="83">
        <f>IF(N24=0,0,ROUND(INDEX($AC24:$AG24,0,FanspeedC)*Basis!$E$4,1))</f>
        <v>226.6</v>
      </c>
      <c r="R24" s="85">
        <f>IF(N24=0,0,INDEX($AO24:$AS24,0,FanspeedC))</f>
        <v>22.3</v>
      </c>
      <c r="S24" s="84">
        <f>CHOOSE(Basis!$E$1,$BD24*(P24*3600/Basis!$E$5)^$BE24*Basis!$E$6/Basis!$E$9,$BD24*(P24/Basis!$E$5)^$BE24*Basis!$E$6/Basis!$E$9)</f>
        <v>0.77127678962789126</v>
      </c>
      <c r="T24" s="85">
        <f>IF(N24=0,0,INDEX($AI24:$AM24,0,FanspeedC))</f>
        <v>0</v>
      </c>
      <c r="U24" s="109">
        <v>1</v>
      </c>
      <c r="V24" s="68"/>
      <c r="W24" s="217">
        <v>1146.7350020499362</v>
      </c>
      <c r="X24" s="217">
        <v>307.8019217888039</v>
      </c>
      <c r="Y24" s="217">
        <v>-62.125133979184696</v>
      </c>
      <c r="Z24" s="217">
        <v>7.5452088334921381</v>
      </c>
      <c r="AA24" s="217">
        <v>-0.26784940737322377</v>
      </c>
      <c r="AB24" s="68"/>
      <c r="AC24" s="69">
        <v>385</v>
      </c>
      <c r="AD24" s="69">
        <v>328</v>
      </c>
      <c r="AE24" s="69">
        <v>260</v>
      </c>
      <c r="AF24" s="69">
        <v>183</v>
      </c>
      <c r="AG24" s="69">
        <v>112</v>
      </c>
      <c r="AH24" s="68"/>
      <c r="AI24" s="70"/>
      <c r="AJ24" s="70"/>
      <c r="AK24" s="70"/>
      <c r="AL24" s="70"/>
      <c r="AM24" s="70"/>
      <c r="AN24" s="68"/>
      <c r="AO24" s="71">
        <v>22.3</v>
      </c>
      <c r="AP24" s="71">
        <v>12.8</v>
      </c>
      <c r="AQ24" s="71">
        <v>7.5</v>
      </c>
      <c r="AR24" s="71">
        <v>4.2</v>
      </c>
      <c r="AS24" s="71">
        <v>2.2999999999999998</v>
      </c>
      <c r="AT24" s="68"/>
      <c r="AU24" s="101">
        <v>2.364386444169621E-4</v>
      </c>
      <c r="AV24" s="103">
        <v>1.8120794599034276</v>
      </c>
      <c r="AW24" s="68"/>
      <c r="AX24" s="109">
        <v>292.49539559526102</v>
      </c>
      <c r="AY24" s="109">
        <v>23.256603866829582</v>
      </c>
      <c r="AZ24" s="109">
        <v>3.3370194060807656</v>
      </c>
      <c r="BA24" s="109">
        <v>-0.20123481722729702</v>
      </c>
      <c r="BB24" s="109">
        <v>0</v>
      </c>
      <c r="BC24" s="68"/>
      <c r="BD24" s="101">
        <v>2.364386444169621E-4</v>
      </c>
      <c r="BE24" s="103">
        <v>1.8120794599034276</v>
      </c>
      <c r="BF24" s="68"/>
      <c r="BG24" s="49" t="s">
        <v>15</v>
      </c>
      <c r="BH24" s="50" t="s">
        <v>12</v>
      </c>
      <c r="CE24"/>
      <c r="CF24"/>
      <c r="CG24"/>
    </row>
    <row r="25" spans="1:85" ht="15" x14ac:dyDescent="0.25">
      <c r="A25" s="72" t="s">
        <v>20</v>
      </c>
      <c r="B25" s="43" t="s">
        <v>29</v>
      </c>
      <c r="C25" s="44" t="s">
        <v>3282</v>
      </c>
      <c r="D25" s="45">
        <f>ROUND(MID(Briza12!$C25,6,3)/Basis!$E$3,1)</f>
        <v>21.7</v>
      </c>
      <c r="E25" s="45">
        <f>ROUND(MID(Briza12!$C25,9,3)/Basis!$E$3,1)</f>
        <v>57.1</v>
      </c>
      <c r="F25" s="46" t="s">
        <v>50</v>
      </c>
      <c r="G25" s="45">
        <f>ROUND(14/Basis!$E$3,1)</f>
        <v>5.5</v>
      </c>
      <c r="H25" s="221">
        <f>(($AA25*U_H^4+$Z25*U_H^3+$Y25*U_H^2+$X25*U_H+$W25)*((((TaH-TrH)/LN((TaH-TlH)/(TrH-TlH)))/((75-65)/LN((75-20)/(65-20))))^1))*Basis!$E$2*$AA$4*Glycol</f>
        <v>8808.1546497787676</v>
      </c>
      <c r="I25" s="123">
        <f>ROUND((($H25/Basis!$E$2)/((TaH-TrH)*1.163))*Basis!$E$5,IF(Basis!$E$1=1,0,IF(Basis!$E$1=2,2)))</f>
        <v>0.88</v>
      </c>
      <c r="J25" s="83">
        <f>ROUND(INDEX($AC25:$AG25,0,FanspeedH)*Basis!$E$4,1)</f>
        <v>271.89999999999998</v>
      </c>
      <c r="K25" s="85">
        <f>INDEX($AO25:$AS25,0,FanspeedH)</f>
        <v>27.3</v>
      </c>
      <c r="L25" s="84">
        <f>CHOOSE(Basis!$E$1,$AU25*(I25*3600/Basis!$E$5)^$AV25*Basis!$E$6/Basis!$E$9,$AU25*(I25/Basis!$E$5)^$AV25*Basis!$E$6/Basis!$E$9)</f>
        <v>1.3658485579270339</v>
      </c>
      <c r="M25" s="85">
        <f>INDEX($AI25:$AM25,0,FanspeedH)</f>
        <v>0</v>
      </c>
      <c r="N25" s="222">
        <f>(($BB25*U_C^4+$BA25*U_C^3+$AZ25*U_C^2+$AY25*U_C+$AX25)*((((TaC-TrC)/LN((TaC-TlC)/(TrC-TlC)))/((16-18)/LN((16-27)/(18-27))))^1))*Basis!$E$2*$AA$4*Glycol</f>
        <v>3847.5123575709235</v>
      </c>
      <c r="O25" s="108">
        <f>(($N25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4342.061304014348</v>
      </c>
      <c r="P25" s="123">
        <f>ROUND((($O25/Basis!$E$2)/((TrC-TaC)*1.163))*Basis!$E$5,IF(Basis!$E$1=1,0,IF(Basis!$E$1=2,2)))</f>
        <v>0.87</v>
      </c>
      <c r="Q25" s="83">
        <f>IF(N25=0,0,ROUND(INDEX($AC25:$AG25,0,FanspeedC)*Basis!$E$4,1))</f>
        <v>271.89999999999998</v>
      </c>
      <c r="R25" s="85">
        <f>IF(N25=0,0,INDEX($AO25:$AS25,0,FanspeedC))</f>
        <v>27.3</v>
      </c>
      <c r="S25" s="84">
        <f>CHOOSE(Basis!$E$1,$BD25*(P25*3600/Basis!$E$5)^$BE25*Basis!$E$6/Basis!$E$9,$BD25*(P25/Basis!$E$5)^$BE25*Basis!$E$6/Basis!$E$9)</f>
        <v>1.3378017579485639</v>
      </c>
      <c r="T25" s="85">
        <f>IF(N25=0,0,INDEX($AI25:$AM25,0,FanspeedC))</f>
        <v>0</v>
      </c>
      <c r="U25" s="110">
        <v>1</v>
      </c>
      <c r="V25" s="74"/>
      <c r="W25" s="218">
        <v>1716.3174609491957</v>
      </c>
      <c r="X25" s="218">
        <v>140.53405061422265</v>
      </c>
      <c r="Y25" s="218">
        <v>-6.6531513749360087</v>
      </c>
      <c r="Z25" s="218">
        <v>1.1344894569539592</v>
      </c>
      <c r="AA25" s="218">
        <v>0</v>
      </c>
      <c r="AB25" s="74"/>
      <c r="AC25" s="75">
        <v>462</v>
      </c>
      <c r="AD25" s="75">
        <v>393</v>
      </c>
      <c r="AE25" s="75">
        <v>304</v>
      </c>
      <c r="AF25" s="75">
        <v>228</v>
      </c>
      <c r="AG25" s="75">
        <v>126</v>
      </c>
      <c r="AH25" s="74"/>
      <c r="AI25" s="76"/>
      <c r="AJ25" s="76"/>
      <c r="AK25" s="76"/>
      <c r="AL25" s="76"/>
      <c r="AM25" s="76"/>
      <c r="AN25" s="74"/>
      <c r="AO25" s="77">
        <v>27.3</v>
      </c>
      <c r="AP25" s="77">
        <v>16</v>
      </c>
      <c r="AQ25" s="77">
        <v>9.1</v>
      </c>
      <c r="AR25" s="77">
        <v>5.2</v>
      </c>
      <c r="AS25" s="77">
        <v>2.7</v>
      </c>
      <c r="AT25" s="74"/>
      <c r="AU25" s="102">
        <v>2.7169905751214276E-4</v>
      </c>
      <c r="AV25" s="104">
        <v>1.8154391549649329</v>
      </c>
      <c r="AW25" s="74"/>
      <c r="AX25" s="110">
        <v>414.98793571736508</v>
      </c>
      <c r="AY25" s="110">
        <v>9.2616573879342088</v>
      </c>
      <c r="AZ25" s="110">
        <v>6.5041472755333203</v>
      </c>
      <c r="BA25" s="110">
        <v>-0.33780933907453081</v>
      </c>
      <c r="BB25" s="110">
        <v>0</v>
      </c>
      <c r="BC25" s="74"/>
      <c r="BD25" s="102">
        <v>2.7169905751214276E-4</v>
      </c>
      <c r="BE25" s="104">
        <v>1.8154391549649329</v>
      </c>
      <c r="BF25" s="74"/>
      <c r="BG25" s="47" t="s">
        <v>15</v>
      </c>
      <c r="BH25" s="48" t="s">
        <v>14</v>
      </c>
      <c r="CE25"/>
      <c r="CF25"/>
      <c r="CG25"/>
    </row>
    <row r="26" spans="1:85" ht="15" x14ac:dyDescent="0.25">
      <c r="A26" s="72" t="s">
        <v>23</v>
      </c>
      <c r="B26" s="43" t="s">
        <v>47</v>
      </c>
      <c r="C26" s="44" t="s">
        <v>3283</v>
      </c>
      <c r="D26" s="45">
        <f>ROUND(MID(Briza12!$C26,6,3)/Basis!$E$3,1)</f>
        <v>15</v>
      </c>
      <c r="E26" s="45">
        <f>ROUND(MID(Briza12!$C26,9,3)/Basis!$E$3,1)</f>
        <v>20.5</v>
      </c>
      <c r="F26" s="46" t="s">
        <v>51</v>
      </c>
      <c r="G26" s="45">
        <f>ROUND(12/Basis!$E$3,1)</f>
        <v>4.7</v>
      </c>
      <c r="H26" s="221">
        <f>(($AA26*U_H^4+$Z26*U_H^3+$Y26*U_H^2+$X26*U_H+$W26)*((((TaH-TrH)/LN((TaH-TlH)/(TrH-TlH)))/((75-65)/LN((75-20)/(65-20))))^1))*Basis!$E$2*$AA$4*Glycol</f>
        <v>4503.7030758909605</v>
      </c>
      <c r="I26" s="123">
        <f>ROUND((($H26/Basis!$E$2)/((TaH-TrH)*1.163))*Basis!$E$5,IF(Basis!$E$1=1,0,IF(Basis!$E$1=2,2)))</f>
        <v>0.45</v>
      </c>
      <c r="J26" s="83">
        <f>ROUND(INDEX($AC26:$AG26,0,FanspeedH)*Basis!$E$4,1)</f>
        <v>138.30000000000001</v>
      </c>
      <c r="K26" s="85">
        <f>INDEX($AO26:$AS26,0,FanspeedH)</f>
        <v>13</v>
      </c>
      <c r="L26" s="84">
        <f>CHOOSE(Basis!$E$1,$AU26*(I26*3600/Basis!$E$5)^$AV26*Basis!$E$6/Basis!$E$9,$AU26*(I26/Basis!$E$5)^$AV26*Basis!$E$6/Basis!$E$9)</f>
        <v>0.10182216427204839</v>
      </c>
      <c r="M26" s="85">
        <f>INDEX($AI26:$AM26,0,FanspeedH)</f>
        <v>0</v>
      </c>
      <c r="N26" s="222">
        <f>(($BB26*U_C^4+$BA26*U_C^3+$AZ26*U_C^2+$AY26*U_C+$AX26)*((((TaC-TrC)/LN((TaC-TlC)/(TrC-TlC)))/((16-18)/LN((16-27)/(18-27))))^1))*Basis!$E$2*$AA$4*Glycol</f>
        <v>1103.8298218997334</v>
      </c>
      <c r="O26" s="108">
        <f>(($N26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1245.713154489727</v>
      </c>
      <c r="P26" s="123">
        <f>ROUND((($O26/Basis!$E$2)/((TrC-TaC)*1.163))*Basis!$E$5,IF(Basis!$E$1=1,0,IF(Basis!$E$1=2,2)))</f>
        <v>0.25</v>
      </c>
      <c r="Q26" s="83">
        <f>IF(N26=0,0,ROUND(INDEX($AC26:$AG26,0,FanspeedC)*Basis!$E$4,1))</f>
        <v>138.30000000000001</v>
      </c>
      <c r="R26" s="85">
        <f>IF(N26=0,0,INDEX($AO26:$AS26,0,FanspeedC))</f>
        <v>13</v>
      </c>
      <c r="S26" s="84">
        <f>CHOOSE(Basis!$E$1,$BD26*(P26*3600/Basis!$E$5)^$BE26*Basis!$E$6/Basis!$E$9,$BD26*(P26/Basis!$E$5)^$BE26*Basis!$E$6/Basis!$E$9)</f>
        <v>3.4610201049664807E-2</v>
      </c>
      <c r="T26" s="85">
        <f>IF(N26=0,0,INDEX($AI26:$AM26,0,FanspeedC))</f>
        <v>0</v>
      </c>
      <c r="U26" s="109">
        <v>1</v>
      </c>
      <c r="V26" s="68"/>
      <c r="W26" s="217">
        <v>789.86520915729454</v>
      </c>
      <c r="X26" s="217">
        <v>134.69984250871585</v>
      </c>
      <c r="Y26" s="217">
        <v>-18.897288796430164</v>
      </c>
      <c r="Z26" s="217">
        <v>2.158567173060117</v>
      </c>
      <c r="AA26" s="217">
        <v>-5.6967122009921357E-2</v>
      </c>
      <c r="AB26" s="68"/>
      <c r="AC26" s="69">
        <v>235</v>
      </c>
      <c r="AD26" s="69">
        <v>196</v>
      </c>
      <c r="AE26" s="69">
        <v>155</v>
      </c>
      <c r="AF26" s="69">
        <v>111</v>
      </c>
      <c r="AG26" s="69">
        <v>70</v>
      </c>
      <c r="AH26" s="68"/>
      <c r="AI26" s="70"/>
      <c r="AJ26" s="70"/>
      <c r="AK26" s="70"/>
      <c r="AL26" s="70"/>
      <c r="AM26" s="70"/>
      <c r="AN26" s="68"/>
      <c r="AO26" s="71">
        <v>13</v>
      </c>
      <c r="AP26" s="71">
        <v>7.2</v>
      </c>
      <c r="AQ26" s="71">
        <v>4.3</v>
      </c>
      <c r="AR26" s="71">
        <v>2.6</v>
      </c>
      <c r="AS26" s="71">
        <v>1.6</v>
      </c>
      <c r="AT26" s="68"/>
      <c r="AU26" s="101">
        <v>6.2276819636539519E-5</v>
      </c>
      <c r="AV26" s="103">
        <v>1.8358350093844202</v>
      </c>
      <c r="AW26" s="68"/>
      <c r="AX26" s="109">
        <v>84.485306398126156</v>
      </c>
      <c r="AY26" s="109">
        <v>14.045470041924725</v>
      </c>
      <c r="AZ26" s="109">
        <v>0.10373635238004372</v>
      </c>
      <c r="BA26" s="109">
        <v>0</v>
      </c>
      <c r="BB26" s="109">
        <v>0</v>
      </c>
      <c r="BC26" s="68"/>
      <c r="BD26" s="101">
        <v>6.2276819636539519E-5</v>
      </c>
      <c r="BE26" s="103">
        <v>1.8358350093844202</v>
      </c>
      <c r="BF26" s="68"/>
      <c r="BG26" s="49" t="s">
        <v>15</v>
      </c>
      <c r="BH26" s="50" t="s">
        <v>34</v>
      </c>
    </row>
    <row r="27" spans="1:85" ht="15" x14ac:dyDescent="0.25">
      <c r="A27" s="72" t="s">
        <v>23</v>
      </c>
      <c r="B27" s="43" t="s">
        <v>47</v>
      </c>
      <c r="C27" s="44" t="s">
        <v>3284</v>
      </c>
      <c r="D27" s="45">
        <f>ROUND(MID(Briza12!$C27,6,3)/Basis!$E$3,1)</f>
        <v>15</v>
      </c>
      <c r="E27" s="45">
        <f>ROUND(MID(Briza12!$C27,9,3)/Basis!$E$3,1)</f>
        <v>28.3</v>
      </c>
      <c r="F27" s="46" t="s">
        <v>51</v>
      </c>
      <c r="G27" s="45">
        <f>ROUND(12/Basis!$E$3,1)</f>
        <v>4.7</v>
      </c>
      <c r="H27" s="221">
        <f>(($AA27*U_H^4+$Z27*U_H^3+$Y27*U_H^2+$X27*U_H+$W27)*((((TaH-TrH)/LN((TaH-TlH)/(TrH-TlH)))/((75-65)/LN((75-20)/(65-20))))^1))*Basis!$E$2*$AA$4*Glycol</f>
        <v>7410.0947647131297</v>
      </c>
      <c r="I27" s="123">
        <f>ROUND((($H27/Basis!$E$2)/((TaH-TrH)*1.163))*Basis!$E$5,IF(Basis!$E$1=1,0,IF(Basis!$E$1=2,2)))</f>
        <v>0.74</v>
      </c>
      <c r="J27" s="83">
        <f>ROUND(INDEX($AC27:$AG27,0,FanspeedH)*Basis!$E$4,1)</f>
        <v>223.7</v>
      </c>
      <c r="K27" s="85">
        <f>INDEX($AO27:$AS27,0,FanspeedH)</f>
        <v>18</v>
      </c>
      <c r="L27" s="84">
        <f>CHOOSE(Basis!$E$1,$AU27*(I27*3600/Basis!$E$5)^$AV27*Basis!$E$6/Basis!$E$9,$AU27*(I27/Basis!$E$5)^$AV27*Basis!$E$6/Basis!$E$9)</f>
        <v>0.32606467085715002</v>
      </c>
      <c r="M27" s="85">
        <f>INDEX($AI27:$AM27,0,FanspeedH)</f>
        <v>0</v>
      </c>
      <c r="N27" s="222">
        <f>(($BB27*U_C^4+$BA27*U_C^3+$AZ27*U_C^2+$AY27*U_C+$AX27)*((((TaC-TrC)/LN((TaC-TlC)/(TrC-TlC)))/((16-18)/LN((16-27)/(18-27))))^1))*Basis!$E$2*$AA$4*Glycol</f>
        <v>1817.4505523196697</v>
      </c>
      <c r="O27" s="108">
        <f>(($N27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2051.0607846803446</v>
      </c>
      <c r="P27" s="123">
        <f>ROUND((($O27/Basis!$E$2)/((TrC-TaC)*1.163))*Basis!$E$5,IF(Basis!$E$1=1,0,IF(Basis!$E$1=2,2)))</f>
        <v>0.41</v>
      </c>
      <c r="Q27" s="83">
        <f>IF(N27=0,0,ROUND(INDEX($AC27:$AG27,0,FanspeedC)*Basis!$E$4,1))</f>
        <v>223.7</v>
      </c>
      <c r="R27" s="85">
        <f>IF(N27=0,0,INDEX($AO27:$AS27,0,FanspeedC))</f>
        <v>18</v>
      </c>
      <c r="S27" s="84">
        <f>CHOOSE(Basis!$E$1,$BD27*(P27*3600/Basis!$E$5)^$BE27*Basis!$E$6/Basis!$E$9,$BD27*(P27/Basis!$E$5)^$BE27*Basis!$E$6/Basis!$E$9)</f>
        <v>0.11166053131123131</v>
      </c>
      <c r="T27" s="85">
        <f>IF(N27=0,0,INDEX($AI27:$AM27,0,FanspeedC))</f>
        <v>0</v>
      </c>
      <c r="U27" s="110">
        <v>1</v>
      </c>
      <c r="V27" s="74"/>
      <c r="W27" s="218">
        <v>-15.100612121165774</v>
      </c>
      <c r="X27" s="218">
        <v>1373.1450518778961</v>
      </c>
      <c r="Y27" s="218">
        <v>-348.72126254555525</v>
      </c>
      <c r="Z27" s="218">
        <v>38.143349950508401</v>
      </c>
      <c r="AA27" s="218">
        <v>-1.3966690275112728</v>
      </c>
      <c r="AB27" s="74"/>
      <c r="AC27" s="75">
        <v>380</v>
      </c>
      <c r="AD27" s="75">
        <v>315</v>
      </c>
      <c r="AE27" s="75">
        <v>245</v>
      </c>
      <c r="AF27" s="75">
        <v>189</v>
      </c>
      <c r="AG27" s="75">
        <v>119</v>
      </c>
      <c r="AH27" s="74"/>
      <c r="AI27" s="76"/>
      <c r="AJ27" s="76"/>
      <c r="AK27" s="76"/>
      <c r="AL27" s="76"/>
      <c r="AM27" s="76"/>
      <c r="AN27" s="74"/>
      <c r="AO27" s="77">
        <v>18</v>
      </c>
      <c r="AP27" s="77">
        <v>11.5</v>
      </c>
      <c r="AQ27" s="77">
        <v>7.2</v>
      </c>
      <c r="AR27" s="77">
        <v>4.3</v>
      </c>
      <c r="AS27" s="77">
        <v>2.5</v>
      </c>
      <c r="AT27" s="74"/>
      <c r="AU27" s="102">
        <v>8.9125876915269658E-5</v>
      </c>
      <c r="AV27" s="104">
        <v>1.8148096460023067</v>
      </c>
      <c r="AW27" s="74"/>
      <c r="AX27" s="110">
        <v>169.35574429693057</v>
      </c>
      <c r="AY27" s="110">
        <v>12.303694505562234</v>
      </c>
      <c r="AZ27" s="110">
        <v>0.95050103220183868</v>
      </c>
      <c r="BA27" s="110">
        <v>0</v>
      </c>
      <c r="BB27" s="110">
        <v>0</v>
      </c>
      <c r="BC27" s="74"/>
      <c r="BD27" s="102">
        <v>8.9125876915269658E-5</v>
      </c>
      <c r="BE27" s="104">
        <v>1.8148096460023067</v>
      </c>
      <c r="BF27" s="74"/>
      <c r="BG27" s="47" t="s">
        <v>15</v>
      </c>
      <c r="BH27" s="48" t="s">
        <v>37</v>
      </c>
    </row>
    <row r="28" spans="1:85" ht="15" x14ac:dyDescent="0.25">
      <c r="A28" s="72" t="s">
        <v>23</v>
      </c>
      <c r="B28" s="43" t="s">
        <v>47</v>
      </c>
      <c r="C28" s="44" t="s">
        <v>3285</v>
      </c>
      <c r="D28" s="45">
        <f>ROUND(MID(Briza12!$C28,6,3)/Basis!$E$3,1)</f>
        <v>15</v>
      </c>
      <c r="E28" s="45">
        <f>ROUND(MID(Briza12!$C28,9,3)/Basis!$E$3,1)</f>
        <v>40.200000000000003</v>
      </c>
      <c r="F28" s="46" t="s">
        <v>51</v>
      </c>
      <c r="G28" s="45">
        <f>ROUND(12/Basis!$E$3,1)</f>
        <v>4.7</v>
      </c>
      <c r="H28" s="221">
        <f>(($AA28*U_H^4+$Z28*U_H^3+$Y28*U_H^2+$X28*U_H+$W28)*((((TaH-TrH)/LN((TaH-TlH)/(TrH-TlH)))/((75-65)/LN((75-20)/(65-20))))^1))*Basis!$E$2*$AA$4*Glycol</f>
        <v>11771.502802582021</v>
      </c>
      <c r="I28" s="123">
        <f>ROUND((($H28/Basis!$E$2)/((TaH-TrH)*1.163))*Basis!$E$5,IF(Basis!$E$1=1,0,IF(Basis!$E$1=2,2)))</f>
        <v>1.18</v>
      </c>
      <c r="J28" s="83">
        <f>ROUND(INDEX($AC28:$AG28,0,FanspeedH)*Basis!$E$4,1)</f>
        <v>289.60000000000002</v>
      </c>
      <c r="K28" s="85">
        <f>INDEX($AO28:$AS28,0,FanspeedH)</f>
        <v>24</v>
      </c>
      <c r="L28" s="84">
        <f>CHOOSE(Basis!$E$1,$AU28*(I28*3600/Basis!$E$5)^$AV28*Basis!$E$6/Basis!$E$9,$AU28*(I28/Basis!$E$5)^$AV28*Basis!$E$6/Basis!$E$9)</f>
        <v>1.0266444463300837</v>
      </c>
      <c r="M28" s="85">
        <f>INDEX($AI28:$AM28,0,FanspeedH)</f>
        <v>0</v>
      </c>
      <c r="N28" s="222">
        <f>(($BB28*U_C^4+$BA28*U_C^3+$AZ28*U_C^2+$AY28*U_C+$AX28)*((((TaC-TrC)/LN((TaC-TlC)/(TrC-TlC)))/((16-18)/LN((16-27)/(18-27))))^1))*Basis!$E$2*$AA$4*Glycol</f>
        <v>2882.6217696835452</v>
      </c>
      <c r="O28" s="108">
        <f>(($N28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3253.1462610179688</v>
      </c>
      <c r="P28" s="123">
        <f>ROUND((($O28/Basis!$E$2)/((TrC-TaC)*1.163))*Basis!$E$5,IF(Basis!$E$1=1,0,IF(Basis!$E$1=2,2)))</f>
        <v>0.65</v>
      </c>
      <c r="Q28" s="83">
        <f>IF(N28=0,0,ROUND(INDEX($AC28:$AG28,0,FanspeedC)*Basis!$E$4,1))</f>
        <v>289.60000000000002</v>
      </c>
      <c r="R28" s="85">
        <f>IF(N28=0,0,INDEX($AO28:$AS28,0,FanspeedC))</f>
        <v>24</v>
      </c>
      <c r="S28" s="84">
        <f>CHOOSE(Basis!$E$1,$BD28*(P28*3600/Basis!$E$5)^$BE28*Basis!$E$6/Basis!$E$9,$BD28*(P28/Basis!$E$5)^$BE28*Basis!$E$6/Basis!$E$9)</f>
        <v>0.34794072140155358</v>
      </c>
      <c r="T28" s="85">
        <f>IF(N28=0,0,INDEX($AI28:$AM28,0,FanspeedC))</f>
        <v>0</v>
      </c>
      <c r="U28" s="109">
        <v>1</v>
      </c>
      <c r="V28" s="68"/>
      <c r="W28" s="217">
        <v>12.559735529856832</v>
      </c>
      <c r="X28" s="217">
        <v>2180.4689883730189</v>
      </c>
      <c r="Y28" s="217">
        <v>-556.93817232262245</v>
      </c>
      <c r="Z28" s="217">
        <v>61.930659102508841</v>
      </c>
      <c r="AA28" s="217">
        <v>-2.3255187064524967</v>
      </c>
      <c r="AB28" s="68"/>
      <c r="AC28" s="69">
        <v>492</v>
      </c>
      <c r="AD28" s="69">
        <v>419</v>
      </c>
      <c r="AE28" s="69">
        <v>328</v>
      </c>
      <c r="AF28" s="69">
        <v>243</v>
      </c>
      <c r="AG28" s="69">
        <v>160</v>
      </c>
      <c r="AH28" s="68"/>
      <c r="AI28" s="70"/>
      <c r="AJ28" s="70"/>
      <c r="AK28" s="70"/>
      <c r="AL28" s="70"/>
      <c r="AM28" s="70"/>
      <c r="AN28" s="68"/>
      <c r="AO28" s="71">
        <v>24</v>
      </c>
      <c r="AP28" s="71">
        <v>14</v>
      </c>
      <c r="AQ28" s="71">
        <v>8</v>
      </c>
      <c r="AR28" s="71">
        <v>4.8</v>
      </c>
      <c r="AS28" s="71">
        <v>2.6</v>
      </c>
      <c r="AT28" s="68"/>
      <c r="AU28" s="101">
        <v>1.2048931502827451E-4</v>
      </c>
      <c r="AV28" s="103">
        <v>1.8145625016160318</v>
      </c>
      <c r="AW28" s="68"/>
      <c r="AX28" s="109">
        <v>302.41413403446739</v>
      </c>
      <c r="AY28" s="109">
        <v>7.0180766933441818</v>
      </c>
      <c r="AZ28" s="109">
        <v>2.4192032034123994</v>
      </c>
      <c r="BA28" s="109">
        <v>0</v>
      </c>
      <c r="BB28" s="109">
        <v>0</v>
      </c>
      <c r="BC28" s="68"/>
      <c r="BD28" s="101">
        <v>1.2048931502827451E-4</v>
      </c>
      <c r="BE28" s="103">
        <v>1.8145625016160318</v>
      </c>
      <c r="BF28" s="68"/>
      <c r="BG28" s="49" t="s">
        <v>15</v>
      </c>
      <c r="BH28" s="50" t="s">
        <v>52</v>
      </c>
    </row>
    <row r="29" spans="1:85" ht="15" x14ac:dyDescent="0.25">
      <c r="A29" s="72" t="s">
        <v>23</v>
      </c>
      <c r="B29" s="43" t="s">
        <v>47</v>
      </c>
      <c r="C29" s="44" t="s">
        <v>3286</v>
      </c>
      <c r="D29" s="45">
        <f>ROUND(MID(Briza12!$C29,6,3)/Basis!$E$3,1)</f>
        <v>15</v>
      </c>
      <c r="E29" s="45">
        <f>ROUND(MID(Briza12!$C29,9,3)/Basis!$E$3,1)</f>
        <v>48</v>
      </c>
      <c r="F29" s="46" t="s">
        <v>51</v>
      </c>
      <c r="G29" s="45">
        <f>ROUND(12/Basis!$E$3,1)</f>
        <v>4.7</v>
      </c>
      <c r="H29" s="221">
        <f>(($AA29*U_H^4+$Z29*U_H^3+$Y29*U_H^2+$X29*U_H+$W29)*((((TaH-TrH)/LN((TaH-TlH)/(TrH-TlH)))/((75-65)/LN((75-20)/(65-20))))^1))*Basis!$E$2*$AA$4*Glycol</f>
        <v>14675.513369989902</v>
      </c>
      <c r="I29" s="123">
        <f>ROUND((($H29/Basis!$E$2)/((TaH-TrH)*1.163))*Basis!$E$5,IF(Basis!$E$1=1,0,IF(Basis!$E$1=2,2)))</f>
        <v>1.47</v>
      </c>
      <c r="J29" s="83">
        <f>ROUND(INDEX($AC29:$AG29,0,FanspeedH)*Basis!$E$4,1)</f>
        <v>329.6</v>
      </c>
      <c r="K29" s="85">
        <f>INDEX($AO29:$AS29,0,FanspeedH)</f>
        <v>28.8</v>
      </c>
      <c r="L29" s="84">
        <f>CHOOSE(Basis!$E$1,$AU29*(I29*3600/Basis!$E$5)^$AV29*Basis!$E$6/Basis!$E$9,$AU29*(I29/Basis!$E$5)^$AV29*Basis!$E$6/Basis!$E$9)</f>
        <v>1.7889924995682456</v>
      </c>
      <c r="M29" s="85">
        <f>INDEX($AI29:$AM29,0,FanspeedH)</f>
        <v>0</v>
      </c>
      <c r="N29" s="222">
        <f>(($BB29*U_C^4+$BA29*U_C^3+$AZ29*U_C^2+$AY29*U_C+$AX29)*((((TaC-TrC)/LN((TaC-TlC)/(TrC-TlC)))/((16-18)/LN((16-27)/(18-27))))^1))*Basis!$E$2*$AA$4*Glycol</f>
        <v>3581.2354000237915</v>
      </c>
      <c r="O29" s="108">
        <f>(($N29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4041.5578186282687</v>
      </c>
      <c r="P29" s="123">
        <f>ROUND((($O29/Basis!$E$2)/((TrC-TaC)*1.163))*Basis!$E$5,IF(Basis!$E$1=1,0,IF(Basis!$E$1=2,2)))</f>
        <v>0.81</v>
      </c>
      <c r="Q29" s="83">
        <f>IF(N29=0,0,ROUND(INDEX($AC29:$AG29,0,FanspeedC)*Basis!$E$4,1))</f>
        <v>329.6</v>
      </c>
      <c r="R29" s="85">
        <f>IF(N29=0,0,INDEX($AO29:$AS29,0,FanspeedC))</f>
        <v>28.8</v>
      </c>
      <c r="S29" s="84">
        <f>CHOOSE(Basis!$E$1,$BD29*(P29*3600/Basis!$E$5)^$BE29*Basis!$E$6/Basis!$E$9,$BD29*(P29/Basis!$E$5)^$BE29*Basis!$E$6/Basis!$E$9)</f>
        <v>0.60133815161273041</v>
      </c>
      <c r="T29" s="85">
        <f>IF(N29=0,0,INDEX($AI29:$AM29,0,FanspeedC))</f>
        <v>0</v>
      </c>
      <c r="U29" s="110">
        <v>1</v>
      </c>
      <c r="V29" s="74"/>
      <c r="W29" s="218">
        <v>-11.0814668782744</v>
      </c>
      <c r="X29" s="218">
        <v>2760.9404091706319</v>
      </c>
      <c r="Y29" s="218">
        <v>-704.30949987706765</v>
      </c>
      <c r="Z29" s="218">
        <v>78.374973868118246</v>
      </c>
      <c r="AA29" s="218">
        <v>-2.9559560175300859</v>
      </c>
      <c r="AB29" s="74"/>
      <c r="AC29" s="75">
        <v>560</v>
      </c>
      <c r="AD29" s="75">
        <v>512</v>
      </c>
      <c r="AE29" s="75">
        <v>410</v>
      </c>
      <c r="AF29" s="75">
        <v>295</v>
      </c>
      <c r="AG29" s="75">
        <v>190</v>
      </c>
      <c r="AH29" s="74"/>
      <c r="AI29" s="76"/>
      <c r="AJ29" s="76"/>
      <c r="AK29" s="76"/>
      <c r="AL29" s="76"/>
      <c r="AM29" s="76"/>
      <c r="AN29" s="74"/>
      <c r="AO29" s="77">
        <v>28.8</v>
      </c>
      <c r="AP29" s="77">
        <v>18.5</v>
      </c>
      <c r="AQ29" s="77">
        <v>10.3</v>
      </c>
      <c r="AR29" s="77">
        <v>5.5</v>
      </c>
      <c r="AS29" s="77">
        <v>2.8</v>
      </c>
      <c r="AT29" s="74"/>
      <c r="AU29" s="102">
        <v>1.2932915211001514E-4</v>
      </c>
      <c r="AV29" s="104">
        <v>1.829330158620641</v>
      </c>
      <c r="AW29" s="74"/>
      <c r="AX29" s="110">
        <v>482.80744337778077</v>
      </c>
      <c r="AY29" s="110">
        <v>-83.406316587778107</v>
      </c>
      <c r="AZ29" s="110">
        <v>21.042264468578555</v>
      </c>
      <c r="BA29" s="110">
        <v>-0.9895255552584159</v>
      </c>
      <c r="BB29" s="110">
        <v>0</v>
      </c>
      <c r="BC29" s="74"/>
      <c r="BD29" s="102">
        <v>1.2932915211001514E-4</v>
      </c>
      <c r="BE29" s="104">
        <v>1.829330158620641</v>
      </c>
      <c r="BF29" s="74"/>
      <c r="BG29" s="47" t="s">
        <v>15</v>
      </c>
      <c r="BH29" s="48" t="s">
        <v>54</v>
      </c>
    </row>
    <row r="30" spans="1:85" ht="15" x14ac:dyDescent="0.25">
      <c r="A30" s="72" t="s">
        <v>23</v>
      </c>
      <c r="B30" s="43" t="s">
        <v>47</v>
      </c>
      <c r="C30" s="44" t="s">
        <v>3287</v>
      </c>
      <c r="D30" s="45">
        <f>ROUND(MID(Briza12!$C30,6,3)/Basis!$E$3,1)</f>
        <v>20.5</v>
      </c>
      <c r="E30" s="45">
        <f>ROUND(MID(Briza12!$C30,9,3)/Basis!$E$3,1)</f>
        <v>20.5</v>
      </c>
      <c r="F30" s="46" t="s">
        <v>51</v>
      </c>
      <c r="G30" s="45">
        <f>ROUND(12/Basis!$E$3,1)</f>
        <v>4.7</v>
      </c>
      <c r="H30" s="221">
        <f>(($AA30*U_H^4+$Z30*U_H^3+$Y30*U_H^2+$X30*U_H+$W30)*((((TaH-TrH)/LN((TaH-TlH)/(TrH-TlH)))/((75-65)/LN((75-20)/(65-20))))^1))*Basis!$E$2*$AA$4*Glycol</f>
        <v>6664.4938433088018</v>
      </c>
      <c r="I30" s="123">
        <f>ROUND((($H30/Basis!$E$2)/((TaH-TrH)*1.163))*Basis!$E$5,IF(Basis!$E$1=1,0,IF(Basis!$E$1=2,2)))</f>
        <v>0.67</v>
      </c>
      <c r="J30" s="83">
        <f>ROUND(INDEX($AC30:$AG30,0,FanspeedH)*Basis!$E$4,1)</f>
        <v>147.1</v>
      </c>
      <c r="K30" s="85">
        <f>INDEX($AO30:$AS30,0,FanspeedH)</f>
        <v>16.8</v>
      </c>
      <c r="L30" s="84">
        <f>CHOOSE(Basis!$E$1,$AU30*(I30*3600/Basis!$E$5)^$AV30*Basis!$E$6/Basis!$E$9,$AU30*(I30/Basis!$E$5)^$AV30*Basis!$E$6/Basis!$E$9)</f>
        <v>0.40289617848162956</v>
      </c>
      <c r="M30" s="85">
        <f>INDEX($AI30:$AM30,0,FanspeedH)</f>
        <v>0</v>
      </c>
      <c r="N30" s="222">
        <f>(($BB30*U_C^4+$BA30*U_C^3+$AZ30*U_C^2+$AY30*U_C+$AX30)*((((TaC-TrC)/LN((TaC-TlC)/(TrC-TlC)))/((16-18)/LN((16-27)/(18-27))))^1))*Basis!$E$2*$AA$4*Glycol</f>
        <v>1636.6191233361631</v>
      </c>
      <c r="O30" s="108">
        <f>(($N30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1846.9857675348208</v>
      </c>
      <c r="P30" s="123">
        <f>ROUND((($O30/Basis!$E$2)/((TrC-TaC)*1.163))*Basis!$E$5,IF(Basis!$E$1=1,0,IF(Basis!$E$1=2,2)))</f>
        <v>0.37</v>
      </c>
      <c r="Q30" s="83">
        <f>IF(N30=0,0,ROUND(INDEX($AC30:$AG30,0,FanspeedC)*Basis!$E$4,1))</f>
        <v>147.1</v>
      </c>
      <c r="R30" s="85">
        <f>IF(N30=0,0,INDEX($AO30:$AS30,0,FanspeedC))</f>
        <v>16.8</v>
      </c>
      <c r="S30" s="84">
        <f>CHOOSE(Basis!$E$1,$BD30*(P30*3600/Basis!$E$5)^$BE30*Basis!$E$6/Basis!$E$9,$BD30*(P30/Basis!$E$5)^$BE30*Basis!$E$6/Basis!$E$9)</f>
        <v>0.1372434091935166</v>
      </c>
      <c r="T30" s="85">
        <f>IF(N30=0,0,INDEX($AI30:$AM30,0,FanspeedC))</f>
        <v>0</v>
      </c>
      <c r="U30" s="109">
        <v>1</v>
      </c>
      <c r="V30" s="68"/>
      <c r="W30" s="217">
        <v>1799.5703194869316</v>
      </c>
      <c r="X30" s="217">
        <v>-394.97241741556002</v>
      </c>
      <c r="Y30" s="217">
        <v>154.95813256389033</v>
      </c>
      <c r="Z30" s="217">
        <v>-17.609691863971744</v>
      </c>
      <c r="AA30" s="217">
        <v>0.69809556564507336</v>
      </c>
      <c r="AB30" s="68"/>
      <c r="AC30" s="69">
        <v>250</v>
      </c>
      <c r="AD30" s="69">
        <v>212</v>
      </c>
      <c r="AE30" s="69">
        <v>169</v>
      </c>
      <c r="AF30" s="69">
        <v>130</v>
      </c>
      <c r="AG30" s="69">
        <v>89</v>
      </c>
      <c r="AH30" s="68"/>
      <c r="AI30" s="70"/>
      <c r="AJ30" s="70"/>
      <c r="AK30" s="70"/>
      <c r="AL30" s="70"/>
      <c r="AM30" s="70"/>
      <c r="AN30" s="68"/>
      <c r="AO30" s="71">
        <v>16.8</v>
      </c>
      <c r="AP30" s="71">
        <v>9.6</v>
      </c>
      <c r="AQ30" s="71">
        <v>5.5</v>
      </c>
      <c r="AR30" s="71">
        <v>3.2</v>
      </c>
      <c r="AS30" s="71">
        <v>2</v>
      </c>
      <c r="AT30" s="68"/>
      <c r="AU30" s="101">
        <v>1.3263547865279744E-4</v>
      </c>
      <c r="AV30" s="103">
        <v>1.8136893271096062</v>
      </c>
      <c r="AW30" s="68"/>
      <c r="AX30" s="109">
        <v>141.61893986654567</v>
      </c>
      <c r="AY30" s="109">
        <v>31.006808805567498</v>
      </c>
      <c r="AZ30" s="109">
        <v>-6.1452575712695774</v>
      </c>
      <c r="BA30" s="109">
        <v>1.0825592582312564</v>
      </c>
      <c r="BB30" s="109">
        <v>-5.708272495290441E-2</v>
      </c>
      <c r="BC30" s="68"/>
      <c r="BD30" s="101">
        <v>1.3263547865279744E-4</v>
      </c>
      <c r="BE30" s="103">
        <v>1.8136893271096062</v>
      </c>
      <c r="BF30" s="68"/>
      <c r="BG30" s="49" t="s">
        <v>15</v>
      </c>
      <c r="BH30" s="50" t="s">
        <v>38</v>
      </c>
    </row>
    <row r="31" spans="1:85" ht="15" x14ac:dyDescent="0.25">
      <c r="A31" s="72" t="s">
        <v>23</v>
      </c>
      <c r="B31" s="43" t="s">
        <v>47</v>
      </c>
      <c r="C31" s="44" t="s">
        <v>3288</v>
      </c>
      <c r="D31" s="45">
        <f>ROUND(MID(Briza12!$C31,6,3)/Basis!$E$3,1)</f>
        <v>20.5</v>
      </c>
      <c r="E31" s="45">
        <f>ROUND(MID(Briza12!$C31,9,3)/Basis!$E$3,1)</f>
        <v>28.3</v>
      </c>
      <c r="F31" s="46" t="s">
        <v>51</v>
      </c>
      <c r="G31" s="45">
        <f>ROUND(12/Basis!$E$3,1)</f>
        <v>4.7</v>
      </c>
      <c r="H31" s="221">
        <f>(($AA31*U_H^4+$Z31*U_H^3+$Y31*U_H^2+$X31*U_H+$W31)*((((TaH-TrH)/LN((TaH-TlH)/(TrH-TlH)))/((75-65)/LN((75-20)/(65-20))))^1))*Basis!$E$2*$AA$4*Glycol</f>
        <v>11035.531730789016</v>
      </c>
      <c r="I31" s="123">
        <f>ROUND((($H31/Basis!$E$2)/((TaH-TrH)*1.163))*Basis!$E$5,IF(Basis!$E$1=1,0,IF(Basis!$E$1=2,2)))</f>
        <v>1.1000000000000001</v>
      </c>
      <c r="J31" s="83">
        <f>ROUND(INDEX($AC31:$AG31,0,FanspeedH)*Basis!$E$4,1)</f>
        <v>214.8</v>
      </c>
      <c r="K31" s="85">
        <f>INDEX($AO31:$AS31,0,FanspeedH)</f>
        <v>15.6</v>
      </c>
      <c r="L31" s="84">
        <f>CHOOSE(Basis!$E$1,$AU31*(I31*3600/Basis!$E$5)^$AV31*Basis!$E$6/Basis!$E$9,$AU31*(I31/Basis!$E$5)^$AV31*Basis!$E$6/Basis!$E$9)</f>
        <v>1.3004593206798611</v>
      </c>
      <c r="M31" s="85">
        <f>INDEX($AI31:$AM31,0,FanspeedH)</f>
        <v>0</v>
      </c>
      <c r="N31" s="222">
        <f>(($BB31*U_C^4+$BA31*U_C^3+$AZ31*U_C^2+$AY31*U_C+$AX31)*((((TaC-TrC)/LN((TaC-TlC)/(TrC-TlC)))/((16-18)/LN((16-27)/(18-27))))^1))*Basis!$E$2*$AA$4*Glycol</f>
        <v>2707.1872216201791</v>
      </c>
      <c r="O31" s="108">
        <f>(($N31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3055.1618254295395</v>
      </c>
      <c r="P31" s="123">
        <f>ROUND((($O31/Basis!$E$2)/((TrC-TaC)*1.163))*Basis!$E$5,IF(Basis!$E$1=1,0,IF(Basis!$E$1=2,2)))</f>
        <v>0.61</v>
      </c>
      <c r="Q31" s="83">
        <f>IF(N31=0,0,ROUND(INDEX($AC31:$AG31,0,FanspeedC)*Basis!$E$4,1))</f>
        <v>214.8</v>
      </c>
      <c r="R31" s="85">
        <f>IF(N31=0,0,INDEX($AO31:$AS31,0,FanspeedC))</f>
        <v>15.6</v>
      </c>
      <c r="S31" s="84">
        <f>CHOOSE(Basis!$E$1,$BD31*(P31*3600/Basis!$E$5)^$BE31*Basis!$E$6/Basis!$E$9,$BD31*(P31/Basis!$E$5)^$BE31*Basis!$E$6/Basis!$E$9)</f>
        <v>0.44448179988776965</v>
      </c>
      <c r="T31" s="85">
        <f>IF(N31=0,0,INDEX($AI31:$AM31,0,FanspeedC))</f>
        <v>0</v>
      </c>
      <c r="U31" s="110">
        <v>1</v>
      </c>
      <c r="V31" s="74"/>
      <c r="W31" s="218">
        <v>2449.9380640168019</v>
      </c>
      <c r="X31" s="218">
        <v>-187.6715729709768</v>
      </c>
      <c r="Y31" s="218">
        <v>122.05804505559311</v>
      </c>
      <c r="Z31" s="218">
        <v>-13.263227732012894</v>
      </c>
      <c r="AA31" s="218">
        <v>0.49830709976094612</v>
      </c>
      <c r="AB31" s="74"/>
      <c r="AC31" s="75">
        <v>365</v>
      </c>
      <c r="AD31" s="75">
        <v>320</v>
      </c>
      <c r="AE31" s="75">
        <v>262</v>
      </c>
      <c r="AF31" s="75">
        <v>193</v>
      </c>
      <c r="AG31" s="75">
        <v>127</v>
      </c>
      <c r="AH31" s="74"/>
      <c r="AI31" s="76"/>
      <c r="AJ31" s="76"/>
      <c r="AK31" s="76"/>
      <c r="AL31" s="76"/>
      <c r="AM31" s="76"/>
      <c r="AN31" s="74"/>
      <c r="AO31" s="77">
        <v>15.6</v>
      </c>
      <c r="AP31" s="77">
        <v>9.6</v>
      </c>
      <c r="AQ31" s="77">
        <v>5.7</v>
      </c>
      <c r="AR31" s="77">
        <v>3.6</v>
      </c>
      <c r="AS31" s="77">
        <v>2.2000000000000002</v>
      </c>
      <c r="AT31" s="74"/>
      <c r="AU31" s="102">
        <v>1.6747942882275273E-4</v>
      </c>
      <c r="AV31" s="104">
        <v>1.8208138694468972</v>
      </c>
      <c r="AW31" s="74"/>
      <c r="AX31" s="110">
        <v>278.25730759129112</v>
      </c>
      <c r="AY31" s="110">
        <v>15.003869299896744</v>
      </c>
      <c r="AZ31" s="110">
        <v>3.0462357352307898</v>
      </c>
      <c r="BA31" s="110">
        <v>-0.15580336271323561</v>
      </c>
      <c r="BB31" s="110">
        <v>0</v>
      </c>
      <c r="BC31" s="74"/>
      <c r="BD31" s="102">
        <v>1.6747942882275273E-4</v>
      </c>
      <c r="BE31" s="104">
        <v>1.8208138694468972</v>
      </c>
      <c r="BF31" s="74"/>
      <c r="BG31" s="47" t="s">
        <v>15</v>
      </c>
      <c r="BH31" s="48" t="s">
        <v>43</v>
      </c>
    </row>
    <row r="32" spans="1:85" ht="15" x14ac:dyDescent="0.25">
      <c r="A32" s="72" t="s">
        <v>23</v>
      </c>
      <c r="B32" s="43" t="s">
        <v>47</v>
      </c>
      <c r="C32" s="44" t="s">
        <v>3289</v>
      </c>
      <c r="D32" s="45">
        <f>ROUND(MID(Briza12!$C32,6,3)/Basis!$E$3,1)</f>
        <v>20.5</v>
      </c>
      <c r="E32" s="45">
        <f>ROUND(MID(Briza12!$C32,9,3)/Basis!$E$3,1)</f>
        <v>40.200000000000003</v>
      </c>
      <c r="F32" s="46" t="s">
        <v>51</v>
      </c>
      <c r="G32" s="45">
        <f>ROUND(12/Basis!$E$3,1)</f>
        <v>4.7</v>
      </c>
      <c r="H32" s="221">
        <f>(($AA32*U_H^4+$Z32*U_H^3+$Y32*U_H^2+$X32*U_H+$W32)*((((TaH-TrH)/LN((TaH-TlH)/(TrH-TlH)))/((75-65)/LN((75-20)/(65-20))))^1))*Basis!$E$2*$AA$4*Glycol</f>
        <v>17592.29554964765</v>
      </c>
      <c r="I32" s="123">
        <f>ROUND((($H32/Basis!$E$2)/((TaH-TrH)*1.163))*Basis!$E$5,IF(Basis!$E$1=1,0,IF(Basis!$E$1=2,2)))</f>
        <v>1.76</v>
      </c>
      <c r="J32" s="83">
        <f>ROUND(INDEX($AC32:$AG32,0,FanspeedH)*Basis!$E$4,1)</f>
        <v>301.89999999999998</v>
      </c>
      <c r="K32" s="85">
        <f>INDEX($AO32:$AS32,0,FanspeedH)</f>
        <v>28.8</v>
      </c>
      <c r="L32" s="84">
        <f>CHOOSE(Basis!$E$1,$AU32*(I32*3600/Basis!$E$5)^$AV32*Basis!$E$6/Basis!$E$9,$AU32*(I32/Basis!$E$5)^$AV32*Basis!$E$6/Basis!$E$9)</f>
        <v>4.1000899501196217</v>
      </c>
      <c r="M32" s="85">
        <f>INDEX($AI32:$AM32,0,FanspeedH)</f>
        <v>0</v>
      </c>
      <c r="N32" s="222">
        <f>(($BB32*U_C^4+$BA32*U_C^3+$AZ32*U_C^2+$AY32*U_C+$AX32)*((((TaC-TrC)/LN((TaC-TlC)/(TrC-TlC)))/((16-18)/LN((16-27)/(18-27))))^1))*Basis!$E$2*$AA$4*Glycol</f>
        <v>4316.1515338187892</v>
      </c>
      <c r="O32" s="108">
        <f>(($N32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4870.9381063791097</v>
      </c>
      <c r="P32" s="123">
        <f>ROUND((($O32/Basis!$E$2)/((TrC-TaC)*1.163))*Basis!$E$5,IF(Basis!$E$1=1,0,IF(Basis!$E$1=2,2)))</f>
        <v>0.97</v>
      </c>
      <c r="Q32" s="83">
        <f>IF(N32=0,0,ROUND(INDEX($AC32:$AG32,0,FanspeedC)*Basis!$E$4,1))</f>
        <v>301.89999999999998</v>
      </c>
      <c r="R32" s="85">
        <f>IF(N32=0,0,INDEX($AO32:$AS32,0,FanspeedC))</f>
        <v>28.8</v>
      </c>
      <c r="S32" s="84">
        <f>CHOOSE(Basis!$E$1,$BD32*(P32*3600/Basis!$E$5)^$BE32*Basis!$E$6/Basis!$E$9,$BD32*(P32/Basis!$E$5)^$BE32*Basis!$E$6/Basis!$E$9)</f>
        <v>1.392945913225569</v>
      </c>
      <c r="T32" s="85">
        <f>IF(N32=0,0,INDEX($AI32:$AM32,0,FanspeedC))</f>
        <v>0</v>
      </c>
      <c r="U32" s="109">
        <v>1</v>
      </c>
      <c r="V32" s="68"/>
      <c r="W32" s="217">
        <v>3667.2959327216463</v>
      </c>
      <c r="X32" s="217">
        <v>-107.32250508333314</v>
      </c>
      <c r="Y32" s="217">
        <v>136.64465681006797</v>
      </c>
      <c r="Z32" s="217">
        <v>-14.0765186386179</v>
      </c>
      <c r="AA32" s="217">
        <v>0.49898569310107377</v>
      </c>
      <c r="AB32" s="68"/>
      <c r="AC32" s="69">
        <v>513</v>
      </c>
      <c r="AD32" s="69">
        <v>437</v>
      </c>
      <c r="AE32" s="69">
        <v>353</v>
      </c>
      <c r="AF32" s="69">
        <v>259</v>
      </c>
      <c r="AG32" s="69">
        <v>168</v>
      </c>
      <c r="AH32" s="68"/>
      <c r="AI32" s="70"/>
      <c r="AJ32" s="70"/>
      <c r="AK32" s="70"/>
      <c r="AL32" s="70"/>
      <c r="AM32" s="70"/>
      <c r="AN32" s="68"/>
      <c r="AO32" s="71">
        <v>28.8</v>
      </c>
      <c r="AP32" s="71">
        <v>18</v>
      </c>
      <c r="AQ32" s="71">
        <v>10</v>
      </c>
      <c r="AR32" s="71">
        <v>5.4</v>
      </c>
      <c r="AS32" s="71">
        <v>2.8</v>
      </c>
      <c r="AT32" s="68"/>
      <c r="AU32" s="101">
        <v>2.364386444169621E-4</v>
      </c>
      <c r="AV32" s="103">
        <v>1.8120794599034276</v>
      </c>
      <c r="AW32" s="68"/>
      <c r="AX32" s="109">
        <v>468.36560109162576</v>
      </c>
      <c r="AY32" s="109">
        <v>4.1133778972978119</v>
      </c>
      <c r="AZ32" s="109">
        <v>8.7423560272215806</v>
      </c>
      <c r="BA32" s="109">
        <v>-0.46362092450028353</v>
      </c>
      <c r="BB32" s="109">
        <v>0</v>
      </c>
      <c r="BC32" s="68"/>
      <c r="BD32" s="101">
        <v>2.364386444169621E-4</v>
      </c>
      <c r="BE32" s="103">
        <v>1.8120794599034276</v>
      </c>
      <c r="BF32" s="68"/>
      <c r="BG32" s="49" t="s">
        <v>15</v>
      </c>
      <c r="BH32" s="50" t="s">
        <v>56</v>
      </c>
    </row>
    <row r="33" spans="1:60" ht="15" x14ac:dyDescent="0.25">
      <c r="A33" s="72" t="s">
        <v>23</v>
      </c>
      <c r="B33" s="43" t="s">
        <v>47</v>
      </c>
      <c r="C33" s="44" t="s">
        <v>3290</v>
      </c>
      <c r="D33" s="45">
        <f>ROUND(MID(Briza12!$C33,6,3)/Basis!$E$3,1)</f>
        <v>20.5</v>
      </c>
      <c r="E33" s="45">
        <f>ROUND(MID(Briza12!$C33,9,3)/Basis!$E$3,1)</f>
        <v>48</v>
      </c>
      <c r="F33" s="46" t="s">
        <v>51</v>
      </c>
      <c r="G33" s="45">
        <f>ROUND(12/Basis!$E$3,1)</f>
        <v>4.7</v>
      </c>
      <c r="H33" s="221">
        <f>(($AA33*U_H^4+$Z33*U_H^3+$Y33*U_H^2+$X33*U_H+$W33)*((((TaH-TrH)/LN((TaH-TlH)/(TrH-TlH)))/((75-65)/LN((75-20)/(65-20))))^1))*Basis!$E$2*$AA$4*Glycol</f>
        <v>21964.91579644382</v>
      </c>
      <c r="I33" s="123">
        <f>ROUND((($H33/Basis!$E$2)/((TaH-TrH)*1.163))*Basis!$E$5,IF(Basis!$E$1=1,0,IF(Basis!$E$1=2,2)))</f>
        <v>2.19</v>
      </c>
      <c r="J33" s="83">
        <f>ROUND(INDEX($AC33:$AG33,0,FanspeedH)*Basis!$E$4,1)</f>
        <v>343.1</v>
      </c>
      <c r="K33" s="85">
        <f>INDEX($AO33:$AS33,0,FanspeedH)</f>
        <v>28.8</v>
      </c>
      <c r="L33" s="84">
        <f>CHOOSE(Basis!$E$1,$AU33*(I33*3600/Basis!$E$5)^$AV33*Basis!$E$6/Basis!$E$9,$AU33*(I33/Basis!$E$5)^$AV33*Basis!$E$6/Basis!$E$9)</f>
        <v>7.1490190672526026</v>
      </c>
      <c r="M33" s="85">
        <f>INDEX($AI33:$AM33,0,FanspeedH)</f>
        <v>0</v>
      </c>
      <c r="N33" s="222">
        <f>(($BB33*U_C^4+$BA33*U_C^3+$AZ33*U_C^2+$AY33*U_C+$AX33)*((((TaC-TrC)/LN((TaC-TlC)/(TrC-TlC)))/((16-18)/LN((16-27)/(18-27))))^1))*Basis!$E$2*$AA$4*Glycol</f>
        <v>5390.7667936730095</v>
      </c>
      <c r="O33" s="108">
        <f>(($N33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6083.6815371662124</v>
      </c>
      <c r="P33" s="123">
        <f>ROUND((($O33/Basis!$E$2)/((TrC-TaC)*1.163))*Basis!$E$5,IF(Basis!$E$1=1,0,IF(Basis!$E$1=2,2)))</f>
        <v>1.22</v>
      </c>
      <c r="Q33" s="83">
        <f>IF(N33=0,0,ROUND(INDEX($AC33:$AG33,0,FanspeedC)*Basis!$E$4,1))</f>
        <v>343.1</v>
      </c>
      <c r="R33" s="85">
        <f>IF(N33=0,0,INDEX($AO33:$AS33,0,FanspeedC))</f>
        <v>28.8</v>
      </c>
      <c r="S33" s="84">
        <f>CHOOSE(Basis!$E$1,$BD33*(P33*3600/Basis!$E$5)^$BE33*Basis!$E$6/Basis!$E$9,$BD33*(P33/Basis!$E$5)^$BE33*Basis!$E$6/Basis!$E$9)</f>
        <v>2.4715642074350983</v>
      </c>
      <c r="T33" s="85">
        <f>IF(N33=0,0,INDEX($AI33:$AM33,0,FanspeedC))</f>
        <v>0</v>
      </c>
      <c r="U33" s="110">
        <v>1</v>
      </c>
      <c r="V33" s="74"/>
      <c r="W33" s="218">
        <v>3546.9026600779671</v>
      </c>
      <c r="X33" s="218">
        <v>534.88419784399764</v>
      </c>
      <c r="Y33" s="218">
        <v>10.781174684358943</v>
      </c>
      <c r="Z33" s="218">
        <v>-1.0193952578456988</v>
      </c>
      <c r="AA33" s="218">
        <v>0</v>
      </c>
      <c r="AB33" s="74"/>
      <c r="AC33" s="75">
        <v>583</v>
      </c>
      <c r="AD33" s="75">
        <v>500</v>
      </c>
      <c r="AE33" s="75">
        <v>396</v>
      </c>
      <c r="AF33" s="75">
        <v>297</v>
      </c>
      <c r="AG33" s="75">
        <v>200</v>
      </c>
      <c r="AH33" s="74"/>
      <c r="AI33" s="76"/>
      <c r="AJ33" s="76"/>
      <c r="AK33" s="76"/>
      <c r="AL33" s="76"/>
      <c r="AM33" s="76"/>
      <c r="AN33" s="74"/>
      <c r="AO33" s="77">
        <v>28.8</v>
      </c>
      <c r="AP33" s="77">
        <v>18</v>
      </c>
      <c r="AQ33" s="77">
        <v>10</v>
      </c>
      <c r="AR33" s="77">
        <v>5.5</v>
      </c>
      <c r="AS33" s="77">
        <v>2.8</v>
      </c>
      <c r="AT33" s="74"/>
      <c r="AU33" s="102">
        <v>2.7169905751214276E-4</v>
      </c>
      <c r="AV33" s="104">
        <v>1.8154391549649329</v>
      </c>
      <c r="AW33" s="74"/>
      <c r="AX33" s="110">
        <v>613.16879517825794</v>
      </c>
      <c r="AY33" s="110">
        <v>-38.707319274037957</v>
      </c>
      <c r="AZ33" s="110">
        <v>28.361806599292617</v>
      </c>
      <c r="BA33" s="110">
        <v>-3.0580202694692744</v>
      </c>
      <c r="BB33" s="110">
        <v>0.11449437682638812</v>
      </c>
      <c r="BC33" s="74"/>
      <c r="BD33" s="102">
        <v>2.7169905751214276E-4</v>
      </c>
      <c r="BE33" s="104">
        <v>1.8154391549649329</v>
      </c>
      <c r="BF33" s="74"/>
      <c r="BG33" s="47" t="s">
        <v>15</v>
      </c>
      <c r="BH33" s="48" t="s">
        <v>58</v>
      </c>
    </row>
    <row r="34" spans="1:60" ht="15" x14ac:dyDescent="0.25">
      <c r="A34" s="72" t="s">
        <v>23</v>
      </c>
      <c r="B34" s="43" t="s">
        <v>47</v>
      </c>
      <c r="C34" s="44" t="s">
        <v>3291</v>
      </c>
      <c r="D34" s="45">
        <f>ROUND(MID(Briza12!$C34,6,3)/Basis!$E$3,1)</f>
        <v>15</v>
      </c>
      <c r="E34" s="45">
        <f>ROUND(MID(Briza12!$C34,9,3)/Basis!$E$3,1)</f>
        <v>20.5</v>
      </c>
      <c r="F34" s="46" t="s">
        <v>50</v>
      </c>
      <c r="G34" s="45">
        <f>ROUND(12/Basis!$E$3,1)</f>
        <v>4.7</v>
      </c>
      <c r="H34" s="221">
        <f>(($AA34*U_H^4+$Z34*U_H^3+$Y34*U_H^2+$X34*U_H+$W34)*((((TaH-TrH)/LN((TaH-TlH)/(TrH-TlH)))/((75-65)/LN((75-20)/(65-20))))^1))*Basis!$E$2*$AA$4*Glycol</f>
        <v>3602.0888092930354</v>
      </c>
      <c r="I34" s="123">
        <f>ROUND((($H34/Basis!$E$2)/((TaH-TrH)*1.163))*Basis!$E$5,IF(Basis!$E$1=1,0,IF(Basis!$E$1=2,2)))</f>
        <v>0.36</v>
      </c>
      <c r="J34" s="83">
        <f>ROUND(INDEX($AC34:$AG34,0,FanspeedH)*Basis!$E$4,1)</f>
        <v>92.4</v>
      </c>
      <c r="K34" s="85">
        <f>INDEX($AO34:$AS34,0,FanspeedH)</f>
        <v>13.7</v>
      </c>
      <c r="L34" s="84">
        <f>CHOOSE(Basis!$E$1,$AU34*(I34*3600/Basis!$E$5)^$AV34*Basis!$E$6/Basis!$E$9,$AU34*(I34/Basis!$E$5)^$AV34*Basis!$E$6/Basis!$E$9)</f>
        <v>6.7597639276309934E-2</v>
      </c>
      <c r="M34" s="85">
        <f>INDEX($AI34:$AM34,0,FanspeedH)</f>
        <v>0</v>
      </c>
      <c r="N34" s="222">
        <f>(($BB34*U_C^4+$BA34*U_C^3+$AZ34*U_C^2+$AY34*U_C+$AX34)*((((TaC-TrC)/LN((TaC-TlC)/(TrC-TlC)))/((16-18)/LN((16-27)/(18-27))))^1))*Basis!$E$2*$AA$4*Glycol</f>
        <v>881.39012135871769</v>
      </c>
      <c r="O34" s="108">
        <f>(($N34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994.68164986177089</v>
      </c>
      <c r="P34" s="123">
        <f>ROUND((($O34/Basis!$E$2)/((TrC-TaC)*1.163))*Basis!$E$5,IF(Basis!$E$1=1,0,IF(Basis!$E$1=2,2)))</f>
        <v>0.2</v>
      </c>
      <c r="Q34" s="83">
        <f>IF(N34=0,0,ROUND(INDEX($AC34:$AG34,0,FanspeedC)*Basis!$E$4,1))</f>
        <v>92.4</v>
      </c>
      <c r="R34" s="85">
        <f>IF(N34=0,0,INDEX($AO34:$AS34,0,FanspeedC))</f>
        <v>13.7</v>
      </c>
      <c r="S34" s="84">
        <f>CHOOSE(Basis!$E$1,$BD34*(P34*3600/Basis!$E$5)^$BE34*Basis!$E$6/Basis!$E$9,$BD34*(P34/Basis!$E$5)^$BE34*Basis!$E$6/Basis!$E$9)</f>
        <v>2.2977000170463391E-2</v>
      </c>
      <c r="T34" s="85">
        <f>IF(N34=0,0,INDEX($AI34:$AM34,0,FanspeedC))</f>
        <v>0</v>
      </c>
      <c r="U34" s="109">
        <v>1</v>
      </c>
      <c r="V34" s="68"/>
      <c r="W34" s="217">
        <v>672.41562351132109</v>
      </c>
      <c r="X34" s="217">
        <v>69.712592547323396</v>
      </c>
      <c r="Y34" s="217">
        <v>-4.1131146289079608</v>
      </c>
      <c r="Z34" s="217">
        <v>0.5102383173034456</v>
      </c>
      <c r="AA34" s="217">
        <v>0</v>
      </c>
      <c r="AB34" s="68"/>
      <c r="AC34" s="69">
        <v>157</v>
      </c>
      <c r="AD34" s="69">
        <v>128</v>
      </c>
      <c r="AE34" s="69">
        <v>95</v>
      </c>
      <c r="AF34" s="69">
        <v>67</v>
      </c>
      <c r="AG34" s="69">
        <v>32</v>
      </c>
      <c r="AH34" s="68"/>
      <c r="AI34" s="70"/>
      <c r="AJ34" s="70"/>
      <c r="AK34" s="70"/>
      <c r="AL34" s="70"/>
      <c r="AM34" s="70"/>
      <c r="AN34" s="68"/>
      <c r="AO34" s="71">
        <v>13.7</v>
      </c>
      <c r="AP34" s="71">
        <v>8</v>
      </c>
      <c r="AQ34" s="71">
        <v>4.8</v>
      </c>
      <c r="AR34" s="71">
        <v>3</v>
      </c>
      <c r="AS34" s="71">
        <v>1.8</v>
      </c>
      <c r="AT34" s="68"/>
      <c r="AU34" s="101">
        <v>6.2276819636539519E-5</v>
      </c>
      <c r="AV34" s="103">
        <v>1.8358350093844202</v>
      </c>
      <c r="AW34" s="68"/>
      <c r="AX34" s="109">
        <v>82.549001284779564</v>
      </c>
      <c r="AY34" s="109">
        <v>8.2877720139951929</v>
      </c>
      <c r="AZ34" s="109">
        <v>0.2246738635684899</v>
      </c>
      <c r="BA34" s="109">
        <v>0</v>
      </c>
      <c r="BB34" s="109">
        <v>0</v>
      </c>
      <c r="BC34" s="68"/>
      <c r="BD34" s="101">
        <v>6.2276819636539519E-5</v>
      </c>
      <c r="BE34" s="103">
        <v>1.8358350093844202</v>
      </c>
      <c r="BF34" s="68"/>
      <c r="BG34" s="49" t="s">
        <v>15</v>
      </c>
      <c r="BH34" s="50" t="s">
        <v>32</v>
      </c>
    </row>
    <row r="35" spans="1:60" ht="15" x14ac:dyDescent="0.25">
      <c r="A35" s="72" t="s">
        <v>23</v>
      </c>
      <c r="B35" s="43" t="s">
        <v>47</v>
      </c>
      <c r="C35" s="44" t="s">
        <v>3292</v>
      </c>
      <c r="D35" s="45">
        <f>ROUND(MID(Briza12!$C35,6,3)/Basis!$E$3,1)</f>
        <v>15</v>
      </c>
      <c r="E35" s="45">
        <f>ROUND(MID(Briza12!$C35,9,3)/Basis!$E$3,1)</f>
        <v>28.3</v>
      </c>
      <c r="F35" s="46" t="s">
        <v>50</v>
      </c>
      <c r="G35" s="45">
        <f>ROUND(12/Basis!$E$3,1)</f>
        <v>4.7</v>
      </c>
      <c r="H35" s="221">
        <f>(($AA35*U_H^4+$Z35*U_H^3+$Y35*U_H^2+$X35*U_H+$W35)*((((TaH-TrH)/LN((TaH-TlH)/(TrH-TlH)))/((75-65)/LN((75-20)/(65-20))))^1))*Basis!$E$2*$AA$4*Glycol</f>
        <v>5928.3973034085839</v>
      </c>
      <c r="I35" s="123">
        <f>ROUND((($H35/Basis!$E$2)/((TaH-TrH)*1.163))*Basis!$E$5,IF(Basis!$E$1=1,0,IF(Basis!$E$1=2,2)))</f>
        <v>0.59</v>
      </c>
      <c r="J35" s="83">
        <f>ROUND(INDEX($AC35:$AG35,0,FanspeedH)*Basis!$E$4,1)</f>
        <v>148.30000000000001</v>
      </c>
      <c r="K35" s="85">
        <f>INDEX($AO35:$AS35,0,FanspeedH)</f>
        <v>14.4</v>
      </c>
      <c r="L35" s="84">
        <f>CHOOSE(Basis!$E$1,$AU35*(I35*3600/Basis!$E$5)^$AV35*Basis!$E$6/Basis!$E$9,$AU35*(I35/Basis!$E$5)^$AV35*Basis!$E$6/Basis!$E$9)</f>
        <v>0.21615401273411083</v>
      </c>
      <c r="M35" s="85">
        <f>INDEX($AI35:$AM35,0,FanspeedH)</f>
        <v>0</v>
      </c>
      <c r="N35" s="222">
        <f>(($BB35*U_C^4+$BA35*U_C^3+$AZ35*U_C^2+$AY35*U_C+$AX35)*((((TaC-TrC)/LN((TaC-TlC)/(TrC-TlC)))/((16-18)/LN((16-27)/(18-27))))^1))*Basis!$E$2*$AA$4*Glycol</f>
        <v>1453.3045621278811</v>
      </c>
      <c r="O35" s="108">
        <f>(($N35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1640.1084429906646</v>
      </c>
      <c r="P35" s="123">
        <f>ROUND((($O35/Basis!$E$2)/((TrC-TaC)*1.163))*Basis!$E$5,IF(Basis!$E$1=1,0,IF(Basis!$E$1=2,2)))</f>
        <v>0.33</v>
      </c>
      <c r="Q35" s="83">
        <f>IF(N35=0,0,ROUND(INDEX($AC35:$AG35,0,FanspeedC)*Basis!$E$4,1))</f>
        <v>148.30000000000001</v>
      </c>
      <c r="R35" s="85">
        <f>IF(N35=0,0,INDEX($AO35:$AS35,0,FanspeedC))</f>
        <v>14.4</v>
      </c>
      <c r="S35" s="84">
        <f>CHOOSE(Basis!$E$1,$BD35*(P35*3600/Basis!$E$5)^$BE35*Basis!$E$6/Basis!$E$9,$BD35*(P35/Basis!$E$5)^$BE35*Basis!$E$6/Basis!$E$9)</f>
        <v>7.5303946233772734E-2</v>
      </c>
      <c r="T35" s="85">
        <f>IF(N35=0,0,INDEX($AI35:$AM35,0,FanspeedC))</f>
        <v>0</v>
      </c>
      <c r="U35" s="110">
        <v>1</v>
      </c>
      <c r="V35" s="74"/>
      <c r="W35" s="218">
        <v>1150.1568462090017</v>
      </c>
      <c r="X35" s="218">
        <v>117.51965864074985</v>
      </c>
      <c r="Y35" s="218">
        <v>-13.4761765197598</v>
      </c>
      <c r="Z35" s="218">
        <v>1.4391019442875652</v>
      </c>
      <c r="AA35" s="218">
        <v>0</v>
      </c>
      <c r="AB35" s="74"/>
      <c r="AC35" s="75">
        <v>252</v>
      </c>
      <c r="AD35" s="75">
        <v>213</v>
      </c>
      <c r="AE35" s="75">
        <v>158</v>
      </c>
      <c r="AF35" s="75">
        <v>101</v>
      </c>
      <c r="AG35" s="75">
        <v>57</v>
      </c>
      <c r="AH35" s="74"/>
      <c r="AI35" s="76"/>
      <c r="AJ35" s="76"/>
      <c r="AK35" s="76"/>
      <c r="AL35" s="76"/>
      <c r="AM35" s="76"/>
      <c r="AN35" s="74"/>
      <c r="AO35" s="77">
        <v>14.4</v>
      </c>
      <c r="AP35" s="77">
        <v>8.4</v>
      </c>
      <c r="AQ35" s="77">
        <v>5.7</v>
      </c>
      <c r="AR35" s="77">
        <v>3.4</v>
      </c>
      <c r="AS35" s="77">
        <v>2</v>
      </c>
      <c r="AT35" s="74"/>
      <c r="AU35" s="102">
        <v>8.9125876915269658E-5</v>
      </c>
      <c r="AV35" s="104">
        <v>1.8148096460023067</v>
      </c>
      <c r="AW35" s="74"/>
      <c r="AX35" s="110">
        <v>135.99082694968888</v>
      </c>
      <c r="AY35" s="110">
        <v>15.38147266772482</v>
      </c>
      <c r="AZ35" s="110">
        <v>-0.70553445364847411</v>
      </c>
      <c r="BA35" s="110">
        <v>9.0562305830694051E-2</v>
      </c>
      <c r="BB35" s="110">
        <v>0</v>
      </c>
      <c r="BC35" s="74"/>
      <c r="BD35" s="102">
        <v>8.9125876915269658E-5</v>
      </c>
      <c r="BE35" s="104">
        <v>1.8148096460023067</v>
      </c>
      <c r="BF35" s="74"/>
      <c r="BG35" s="47" t="s">
        <v>15</v>
      </c>
      <c r="BH35" s="48" t="s">
        <v>35</v>
      </c>
    </row>
    <row r="36" spans="1:60" ht="15" x14ac:dyDescent="0.25">
      <c r="A36" s="72" t="s">
        <v>23</v>
      </c>
      <c r="B36" s="43" t="s">
        <v>47</v>
      </c>
      <c r="C36" s="44" t="s">
        <v>3293</v>
      </c>
      <c r="D36" s="45">
        <f>ROUND(MID(Briza12!$C36,6,3)/Basis!$E$3,1)</f>
        <v>15</v>
      </c>
      <c r="E36" s="45">
        <f>ROUND(MID(Briza12!$C36,9,3)/Basis!$E$3,1)</f>
        <v>40.200000000000003</v>
      </c>
      <c r="F36" s="46" t="s">
        <v>50</v>
      </c>
      <c r="G36" s="45">
        <f>ROUND(12/Basis!$E$3,1)</f>
        <v>4.7</v>
      </c>
      <c r="H36" s="221">
        <f>(($AA36*U_H^4+$Z36*U_H^3+$Y36*U_H^2+$X36*U_H+$W36)*((((TaH-TrH)/LN((TaH-TlH)/(TrH-TlH)))/((75-65)/LN((75-20)/(65-20))))^1))*Basis!$E$2*$AA$4*Glycol</f>
        <v>9416.7752895742124</v>
      </c>
      <c r="I36" s="123">
        <f>ROUND((($H36/Basis!$E$2)/((TaH-TrH)*1.163))*Basis!$E$5,IF(Basis!$E$1=1,0,IF(Basis!$E$1=2,2)))</f>
        <v>0.94</v>
      </c>
      <c r="J36" s="83">
        <f>ROUND(INDEX($AC36:$AG36,0,FanspeedH)*Basis!$E$4,1)</f>
        <v>235.4</v>
      </c>
      <c r="K36" s="85">
        <f>INDEX($AO36:$AS36,0,FanspeedH)</f>
        <v>20.9</v>
      </c>
      <c r="L36" s="84">
        <f>CHOOSE(Basis!$E$1,$AU36*(I36*3600/Basis!$E$5)^$AV36*Basis!$E$6/Basis!$E$9,$AU36*(I36/Basis!$E$5)^$AV36*Basis!$E$6/Basis!$E$9)</f>
        <v>0.67955478988099749</v>
      </c>
      <c r="M36" s="85">
        <f>INDEX($AI36:$AM36,0,FanspeedH)</f>
        <v>0</v>
      </c>
      <c r="N36" s="222">
        <f>(($BB36*U_C^4+$BA36*U_C^3+$AZ36*U_C^2+$AY36*U_C+$AX36)*((((TaC-TrC)/LN((TaC-TlC)/(TrC-TlC)))/((16-18)/LN((16-27)/(18-27))))^1))*Basis!$E$2*$AA$4*Glycol</f>
        <v>2305.8911798367531</v>
      </c>
      <c r="O36" s="108">
        <f>(($N36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2602.2842638920861</v>
      </c>
      <c r="P36" s="123">
        <f>ROUND((($O36/Basis!$E$2)/((TrC-TaC)*1.163))*Basis!$E$5,IF(Basis!$E$1=1,0,IF(Basis!$E$1=2,2)))</f>
        <v>0.52</v>
      </c>
      <c r="Q36" s="83">
        <f>IF(N36=0,0,ROUND(INDEX($AC36:$AG36,0,FanspeedC)*Basis!$E$4,1))</f>
        <v>235.4</v>
      </c>
      <c r="R36" s="85">
        <f>IF(N36=0,0,INDEX($AO36:$AS36,0,FanspeedC))</f>
        <v>20.9</v>
      </c>
      <c r="S36" s="84">
        <f>CHOOSE(Basis!$E$1,$BD36*(P36*3600/Basis!$E$5)^$BE36*Basis!$E$6/Basis!$E$9,$BD36*(P36/Basis!$E$5)^$BE36*Basis!$E$6/Basis!$E$9)</f>
        <v>0.232089762409008</v>
      </c>
      <c r="T36" s="85">
        <f>IF(N36=0,0,INDEX($AI36:$AM36,0,FanspeedC))</f>
        <v>0</v>
      </c>
      <c r="U36" s="109">
        <v>1</v>
      </c>
      <c r="V36" s="68"/>
      <c r="W36" s="217">
        <v>1773.7132602943027</v>
      </c>
      <c r="X36" s="217">
        <v>185.79907596861634</v>
      </c>
      <c r="Y36" s="217">
        <v>-14.064601457374017</v>
      </c>
      <c r="Z36" s="217">
        <v>1.6137056094442337</v>
      </c>
      <c r="AA36" s="217">
        <v>0</v>
      </c>
      <c r="AB36" s="68"/>
      <c r="AC36" s="69">
        <v>400</v>
      </c>
      <c r="AD36" s="69">
        <v>305</v>
      </c>
      <c r="AE36" s="69">
        <v>242</v>
      </c>
      <c r="AF36" s="69">
        <v>164</v>
      </c>
      <c r="AG36" s="69">
        <v>80</v>
      </c>
      <c r="AH36" s="68"/>
      <c r="AI36" s="70"/>
      <c r="AJ36" s="70"/>
      <c r="AK36" s="70"/>
      <c r="AL36" s="70"/>
      <c r="AM36" s="70"/>
      <c r="AN36" s="68"/>
      <c r="AO36" s="71">
        <v>20.9</v>
      </c>
      <c r="AP36" s="71">
        <v>12.6</v>
      </c>
      <c r="AQ36" s="71">
        <v>7.4</v>
      </c>
      <c r="AR36" s="71">
        <v>4.0999999999999996</v>
      </c>
      <c r="AS36" s="71">
        <v>2.2999999999999998</v>
      </c>
      <c r="AT36" s="68"/>
      <c r="AU36" s="101">
        <v>1.2048931502827451E-4</v>
      </c>
      <c r="AV36" s="103">
        <v>1.8145625016160318</v>
      </c>
      <c r="AW36" s="68"/>
      <c r="AX36" s="109">
        <v>237.24710921217832</v>
      </c>
      <c r="AY36" s="109">
        <v>17.105182113376028</v>
      </c>
      <c r="AZ36" s="109">
        <v>-0.67547236028043489</v>
      </c>
      <c r="BA36" s="109">
        <v>0.15081651750746569</v>
      </c>
      <c r="BB36" s="109">
        <v>0</v>
      </c>
      <c r="BC36" s="68"/>
      <c r="BD36" s="101">
        <v>1.2048931502827451E-4</v>
      </c>
      <c r="BE36" s="103">
        <v>1.8145625016160318</v>
      </c>
      <c r="BF36" s="68"/>
      <c r="BG36" s="49" t="s">
        <v>15</v>
      </c>
      <c r="BH36" s="50" t="s">
        <v>53</v>
      </c>
    </row>
    <row r="37" spans="1:60" ht="15" x14ac:dyDescent="0.25">
      <c r="A37" s="72" t="s">
        <v>23</v>
      </c>
      <c r="B37" s="43" t="s">
        <v>47</v>
      </c>
      <c r="C37" s="44" t="s">
        <v>3294</v>
      </c>
      <c r="D37" s="45">
        <f>ROUND(MID(Briza12!$C37,6,3)/Basis!$E$3,1)</f>
        <v>15</v>
      </c>
      <c r="E37" s="45">
        <f>ROUND(MID(Briza12!$C37,9,3)/Basis!$E$3,1)</f>
        <v>48</v>
      </c>
      <c r="F37" s="46" t="s">
        <v>50</v>
      </c>
      <c r="G37" s="45">
        <f>ROUND(12/Basis!$E$3,1)</f>
        <v>4.7</v>
      </c>
      <c r="H37" s="221">
        <f>(($AA37*U_H^4+$Z37*U_H^3+$Y37*U_H^2+$X37*U_H+$W37)*((((TaH-TrH)/LN((TaH-TlH)/(TrH-TlH)))/((75-65)/LN((75-20)/(65-20))))^1))*Basis!$E$2*$AA$4*Glycol</f>
        <v>11742.351832843326</v>
      </c>
      <c r="I37" s="123">
        <f>ROUND((($H37/Basis!$E$2)/((TaH-TrH)*1.163))*Basis!$E$5,IF(Basis!$E$1=1,0,IF(Basis!$E$1=2,2)))</f>
        <v>1.17</v>
      </c>
      <c r="J37" s="83">
        <f>ROUND(INDEX($AC37:$AG37,0,FanspeedH)*Basis!$E$4,1)</f>
        <v>247.2</v>
      </c>
      <c r="K37" s="85">
        <f>INDEX($AO37:$AS37,0,FanspeedH)</f>
        <v>28.8</v>
      </c>
      <c r="L37" s="84">
        <f>CHOOSE(Basis!$E$1,$AU37*(I37*3600/Basis!$E$5)^$AV37*Basis!$E$6/Basis!$E$9,$AU37*(I37/Basis!$E$5)^$AV37*Basis!$E$6/Basis!$E$9)</f>
        <v>1.1783229231282835</v>
      </c>
      <c r="M37" s="85">
        <f>INDEX($AI37:$AM37,0,FanspeedH)</f>
        <v>0</v>
      </c>
      <c r="N37" s="222">
        <f>(($BB37*U_C^4+$BA37*U_C^3+$AZ37*U_C^2+$AY37*U_C+$AX37)*((((TaC-TrC)/LN((TaC-TlC)/(TrC-TlC)))/((16-18)/LN((16-27)/(18-27))))^1))*Basis!$E$2*$AA$4*Glycol</f>
        <v>2869.9947800751302</v>
      </c>
      <c r="O37" s="108">
        <f>(($N37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3238.8962319421676</v>
      </c>
      <c r="P37" s="123">
        <f>ROUND((($O37/Basis!$E$2)/((TrC-TaC)*1.163))*Basis!$E$5,IF(Basis!$E$1=1,0,IF(Basis!$E$1=2,2)))</f>
        <v>0.65</v>
      </c>
      <c r="Q37" s="83">
        <f>IF(N37=0,0,ROUND(INDEX($AC37:$AG37,0,FanspeedC)*Basis!$E$4,1))</f>
        <v>247.2</v>
      </c>
      <c r="R37" s="85">
        <f>IF(N37=0,0,INDEX($AO37:$AS37,0,FanspeedC))</f>
        <v>28.8</v>
      </c>
      <c r="S37" s="84">
        <f>CHOOSE(Basis!$E$1,$BD37*(P37*3600/Basis!$E$5)^$BE37*Basis!$E$6/Basis!$E$9,$BD37*(P37/Basis!$E$5)^$BE37*Basis!$E$6/Basis!$E$9)</f>
        <v>0.40205608024927075</v>
      </c>
      <c r="T37" s="85">
        <f>IF(N37=0,0,INDEX($AI37:$AM37,0,FanspeedC))</f>
        <v>0</v>
      </c>
      <c r="U37" s="110">
        <v>1</v>
      </c>
      <c r="V37" s="74"/>
      <c r="W37" s="218">
        <v>2163.6048102319037</v>
      </c>
      <c r="X37" s="218">
        <v>249.05799215514961</v>
      </c>
      <c r="Y37" s="218">
        <v>-17.746729246414905</v>
      </c>
      <c r="Z37" s="218">
        <v>1.9075086026874459</v>
      </c>
      <c r="AA37" s="218">
        <v>0</v>
      </c>
      <c r="AB37" s="74"/>
      <c r="AC37" s="75">
        <v>420</v>
      </c>
      <c r="AD37" s="75">
        <v>318</v>
      </c>
      <c r="AE37" s="75">
        <v>249</v>
      </c>
      <c r="AF37" s="75">
        <v>174</v>
      </c>
      <c r="AG37" s="75">
        <v>98</v>
      </c>
      <c r="AH37" s="74"/>
      <c r="AI37" s="76"/>
      <c r="AJ37" s="76"/>
      <c r="AK37" s="76"/>
      <c r="AL37" s="76"/>
      <c r="AM37" s="76"/>
      <c r="AN37" s="74"/>
      <c r="AO37" s="77">
        <v>28.8</v>
      </c>
      <c r="AP37" s="77">
        <v>17</v>
      </c>
      <c r="AQ37" s="77">
        <v>9</v>
      </c>
      <c r="AR37" s="77">
        <v>4.5</v>
      </c>
      <c r="AS37" s="77">
        <v>2.5</v>
      </c>
      <c r="AT37" s="74"/>
      <c r="AU37" s="102">
        <v>1.2932915211001514E-4</v>
      </c>
      <c r="AV37" s="104">
        <v>1.829330158620641</v>
      </c>
      <c r="AW37" s="74"/>
      <c r="AX37" s="110">
        <v>283.02730631532029</v>
      </c>
      <c r="AY37" s="110">
        <v>25.701668848064646</v>
      </c>
      <c r="AZ37" s="110">
        <v>-1.0420209522650592</v>
      </c>
      <c r="BA37" s="110">
        <v>0.17598150923924533</v>
      </c>
      <c r="BB37" s="110">
        <v>0</v>
      </c>
      <c r="BC37" s="74"/>
      <c r="BD37" s="102">
        <v>1.2932915211001514E-4</v>
      </c>
      <c r="BE37" s="104">
        <v>1.829330158620641</v>
      </c>
      <c r="BF37" s="74"/>
      <c r="BG37" s="47" t="s">
        <v>15</v>
      </c>
      <c r="BH37" s="48" t="s">
        <v>55</v>
      </c>
    </row>
    <row r="38" spans="1:60" ht="15" x14ac:dyDescent="0.25">
      <c r="A38" s="72" t="s">
        <v>23</v>
      </c>
      <c r="B38" s="43" t="s">
        <v>47</v>
      </c>
      <c r="C38" s="44" t="s">
        <v>3295</v>
      </c>
      <c r="D38" s="45">
        <f>ROUND(MID(Briza12!$C38,6,3)/Basis!$E$3,1)</f>
        <v>20.5</v>
      </c>
      <c r="E38" s="45">
        <f>ROUND(MID(Briza12!$C38,9,3)/Basis!$E$3,1)</f>
        <v>20.5</v>
      </c>
      <c r="F38" s="46" t="s">
        <v>50</v>
      </c>
      <c r="G38" s="45">
        <f>ROUND(12/Basis!$E$3,1)</f>
        <v>4.7</v>
      </c>
      <c r="H38" s="221">
        <f>(($AA38*U_H^4+$Z38*U_H^3+$Y38*U_H^2+$X38*U_H+$W38)*((((TaH-TrH)/LN((TaH-TlH)/(TrH-TlH)))/((75-65)/LN((75-20)/(65-20))))^1))*Basis!$E$2*$AA$4*Glycol</f>
        <v>2838.5164337919023</v>
      </c>
      <c r="I38" s="123">
        <f>ROUND((($H38/Basis!$E$2)/((TaH-TrH)*1.163))*Basis!$E$5,IF(Basis!$E$1=1,0,IF(Basis!$E$1=2,2)))</f>
        <v>0.28000000000000003</v>
      </c>
      <c r="J38" s="83">
        <f>ROUND(INDEX($AC38:$AG38,0,FanspeedH)*Basis!$E$4,1)</f>
        <v>110.7</v>
      </c>
      <c r="K38" s="85">
        <f>INDEX($AO38:$AS38,0,FanspeedH)</f>
        <v>10.3</v>
      </c>
      <c r="L38" s="84">
        <f>CHOOSE(Basis!$E$1,$AU38*(I38*3600/Basis!$E$5)^$AV38*Basis!$E$6/Basis!$E$9,$AU38*(I38/Basis!$E$5)^$AV38*Basis!$E$6/Basis!$E$9)</f>
        <v>8.2785798866571919E-2</v>
      </c>
      <c r="M38" s="85">
        <f>INDEX($AI38:$AM38,0,FanspeedH)</f>
        <v>0</v>
      </c>
      <c r="N38" s="222">
        <f>(($BB38*U_C^4+$BA38*U_C^3+$AZ38*U_C^2+$AY38*U_C+$AX38)*((((TaC-TrC)/LN((TaC-TlC)/(TrC-TlC)))/((16-18)/LN((16-27)/(18-27))))^1))*Basis!$E$2*$AA$4*Glycol</f>
        <v>1227.9753353156311</v>
      </c>
      <c r="O38" s="108">
        <f>(($N38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1385.8160001139795</v>
      </c>
      <c r="P38" s="123">
        <f>ROUND((($O38/Basis!$E$2)/((TrC-TaC)*1.163))*Basis!$E$5,IF(Basis!$E$1=1,0,IF(Basis!$E$1=2,2)))</f>
        <v>0.28000000000000003</v>
      </c>
      <c r="Q38" s="83">
        <f>IF(N38=0,0,ROUND(INDEX($AC38:$AG38,0,FanspeedC)*Basis!$E$4,1))</f>
        <v>110.7</v>
      </c>
      <c r="R38" s="85">
        <f>IF(N38=0,0,INDEX($AO38:$AS38,0,FanspeedC))</f>
        <v>10.3</v>
      </c>
      <c r="S38" s="84">
        <f>CHOOSE(Basis!$E$1,$BD38*(P38*3600/Basis!$E$5)^$BE38*Basis!$E$6/Basis!$E$9,$BD38*(P38/Basis!$E$5)^$BE38*Basis!$E$6/Basis!$E$9)</f>
        <v>8.2785798866571919E-2</v>
      </c>
      <c r="T38" s="85">
        <f>IF(N38=0,0,INDEX($AI38:$AM38,0,FanspeedC))</f>
        <v>0</v>
      </c>
      <c r="U38" s="109">
        <v>1</v>
      </c>
      <c r="V38" s="68"/>
      <c r="W38" s="217">
        <v>560.42817330030061</v>
      </c>
      <c r="X38" s="217">
        <v>40.965304033730064</v>
      </c>
      <c r="Y38" s="217">
        <v>-1.1470727585609135</v>
      </c>
      <c r="Z38" s="217">
        <v>0.30180788538547859</v>
      </c>
      <c r="AA38" s="217">
        <v>0</v>
      </c>
      <c r="AB38" s="68"/>
      <c r="AC38" s="69">
        <v>188</v>
      </c>
      <c r="AD38" s="69">
        <v>151</v>
      </c>
      <c r="AE38" s="69">
        <v>118</v>
      </c>
      <c r="AF38" s="69">
        <v>74</v>
      </c>
      <c r="AG38" s="69">
        <v>30</v>
      </c>
      <c r="AH38" s="68"/>
      <c r="AI38" s="70"/>
      <c r="AJ38" s="70"/>
      <c r="AK38" s="70"/>
      <c r="AL38" s="70"/>
      <c r="AM38" s="70"/>
      <c r="AN38" s="68"/>
      <c r="AO38" s="71">
        <v>10.3</v>
      </c>
      <c r="AP38" s="71">
        <v>6.3</v>
      </c>
      <c r="AQ38" s="71">
        <v>3.6</v>
      </c>
      <c r="AR38" s="71">
        <v>2.2000000000000002</v>
      </c>
      <c r="AS38" s="71">
        <v>1.6</v>
      </c>
      <c r="AT38" s="68"/>
      <c r="AU38" s="101">
        <v>1.3263547865279744E-4</v>
      </c>
      <c r="AV38" s="103">
        <v>1.8136893271096062</v>
      </c>
      <c r="AW38" s="68"/>
      <c r="AX38" s="109">
        <v>155.29366792674551</v>
      </c>
      <c r="AY38" s="109">
        <v>-22.923095474991928</v>
      </c>
      <c r="AZ38" s="109">
        <v>10.648506478498899</v>
      </c>
      <c r="BA38" s="109">
        <v>-1.1964457007881224</v>
      </c>
      <c r="BB38" s="109">
        <v>4.6731123246244316E-2</v>
      </c>
      <c r="BC38" s="68"/>
      <c r="BD38" s="101">
        <v>1.3263547865279744E-4</v>
      </c>
      <c r="BE38" s="103">
        <v>1.8136893271096062</v>
      </c>
      <c r="BF38" s="68"/>
      <c r="BG38" s="49" t="s">
        <v>15</v>
      </c>
      <c r="BH38" s="50" t="s">
        <v>31</v>
      </c>
    </row>
    <row r="39" spans="1:60" ht="15" x14ac:dyDescent="0.25">
      <c r="A39" s="72" t="s">
        <v>23</v>
      </c>
      <c r="B39" s="43" t="s">
        <v>47</v>
      </c>
      <c r="C39" s="44" t="s">
        <v>3296</v>
      </c>
      <c r="D39" s="45">
        <f>ROUND(MID(Briza12!$C39,6,3)/Basis!$E$3,1)</f>
        <v>20.5</v>
      </c>
      <c r="E39" s="45">
        <f>ROUND(MID(Briza12!$C39,9,3)/Basis!$E$3,1)</f>
        <v>28.3</v>
      </c>
      <c r="F39" s="46" t="s">
        <v>50</v>
      </c>
      <c r="G39" s="45">
        <f>ROUND(12/Basis!$E$3,1)</f>
        <v>4.7</v>
      </c>
      <c r="H39" s="221">
        <f>(($AA39*U_H^4+$Z39*U_H^3+$Y39*U_H^2+$X39*U_H+$W39)*((((TaH-TrH)/LN((TaH-TlH)/(TrH-TlH)))/((75-65)/LN((75-20)/(65-20))))^1))*Basis!$E$2*$AA$4*Glycol</f>
        <v>4667.7582832302269</v>
      </c>
      <c r="I39" s="123">
        <f>ROUND((($H39/Basis!$E$2)/((TaH-TrH)*1.163))*Basis!$E$5,IF(Basis!$E$1=1,0,IF(Basis!$E$1=2,2)))</f>
        <v>0.47</v>
      </c>
      <c r="J39" s="83">
        <f>ROUND(INDEX($AC39:$AG39,0,FanspeedH)*Basis!$E$4,1)</f>
        <v>166</v>
      </c>
      <c r="K39" s="85">
        <f>INDEX($AO39:$AS39,0,FanspeedH)</f>
        <v>15.6</v>
      </c>
      <c r="L39" s="84">
        <f>CHOOSE(Basis!$E$1,$AU39*(I39*3600/Basis!$E$5)^$AV39*Basis!$E$6/Basis!$E$9,$AU39*(I39/Basis!$E$5)^$AV39*Basis!$E$6/Basis!$E$9)</f>
        <v>0.27649012724517158</v>
      </c>
      <c r="M39" s="85">
        <f>INDEX($AI39:$AM39,0,FanspeedH)</f>
        <v>0</v>
      </c>
      <c r="N39" s="222">
        <f>(($BB39*U_C^4+$BA39*U_C^3+$AZ39*U_C^2+$AY39*U_C+$AX39)*((((TaC-TrC)/LN((TaC-TlC)/(TrC-TlC)))/((16-18)/LN((16-27)/(18-27))))^1))*Basis!$E$2*$AA$4*Glycol</f>
        <v>2031.1724325839891</v>
      </c>
      <c r="O39" s="108">
        <f>(($N39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2292.2539037331876</v>
      </c>
      <c r="P39" s="123">
        <f>ROUND((($O39/Basis!$E$2)/((TrC-TaC)*1.163))*Basis!$E$5,IF(Basis!$E$1=1,0,IF(Basis!$E$1=2,2)))</f>
        <v>0.46</v>
      </c>
      <c r="Q39" s="83">
        <f>IF(N39=0,0,ROUND(INDEX($AC39:$AG39,0,FanspeedC)*Basis!$E$4,1))</f>
        <v>166</v>
      </c>
      <c r="R39" s="85">
        <f>IF(N39=0,0,INDEX($AO39:$AS39,0,FanspeedC))</f>
        <v>15.6</v>
      </c>
      <c r="S39" s="84">
        <f>CHOOSE(Basis!$E$1,$BD39*(P39*3600/Basis!$E$5)^$BE39*Basis!$E$6/Basis!$E$9,$BD39*(P39/Basis!$E$5)^$BE39*Basis!$E$6/Basis!$E$9)</f>
        <v>0.26587235293329853</v>
      </c>
      <c r="T39" s="85">
        <f>IF(N39=0,0,INDEX($AI39:$AM39,0,FanspeedC))</f>
        <v>0</v>
      </c>
      <c r="U39" s="110">
        <v>1</v>
      </c>
      <c r="V39" s="74"/>
      <c r="W39" s="218">
        <v>781.20375671556064</v>
      </c>
      <c r="X39" s="218">
        <v>203.9442336709939</v>
      </c>
      <c r="Y39" s="218">
        <v>-44.719954456715023</v>
      </c>
      <c r="Z39" s="218">
        <v>5.310983637366931</v>
      </c>
      <c r="AA39" s="218">
        <v>-0.17567229699042283</v>
      </c>
      <c r="AB39" s="74"/>
      <c r="AC39" s="75">
        <v>282</v>
      </c>
      <c r="AD39" s="75">
        <v>251</v>
      </c>
      <c r="AE39" s="75">
        <v>185</v>
      </c>
      <c r="AF39" s="75">
        <v>135</v>
      </c>
      <c r="AG39" s="75">
        <v>79</v>
      </c>
      <c r="AH39" s="74"/>
      <c r="AI39" s="76"/>
      <c r="AJ39" s="76"/>
      <c r="AK39" s="76"/>
      <c r="AL39" s="76"/>
      <c r="AM39" s="76"/>
      <c r="AN39" s="74"/>
      <c r="AO39" s="77">
        <v>15.6</v>
      </c>
      <c r="AP39" s="77">
        <v>10</v>
      </c>
      <c r="AQ39" s="77">
        <v>5.9</v>
      </c>
      <c r="AR39" s="77">
        <v>3.4</v>
      </c>
      <c r="AS39" s="77">
        <v>2.1</v>
      </c>
      <c r="AT39" s="74"/>
      <c r="AU39" s="102">
        <v>1.6747942882275273E-4</v>
      </c>
      <c r="AV39" s="104">
        <v>1.8208138694468972</v>
      </c>
      <c r="AW39" s="74"/>
      <c r="AX39" s="110">
        <v>197.77175399650883</v>
      </c>
      <c r="AY39" s="110">
        <v>13.520006569641618</v>
      </c>
      <c r="AZ39" s="110">
        <v>2.3588491747921849</v>
      </c>
      <c r="BA39" s="110">
        <v>-0.13585286893887913</v>
      </c>
      <c r="BB39" s="110">
        <v>0</v>
      </c>
      <c r="BC39" s="74"/>
      <c r="BD39" s="102">
        <v>1.6747942882275273E-4</v>
      </c>
      <c r="BE39" s="104">
        <v>1.8208138694468972</v>
      </c>
      <c r="BF39" s="74"/>
      <c r="BG39" s="47" t="s">
        <v>15</v>
      </c>
      <c r="BH39" s="48" t="s">
        <v>33</v>
      </c>
    </row>
    <row r="40" spans="1:60" ht="15" x14ac:dyDescent="0.25">
      <c r="A40" s="72" t="s">
        <v>23</v>
      </c>
      <c r="B40" s="43" t="s">
        <v>47</v>
      </c>
      <c r="C40" s="44" t="s">
        <v>3297</v>
      </c>
      <c r="D40" s="45">
        <f>ROUND(MID(Briza12!$C40,6,3)/Basis!$E$3,1)</f>
        <v>20.5</v>
      </c>
      <c r="E40" s="45">
        <f>ROUND(MID(Briza12!$C40,9,3)/Basis!$E$3,1)</f>
        <v>40.200000000000003</v>
      </c>
      <c r="F40" s="46" t="s">
        <v>50</v>
      </c>
      <c r="G40" s="45">
        <f>ROUND(12/Basis!$E$3,1)</f>
        <v>4.7</v>
      </c>
      <c r="H40" s="221">
        <f>(($AA40*U_H^4+$Z40*U_H^3+$Y40*U_H^2+$X40*U_H+$W40)*((((TaH-TrH)/LN((TaH-TlH)/(TrH-TlH)))/((75-65)/LN((75-20)/(65-20))))^1))*Basis!$E$2*$AA$4*Glycol</f>
        <v>7416.0920946624519</v>
      </c>
      <c r="I40" s="123">
        <f>ROUND((($H40/Basis!$E$2)/((TaH-TrH)*1.163))*Basis!$E$5,IF(Basis!$E$1=1,0,IF(Basis!$E$1=2,2)))</f>
        <v>0.74</v>
      </c>
      <c r="J40" s="83">
        <f>ROUND(INDEX($AC40:$AG40,0,FanspeedH)*Basis!$E$4,1)</f>
        <v>249</v>
      </c>
      <c r="K40" s="85">
        <f>INDEX($AO40:$AS40,0,FanspeedH)</f>
        <v>22.3</v>
      </c>
      <c r="L40" s="84">
        <f>CHOOSE(Basis!$E$1,$AU40*(I40*3600/Basis!$E$5)^$AV40*Basis!$E$6/Basis!$E$9,$AU40*(I40/Basis!$E$5)^$AV40*Basis!$E$6/Basis!$E$9)</f>
        <v>0.85298699042315207</v>
      </c>
      <c r="M40" s="85">
        <f>INDEX($AI40:$AM40,0,FanspeedH)</f>
        <v>0</v>
      </c>
      <c r="N40" s="222">
        <f>(($BB40*U_C^4+$BA40*U_C^3+$AZ40*U_C^2+$AY40*U_C+$AX40)*((((TaC-TrC)/LN((TaC-TlC)/(TrC-TlC)))/((16-18)/LN((16-27)/(18-27))))^1))*Basis!$E$2*$AA$4*Glycol</f>
        <v>3238.9856000613427</v>
      </c>
      <c r="O40" s="108">
        <f>(($N40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3655.3161448882497</v>
      </c>
      <c r="P40" s="123">
        <f>ROUND((($O40/Basis!$E$2)/((TrC-TaC)*1.163))*Basis!$E$5,IF(Basis!$E$1=1,0,IF(Basis!$E$1=2,2)))</f>
        <v>0.73</v>
      </c>
      <c r="Q40" s="83">
        <f>IF(N40=0,0,ROUND(INDEX($AC40:$AG40,0,FanspeedC)*Basis!$E$4,1))</f>
        <v>249</v>
      </c>
      <c r="R40" s="85">
        <f>IF(N40=0,0,INDEX($AO40:$AS40,0,FanspeedC))</f>
        <v>22.3</v>
      </c>
      <c r="S40" s="84">
        <f>CHOOSE(Basis!$E$1,$BD40*(P40*3600/Basis!$E$5)^$BE40*Basis!$E$6/Basis!$E$9,$BD40*(P40/Basis!$E$5)^$BE40*Basis!$E$6/Basis!$E$9)</f>
        <v>0.8322141280815244</v>
      </c>
      <c r="T40" s="85">
        <f>IF(N40=0,0,INDEX($AI40:$AM40,0,FanspeedC))</f>
        <v>0</v>
      </c>
      <c r="U40" s="109">
        <v>1</v>
      </c>
      <c r="V40" s="68"/>
      <c r="W40" s="217">
        <v>1354.4188592106093</v>
      </c>
      <c r="X40" s="217">
        <v>174.26190449452022</v>
      </c>
      <c r="Y40" s="217">
        <v>-16.256862097163722</v>
      </c>
      <c r="Z40" s="217">
        <v>1.551976572648176</v>
      </c>
      <c r="AA40" s="217">
        <v>0</v>
      </c>
      <c r="AB40" s="68"/>
      <c r="AC40" s="69">
        <v>423</v>
      </c>
      <c r="AD40" s="69">
        <v>360</v>
      </c>
      <c r="AE40" s="69">
        <v>286</v>
      </c>
      <c r="AF40" s="69">
        <v>201</v>
      </c>
      <c r="AG40" s="69">
        <v>123</v>
      </c>
      <c r="AH40" s="68"/>
      <c r="AI40" s="70"/>
      <c r="AJ40" s="70"/>
      <c r="AK40" s="70"/>
      <c r="AL40" s="70"/>
      <c r="AM40" s="70"/>
      <c r="AN40" s="68"/>
      <c r="AO40" s="71">
        <v>22.3</v>
      </c>
      <c r="AP40" s="71">
        <v>12.8</v>
      </c>
      <c r="AQ40" s="71">
        <v>7.5</v>
      </c>
      <c r="AR40" s="71">
        <v>4.2</v>
      </c>
      <c r="AS40" s="71">
        <v>2.2999999999999998</v>
      </c>
      <c r="AT40" s="68"/>
      <c r="AU40" s="101">
        <v>2.364386444169621E-4</v>
      </c>
      <c r="AV40" s="103">
        <v>1.8120794599034276</v>
      </c>
      <c r="AW40" s="68"/>
      <c r="AX40" s="109">
        <v>381.7681116328352</v>
      </c>
      <c r="AY40" s="109">
        <v>-28.250535183194774</v>
      </c>
      <c r="AZ40" s="109">
        <v>17.495928000536857</v>
      </c>
      <c r="BA40" s="109">
        <v>-1.8213867274960225</v>
      </c>
      <c r="BB40" s="109">
        <v>6.6301577223712979E-2</v>
      </c>
      <c r="BC40" s="68"/>
      <c r="BD40" s="101">
        <v>2.364386444169621E-4</v>
      </c>
      <c r="BE40" s="103">
        <v>1.8120794599034276</v>
      </c>
      <c r="BF40" s="68"/>
      <c r="BG40" s="49" t="s">
        <v>15</v>
      </c>
      <c r="BH40" s="50" t="s">
        <v>57</v>
      </c>
    </row>
    <row r="41" spans="1:60" ht="15" x14ac:dyDescent="0.25">
      <c r="A41" s="72" t="s">
        <v>23</v>
      </c>
      <c r="B41" s="43" t="s">
        <v>47</v>
      </c>
      <c r="C41" s="44" t="s">
        <v>3298</v>
      </c>
      <c r="D41" s="45">
        <f>ROUND(MID(Briza12!$C41,6,3)/Basis!$E$3,1)</f>
        <v>20.5</v>
      </c>
      <c r="E41" s="45">
        <f>ROUND(MID(Briza12!$C41,9,3)/Basis!$E$3,1)</f>
        <v>48</v>
      </c>
      <c r="F41" s="46" t="s">
        <v>50</v>
      </c>
      <c r="G41" s="45">
        <f>ROUND(12/Basis!$E$3,1)</f>
        <v>4.7</v>
      </c>
      <c r="H41" s="221">
        <f>(($AA41*U_H^4+$Z41*U_H^3+$Y41*U_H^2+$X41*U_H+$W41)*((((TaH-TrH)/LN((TaH-TlH)/(TrH-TlH)))/((75-65)/LN((75-20)/(65-20))))^1))*Basis!$E$2*$AA$4*Glycol</f>
        <v>9245.1751266068331</v>
      </c>
      <c r="I41" s="123">
        <f>ROUND((($H41/Basis!$E$2)/((TaH-TrH)*1.163))*Basis!$E$5,IF(Basis!$E$1=1,0,IF(Basis!$E$1=2,2)))</f>
        <v>0.92</v>
      </c>
      <c r="J41" s="83">
        <f>ROUND(INDEX($AC41:$AG41,0,FanspeedH)*Basis!$E$4,1)</f>
        <v>299</v>
      </c>
      <c r="K41" s="85">
        <f>INDEX($AO41:$AS41,0,FanspeedH)</f>
        <v>27.3</v>
      </c>
      <c r="L41" s="84">
        <f>CHOOSE(Basis!$E$1,$AU41*(I41*3600/Basis!$E$5)^$AV41*Basis!$E$6/Basis!$E$9,$AU41*(I41/Basis!$E$5)^$AV41*Basis!$E$6/Basis!$E$9)</f>
        <v>1.4806413817202999</v>
      </c>
      <c r="M41" s="85">
        <f>INDEX($AI41:$AM41,0,FanspeedH)</f>
        <v>0</v>
      </c>
      <c r="N41" s="222">
        <f>(($BB41*U_C^4+$BA41*U_C^3+$AZ41*U_C^2+$AY41*U_C+$AX41)*((((TaC-TrC)/LN((TaC-TlC)/(TrC-TlC)))/((16-18)/LN((16-27)/(18-27))))^1))*Basis!$E$2*$AA$4*Glycol</f>
        <v>4041.4930216844132</v>
      </c>
      <c r="O41" s="108">
        <f>(($N41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4560.97572379959</v>
      </c>
      <c r="P41" s="123">
        <f>ROUND((($O41/Basis!$E$2)/((TrC-TaC)*1.163))*Basis!$E$5,IF(Basis!$E$1=1,0,IF(Basis!$E$1=2,2)))</f>
        <v>0.91</v>
      </c>
      <c r="Q41" s="83">
        <f>IF(N41=0,0,ROUND(INDEX($AC41:$AG41,0,FanspeedC)*Basis!$E$4,1))</f>
        <v>299</v>
      </c>
      <c r="R41" s="85">
        <f>IF(N41=0,0,INDEX($AO41:$AS41,0,FanspeedC))</f>
        <v>27.3</v>
      </c>
      <c r="S41" s="84">
        <f>CHOOSE(Basis!$E$1,$BD41*(P41*3600/Basis!$E$5)^$BE41*Basis!$E$6/Basis!$E$9,$BD41*(P41/Basis!$E$5)^$BE41*Basis!$E$6/Basis!$E$9)</f>
        <v>1.4515534058380022</v>
      </c>
      <c r="T41" s="85">
        <f>IF(N41=0,0,INDEX($AI41:$AM41,0,FanspeedC))</f>
        <v>0</v>
      </c>
      <c r="U41" s="110">
        <v>1</v>
      </c>
      <c r="V41" s="74"/>
      <c r="W41" s="218">
        <v>1396.965717339323</v>
      </c>
      <c r="X41" s="218">
        <v>411.59653619513693</v>
      </c>
      <c r="Y41" s="218">
        <v>-68.303133746164534</v>
      </c>
      <c r="Z41" s="218">
        <v>7.3273707754435264</v>
      </c>
      <c r="AA41" s="218">
        <v>-0.22409954663224091</v>
      </c>
      <c r="AB41" s="74"/>
      <c r="AC41" s="75">
        <v>508</v>
      </c>
      <c r="AD41" s="75">
        <v>432</v>
      </c>
      <c r="AE41" s="75">
        <v>334</v>
      </c>
      <c r="AF41" s="75">
        <v>251</v>
      </c>
      <c r="AG41" s="75">
        <v>139</v>
      </c>
      <c r="AH41" s="74"/>
      <c r="AI41" s="76"/>
      <c r="AJ41" s="76"/>
      <c r="AK41" s="76"/>
      <c r="AL41" s="76"/>
      <c r="AM41" s="76"/>
      <c r="AN41" s="74"/>
      <c r="AO41" s="77">
        <v>27.3</v>
      </c>
      <c r="AP41" s="77">
        <v>16</v>
      </c>
      <c r="AQ41" s="77">
        <v>9.1</v>
      </c>
      <c r="AR41" s="77">
        <v>5.2</v>
      </c>
      <c r="AS41" s="77">
        <v>2.7</v>
      </c>
      <c r="AT41" s="74"/>
      <c r="AU41" s="102">
        <v>2.7169905751214276E-4</v>
      </c>
      <c r="AV41" s="104">
        <v>1.8154391549649329</v>
      </c>
      <c r="AW41" s="74"/>
      <c r="AX41" s="110">
        <v>389.55522439955126</v>
      </c>
      <c r="AY41" s="110">
        <v>30.989596772643303</v>
      </c>
      <c r="AZ41" s="110">
        <v>3.8853075980776386</v>
      </c>
      <c r="BA41" s="110">
        <v>-0.22641939636044967</v>
      </c>
      <c r="BB41" s="110">
        <v>0</v>
      </c>
      <c r="BC41" s="74"/>
      <c r="BD41" s="102">
        <v>2.7169905751214276E-4</v>
      </c>
      <c r="BE41" s="104">
        <v>1.8154391549649329</v>
      </c>
      <c r="BF41" s="74"/>
      <c r="BG41" s="47" t="s">
        <v>15</v>
      </c>
      <c r="BH41" s="48" t="s">
        <v>59</v>
      </c>
    </row>
    <row r="42" spans="1:60" ht="15" x14ac:dyDescent="0.25">
      <c r="A42" s="72" t="s">
        <v>23</v>
      </c>
      <c r="B42" s="43" t="s">
        <v>30</v>
      </c>
      <c r="C42" s="44" t="s">
        <v>3299</v>
      </c>
      <c r="D42" s="45">
        <f>ROUND(MID(Briza12!$C42,6,3)/Basis!$E$3,1)</f>
        <v>15</v>
      </c>
      <c r="E42" s="45">
        <f>ROUND(MID(Briza12!$C42,9,3)/Basis!$E$3,1)</f>
        <v>20.5</v>
      </c>
      <c r="F42" s="46" t="s">
        <v>51</v>
      </c>
      <c r="G42" s="45">
        <f>ROUND(12/Basis!$E$3,1)</f>
        <v>4.7</v>
      </c>
      <c r="H42" s="221">
        <f>(($AA42*U_H^4+$Z42*U_H^3+$Y42*U_H^2+$X42*U_H+$W42)*((((TaH-TrH)/LN((TaH-TlH)/(TrH-TlH)))/((75-65)/LN((75-20)/(65-20))))^1))*Basis!$E$2*$AA$4*Glycol</f>
        <v>4503.7030758909605</v>
      </c>
      <c r="I42" s="123">
        <f>ROUND((($H42/Basis!$E$2)/((TaH-TrH)*1.163))*Basis!$E$5,IF(Basis!$E$1=1,0,IF(Basis!$E$1=2,2)))</f>
        <v>0.45</v>
      </c>
      <c r="J42" s="83">
        <f>ROUND(INDEX($AC42:$AG42,0,FanspeedH)*Basis!$E$4,1)</f>
        <v>138.30000000000001</v>
      </c>
      <c r="K42" s="85">
        <f>INDEX($AO42:$AS42,0,FanspeedH)</f>
        <v>13</v>
      </c>
      <c r="L42" s="84">
        <f>CHOOSE(Basis!$E$1,$AU42*(I42*3600/Basis!$E$5)^$AV42*Basis!$E$6/Basis!$E$9,$AU42*(I42/Basis!$E$5)^$AV42*Basis!$E$6/Basis!$E$9)</f>
        <v>0.10182216427204839</v>
      </c>
      <c r="M42" s="85">
        <f>INDEX($AI42:$AM42,0,FanspeedH)</f>
        <v>0</v>
      </c>
      <c r="N42" s="222">
        <f>(($BB42*U_C^4+$BA42*U_C^3+$AZ42*U_C^2+$AY42*U_C+$AX42)*((((TaC-TrC)/LN((TaC-TlC)/(TrC-TlC)))/((16-18)/LN((16-27)/(18-27))))^1))*Basis!$E$2*$AA$4*Glycol</f>
        <v>1103.8298218997334</v>
      </c>
      <c r="O42" s="108">
        <f>(($N42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1245.713154489727</v>
      </c>
      <c r="P42" s="123">
        <f>ROUND((($O42/Basis!$E$2)/((TrC-TaC)*1.163))*Basis!$E$5,IF(Basis!$E$1=1,0,IF(Basis!$E$1=2,2)))</f>
        <v>0.25</v>
      </c>
      <c r="Q42" s="83">
        <f>IF(N42=0,0,ROUND(INDEX($AC42:$AG42,0,FanspeedC)*Basis!$E$4,1))</f>
        <v>138.30000000000001</v>
      </c>
      <c r="R42" s="85">
        <f>IF(N42=0,0,INDEX($AO42:$AS42,0,FanspeedC))</f>
        <v>13</v>
      </c>
      <c r="S42" s="84">
        <f>CHOOSE(Basis!$E$1,$BD42*(P42*3600/Basis!$E$5)^$BE42*Basis!$E$6/Basis!$E$9,$BD42*(P42/Basis!$E$5)^$BE42*Basis!$E$6/Basis!$E$9)</f>
        <v>3.4610201049664807E-2</v>
      </c>
      <c r="T42" s="85">
        <f>IF(N42=0,0,INDEX($AI42:$AM42,0,FanspeedC))</f>
        <v>0</v>
      </c>
      <c r="U42" s="109">
        <v>1</v>
      </c>
      <c r="V42" s="68"/>
      <c r="W42" s="217">
        <v>789.86520915729454</v>
      </c>
      <c r="X42" s="217">
        <v>134.69984250871585</v>
      </c>
      <c r="Y42" s="217">
        <v>-18.897288796430164</v>
      </c>
      <c r="Z42" s="217">
        <v>2.158567173060117</v>
      </c>
      <c r="AA42" s="217">
        <v>-5.6967122009921357E-2</v>
      </c>
      <c r="AB42" s="68"/>
      <c r="AC42" s="69">
        <v>235</v>
      </c>
      <c r="AD42" s="69">
        <v>196</v>
      </c>
      <c r="AE42" s="69">
        <v>155</v>
      </c>
      <c r="AF42" s="69">
        <v>111</v>
      </c>
      <c r="AG42" s="69">
        <v>70</v>
      </c>
      <c r="AH42" s="68"/>
      <c r="AI42" s="70"/>
      <c r="AJ42" s="70"/>
      <c r="AK42" s="70"/>
      <c r="AL42" s="70"/>
      <c r="AM42" s="70"/>
      <c r="AN42" s="68"/>
      <c r="AO42" s="71">
        <v>13</v>
      </c>
      <c r="AP42" s="71">
        <v>7.2</v>
      </c>
      <c r="AQ42" s="71">
        <v>4.3</v>
      </c>
      <c r="AR42" s="71">
        <v>2.6</v>
      </c>
      <c r="AS42" s="71">
        <v>1.6</v>
      </c>
      <c r="AT42" s="68"/>
      <c r="AU42" s="101">
        <v>6.2276819636539519E-5</v>
      </c>
      <c r="AV42" s="103">
        <v>1.8358350093844202</v>
      </c>
      <c r="AW42" s="68"/>
      <c r="AX42" s="109">
        <v>84.485306398126156</v>
      </c>
      <c r="AY42" s="109">
        <v>14.045470041924725</v>
      </c>
      <c r="AZ42" s="109">
        <v>0.10373635238004372</v>
      </c>
      <c r="BA42" s="109">
        <v>0</v>
      </c>
      <c r="BB42" s="109">
        <v>0</v>
      </c>
      <c r="BC42" s="68"/>
      <c r="BD42" s="101">
        <v>6.2276819636539519E-5</v>
      </c>
      <c r="BE42" s="103">
        <v>1.8358350093844202</v>
      </c>
      <c r="BF42" s="68"/>
      <c r="BG42" s="49" t="s">
        <v>15</v>
      </c>
      <c r="BH42" s="50" t="s">
        <v>3</v>
      </c>
    </row>
    <row r="43" spans="1:60" ht="15" x14ac:dyDescent="0.25">
      <c r="A43" s="72" t="s">
        <v>23</v>
      </c>
      <c r="B43" s="43" t="s">
        <v>30</v>
      </c>
      <c r="C43" s="44" t="s">
        <v>3300</v>
      </c>
      <c r="D43" s="45">
        <f>ROUND(MID(Briza12!$C43,6,3)/Basis!$E$3,1)</f>
        <v>15</v>
      </c>
      <c r="E43" s="45">
        <f>ROUND(MID(Briza12!$C43,9,3)/Basis!$E$3,1)</f>
        <v>28.3</v>
      </c>
      <c r="F43" s="46" t="s">
        <v>51</v>
      </c>
      <c r="G43" s="45">
        <f>ROUND(12/Basis!$E$3,1)</f>
        <v>4.7</v>
      </c>
      <c r="H43" s="221">
        <f>(($AA43*U_H^4+$Z43*U_H^3+$Y43*U_H^2+$X43*U_H+$W43)*((((TaH-TrH)/LN((TaH-TlH)/(TrH-TlH)))/((75-65)/LN((75-20)/(65-20))))^1))*Basis!$E$2*$AA$4*Glycol</f>
        <v>7410.0947647131297</v>
      </c>
      <c r="I43" s="123">
        <f>ROUND((($H43/Basis!$E$2)/((TaH-TrH)*1.163))*Basis!$E$5,IF(Basis!$E$1=1,0,IF(Basis!$E$1=2,2)))</f>
        <v>0.74</v>
      </c>
      <c r="J43" s="83">
        <f>ROUND(INDEX($AC43:$AG43,0,FanspeedH)*Basis!$E$4,1)</f>
        <v>223.7</v>
      </c>
      <c r="K43" s="85">
        <f>INDEX($AO43:$AS43,0,FanspeedH)</f>
        <v>18</v>
      </c>
      <c r="L43" s="84">
        <f>CHOOSE(Basis!$E$1,$AU43*(I43*3600/Basis!$E$5)^$AV43*Basis!$E$6/Basis!$E$9,$AU43*(I43/Basis!$E$5)^$AV43*Basis!$E$6/Basis!$E$9)</f>
        <v>0.32606467085715002</v>
      </c>
      <c r="M43" s="85">
        <f>INDEX($AI43:$AM43,0,FanspeedH)</f>
        <v>0</v>
      </c>
      <c r="N43" s="222">
        <f>(($BB43*U_C^4+$BA43*U_C^3+$AZ43*U_C^2+$AY43*U_C+$AX43)*((((TaC-TrC)/LN((TaC-TlC)/(TrC-TlC)))/((16-18)/LN((16-27)/(18-27))))^1))*Basis!$E$2*$AA$4*Glycol</f>
        <v>1817.4505523196697</v>
      </c>
      <c r="O43" s="108">
        <f>(($N43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2051.0607846803446</v>
      </c>
      <c r="P43" s="123">
        <f>ROUND((($O43/Basis!$E$2)/((TrC-TaC)*1.163))*Basis!$E$5,IF(Basis!$E$1=1,0,IF(Basis!$E$1=2,2)))</f>
        <v>0.41</v>
      </c>
      <c r="Q43" s="83">
        <f>IF(N43=0,0,ROUND(INDEX($AC43:$AG43,0,FanspeedC)*Basis!$E$4,1))</f>
        <v>223.7</v>
      </c>
      <c r="R43" s="85">
        <f>IF(N43=0,0,INDEX($AO43:$AS43,0,FanspeedC))</f>
        <v>18</v>
      </c>
      <c r="S43" s="84">
        <f>CHOOSE(Basis!$E$1,$BD43*(P43*3600/Basis!$E$5)^$BE43*Basis!$E$6/Basis!$E$9,$BD43*(P43/Basis!$E$5)^$BE43*Basis!$E$6/Basis!$E$9)</f>
        <v>0.11166053131123131</v>
      </c>
      <c r="T43" s="85">
        <f>IF(N43=0,0,INDEX($AI43:$AM43,0,FanspeedC))</f>
        <v>0</v>
      </c>
      <c r="U43" s="110">
        <v>1</v>
      </c>
      <c r="V43" s="74"/>
      <c r="W43" s="218">
        <v>-15.100612121165774</v>
      </c>
      <c r="X43" s="218">
        <v>1373.1450518778961</v>
      </c>
      <c r="Y43" s="218">
        <v>-348.72126254555525</v>
      </c>
      <c r="Z43" s="218">
        <v>38.143349950508401</v>
      </c>
      <c r="AA43" s="218">
        <v>-1.3966690275112728</v>
      </c>
      <c r="AB43" s="74"/>
      <c r="AC43" s="75">
        <v>380</v>
      </c>
      <c r="AD43" s="75">
        <v>315</v>
      </c>
      <c r="AE43" s="75">
        <v>245</v>
      </c>
      <c r="AF43" s="75">
        <v>189</v>
      </c>
      <c r="AG43" s="75">
        <v>119</v>
      </c>
      <c r="AH43" s="74"/>
      <c r="AI43" s="76"/>
      <c r="AJ43" s="76"/>
      <c r="AK43" s="76"/>
      <c r="AL43" s="76"/>
      <c r="AM43" s="76"/>
      <c r="AN43" s="74"/>
      <c r="AO43" s="77">
        <v>18</v>
      </c>
      <c r="AP43" s="77">
        <v>11.5</v>
      </c>
      <c r="AQ43" s="77">
        <v>7.2</v>
      </c>
      <c r="AR43" s="77">
        <v>4.3</v>
      </c>
      <c r="AS43" s="77">
        <v>2.5</v>
      </c>
      <c r="AT43" s="74"/>
      <c r="AU43" s="102">
        <v>8.9125876915269658E-5</v>
      </c>
      <c r="AV43" s="104">
        <v>1.8148096460023067</v>
      </c>
      <c r="AW43" s="74"/>
      <c r="AX43" s="110">
        <v>169.35574429693057</v>
      </c>
      <c r="AY43" s="110">
        <v>12.303694505562234</v>
      </c>
      <c r="AZ43" s="110">
        <v>0.95050103220183868</v>
      </c>
      <c r="BA43" s="110">
        <v>0</v>
      </c>
      <c r="BB43" s="110">
        <v>0</v>
      </c>
      <c r="BC43" s="74"/>
      <c r="BD43" s="102">
        <v>8.9125876915269658E-5</v>
      </c>
      <c r="BE43" s="104">
        <v>1.8148096460023067</v>
      </c>
      <c r="BF43" s="74"/>
      <c r="BG43" s="47" t="s">
        <v>15</v>
      </c>
      <c r="BH43" s="48" t="s">
        <v>5</v>
      </c>
    </row>
    <row r="44" spans="1:60" ht="15" x14ac:dyDescent="0.25">
      <c r="A44" s="72" t="s">
        <v>23</v>
      </c>
      <c r="B44" s="43" t="s">
        <v>30</v>
      </c>
      <c r="C44" s="44" t="s">
        <v>3301</v>
      </c>
      <c r="D44" s="45">
        <f>ROUND(MID(Briza12!$C44,6,3)/Basis!$E$3,1)</f>
        <v>15</v>
      </c>
      <c r="E44" s="45">
        <f>ROUND(MID(Briza12!$C44,9,3)/Basis!$E$3,1)</f>
        <v>40.200000000000003</v>
      </c>
      <c r="F44" s="46" t="s">
        <v>51</v>
      </c>
      <c r="G44" s="45">
        <f>ROUND(12/Basis!$E$3,1)</f>
        <v>4.7</v>
      </c>
      <c r="H44" s="221">
        <f>(($AA44*U_H^4+$Z44*U_H^3+$Y44*U_H^2+$X44*U_H+$W44)*((((TaH-TrH)/LN((TaH-TlH)/(TrH-TlH)))/((75-65)/LN((75-20)/(65-20))))^1))*Basis!$E$2*$AA$4*Glycol</f>
        <v>11771.502802582021</v>
      </c>
      <c r="I44" s="123">
        <f>ROUND((($H44/Basis!$E$2)/((TaH-TrH)*1.163))*Basis!$E$5,IF(Basis!$E$1=1,0,IF(Basis!$E$1=2,2)))</f>
        <v>1.18</v>
      </c>
      <c r="J44" s="83">
        <f>ROUND(INDEX($AC44:$AG44,0,FanspeedH)*Basis!$E$4,1)</f>
        <v>289.60000000000002</v>
      </c>
      <c r="K44" s="85">
        <f>INDEX($AO44:$AS44,0,FanspeedH)</f>
        <v>24</v>
      </c>
      <c r="L44" s="84">
        <f>CHOOSE(Basis!$E$1,$AU44*(I44*3600/Basis!$E$5)^$AV44*Basis!$E$6/Basis!$E$9,$AU44*(I44/Basis!$E$5)^$AV44*Basis!$E$6/Basis!$E$9)</f>
        <v>1.0266444463300837</v>
      </c>
      <c r="M44" s="85">
        <f>INDEX($AI44:$AM44,0,FanspeedH)</f>
        <v>0</v>
      </c>
      <c r="N44" s="222">
        <f>(($BB44*U_C^4+$BA44*U_C^3+$AZ44*U_C^2+$AY44*U_C+$AX44)*((((TaC-TrC)/LN((TaC-TlC)/(TrC-TlC)))/((16-18)/LN((16-27)/(18-27))))^1))*Basis!$E$2*$AA$4*Glycol</f>
        <v>2882.6217696835452</v>
      </c>
      <c r="O44" s="108">
        <f>(($N44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3253.1462610179688</v>
      </c>
      <c r="P44" s="123">
        <f>ROUND((($O44/Basis!$E$2)/((TrC-TaC)*1.163))*Basis!$E$5,IF(Basis!$E$1=1,0,IF(Basis!$E$1=2,2)))</f>
        <v>0.65</v>
      </c>
      <c r="Q44" s="83">
        <f>IF(N44=0,0,ROUND(INDEX($AC44:$AG44,0,FanspeedC)*Basis!$E$4,1))</f>
        <v>289.60000000000002</v>
      </c>
      <c r="R44" s="85">
        <f>IF(N44=0,0,INDEX($AO44:$AS44,0,FanspeedC))</f>
        <v>24</v>
      </c>
      <c r="S44" s="84">
        <f>CHOOSE(Basis!$E$1,$BD44*(P44*3600/Basis!$E$5)^$BE44*Basis!$E$6/Basis!$E$9,$BD44*(P44/Basis!$E$5)^$BE44*Basis!$E$6/Basis!$E$9)</f>
        <v>0.34794072140155358</v>
      </c>
      <c r="T44" s="85">
        <f>IF(N44=0,0,INDEX($AI44:$AM44,0,FanspeedC))</f>
        <v>0</v>
      </c>
      <c r="U44" s="109">
        <v>1</v>
      </c>
      <c r="V44" s="68"/>
      <c r="W44" s="217">
        <v>12.559735529856832</v>
      </c>
      <c r="X44" s="217">
        <v>2180.4689883730189</v>
      </c>
      <c r="Y44" s="217">
        <v>-556.93817232262245</v>
      </c>
      <c r="Z44" s="217">
        <v>61.930659102508841</v>
      </c>
      <c r="AA44" s="217">
        <v>-2.3255187064524967</v>
      </c>
      <c r="AB44" s="68"/>
      <c r="AC44" s="69">
        <v>492</v>
      </c>
      <c r="AD44" s="69">
        <v>419</v>
      </c>
      <c r="AE44" s="69">
        <v>328</v>
      </c>
      <c r="AF44" s="69">
        <v>243</v>
      </c>
      <c r="AG44" s="69">
        <v>160</v>
      </c>
      <c r="AH44" s="68"/>
      <c r="AI44" s="70"/>
      <c r="AJ44" s="70"/>
      <c r="AK44" s="70"/>
      <c r="AL44" s="70"/>
      <c r="AM44" s="70"/>
      <c r="AN44" s="68"/>
      <c r="AO44" s="71">
        <v>24</v>
      </c>
      <c r="AP44" s="71">
        <v>14</v>
      </c>
      <c r="AQ44" s="71">
        <v>8</v>
      </c>
      <c r="AR44" s="71">
        <v>4.8</v>
      </c>
      <c r="AS44" s="71">
        <v>2.6</v>
      </c>
      <c r="AT44" s="68"/>
      <c r="AU44" s="101">
        <v>1.2048931502827451E-4</v>
      </c>
      <c r="AV44" s="103">
        <v>1.8145625016160318</v>
      </c>
      <c r="AW44" s="68"/>
      <c r="AX44" s="109">
        <v>302.41413403446739</v>
      </c>
      <c r="AY44" s="109">
        <v>7.0180766933441818</v>
      </c>
      <c r="AZ44" s="109">
        <v>2.4192032034123994</v>
      </c>
      <c r="BA44" s="109">
        <v>0</v>
      </c>
      <c r="BB44" s="109">
        <v>0</v>
      </c>
      <c r="BC44" s="68"/>
      <c r="BD44" s="101">
        <v>1.2048931502827451E-4</v>
      </c>
      <c r="BE44" s="103">
        <v>1.8145625016160318</v>
      </c>
      <c r="BF44" s="68"/>
      <c r="BG44" s="49" t="s">
        <v>15</v>
      </c>
      <c r="BH44" s="50" t="s">
        <v>60</v>
      </c>
    </row>
    <row r="45" spans="1:60" ht="15" x14ac:dyDescent="0.25">
      <c r="A45" s="72" t="s">
        <v>23</v>
      </c>
      <c r="B45" s="43" t="s">
        <v>30</v>
      </c>
      <c r="C45" s="44" t="s">
        <v>3302</v>
      </c>
      <c r="D45" s="45">
        <f>ROUND(MID(Briza12!$C45,6,3)/Basis!$E$3,1)</f>
        <v>15</v>
      </c>
      <c r="E45" s="45">
        <f>ROUND(MID(Briza12!$C45,9,3)/Basis!$E$3,1)</f>
        <v>48</v>
      </c>
      <c r="F45" s="46" t="s">
        <v>51</v>
      </c>
      <c r="G45" s="45">
        <f>ROUND(12/Basis!$E$3,1)</f>
        <v>4.7</v>
      </c>
      <c r="H45" s="221">
        <f>(($AA45*U_H^4+$Z45*U_H^3+$Y45*U_H^2+$X45*U_H+$W45)*((((TaH-TrH)/LN((TaH-TlH)/(TrH-TlH)))/((75-65)/LN((75-20)/(65-20))))^1))*Basis!$E$2*$AA$4*Glycol</f>
        <v>14675.513369989902</v>
      </c>
      <c r="I45" s="123">
        <f>ROUND((($H45/Basis!$E$2)/((TaH-TrH)*1.163))*Basis!$E$5,IF(Basis!$E$1=1,0,IF(Basis!$E$1=2,2)))</f>
        <v>1.47</v>
      </c>
      <c r="J45" s="83">
        <f>ROUND(INDEX($AC45:$AG45,0,FanspeedH)*Basis!$E$4,1)</f>
        <v>329.6</v>
      </c>
      <c r="K45" s="85">
        <f>INDEX($AO45:$AS45,0,FanspeedH)</f>
        <v>28.8</v>
      </c>
      <c r="L45" s="84">
        <f>CHOOSE(Basis!$E$1,$AU45*(I45*3600/Basis!$E$5)^$AV45*Basis!$E$6/Basis!$E$9,$AU45*(I45/Basis!$E$5)^$AV45*Basis!$E$6/Basis!$E$9)</f>
        <v>1.7889924995682456</v>
      </c>
      <c r="M45" s="85">
        <f>INDEX($AI45:$AM45,0,FanspeedH)</f>
        <v>0</v>
      </c>
      <c r="N45" s="222">
        <f>(($BB45*U_C^4+$BA45*U_C^3+$AZ45*U_C^2+$AY45*U_C+$AX45)*((((TaC-TrC)/LN((TaC-TlC)/(TrC-TlC)))/((16-18)/LN((16-27)/(18-27))))^1))*Basis!$E$2*$AA$4*Glycol</f>
        <v>3581.2354000237915</v>
      </c>
      <c r="O45" s="108">
        <f>(($N45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4041.5578186282687</v>
      </c>
      <c r="P45" s="123">
        <f>ROUND((($O45/Basis!$E$2)/((TrC-TaC)*1.163))*Basis!$E$5,IF(Basis!$E$1=1,0,IF(Basis!$E$1=2,2)))</f>
        <v>0.81</v>
      </c>
      <c r="Q45" s="83">
        <f>IF(N45=0,0,ROUND(INDEX($AC45:$AG45,0,FanspeedC)*Basis!$E$4,1))</f>
        <v>329.6</v>
      </c>
      <c r="R45" s="85">
        <f>IF(N45=0,0,INDEX($AO45:$AS45,0,FanspeedC))</f>
        <v>28.8</v>
      </c>
      <c r="S45" s="84">
        <f>CHOOSE(Basis!$E$1,$BD45*(P45*3600/Basis!$E$5)^$BE45*Basis!$E$6/Basis!$E$9,$BD45*(P45/Basis!$E$5)^$BE45*Basis!$E$6/Basis!$E$9)</f>
        <v>0.60133815161273041</v>
      </c>
      <c r="T45" s="85">
        <f>IF(N45=0,0,INDEX($AI45:$AM45,0,FanspeedC))</f>
        <v>0</v>
      </c>
      <c r="U45" s="110">
        <v>1</v>
      </c>
      <c r="V45" s="74"/>
      <c r="W45" s="218">
        <v>-11.0814668782744</v>
      </c>
      <c r="X45" s="218">
        <v>2760.9404091706319</v>
      </c>
      <c r="Y45" s="218">
        <v>-704.30949987706765</v>
      </c>
      <c r="Z45" s="218">
        <v>78.374973868118246</v>
      </c>
      <c r="AA45" s="218">
        <v>-2.9559560175300859</v>
      </c>
      <c r="AB45" s="74"/>
      <c r="AC45" s="75">
        <v>560</v>
      </c>
      <c r="AD45" s="75">
        <v>512</v>
      </c>
      <c r="AE45" s="75">
        <v>410</v>
      </c>
      <c r="AF45" s="75">
        <v>295</v>
      </c>
      <c r="AG45" s="75">
        <v>190</v>
      </c>
      <c r="AH45" s="74"/>
      <c r="AI45" s="76"/>
      <c r="AJ45" s="76"/>
      <c r="AK45" s="76"/>
      <c r="AL45" s="76"/>
      <c r="AM45" s="76"/>
      <c r="AN45" s="74"/>
      <c r="AO45" s="77">
        <v>28.8</v>
      </c>
      <c r="AP45" s="77">
        <v>18.5</v>
      </c>
      <c r="AQ45" s="77">
        <v>10.3</v>
      </c>
      <c r="AR45" s="77">
        <v>5.5</v>
      </c>
      <c r="AS45" s="77">
        <v>2.8</v>
      </c>
      <c r="AT45" s="74"/>
      <c r="AU45" s="102">
        <v>1.2932915211001514E-4</v>
      </c>
      <c r="AV45" s="104">
        <v>1.829330158620641</v>
      </c>
      <c r="AW45" s="74"/>
      <c r="AX45" s="110">
        <v>482.80744337778077</v>
      </c>
      <c r="AY45" s="110">
        <v>-83.406316587778107</v>
      </c>
      <c r="AZ45" s="110">
        <v>21.042264468578555</v>
      </c>
      <c r="BA45" s="110">
        <v>-0.9895255552584159</v>
      </c>
      <c r="BB45" s="110">
        <v>0</v>
      </c>
      <c r="BC45" s="74"/>
      <c r="BD45" s="102">
        <v>1.2932915211001514E-4</v>
      </c>
      <c r="BE45" s="104">
        <v>1.829330158620641</v>
      </c>
      <c r="BF45" s="74"/>
      <c r="BG45" s="47" t="s">
        <v>15</v>
      </c>
      <c r="BH45" s="48" t="s">
        <v>62</v>
      </c>
    </row>
    <row r="46" spans="1:60" ht="15" x14ac:dyDescent="0.25">
      <c r="A46" s="72" t="s">
        <v>23</v>
      </c>
      <c r="B46" s="43" t="s">
        <v>30</v>
      </c>
      <c r="C46" s="44" t="s">
        <v>3303</v>
      </c>
      <c r="D46" s="45">
        <f>ROUND(MID(Briza12!$C46,6,3)/Basis!$E$3,1)</f>
        <v>20.5</v>
      </c>
      <c r="E46" s="45">
        <f>ROUND(MID(Briza12!$C46,9,3)/Basis!$E$3,1)</f>
        <v>20.5</v>
      </c>
      <c r="F46" s="46" t="s">
        <v>51</v>
      </c>
      <c r="G46" s="45">
        <f>ROUND(12/Basis!$E$3,1)</f>
        <v>4.7</v>
      </c>
      <c r="H46" s="221">
        <f>(($AA46*U_H^4+$Z46*U_H^3+$Y46*U_H^2+$X46*U_H+$W46)*((((TaH-TrH)/LN((TaH-TlH)/(TrH-TlH)))/((75-65)/LN((75-20)/(65-20))))^1))*Basis!$E$2*$AA$4*Glycol</f>
        <v>6664.4938433088018</v>
      </c>
      <c r="I46" s="123">
        <f>ROUND((($H46/Basis!$E$2)/((TaH-TrH)*1.163))*Basis!$E$5,IF(Basis!$E$1=1,0,IF(Basis!$E$1=2,2)))</f>
        <v>0.67</v>
      </c>
      <c r="J46" s="83">
        <f>ROUND(INDEX($AC46:$AG46,0,FanspeedH)*Basis!$E$4,1)</f>
        <v>147.1</v>
      </c>
      <c r="K46" s="85">
        <f>INDEX($AO46:$AS46,0,FanspeedH)</f>
        <v>16.8</v>
      </c>
      <c r="L46" s="84">
        <f>CHOOSE(Basis!$E$1,$AU46*(I46*3600/Basis!$E$5)^$AV46*Basis!$E$6/Basis!$E$9,$AU46*(I46/Basis!$E$5)^$AV46*Basis!$E$6/Basis!$E$9)</f>
        <v>0.40289617848162956</v>
      </c>
      <c r="M46" s="85">
        <f>INDEX($AI46:$AM46,0,FanspeedH)</f>
        <v>0</v>
      </c>
      <c r="N46" s="222">
        <f>(($BB46*U_C^4+$BA46*U_C^3+$AZ46*U_C^2+$AY46*U_C+$AX46)*((((TaC-TrC)/LN((TaC-TlC)/(TrC-TlC)))/((16-18)/LN((16-27)/(18-27))))^1))*Basis!$E$2*$AA$4*Glycol</f>
        <v>1636.6191233361631</v>
      </c>
      <c r="O46" s="108">
        <f>(($N46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1846.9857675348208</v>
      </c>
      <c r="P46" s="123">
        <f>ROUND((($O46/Basis!$E$2)/((TrC-TaC)*1.163))*Basis!$E$5,IF(Basis!$E$1=1,0,IF(Basis!$E$1=2,2)))</f>
        <v>0.37</v>
      </c>
      <c r="Q46" s="83">
        <f>IF(N46=0,0,ROUND(INDEX($AC46:$AG46,0,FanspeedC)*Basis!$E$4,1))</f>
        <v>147.1</v>
      </c>
      <c r="R46" s="85">
        <f>IF(N46=0,0,INDEX($AO46:$AS46,0,FanspeedC))</f>
        <v>16.8</v>
      </c>
      <c r="S46" s="84">
        <f>CHOOSE(Basis!$E$1,$BD46*(P46*3600/Basis!$E$5)^$BE46*Basis!$E$6/Basis!$E$9,$BD46*(P46/Basis!$E$5)^$BE46*Basis!$E$6/Basis!$E$9)</f>
        <v>0.1372434091935166</v>
      </c>
      <c r="T46" s="85">
        <f>IF(N46=0,0,INDEX($AI46:$AM46,0,FanspeedC))</f>
        <v>0</v>
      </c>
      <c r="U46" s="109">
        <v>1</v>
      </c>
      <c r="V46" s="68"/>
      <c r="W46" s="217">
        <v>1799.5703194869316</v>
      </c>
      <c r="X46" s="217">
        <v>-394.97241741556002</v>
      </c>
      <c r="Y46" s="217">
        <v>154.95813256389033</v>
      </c>
      <c r="Z46" s="217">
        <v>-17.609691863971744</v>
      </c>
      <c r="AA46" s="217">
        <v>0.69809556564507336</v>
      </c>
      <c r="AB46" s="68"/>
      <c r="AC46" s="69">
        <v>250</v>
      </c>
      <c r="AD46" s="69">
        <v>212</v>
      </c>
      <c r="AE46" s="69">
        <v>169</v>
      </c>
      <c r="AF46" s="69">
        <v>130</v>
      </c>
      <c r="AG46" s="69">
        <v>89</v>
      </c>
      <c r="AH46" s="68"/>
      <c r="AI46" s="70"/>
      <c r="AJ46" s="70"/>
      <c r="AK46" s="70"/>
      <c r="AL46" s="70"/>
      <c r="AM46" s="70"/>
      <c r="AN46" s="68"/>
      <c r="AO46" s="71">
        <v>16.8</v>
      </c>
      <c r="AP46" s="71">
        <v>9.6</v>
      </c>
      <c r="AQ46" s="71">
        <v>5.5</v>
      </c>
      <c r="AR46" s="71">
        <v>3.2</v>
      </c>
      <c r="AS46" s="71">
        <v>2</v>
      </c>
      <c r="AT46" s="68"/>
      <c r="AU46" s="101">
        <v>1.3263547865279744E-4</v>
      </c>
      <c r="AV46" s="103">
        <v>1.8136893271096062</v>
      </c>
      <c r="AW46" s="68"/>
      <c r="AX46" s="109">
        <v>141.61893986654567</v>
      </c>
      <c r="AY46" s="109">
        <v>31.006808805567498</v>
      </c>
      <c r="AZ46" s="109">
        <v>-6.1452575712695774</v>
      </c>
      <c r="BA46" s="109">
        <v>1.0825592582312564</v>
      </c>
      <c r="BB46" s="109">
        <v>-5.708272495290441E-2</v>
      </c>
      <c r="BC46" s="68"/>
      <c r="BD46" s="101">
        <v>1.3263547865279744E-4</v>
      </c>
      <c r="BE46" s="103">
        <v>1.8136893271096062</v>
      </c>
      <c r="BF46" s="68"/>
      <c r="BG46" s="49" t="s">
        <v>15</v>
      </c>
      <c r="BH46" s="50" t="s">
        <v>18</v>
      </c>
    </row>
    <row r="47" spans="1:60" ht="15" x14ac:dyDescent="0.25">
      <c r="A47" s="72" t="s">
        <v>23</v>
      </c>
      <c r="B47" s="43" t="s">
        <v>30</v>
      </c>
      <c r="C47" s="44" t="s">
        <v>3304</v>
      </c>
      <c r="D47" s="45">
        <f>ROUND(MID(Briza12!$C47,6,3)/Basis!$E$3,1)</f>
        <v>20.5</v>
      </c>
      <c r="E47" s="45">
        <f>ROUND(MID(Briza12!$C47,9,3)/Basis!$E$3,1)</f>
        <v>28.3</v>
      </c>
      <c r="F47" s="46" t="s">
        <v>51</v>
      </c>
      <c r="G47" s="45">
        <f>ROUND(12/Basis!$E$3,1)</f>
        <v>4.7</v>
      </c>
      <c r="H47" s="221">
        <f>(($AA47*U_H^4+$Z47*U_H^3+$Y47*U_H^2+$X47*U_H+$W47)*((((TaH-TrH)/LN((TaH-TlH)/(TrH-TlH)))/((75-65)/LN((75-20)/(65-20))))^1))*Basis!$E$2*$AA$4*Glycol</f>
        <v>11035.531730789016</v>
      </c>
      <c r="I47" s="123">
        <f>ROUND((($H47/Basis!$E$2)/((TaH-TrH)*1.163))*Basis!$E$5,IF(Basis!$E$1=1,0,IF(Basis!$E$1=2,2)))</f>
        <v>1.1000000000000001</v>
      </c>
      <c r="J47" s="83">
        <f>ROUND(INDEX($AC47:$AG47,0,FanspeedH)*Basis!$E$4,1)</f>
        <v>214.8</v>
      </c>
      <c r="K47" s="85">
        <f>INDEX($AO47:$AS47,0,FanspeedH)</f>
        <v>15.6</v>
      </c>
      <c r="L47" s="84">
        <f>CHOOSE(Basis!$E$1,$AU47*(I47*3600/Basis!$E$5)^$AV47*Basis!$E$6/Basis!$E$9,$AU47*(I47/Basis!$E$5)^$AV47*Basis!$E$6/Basis!$E$9)</f>
        <v>1.3004593206798611</v>
      </c>
      <c r="M47" s="85">
        <f>INDEX($AI47:$AM47,0,FanspeedH)</f>
        <v>0</v>
      </c>
      <c r="N47" s="222">
        <f>(($BB47*U_C^4+$BA47*U_C^3+$AZ47*U_C^2+$AY47*U_C+$AX47)*((((TaC-TrC)/LN((TaC-TlC)/(TrC-TlC)))/((16-18)/LN((16-27)/(18-27))))^1))*Basis!$E$2*$AA$4*Glycol</f>
        <v>2707.1872216201791</v>
      </c>
      <c r="O47" s="108">
        <f>(($N47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3055.1618254295395</v>
      </c>
      <c r="P47" s="123">
        <f>ROUND((($O47/Basis!$E$2)/((TrC-TaC)*1.163))*Basis!$E$5,IF(Basis!$E$1=1,0,IF(Basis!$E$1=2,2)))</f>
        <v>0.61</v>
      </c>
      <c r="Q47" s="83">
        <f>IF(N47=0,0,ROUND(INDEX($AC47:$AG47,0,FanspeedC)*Basis!$E$4,1))</f>
        <v>214.8</v>
      </c>
      <c r="R47" s="85">
        <f>IF(N47=0,0,INDEX($AO47:$AS47,0,FanspeedC))</f>
        <v>15.6</v>
      </c>
      <c r="S47" s="84">
        <f>CHOOSE(Basis!$E$1,$BD47*(P47*3600/Basis!$E$5)^$BE47*Basis!$E$6/Basis!$E$9,$BD47*(P47/Basis!$E$5)^$BE47*Basis!$E$6/Basis!$E$9)</f>
        <v>0.44448179988776965</v>
      </c>
      <c r="T47" s="85">
        <f>IF(N47=0,0,INDEX($AI47:$AM47,0,FanspeedC))</f>
        <v>0</v>
      </c>
      <c r="U47" s="110">
        <v>1</v>
      </c>
      <c r="V47" s="74"/>
      <c r="W47" s="218">
        <v>2449.9380640168019</v>
      </c>
      <c r="X47" s="218">
        <v>-187.6715729709768</v>
      </c>
      <c r="Y47" s="218">
        <v>122.05804505559311</v>
      </c>
      <c r="Z47" s="218">
        <v>-13.263227732012894</v>
      </c>
      <c r="AA47" s="218">
        <v>0.49830709976094612</v>
      </c>
      <c r="AB47" s="74"/>
      <c r="AC47" s="75">
        <v>365</v>
      </c>
      <c r="AD47" s="75">
        <v>320</v>
      </c>
      <c r="AE47" s="75">
        <v>262</v>
      </c>
      <c r="AF47" s="75">
        <v>193</v>
      </c>
      <c r="AG47" s="75">
        <v>127</v>
      </c>
      <c r="AH47" s="74"/>
      <c r="AI47" s="76"/>
      <c r="AJ47" s="76"/>
      <c r="AK47" s="76"/>
      <c r="AL47" s="76"/>
      <c r="AM47" s="76"/>
      <c r="AN47" s="74"/>
      <c r="AO47" s="77">
        <v>15.6</v>
      </c>
      <c r="AP47" s="77">
        <v>9.6</v>
      </c>
      <c r="AQ47" s="77">
        <v>5.7</v>
      </c>
      <c r="AR47" s="77">
        <v>3.6</v>
      </c>
      <c r="AS47" s="77">
        <v>2.2000000000000002</v>
      </c>
      <c r="AT47" s="74"/>
      <c r="AU47" s="102">
        <v>1.6747942882275273E-4</v>
      </c>
      <c r="AV47" s="104">
        <v>1.8208138694468972</v>
      </c>
      <c r="AW47" s="74"/>
      <c r="AX47" s="110">
        <v>278.25730759129112</v>
      </c>
      <c r="AY47" s="110">
        <v>15.003869299896744</v>
      </c>
      <c r="AZ47" s="110">
        <v>3.0462357352307898</v>
      </c>
      <c r="BA47" s="110">
        <v>-0.15580336271323561</v>
      </c>
      <c r="BB47" s="110">
        <v>0</v>
      </c>
      <c r="BC47" s="74"/>
      <c r="BD47" s="102">
        <v>1.6747942882275273E-4</v>
      </c>
      <c r="BE47" s="104">
        <v>1.8208138694468972</v>
      </c>
      <c r="BF47" s="74"/>
      <c r="BG47" s="47" t="s">
        <v>15</v>
      </c>
      <c r="BH47" s="48" t="s">
        <v>19</v>
      </c>
    </row>
    <row r="48" spans="1:60" ht="15" x14ac:dyDescent="0.25">
      <c r="A48" s="72" t="s">
        <v>23</v>
      </c>
      <c r="B48" s="43" t="s">
        <v>30</v>
      </c>
      <c r="C48" s="44" t="s">
        <v>3305</v>
      </c>
      <c r="D48" s="45">
        <f>ROUND(MID(Briza12!$C48,6,3)/Basis!$E$3,1)</f>
        <v>20.5</v>
      </c>
      <c r="E48" s="45">
        <f>ROUND(MID(Briza12!$C48,9,3)/Basis!$E$3,1)</f>
        <v>40.200000000000003</v>
      </c>
      <c r="F48" s="46" t="s">
        <v>51</v>
      </c>
      <c r="G48" s="45">
        <f>ROUND(12/Basis!$E$3,1)</f>
        <v>4.7</v>
      </c>
      <c r="H48" s="221">
        <f>(($AA48*U_H^4+$Z48*U_H^3+$Y48*U_H^2+$X48*U_H+$W48)*((((TaH-TrH)/LN((TaH-TlH)/(TrH-TlH)))/((75-65)/LN((75-20)/(65-20))))^1))*Basis!$E$2*$AA$4*Glycol</f>
        <v>17592.29554964765</v>
      </c>
      <c r="I48" s="123">
        <f>ROUND((($H48/Basis!$E$2)/((TaH-TrH)*1.163))*Basis!$E$5,IF(Basis!$E$1=1,0,IF(Basis!$E$1=2,2)))</f>
        <v>1.76</v>
      </c>
      <c r="J48" s="83">
        <f>ROUND(INDEX($AC48:$AG48,0,FanspeedH)*Basis!$E$4,1)</f>
        <v>301.89999999999998</v>
      </c>
      <c r="K48" s="85">
        <f>INDEX($AO48:$AS48,0,FanspeedH)</f>
        <v>28.8</v>
      </c>
      <c r="L48" s="84">
        <f>CHOOSE(Basis!$E$1,$AU48*(I48*3600/Basis!$E$5)^$AV48*Basis!$E$6/Basis!$E$9,$AU48*(I48/Basis!$E$5)^$AV48*Basis!$E$6/Basis!$E$9)</f>
        <v>4.1000899501196217</v>
      </c>
      <c r="M48" s="85">
        <f>INDEX($AI48:$AM48,0,FanspeedH)</f>
        <v>0</v>
      </c>
      <c r="N48" s="222">
        <f>(($BB48*U_C^4+$BA48*U_C^3+$AZ48*U_C^2+$AY48*U_C+$AX48)*((((TaC-TrC)/LN((TaC-TlC)/(TrC-TlC)))/((16-18)/LN((16-27)/(18-27))))^1))*Basis!$E$2*$AA$4*Glycol</f>
        <v>4316.1515338187892</v>
      </c>
      <c r="O48" s="108">
        <f>(($N48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4870.9381063791097</v>
      </c>
      <c r="P48" s="123">
        <f>ROUND((($O48/Basis!$E$2)/((TrC-TaC)*1.163))*Basis!$E$5,IF(Basis!$E$1=1,0,IF(Basis!$E$1=2,2)))</f>
        <v>0.97</v>
      </c>
      <c r="Q48" s="83">
        <f>IF(N48=0,0,ROUND(INDEX($AC48:$AG48,0,FanspeedC)*Basis!$E$4,1))</f>
        <v>301.89999999999998</v>
      </c>
      <c r="R48" s="85">
        <f>IF(N48=0,0,INDEX($AO48:$AS48,0,FanspeedC))</f>
        <v>28.8</v>
      </c>
      <c r="S48" s="84">
        <f>CHOOSE(Basis!$E$1,$BD48*(P48*3600/Basis!$E$5)^$BE48*Basis!$E$6/Basis!$E$9,$BD48*(P48/Basis!$E$5)^$BE48*Basis!$E$6/Basis!$E$9)</f>
        <v>1.392945913225569</v>
      </c>
      <c r="T48" s="85">
        <f>IF(N48=0,0,INDEX($AI48:$AM48,0,FanspeedC))</f>
        <v>0</v>
      </c>
      <c r="U48" s="109">
        <v>1</v>
      </c>
      <c r="V48" s="68"/>
      <c r="W48" s="217">
        <v>3667.2959327216463</v>
      </c>
      <c r="X48" s="217">
        <v>-107.32250508333314</v>
      </c>
      <c r="Y48" s="217">
        <v>136.64465681006797</v>
      </c>
      <c r="Z48" s="217">
        <v>-14.0765186386179</v>
      </c>
      <c r="AA48" s="217">
        <v>0.49898569310107377</v>
      </c>
      <c r="AB48" s="68"/>
      <c r="AC48" s="69">
        <v>513</v>
      </c>
      <c r="AD48" s="69">
        <v>437</v>
      </c>
      <c r="AE48" s="69">
        <v>353</v>
      </c>
      <c r="AF48" s="69">
        <v>259</v>
      </c>
      <c r="AG48" s="69">
        <v>168</v>
      </c>
      <c r="AH48" s="68"/>
      <c r="AI48" s="70"/>
      <c r="AJ48" s="70"/>
      <c r="AK48" s="70"/>
      <c r="AL48" s="70"/>
      <c r="AM48" s="70"/>
      <c r="AN48" s="68"/>
      <c r="AO48" s="71">
        <v>28.8</v>
      </c>
      <c r="AP48" s="71">
        <v>18</v>
      </c>
      <c r="AQ48" s="71">
        <v>10</v>
      </c>
      <c r="AR48" s="71">
        <v>5.4</v>
      </c>
      <c r="AS48" s="71">
        <v>2.8</v>
      </c>
      <c r="AT48" s="68"/>
      <c r="AU48" s="101">
        <v>2.364386444169621E-4</v>
      </c>
      <c r="AV48" s="103">
        <v>1.8120794599034276</v>
      </c>
      <c r="AW48" s="68"/>
      <c r="AX48" s="109">
        <v>468.36560109162576</v>
      </c>
      <c r="AY48" s="109">
        <v>4.1133778972978119</v>
      </c>
      <c r="AZ48" s="109">
        <v>8.7423560272215806</v>
      </c>
      <c r="BA48" s="109">
        <v>-0.46362092450028353</v>
      </c>
      <c r="BB48" s="109">
        <v>0</v>
      </c>
      <c r="BC48" s="68"/>
      <c r="BD48" s="101">
        <v>2.364386444169621E-4</v>
      </c>
      <c r="BE48" s="103">
        <v>1.8120794599034276</v>
      </c>
      <c r="BF48" s="68"/>
      <c r="BG48" s="49" t="s">
        <v>15</v>
      </c>
      <c r="BH48" s="50" t="s">
        <v>64</v>
      </c>
    </row>
    <row r="49" spans="1:60" ht="15" x14ac:dyDescent="0.25">
      <c r="A49" s="72" t="s">
        <v>23</v>
      </c>
      <c r="B49" s="43" t="s">
        <v>30</v>
      </c>
      <c r="C49" s="44" t="s">
        <v>3306</v>
      </c>
      <c r="D49" s="45">
        <f>ROUND(MID(Briza12!$C49,6,3)/Basis!$E$3,1)</f>
        <v>20.5</v>
      </c>
      <c r="E49" s="45">
        <f>ROUND(MID(Briza12!$C49,9,3)/Basis!$E$3,1)</f>
        <v>48</v>
      </c>
      <c r="F49" s="46" t="s">
        <v>51</v>
      </c>
      <c r="G49" s="45">
        <f>ROUND(12/Basis!$E$3,1)</f>
        <v>4.7</v>
      </c>
      <c r="H49" s="221">
        <f>(($AA49*U_H^4+$Z49*U_H^3+$Y49*U_H^2+$X49*U_H+$W49)*((((TaH-TrH)/LN((TaH-TlH)/(TrH-TlH)))/((75-65)/LN((75-20)/(65-20))))^1))*Basis!$E$2*$AA$4*Glycol</f>
        <v>21964.91579644382</v>
      </c>
      <c r="I49" s="123">
        <f>ROUND((($H49/Basis!$E$2)/((TaH-TrH)*1.163))*Basis!$E$5,IF(Basis!$E$1=1,0,IF(Basis!$E$1=2,2)))</f>
        <v>2.19</v>
      </c>
      <c r="J49" s="83">
        <f>ROUND(INDEX($AC49:$AG49,0,FanspeedH)*Basis!$E$4,1)</f>
        <v>343.1</v>
      </c>
      <c r="K49" s="85">
        <f>INDEX($AO49:$AS49,0,FanspeedH)</f>
        <v>28.8</v>
      </c>
      <c r="L49" s="84">
        <f>CHOOSE(Basis!$E$1,$AU49*(I49*3600/Basis!$E$5)^$AV49*Basis!$E$6/Basis!$E$9,$AU49*(I49/Basis!$E$5)^$AV49*Basis!$E$6/Basis!$E$9)</f>
        <v>7.1490190672526026</v>
      </c>
      <c r="M49" s="85">
        <f>INDEX($AI49:$AM49,0,FanspeedH)</f>
        <v>0</v>
      </c>
      <c r="N49" s="222">
        <f>(($BB49*U_C^4+$BA49*U_C^3+$AZ49*U_C^2+$AY49*U_C+$AX49)*((((TaC-TrC)/LN((TaC-TlC)/(TrC-TlC)))/((16-18)/LN((16-27)/(18-27))))^1))*Basis!$E$2*$AA$4*Glycol</f>
        <v>5390.7667936730095</v>
      </c>
      <c r="O49" s="108">
        <f>(($N49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6083.6815371662124</v>
      </c>
      <c r="P49" s="123">
        <f>ROUND((($O49/Basis!$E$2)/((TrC-TaC)*1.163))*Basis!$E$5,IF(Basis!$E$1=1,0,IF(Basis!$E$1=2,2)))</f>
        <v>1.22</v>
      </c>
      <c r="Q49" s="83">
        <f>IF(N49=0,0,ROUND(INDEX($AC49:$AG49,0,FanspeedC)*Basis!$E$4,1))</f>
        <v>343.1</v>
      </c>
      <c r="R49" s="85">
        <f>IF(N49=0,0,INDEX($AO49:$AS49,0,FanspeedC))</f>
        <v>28.8</v>
      </c>
      <c r="S49" s="84">
        <f>CHOOSE(Basis!$E$1,$BD49*(P49*3600/Basis!$E$5)^$BE49*Basis!$E$6/Basis!$E$9,$BD49*(P49/Basis!$E$5)^$BE49*Basis!$E$6/Basis!$E$9)</f>
        <v>2.4715642074350983</v>
      </c>
      <c r="T49" s="85">
        <f>IF(N49=0,0,INDEX($AI49:$AM49,0,FanspeedC))</f>
        <v>0</v>
      </c>
      <c r="U49" s="110">
        <v>1</v>
      </c>
      <c r="V49" s="74"/>
      <c r="W49" s="218">
        <v>3546.9026600779671</v>
      </c>
      <c r="X49" s="218">
        <v>534.88419784399764</v>
      </c>
      <c r="Y49" s="218">
        <v>10.781174684358943</v>
      </c>
      <c r="Z49" s="218">
        <v>-1.0193952578456988</v>
      </c>
      <c r="AA49" s="218">
        <v>0</v>
      </c>
      <c r="AB49" s="74"/>
      <c r="AC49" s="75">
        <v>583</v>
      </c>
      <c r="AD49" s="75">
        <v>500</v>
      </c>
      <c r="AE49" s="75">
        <v>396</v>
      </c>
      <c r="AF49" s="75">
        <v>297</v>
      </c>
      <c r="AG49" s="75">
        <v>200</v>
      </c>
      <c r="AH49" s="74"/>
      <c r="AI49" s="76"/>
      <c r="AJ49" s="76"/>
      <c r="AK49" s="76"/>
      <c r="AL49" s="76"/>
      <c r="AM49" s="76"/>
      <c r="AN49" s="74"/>
      <c r="AO49" s="77">
        <v>28.8</v>
      </c>
      <c r="AP49" s="77">
        <v>18</v>
      </c>
      <c r="AQ49" s="77">
        <v>10</v>
      </c>
      <c r="AR49" s="77">
        <v>5.5</v>
      </c>
      <c r="AS49" s="77">
        <v>2.8</v>
      </c>
      <c r="AT49" s="74"/>
      <c r="AU49" s="102">
        <v>2.7169905751214276E-4</v>
      </c>
      <c r="AV49" s="104">
        <v>1.8154391549649329</v>
      </c>
      <c r="AW49" s="74"/>
      <c r="AX49" s="110">
        <v>613.16879517825794</v>
      </c>
      <c r="AY49" s="110">
        <v>-38.707319274037957</v>
      </c>
      <c r="AZ49" s="110">
        <v>28.361806599292617</v>
      </c>
      <c r="BA49" s="110">
        <v>-3.0580202694692744</v>
      </c>
      <c r="BB49" s="110">
        <v>0.11449437682638812</v>
      </c>
      <c r="BC49" s="74"/>
      <c r="BD49" s="102">
        <v>2.7169905751214276E-4</v>
      </c>
      <c r="BE49" s="104">
        <v>1.8154391549649329</v>
      </c>
      <c r="BF49" s="74"/>
      <c r="BG49" s="47" t="s">
        <v>15</v>
      </c>
      <c r="BH49" s="48" t="s">
        <v>66</v>
      </c>
    </row>
    <row r="50" spans="1:60" ht="15" x14ac:dyDescent="0.25">
      <c r="A50" s="72" t="s">
        <v>23</v>
      </c>
      <c r="B50" s="43" t="s">
        <v>30</v>
      </c>
      <c r="C50" s="44" t="s">
        <v>3307</v>
      </c>
      <c r="D50" s="45">
        <f>ROUND(MID(Briza12!$C50,6,3)/Basis!$E$3,1)</f>
        <v>15</v>
      </c>
      <c r="E50" s="45">
        <f>ROUND(MID(Briza12!$C50,9,3)/Basis!$E$3,1)</f>
        <v>20.5</v>
      </c>
      <c r="F50" s="46" t="s">
        <v>50</v>
      </c>
      <c r="G50" s="45">
        <f>ROUND(12/Basis!$E$3,1)</f>
        <v>4.7</v>
      </c>
      <c r="H50" s="221">
        <f>(($AA50*U_H^4+$Z50*U_H^3+$Y50*U_H^2+$X50*U_H+$W50)*((((TaH-TrH)/LN((TaH-TlH)/(TrH-TlH)))/((75-65)/LN((75-20)/(65-20))))^1))*Basis!$E$2*$AA$4*Glycol</f>
        <v>3602.0888092930354</v>
      </c>
      <c r="I50" s="123">
        <f>ROUND((($H50/Basis!$E$2)/((TaH-TrH)*1.163))*Basis!$E$5,IF(Basis!$E$1=1,0,IF(Basis!$E$1=2,2)))</f>
        <v>0.36</v>
      </c>
      <c r="J50" s="83">
        <f>ROUND(INDEX($AC50:$AG50,0,FanspeedH)*Basis!$E$4,1)</f>
        <v>92.4</v>
      </c>
      <c r="K50" s="85">
        <f>INDEX($AO50:$AS50,0,FanspeedH)</f>
        <v>13.7</v>
      </c>
      <c r="L50" s="84">
        <f>CHOOSE(Basis!$E$1,$AU50*(I50*3600/Basis!$E$5)^$AV50*Basis!$E$6/Basis!$E$9,$AU50*(I50/Basis!$E$5)^$AV50*Basis!$E$6/Basis!$E$9)</f>
        <v>6.7597639276309934E-2</v>
      </c>
      <c r="M50" s="85">
        <f>INDEX($AI50:$AM50,0,FanspeedH)</f>
        <v>0</v>
      </c>
      <c r="N50" s="222">
        <f>(($BB50*U_C^4+$BA50*U_C^3+$AZ50*U_C^2+$AY50*U_C+$AX50)*((((TaC-TrC)/LN((TaC-TlC)/(TrC-TlC)))/((16-18)/LN((16-27)/(18-27))))^1))*Basis!$E$2*$AA$4*Glycol</f>
        <v>881.39012135871769</v>
      </c>
      <c r="O50" s="108">
        <f>(($N50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994.68164986177089</v>
      </c>
      <c r="P50" s="123">
        <f>ROUND((($O50/Basis!$E$2)/((TrC-TaC)*1.163))*Basis!$E$5,IF(Basis!$E$1=1,0,IF(Basis!$E$1=2,2)))</f>
        <v>0.2</v>
      </c>
      <c r="Q50" s="83">
        <f>IF(N50=0,0,ROUND(INDEX($AC50:$AG50,0,FanspeedC)*Basis!$E$4,1))</f>
        <v>92.4</v>
      </c>
      <c r="R50" s="85">
        <f>IF(N50=0,0,INDEX($AO50:$AS50,0,FanspeedC))</f>
        <v>13.7</v>
      </c>
      <c r="S50" s="84">
        <f>CHOOSE(Basis!$E$1,$BD50*(P50*3600/Basis!$E$5)^$BE50*Basis!$E$6/Basis!$E$9,$BD50*(P50/Basis!$E$5)^$BE50*Basis!$E$6/Basis!$E$9)</f>
        <v>2.2977000170463391E-2</v>
      </c>
      <c r="T50" s="85">
        <f>IF(N50=0,0,INDEX($AI50:$AM50,0,FanspeedC))</f>
        <v>0</v>
      </c>
      <c r="U50" s="109">
        <v>1</v>
      </c>
      <c r="V50" s="68"/>
      <c r="W50" s="217">
        <v>672.41562351132109</v>
      </c>
      <c r="X50" s="217">
        <v>69.712592547323396</v>
      </c>
      <c r="Y50" s="217">
        <v>-4.1131146289079608</v>
      </c>
      <c r="Z50" s="217">
        <v>0.5102383173034456</v>
      </c>
      <c r="AA50" s="217">
        <v>0</v>
      </c>
      <c r="AB50" s="68"/>
      <c r="AC50" s="69">
        <v>157</v>
      </c>
      <c r="AD50" s="69">
        <v>128</v>
      </c>
      <c r="AE50" s="69">
        <v>95</v>
      </c>
      <c r="AF50" s="69">
        <v>67</v>
      </c>
      <c r="AG50" s="69">
        <v>32</v>
      </c>
      <c r="AH50" s="68"/>
      <c r="AI50" s="70"/>
      <c r="AJ50" s="70"/>
      <c r="AK50" s="70"/>
      <c r="AL50" s="70"/>
      <c r="AM50" s="70"/>
      <c r="AN50" s="68"/>
      <c r="AO50" s="71">
        <v>13.7</v>
      </c>
      <c r="AP50" s="71">
        <v>8</v>
      </c>
      <c r="AQ50" s="71">
        <v>4.8</v>
      </c>
      <c r="AR50" s="71">
        <v>3</v>
      </c>
      <c r="AS50" s="71">
        <v>1.8</v>
      </c>
      <c r="AT50" s="68"/>
      <c r="AU50" s="101">
        <v>6.2276819636539519E-5</v>
      </c>
      <c r="AV50" s="103">
        <v>1.8358350093844202</v>
      </c>
      <c r="AW50" s="68"/>
      <c r="AX50" s="109">
        <v>82.549001284779564</v>
      </c>
      <c r="AY50" s="109">
        <v>8.2877720139951929</v>
      </c>
      <c r="AZ50" s="109">
        <v>0.2246738635684899</v>
      </c>
      <c r="BA50" s="109">
        <v>0</v>
      </c>
      <c r="BB50" s="109">
        <v>0</v>
      </c>
      <c r="BC50" s="68"/>
      <c r="BD50" s="101">
        <v>6.2276819636539519E-5</v>
      </c>
      <c r="BE50" s="103">
        <v>1.8358350093844202</v>
      </c>
      <c r="BF50" s="68"/>
      <c r="BG50" s="49" t="s">
        <v>15</v>
      </c>
      <c r="BH50" s="50" t="s">
        <v>4</v>
      </c>
    </row>
    <row r="51" spans="1:60" ht="15" x14ac:dyDescent="0.25">
      <c r="A51" s="72" t="s">
        <v>23</v>
      </c>
      <c r="B51" s="43" t="s">
        <v>30</v>
      </c>
      <c r="C51" s="44" t="s">
        <v>3308</v>
      </c>
      <c r="D51" s="45">
        <f>ROUND(MID(Briza12!$C51,6,3)/Basis!$E$3,1)</f>
        <v>15</v>
      </c>
      <c r="E51" s="45">
        <f>ROUND(MID(Briza12!$C51,9,3)/Basis!$E$3,1)</f>
        <v>28.3</v>
      </c>
      <c r="F51" s="46" t="s">
        <v>50</v>
      </c>
      <c r="G51" s="45">
        <f>ROUND(12/Basis!$E$3,1)</f>
        <v>4.7</v>
      </c>
      <c r="H51" s="221">
        <f>(($AA51*U_H^4+$Z51*U_H^3+$Y51*U_H^2+$X51*U_H+$W51)*((((TaH-TrH)/LN((TaH-TlH)/(TrH-TlH)))/((75-65)/LN((75-20)/(65-20))))^1))*Basis!$E$2*$AA$4*Glycol</f>
        <v>5928.3973034085839</v>
      </c>
      <c r="I51" s="123">
        <f>ROUND((($H51/Basis!$E$2)/((TaH-TrH)*1.163))*Basis!$E$5,IF(Basis!$E$1=1,0,IF(Basis!$E$1=2,2)))</f>
        <v>0.59</v>
      </c>
      <c r="J51" s="83">
        <f>ROUND(INDEX($AC51:$AG51,0,FanspeedH)*Basis!$E$4,1)</f>
        <v>148.30000000000001</v>
      </c>
      <c r="K51" s="85">
        <f>INDEX($AO51:$AS51,0,FanspeedH)</f>
        <v>14.4</v>
      </c>
      <c r="L51" s="84">
        <f>CHOOSE(Basis!$E$1,$AU51*(I51*3600/Basis!$E$5)^$AV51*Basis!$E$6/Basis!$E$9,$AU51*(I51/Basis!$E$5)^$AV51*Basis!$E$6/Basis!$E$9)</f>
        <v>0.21615401273411083</v>
      </c>
      <c r="M51" s="85">
        <f>INDEX($AI51:$AM51,0,FanspeedH)</f>
        <v>0</v>
      </c>
      <c r="N51" s="222">
        <f>(($BB51*U_C^4+$BA51*U_C^3+$AZ51*U_C^2+$AY51*U_C+$AX51)*((((TaC-TrC)/LN((TaC-TlC)/(TrC-TlC)))/((16-18)/LN((16-27)/(18-27))))^1))*Basis!$E$2*$AA$4*Glycol</f>
        <v>1453.3045621278811</v>
      </c>
      <c r="O51" s="108">
        <f>(($N51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1640.1084429906646</v>
      </c>
      <c r="P51" s="123">
        <f>ROUND((($O51/Basis!$E$2)/((TrC-TaC)*1.163))*Basis!$E$5,IF(Basis!$E$1=1,0,IF(Basis!$E$1=2,2)))</f>
        <v>0.33</v>
      </c>
      <c r="Q51" s="83">
        <f>IF(N51=0,0,ROUND(INDEX($AC51:$AG51,0,FanspeedC)*Basis!$E$4,1))</f>
        <v>148.30000000000001</v>
      </c>
      <c r="R51" s="85">
        <f>IF(N51=0,0,INDEX($AO51:$AS51,0,FanspeedC))</f>
        <v>14.4</v>
      </c>
      <c r="S51" s="84">
        <f>CHOOSE(Basis!$E$1,$BD51*(P51*3600/Basis!$E$5)^$BE51*Basis!$E$6/Basis!$E$9,$BD51*(P51/Basis!$E$5)^$BE51*Basis!$E$6/Basis!$E$9)</f>
        <v>7.5303946233772734E-2</v>
      </c>
      <c r="T51" s="85">
        <f>IF(N51=0,0,INDEX($AI51:$AM51,0,FanspeedC))</f>
        <v>0</v>
      </c>
      <c r="U51" s="110">
        <v>1</v>
      </c>
      <c r="V51" s="74"/>
      <c r="W51" s="218">
        <v>1150.1568462090017</v>
      </c>
      <c r="X51" s="218">
        <v>117.51965864074985</v>
      </c>
      <c r="Y51" s="218">
        <v>-13.4761765197598</v>
      </c>
      <c r="Z51" s="218">
        <v>1.4391019442875652</v>
      </c>
      <c r="AA51" s="218">
        <v>0</v>
      </c>
      <c r="AB51" s="74"/>
      <c r="AC51" s="75">
        <v>252</v>
      </c>
      <c r="AD51" s="75">
        <v>213</v>
      </c>
      <c r="AE51" s="75">
        <v>158</v>
      </c>
      <c r="AF51" s="75">
        <v>101</v>
      </c>
      <c r="AG51" s="75">
        <v>57</v>
      </c>
      <c r="AH51" s="74"/>
      <c r="AI51" s="76"/>
      <c r="AJ51" s="76"/>
      <c r="AK51" s="76"/>
      <c r="AL51" s="76"/>
      <c r="AM51" s="76"/>
      <c r="AN51" s="74"/>
      <c r="AO51" s="77">
        <v>14.4</v>
      </c>
      <c r="AP51" s="77">
        <v>8.4</v>
      </c>
      <c r="AQ51" s="77">
        <v>5.7</v>
      </c>
      <c r="AR51" s="77">
        <v>3.4</v>
      </c>
      <c r="AS51" s="77">
        <v>2</v>
      </c>
      <c r="AT51" s="74"/>
      <c r="AU51" s="102">
        <v>8.9125876915269658E-5</v>
      </c>
      <c r="AV51" s="104">
        <v>1.8148096460023067</v>
      </c>
      <c r="AW51" s="74"/>
      <c r="AX51" s="110">
        <v>135.99082694968888</v>
      </c>
      <c r="AY51" s="110">
        <v>15.38147266772482</v>
      </c>
      <c r="AZ51" s="110">
        <v>-0.70553445364847411</v>
      </c>
      <c r="BA51" s="110">
        <v>9.0562305830694051E-2</v>
      </c>
      <c r="BB51" s="110">
        <v>0</v>
      </c>
      <c r="BC51" s="74"/>
      <c r="BD51" s="102">
        <v>8.9125876915269658E-5</v>
      </c>
      <c r="BE51" s="104">
        <v>1.8148096460023067</v>
      </c>
      <c r="BF51" s="74"/>
      <c r="BG51" s="47" t="s">
        <v>15</v>
      </c>
      <c r="BH51" s="48" t="s">
        <v>6</v>
      </c>
    </row>
    <row r="52" spans="1:60" ht="15" x14ac:dyDescent="0.25">
      <c r="A52" s="72" t="s">
        <v>23</v>
      </c>
      <c r="B52" s="43" t="s">
        <v>30</v>
      </c>
      <c r="C52" s="44" t="s">
        <v>3309</v>
      </c>
      <c r="D52" s="45">
        <f>ROUND(MID(Briza12!$C52,6,3)/Basis!$E$3,1)</f>
        <v>15</v>
      </c>
      <c r="E52" s="45">
        <f>ROUND(MID(Briza12!$C52,9,3)/Basis!$E$3,1)</f>
        <v>40.200000000000003</v>
      </c>
      <c r="F52" s="46" t="s">
        <v>50</v>
      </c>
      <c r="G52" s="45">
        <f>ROUND(12/Basis!$E$3,1)</f>
        <v>4.7</v>
      </c>
      <c r="H52" s="221">
        <f>(($AA52*U_H^4+$Z52*U_H^3+$Y52*U_H^2+$X52*U_H+$W52)*((((TaH-TrH)/LN((TaH-TlH)/(TrH-TlH)))/((75-65)/LN((75-20)/(65-20))))^1))*Basis!$E$2*$AA$4*Glycol</f>
        <v>9416.7752895742124</v>
      </c>
      <c r="I52" s="123">
        <f>ROUND((($H52/Basis!$E$2)/((TaH-TrH)*1.163))*Basis!$E$5,IF(Basis!$E$1=1,0,IF(Basis!$E$1=2,2)))</f>
        <v>0.94</v>
      </c>
      <c r="J52" s="83">
        <f>ROUND(INDEX($AC52:$AG52,0,FanspeedH)*Basis!$E$4,1)</f>
        <v>235.4</v>
      </c>
      <c r="K52" s="85">
        <f>INDEX($AO52:$AS52,0,FanspeedH)</f>
        <v>20.9</v>
      </c>
      <c r="L52" s="84">
        <f>CHOOSE(Basis!$E$1,$AU52*(I52*3600/Basis!$E$5)^$AV52*Basis!$E$6/Basis!$E$9,$AU52*(I52/Basis!$E$5)^$AV52*Basis!$E$6/Basis!$E$9)</f>
        <v>0.67955478988099749</v>
      </c>
      <c r="M52" s="85">
        <f>INDEX($AI52:$AM52,0,FanspeedH)</f>
        <v>0</v>
      </c>
      <c r="N52" s="222">
        <f>(($BB52*U_C^4+$BA52*U_C^3+$AZ52*U_C^2+$AY52*U_C+$AX52)*((((TaC-TrC)/LN((TaC-TlC)/(TrC-TlC)))/((16-18)/LN((16-27)/(18-27))))^1))*Basis!$E$2*$AA$4*Glycol</f>
        <v>2305.8911798367531</v>
      </c>
      <c r="O52" s="108">
        <f>(($N52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2602.2842638920861</v>
      </c>
      <c r="P52" s="123">
        <f>ROUND((($O52/Basis!$E$2)/((TrC-TaC)*1.163))*Basis!$E$5,IF(Basis!$E$1=1,0,IF(Basis!$E$1=2,2)))</f>
        <v>0.52</v>
      </c>
      <c r="Q52" s="83">
        <f>IF(N52=0,0,ROUND(INDEX($AC52:$AG52,0,FanspeedC)*Basis!$E$4,1))</f>
        <v>235.4</v>
      </c>
      <c r="R52" s="85">
        <f>IF(N52=0,0,INDEX($AO52:$AS52,0,FanspeedC))</f>
        <v>20.9</v>
      </c>
      <c r="S52" s="84">
        <f>CHOOSE(Basis!$E$1,$BD52*(P52*3600/Basis!$E$5)^$BE52*Basis!$E$6/Basis!$E$9,$BD52*(P52/Basis!$E$5)^$BE52*Basis!$E$6/Basis!$E$9)</f>
        <v>0.232089762409008</v>
      </c>
      <c r="T52" s="85">
        <f>IF(N52=0,0,INDEX($AI52:$AM52,0,FanspeedC))</f>
        <v>0</v>
      </c>
      <c r="U52" s="109">
        <v>1</v>
      </c>
      <c r="V52" s="68"/>
      <c r="W52" s="217">
        <v>1773.7132602943027</v>
      </c>
      <c r="X52" s="217">
        <v>185.79907596861634</v>
      </c>
      <c r="Y52" s="217">
        <v>-14.064601457374017</v>
      </c>
      <c r="Z52" s="217">
        <v>1.6137056094442337</v>
      </c>
      <c r="AA52" s="217">
        <v>0</v>
      </c>
      <c r="AB52" s="68"/>
      <c r="AC52" s="69">
        <v>400</v>
      </c>
      <c r="AD52" s="69">
        <v>305</v>
      </c>
      <c r="AE52" s="69">
        <v>242</v>
      </c>
      <c r="AF52" s="69">
        <v>164</v>
      </c>
      <c r="AG52" s="69">
        <v>80</v>
      </c>
      <c r="AH52" s="68"/>
      <c r="AI52" s="70"/>
      <c r="AJ52" s="70"/>
      <c r="AK52" s="70"/>
      <c r="AL52" s="70"/>
      <c r="AM52" s="70"/>
      <c r="AN52" s="68"/>
      <c r="AO52" s="71">
        <v>20.9</v>
      </c>
      <c r="AP52" s="71">
        <v>12.6</v>
      </c>
      <c r="AQ52" s="71">
        <v>7.4</v>
      </c>
      <c r="AR52" s="71">
        <v>4.0999999999999996</v>
      </c>
      <c r="AS52" s="71">
        <v>2.2999999999999998</v>
      </c>
      <c r="AT52" s="68"/>
      <c r="AU52" s="101">
        <v>1.2048931502827451E-4</v>
      </c>
      <c r="AV52" s="103">
        <v>1.8145625016160318</v>
      </c>
      <c r="AW52" s="68"/>
      <c r="AX52" s="109">
        <v>237.24710921217832</v>
      </c>
      <c r="AY52" s="109">
        <v>17.105182113376028</v>
      </c>
      <c r="AZ52" s="109">
        <v>-0.67547236028043489</v>
      </c>
      <c r="BA52" s="109">
        <v>0.15081651750746569</v>
      </c>
      <c r="BB52" s="109">
        <v>0</v>
      </c>
      <c r="BC52" s="68"/>
      <c r="BD52" s="101">
        <v>1.2048931502827451E-4</v>
      </c>
      <c r="BE52" s="103">
        <v>1.8145625016160318</v>
      </c>
      <c r="BF52" s="68"/>
      <c r="BG52" s="49" t="s">
        <v>15</v>
      </c>
      <c r="BH52" s="50" t="s">
        <v>61</v>
      </c>
    </row>
    <row r="53" spans="1:60" ht="15" x14ac:dyDescent="0.25">
      <c r="A53" s="72" t="s">
        <v>23</v>
      </c>
      <c r="B53" s="43" t="s">
        <v>30</v>
      </c>
      <c r="C53" s="44" t="s">
        <v>3310</v>
      </c>
      <c r="D53" s="45">
        <f>ROUND(MID(Briza12!$C53,6,3)/Basis!$E$3,1)</f>
        <v>15</v>
      </c>
      <c r="E53" s="45">
        <f>ROUND(MID(Briza12!$C53,9,3)/Basis!$E$3,1)</f>
        <v>48</v>
      </c>
      <c r="F53" s="46" t="s">
        <v>50</v>
      </c>
      <c r="G53" s="45">
        <f>ROUND(12/Basis!$E$3,1)</f>
        <v>4.7</v>
      </c>
      <c r="H53" s="221">
        <f>(($AA53*U_H^4+$Z53*U_H^3+$Y53*U_H^2+$X53*U_H+$W53)*((((TaH-TrH)/LN((TaH-TlH)/(TrH-TlH)))/((75-65)/LN((75-20)/(65-20))))^1))*Basis!$E$2*$AA$4*Glycol</f>
        <v>11742.351832843326</v>
      </c>
      <c r="I53" s="123">
        <f>ROUND((($H53/Basis!$E$2)/((TaH-TrH)*1.163))*Basis!$E$5,IF(Basis!$E$1=1,0,IF(Basis!$E$1=2,2)))</f>
        <v>1.17</v>
      </c>
      <c r="J53" s="83">
        <f>ROUND(INDEX($AC53:$AG53,0,FanspeedH)*Basis!$E$4,1)</f>
        <v>247.2</v>
      </c>
      <c r="K53" s="85">
        <f>INDEX($AO53:$AS53,0,FanspeedH)</f>
        <v>28.8</v>
      </c>
      <c r="L53" s="84">
        <f>CHOOSE(Basis!$E$1,$AU53*(I53*3600/Basis!$E$5)^$AV53*Basis!$E$6/Basis!$E$9,$AU53*(I53/Basis!$E$5)^$AV53*Basis!$E$6/Basis!$E$9)</f>
        <v>1.1783229231282835</v>
      </c>
      <c r="M53" s="85">
        <f>INDEX($AI53:$AM53,0,FanspeedH)</f>
        <v>0</v>
      </c>
      <c r="N53" s="222">
        <f>(($BB53*U_C^4+$BA53*U_C^3+$AZ53*U_C^2+$AY53*U_C+$AX53)*((((TaC-TrC)/LN((TaC-TlC)/(TrC-TlC)))/((16-18)/LN((16-27)/(18-27))))^1))*Basis!$E$2*$AA$4*Glycol</f>
        <v>2869.9947800751302</v>
      </c>
      <c r="O53" s="108">
        <f>(($N53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3238.8962319421676</v>
      </c>
      <c r="P53" s="123">
        <f>ROUND((($O53/Basis!$E$2)/((TrC-TaC)*1.163))*Basis!$E$5,IF(Basis!$E$1=1,0,IF(Basis!$E$1=2,2)))</f>
        <v>0.65</v>
      </c>
      <c r="Q53" s="83">
        <f>IF(N53=0,0,ROUND(INDEX($AC53:$AG53,0,FanspeedC)*Basis!$E$4,1))</f>
        <v>247.2</v>
      </c>
      <c r="R53" s="85">
        <f>IF(N53=0,0,INDEX($AO53:$AS53,0,FanspeedC))</f>
        <v>28.8</v>
      </c>
      <c r="S53" s="84">
        <f>CHOOSE(Basis!$E$1,$BD53*(P53*3600/Basis!$E$5)^$BE53*Basis!$E$6/Basis!$E$9,$BD53*(P53/Basis!$E$5)^$BE53*Basis!$E$6/Basis!$E$9)</f>
        <v>0.40205608024927075</v>
      </c>
      <c r="T53" s="85">
        <f>IF(N53=0,0,INDEX($AI53:$AM53,0,FanspeedC))</f>
        <v>0</v>
      </c>
      <c r="U53" s="110">
        <v>1</v>
      </c>
      <c r="V53" s="74"/>
      <c r="W53" s="218">
        <v>2163.6048102319037</v>
      </c>
      <c r="X53" s="218">
        <v>249.05799215514961</v>
      </c>
      <c r="Y53" s="218">
        <v>-17.746729246414905</v>
      </c>
      <c r="Z53" s="218">
        <v>1.9075086026874459</v>
      </c>
      <c r="AA53" s="218">
        <v>0</v>
      </c>
      <c r="AB53" s="74"/>
      <c r="AC53" s="75">
        <v>420</v>
      </c>
      <c r="AD53" s="75">
        <v>318</v>
      </c>
      <c r="AE53" s="75">
        <v>249</v>
      </c>
      <c r="AF53" s="75">
        <v>174</v>
      </c>
      <c r="AG53" s="75">
        <v>98</v>
      </c>
      <c r="AH53" s="74"/>
      <c r="AI53" s="76"/>
      <c r="AJ53" s="76"/>
      <c r="AK53" s="76"/>
      <c r="AL53" s="76"/>
      <c r="AM53" s="76"/>
      <c r="AN53" s="74"/>
      <c r="AO53" s="77">
        <v>28.8</v>
      </c>
      <c r="AP53" s="77">
        <v>17</v>
      </c>
      <c r="AQ53" s="77">
        <v>9</v>
      </c>
      <c r="AR53" s="77">
        <v>4.5</v>
      </c>
      <c r="AS53" s="77">
        <v>2.5</v>
      </c>
      <c r="AT53" s="74"/>
      <c r="AU53" s="102">
        <v>1.2932915211001514E-4</v>
      </c>
      <c r="AV53" s="104">
        <v>1.829330158620641</v>
      </c>
      <c r="AW53" s="74"/>
      <c r="AX53" s="110">
        <v>283.02730631532029</v>
      </c>
      <c r="AY53" s="110">
        <v>25.701668848064646</v>
      </c>
      <c r="AZ53" s="110">
        <v>-1.0420209522650592</v>
      </c>
      <c r="BA53" s="110">
        <v>0.17598150923924533</v>
      </c>
      <c r="BB53" s="110">
        <v>0</v>
      </c>
      <c r="BC53" s="74"/>
      <c r="BD53" s="102">
        <v>1.2932915211001514E-4</v>
      </c>
      <c r="BE53" s="104">
        <v>1.829330158620641</v>
      </c>
      <c r="BF53" s="74"/>
      <c r="BG53" s="47" t="s">
        <v>15</v>
      </c>
      <c r="BH53" s="48" t="s">
        <v>63</v>
      </c>
    </row>
    <row r="54" spans="1:60" ht="15" x14ac:dyDescent="0.25">
      <c r="A54" s="72" t="s">
        <v>23</v>
      </c>
      <c r="B54" s="43" t="s">
        <v>30</v>
      </c>
      <c r="C54" s="44" t="s">
        <v>3311</v>
      </c>
      <c r="D54" s="45">
        <f>ROUND(MID(Briza12!$C54,6,3)/Basis!$E$3,1)</f>
        <v>20.5</v>
      </c>
      <c r="E54" s="45">
        <f>ROUND(MID(Briza12!$C54,9,3)/Basis!$E$3,1)</f>
        <v>20.5</v>
      </c>
      <c r="F54" s="46" t="s">
        <v>50</v>
      </c>
      <c r="G54" s="45">
        <f>ROUND(12/Basis!$E$3,1)</f>
        <v>4.7</v>
      </c>
      <c r="H54" s="221">
        <f>(($AA54*U_H^4+$Z54*U_H^3+$Y54*U_H^2+$X54*U_H+$W54)*((((TaH-TrH)/LN((TaH-TlH)/(TrH-TlH)))/((75-65)/LN((75-20)/(65-20))))^1))*Basis!$E$2*$AA$4*Glycol</f>
        <v>2838.5164337919023</v>
      </c>
      <c r="I54" s="123">
        <f>ROUND((($H54/Basis!$E$2)/((TaH-TrH)*1.163))*Basis!$E$5,IF(Basis!$E$1=1,0,IF(Basis!$E$1=2,2)))</f>
        <v>0.28000000000000003</v>
      </c>
      <c r="J54" s="83">
        <f>ROUND(INDEX($AC54:$AG54,0,FanspeedH)*Basis!$E$4,1)</f>
        <v>110.7</v>
      </c>
      <c r="K54" s="85">
        <f>INDEX($AO54:$AS54,0,FanspeedH)</f>
        <v>10.3</v>
      </c>
      <c r="L54" s="84">
        <f>CHOOSE(Basis!$E$1,$AU54*(I54*3600/Basis!$E$5)^$AV54*Basis!$E$6/Basis!$E$9,$AU54*(I54/Basis!$E$5)^$AV54*Basis!$E$6/Basis!$E$9)</f>
        <v>8.2785798866571919E-2</v>
      </c>
      <c r="M54" s="85">
        <f>INDEX($AI54:$AM54,0,FanspeedH)</f>
        <v>0</v>
      </c>
      <c r="N54" s="222">
        <f>(($BB54*U_C^4+$BA54*U_C^3+$AZ54*U_C^2+$AY54*U_C+$AX54)*((((TaC-TrC)/LN((TaC-TlC)/(TrC-TlC)))/((16-18)/LN((16-27)/(18-27))))^1))*Basis!$E$2*$AA$4*Glycol</f>
        <v>1227.9753353156311</v>
      </c>
      <c r="O54" s="108">
        <f>(($N54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1385.8160001139795</v>
      </c>
      <c r="P54" s="123">
        <f>ROUND((($O54/Basis!$E$2)/((TrC-TaC)*1.163))*Basis!$E$5,IF(Basis!$E$1=1,0,IF(Basis!$E$1=2,2)))</f>
        <v>0.28000000000000003</v>
      </c>
      <c r="Q54" s="83">
        <f>IF(N54=0,0,ROUND(INDEX($AC54:$AG54,0,FanspeedC)*Basis!$E$4,1))</f>
        <v>110.7</v>
      </c>
      <c r="R54" s="85">
        <f>IF(N54=0,0,INDEX($AO54:$AS54,0,FanspeedC))</f>
        <v>10.3</v>
      </c>
      <c r="S54" s="84">
        <f>CHOOSE(Basis!$E$1,$BD54*(P54*3600/Basis!$E$5)^$BE54*Basis!$E$6/Basis!$E$9,$BD54*(P54/Basis!$E$5)^$BE54*Basis!$E$6/Basis!$E$9)</f>
        <v>8.2785798866571919E-2</v>
      </c>
      <c r="T54" s="85">
        <f>IF(N54=0,0,INDEX($AI54:$AM54,0,FanspeedC))</f>
        <v>0</v>
      </c>
      <c r="U54" s="109">
        <v>1</v>
      </c>
      <c r="V54" s="68"/>
      <c r="W54" s="217">
        <v>560.42817330030061</v>
      </c>
      <c r="X54" s="217">
        <v>40.965304033730064</v>
      </c>
      <c r="Y54" s="217">
        <v>-1.1470727585609135</v>
      </c>
      <c r="Z54" s="217">
        <v>0.30180788538547859</v>
      </c>
      <c r="AA54" s="217">
        <v>0</v>
      </c>
      <c r="AB54" s="68"/>
      <c r="AC54" s="69">
        <v>188</v>
      </c>
      <c r="AD54" s="69">
        <v>151</v>
      </c>
      <c r="AE54" s="69">
        <v>118</v>
      </c>
      <c r="AF54" s="69">
        <v>74</v>
      </c>
      <c r="AG54" s="69">
        <v>30</v>
      </c>
      <c r="AH54" s="68"/>
      <c r="AI54" s="70"/>
      <c r="AJ54" s="70"/>
      <c r="AK54" s="70"/>
      <c r="AL54" s="70"/>
      <c r="AM54" s="70"/>
      <c r="AN54" s="68"/>
      <c r="AO54" s="71">
        <v>10.3</v>
      </c>
      <c r="AP54" s="71">
        <v>6.3</v>
      </c>
      <c r="AQ54" s="71">
        <v>3.6</v>
      </c>
      <c r="AR54" s="71">
        <v>2.2000000000000002</v>
      </c>
      <c r="AS54" s="71">
        <v>1.6</v>
      </c>
      <c r="AT54" s="68"/>
      <c r="AU54" s="101">
        <v>1.3263547865279744E-4</v>
      </c>
      <c r="AV54" s="103">
        <v>1.8136893271096062</v>
      </c>
      <c r="AW54" s="68"/>
      <c r="AX54" s="109">
        <v>155.29366792674551</v>
      </c>
      <c r="AY54" s="109">
        <v>-22.923095474991928</v>
      </c>
      <c r="AZ54" s="109">
        <v>10.648506478498899</v>
      </c>
      <c r="BA54" s="109">
        <v>-1.1964457007881224</v>
      </c>
      <c r="BB54" s="109">
        <v>4.6731123246244316E-2</v>
      </c>
      <c r="BC54" s="68"/>
      <c r="BD54" s="101">
        <v>1.3263547865279744E-4</v>
      </c>
      <c r="BE54" s="103">
        <v>1.8136893271096062</v>
      </c>
      <c r="BF54" s="68"/>
      <c r="BG54" s="49" t="s">
        <v>15</v>
      </c>
      <c r="BH54" s="50" t="s">
        <v>16</v>
      </c>
    </row>
    <row r="55" spans="1:60" ht="15" x14ac:dyDescent="0.25">
      <c r="A55" s="72" t="s">
        <v>23</v>
      </c>
      <c r="B55" s="43" t="s">
        <v>30</v>
      </c>
      <c r="C55" s="44" t="s">
        <v>3312</v>
      </c>
      <c r="D55" s="45">
        <f>ROUND(MID(Briza12!$C55,6,3)/Basis!$E$3,1)</f>
        <v>20.5</v>
      </c>
      <c r="E55" s="45">
        <f>ROUND(MID(Briza12!$C55,9,3)/Basis!$E$3,1)</f>
        <v>28.3</v>
      </c>
      <c r="F55" s="46" t="s">
        <v>50</v>
      </c>
      <c r="G55" s="45">
        <f>ROUND(12/Basis!$E$3,1)</f>
        <v>4.7</v>
      </c>
      <c r="H55" s="221">
        <f>(($AA55*U_H^4+$Z55*U_H^3+$Y55*U_H^2+$X55*U_H+$W55)*((((TaH-TrH)/LN((TaH-TlH)/(TrH-TlH)))/((75-65)/LN((75-20)/(65-20))))^1))*Basis!$E$2*$AA$4*Glycol</f>
        <v>4667.7582832302269</v>
      </c>
      <c r="I55" s="123">
        <f>ROUND((($H55/Basis!$E$2)/((TaH-TrH)*1.163))*Basis!$E$5,IF(Basis!$E$1=1,0,IF(Basis!$E$1=2,2)))</f>
        <v>0.47</v>
      </c>
      <c r="J55" s="83">
        <f>ROUND(INDEX($AC55:$AG55,0,FanspeedH)*Basis!$E$4,1)</f>
        <v>166</v>
      </c>
      <c r="K55" s="85">
        <f>INDEX($AO55:$AS55,0,FanspeedH)</f>
        <v>15.6</v>
      </c>
      <c r="L55" s="84">
        <f>CHOOSE(Basis!$E$1,$AU55*(I55*3600/Basis!$E$5)^$AV55*Basis!$E$6/Basis!$E$9,$AU55*(I55/Basis!$E$5)^$AV55*Basis!$E$6/Basis!$E$9)</f>
        <v>0.27649012724517158</v>
      </c>
      <c r="M55" s="85">
        <f>INDEX($AI55:$AM55,0,FanspeedH)</f>
        <v>0</v>
      </c>
      <c r="N55" s="222">
        <f>(($BB55*U_C^4+$BA55*U_C^3+$AZ55*U_C^2+$AY55*U_C+$AX55)*((((TaC-TrC)/LN((TaC-TlC)/(TrC-TlC)))/((16-18)/LN((16-27)/(18-27))))^1))*Basis!$E$2*$AA$4*Glycol</f>
        <v>2031.1724325839891</v>
      </c>
      <c r="O55" s="108">
        <f>(($N55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2292.2539037331876</v>
      </c>
      <c r="P55" s="123">
        <f>ROUND((($O55/Basis!$E$2)/((TrC-TaC)*1.163))*Basis!$E$5,IF(Basis!$E$1=1,0,IF(Basis!$E$1=2,2)))</f>
        <v>0.46</v>
      </c>
      <c r="Q55" s="83">
        <f>IF(N55=0,0,ROUND(INDEX($AC55:$AG55,0,FanspeedC)*Basis!$E$4,1))</f>
        <v>166</v>
      </c>
      <c r="R55" s="85">
        <f>IF(N55=0,0,INDEX($AO55:$AS55,0,FanspeedC))</f>
        <v>15.6</v>
      </c>
      <c r="S55" s="84">
        <f>CHOOSE(Basis!$E$1,$BD55*(P55*3600/Basis!$E$5)^$BE55*Basis!$E$6/Basis!$E$9,$BD55*(P55/Basis!$E$5)^$BE55*Basis!$E$6/Basis!$E$9)</f>
        <v>0.26587235293329853</v>
      </c>
      <c r="T55" s="85">
        <f>IF(N55=0,0,INDEX($AI55:$AM55,0,FanspeedC))</f>
        <v>0</v>
      </c>
      <c r="U55" s="110">
        <v>1</v>
      </c>
      <c r="V55" s="74"/>
      <c r="W55" s="218">
        <v>781.20375671556064</v>
      </c>
      <c r="X55" s="218">
        <v>203.9442336709939</v>
      </c>
      <c r="Y55" s="218">
        <v>-44.719954456715023</v>
      </c>
      <c r="Z55" s="218">
        <v>5.310983637366931</v>
      </c>
      <c r="AA55" s="218">
        <v>-0.17567229699042283</v>
      </c>
      <c r="AB55" s="74"/>
      <c r="AC55" s="75">
        <v>282</v>
      </c>
      <c r="AD55" s="75">
        <v>251</v>
      </c>
      <c r="AE55" s="75">
        <v>185</v>
      </c>
      <c r="AF55" s="75">
        <v>135</v>
      </c>
      <c r="AG55" s="75">
        <v>79</v>
      </c>
      <c r="AH55" s="74"/>
      <c r="AI55" s="76"/>
      <c r="AJ55" s="76"/>
      <c r="AK55" s="76"/>
      <c r="AL55" s="76"/>
      <c r="AM55" s="76"/>
      <c r="AN55" s="74"/>
      <c r="AO55" s="77">
        <v>15.6</v>
      </c>
      <c r="AP55" s="77">
        <v>10</v>
      </c>
      <c r="AQ55" s="77">
        <v>5.9</v>
      </c>
      <c r="AR55" s="77">
        <v>3.4</v>
      </c>
      <c r="AS55" s="77">
        <v>2.1</v>
      </c>
      <c r="AT55" s="74"/>
      <c r="AU55" s="102">
        <v>1.6747942882275273E-4</v>
      </c>
      <c r="AV55" s="104">
        <v>1.8208138694468972</v>
      </c>
      <c r="AW55" s="74"/>
      <c r="AX55" s="110">
        <v>197.77175399650883</v>
      </c>
      <c r="AY55" s="110">
        <v>13.520006569641618</v>
      </c>
      <c r="AZ55" s="110">
        <v>2.3588491747921849</v>
      </c>
      <c r="BA55" s="110">
        <v>-0.13585286893887913</v>
      </c>
      <c r="BB55" s="110">
        <v>0</v>
      </c>
      <c r="BC55" s="74"/>
      <c r="BD55" s="102">
        <v>1.6747942882275273E-4</v>
      </c>
      <c r="BE55" s="104">
        <v>1.8208138694468972</v>
      </c>
      <c r="BF55" s="74"/>
      <c r="BG55" s="47" t="s">
        <v>15</v>
      </c>
      <c r="BH55" s="48" t="s">
        <v>17</v>
      </c>
    </row>
    <row r="56" spans="1:60" ht="15" x14ac:dyDescent="0.25">
      <c r="A56" s="72" t="s">
        <v>23</v>
      </c>
      <c r="B56" s="43" t="s">
        <v>30</v>
      </c>
      <c r="C56" s="44" t="s">
        <v>3313</v>
      </c>
      <c r="D56" s="45">
        <f>ROUND(MID(Briza12!$C56,6,3)/Basis!$E$3,1)</f>
        <v>20.5</v>
      </c>
      <c r="E56" s="45">
        <f>ROUND(MID(Briza12!$C56,9,3)/Basis!$E$3,1)</f>
        <v>40.200000000000003</v>
      </c>
      <c r="F56" s="46" t="s">
        <v>50</v>
      </c>
      <c r="G56" s="45">
        <f>ROUND(12/Basis!$E$3,1)</f>
        <v>4.7</v>
      </c>
      <c r="H56" s="221">
        <f>(($AA56*U_H^4+$Z56*U_H^3+$Y56*U_H^2+$X56*U_H+$W56)*((((TaH-TrH)/LN((TaH-TlH)/(TrH-TlH)))/((75-65)/LN((75-20)/(65-20))))^1))*Basis!$E$2*$AA$4*Glycol</f>
        <v>7416.0920946624519</v>
      </c>
      <c r="I56" s="123">
        <f>ROUND((($H56/Basis!$E$2)/((TaH-TrH)*1.163))*Basis!$E$5,IF(Basis!$E$1=1,0,IF(Basis!$E$1=2,2)))</f>
        <v>0.74</v>
      </c>
      <c r="J56" s="83">
        <f>ROUND(INDEX($AC56:$AG56,0,FanspeedH)*Basis!$E$4,1)</f>
        <v>249</v>
      </c>
      <c r="K56" s="85">
        <f>INDEX($AO56:$AS56,0,FanspeedH)</f>
        <v>22.3</v>
      </c>
      <c r="L56" s="84">
        <f>CHOOSE(Basis!$E$1,$AU56*(I56*3600/Basis!$E$5)^$AV56*Basis!$E$6/Basis!$E$9,$AU56*(I56/Basis!$E$5)^$AV56*Basis!$E$6/Basis!$E$9)</f>
        <v>0.85298699042315207</v>
      </c>
      <c r="M56" s="85">
        <f>INDEX($AI56:$AM56,0,FanspeedH)</f>
        <v>0</v>
      </c>
      <c r="N56" s="222">
        <f>(($BB56*U_C^4+$BA56*U_C^3+$AZ56*U_C^2+$AY56*U_C+$AX56)*((((TaC-TrC)/LN((TaC-TlC)/(TrC-TlC)))/((16-18)/LN((16-27)/(18-27))))^1))*Basis!$E$2*$AA$4*Glycol</f>
        <v>3238.9856000613427</v>
      </c>
      <c r="O56" s="108">
        <f>(($N56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3655.3161448882497</v>
      </c>
      <c r="P56" s="123">
        <f>ROUND((($O56/Basis!$E$2)/((TrC-TaC)*1.163))*Basis!$E$5,IF(Basis!$E$1=1,0,IF(Basis!$E$1=2,2)))</f>
        <v>0.73</v>
      </c>
      <c r="Q56" s="83">
        <f>IF(N56=0,0,ROUND(INDEX($AC56:$AG56,0,FanspeedC)*Basis!$E$4,1))</f>
        <v>249</v>
      </c>
      <c r="R56" s="85">
        <f>IF(N56=0,0,INDEX($AO56:$AS56,0,FanspeedC))</f>
        <v>22.3</v>
      </c>
      <c r="S56" s="84">
        <f>CHOOSE(Basis!$E$1,$BD56*(P56*3600/Basis!$E$5)^$BE56*Basis!$E$6/Basis!$E$9,$BD56*(P56/Basis!$E$5)^$BE56*Basis!$E$6/Basis!$E$9)</f>
        <v>0.8322141280815244</v>
      </c>
      <c r="T56" s="85">
        <f>IF(N56=0,0,INDEX($AI56:$AM56,0,FanspeedC))</f>
        <v>0</v>
      </c>
      <c r="U56" s="109">
        <v>1</v>
      </c>
      <c r="V56" s="68"/>
      <c r="W56" s="217">
        <v>1354.4188592106093</v>
      </c>
      <c r="X56" s="217">
        <v>174.26190449452022</v>
      </c>
      <c r="Y56" s="217">
        <v>-16.256862097163722</v>
      </c>
      <c r="Z56" s="217">
        <v>1.551976572648176</v>
      </c>
      <c r="AA56" s="217">
        <v>0</v>
      </c>
      <c r="AB56" s="68"/>
      <c r="AC56" s="69">
        <v>423</v>
      </c>
      <c r="AD56" s="69">
        <v>360</v>
      </c>
      <c r="AE56" s="69">
        <v>286</v>
      </c>
      <c r="AF56" s="69">
        <v>201</v>
      </c>
      <c r="AG56" s="69">
        <v>123</v>
      </c>
      <c r="AH56" s="68"/>
      <c r="AI56" s="70"/>
      <c r="AJ56" s="70"/>
      <c r="AK56" s="70"/>
      <c r="AL56" s="70"/>
      <c r="AM56" s="70"/>
      <c r="AN56" s="68"/>
      <c r="AO56" s="71">
        <v>22.3</v>
      </c>
      <c r="AP56" s="71">
        <v>12.8</v>
      </c>
      <c r="AQ56" s="71">
        <v>7.5</v>
      </c>
      <c r="AR56" s="71">
        <v>4.2</v>
      </c>
      <c r="AS56" s="71">
        <v>2.2999999999999998</v>
      </c>
      <c r="AT56" s="68"/>
      <c r="AU56" s="101">
        <v>2.364386444169621E-4</v>
      </c>
      <c r="AV56" s="103">
        <v>1.8120794599034276</v>
      </c>
      <c r="AW56" s="68"/>
      <c r="AX56" s="109">
        <v>381.7681116328352</v>
      </c>
      <c r="AY56" s="109">
        <v>-28.250535183194774</v>
      </c>
      <c r="AZ56" s="109">
        <v>17.495928000536857</v>
      </c>
      <c r="BA56" s="109">
        <v>-1.8213867274960225</v>
      </c>
      <c r="BB56" s="109">
        <v>6.6301577223712979E-2</v>
      </c>
      <c r="BC56" s="68"/>
      <c r="BD56" s="101">
        <v>2.364386444169621E-4</v>
      </c>
      <c r="BE56" s="103">
        <v>1.8120794599034276</v>
      </c>
      <c r="BF56" s="68"/>
      <c r="BG56" s="49" t="s">
        <v>15</v>
      </c>
      <c r="BH56" s="50" t="s">
        <v>65</v>
      </c>
    </row>
    <row r="57" spans="1:60" ht="15" x14ac:dyDescent="0.25">
      <c r="A57" s="72" t="s">
        <v>23</v>
      </c>
      <c r="B57" s="43" t="s">
        <v>30</v>
      </c>
      <c r="C57" s="44" t="s">
        <v>3314</v>
      </c>
      <c r="D57" s="45">
        <f>ROUND(MID(Briza12!$C57,6,3)/Basis!$E$3,1)</f>
        <v>20.5</v>
      </c>
      <c r="E57" s="45">
        <f>ROUND(MID(Briza12!$C57,9,3)/Basis!$E$3,1)</f>
        <v>48</v>
      </c>
      <c r="F57" s="46" t="s">
        <v>50</v>
      </c>
      <c r="G57" s="45">
        <f>ROUND(12/Basis!$E$3,1)</f>
        <v>4.7</v>
      </c>
      <c r="H57" s="221">
        <f>(($AA57*U_H^4+$Z57*U_H^3+$Y57*U_H^2+$X57*U_H+$W57)*((((TaH-TrH)/LN((TaH-TlH)/(TrH-TlH)))/((75-65)/LN((75-20)/(65-20))))^1))*Basis!$E$2*$AA$4*Glycol</f>
        <v>9245.1751266068331</v>
      </c>
      <c r="I57" s="123">
        <f>ROUND((($H57/Basis!$E$2)/((TaH-TrH)*1.163))*Basis!$E$5,IF(Basis!$E$1=1,0,IF(Basis!$E$1=2,2)))</f>
        <v>0.92</v>
      </c>
      <c r="J57" s="83">
        <f>ROUND(INDEX($AC57:$AG57,0,FanspeedH)*Basis!$E$4,1)</f>
        <v>299</v>
      </c>
      <c r="K57" s="85">
        <f>INDEX($AO57:$AS57,0,FanspeedH)</f>
        <v>27.3</v>
      </c>
      <c r="L57" s="84">
        <f>CHOOSE(Basis!$E$1,$AU57*(I57*3600/Basis!$E$5)^$AV57*Basis!$E$6/Basis!$E$9,$AU57*(I57/Basis!$E$5)^$AV57*Basis!$E$6/Basis!$E$9)</f>
        <v>1.4806413817202999</v>
      </c>
      <c r="M57" s="85">
        <f>INDEX($AI57:$AM57,0,FanspeedH)</f>
        <v>0</v>
      </c>
      <c r="N57" s="222">
        <f>(($BB57*U_C^4+$BA57*U_C^3+$AZ57*U_C^2+$AY57*U_C+$AX57)*((((TaC-TrC)/LN((TaC-TlC)/(TrC-TlC)))/((16-18)/LN((16-27)/(18-27))))^1))*Basis!$E$2*$AA$4*Glycol</f>
        <v>4041.4930216844132</v>
      </c>
      <c r="O57" s="108">
        <f>(($N57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4560.97572379959</v>
      </c>
      <c r="P57" s="123">
        <f>ROUND((($O57/Basis!$E$2)/((TrC-TaC)*1.163))*Basis!$E$5,IF(Basis!$E$1=1,0,IF(Basis!$E$1=2,2)))</f>
        <v>0.91</v>
      </c>
      <c r="Q57" s="83">
        <f>IF(N57=0,0,ROUND(INDEX($AC57:$AG57,0,FanspeedC)*Basis!$E$4,1))</f>
        <v>299</v>
      </c>
      <c r="R57" s="85">
        <f>IF(N57=0,0,INDEX($AO57:$AS57,0,FanspeedC))</f>
        <v>27.3</v>
      </c>
      <c r="S57" s="84">
        <f>CHOOSE(Basis!$E$1,$BD57*(P57*3600/Basis!$E$5)^$BE57*Basis!$E$6/Basis!$E$9,$BD57*(P57/Basis!$E$5)^$BE57*Basis!$E$6/Basis!$E$9)</f>
        <v>1.4515534058380022</v>
      </c>
      <c r="T57" s="85">
        <f>IF(N57=0,0,INDEX($AI57:$AM57,0,FanspeedC))</f>
        <v>0</v>
      </c>
      <c r="U57" s="110">
        <v>1</v>
      </c>
      <c r="V57" s="74"/>
      <c r="W57" s="218">
        <v>1396.965717339323</v>
      </c>
      <c r="X57" s="218">
        <v>411.59653619513693</v>
      </c>
      <c r="Y57" s="218">
        <v>-68.303133746164534</v>
      </c>
      <c r="Z57" s="218">
        <v>7.3273707754435264</v>
      </c>
      <c r="AA57" s="218">
        <v>-0.22409954663224091</v>
      </c>
      <c r="AB57" s="74"/>
      <c r="AC57" s="75">
        <v>508</v>
      </c>
      <c r="AD57" s="75">
        <v>432</v>
      </c>
      <c r="AE57" s="75">
        <v>334</v>
      </c>
      <c r="AF57" s="75">
        <v>251</v>
      </c>
      <c r="AG57" s="75">
        <v>139</v>
      </c>
      <c r="AH57" s="74"/>
      <c r="AI57" s="76"/>
      <c r="AJ57" s="76"/>
      <c r="AK57" s="76"/>
      <c r="AL57" s="76"/>
      <c r="AM57" s="76"/>
      <c r="AN57" s="74"/>
      <c r="AO57" s="77">
        <v>27.3</v>
      </c>
      <c r="AP57" s="77">
        <v>16</v>
      </c>
      <c r="AQ57" s="77">
        <v>9.1</v>
      </c>
      <c r="AR57" s="77">
        <v>5.2</v>
      </c>
      <c r="AS57" s="77">
        <v>2.7</v>
      </c>
      <c r="AT57" s="74"/>
      <c r="AU57" s="102">
        <v>2.7169905751214276E-4</v>
      </c>
      <c r="AV57" s="104">
        <v>1.8154391549649329</v>
      </c>
      <c r="AW57" s="74"/>
      <c r="AX57" s="110">
        <v>389.55522439955126</v>
      </c>
      <c r="AY57" s="110">
        <v>30.989596772643303</v>
      </c>
      <c r="AZ57" s="110">
        <v>3.8853075980776386</v>
      </c>
      <c r="BA57" s="110">
        <v>-0.22641939636044967</v>
      </c>
      <c r="BB57" s="110">
        <v>0</v>
      </c>
      <c r="BC57" s="74"/>
      <c r="BD57" s="102">
        <v>2.7169905751214276E-4</v>
      </c>
      <c r="BE57" s="104">
        <v>1.8154391549649329</v>
      </c>
      <c r="BF57" s="74"/>
      <c r="BG57" s="47" t="s">
        <v>15</v>
      </c>
      <c r="BH57" s="48" t="s">
        <v>67</v>
      </c>
    </row>
    <row r="58" spans="1:60" ht="15" x14ac:dyDescent="0.25">
      <c r="A58" s="72" t="s">
        <v>21</v>
      </c>
      <c r="B58" s="43" t="s">
        <v>48</v>
      </c>
      <c r="C58" s="44" t="s">
        <v>3315</v>
      </c>
      <c r="D58" s="45">
        <f>ROUND(MID(Briza12!$C58,6,3)/Basis!$E$3,1)</f>
        <v>16.100000000000001</v>
      </c>
      <c r="E58" s="45">
        <f>ROUND(MID(Briza12!$C58,9,3)/Basis!$E$3,1)</f>
        <v>29.5</v>
      </c>
      <c r="F58" s="46" t="s">
        <v>51</v>
      </c>
      <c r="G58" s="45">
        <f>ROUND(14/Basis!$E$3,1)</f>
        <v>5.5</v>
      </c>
      <c r="H58" s="221">
        <f>(($AA58*U_H^4+$Z58*U_H^3+$Y58*U_H^2+$X58*U_H+$W58)*((((TaH-TrH)/LN((TaH-TlH)/(TrH-TlH)))/((75-65)/LN((75-20)/(65-20))))^1))*Basis!$E$2*$AA$4*Glycol</f>
        <v>4094.7645628559881</v>
      </c>
      <c r="I58" s="123">
        <f>ROUND((($H58/Basis!$E$2)/((TaH-TrH)*1.163))*Basis!$E$5,IF(Basis!$E$1=1,0,IF(Basis!$E$1=2,2)))</f>
        <v>0.41</v>
      </c>
      <c r="J58" s="83">
        <f>ROUND(INDEX($AC58:$AG58,0,FanspeedH)*Basis!$E$4,1)</f>
        <v>126</v>
      </c>
      <c r="K58" s="85">
        <f>INDEX($AO58:$AS58,0,FanspeedH)</f>
        <v>13</v>
      </c>
      <c r="L58" s="84">
        <f>CHOOSE(Basis!$E$1,$AU58*(I58*3600/Basis!$E$5)^$AV58*Basis!$E$6/Basis!$E$9,$AU58*(I58/Basis!$E$5)^$AV58*Basis!$E$6/Basis!$E$9)</f>
        <v>8.5826614131558107E-2</v>
      </c>
      <c r="M58" s="85">
        <f>INDEX($AI58:$AM58,0,FanspeedH)</f>
        <v>0</v>
      </c>
      <c r="N58" s="222">
        <f>(($BB58*U_C^4+$BA58*U_C^3+$AZ58*U_C^2+$AY58*U_C+$AX58)*((((TaC-TrC)/LN((TaC-TlC)/(TrC-TlC)))/((16-18)/LN((16-27)/(18-27))))^1))*Basis!$E$2*$AA$4*Glycol</f>
        <v>1004.2216803860616</v>
      </c>
      <c r="O58" s="108">
        <f>(($N58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1133.3016489151601</v>
      </c>
      <c r="P58" s="123">
        <f>ROUND((($O58/Basis!$E$2)/((TrC-TaC)*1.163))*Basis!$E$5,IF(Basis!$E$1=1,0,IF(Basis!$E$1=2,2)))</f>
        <v>0.23</v>
      </c>
      <c r="Q58" s="83">
        <f>IF(N58=0,0,ROUND(INDEX($AC58:$AG58,0,FanspeedC)*Basis!$E$4,1))</f>
        <v>126</v>
      </c>
      <c r="R58" s="85">
        <f>IF(N58=0,0,INDEX($AO58:$AS58,0,FanspeedC))</f>
        <v>13</v>
      </c>
      <c r="S58" s="84">
        <f>CHOOSE(Basis!$E$1,$BD58*(P58*3600/Basis!$E$5)^$BE58*Basis!$E$6/Basis!$E$9,$BD58*(P58/Basis!$E$5)^$BE58*Basis!$E$6/Basis!$E$9)</f>
        <v>2.9697818436856163E-2</v>
      </c>
      <c r="T58" s="85">
        <f>IF(N58=0,0,INDEX($AI58:$AM58,0,FanspeedC))</f>
        <v>0</v>
      </c>
      <c r="U58" s="109">
        <v>1</v>
      </c>
      <c r="V58" s="68"/>
      <c r="W58" s="217">
        <v>784.09312058876696</v>
      </c>
      <c r="X58" s="217">
        <v>57.973284405042172</v>
      </c>
      <c r="Y58" s="217">
        <v>0.19489833199562701</v>
      </c>
      <c r="Z58" s="217">
        <v>0.21173876801715211</v>
      </c>
      <c r="AA58" s="217">
        <v>7.4263626519463083E-3</v>
      </c>
      <c r="AB58" s="68"/>
      <c r="AC58" s="69">
        <v>214</v>
      </c>
      <c r="AD58" s="69">
        <v>178</v>
      </c>
      <c r="AE58" s="69">
        <v>141</v>
      </c>
      <c r="AF58" s="69">
        <v>101</v>
      </c>
      <c r="AG58" s="69">
        <v>64</v>
      </c>
      <c r="AH58" s="68"/>
      <c r="AI58" s="70"/>
      <c r="AJ58" s="70"/>
      <c r="AK58" s="70"/>
      <c r="AL58" s="70"/>
      <c r="AM58" s="70"/>
      <c r="AN58" s="68"/>
      <c r="AO58" s="71">
        <v>13</v>
      </c>
      <c r="AP58" s="71">
        <v>7.2</v>
      </c>
      <c r="AQ58" s="71">
        <v>4.3</v>
      </c>
      <c r="AR58" s="71">
        <v>2.6</v>
      </c>
      <c r="AS58" s="71">
        <v>1.6</v>
      </c>
      <c r="AT58" s="68"/>
      <c r="AU58" s="99">
        <v>6.2276819636539519E-5</v>
      </c>
      <c r="AV58" s="97">
        <v>1.8358350093844202</v>
      </c>
      <c r="AW58" s="68"/>
      <c r="AX58" s="109">
        <v>102.07589640134984</v>
      </c>
      <c r="AY58" s="109">
        <v>4.9047030669294314</v>
      </c>
      <c r="AZ58" s="109">
        <v>0.93056078652448071</v>
      </c>
      <c r="BA58" s="109">
        <v>-3.0099755140858282E-2</v>
      </c>
      <c r="BB58" s="109">
        <v>0</v>
      </c>
      <c r="BC58" s="68"/>
      <c r="BD58" s="99">
        <v>6.2276819636539519E-5</v>
      </c>
      <c r="BE58" s="97">
        <v>1.8358350093844202</v>
      </c>
      <c r="BF58" s="68"/>
      <c r="BG58" s="49" t="s">
        <v>15</v>
      </c>
      <c r="BH58" s="50" t="s">
        <v>68</v>
      </c>
    </row>
    <row r="59" spans="1:60" ht="15" x14ac:dyDescent="0.25">
      <c r="A59" s="72" t="s">
        <v>21</v>
      </c>
      <c r="B59" s="43" t="s">
        <v>48</v>
      </c>
      <c r="C59" s="44" t="s">
        <v>3316</v>
      </c>
      <c r="D59" s="45">
        <f>ROUND(MID(Briza12!$C59,6,3)/Basis!$E$3,1)</f>
        <v>16.100000000000001</v>
      </c>
      <c r="E59" s="45">
        <f>ROUND(MID(Briza12!$C59,9,3)/Basis!$E$3,1)</f>
        <v>37.4</v>
      </c>
      <c r="F59" s="46" t="s">
        <v>51</v>
      </c>
      <c r="G59" s="45">
        <f>ROUND(14/Basis!$E$3,1)</f>
        <v>5.5</v>
      </c>
      <c r="H59" s="221">
        <f>(($AA59*U_H^4+$Z59*U_H^3+$Y59*U_H^2+$X59*U_H+$W59)*((((TaH-TrH)/LN((TaH-TlH)/(TrH-TlH)))/((75-65)/LN((75-20)/(65-20))))^1))*Basis!$E$2*$AA$4*Glycol</f>
        <v>6743.7123385980212</v>
      </c>
      <c r="I59" s="123">
        <f>ROUND((($H59/Basis!$E$2)/((TaH-TrH)*1.163))*Basis!$E$5,IF(Basis!$E$1=1,0,IF(Basis!$E$1=2,2)))</f>
        <v>0.67</v>
      </c>
      <c r="J59" s="83">
        <f>ROUND(INDEX($AC59:$AG59,0,FanspeedH)*Basis!$E$4,1)</f>
        <v>203.6</v>
      </c>
      <c r="K59" s="85">
        <f>INDEX($AO59:$AS59,0,FanspeedH)</f>
        <v>18</v>
      </c>
      <c r="L59" s="84">
        <f>CHOOSE(Basis!$E$1,$AU59*(I59*3600/Basis!$E$5)^$AV59*Basis!$E$6/Basis!$E$9,$AU59*(I59/Basis!$E$5)^$AV59*Basis!$E$6/Basis!$E$9)</f>
        <v>0.27225894429957648</v>
      </c>
      <c r="M59" s="85">
        <f>INDEX($AI59:$AM59,0,FanspeedH)</f>
        <v>0</v>
      </c>
      <c r="N59" s="222">
        <f>(($BB59*U_C^4+$BA59*U_C^3+$AZ59*U_C^2+$AY59*U_C+$AX59)*((((TaC-TrC)/LN((TaC-TlC)/(TrC-TlC)))/((16-18)/LN((16-27)/(18-27))))^1))*Basis!$E$2*$AA$4*Glycol</f>
        <v>1652.9378040133329</v>
      </c>
      <c r="O59" s="108">
        <f>(($N59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1865.4020077741734</v>
      </c>
      <c r="P59" s="123">
        <f>ROUND((($O59/Basis!$E$2)/((TrC-TaC)*1.163))*Basis!$E$5,IF(Basis!$E$1=1,0,IF(Basis!$E$1=2,2)))</f>
        <v>0.37</v>
      </c>
      <c r="Q59" s="83">
        <f>IF(N59=0,0,ROUND(INDEX($AC59:$AG59,0,FanspeedC)*Basis!$E$4,1))</f>
        <v>203.6</v>
      </c>
      <c r="R59" s="85">
        <f>IF(N59=0,0,INDEX($AO59:$AS59,0,FanspeedC))</f>
        <v>18</v>
      </c>
      <c r="S59" s="84">
        <f>CHOOSE(Basis!$E$1,$BD59*(P59*3600/Basis!$E$5)^$BE59*Basis!$E$6/Basis!$E$9,$BD59*(P59/Basis!$E$5)^$BE59*Basis!$E$6/Basis!$E$9)</f>
        <v>9.2681190909633684E-2</v>
      </c>
      <c r="T59" s="85">
        <f>IF(N59=0,0,INDEX($AI59:$AM59,0,FanspeedC))</f>
        <v>0</v>
      </c>
      <c r="U59" s="110">
        <v>1</v>
      </c>
      <c r="V59" s="74"/>
      <c r="W59" s="218">
        <v>237.14568715178913</v>
      </c>
      <c r="X59" s="218">
        <v>1211.686145735049</v>
      </c>
      <c r="Y59" s="218">
        <v>-360.62494218047829</v>
      </c>
      <c r="Z59" s="218">
        <v>44.485461171044086</v>
      </c>
      <c r="AA59" s="218">
        <v>-1.8027755792474383</v>
      </c>
      <c r="AB59" s="74"/>
      <c r="AC59" s="75">
        <v>346</v>
      </c>
      <c r="AD59" s="75">
        <v>287</v>
      </c>
      <c r="AE59" s="75">
        <v>223</v>
      </c>
      <c r="AF59" s="75">
        <v>172</v>
      </c>
      <c r="AG59" s="75">
        <v>108</v>
      </c>
      <c r="AH59" s="74"/>
      <c r="AI59" s="76"/>
      <c r="AJ59" s="76"/>
      <c r="AK59" s="76"/>
      <c r="AL59" s="76"/>
      <c r="AM59" s="76"/>
      <c r="AN59" s="74"/>
      <c r="AO59" s="77">
        <v>18</v>
      </c>
      <c r="AP59" s="77">
        <v>11.5</v>
      </c>
      <c r="AQ59" s="77">
        <v>7.2</v>
      </c>
      <c r="AR59" s="77">
        <v>4.3</v>
      </c>
      <c r="AS59" s="77">
        <v>2.5</v>
      </c>
      <c r="AT59" s="74"/>
      <c r="AU59" s="100">
        <v>8.9125876915269658E-5</v>
      </c>
      <c r="AV59" s="98">
        <v>1.8148096460023067</v>
      </c>
      <c r="AW59" s="74"/>
      <c r="AX59" s="110">
        <v>173.56390044315711</v>
      </c>
      <c r="AY59" s="110">
        <v>6.8788639604089941</v>
      </c>
      <c r="AZ59" s="110">
        <v>0.95253155588610972</v>
      </c>
      <c r="BA59" s="110">
        <v>1.4766388390629539E-2</v>
      </c>
      <c r="BB59" s="110">
        <v>0</v>
      </c>
      <c r="BC59" s="74"/>
      <c r="BD59" s="100">
        <v>8.9125876915269658E-5</v>
      </c>
      <c r="BE59" s="98">
        <v>1.8148096460023067</v>
      </c>
      <c r="BF59" s="74"/>
      <c r="BG59" s="47" t="s">
        <v>15</v>
      </c>
      <c r="BH59" s="48" t="s">
        <v>70</v>
      </c>
    </row>
    <row r="60" spans="1:60" ht="15" x14ac:dyDescent="0.25">
      <c r="A60" s="72" t="s">
        <v>21</v>
      </c>
      <c r="B60" s="43" t="s">
        <v>48</v>
      </c>
      <c r="C60" s="44" t="s">
        <v>3317</v>
      </c>
      <c r="D60" s="45">
        <f>ROUND(MID(Briza12!$C60,6,3)/Basis!$E$3,1)</f>
        <v>16.100000000000001</v>
      </c>
      <c r="E60" s="45">
        <f>ROUND(MID(Briza12!$C60,9,3)/Basis!$E$3,1)</f>
        <v>49.2</v>
      </c>
      <c r="F60" s="46" t="s">
        <v>51</v>
      </c>
      <c r="G60" s="45">
        <f>ROUND(14/Basis!$E$3,1)</f>
        <v>5.5</v>
      </c>
      <c r="H60" s="221">
        <f>(($AA60*U_H^4+$Z60*U_H^3+$Y60*U_H^2+$X60*U_H+$W60)*((((TaH-TrH)/LN((TaH-TlH)/(TrH-TlH)))/((75-65)/LN((75-20)/(65-20))))^1))*Basis!$E$2*$AA$4*Glycol</f>
        <v>10711.420420552942</v>
      </c>
      <c r="I60" s="123">
        <f>ROUND((($H60/Basis!$E$2)/((TaH-TrH)*1.163))*Basis!$E$5,IF(Basis!$E$1=1,0,IF(Basis!$E$1=2,2)))</f>
        <v>1.07</v>
      </c>
      <c r="J60" s="83">
        <f>ROUND(INDEX($AC60:$AG60,0,FanspeedH)*Basis!$E$4,1)</f>
        <v>263.7</v>
      </c>
      <c r="K60" s="85">
        <f>INDEX($AO60:$AS60,0,FanspeedH)</f>
        <v>24</v>
      </c>
      <c r="L60" s="84">
        <f>CHOOSE(Basis!$E$1,$AU60*(I60*3600/Basis!$E$5)^$AV60*Basis!$E$6/Basis!$E$9,$AU60*(I60/Basis!$E$5)^$AV60*Basis!$E$6/Basis!$E$9)</f>
        <v>0.85961575833604298</v>
      </c>
      <c r="M60" s="85">
        <f>INDEX($AI60:$AM60,0,FanspeedH)</f>
        <v>0</v>
      </c>
      <c r="N60" s="222">
        <f>(($BB60*U_C^4+$BA60*U_C^3+$AZ60*U_C^2+$AY60*U_C+$AX60)*((((TaC-TrC)/LN((TaC-TlC)/(TrC-TlC)))/((16-18)/LN((16-27)/(18-27))))^1))*Basis!$E$2*$AA$4*Glycol</f>
        <v>2620.9815555381601</v>
      </c>
      <c r="O60" s="108">
        <f>(($N60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2957.8755136273253</v>
      </c>
      <c r="P60" s="123">
        <f>ROUND((($O60/Basis!$E$2)/((TrC-TaC)*1.163))*Basis!$E$5,IF(Basis!$E$1=1,0,IF(Basis!$E$1=2,2)))</f>
        <v>0.59</v>
      </c>
      <c r="Q60" s="83">
        <f>IF(N60=0,0,ROUND(INDEX($AC60:$AG60,0,FanspeedC)*Basis!$E$4,1))</f>
        <v>263.7</v>
      </c>
      <c r="R60" s="85">
        <f>IF(N60=0,0,INDEX($AO60:$AS60,0,FanspeedC))</f>
        <v>24</v>
      </c>
      <c r="S60" s="84">
        <f>CHOOSE(Basis!$E$1,$BD60*(P60*3600/Basis!$E$5)^$BE60*Basis!$E$6/Basis!$E$9,$BD60*(P60/Basis!$E$5)^$BE60*Basis!$E$6/Basis!$E$9)</f>
        <v>0.2918652029457991</v>
      </c>
      <c r="T60" s="85">
        <f>IF(N60=0,0,INDEX($AI60:$AM60,0,FanspeedC))</f>
        <v>0</v>
      </c>
      <c r="U60" s="109">
        <v>1</v>
      </c>
      <c r="V60" s="68"/>
      <c r="W60" s="217">
        <v>2161.5461388359286</v>
      </c>
      <c r="X60" s="217">
        <v>142.06849285698914</v>
      </c>
      <c r="Y60" s="217">
        <v>-6.6767123139735007</v>
      </c>
      <c r="Z60" s="217">
        <v>1.4785661107548795</v>
      </c>
      <c r="AA60" s="217">
        <v>-2.6386736307091345E-3</v>
      </c>
      <c r="AB60" s="68"/>
      <c r="AC60" s="69">
        <v>448</v>
      </c>
      <c r="AD60" s="69">
        <v>381</v>
      </c>
      <c r="AE60" s="69">
        <v>298</v>
      </c>
      <c r="AF60" s="69">
        <v>221</v>
      </c>
      <c r="AG60" s="69">
        <v>146</v>
      </c>
      <c r="AH60" s="68"/>
      <c r="AI60" s="70"/>
      <c r="AJ60" s="70"/>
      <c r="AK60" s="70"/>
      <c r="AL60" s="70"/>
      <c r="AM60" s="70"/>
      <c r="AN60" s="68"/>
      <c r="AO60" s="71">
        <v>24</v>
      </c>
      <c r="AP60" s="71">
        <v>14</v>
      </c>
      <c r="AQ60" s="71">
        <v>8</v>
      </c>
      <c r="AR60" s="71">
        <v>4.8</v>
      </c>
      <c r="AS60" s="71">
        <v>2.6</v>
      </c>
      <c r="AT60" s="68"/>
      <c r="AU60" s="99">
        <v>1.2048931502827451E-4</v>
      </c>
      <c r="AV60" s="97">
        <v>1.8145625016160318</v>
      </c>
      <c r="AW60" s="68"/>
      <c r="AX60" s="109">
        <v>290.7155392231125</v>
      </c>
      <c r="AY60" s="109">
        <v>9.4024328441996587</v>
      </c>
      <c r="AZ60" s="109">
        <v>0.78279583120261287</v>
      </c>
      <c r="BA60" s="109">
        <v>9.571949914823337E-2</v>
      </c>
      <c r="BB60" s="109">
        <v>0</v>
      </c>
      <c r="BC60" s="68"/>
      <c r="BD60" s="99">
        <v>1.2048931502827451E-4</v>
      </c>
      <c r="BE60" s="97">
        <v>1.8145625016160318</v>
      </c>
      <c r="BF60" s="68"/>
      <c r="BG60" s="49" t="s">
        <v>15</v>
      </c>
      <c r="BH60" s="50" t="s">
        <v>41</v>
      </c>
    </row>
    <row r="61" spans="1:60" ht="15" x14ac:dyDescent="0.25">
      <c r="A61" s="72" t="s">
        <v>21</v>
      </c>
      <c r="B61" s="43" t="s">
        <v>48</v>
      </c>
      <c r="C61" s="44" t="s">
        <v>3318</v>
      </c>
      <c r="D61" s="45">
        <f>ROUND(MID(Briza12!$C61,6,3)/Basis!$E$3,1)</f>
        <v>16.100000000000001</v>
      </c>
      <c r="E61" s="45">
        <f>ROUND(MID(Briza12!$C61,9,3)/Basis!$E$3,1)</f>
        <v>57.1</v>
      </c>
      <c r="F61" s="46" t="s">
        <v>51</v>
      </c>
      <c r="G61" s="45">
        <f>ROUND(14/Basis!$E$3,1)</f>
        <v>5.5</v>
      </c>
      <c r="H61" s="221">
        <f>(($AA61*U_H^4+$Z61*U_H^3+$Y61*U_H^2+$X61*U_H+$W61)*((((TaH-TrH)/LN((TaH-TlH)/(TrH-TlH)))/((75-65)/LN((75-20)/(65-20))))^1))*Basis!$E$2*$AA$4*Glycol</f>
        <v>13353.245399993426</v>
      </c>
      <c r="I61" s="123">
        <f>ROUND((($H61/Basis!$E$2)/((TaH-TrH)*1.163))*Basis!$E$5,IF(Basis!$E$1=1,0,IF(Basis!$E$1=2,2)))</f>
        <v>1.33</v>
      </c>
      <c r="J61" s="83">
        <f>ROUND(INDEX($AC61:$AG61,0,FanspeedH)*Basis!$E$4,1)</f>
        <v>300.2</v>
      </c>
      <c r="K61" s="85">
        <f>INDEX($AO61:$AS61,0,FanspeedH)</f>
        <v>28.8</v>
      </c>
      <c r="L61" s="84">
        <f>CHOOSE(Basis!$E$1,$AU61*(I61*3600/Basis!$E$5)^$AV61*Basis!$E$6/Basis!$E$9,$AU61*(I61/Basis!$E$5)^$AV61*Basis!$E$6/Basis!$E$9)</f>
        <v>1.4896883289456373</v>
      </c>
      <c r="M61" s="85">
        <f>INDEX($AI61:$AM61,0,FanspeedH)</f>
        <v>0</v>
      </c>
      <c r="N61" s="222">
        <f>(($BB61*U_C^4+$BA61*U_C^3+$AZ61*U_C^2+$AY61*U_C+$AX61)*((((TaC-TrC)/LN((TaC-TlC)/(TrC-TlC)))/((16-18)/LN((16-27)/(18-27))))^1))*Basis!$E$2*$AA$4*Glycol</f>
        <v>3272.0821028099181</v>
      </c>
      <c r="O61" s="108">
        <f>(($N61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3692.6667835678149</v>
      </c>
      <c r="P61" s="123">
        <f>ROUND((($O61/Basis!$E$2)/((TrC-TaC)*1.163))*Basis!$E$5,IF(Basis!$E$1=1,0,IF(Basis!$E$1=2,2)))</f>
        <v>0.74</v>
      </c>
      <c r="Q61" s="83">
        <f>IF(N61=0,0,ROUND(INDEX($AC61:$AG61,0,FanspeedC)*Basis!$E$4,1))</f>
        <v>300.2</v>
      </c>
      <c r="R61" s="85">
        <f>IF(N61=0,0,INDEX($AO61:$AS61,0,FanspeedC))</f>
        <v>28.8</v>
      </c>
      <c r="S61" s="84">
        <f>CHOOSE(Basis!$E$1,$BD61*(P61*3600/Basis!$E$5)^$BE61*Basis!$E$6/Basis!$E$9,$BD61*(P61/Basis!$E$5)^$BE61*Basis!$E$6/Basis!$E$9)</f>
        <v>0.5096963392119559</v>
      </c>
      <c r="T61" s="85">
        <f>IF(N61=0,0,INDEX($AI61:$AM61,0,FanspeedC))</f>
        <v>0</v>
      </c>
      <c r="U61" s="110">
        <v>1</v>
      </c>
      <c r="V61" s="74"/>
      <c r="W61" s="218">
        <v>2614.5642089837888</v>
      </c>
      <c r="X61" s="218">
        <v>199.5924373904281</v>
      </c>
      <c r="Y61" s="218">
        <v>-6.7861908639932995</v>
      </c>
      <c r="Z61" s="218">
        <v>1.5118660666407935</v>
      </c>
      <c r="AA61" s="218">
        <v>0</v>
      </c>
      <c r="AB61" s="74"/>
      <c r="AC61" s="75">
        <v>510</v>
      </c>
      <c r="AD61" s="75">
        <v>466</v>
      </c>
      <c r="AE61" s="75">
        <v>373</v>
      </c>
      <c r="AF61" s="75">
        <v>268</v>
      </c>
      <c r="AG61" s="75">
        <v>173</v>
      </c>
      <c r="AH61" s="74"/>
      <c r="AI61" s="76"/>
      <c r="AJ61" s="76"/>
      <c r="AK61" s="76"/>
      <c r="AL61" s="76"/>
      <c r="AM61" s="76"/>
      <c r="AN61" s="74"/>
      <c r="AO61" s="77">
        <v>28.8</v>
      </c>
      <c r="AP61" s="77">
        <v>18.5</v>
      </c>
      <c r="AQ61" s="77">
        <v>10.3</v>
      </c>
      <c r="AR61" s="77">
        <v>5.5</v>
      </c>
      <c r="AS61" s="77">
        <v>2.8</v>
      </c>
      <c r="AT61" s="74"/>
      <c r="AU61" s="100">
        <v>1.2932915211001514E-4</v>
      </c>
      <c r="AV61" s="98">
        <v>1.829330158620641</v>
      </c>
      <c r="AW61" s="74"/>
      <c r="AX61" s="110">
        <v>379.76208308685494</v>
      </c>
      <c r="AY61" s="110">
        <v>15.664455358346679</v>
      </c>
      <c r="AZ61" s="110">
        <v>-0.25188697625825573</v>
      </c>
      <c r="BA61" s="110">
        <v>0.18632215403912855</v>
      </c>
      <c r="BB61" s="110">
        <v>0</v>
      </c>
      <c r="BC61" s="74"/>
      <c r="BD61" s="100">
        <v>1.2932915211001514E-4</v>
      </c>
      <c r="BE61" s="98">
        <v>1.829330158620641</v>
      </c>
      <c r="BF61" s="74"/>
      <c r="BG61" s="47" t="s">
        <v>15</v>
      </c>
      <c r="BH61" s="48" t="s">
        <v>44</v>
      </c>
    </row>
    <row r="62" spans="1:60" ht="15" x14ac:dyDescent="0.25">
      <c r="A62" s="72" t="s">
        <v>21</v>
      </c>
      <c r="B62" s="43" t="s">
        <v>48</v>
      </c>
      <c r="C62" s="44" t="s">
        <v>3319</v>
      </c>
      <c r="D62" s="45">
        <f>ROUND(MID(Briza12!$C62,6,3)/Basis!$E$3,1)</f>
        <v>21.7</v>
      </c>
      <c r="E62" s="45">
        <f>ROUND(MID(Briza12!$C62,9,3)/Basis!$E$3,1)</f>
        <v>29.5</v>
      </c>
      <c r="F62" s="46" t="s">
        <v>51</v>
      </c>
      <c r="G62" s="45">
        <f>ROUND(14/Basis!$E$3,1)</f>
        <v>5.5</v>
      </c>
      <c r="H62" s="221">
        <f>(($AA62*U_H^4+$Z62*U_H^3+$Y62*U_H^2+$X62*U_H+$W62)*((((TaH-TrH)/LN((TaH-TlH)/(TrH-TlH)))/((75-65)/LN((75-20)/(65-20))))^1))*Basis!$E$2*$AA$4*Glycol</f>
        <v>6349.1031257050672</v>
      </c>
      <c r="I62" s="123">
        <f>ROUND((($H62/Basis!$E$2)/((TaH-TrH)*1.163))*Basis!$E$5,IF(Basis!$E$1=1,0,IF(Basis!$E$1=2,2)))</f>
        <v>0.63</v>
      </c>
      <c r="J62" s="83">
        <f>ROUND(INDEX($AC62:$AG62,0,FanspeedH)*Basis!$E$4,1)</f>
        <v>134.19999999999999</v>
      </c>
      <c r="K62" s="85">
        <f>INDEX($AO62:$AS62,0,FanspeedH)</f>
        <v>16.8</v>
      </c>
      <c r="L62" s="84">
        <f>CHOOSE(Basis!$E$1,$AU62*(I62*3600/Basis!$E$5)^$AV62*Basis!$E$6/Basis!$E$9,$AU62*(I62/Basis!$E$5)^$AV62*Basis!$E$6/Basis!$E$9)</f>
        <v>0.36033422862561088</v>
      </c>
      <c r="M62" s="85">
        <f>INDEX($AI62:$AM62,0,FanspeedH)</f>
        <v>0</v>
      </c>
      <c r="N62" s="222">
        <f>(($BB62*U_C^4+$BA62*U_C^3+$AZ62*U_C^2+$AY62*U_C+$AX62)*((((TaC-TrC)/LN((TaC-TlC)/(TrC-TlC)))/((16-18)/LN((16-27)/(18-27))))^1))*Basis!$E$2*$AA$4*Glycol</f>
        <v>1558.3338887161549</v>
      </c>
      <c r="O62" s="108">
        <f>(($N62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1758.6379582677891</v>
      </c>
      <c r="P62" s="123">
        <f>ROUND((($O62/Basis!$E$2)/((TrC-TaC)*1.163))*Basis!$E$5,IF(Basis!$E$1=1,0,IF(Basis!$E$1=2,2)))</f>
        <v>0.35</v>
      </c>
      <c r="Q62" s="83">
        <f>IF(N62=0,0,ROUND(INDEX($AC62:$AG62,0,FanspeedC)*Basis!$E$4,1))</f>
        <v>134.19999999999999</v>
      </c>
      <c r="R62" s="85">
        <f>IF(N62=0,0,INDEX($AO62:$AS62,0,FanspeedC))</f>
        <v>16.8</v>
      </c>
      <c r="S62" s="84">
        <f>CHOOSE(Basis!$E$1,$BD62*(P62*3600/Basis!$E$5)^$BE62*Basis!$E$6/Basis!$E$9,$BD62*(P62/Basis!$E$5)^$BE62*Basis!$E$6/Basis!$E$9)</f>
        <v>0.12408534721523913</v>
      </c>
      <c r="T62" s="85">
        <f>IF(N62=0,0,INDEX($AI62:$AM62,0,FanspeedC))</f>
        <v>0</v>
      </c>
      <c r="U62" s="109">
        <v>1</v>
      </c>
      <c r="V62" s="68"/>
      <c r="W62" s="217">
        <v>1095.2128520064889</v>
      </c>
      <c r="X62" s="217">
        <v>152.87981581044934</v>
      </c>
      <c r="Y62" s="217">
        <v>-0.35663575157485938</v>
      </c>
      <c r="Z62" s="217">
        <v>0</v>
      </c>
      <c r="AA62" s="217">
        <v>0</v>
      </c>
      <c r="AB62" s="68"/>
      <c r="AC62" s="69">
        <v>228</v>
      </c>
      <c r="AD62" s="69">
        <v>193</v>
      </c>
      <c r="AE62" s="69">
        <v>154</v>
      </c>
      <c r="AF62" s="69">
        <v>118</v>
      </c>
      <c r="AG62" s="69">
        <v>81</v>
      </c>
      <c r="AH62" s="68"/>
      <c r="AI62" s="70"/>
      <c r="AJ62" s="70"/>
      <c r="AK62" s="70"/>
      <c r="AL62" s="70"/>
      <c r="AM62" s="70"/>
      <c r="AN62" s="68"/>
      <c r="AO62" s="71">
        <v>16.8</v>
      </c>
      <c r="AP62" s="71">
        <v>9.6</v>
      </c>
      <c r="AQ62" s="71">
        <v>5.5</v>
      </c>
      <c r="AR62" s="71">
        <v>3.2</v>
      </c>
      <c r="AS62" s="71">
        <v>2</v>
      </c>
      <c r="AT62" s="68"/>
      <c r="AU62" s="99">
        <v>1.3263547865279744E-4</v>
      </c>
      <c r="AV62" s="97">
        <v>1.8136893271096062</v>
      </c>
      <c r="AW62" s="68"/>
      <c r="AX62" s="109">
        <v>124.68763734693975</v>
      </c>
      <c r="AY62" s="109">
        <v>22.687985802451447</v>
      </c>
      <c r="AZ62" s="109">
        <v>-7.2116473746031196E-2</v>
      </c>
      <c r="BA62" s="109">
        <v>-2.0070321215289355E-3</v>
      </c>
      <c r="BB62" s="109">
        <v>-1.0144326001132824E-3</v>
      </c>
      <c r="BC62" s="68"/>
      <c r="BD62" s="99">
        <v>1.3263547865279744E-4</v>
      </c>
      <c r="BE62" s="97">
        <v>1.8136893271096062</v>
      </c>
      <c r="BF62" s="68"/>
      <c r="BG62" s="49" t="s">
        <v>15</v>
      </c>
      <c r="BH62" s="50" t="s">
        <v>72</v>
      </c>
    </row>
    <row r="63" spans="1:60" ht="15" x14ac:dyDescent="0.25">
      <c r="A63" s="72" t="s">
        <v>21</v>
      </c>
      <c r="B63" s="43" t="s">
        <v>48</v>
      </c>
      <c r="C63" s="44" t="s">
        <v>3320</v>
      </c>
      <c r="D63" s="45">
        <f>ROUND(MID(Briza12!$C63,6,3)/Basis!$E$3,1)</f>
        <v>21.7</v>
      </c>
      <c r="E63" s="45">
        <f>ROUND(MID(Briza12!$C63,9,3)/Basis!$E$3,1)</f>
        <v>37.4</v>
      </c>
      <c r="F63" s="46" t="s">
        <v>51</v>
      </c>
      <c r="G63" s="45">
        <f>ROUND(14/Basis!$E$3,1)</f>
        <v>5.5</v>
      </c>
      <c r="H63" s="221">
        <f>(($AA63*U_H^4+$Z63*U_H^3+$Y63*U_H^2+$X63*U_H+$W63)*((((TaH-TrH)/LN((TaH-TlH)/(TrH-TlH)))/((75-65)/LN((75-20)/(65-20))))^1))*Basis!$E$2*$AA$4*Glycol</f>
        <v>10510.315747867287</v>
      </c>
      <c r="I63" s="123">
        <f>ROUND((($H63/Basis!$E$2)/((TaH-TrH)*1.163))*Basis!$E$5,IF(Basis!$E$1=1,0,IF(Basis!$E$1=2,2)))</f>
        <v>1.05</v>
      </c>
      <c r="J63" s="83">
        <f>ROUND(INDEX($AC63:$AG63,0,FanspeedH)*Basis!$E$4,1)</f>
        <v>195.4</v>
      </c>
      <c r="K63" s="85">
        <f>INDEX($AO63:$AS63,0,FanspeedH)</f>
        <v>15.6</v>
      </c>
      <c r="L63" s="84">
        <f>CHOOSE(Basis!$E$1,$AU63*(I63*3600/Basis!$E$5)^$AV63*Basis!$E$6/Basis!$E$9,$AU63*(I63/Basis!$E$5)^$AV63*Basis!$E$6/Basis!$E$9)</f>
        <v>1.1948411360335573</v>
      </c>
      <c r="M63" s="85">
        <f>INDEX($AI63:$AM63,0,FanspeedH)</f>
        <v>0</v>
      </c>
      <c r="N63" s="222">
        <f>(($BB63*U_C^4+$BA63*U_C^3+$AZ63*U_C^2+$AY63*U_C+$AX63)*((((TaC-TrC)/LN((TaC-TlC)/(TrC-TlC)))/((16-18)/LN((16-27)/(18-27))))^1))*Basis!$E$2*$AA$4*Glycol</f>
        <v>2580.9092429307843</v>
      </c>
      <c r="O63" s="108">
        <f>(($N63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2912.652413149825</v>
      </c>
      <c r="P63" s="123">
        <f>ROUND((($O63/Basis!$E$2)/((TrC-TaC)*1.163))*Basis!$E$5,IF(Basis!$E$1=1,0,IF(Basis!$E$1=2,2)))</f>
        <v>0.57999999999999996</v>
      </c>
      <c r="Q63" s="83">
        <f>IF(N63=0,0,ROUND(INDEX($AC63:$AG63,0,FanspeedC)*Basis!$E$4,1))</f>
        <v>195.4</v>
      </c>
      <c r="R63" s="85">
        <f>IF(N63=0,0,INDEX($AO63:$AS63,0,FanspeedC))</f>
        <v>15.6</v>
      </c>
      <c r="S63" s="84">
        <f>CHOOSE(Basis!$E$1,$BD63*(P63*3600/Basis!$E$5)^$BE63*Basis!$E$6/Basis!$E$9,$BD63*(P63/Basis!$E$5)^$BE63*Basis!$E$6/Basis!$E$9)</f>
        <v>0.40548501206189241</v>
      </c>
      <c r="T63" s="85">
        <f>IF(N63=0,0,INDEX($AI63:$AM63,0,FanspeedC))</f>
        <v>0</v>
      </c>
      <c r="U63" s="110">
        <v>1</v>
      </c>
      <c r="V63" s="74"/>
      <c r="W63" s="218">
        <v>1733.6902910445228</v>
      </c>
      <c r="X63" s="218">
        <v>251.43285822089797</v>
      </c>
      <c r="Y63" s="218">
        <v>4.0608619070466698</v>
      </c>
      <c r="Z63" s="218">
        <v>-0.36935046666650995</v>
      </c>
      <c r="AA63" s="218">
        <v>0</v>
      </c>
      <c r="AB63" s="74"/>
      <c r="AC63" s="75">
        <v>332</v>
      </c>
      <c r="AD63" s="75">
        <v>291</v>
      </c>
      <c r="AE63" s="75">
        <v>238</v>
      </c>
      <c r="AF63" s="75">
        <v>176</v>
      </c>
      <c r="AG63" s="75">
        <v>116</v>
      </c>
      <c r="AH63" s="74"/>
      <c r="AI63" s="76"/>
      <c r="AJ63" s="76"/>
      <c r="AK63" s="76"/>
      <c r="AL63" s="76"/>
      <c r="AM63" s="76"/>
      <c r="AN63" s="74"/>
      <c r="AO63" s="77">
        <v>15.6</v>
      </c>
      <c r="AP63" s="77">
        <v>9.6</v>
      </c>
      <c r="AQ63" s="77">
        <v>5.7</v>
      </c>
      <c r="AR63" s="77">
        <v>3.6</v>
      </c>
      <c r="AS63" s="77">
        <v>2.2000000000000002</v>
      </c>
      <c r="AT63" s="74"/>
      <c r="AU63" s="100">
        <v>1.6747942882275273E-4</v>
      </c>
      <c r="AV63" s="98">
        <v>1.8208138694468972</v>
      </c>
      <c r="AW63" s="74"/>
      <c r="AX63" s="110">
        <v>244.82210443399327</v>
      </c>
      <c r="AY63" s="110">
        <v>20.927015387969359</v>
      </c>
      <c r="AZ63" s="110">
        <v>2.4216316716249207</v>
      </c>
      <c r="BA63" s="110">
        <v>-0.14605906212444036</v>
      </c>
      <c r="BB63" s="110">
        <v>0</v>
      </c>
      <c r="BC63" s="74"/>
      <c r="BD63" s="100">
        <v>1.6747942882275273E-4</v>
      </c>
      <c r="BE63" s="98">
        <v>1.8208138694468972</v>
      </c>
      <c r="BF63" s="74"/>
      <c r="BG63" s="47" t="s">
        <v>15</v>
      </c>
      <c r="BH63" s="48" t="s">
        <v>74</v>
      </c>
    </row>
    <row r="64" spans="1:60" ht="15" x14ac:dyDescent="0.25">
      <c r="A64" s="72" t="s">
        <v>21</v>
      </c>
      <c r="B64" s="43" t="s">
        <v>48</v>
      </c>
      <c r="C64" s="44" t="s">
        <v>3321</v>
      </c>
      <c r="D64" s="45">
        <f>ROUND(MID(Briza12!$C64,6,3)/Basis!$E$3,1)</f>
        <v>21.7</v>
      </c>
      <c r="E64" s="45">
        <f>ROUND(MID(Briza12!$C64,9,3)/Basis!$E$3,1)</f>
        <v>49.2</v>
      </c>
      <c r="F64" s="46" t="s">
        <v>51</v>
      </c>
      <c r="G64" s="45">
        <f>ROUND(14/Basis!$E$3,1)</f>
        <v>5.5</v>
      </c>
      <c r="H64" s="221">
        <f>(($AA64*U_H^4+$Z64*U_H^3+$Y64*U_H^2+$X64*U_H+$W64)*((((TaH-TrH)/LN((TaH-TlH)/(TrH-TlH)))/((75-65)/LN((75-20)/(65-20))))^1))*Basis!$E$2*$AA$4*Glycol</f>
        <v>16755.190614228592</v>
      </c>
      <c r="I64" s="123">
        <f>ROUND((($H64/Basis!$E$2)/((TaH-TrH)*1.163))*Basis!$E$5,IF(Basis!$E$1=1,0,IF(Basis!$E$1=2,2)))</f>
        <v>1.67</v>
      </c>
      <c r="J64" s="83">
        <f>ROUND(INDEX($AC64:$AG64,0,FanspeedH)*Basis!$E$4,1)</f>
        <v>274.89999999999998</v>
      </c>
      <c r="K64" s="85">
        <f>INDEX($AO64:$AS64,0,FanspeedH)</f>
        <v>28.8</v>
      </c>
      <c r="L64" s="84">
        <f>CHOOSE(Basis!$E$1,$AU64*(I64*3600/Basis!$E$5)^$AV64*Basis!$E$6/Basis!$E$9,$AU64*(I64/Basis!$E$5)^$AV64*Basis!$E$6/Basis!$E$9)</f>
        <v>3.7280769240660674</v>
      </c>
      <c r="M64" s="85">
        <f>INDEX($AI64:$AM64,0,FanspeedH)</f>
        <v>0</v>
      </c>
      <c r="N64" s="222">
        <f>(($BB64*U_C^4+$BA64*U_C^3+$AZ64*U_C^2+$AY64*U_C+$AX64)*((((TaC-TrC)/LN((TaC-TlC)/(TrC-TlC)))/((16-18)/LN((16-27)/(18-27))))^1))*Basis!$E$2*$AA$4*Glycol</f>
        <v>4113.838127572506</v>
      </c>
      <c r="O64" s="108">
        <f>(($N64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4642.6198760772004</v>
      </c>
      <c r="P64" s="123">
        <f>ROUND((($O64/Basis!$E$2)/((TrC-TaC)*1.163))*Basis!$E$5,IF(Basis!$E$1=1,0,IF(Basis!$E$1=2,2)))</f>
        <v>0.93</v>
      </c>
      <c r="Q64" s="83">
        <f>IF(N64=0,0,ROUND(INDEX($AC64:$AG64,0,FanspeedC)*Basis!$E$4,1))</f>
        <v>274.89999999999998</v>
      </c>
      <c r="R64" s="85">
        <f>IF(N64=0,0,INDEX($AO64:$AS64,0,FanspeedC))</f>
        <v>28.8</v>
      </c>
      <c r="S64" s="84">
        <f>CHOOSE(Basis!$E$1,$BD64*(P64*3600/Basis!$E$5)^$BE64*Basis!$E$6/Basis!$E$9,$BD64*(P64/Basis!$E$5)^$BE64*Basis!$E$6/Basis!$E$9)</f>
        <v>1.2906055268091559</v>
      </c>
      <c r="T64" s="85">
        <f>IF(N64=0,0,INDEX($AI64:$AM64,0,FanspeedC))</f>
        <v>0</v>
      </c>
      <c r="U64" s="109">
        <v>1</v>
      </c>
      <c r="V64" s="68"/>
      <c r="W64" s="217">
        <v>2743.7411285852236</v>
      </c>
      <c r="X64" s="217">
        <v>390.82080301438873</v>
      </c>
      <c r="Y64" s="217">
        <v>10.601704948047237</v>
      </c>
      <c r="Z64" s="217">
        <v>-0.88150849635886974</v>
      </c>
      <c r="AA64" s="217">
        <v>0</v>
      </c>
      <c r="AB64" s="68"/>
      <c r="AC64" s="69">
        <v>467</v>
      </c>
      <c r="AD64" s="69">
        <v>398</v>
      </c>
      <c r="AE64" s="69">
        <v>321</v>
      </c>
      <c r="AF64" s="69">
        <v>236</v>
      </c>
      <c r="AG64" s="69">
        <v>153</v>
      </c>
      <c r="AH64" s="68"/>
      <c r="AI64" s="70"/>
      <c r="AJ64" s="70"/>
      <c r="AK64" s="70"/>
      <c r="AL64" s="70"/>
      <c r="AM64" s="70"/>
      <c r="AN64" s="68"/>
      <c r="AO64" s="71">
        <v>28.8</v>
      </c>
      <c r="AP64" s="71">
        <v>18</v>
      </c>
      <c r="AQ64" s="71">
        <v>10</v>
      </c>
      <c r="AR64" s="71">
        <v>5.4</v>
      </c>
      <c r="AS64" s="71">
        <v>2.8</v>
      </c>
      <c r="AT64" s="68"/>
      <c r="AU64" s="99">
        <v>2.364386444169621E-4</v>
      </c>
      <c r="AV64" s="97">
        <v>1.8120794599034276</v>
      </c>
      <c r="AW64" s="68"/>
      <c r="AX64" s="109">
        <v>404.43855949026653</v>
      </c>
      <c r="AY64" s="109">
        <v>26.676957361613045</v>
      </c>
      <c r="AZ64" s="109">
        <v>4.6734617843004802</v>
      </c>
      <c r="BA64" s="109">
        <v>-0.26156927868117719</v>
      </c>
      <c r="BB64" s="109">
        <v>0</v>
      </c>
      <c r="BC64" s="68"/>
      <c r="BD64" s="99">
        <v>2.364386444169621E-4</v>
      </c>
      <c r="BE64" s="97">
        <v>1.8120794599034276</v>
      </c>
      <c r="BF64" s="68"/>
      <c r="BG64" s="49" t="s">
        <v>15</v>
      </c>
      <c r="BH64" s="50" t="s">
        <v>45</v>
      </c>
    </row>
    <row r="65" spans="1:60" ht="15" x14ac:dyDescent="0.25">
      <c r="A65" s="72" t="s">
        <v>21</v>
      </c>
      <c r="B65" s="43" t="s">
        <v>48</v>
      </c>
      <c r="C65" s="44" t="s">
        <v>3322</v>
      </c>
      <c r="D65" s="45">
        <f>ROUND(MID(Briza12!$C65,6,3)/Basis!$E$3,1)</f>
        <v>21.7</v>
      </c>
      <c r="E65" s="45">
        <f>ROUND(MID(Briza12!$C65,9,3)/Basis!$E$3,1)</f>
        <v>57.1</v>
      </c>
      <c r="F65" s="46" t="s">
        <v>51</v>
      </c>
      <c r="G65" s="45">
        <f>ROUND(14/Basis!$E$3,1)</f>
        <v>5.5</v>
      </c>
      <c r="H65" s="221">
        <f>(($AA65*U_H^4+$Z65*U_H^3+$Y65*U_H^2+$X65*U_H+$W65)*((((TaH-TrH)/LN((TaH-TlH)/(TrH-TlH)))/((75-65)/LN((75-20)/(65-20))))^1))*Basis!$E$2*$AA$4*Glycol</f>
        <v>20913.212836593244</v>
      </c>
      <c r="I65" s="123">
        <f>ROUND((($H65/Basis!$E$2)/((TaH-TrH)*1.163))*Basis!$E$5,IF(Basis!$E$1=1,0,IF(Basis!$E$1=2,2)))</f>
        <v>2.09</v>
      </c>
      <c r="J65" s="83">
        <f>ROUND(INDEX($AC65:$AG65,0,FanspeedH)*Basis!$E$4,1)</f>
        <v>312.5</v>
      </c>
      <c r="K65" s="85">
        <f>INDEX($AO65:$AS65,0,FanspeedH)</f>
        <v>28.8</v>
      </c>
      <c r="L65" s="84">
        <f>CHOOSE(Basis!$E$1,$AU65*(I65*3600/Basis!$E$5)^$AV65*Basis!$E$6/Basis!$E$9,$AU65*(I65/Basis!$E$5)^$AV65*Basis!$E$6/Basis!$E$9)</f>
        <v>6.5674531346775069</v>
      </c>
      <c r="M65" s="85">
        <f>INDEX($AI65:$AM65,0,FanspeedH)</f>
        <v>0</v>
      </c>
      <c r="N65" s="222">
        <f>(($BB65*U_C^4+$BA65*U_C^3+$AZ65*U_C^2+$AY65*U_C+$AX65)*((((TaC-TrC)/LN((TaC-TlC)/(TrC-TlC)))/((16-18)/LN((16-27)/(18-27))))^1))*Basis!$E$2*$AA$4*Glycol</f>
        <v>5138.0930677919341</v>
      </c>
      <c r="O65" s="108">
        <f>(($N65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5798.5298064562421</v>
      </c>
      <c r="P65" s="123">
        <f>ROUND((($O65/Basis!$E$2)/((TrC-TaC)*1.163))*Basis!$E$5,IF(Basis!$E$1=1,0,IF(Basis!$E$1=2,2)))</f>
        <v>1.1599999999999999</v>
      </c>
      <c r="Q65" s="83">
        <f>IF(N65=0,0,ROUND(INDEX($AC65:$AG65,0,FanspeedC)*Basis!$E$4,1))</f>
        <v>312.5</v>
      </c>
      <c r="R65" s="85">
        <f>IF(N65=0,0,INDEX($AO65:$AS65,0,FanspeedC))</f>
        <v>28.8</v>
      </c>
      <c r="S65" s="84">
        <f>CHOOSE(Basis!$E$1,$BD65*(P65*3600/Basis!$E$5)^$BE65*Basis!$E$6/Basis!$E$9,$BD65*(P65/Basis!$E$5)^$BE65*Basis!$E$6/Basis!$E$9)</f>
        <v>2.2553317649314284</v>
      </c>
      <c r="T65" s="85">
        <f>IF(N65=0,0,INDEX($AI65:$AM65,0,FanspeedC))</f>
        <v>0</v>
      </c>
      <c r="U65" s="110">
        <v>1</v>
      </c>
      <c r="V65" s="74"/>
      <c r="W65" s="218">
        <v>3621.1755888499029</v>
      </c>
      <c r="X65" s="218">
        <v>398.10102592026755</v>
      </c>
      <c r="Y65" s="218">
        <v>26.268050048769958</v>
      </c>
      <c r="Z65" s="218">
        <v>-1.7032731680051472</v>
      </c>
      <c r="AA65" s="218">
        <v>0</v>
      </c>
      <c r="AB65" s="74"/>
      <c r="AC65" s="75">
        <v>531</v>
      </c>
      <c r="AD65" s="75">
        <v>455</v>
      </c>
      <c r="AE65" s="75">
        <v>360</v>
      </c>
      <c r="AF65" s="75">
        <v>270</v>
      </c>
      <c r="AG65" s="75">
        <v>182</v>
      </c>
      <c r="AH65" s="74"/>
      <c r="AI65" s="76"/>
      <c r="AJ65" s="76"/>
      <c r="AK65" s="76"/>
      <c r="AL65" s="76"/>
      <c r="AM65" s="76"/>
      <c r="AN65" s="74"/>
      <c r="AO65" s="77">
        <v>28.8</v>
      </c>
      <c r="AP65" s="77">
        <v>18</v>
      </c>
      <c r="AQ65" s="77">
        <v>10</v>
      </c>
      <c r="AR65" s="77">
        <v>5.5</v>
      </c>
      <c r="AS65" s="77">
        <v>2.8</v>
      </c>
      <c r="AT65" s="74"/>
      <c r="AU65" s="100">
        <v>2.7169905751214276E-4</v>
      </c>
      <c r="AV65" s="98">
        <v>1.8154391549649329</v>
      </c>
      <c r="AW65" s="74"/>
      <c r="AX65" s="110">
        <v>500.42990714727654</v>
      </c>
      <c r="AY65" s="110">
        <v>34.97111415527813</v>
      </c>
      <c r="AZ65" s="110">
        <v>5.5712720658712023</v>
      </c>
      <c r="BA65" s="110">
        <v>-0.31193329602618908</v>
      </c>
      <c r="BB65" s="110">
        <v>0</v>
      </c>
      <c r="BC65" s="74"/>
      <c r="BD65" s="100">
        <v>2.7169905751214276E-4</v>
      </c>
      <c r="BE65" s="98">
        <v>1.8154391549649329</v>
      </c>
      <c r="BF65" s="74"/>
      <c r="BG65" s="47" t="s">
        <v>15</v>
      </c>
      <c r="BH65" s="48" t="s">
        <v>46</v>
      </c>
    </row>
    <row r="66" spans="1:60" ht="15" x14ac:dyDescent="0.25">
      <c r="A66" s="72" t="s">
        <v>21</v>
      </c>
      <c r="B66" s="43" t="s">
        <v>48</v>
      </c>
      <c r="C66" s="44" t="s">
        <v>3323</v>
      </c>
      <c r="D66" s="45">
        <f>ROUND(MID(Briza12!$C66,6,3)/Basis!$E$3,1)</f>
        <v>16.100000000000001</v>
      </c>
      <c r="E66" s="45">
        <f>ROUND(MID(Briza12!$C66,9,3)/Basis!$E$3,1)</f>
        <v>29.5</v>
      </c>
      <c r="F66" s="46" t="s">
        <v>50</v>
      </c>
      <c r="G66" s="45">
        <f>ROUND(14/Basis!$E$3,1)</f>
        <v>5.5</v>
      </c>
      <c r="H66" s="221">
        <f>(($AA66*U_H^4+$Z66*U_H^3+$Y66*U_H^2+$X66*U_H+$W66)*((((TaH-TrH)/LN((TaH-TlH)/(TrH-TlH)))/((75-65)/LN((75-20)/(65-20))))^1))*Basis!$E$2*$AA$4*Glycol</f>
        <v>3277.2673929892271</v>
      </c>
      <c r="I66" s="123">
        <f>ROUND((($H66/Basis!$E$2)/((TaH-TrH)*1.163))*Basis!$E$5,IF(Basis!$E$1=1,0,IF(Basis!$E$1=2,2)))</f>
        <v>0.33</v>
      </c>
      <c r="J66" s="83">
        <f>ROUND(INDEX($AC66:$AG66,0,FanspeedH)*Basis!$E$4,1)</f>
        <v>84.2</v>
      </c>
      <c r="K66" s="85">
        <f>INDEX($AO66:$AS66,0,FanspeedH)</f>
        <v>13.7</v>
      </c>
      <c r="L66" s="84">
        <f>CHOOSE(Basis!$E$1,$AU66*(I66*3600/Basis!$E$5)^$AV66*Basis!$E$6/Basis!$E$9,$AU66*(I66/Basis!$E$5)^$AV66*Basis!$E$6/Basis!$E$9)</f>
        <v>5.7617971739233935E-2</v>
      </c>
      <c r="M66" s="85">
        <f>INDEX($AI66:$AM66,0,FanspeedH)</f>
        <v>0</v>
      </c>
      <c r="N66" s="222">
        <f>(($BB66*U_C^4+$BA66*U_C^3+$AZ66*U_C^2+$AY66*U_C+$AX66)*((((TaC-TrC)/LN((TaC-TlC)/(TrC-TlC)))/((16-18)/LN((16-27)/(18-27))))^1))*Basis!$E$2*$AA$4*Glycol</f>
        <v>801.16866566794272</v>
      </c>
      <c r="O66" s="108">
        <f>(($N66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904.14874284687903</v>
      </c>
      <c r="P66" s="123">
        <f>ROUND((($O66/Basis!$E$2)/((TrC-TaC)*1.163))*Basis!$E$5,IF(Basis!$E$1=1,0,IF(Basis!$E$1=2,2)))</f>
        <v>0.18</v>
      </c>
      <c r="Q66" s="83">
        <f>IF(N66=0,0,ROUND(INDEX($AC66:$AG66,0,FanspeedC)*Basis!$E$4,1))</f>
        <v>84.2</v>
      </c>
      <c r="R66" s="85">
        <f>IF(N66=0,0,INDEX($AO66:$AS66,0,FanspeedC))</f>
        <v>13.7</v>
      </c>
      <c r="S66" s="84">
        <f>CHOOSE(Basis!$E$1,$BD66*(P66*3600/Basis!$E$5)^$BE66*Basis!$E$6/Basis!$E$9,$BD66*(P66/Basis!$E$5)^$BE66*Basis!$E$6/Basis!$E$9)</f>
        <v>1.8936081946689134E-2</v>
      </c>
      <c r="T66" s="85">
        <f>IF(N66=0,0,INDEX($AI66:$AM66,0,FanspeedC))</f>
        <v>0</v>
      </c>
      <c r="U66" s="109">
        <v>1</v>
      </c>
      <c r="V66" s="68"/>
      <c r="W66" s="217">
        <v>309.52771297860744</v>
      </c>
      <c r="X66" s="217">
        <v>305.78049129814406</v>
      </c>
      <c r="Y66" s="217">
        <v>-70.674841607023481</v>
      </c>
      <c r="Z66" s="217">
        <v>8.050935653010697</v>
      </c>
      <c r="AA66" s="217">
        <v>-0.30147360997762745</v>
      </c>
      <c r="AB66" s="68"/>
      <c r="AC66" s="69">
        <v>143</v>
      </c>
      <c r="AD66" s="69">
        <v>116</v>
      </c>
      <c r="AE66" s="69">
        <v>86</v>
      </c>
      <c r="AF66" s="69">
        <v>61</v>
      </c>
      <c r="AG66" s="69">
        <v>29</v>
      </c>
      <c r="AH66" s="68"/>
      <c r="AI66" s="70"/>
      <c r="AJ66" s="70"/>
      <c r="AK66" s="70"/>
      <c r="AL66" s="70"/>
      <c r="AM66" s="70"/>
      <c r="AN66" s="68"/>
      <c r="AO66" s="71">
        <v>13.7</v>
      </c>
      <c r="AP66" s="71">
        <v>8</v>
      </c>
      <c r="AQ66" s="71">
        <v>4.8</v>
      </c>
      <c r="AR66" s="71">
        <v>3</v>
      </c>
      <c r="AS66" s="71">
        <v>1.8</v>
      </c>
      <c r="AT66" s="68"/>
      <c r="AU66" s="101">
        <v>6.2276819636539519E-5</v>
      </c>
      <c r="AV66" s="103">
        <v>1.8358350093844202</v>
      </c>
      <c r="AW66" s="68"/>
      <c r="AX66" s="109">
        <v>77.128705162163683</v>
      </c>
      <c r="AY66" s="109">
        <v>7.2063340139581697</v>
      </c>
      <c r="AZ66" s="109">
        <v>0.21600510650865656</v>
      </c>
      <c r="BA66" s="109">
        <v>0</v>
      </c>
      <c r="BB66" s="109">
        <v>0</v>
      </c>
      <c r="BC66" s="68"/>
      <c r="BD66" s="101">
        <v>6.2276819636539519E-5</v>
      </c>
      <c r="BE66" s="103">
        <v>1.8358350093844202</v>
      </c>
      <c r="BF66" s="68"/>
      <c r="BG66" s="49" t="s">
        <v>15</v>
      </c>
      <c r="BH66" s="50" t="s">
        <v>69</v>
      </c>
    </row>
    <row r="67" spans="1:60" ht="15" x14ac:dyDescent="0.25">
      <c r="A67" s="72" t="s">
        <v>21</v>
      </c>
      <c r="B67" s="43" t="s">
        <v>48</v>
      </c>
      <c r="C67" s="44" t="s">
        <v>3324</v>
      </c>
      <c r="D67" s="45">
        <f>ROUND(MID(Briza12!$C67,6,3)/Basis!$E$3,1)</f>
        <v>16.100000000000001</v>
      </c>
      <c r="E67" s="45">
        <f>ROUND(MID(Briza12!$C67,9,3)/Basis!$E$3,1)</f>
        <v>37.4</v>
      </c>
      <c r="F67" s="46" t="s">
        <v>50</v>
      </c>
      <c r="G67" s="45">
        <f>ROUND(14/Basis!$E$3,1)</f>
        <v>5.5</v>
      </c>
      <c r="H67" s="221">
        <f>(($AA67*U_H^4+$Z67*U_H^3+$Y67*U_H^2+$X67*U_H+$W67)*((((TaH-TrH)/LN((TaH-TlH)/(TrH-TlH)))/((75-65)/LN((75-20)/(65-20))))^1))*Basis!$E$2*$AA$4*Glycol</f>
        <v>5395.7651737105243</v>
      </c>
      <c r="I67" s="123">
        <f>ROUND((($H67/Basis!$E$2)/((TaH-TrH)*1.163))*Basis!$E$5,IF(Basis!$E$1=1,0,IF(Basis!$E$1=2,2)))</f>
        <v>0.54</v>
      </c>
      <c r="J67" s="83">
        <f>ROUND(INDEX($AC67:$AG67,0,FanspeedH)*Basis!$E$4,1)</f>
        <v>134.80000000000001</v>
      </c>
      <c r="K67" s="85">
        <f>INDEX($AO67:$AS67,0,FanspeedH)</f>
        <v>14.4</v>
      </c>
      <c r="L67" s="84">
        <f>CHOOSE(Basis!$E$1,$AU67*(I67*3600/Basis!$E$5)^$AV67*Basis!$E$6/Basis!$E$9,$AU67*(I67/Basis!$E$5)^$AV67*Basis!$E$6/Basis!$E$9)</f>
        <v>0.18406401704837408</v>
      </c>
      <c r="M67" s="85">
        <f>INDEX($AI67:$AM67,0,FanspeedH)</f>
        <v>0</v>
      </c>
      <c r="N67" s="222">
        <f>(($BB67*U_C^4+$BA67*U_C^3+$AZ67*U_C^2+$AY67*U_C+$AX67)*((((TaC-TrC)/LN((TaC-TlC)/(TrC-TlC)))/((16-18)/LN((16-27)/(18-27))))^1))*Basis!$E$2*$AA$4*Glycol</f>
        <v>1321.0453338065433</v>
      </c>
      <c r="O67" s="108">
        <f>(($N67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1490.8489672510095</v>
      </c>
      <c r="P67" s="123">
        <f>ROUND((($O67/Basis!$E$2)/((TrC-TaC)*1.163))*Basis!$E$5,IF(Basis!$E$1=1,0,IF(Basis!$E$1=2,2)))</f>
        <v>0.3</v>
      </c>
      <c r="Q67" s="83">
        <f>IF(N67=0,0,ROUND(INDEX($AC67:$AG67,0,FanspeedC)*Basis!$E$4,1))</f>
        <v>134.80000000000001</v>
      </c>
      <c r="R67" s="85">
        <f>IF(N67=0,0,INDEX($AO67:$AS67,0,FanspeedC))</f>
        <v>14.4</v>
      </c>
      <c r="S67" s="84">
        <f>CHOOSE(Basis!$E$1,$BD67*(P67*3600/Basis!$E$5)^$BE67*Basis!$E$6/Basis!$E$9,$BD67*(P67/Basis!$E$5)^$BE67*Basis!$E$6/Basis!$E$9)</f>
        <v>6.3342892517171359E-2</v>
      </c>
      <c r="T67" s="85">
        <f>IF(N67=0,0,INDEX($AI67:$AM67,0,FanspeedC))</f>
        <v>0</v>
      </c>
      <c r="U67" s="110">
        <v>1</v>
      </c>
      <c r="V67" s="74"/>
      <c r="W67" s="218">
        <v>1067.2269380900811</v>
      </c>
      <c r="X67" s="218">
        <v>80.732145519360756</v>
      </c>
      <c r="Y67" s="218">
        <v>-6.4342749126444518</v>
      </c>
      <c r="Z67" s="218">
        <v>0.96857796417835151</v>
      </c>
      <c r="AA67" s="218">
        <v>0</v>
      </c>
      <c r="AB67" s="74"/>
      <c r="AC67" s="75">
        <v>229</v>
      </c>
      <c r="AD67" s="75">
        <v>194</v>
      </c>
      <c r="AE67" s="75">
        <v>144</v>
      </c>
      <c r="AF67" s="75">
        <v>92</v>
      </c>
      <c r="AG67" s="75">
        <v>52</v>
      </c>
      <c r="AH67" s="74"/>
      <c r="AI67" s="76"/>
      <c r="AJ67" s="76"/>
      <c r="AK67" s="76"/>
      <c r="AL67" s="76"/>
      <c r="AM67" s="76"/>
      <c r="AN67" s="74"/>
      <c r="AO67" s="77">
        <v>14.4</v>
      </c>
      <c r="AP67" s="77">
        <v>8.4</v>
      </c>
      <c r="AQ67" s="77">
        <v>5.7</v>
      </c>
      <c r="AR67" s="77">
        <v>3.4</v>
      </c>
      <c r="AS67" s="77">
        <v>2</v>
      </c>
      <c r="AT67" s="74"/>
      <c r="AU67" s="102">
        <v>8.9125876915269658E-5</v>
      </c>
      <c r="AV67" s="104">
        <v>1.8148096460023067</v>
      </c>
      <c r="AW67" s="74"/>
      <c r="AX67" s="110">
        <v>110.71690101532077</v>
      </c>
      <c r="AY67" s="110">
        <v>21.493052785950599</v>
      </c>
      <c r="AZ67" s="110">
        <v>-1.8007451821026781</v>
      </c>
      <c r="BA67" s="110">
        <v>0.13604657691485619</v>
      </c>
      <c r="BB67" s="110">
        <v>0</v>
      </c>
      <c r="BC67" s="74"/>
      <c r="BD67" s="102">
        <v>8.9125876915269658E-5</v>
      </c>
      <c r="BE67" s="104">
        <v>1.8148096460023067</v>
      </c>
      <c r="BF67" s="74"/>
      <c r="BG67" s="47" t="s">
        <v>15</v>
      </c>
      <c r="BH67" s="48" t="s">
        <v>71</v>
      </c>
    </row>
    <row r="68" spans="1:60" ht="15" x14ac:dyDescent="0.25">
      <c r="A68" s="72" t="s">
        <v>21</v>
      </c>
      <c r="B68" s="43" t="s">
        <v>48</v>
      </c>
      <c r="C68" s="44" t="s">
        <v>3325</v>
      </c>
      <c r="D68" s="45">
        <f>ROUND(MID(Briza12!$C68,6,3)/Basis!$E$3,1)</f>
        <v>16.100000000000001</v>
      </c>
      <c r="E68" s="45">
        <f>ROUND(MID(Briza12!$C68,9,3)/Basis!$E$3,1)</f>
        <v>49.2</v>
      </c>
      <c r="F68" s="46" t="s">
        <v>50</v>
      </c>
      <c r="G68" s="45">
        <f>ROUND(14/Basis!$E$3,1)</f>
        <v>5.5</v>
      </c>
      <c r="H68" s="221">
        <f>(($AA68*U_H^4+$Z68*U_H^3+$Y68*U_H^2+$X68*U_H+$W68)*((((TaH-TrH)/LN((TaH-TlH)/(TrH-TlH)))/((75-65)/LN((75-20)/(65-20))))^1))*Basis!$E$2*$AA$4*Glycol</f>
        <v>8566.9283854618025</v>
      </c>
      <c r="I68" s="123">
        <f>ROUND((($H68/Basis!$E$2)/((TaH-TrH)*1.163))*Basis!$E$5,IF(Basis!$E$1=1,0,IF(Basis!$E$1=2,2)))</f>
        <v>0.86</v>
      </c>
      <c r="J68" s="83">
        <f>ROUND(INDEX($AC68:$AG68,0,FanspeedH)*Basis!$E$4,1)</f>
        <v>214.2</v>
      </c>
      <c r="K68" s="85">
        <f>INDEX($AO68:$AS68,0,FanspeedH)</f>
        <v>20.9</v>
      </c>
      <c r="L68" s="84">
        <f>CHOOSE(Basis!$E$1,$AU68*(I68*3600/Basis!$E$5)^$AV68*Basis!$E$6/Basis!$E$9,$AU68*(I68/Basis!$E$5)^$AV68*Basis!$E$6/Basis!$E$9)</f>
        <v>0.57826780409057665</v>
      </c>
      <c r="M68" s="85">
        <f>INDEX($AI68:$AM68,0,FanspeedH)</f>
        <v>0</v>
      </c>
      <c r="N68" s="222">
        <f>(($BB68*U_C^4+$BA68*U_C^3+$AZ68*U_C^2+$AY68*U_C+$AX68)*((((TaC-TrC)/LN((TaC-TlC)/(TrC-TlC)))/((16-18)/LN((16-27)/(18-27))))^1))*Basis!$E$2*$AA$4*Glycol</f>
        <v>2097.0810301497481</v>
      </c>
      <c r="O68" s="108">
        <f>(($N68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2366.6342161262096</v>
      </c>
      <c r="P68" s="123">
        <f>ROUND((($O68/Basis!$E$2)/((TrC-TaC)*1.163))*Basis!$E$5,IF(Basis!$E$1=1,0,IF(Basis!$E$1=2,2)))</f>
        <v>0.47</v>
      </c>
      <c r="Q68" s="83">
        <f>IF(N68=0,0,ROUND(INDEX($AC68:$AG68,0,FanspeedC)*Basis!$E$4,1))</f>
        <v>214.2</v>
      </c>
      <c r="R68" s="85">
        <f>IF(N68=0,0,INDEX($AO68:$AS68,0,FanspeedC))</f>
        <v>20.9</v>
      </c>
      <c r="S68" s="84">
        <f>CHOOSE(Basis!$E$1,$BD68*(P68*3600/Basis!$E$5)^$BE68*Basis!$E$6/Basis!$E$9,$BD68*(P68/Basis!$E$5)^$BE68*Basis!$E$6/Basis!$E$9)</f>
        <v>0.19319093126193956</v>
      </c>
      <c r="T68" s="85">
        <f>IF(N68=0,0,INDEX($AI68:$AM68,0,FanspeedC))</f>
        <v>0</v>
      </c>
      <c r="U68" s="109">
        <v>1</v>
      </c>
      <c r="V68" s="68"/>
      <c r="W68" s="217">
        <v>1703.0145175312946</v>
      </c>
      <c r="X68" s="217">
        <v>114.94135317144828</v>
      </c>
      <c r="Y68" s="217">
        <v>-4.2358848975583312</v>
      </c>
      <c r="Z68" s="217">
        <v>1.0636516905207274</v>
      </c>
      <c r="AA68" s="217">
        <v>0</v>
      </c>
      <c r="AB68" s="68"/>
      <c r="AC68" s="69">
        <v>364</v>
      </c>
      <c r="AD68" s="69">
        <v>278</v>
      </c>
      <c r="AE68" s="69">
        <v>220</v>
      </c>
      <c r="AF68" s="69">
        <v>149</v>
      </c>
      <c r="AG68" s="69">
        <v>73</v>
      </c>
      <c r="AH68" s="68"/>
      <c r="AI68" s="70"/>
      <c r="AJ68" s="70"/>
      <c r="AK68" s="70"/>
      <c r="AL68" s="70"/>
      <c r="AM68" s="70"/>
      <c r="AN68" s="68"/>
      <c r="AO68" s="71">
        <v>20.9</v>
      </c>
      <c r="AP68" s="71">
        <v>12.6</v>
      </c>
      <c r="AQ68" s="71">
        <v>7.4</v>
      </c>
      <c r="AR68" s="71">
        <v>4.0999999999999996</v>
      </c>
      <c r="AS68" s="71">
        <v>2.2999999999999998</v>
      </c>
      <c r="AT68" s="68"/>
      <c r="AU68" s="101">
        <v>1.2048931502827451E-4</v>
      </c>
      <c r="AV68" s="103">
        <v>1.8145625016160318</v>
      </c>
      <c r="AW68" s="68"/>
      <c r="AX68" s="109">
        <v>199.95460885224878</v>
      </c>
      <c r="AY68" s="109">
        <v>22.25052488649974</v>
      </c>
      <c r="AZ68" s="109">
        <v>-1.4664081399657958</v>
      </c>
      <c r="BA68" s="109">
        <v>0.17123517161163615</v>
      </c>
      <c r="BB68" s="109">
        <v>0</v>
      </c>
      <c r="BC68" s="68"/>
      <c r="BD68" s="101">
        <v>1.2048931502827451E-4</v>
      </c>
      <c r="BE68" s="103">
        <v>1.8145625016160318</v>
      </c>
      <c r="BF68" s="68"/>
      <c r="BG68" s="49" t="s">
        <v>15</v>
      </c>
      <c r="BH68" s="50" t="s">
        <v>39</v>
      </c>
    </row>
    <row r="69" spans="1:60" ht="15" x14ac:dyDescent="0.25">
      <c r="A69" s="72" t="s">
        <v>21</v>
      </c>
      <c r="B69" s="43" t="s">
        <v>48</v>
      </c>
      <c r="C69" s="44" t="s">
        <v>3326</v>
      </c>
      <c r="D69" s="45">
        <f>ROUND(MID(Briza12!$C69,6,3)/Basis!$E$3,1)</f>
        <v>16.100000000000001</v>
      </c>
      <c r="E69" s="45">
        <f>ROUND(MID(Briza12!$C69,9,3)/Basis!$E$3,1)</f>
        <v>57.1</v>
      </c>
      <c r="F69" s="46" t="s">
        <v>50</v>
      </c>
      <c r="G69" s="45">
        <f>ROUND(14/Basis!$E$3,1)</f>
        <v>5.5</v>
      </c>
      <c r="H69" s="221">
        <f>(($AA69*U_H^4+$Z69*U_H^3+$Y69*U_H^2+$X69*U_H+$W69)*((((TaH-TrH)/LN((TaH-TlH)/(TrH-TlH)))/((75-65)/LN((75-20)/(65-20))))^1))*Basis!$E$2*$AA$4*Glycol</f>
        <v>10683.214468018399</v>
      </c>
      <c r="I69" s="123">
        <f>ROUND((($H69/Basis!$E$2)/((TaH-TrH)*1.163))*Basis!$E$5,IF(Basis!$E$1=1,0,IF(Basis!$E$1=2,2)))</f>
        <v>1.07</v>
      </c>
      <c r="J69" s="83">
        <f>ROUND(INDEX($AC69:$AG69,0,FanspeedH)*Basis!$E$4,1)</f>
        <v>224.8</v>
      </c>
      <c r="K69" s="85">
        <f>INDEX($AO69:$AS69,0,FanspeedH)</f>
        <v>28.8</v>
      </c>
      <c r="L69" s="84">
        <f>CHOOSE(Basis!$E$1,$AU69*(I69*3600/Basis!$E$5)^$AV69*Basis!$E$6/Basis!$E$9,$AU69*(I69/Basis!$E$5)^$AV69*Basis!$E$6/Basis!$E$9)</f>
        <v>1.0006507010001049</v>
      </c>
      <c r="M69" s="85">
        <f>INDEX($AI69:$AM69,0,FanspeedH)</f>
        <v>0</v>
      </c>
      <c r="N69" s="222">
        <f>(($BB69*U_C^4+$BA69*U_C^3+$AZ69*U_C^2+$AY69*U_C+$AX69)*((((TaC-TrC)/LN((TaC-TlC)/(TrC-TlC)))/((16-18)/LN((16-27)/(18-27))))^1))*Basis!$E$2*$AA$4*Glycol</f>
        <v>2617.3157508311101</v>
      </c>
      <c r="O69" s="108">
        <f>(($N69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2953.7385161891661</v>
      </c>
      <c r="P69" s="123">
        <f>ROUND((($O69/Basis!$E$2)/((TrC-TaC)*1.163))*Basis!$E$5,IF(Basis!$E$1=1,0,IF(Basis!$E$1=2,2)))</f>
        <v>0.59</v>
      </c>
      <c r="Q69" s="83">
        <f>IF(N69=0,0,ROUND(INDEX($AC69:$AG69,0,FanspeedC)*Basis!$E$4,1))</f>
        <v>224.8</v>
      </c>
      <c r="R69" s="85">
        <f>IF(N69=0,0,INDEX($AO69:$AS69,0,FanspeedC))</f>
        <v>28.8</v>
      </c>
      <c r="S69" s="84">
        <f>CHOOSE(Basis!$E$1,$BD69*(P69*3600/Basis!$E$5)^$BE69*Basis!$E$6/Basis!$E$9,$BD69*(P69/Basis!$E$5)^$BE69*Basis!$E$6/Basis!$E$9)</f>
        <v>0.33677709571419023</v>
      </c>
      <c r="T69" s="85">
        <f>IF(N69=0,0,INDEX($AI69:$AM69,0,FanspeedC))</f>
        <v>0</v>
      </c>
      <c r="U69" s="110">
        <v>1</v>
      </c>
      <c r="V69" s="74"/>
      <c r="W69" s="218">
        <v>2025.6470693484523</v>
      </c>
      <c r="X69" s="218">
        <v>191.91978998142477</v>
      </c>
      <c r="Y69" s="218">
        <v>-10.163656045029517</v>
      </c>
      <c r="Z69" s="218">
        <v>1.4267610870824441</v>
      </c>
      <c r="AA69" s="218">
        <v>0</v>
      </c>
      <c r="AB69" s="74"/>
      <c r="AC69" s="75">
        <v>382</v>
      </c>
      <c r="AD69" s="75">
        <v>289</v>
      </c>
      <c r="AE69" s="75">
        <v>227</v>
      </c>
      <c r="AF69" s="75">
        <v>158</v>
      </c>
      <c r="AG69" s="75">
        <v>89</v>
      </c>
      <c r="AH69" s="74"/>
      <c r="AI69" s="76"/>
      <c r="AJ69" s="76"/>
      <c r="AK69" s="76"/>
      <c r="AL69" s="76"/>
      <c r="AM69" s="76"/>
      <c r="AN69" s="74"/>
      <c r="AO69" s="77">
        <v>28.8</v>
      </c>
      <c r="AP69" s="77">
        <v>17</v>
      </c>
      <c r="AQ69" s="77">
        <v>9</v>
      </c>
      <c r="AR69" s="77">
        <v>4.5</v>
      </c>
      <c r="AS69" s="77">
        <v>2.5</v>
      </c>
      <c r="AT69" s="74"/>
      <c r="AU69" s="102">
        <v>1.2932915211001514E-4</v>
      </c>
      <c r="AV69" s="104">
        <v>1.829330158620641</v>
      </c>
      <c r="AW69" s="74"/>
      <c r="AX69" s="110">
        <v>228.6064063053341</v>
      </c>
      <c r="AY69" s="110">
        <v>34.907583473887243</v>
      </c>
      <c r="AZ69" s="110">
        <v>-2.3124323057321829</v>
      </c>
      <c r="BA69" s="110">
        <v>0.21151846586988798</v>
      </c>
      <c r="BB69" s="110">
        <v>0</v>
      </c>
      <c r="BC69" s="74"/>
      <c r="BD69" s="102">
        <v>1.2932915211001514E-4</v>
      </c>
      <c r="BE69" s="104">
        <v>1.829330158620641</v>
      </c>
      <c r="BF69" s="74"/>
      <c r="BG69" s="47" t="s">
        <v>15</v>
      </c>
      <c r="BH69" s="48" t="s">
        <v>42</v>
      </c>
    </row>
    <row r="70" spans="1:60" ht="15" x14ac:dyDescent="0.25">
      <c r="A70" s="72" t="s">
        <v>21</v>
      </c>
      <c r="B70" s="43" t="s">
        <v>48</v>
      </c>
      <c r="C70" s="44" t="s">
        <v>3327</v>
      </c>
      <c r="D70" s="45">
        <f>ROUND(MID(Briza12!$C70,6,3)/Basis!$E$3,1)</f>
        <v>21.7</v>
      </c>
      <c r="E70" s="45">
        <f>ROUND(MID(Briza12!$C70,9,3)/Basis!$E$3,1)</f>
        <v>29.5</v>
      </c>
      <c r="F70" s="46" t="s">
        <v>50</v>
      </c>
      <c r="G70" s="45">
        <f>ROUND(14/Basis!$E$3,1)</f>
        <v>5.5</v>
      </c>
      <c r="H70" s="221">
        <f>(($AA70*U_H^4+$Z70*U_H^3+$Y70*U_H^2+$X70*U_H+$W70)*((((TaH-TrH)/LN((TaH-TlH)/(TrH-TlH)))/((75-65)/LN((75-20)/(65-20))))^1))*Basis!$E$2*$AA$4*Glycol</f>
        <v>2703.2655048229167</v>
      </c>
      <c r="I70" s="123">
        <f>ROUND((($H70/Basis!$E$2)/((TaH-TrH)*1.163))*Basis!$E$5,IF(Basis!$E$1=1,0,IF(Basis!$E$1=2,2)))</f>
        <v>0.27</v>
      </c>
      <c r="J70" s="83">
        <f>ROUND(INDEX($AC70:$AG70,0,FanspeedH)*Basis!$E$4,1)</f>
        <v>100.6</v>
      </c>
      <c r="K70" s="85">
        <f>INDEX($AO70:$AS70,0,FanspeedH)</f>
        <v>10.3</v>
      </c>
      <c r="L70" s="84">
        <f>CHOOSE(Basis!$E$1,$AU70*(I70*3600/Basis!$E$5)^$AV70*Basis!$E$6/Basis!$E$9,$AU70*(I70/Basis!$E$5)^$AV70*Basis!$E$6/Basis!$E$9)</f>
        <v>7.7501471813689563E-2</v>
      </c>
      <c r="M70" s="85">
        <f>INDEX($AI70:$AM70,0,FanspeedH)</f>
        <v>0</v>
      </c>
      <c r="N70" s="222">
        <f>(($BB70*U_C^4+$BA70*U_C^3+$AZ70*U_C^2+$AY70*U_C+$AX70)*((((TaC-TrC)/LN((TaC-TlC)/(TrC-TlC)))/((16-18)/LN((16-27)/(18-27))))^1))*Basis!$E$2*$AA$4*Glycol</f>
        <v>1168.3015326987493</v>
      </c>
      <c r="O70" s="108">
        <f>(($N70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1318.4718865346442</v>
      </c>
      <c r="P70" s="123">
        <f>ROUND((($O70/Basis!$E$2)/((TrC-TaC)*1.163))*Basis!$E$5,IF(Basis!$E$1=1,0,IF(Basis!$E$1=2,2)))</f>
        <v>0.26</v>
      </c>
      <c r="Q70" s="83">
        <f>IF(N70=0,0,ROUND(INDEX($AC70:$AG70,0,FanspeedC)*Basis!$E$4,1))</f>
        <v>100.6</v>
      </c>
      <c r="R70" s="85">
        <f>IF(N70=0,0,INDEX($AO70:$AS70,0,FanspeedC))</f>
        <v>10.3</v>
      </c>
      <c r="S70" s="84">
        <f>CHOOSE(Basis!$E$1,$BD70*(P70*3600/Basis!$E$5)^$BE70*Basis!$E$6/Basis!$E$9,$BD70*(P70/Basis!$E$5)^$BE70*Basis!$E$6/Basis!$E$9)</f>
        <v>7.2374041860212818E-2</v>
      </c>
      <c r="T70" s="85">
        <f>IF(N70=0,0,INDEX($AI70:$AM70,0,FanspeedC))</f>
        <v>0</v>
      </c>
      <c r="U70" s="109">
        <v>1</v>
      </c>
      <c r="V70" s="68"/>
      <c r="W70" s="217">
        <v>361.3522797245796</v>
      </c>
      <c r="X70" s="217">
        <v>203.12988403023203</v>
      </c>
      <c r="Y70" s="217">
        <v>-50.901906972048394</v>
      </c>
      <c r="Z70" s="217">
        <v>6.2288044399788918</v>
      </c>
      <c r="AA70" s="217">
        <v>-0.24292209682737784</v>
      </c>
      <c r="AB70" s="68"/>
      <c r="AC70" s="69">
        <v>171</v>
      </c>
      <c r="AD70" s="69">
        <v>137</v>
      </c>
      <c r="AE70" s="69">
        <v>107</v>
      </c>
      <c r="AF70" s="69">
        <v>67</v>
      </c>
      <c r="AG70" s="69">
        <v>27</v>
      </c>
      <c r="AH70" s="68"/>
      <c r="AI70" s="70"/>
      <c r="AJ70" s="70"/>
      <c r="AK70" s="70"/>
      <c r="AL70" s="70"/>
      <c r="AM70" s="70"/>
      <c r="AN70" s="68"/>
      <c r="AO70" s="71">
        <v>10.3</v>
      </c>
      <c r="AP70" s="71">
        <v>6.3</v>
      </c>
      <c r="AQ70" s="71">
        <v>3.6</v>
      </c>
      <c r="AR70" s="71">
        <v>2.2000000000000002</v>
      </c>
      <c r="AS70" s="71">
        <v>1.6</v>
      </c>
      <c r="AT70" s="68"/>
      <c r="AU70" s="101">
        <v>1.3263547865279744E-4</v>
      </c>
      <c r="AV70" s="103">
        <v>1.8136893271096062</v>
      </c>
      <c r="AW70" s="68"/>
      <c r="AX70" s="109">
        <v>122.85501458041243</v>
      </c>
      <c r="AY70" s="109">
        <v>4.1514201576003273</v>
      </c>
      <c r="AZ70" s="109">
        <v>1.8516402222660224</v>
      </c>
      <c r="BA70" s="109">
        <v>-0.10047556370896396</v>
      </c>
      <c r="BB70" s="109">
        <v>0</v>
      </c>
      <c r="BC70" s="68"/>
      <c r="BD70" s="101">
        <v>1.3263547865279744E-4</v>
      </c>
      <c r="BE70" s="103">
        <v>1.8136893271096062</v>
      </c>
      <c r="BF70" s="68"/>
      <c r="BG70" s="49" t="s">
        <v>15</v>
      </c>
      <c r="BH70" s="50" t="s">
        <v>73</v>
      </c>
    </row>
    <row r="71" spans="1:60" ht="15" x14ac:dyDescent="0.25">
      <c r="A71" s="72" t="s">
        <v>21</v>
      </c>
      <c r="B71" s="43" t="s">
        <v>48</v>
      </c>
      <c r="C71" s="44" t="s">
        <v>3328</v>
      </c>
      <c r="D71" s="45">
        <f>ROUND(MID(Briza12!$C71,6,3)/Basis!$E$3,1)</f>
        <v>21.7</v>
      </c>
      <c r="E71" s="45">
        <f>ROUND(MID(Briza12!$C71,9,3)/Basis!$E$3,1)</f>
        <v>37.4</v>
      </c>
      <c r="F71" s="46" t="s">
        <v>50</v>
      </c>
      <c r="G71" s="45">
        <f>ROUND(14/Basis!$E$3,1)</f>
        <v>5.5</v>
      </c>
      <c r="H71" s="221">
        <f>(($AA71*U_H^4+$Z71*U_H^3+$Y71*U_H^2+$X71*U_H+$W71)*((((TaH-TrH)/LN((TaH-TlH)/(TrH-TlH)))/((75-65)/LN((75-20)/(65-20))))^1))*Basis!$E$2*$AA$4*Glycol</f>
        <v>4447.1713561228753</v>
      </c>
      <c r="I71" s="123">
        <f>ROUND((($H71/Basis!$E$2)/((TaH-TrH)*1.163))*Basis!$E$5,IF(Basis!$E$1=1,0,IF(Basis!$E$1=2,2)))</f>
        <v>0.44</v>
      </c>
      <c r="J71" s="83">
        <f>ROUND(INDEX($AC71:$AG71,0,FanspeedH)*Basis!$E$4,1)</f>
        <v>151.30000000000001</v>
      </c>
      <c r="K71" s="85">
        <f>INDEX($AO71:$AS71,0,FanspeedH)</f>
        <v>15.6</v>
      </c>
      <c r="L71" s="84">
        <f>CHOOSE(Basis!$E$1,$AU71*(I71*3600/Basis!$E$5)^$AV71*Basis!$E$6/Basis!$E$9,$AU71*(I71/Basis!$E$5)^$AV71*Basis!$E$6/Basis!$E$9)</f>
        <v>0.24520091399482327</v>
      </c>
      <c r="M71" s="85">
        <f>INDEX($AI71:$AM71,0,FanspeedH)</f>
        <v>0</v>
      </c>
      <c r="N71" s="222">
        <f>(($BB71*U_C^4+$BA71*U_C^3+$AZ71*U_C^2+$AY71*U_C+$AX71)*((((TaC-TrC)/LN((TaC-TlC)/(TrC-TlC)))/((16-18)/LN((16-27)/(18-27))))^1))*Basis!$E$2*$AA$4*Glycol</f>
        <v>1933.9591979641939</v>
      </c>
      <c r="O71" s="108">
        <f>(($N71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2182.5451399783205</v>
      </c>
      <c r="P71" s="123">
        <f>ROUND((($O71/Basis!$E$2)/((TrC-TaC)*1.163))*Basis!$E$5,IF(Basis!$E$1=1,0,IF(Basis!$E$1=2,2)))</f>
        <v>0.44</v>
      </c>
      <c r="Q71" s="83">
        <f>IF(N71=0,0,ROUND(INDEX($AC71:$AG71,0,FanspeedC)*Basis!$E$4,1))</f>
        <v>151.30000000000001</v>
      </c>
      <c r="R71" s="85">
        <f>IF(N71=0,0,INDEX($AO71:$AS71,0,FanspeedC))</f>
        <v>15.6</v>
      </c>
      <c r="S71" s="84">
        <f>CHOOSE(Basis!$E$1,$BD71*(P71*3600/Basis!$E$5)^$BE71*Basis!$E$6/Basis!$E$9,$BD71*(P71/Basis!$E$5)^$BE71*Basis!$E$6/Basis!$E$9)</f>
        <v>0.24520091399482327</v>
      </c>
      <c r="T71" s="85">
        <f>IF(N71=0,0,INDEX($AI71:$AM71,0,FanspeedC))</f>
        <v>0</v>
      </c>
      <c r="U71" s="110">
        <v>1</v>
      </c>
      <c r="V71" s="74"/>
      <c r="W71" s="218">
        <v>758.53531193271272</v>
      </c>
      <c r="X71" s="218">
        <v>185.13171418104602</v>
      </c>
      <c r="Y71" s="218">
        <v>-41.886569073423779</v>
      </c>
      <c r="Z71" s="218">
        <v>5.1948232625655573</v>
      </c>
      <c r="AA71" s="218">
        <v>-0.18030344638520918</v>
      </c>
      <c r="AB71" s="74"/>
      <c r="AC71" s="75">
        <v>257</v>
      </c>
      <c r="AD71" s="75">
        <v>228</v>
      </c>
      <c r="AE71" s="75">
        <v>168</v>
      </c>
      <c r="AF71" s="75">
        <v>123</v>
      </c>
      <c r="AG71" s="75">
        <v>72</v>
      </c>
      <c r="AH71" s="74"/>
      <c r="AI71" s="76"/>
      <c r="AJ71" s="76"/>
      <c r="AK71" s="76"/>
      <c r="AL71" s="76"/>
      <c r="AM71" s="76"/>
      <c r="AN71" s="74"/>
      <c r="AO71" s="77">
        <v>15.6</v>
      </c>
      <c r="AP71" s="77">
        <v>10</v>
      </c>
      <c r="AQ71" s="77">
        <v>5.9</v>
      </c>
      <c r="AR71" s="77">
        <v>3.4</v>
      </c>
      <c r="AS71" s="77">
        <v>2.1</v>
      </c>
      <c r="AT71" s="74"/>
      <c r="AU71" s="102">
        <v>1.6747942882275273E-4</v>
      </c>
      <c r="AV71" s="104">
        <v>1.8208138694468972</v>
      </c>
      <c r="AW71" s="74"/>
      <c r="AX71" s="110">
        <v>192.26108685256855</v>
      </c>
      <c r="AY71" s="110">
        <v>12.859546260831442</v>
      </c>
      <c r="AZ71" s="110">
        <v>1.9707367773017559</v>
      </c>
      <c r="BA71" s="110">
        <v>-0.10565020591365754</v>
      </c>
      <c r="BB71" s="110">
        <v>0</v>
      </c>
      <c r="BC71" s="74"/>
      <c r="BD71" s="102">
        <v>1.6747942882275273E-4</v>
      </c>
      <c r="BE71" s="104">
        <v>1.8208138694468972</v>
      </c>
      <c r="BF71" s="74"/>
      <c r="BG71" s="47" t="s">
        <v>15</v>
      </c>
      <c r="BH71" s="48" t="s">
        <v>75</v>
      </c>
    </row>
    <row r="72" spans="1:60" ht="15" x14ac:dyDescent="0.25">
      <c r="A72" s="72" t="s">
        <v>21</v>
      </c>
      <c r="B72" s="43" t="s">
        <v>48</v>
      </c>
      <c r="C72" s="44" t="s">
        <v>3329</v>
      </c>
      <c r="D72" s="45">
        <f>ROUND(MID(Briza12!$C72,6,3)/Basis!$E$3,1)</f>
        <v>21.7</v>
      </c>
      <c r="E72" s="45">
        <f>ROUND(MID(Briza12!$C72,9,3)/Basis!$E$3,1)</f>
        <v>49.2</v>
      </c>
      <c r="F72" s="46" t="s">
        <v>50</v>
      </c>
      <c r="G72" s="45">
        <f>ROUND(14/Basis!$E$3,1)</f>
        <v>5.5</v>
      </c>
      <c r="H72" s="221">
        <f>(($AA72*U_H^4+$Z72*U_H^3+$Y72*U_H^2+$X72*U_H+$W72)*((((TaH-TrH)/LN((TaH-TlH)/(TrH-TlH)))/((75-65)/LN((75-20)/(65-20))))^1))*Basis!$E$2*$AA$4*Glycol</f>
        <v>7061.9522078843665</v>
      </c>
      <c r="I72" s="123">
        <f>ROUND((($H72/Basis!$E$2)/((TaH-TrH)*1.163))*Basis!$E$5,IF(Basis!$E$1=1,0,IF(Basis!$E$1=2,2)))</f>
        <v>0.71</v>
      </c>
      <c r="J72" s="83">
        <f>ROUND(INDEX($AC72:$AG72,0,FanspeedH)*Basis!$E$4,1)</f>
        <v>226.6</v>
      </c>
      <c r="K72" s="85">
        <f>INDEX($AO72:$AS72,0,FanspeedH)</f>
        <v>22.3</v>
      </c>
      <c r="L72" s="84">
        <f>CHOOSE(Basis!$E$1,$AU72*(I72*3600/Basis!$E$5)^$AV72*Basis!$E$6/Basis!$E$9,$AU72*(I72/Basis!$E$5)^$AV72*Basis!$E$6/Basis!$E$9)</f>
        <v>0.79135842625118913</v>
      </c>
      <c r="M72" s="85">
        <f>INDEX($AI72:$AM72,0,FanspeedH)</f>
        <v>0</v>
      </c>
      <c r="N72" s="222">
        <f>(($BB72*U_C^4+$BA72*U_C^3+$AZ72*U_C^2+$AY72*U_C+$AX72)*((((TaC-TrC)/LN((TaC-TlC)/(TrC-TlC)))/((16-18)/LN((16-27)/(18-27))))^1))*Basis!$E$2*$AA$4*Glycol</f>
        <v>3084.3924913955038</v>
      </c>
      <c r="O72" s="108">
        <f>(($N72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3480.8520515671794</v>
      </c>
      <c r="P72" s="123">
        <f>ROUND((($O72/Basis!$E$2)/((TrC-TaC)*1.163))*Basis!$E$5,IF(Basis!$E$1=1,0,IF(Basis!$E$1=2,2)))</f>
        <v>0.7</v>
      </c>
      <c r="Q72" s="83">
        <f>IF(N72=0,0,ROUND(INDEX($AC72:$AG72,0,FanspeedC)*Basis!$E$4,1))</f>
        <v>226.6</v>
      </c>
      <c r="R72" s="85">
        <f>IF(N72=0,0,INDEX($AO72:$AS72,0,FanspeedC))</f>
        <v>22.3</v>
      </c>
      <c r="S72" s="84">
        <f>CHOOSE(Basis!$E$1,$BD72*(P72*3600/Basis!$E$5)^$BE72*Basis!$E$6/Basis!$E$9,$BD72*(P72/Basis!$E$5)^$BE72*Basis!$E$6/Basis!$E$9)</f>
        <v>0.77127678962789126</v>
      </c>
      <c r="T72" s="85">
        <f>IF(N72=0,0,INDEX($AI72:$AM72,0,FanspeedC))</f>
        <v>0</v>
      </c>
      <c r="U72" s="109">
        <v>1</v>
      </c>
      <c r="V72" s="68"/>
      <c r="W72" s="217">
        <v>1146.7350020499362</v>
      </c>
      <c r="X72" s="217">
        <v>307.8019217888039</v>
      </c>
      <c r="Y72" s="217">
        <v>-62.125133979184696</v>
      </c>
      <c r="Z72" s="217">
        <v>7.5452088334921381</v>
      </c>
      <c r="AA72" s="217">
        <v>-0.26784940737322377</v>
      </c>
      <c r="AB72" s="68"/>
      <c r="AC72" s="69">
        <v>385</v>
      </c>
      <c r="AD72" s="69">
        <v>328</v>
      </c>
      <c r="AE72" s="69">
        <v>260</v>
      </c>
      <c r="AF72" s="69">
        <v>183</v>
      </c>
      <c r="AG72" s="69">
        <v>112</v>
      </c>
      <c r="AH72" s="68"/>
      <c r="AI72" s="70"/>
      <c r="AJ72" s="70"/>
      <c r="AK72" s="70"/>
      <c r="AL72" s="70"/>
      <c r="AM72" s="70"/>
      <c r="AN72" s="68"/>
      <c r="AO72" s="71">
        <v>22.3</v>
      </c>
      <c r="AP72" s="71">
        <v>12.8</v>
      </c>
      <c r="AQ72" s="71">
        <v>7.5</v>
      </c>
      <c r="AR72" s="71">
        <v>4.2</v>
      </c>
      <c r="AS72" s="71">
        <v>2.2999999999999998</v>
      </c>
      <c r="AT72" s="68"/>
      <c r="AU72" s="101">
        <v>2.364386444169621E-4</v>
      </c>
      <c r="AV72" s="103">
        <v>1.8120794599034276</v>
      </c>
      <c r="AW72" s="68"/>
      <c r="AX72" s="109">
        <v>292.49539559526102</v>
      </c>
      <c r="AY72" s="109">
        <v>23.256603866829582</v>
      </c>
      <c r="AZ72" s="109">
        <v>3.3370194060807656</v>
      </c>
      <c r="BA72" s="109">
        <v>-0.20123481722729702</v>
      </c>
      <c r="BB72" s="109">
        <v>0</v>
      </c>
      <c r="BC72" s="68"/>
      <c r="BD72" s="101">
        <v>2.364386444169621E-4</v>
      </c>
      <c r="BE72" s="103">
        <v>1.8120794599034276</v>
      </c>
      <c r="BF72" s="68"/>
      <c r="BG72" s="49" t="s">
        <v>15</v>
      </c>
      <c r="BH72" s="50" t="s">
        <v>36</v>
      </c>
    </row>
    <row r="73" spans="1:60" ht="15" x14ac:dyDescent="0.25">
      <c r="A73" s="72" t="s">
        <v>21</v>
      </c>
      <c r="B73" s="43" t="s">
        <v>48</v>
      </c>
      <c r="C73" s="44" t="s">
        <v>3330</v>
      </c>
      <c r="D73" s="45">
        <f>ROUND(MID(Briza12!$C73,6,3)/Basis!$E$3,1)</f>
        <v>21.7</v>
      </c>
      <c r="E73" s="45">
        <f>ROUND(MID(Briza12!$C73,9,3)/Basis!$E$3,1)</f>
        <v>57.1</v>
      </c>
      <c r="F73" s="46" t="s">
        <v>50</v>
      </c>
      <c r="G73" s="45">
        <f>ROUND(14/Basis!$E$3,1)</f>
        <v>5.5</v>
      </c>
      <c r="H73" s="221">
        <f>(($AA73*U_H^4+$Z73*U_H^3+$Y73*U_H^2+$X73*U_H+$W73)*((((TaH-TrH)/LN((TaH-TlH)/(TrH-TlH)))/((75-65)/LN((75-20)/(65-20))))^1))*Basis!$E$2*$AA$4*Glycol</f>
        <v>8808.1546497787676</v>
      </c>
      <c r="I73" s="123">
        <f>ROUND((($H73/Basis!$E$2)/((TaH-TrH)*1.163))*Basis!$E$5,IF(Basis!$E$1=1,0,IF(Basis!$E$1=2,2)))</f>
        <v>0.88</v>
      </c>
      <c r="J73" s="83">
        <f>ROUND(INDEX($AC73:$AG73,0,FanspeedH)*Basis!$E$4,1)</f>
        <v>271.89999999999998</v>
      </c>
      <c r="K73" s="85">
        <f>INDEX($AO73:$AS73,0,FanspeedH)</f>
        <v>27.3</v>
      </c>
      <c r="L73" s="84">
        <f>CHOOSE(Basis!$E$1,$AU73*(I73*3600/Basis!$E$5)^$AV73*Basis!$E$6/Basis!$E$9,$AU73*(I73/Basis!$E$5)^$AV73*Basis!$E$6/Basis!$E$9)</f>
        <v>1.3658485579270339</v>
      </c>
      <c r="M73" s="85">
        <f>INDEX($AI73:$AM73,0,FanspeedH)</f>
        <v>0</v>
      </c>
      <c r="N73" s="222">
        <f>(($BB73*U_C^4+$BA73*U_C^3+$AZ73*U_C^2+$AY73*U_C+$AX73)*((((TaC-TrC)/LN((TaC-TlC)/(TrC-TlC)))/((16-18)/LN((16-27)/(18-27))))^1))*Basis!$E$2*$AA$4*Glycol</f>
        <v>3847.5123575709235</v>
      </c>
      <c r="O73" s="108">
        <f>(($N73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4342.061304014348</v>
      </c>
      <c r="P73" s="123">
        <f>ROUND((($O73/Basis!$E$2)/((TrC-TaC)*1.163))*Basis!$E$5,IF(Basis!$E$1=1,0,IF(Basis!$E$1=2,2)))</f>
        <v>0.87</v>
      </c>
      <c r="Q73" s="83">
        <f>IF(N73=0,0,ROUND(INDEX($AC73:$AG73,0,FanspeedC)*Basis!$E$4,1))</f>
        <v>271.89999999999998</v>
      </c>
      <c r="R73" s="85">
        <f>IF(N73=0,0,INDEX($AO73:$AS73,0,FanspeedC))</f>
        <v>27.3</v>
      </c>
      <c r="S73" s="84">
        <f>CHOOSE(Basis!$E$1,$BD73*(P73*3600/Basis!$E$5)^$BE73*Basis!$E$6/Basis!$E$9,$BD73*(P73/Basis!$E$5)^$BE73*Basis!$E$6/Basis!$E$9)</f>
        <v>1.3378017579485639</v>
      </c>
      <c r="T73" s="85">
        <f>IF(N73=0,0,INDEX($AI73:$AM73,0,FanspeedC))</f>
        <v>0</v>
      </c>
      <c r="U73" s="110">
        <v>1</v>
      </c>
      <c r="V73" s="78"/>
      <c r="W73" s="218">
        <v>1716.3174609491957</v>
      </c>
      <c r="X73" s="218">
        <v>140.53405061422265</v>
      </c>
      <c r="Y73" s="218">
        <v>-6.6531513749360087</v>
      </c>
      <c r="Z73" s="218">
        <v>1.1344894569539592</v>
      </c>
      <c r="AA73" s="218">
        <v>0</v>
      </c>
      <c r="AB73" s="78"/>
      <c r="AC73" s="75">
        <v>462</v>
      </c>
      <c r="AD73" s="75">
        <v>393</v>
      </c>
      <c r="AE73" s="75">
        <v>304</v>
      </c>
      <c r="AF73" s="75">
        <v>228</v>
      </c>
      <c r="AG73" s="75">
        <v>126</v>
      </c>
      <c r="AH73" s="78"/>
      <c r="AI73" s="76"/>
      <c r="AJ73" s="76"/>
      <c r="AK73" s="76"/>
      <c r="AL73" s="76"/>
      <c r="AM73" s="76"/>
      <c r="AN73" s="78"/>
      <c r="AO73" s="77">
        <v>27.3</v>
      </c>
      <c r="AP73" s="77">
        <v>16</v>
      </c>
      <c r="AQ73" s="77">
        <v>9.1</v>
      </c>
      <c r="AR73" s="77">
        <v>5.2</v>
      </c>
      <c r="AS73" s="77">
        <v>2.7</v>
      </c>
      <c r="AT73" s="78"/>
      <c r="AU73" s="102">
        <v>2.7169905751214276E-4</v>
      </c>
      <c r="AV73" s="104">
        <v>1.8154391549649329</v>
      </c>
      <c r="AW73" s="74"/>
      <c r="AX73" s="110">
        <v>414.98793571736508</v>
      </c>
      <c r="AY73" s="110">
        <v>9.2616573879342088</v>
      </c>
      <c r="AZ73" s="110">
        <v>6.5041472755333203</v>
      </c>
      <c r="BA73" s="110">
        <v>-0.33780933907453081</v>
      </c>
      <c r="BB73" s="110">
        <v>0</v>
      </c>
      <c r="BC73" s="78"/>
      <c r="BD73" s="102">
        <v>2.7169905751214276E-4</v>
      </c>
      <c r="BE73" s="104">
        <v>1.8154391549649329</v>
      </c>
      <c r="BF73" s="78"/>
      <c r="BG73" s="47" t="s">
        <v>15</v>
      </c>
      <c r="BH73" s="48" t="s">
        <v>40</v>
      </c>
    </row>
  </sheetData>
  <sheetProtection algorithmName="SHA-512" hashValue="5MI6PKLf4DlyIKpRiT988dfpqR6tzA5HjvpD2nscS/pg0F0rvOaAAlvO02fVnq3I1k7clhsiVly6qatumVklqQ==" saltValue="1Z1cXNXXUPh8mJfV+OxrcQ==" spinCount="100000" sheet="1" sort="0" autoFilter="0"/>
  <autoFilter ref="A9:BH73"/>
  <mergeCells count="8">
    <mergeCell ref="A1:C3"/>
    <mergeCell ref="T7:T8"/>
    <mergeCell ref="H8:I8"/>
    <mergeCell ref="AX8:BB8"/>
    <mergeCell ref="N8:O8"/>
    <mergeCell ref="AX7:BB7"/>
    <mergeCell ref="W8:AA8"/>
    <mergeCell ref="A4:A5"/>
  </mergeCells>
  <dataValidations count="6">
    <dataValidation type="decimal" allowBlank="1" showErrorMessage="1" errorTitle="ERROR" error="Entering T between 95 and 180ºF" sqref="AC3">
      <formula1>95</formula1>
      <formula2>210</formula2>
    </dataValidation>
    <dataValidation type="decimal" allowBlank="1" showErrorMessage="1" errorTitle="ERROR" error="Air T between 50 and 77ºF" promptTitle="Omgevingº:" prompt="Geheel getal tussen 10 en 25" sqref="AC5">
      <formula1>50</formula1>
      <formula2>77</formula2>
    </dataValidation>
    <dataValidation type="list" allowBlank="1" showInputMessage="1" showErrorMessage="1" sqref="O7 I7">
      <formula1>$W$9:$AA$9</formula1>
    </dataValidation>
    <dataValidation type="list" allowBlank="1" showInputMessage="1" showErrorMessage="1" sqref="AC7">
      <formula1>#REF!</formula1>
    </dataValidation>
    <dataValidation type="decimal" operator="lessThan" allowBlank="1" showErrorMessage="1" errorTitle="ERROR" error="Return T must &lt;  Entering T" promptTitle="Retourº:" prompt="Altijd lager dan Aanvoerº" sqref="AC4">
      <formula1>AC3</formula1>
    </dataValidation>
    <dataValidation type="custom" allowBlank="1" showInputMessage="1" showErrorMessage="1" errorTitle="try again" error="&lt;200ºF" sqref="I2">
      <formula1>I2&lt;200</formula1>
    </dataValidation>
  </dataValidations>
  <printOptions horizontalCentered="1"/>
  <pageMargins left="0" right="0" top="0" bottom="0.19685039370078741" header="0" footer="0"/>
  <pageSetup paperSize="9" scale="27" fitToHeight="1000" orientation="landscape" blackAndWhite="1" r:id="rId1"/>
  <headerFooter>
    <oddFooter>&amp;R&amp;8&amp;D 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1600200</xdr:colOff>
                    <xdr:row>3</xdr:row>
                    <xdr:rowOff>9525</xdr:rowOff>
                  </from>
                  <to>
                    <xdr:col>5</xdr:col>
                    <xdr:colOff>9525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5">
    <pageSetUpPr fitToPage="1"/>
  </sheetPr>
  <dimension ref="A1:CK67"/>
  <sheetViews>
    <sheetView showRowColHeaders="0" showZeros="0" zoomScaleNormal="100" workbookViewId="0">
      <pane ySplit="9" topLeftCell="A10" activePane="bottomLeft" state="frozen"/>
      <selection activeCell="I2" sqref="I2"/>
      <selection pane="bottomLeft" activeCell="I2" sqref="I2"/>
    </sheetView>
  </sheetViews>
  <sheetFormatPr defaultColWidth="0" defaultRowHeight="12.75" customHeight="1" zeroHeight="1" x14ac:dyDescent="0.2"/>
  <cols>
    <col min="1" max="1" width="19.7109375" style="1" customWidth="1"/>
    <col min="2" max="3" width="24.140625" style="1" customWidth="1"/>
    <col min="4" max="5" width="6.7109375" style="7" customWidth="1"/>
    <col min="6" max="6" width="6.7109375" style="6" customWidth="1"/>
    <col min="7" max="7" width="6.7109375" style="7" customWidth="1"/>
    <col min="8" max="10" width="8.7109375" style="2" customWidth="1"/>
    <col min="11" max="12" width="11.28515625" style="2" customWidth="1"/>
    <col min="13" max="13" width="10.7109375" style="2" hidden="1" customWidth="1"/>
    <col min="14" max="14" width="9.7109375" style="2" customWidth="1"/>
    <col min="15" max="17" width="8.7109375" style="10" customWidth="1"/>
    <col min="18" max="19" width="11.28515625" style="10" customWidth="1"/>
    <col min="20" max="20" width="10.7109375" style="10" hidden="1" customWidth="1"/>
    <col min="21" max="23" width="7.7109375" style="7" hidden="1" customWidth="1"/>
    <col min="24" max="24" width="8.85546875" style="7" hidden="1" customWidth="1"/>
    <col min="25" max="25" width="7.7109375" style="2" hidden="1" customWidth="1"/>
    <col min="26" max="26" width="7.7109375" hidden="1" customWidth="1"/>
    <col min="27" max="30" width="7.7109375" style="7" hidden="1" customWidth="1"/>
    <col min="31" max="31" width="7.7109375" style="2" hidden="1" customWidth="1"/>
    <col min="32" max="32" width="7.7109375" hidden="1" customWidth="1"/>
    <col min="33" max="37" width="7.7109375" style="2" hidden="1" customWidth="1"/>
    <col min="38" max="38" width="7.7109375" hidden="1" customWidth="1"/>
    <col min="39" max="43" width="7.7109375" style="38" hidden="1" customWidth="1"/>
    <col min="44" max="44" width="7.7109375" hidden="1" customWidth="1"/>
    <col min="45" max="49" width="7.7109375" style="2" hidden="1" customWidth="1"/>
    <col min="50" max="50" width="7.7109375" hidden="1" customWidth="1"/>
    <col min="51" max="51" width="22.7109375" hidden="1" customWidth="1"/>
    <col min="52" max="52" width="22.5703125" hidden="1" customWidth="1"/>
    <col min="53" max="53" width="7.7109375" hidden="1" customWidth="1"/>
    <col min="54" max="58" width="7.7109375" style="10" hidden="1" customWidth="1"/>
    <col min="59" max="59" width="7.7109375" hidden="1" customWidth="1"/>
    <col min="60" max="60" width="21.85546875" style="2" hidden="1" customWidth="1"/>
    <col min="61" max="61" width="20.42578125" style="2" hidden="1" customWidth="1"/>
    <col min="62" max="62" width="7.140625" style="3" hidden="1" customWidth="1"/>
    <col min="63" max="63" width="6" style="3" hidden="1" customWidth="1"/>
    <col min="64" max="64" width="20.42578125" style="3" hidden="1" customWidth="1"/>
    <col min="65" max="65" width="7.7109375" style="3" hidden="1" customWidth="1"/>
    <col min="66" max="66" width="10.5703125" style="3" hidden="1" customWidth="1"/>
    <col min="67" max="67" width="7.7109375" style="3" hidden="1" customWidth="1"/>
    <col min="68" max="68" width="3" style="3" hidden="1" customWidth="1"/>
    <col min="69" max="69" width="10.5703125" style="3" hidden="1" customWidth="1"/>
    <col min="70" max="70" width="9.28515625" style="3" hidden="1" customWidth="1"/>
    <col min="71" max="71" width="10.5703125" style="3" hidden="1" customWidth="1"/>
    <col min="72" max="16384" width="7.7109375" style="3" hidden="1"/>
  </cols>
  <sheetData>
    <row r="1" spans="1:86" ht="13.5" customHeight="1" x14ac:dyDescent="0.25">
      <c r="A1" s="247" t="str">
        <f>Basis!A1</f>
        <v>Selection Model 2022-10</v>
      </c>
      <c r="B1" s="247"/>
      <c r="C1" s="247"/>
      <c r="D1" s="21"/>
      <c r="E1" s="21"/>
      <c r="F1" s="22"/>
      <c r="G1" s="21"/>
      <c r="H1" s="25"/>
      <c r="I1" s="26"/>
      <c r="J1" s="27"/>
      <c r="K1" s="27"/>
      <c r="L1" s="27"/>
      <c r="M1" s="27"/>
      <c r="N1" s="25"/>
      <c r="O1" s="27"/>
      <c r="P1" s="27"/>
      <c r="Q1" s="27"/>
      <c r="R1" s="27"/>
      <c r="S1" s="27"/>
      <c r="T1" s="91"/>
      <c r="BA1" s="87" t="s">
        <v>101</v>
      </c>
      <c r="CF1"/>
      <c r="CG1"/>
      <c r="CH1"/>
    </row>
    <row r="2" spans="1:86" ht="15" customHeight="1" x14ac:dyDescent="0.25">
      <c r="A2" s="247"/>
      <c r="B2" s="247"/>
      <c r="C2" s="247"/>
      <c r="D2" s="139" t="s">
        <v>94</v>
      </c>
      <c r="E2" s="140"/>
      <c r="F2" s="141"/>
      <c r="G2" s="24"/>
      <c r="H2" s="146" t="s">
        <v>26</v>
      </c>
      <c r="I2" s="8">
        <v>140</v>
      </c>
      <c r="J2" s="28" t="str">
        <f>CHOOSE(Basis!$E$1,"EWT ºC","EWT ºF")</f>
        <v>EWT ºF</v>
      </c>
      <c r="K2" s="28"/>
      <c r="L2" s="28"/>
      <c r="M2" s="28"/>
      <c r="N2" s="9" t="s">
        <v>26</v>
      </c>
      <c r="O2" s="8">
        <v>45</v>
      </c>
      <c r="P2" s="28" t="str">
        <f>CHOOSE(Basis!$E$1,"EWT ºC","EWT ºF")</f>
        <v>EWT ºF</v>
      </c>
      <c r="Q2" s="28"/>
      <c r="R2" s="28"/>
      <c r="S2" s="28"/>
      <c r="T2" s="91"/>
      <c r="U2" s="202">
        <f>IF(Basis!$E$1=1,O2,(O2-32)/1.8)</f>
        <v>7.2222222222222223</v>
      </c>
      <c r="AE2" s="7"/>
      <c r="AF2" s="7"/>
      <c r="AG2" s="7"/>
      <c r="AI2" s="7"/>
      <c r="AJ2" s="35"/>
      <c r="AK2" s="34"/>
      <c r="AL2" s="54"/>
      <c r="AM2" s="36"/>
      <c r="AN2" s="35"/>
      <c r="AO2" s="36"/>
      <c r="AP2" s="36"/>
      <c r="AQ2" s="36"/>
      <c r="AR2" s="54"/>
      <c r="AS2" s="36"/>
      <c r="AT2" s="35"/>
      <c r="AU2" s="36"/>
      <c r="AV2" s="36"/>
      <c r="AW2" s="36"/>
      <c r="AX2" s="54"/>
      <c r="AY2" s="54"/>
      <c r="AZ2" s="54"/>
      <c r="BA2" t="s">
        <v>102</v>
      </c>
      <c r="BB2" s="86">
        <v>16</v>
      </c>
      <c r="BC2" s="89" t="s">
        <v>95</v>
      </c>
      <c r="BF2" s="89"/>
      <c r="BH2" s="13"/>
      <c r="BI2" s="81"/>
      <c r="CF2"/>
      <c r="CG2"/>
      <c r="CH2"/>
    </row>
    <row r="3" spans="1:86" ht="15" customHeight="1" x14ac:dyDescent="0.25">
      <c r="A3" s="247"/>
      <c r="B3" s="247"/>
      <c r="C3" s="247"/>
      <c r="D3" s="142" t="str">
        <f>"Altitude in "&amp;CHOOSE(Basis!E1,"m¹","ft")</f>
        <v>Altitude in ft</v>
      </c>
      <c r="E3" s="143"/>
      <c r="F3" s="138"/>
      <c r="G3" s="24"/>
      <c r="H3" s="146" t="s">
        <v>24</v>
      </c>
      <c r="I3" s="8">
        <v>120</v>
      </c>
      <c r="J3" s="28" t="str">
        <f>CHOOSE(Basis!$E$1,"LWT ºC","LWT ºF")</f>
        <v>LWT ºF</v>
      </c>
      <c r="K3" s="28"/>
      <c r="L3" s="28"/>
      <c r="M3" s="28"/>
      <c r="N3" s="9" t="s">
        <v>24</v>
      </c>
      <c r="O3" s="8">
        <v>55</v>
      </c>
      <c r="P3" s="28" t="str">
        <f>CHOOSE(Basis!$E$1,"LWT ºC","LWT ºF")</f>
        <v>LWT ºF</v>
      </c>
      <c r="Q3" s="28"/>
      <c r="R3" s="28"/>
      <c r="S3" s="28"/>
      <c r="T3" s="91"/>
      <c r="U3" s="202">
        <f>IF(Basis!$E$1=1,O3,(O3-32)/1.8)</f>
        <v>12.777777777777777</v>
      </c>
      <c r="X3" s="135" t="s">
        <v>3236</v>
      </c>
      <c r="Z3" s="7" t="s">
        <v>3334</v>
      </c>
      <c r="AA3" s="219">
        <f>IF(Basis!$E$1=1,$F$3/1000,IF(Basis!$E$1=2,$F$3*0.0003048))</f>
        <v>0</v>
      </c>
      <c r="AG3" s="55"/>
      <c r="AI3" s="7"/>
      <c r="AJ3" s="35"/>
      <c r="AK3" s="55"/>
      <c r="AL3" s="54"/>
      <c r="AM3" s="36"/>
      <c r="AN3" s="35"/>
      <c r="AO3" s="36"/>
      <c r="AP3" s="36"/>
      <c r="AQ3" s="36"/>
      <c r="AR3" s="54"/>
      <c r="AS3" s="37"/>
      <c r="AT3" s="35"/>
      <c r="AU3" s="37"/>
      <c r="AV3" s="37"/>
      <c r="AW3" s="37"/>
      <c r="AX3" s="54"/>
      <c r="AY3" s="54"/>
      <c r="AZ3" s="54"/>
      <c r="BA3" t="s">
        <v>103</v>
      </c>
      <c r="BB3" s="86">
        <v>18</v>
      </c>
      <c r="BC3" s="89" t="s">
        <v>95</v>
      </c>
      <c r="BD3" s="54" t="s">
        <v>3336</v>
      </c>
      <c r="BE3" s="54">
        <f>LN(0.5)/LN(2.718282)+(17.62*TlC/(243.12+TlC))</f>
        <v>0.88328810462221918</v>
      </c>
      <c r="BF3" s="89"/>
      <c r="BH3" s="13"/>
      <c r="BI3" s="81"/>
      <c r="CF3"/>
      <c r="CG3"/>
      <c r="CH3"/>
    </row>
    <row r="4" spans="1:86" ht="15" customHeight="1" x14ac:dyDescent="0.25">
      <c r="A4" s="248" t="str">
        <f>CHOOSE(Basis!$E$1,"Metric","Imperial")</f>
        <v>Imperial</v>
      </c>
      <c r="B4" s="96"/>
      <c r="C4" s="17"/>
      <c r="D4" s="137">
        <v>1</v>
      </c>
      <c r="E4" s="144"/>
      <c r="F4" s="53"/>
      <c r="G4" s="23" t="s">
        <v>88</v>
      </c>
      <c r="H4" s="146" t="s">
        <v>2967</v>
      </c>
      <c r="I4" s="8">
        <v>65</v>
      </c>
      <c r="J4" s="28" t="str">
        <f>CHOOSE(Basis!$E$1,"AT ºC","AT ºF")</f>
        <v>AT ºF</v>
      </c>
      <c r="K4" s="28"/>
      <c r="L4" s="28"/>
      <c r="M4" s="28"/>
      <c r="N4" s="9" t="s">
        <v>27</v>
      </c>
      <c r="O4" s="8">
        <v>75</v>
      </c>
      <c r="P4" s="28" t="str">
        <f>CHOOSE(Basis!$E$1,"AT ºC","AT ºF")</f>
        <v>AT ºF</v>
      </c>
      <c r="Q4" s="28"/>
      <c r="R4" s="28"/>
      <c r="S4" s="28"/>
      <c r="T4" s="91"/>
      <c r="U4" s="202">
        <f>IF(Basis!$E$1=1,O4,(O4-32)/1.8)</f>
        <v>23.888888888888889</v>
      </c>
      <c r="X4" s="207">
        <f>IF(Basis!E1=1,(101325*(1-((0.0065*$F$3)/(288.15)))^((9.81*0.028964)/(8.31447*0.0065))),IF(Basis!E1=2,(101325*(1-((0.0065*($F$3*0.3048))/(288.15)))^((9.81*0.028964)/(8.31447*0.0065)))))</f>
        <v>101325</v>
      </c>
      <c r="Z4" s="7" t="s">
        <v>3335</v>
      </c>
      <c r="AA4" s="220">
        <f>-(0.000265264729874266*$AA$3^6)+(0.000957582908802335*$AA$3^5)+(0.00470250661483425*$AA$3^4)-(0.0298716926548353*$AA$3^3)+(0.0557086806557086*$AA$3^2)-(0.0484008125693582*$AA$3)+1</f>
        <v>1</v>
      </c>
      <c r="AG4" s="55"/>
      <c r="AI4" s="7"/>
      <c r="AJ4" s="35"/>
      <c r="AK4" s="55"/>
      <c r="AL4" s="54"/>
      <c r="AM4" s="36"/>
      <c r="AN4" s="35"/>
      <c r="AO4" s="36"/>
      <c r="AP4" s="36"/>
      <c r="AQ4" s="36"/>
      <c r="AT4" s="35"/>
      <c r="AU4" s="37"/>
      <c r="AV4" s="37"/>
      <c r="AW4" s="37"/>
      <c r="AX4" s="54"/>
      <c r="AY4" s="54"/>
      <c r="AZ4" s="54"/>
      <c r="BA4" t="s">
        <v>104</v>
      </c>
      <c r="BB4" s="86">
        <v>27</v>
      </c>
      <c r="BC4" s="89" t="s">
        <v>95</v>
      </c>
      <c r="BD4" s="54" t="s">
        <v>3337</v>
      </c>
      <c r="BE4" s="216">
        <f>(237.7*BE3)/(17.27-BE3)</f>
        <v>12.812673085924242</v>
      </c>
      <c r="BF4" s="89"/>
      <c r="BH4" s="13"/>
      <c r="BI4" s="81"/>
      <c r="CF4"/>
      <c r="CG4"/>
      <c r="CH4"/>
    </row>
    <row r="5" spans="1:86" ht="15" customHeight="1" x14ac:dyDescent="0.25">
      <c r="A5" s="248"/>
      <c r="B5" s="96"/>
      <c r="C5" s="17"/>
      <c r="D5" s="23"/>
      <c r="E5" s="21"/>
      <c r="F5" s="22"/>
      <c r="G5" s="21"/>
      <c r="H5" s="29" t="s">
        <v>25</v>
      </c>
      <c r="I5" s="31">
        <f>(I2+I3)/2</f>
        <v>130</v>
      </c>
      <c r="J5" s="28" t="str">
        <f>CHOOSE(Basis!$E$1,"ºC","ºF")</f>
        <v>ºF</v>
      </c>
      <c r="K5" s="28"/>
      <c r="L5" s="28"/>
      <c r="M5" s="28"/>
      <c r="N5" s="29" t="s">
        <v>25</v>
      </c>
      <c r="O5" s="31">
        <f>(O2+O3)/2</f>
        <v>50</v>
      </c>
      <c r="P5" s="28" t="str">
        <f>CHOOSE(Basis!$E$1,"ºC","ºF")</f>
        <v>ºF</v>
      </c>
      <c r="Q5" s="28"/>
      <c r="R5" s="28"/>
      <c r="S5" s="28"/>
      <c r="T5" s="91"/>
      <c r="U5" s="211">
        <f>(TaC-TrC)/LN((TaC-TlC)/(TrC-TlC))</f>
        <v>-13.701685902091285</v>
      </c>
      <c r="V5" s="211">
        <f>(16-18)/LN((16-27)/(18-27))</f>
        <v>-9.9665773091279419</v>
      </c>
      <c r="AG5" s="55"/>
      <c r="AI5" s="7"/>
      <c r="AJ5" s="35"/>
      <c r="AK5" s="55"/>
      <c r="AL5" s="54"/>
      <c r="AM5" s="36"/>
      <c r="AN5" s="35"/>
      <c r="AO5" s="36"/>
      <c r="AP5" s="36"/>
      <c r="AQ5" s="36"/>
      <c r="AT5" s="35"/>
      <c r="AU5" s="37"/>
      <c r="AV5" s="37"/>
      <c r="AW5" s="37"/>
      <c r="AX5" s="54"/>
      <c r="AY5" s="54"/>
      <c r="AZ5" s="54"/>
      <c r="BA5" s="54"/>
      <c r="BB5" s="88">
        <f>(BB2+BB3)/2-BB4</f>
        <v>-10</v>
      </c>
      <c r="BC5" s="34"/>
      <c r="BD5" s="11"/>
      <c r="BE5" s="11"/>
      <c r="BF5" s="11"/>
      <c r="BG5" s="56"/>
      <c r="BH5" s="13"/>
      <c r="BI5" s="81"/>
      <c r="CF5"/>
      <c r="CG5"/>
      <c r="CH5"/>
    </row>
    <row r="6" spans="1:86" ht="15" customHeight="1" x14ac:dyDescent="0.25">
      <c r="A6" s="96"/>
      <c r="B6" s="33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9" t="s">
        <v>97</v>
      </c>
      <c r="O6" s="198">
        <v>0.5</v>
      </c>
      <c r="P6" s="28"/>
      <c r="Q6" s="28"/>
      <c r="R6" s="28"/>
      <c r="S6" s="28"/>
      <c r="T6" s="92"/>
      <c r="AG6" s="39"/>
      <c r="AI6" s="7"/>
      <c r="AJ6" s="35"/>
      <c r="AK6" s="39"/>
      <c r="AL6" s="54"/>
      <c r="AN6" s="35"/>
      <c r="AO6" s="36"/>
      <c r="AP6" s="36"/>
      <c r="AQ6" s="36"/>
      <c r="AR6" s="54"/>
      <c r="AS6" s="37"/>
      <c r="AT6" s="35"/>
      <c r="AU6" s="37"/>
      <c r="AV6" s="37"/>
      <c r="AW6" s="37"/>
      <c r="AX6" s="54"/>
      <c r="AY6" s="54"/>
      <c r="AZ6" s="54"/>
      <c r="BA6" s="54"/>
      <c r="BB6" s="34"/>
      <c r="BC6" s="34"/>
      <c r="BD6" s="13"/>
      <c r="BE6" s="13"/>
      <c r="BF6" s="35"/>
      <c r="BG6" s="56"/>
      <c r="BH6" s="13"/>
      <c r="BI6" s="81"/>
      <c r="CF6"/>
      <c r="CG6"/>
      <c r="CH6"/>
    </row>
    <row r="7" spans="1:86" ht="15" customHeight="1" x14ac:dyDescent="0.25">
      <c r="A7" s="18"/>
      <c r="B7" s="33"/>
      <c r="C7" s="17"/>
      <c r="D7" s="21"/>
      <c r="E7" s="21"/>
      <c r="F7" s="22"/>
      <c r="G7" s="21"/>
      <c r="H7" s="30" t="s">
        <v>96</v>
      </c>
      <c r="I7" s="80">
        <v>1</v>
      </c>
      <c r="J7" s="27"/>
      <c r="K7" s="27"/>
      <c r="L7" s="27"/>
      <c r="M7" s="27"/>
      <c r="N7" s="30" t="s">
        <v>96</v>
      </c>
      <c r="O7" s="80">
        <v>1</v>
      </c>
      <c r="P7" s="105"/>
      <c r="Q7" s="27"/>
      <c r="R7" s="27"/>
      <c r="S7" s="27"/>
      <c r="T7" s="259" t="s">
        <v>106</v>
      </c>
      <c r="U7" s="12"/>
      <c r="V7" s="12"/>
      <c r="W7" s="12"/>
      <c r="X7" s="12"/>
      <c r="Y7" s="12"/>
      <c r="Z7" s="54"/>
      <c r="AA7" s="12"/>
      <c r="AB7" s="12"/>
      <c r="AC7" s="12"/>
      <c r="AD7" s="12"/>
      <c r="AE7" s="12"/>
      <c r="AF7" s="54"/>
      <c r="AG7" s="57"/>
      <c r="AH7" s="90"/>
      <c r="AI7" s="55"/>
      <c r="AJ7" s="35"/>
      <c r="AK7" s="57"/>
      <c r="AL7" s="54"/>
      <c r="AM7" s="36"/>
      <c r="AN7" s="35"/>
      <c r="AO7" s="36"/>
      <c r="AP7" s="36"/>
      <c r="AQ7" s="36"/>
      <c r="AR7" s="54"/>
      <c r="AS7" s="36"/>
      <c r="AT7" s="35"/>
      <c r="AU7" s="36"/>
      <c r="AV7" s="36"/>
      <c r="AW7" s="36"/>
      <c r="AX7" s="54"/>
      <c r="AY7" s="54"/>
      <c r="AZ7" s="54"/>
      <c r="BA7" s="54"/>
      <c r="BB7" s="251" t="s">
        <v>110</v>
      </c>
      <c r="BC7" s="252"/>
      <c r="BD7" s="252"/>
      <c r="BE7" s="252"/>
      <c r="BF7" s="253"/>
      <c r="BG7" s="56"/>
      <c r="BH7" s="13"/>
      <c r="BI7" s="81"/>
      <c r="CF7"/>
      <c r="CG7"/>
      <c r="CH7"/>
    </row>
    <row r="8" spans="1:86" s="5" customFormat="1" ht="23.25" customHeight="1" x14ac:dyDescent="0.2">
      <c r="A8" s="181" t="str">
        <f>Basis!C1</f>
        <v>LA/2022-10-12</v>
      </c>
      <c r="B8" s="19"/>
      <c r="C8" s="20"/>
      <c r="D8" s="42" t="s">
        <v>86</v>
      </c>
      <c r="E8" s="15" t="s">
        <v>84</v>
      </c>
      <c r="F8" s="16"/>
      <c r="G8" s="15" t="s">
        <v>85</v>
      </c>
      <c r="H8" s="261" t="str">
        <f>I2&amp;"/"&amp;I3&amp;"/"&amp;I4&amp;"º"</f>
        <v>140/120/65º</v>
      </c>
      <c r="I8" s="261"/>
      <c r="J8" s="27"/>
      <c r="K8" s="27"/>
      <c r="L8" s="27"/>
      <c r="M8" s="179"/>
      <c r="N8" s="262" t="str">
        <f>O2&amp;"/"&amp;O3&amp;"/"&amp;O4&amp;"º ("&amp;RH*100&amp;"% RH)"</f>
        <v>45/55/75º (50% RH)</v>
      </c>
      <c r="O8" s="263"/>
      <c r="P8" s="27"/>
      <c r="Q8" s="27"/>
      <c r="R8" s="27"/>
      <c r="S8" s="27"/>
      <c r="T8" s="260"/>
      <c r="U8" s="266" t="s">
        <v>118</v>
      </c>
      <c r="V8" s="267"/>
      <c r="W8" s="267"/>
      <c r="X8" s="267"/>
      <c r="Y8" s="268"/>
      <c r="AA8" s="264" t="s">
        <v>49</v>
      </c>
      <c r="AB8" s="264"/>
      <c r="AC8" s="264"/>
      <c r="AD8" s="264"/>
      <c r="AE8" s="265"/>
      <c r="AG8" s="58" t="s">
        <v>93</v>
      </c>
      <c r="AH8" s="90"/>
      <c r="AI8" s="40"/>
      <c r="AJ8" s="35"/>
      <c r="AK8" s="40"/>
      <c r="AM8" s="58" t="s">
        <v>92</v>
      </c>
      <c r="AN8" s="35"/>
      <c r="AO8" s="36"/>
      <c r="AP8" s="36"/>
      <c r="AQ8" s="36"/>
      <c r="AS8" s="58" t="s">
        <v>140</v>
      </c>
      <c r="AT8" s="35"/>
      <c r="AU8" s="36"/>
      <c r="AV8" s="36"/>
      <c r="AW8" s="36"/>
      <c r="AY8" s="58" t="s">
        <v>4138</v>
      </c>
      <c r="AZ8" s="35"/>
      <c r="BB8" s="251" t="s">
        <v>100</v>
      </c>
      <c r="BC8" s="252"/>
      <c r="BD8" s="252"/>
      <c r="BE8" s="252"/>
      <c r="BF8" s="253"/>
      <c r="BH8" s="117" t="s">
        <v>4138</v>
      </c>
      <c r="BI8" s="35"/>
      <c r="BJ8" s="41"/>
      <c r="CF8"/>
      <c r="CG8"/>
      <c r="CH8"/>
    </row>
    <row r="9" spans="1:86" s="4" customFormat="1" ht="63.75" customHeight="1" x14ac:dyDescent="0.2">
      <c r="A9" s="59" t="s">
        <v>22</v>
      </c>
      <c r="B9" s="59" t="s">
        <v>0</v>
      </c>
      <c r="C9" s="59" t="s">
        <v>87</v>
      </c>
      <c r="D9" s="60" t="str">
        <f>"H in "&amp;CHOOSE(Basis!$E$1,"cm","inch")</f>
        <v>H in inch</v>
      </c>
      <c r="E9" s="60" t="str">
        <f>"L in "&amp;CHOOSE(Basis!$E$1,"cm","inch")</f>
        <v>L in inch</v>
      </c>
      <c r="F9" s="61" t="s">
        <v>1</v>
      </c>
      <c r="G9" s="60" t="str">
        <f>"D in "&amp;CHOOSE(Basis!$E$1,"cm","inch")</f>
        <v>D in inch</v>
      </c>
      <c r="H9" s="60" t="str">
        <f>"Heating in "&amp;CHOOSE(Basis!$E$1,"Watt","BTU/h")</f>
        <v>Heating in BTU/h</v>
      </c>
      <c r="I9" s="60" t="str">
        <f>"Flow in "&amp;CHOOSE(Basis!$E$1,"l/s","GPM")</f>
        <v>Flow in GPM</v>
      </c>
      <c r="J9" s="60" t="str">
        <f>"Airflow in "&amp;CHOOSE(Basis!$E$1,"m³/h", "CFM")</f>
        <v>Airflow in CFM</v>
      </c>
      <c r="K9" s="94" t="s">
        <v>2980</v>
      </c>
      <c r="L9" s="60" t="str">
        <f>"Water side pressure drop "&amp;CHOOSE(Basis!$E$1,"[kPa]","ftH2O")</f>
        <v>Water side pressure drop ftH2O</v>
      </c>
      <c r="M9" s="60" t="s">
        <v>105</v>
      </c>
      <c r="N9" s="93" t="str">
        <f>"Sensible Cooling in "&amp;CHOOSE(Basis!$E$1,"Watt","BTU/h")</f>
        <v>Sensible Cooling in BTU/h</v>
      </c>
      <c r="O9" s="63" t="str">
        <f>"Total Cooling in "&amp;CHOOSE(Basis!$E$1,"Watt","BTU/h")</f>
        <v>Total Cooling in BTU/h</v>
      </c>
      <c r="P9" s="63" t="str">
        <f>"Flow in "&amp;CHOOSE(Basis!$E$1,"l/s","GPM")</f>
        <v>Flow in GPM</v>
      </c>
      <c r="Q9" s="62" t="str">
        <f>"Airflow in "&amp;CHOOSE(Basis!$E$1,"m³/h", "CFM")</f>
        <v>Airflow in CFM</v>
      </c>
      <c r="R9" s="95" t="s">
        <v>2980</v>
      </c>
      <c r="S9" s="62" t="str">
        <f>"Water side pressure drop "&amp;CHOOSE(Basis!$E$1,"[kPa]","ftH2O")</f>
        <v>Water side pressure drop ftH2O</v>
      </c>
      <c r="T9" s="107" t="s">
        <v>105</v>
      </c>
      <c r="U9" s="212">
        <v>1</v>
      </c>
      <c r="V9" s="212">
        <v>0.8</v>
      </c>
      <c r="W9" s="212">
        <v>0.6</v>
      </c>
      <c r="X9" s="212">
        <v>0.4</v>
      </c>
      <c r="Y9" s="212">
        <v>0.2</v>
      </c>
      <c r="Z9" s="64" t="s">
        <v>99</v>
      </c>
      <c r="AA9" s="79">
        <v>1</v>
      </c>
      <c r="AB9" s="79">
        <v>0.8</v>
      </c>
      <c r="AC9" s="79">
        <v>0.6</v>
      </c>
      <c r="AD9" s="79">
        <v>0.4</v>
      </c>
      <c r="AE9" s="79">
        <v>0.2</v>
      </c>
      <c r="AF9" s="64" t="s">
        <v>99</v>
      </c>
      <c r="AG9" s="79">
        <v>1</v>
      </c>
      <c r="AH9" s="79">
        <v>0.8</v>
      </c>
      <c r="AI9" s="79">
        <v>0.6</v>
      </c>
      <c r="AJ9" s="79">
        <v>0.4</v>
      </c>
      <c r="AK9" s="79">
        <v>0.2</v>
      </c>
      <c r="AL9" s="64" t="s">
        <v>99</v>
      </c>
      <c r="AM9" s="79">
        <v>1</v>
      </c>
      <c r="AN9" s="79">
        <v>0.8</v>
      </c>
      <c r="AO9" s="79">
        <v>0.6</v>
      </c>
      <c r="AP9" s="79">
        <v>0.4</v>
      </c>
      <c r="AQ9" s="79">
        <v>0.2</v>
      </c>
      <c r="AR9" s="64" t="s">
        <v>99</v>
      </c>
      <c r="AS9" s="79">
        <v>1</v>
      </c>
      <c r="AT9" s="79">
        <v>0.8</v>
      </c>
      <c r="AU9" s="79">
        <v>0.6</v>
      </c>
      <c r="AV9" s="79">
        <v>0.4</v>
      </c>
      <c r="AW9" s="79">
        <v>0.2</v>
      </c>
      <c r="AX9" s="64" t="s">
        <v>99</v>
      </c>
      <c r="AY9" s="79" t="s">
        <v>108</v>
      </c>
      <c r="AZ9" s="79" t="s">
        <v>109</v>
      </c>
      <c r="BA9" s="64" t="s">
        <v>99</v>
      </c>
      <c r="BB9" s="79">
        <v>1</v>
      </c>
      <c r="BC9" s="79">
        <v>0.8</v>
      </c>
      <c r="BD9" s="79">
        <v>0.6</v>
      </c>
      <c r="BE9" s="79">
        <v>0.4</v>
      </c>
      <c r="BF9" s="79">
        <v>0.2</v>
      </c>
      <c r="BG9" s="64" t="s">
        <v>99</v>
      </c>
      <c r="BH9" s="116" t="s">
        <v>108</v>
      </c>
      <c r="BI9" s="116" t="s">
        <v>109</v>
      </c>
      <c r="BJ9" s="64" t="s">
        <v>99</v>
      </c>
      <c r="BK9" s="65" t="s">
        <v>28</v>
      </c>
      <c r="BL9" s="66" t="s">
        <v>2</v>
      </c>
      <c r="BM9" s="32"/>
      <c r="CF9"/>
      <c r="CG9"/>
      <c r="CH9"/>
    </row>
    <row r="10" spans="1:86" ht="15" x14ac:dyDescent="0.25">
      <c r="A10" s="72" t="s">
        <v>119</v>
      </c>
      <c r="B10" s="145" t="s">
        <v>2964</v>
      </c>
      <c r="C10" s="44" t="s">
        <v>120</v>
      </c>
      <c r="D10" s="45">
        <v>3.34</v>
      </c>
      <c r="E10" s="45">
        <f>ROUND(MID('Clima Canal'!$C10,9,3)/Basis!$E$3,1)</f>
        <v>28.3</v>
      </c>
      <c r="F10" s="106" t="s">
        <v>51</v>
      </c>
      <c r="G10" s="45">
        <f>ROUND(18/Basis!$E$3,1)</f>
        <v>7.1</v>
      </c>
      <c r="H10" s="223">
        <f>ROUND(INDEX($AA10:$AE10,0,FanspeedH)*Basis!$E$2*((TaH-TrH)/LN(1/µ)/Basis!$E$7)*Glycol*$AA$4,0)</f>
        <v>2637</v>
      </c>
      <c r="I10" s="123">
        <f>IF(Basis!$E$1=1,ROUND(H10/((TaH-TrH)*1.163)/3600,3),ROUND(H10/(500*(TaH-TrH)),2))</f>
        <v>0.26</v>
      </c>
      <c r="J10" s="83">
        <f>ROUND(INDEX($AG10:$AK10,0,FanspeedH)*Basis!$E$4,IF(Basis!$E$1=1,0,1))</f>
        <v>46.5</v>
      </c>
      <c r="K10" s="85">
        <f>INDEX($AS10:$AW10,0,FanspeedH)</f>
        <v>3</v>
      </c>
      <c r="L10" s="84">
        <f>CHOOSE(Basis!$E$1,$AY10*(I10*3600/Basis!$E$5)^$AZ10*Basis!$E$6/Basis!$E$9,$AY10*(I10/Basis!$E$5)^$AZ10*Basis!$E$6/Basis!$E$9)</f>
        <v>0.14568402535377606</v>
      </c>
      <c r="M10" s="85">
        <f>INDEX($AM10:$AQ10,0,FanspeedH)</f>
        <v>0</v>
      </c>
      <c r="N10" s="45">
        <f>IF((TaC+TrC)/2&gt;Td,ROUND((INDEX($BB10:$BF10,0,FanspeedC)*($U$5/$V$5)^N_c)*Basis!$E$2*Glycol*$AA$4,0),0)</f>
        <v>0</v>
      </c>
      <c r="O10" s="108">
        <f>(($N10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0</v>
      </c>
      <c r="P10" s="123">
        <f>IF(Basis!$E$1=1,ROUND(O10/(($O$3-$O$2)*1.163)/3600,3),ROUND(O10/(500*($O$3-$O$2)),2))</f>
        <v>0</v>
      </c>
      <c r="Q10" s="83">
        <f>IF(N10=0,0,ROUND(INDEX($AG10:$AK10,0,FanspeedC)*Basis!$E$4,1))</f>
        <v>0</v>
      </c>
      <c r="R10" s="84">
        <f>IF(N10=0,0,ROUND(INDEX($AS10:$AW10,0,FanspeedC)/'Clima Canal'!$Q10,2))</f>
        <v>0</v>
      </c>
      <c r="S10" s="84">
        <f>CHOOSE(Basis!$E$1,$AY10*(P10*3600/Basis!$E$5)^$AZ10*Basis!$E$6/Basis!$E$9,$AY10*(P10/Basis!$E$5)^$AZ10*Basis!$E$6/Basis!$E$9)</f>
        <v>0</v>
      </c>
      <c r="T10" s="85">
        <f>IF(N10=0,0,INDEX($AM10:$AQ10,0,FanspeedC))</f>
        <v>0</v>
      </c>
      <c r="U10" s="109">
        <v>0.91</v>
      </c>
      <c r="V10" s="109">
        <v>0.87</v>
      </c>
      <c r="W10" s="109">
        <v>0.79</v>
      </c>
      <c r="X10" s="109">
        <v>0.68</v>
      </c>
      <c r="Y10" s="109">
        <v>0.6</v>
      </c>
      <c r="Z10" s="68"/>
      <c r="AA10" s="67">
        <v>1075</v>
      </c>
      <c r="AB10" s="67">
        <v>891</v>
      </c>
      <c r="AC10" s="67">
        <v>699</v>
      </c>
      <c r="AD10" s="67">
        <v>496</v>
      </c>
      <c r="AE10" s="67">
        <v>276</v>
      </c>
      <c r="AF10" s="68"/>
      <c r="AG10" s="69">
        <v>79</v>
      </c>
      <c r="AH10" s="69">
        <v>68</v>
      </c>
      <c r="AI10" s="69">
        <v>52</v>
      </c>
      <c r="AJ10" s="69">
        <v>37</v>
      </c>
      <c r="AK10" s="69">
        <v>24</v>
      </c>
      <c r="AL10" s="68"/>
      <c r="AM10" s="70"/>
      <c r="AN10" s="70"/>
      <c r="AO10" s="70"/>
      <c r="AP10" s="70"/>
      <c r="AQ10" s="70"/>
      <c r="AR10" s="68"/>
      <c r="AS10" s="71">
        <v>3</v>
      </c>
      <c r="AT10" s="71">
        <v>2.1</v>
      </c>
      <c r="AU10" s="71">
        <v>1.3</v>
      </c>
      <c r="AV10" s="71">
        <v>0.8</v>
      </c>
      <c r="AW10" s="71">
        <v>0.5</v>
      </c>
      <c r="AX10" s="68"/>
      <c r="AY10" s="99">
        <v>2.5649818987149339E-4</v>
      </c>
      <c r="AZ10" s="97">
        <v>1.8235155847906248</v>
      </c>
      <c r="BA10" s="68"/>
      <c r="BB10" s="67">
        <v>185</v>
      </c>
      <c r="BC10" s="67">
        <v>144</v>
      </c>
      <c r="BD10" s="67">
        <v>104</v>
      </c>
      <c r="BE10" s="67">
        <v>66</v>
      </c>
      <c r="BF10" s="67">
        <v>30</v>
      </c>
      <c r="BG10" s="67"/>
      <c r="BH10" s="67"/>
      <c r="BI10" s="67"/>
      <c r="BJ10" s="68"/>
      <c r="BK10" s="49" t="s">
        <v>128</v>
      </c>
      <c r="BL10" s="50" t="s">
        <v>129</v>
      </c>
      <c r="CF10"/>
      <c r="CG10"/>
      <c r="CH10"/>
    </row>
    <row r="11" spans="1:86" ht="15" x14ac:dyDescent="0.25">
      <c r="A11" s="72" t="s">
        <v>119</v>
      </c>
      <c r="B11" s="145" t="s">
        <v>2964</v>
      </c>
      <c r="C11" s="44" t="s">
        <v>121</v>
      </c>
      <c r="D11" s="45">
        <v>3.34</v>
      </c>
      <c r="E11" s="45">
        <f>ROUND(MID('Clima Canal'!$C11,9,3)/Basis!$E$3,1)</f>
        <v>42.5</v>
      </c>
      <c r="F11" s="46" t="s">
        <v>51</v>
      </c>
      <c r="G11" s="45">
        <f>ROUND(18/Basis!$E$3,1)</f>
        <v>7.1</v>
      </c>
      <c r="H11" s="223">
        <f>ROUND(INDEX($AA11:$AE11,0,FanspeedH)*Basis!$E$2*((TaH-TrH)/LN(1/µ)/Basis!$E$7)*Glycol*$AA$4,0)</f>
        <v>5431</v>
      </c>
      <c r="I11" s="123">
        <f>IF(Basis!$E$1=1,ROUND(H11/((TaH-TrH)*1.163)/3600,3),ROUND(H11/(500*(TaH-TrH)),2))</f>
        <v>0.54</v>
      </c>
      <c r="J11" s="83">
        <f>ROUND(INDEX($AG11:$AK11,0,FanspeedH)*Basis!$E$4,IF(Basis!$E$1=1,0,1))</f>
        <v>94.2</v>
      </c>
      <c r="K11" s="85">
        <f>INDEX($AS11:$AW11,0,FanspeedH)</f>
        <v>7.1</v>
      </c>
      <c r="L11" s="84">
        <f>CHOOSE(Basis!$E$1,$AY11*(I11*3600/Basis!$E$5)^$AZ11*Basis!$E$6/Basis!$E$9,$AY11*(I11/Basis!$E$5)^$AZ11*Basis!$E$6/Basis!$E$9)</f>
        <v>0.86575787920794112</v>
      </c>
      <c r="M11" s="85">
        <f>INDEX($AM11:$AQ11,0,FanspeedH)</f>
        <v>0</v>
      </c>
      <c r="N11" s="45">
        <f>IF((TaC+TrC)/2&gt;Td,ROUND((INDEX($BB11:$BF11,0,FanspeedC)*($U$5/$V$5)^N_c)*Basis!$E$2*Glycol*$AA$4,0),0)</f>
        <v>0</v>
      </c>
      <c r="O11" s="108">
        <f>(($N11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0</v>
      </c>
      <c r="P11" s="123">
        <f>IF(Basis!$E$1=1,ROUND(O11/(($O$3-$O$2)*1.163)/3600,3),ROUND(O11/(500*($O$3-$O$2)),2))</f>
        <v>0</v>
      </c>
      <c r="Q11" s="83">
        <f>IF(N11=0,0,ROUND(INDEX($AG11:$AK11,0,FanspeedC)*Basis!$E$4,1))</f>
        <v>0</v>
      </c>
      <c r="R11" s="84">
        <f>IF(N11=0,0,ROUND(INDEX($AS11:$AW11,0,FanspeedC)/'Clima Canal'!$Q11,2))</f>
        <v>0</v>
      </c>
      <c r="S11" s="84">
        <f>CHOOSE(Basis!$E$1,$AY11*(P11*3600/Basis!$E$5)^$AZ11*Basis!$E$6/Basis!$E$9,$AY11*(P11/Basis!$E$5)^$AZ11*Basis!$E$6/Basis!$E$9)</f>
        <v>0</v>
      </c>
      <c r="T11" s="85">
        <f>IF(N11=0,0,INDEX($AM11:$AQ11,0,FanspeedC))</f>
        <v>0</v>
      </c>
      <c r="U11" s="110">
        <v>0.91</v>
      </c>
      <c r="V11" s="110">
        <v>0.87</v>
      </c>
      <c r="W11" s="110">
        <v>0.79</v>
      </c>
      <c r="X11" s="110">
        <v>0.68</v>
      </c>
      <c r="Y11" s="110">
        <v>0.6</v>
      </c>
      <c r="Z11" s="74"/>
      <c r="AA11" s="73">
        <v>2214</v>
      </c>
      <c r="AB11" s="73">
        <v>1834</v>
      </c>
      <c r="AC11" s="73">
        <v>1438</v>
      </c>
      <c r="AD11" s="73">
        <v>1021</v>
      </c>
      <c r="AE11" s="73">
        <v>569</v>
      </c>
      <c r="AF11" s="74"/>
      <c r="AG11" s="75">
        <v>160</v>
      </c>
      <c r="AH11" s="75">
        <v>125</v>
      </c>
      <c r="AI11" s="75">
        <v>98</v>
      </c>
      <c r="AJ11" s="75">
        <v>75</v>
      </c>
      <c r="AK11" s="75">
        <v>42</v>
      </c>
      <c r="AL11" s="74"/>
      <c r="AM11" s="76"/>
      <c r="AN11" s="76"/>
      <c r="AO11" s="76"/>
      <c r="AP11" s="76"/>
      <c r="AQ11" s="76"/>
      <c r="AR11" s="74"/>
      <c r="AS11" s="77">
        <v>7.1</v>
      </c>
      <c r="AT11" s="77">
        <v>4.5999999999999996</v>
      </c>
      <c r="AU11" s="77">
        <v>2.7</v>
      </c>
      <c r="AV11" s="77">
        <v>1.3</v>
      </c>
      <c r="AW11" s="77">
        <v>0.6</v>
      </c>
      <c r="AX11" s="74"/>
      <c r="AY11" s="100">
        <v>4.0202009009986008E-4</v>
      </c>
      <c r="AZ11" s="98">
        <v>1.8235155847906248</v>
      </c>
      <c r="BA11" s="74"/>
      <c r="BB11" s="73">
        <v>381</v>
      </c>
      <c r="BC11" s="73">
        <v>296</v>
      </c>
      <c r="BD11" s="73">
        <v>214</v>
      </c>
      <c r="BE11" s="73">
        <v>135</v>
      </c>
      <c r="BF11" s="73">
        <v>62</v>
      </c>
      <c r="BG11" s="73"/>
      <c r="BH11" s="73"/>
      <c r="BI11" s="73"/>
      <c r="BJ11" s="74"/>
      <c r="BK11" s="47" t="s">
        <v>128</v>
      </c>
      <c r="BL11" s="48" t="s">
        <v>130</v>
      </c>
      <c r="CF11"/>
      <c r="CG11"/>
      <c r="CH11"/>
    </row>
    <row r="12" spans="1:86" ht="15" x14ac:dyDescent="0.25">
      <c r="A12" s="72" t="s">
        <v>119</v>
      </c>
      <c r="B12" s="145" t="s">
        <v>2964</v>
      </c>
      <c r="C12" s="44" t="s">
        <v>122</v>
      </c>
      <c r="D12" s="45">
        <v>3.34</v>
      </c>
      <c r="E12" s="45">
        <f>ROUND(MID('Clima Canal'!$C12,9,3)/Basis!$E$3,1)</f>
        <v>56.7</v>
      </c>
      <c r="F12" s="46" t="s">
        <v>51</v>
      </c>
      <c r="G12" s="45">
        <f>ROUND(18/Basis!$E$3,1)</f>
        <v>7.1</v>
      </c>
      <c r="H12" s="223">
        <f>ROUND(INDEX($AA12:$AE12,0,FanspeedH)*Basis!$E$2*((TaH-TrH)/LN(1/µ)/Basis!$E$7)*Glycol*$AA$4,0)</f>
        <v>8534</v>
      </c>
      <c r="I12" s="123">
        <f>IF(Basis!$E$1=1,ROUND(H12/((TaH-TrH)*1.163)/3600,3),ROUND(H12/(500*(TaH-TrH)),2))</f>
        <v>0.85</v>
      </c>
      <c r="J12" s="83">
        <f>ROUND(INDEX($AG12:$AK12,0,FanspeedH)*Basis!$E$4,IF(Basis!$E$1=1,0,1))</f>
        <v>140.69999999999999</v>
      </c>
      <c r="K12" s="85">
        <f>INDEX($AS12:$AW12,0,FanspeedH)</f>
        <v>10.1</v>
      </c>
      <c r="L12" s="84">
        <f>CHOOSE(Basis!$E$1,$AY12*(I12*3600/Basis!$E$5)^$AZ12*Basis!$E$6/Basis!$E$9,$AY12*(I12/Basis!$E$5)^$AZ12*Basis!$E$6/Basis!$E$9)</f>
        <v>2.7608293263430572</v>
      </c>
      <c r="M12" s="85">
        <f>INDEX($AM12:$AQ12,0,FanspeedH)</f>
        <v>0</v>
      </c>
      <c r="N12" s="45">
        <f>IF((TaC+TrC)/2&gt;Td,ROUND((INDEX($BB12:$BF12,0,FanspeedC)*($U$5/$V$5)^N_c)*Basis!$E$2*Glycol*$AA$4,0),0)</f>
        <v>0</v>
      </c>
      <c r="O12" s="108">
        <f>(($N12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0</v>
      </c>
      <c r="P12" s="123">
        <f>IF(Basis!$E$1=1,ROUND(O12/(($O$3-$O$2)*1.163)/3600,3),ROUND(O12/(500*($O$3-$O$2)),2))</f>
        <v>0</v>
      </c>
      <c r="Q12" s="83">
        <f>IF(N12=0,0,ROUND(INDEX($AG12:$AK12,0,FanspeedC)*Basis!$E$4,1))</f>
        <v>0</v>
      </c>
      <c r="R12" s="84">
        <f>IF(N12=0,0,ROUND(INDEX($AS12:$AW12,0,FanspeedC)/'Clima Canal'!$Q12,2))</f>
        <v>0</v>
      </c>
      <c r="S12" s="84">
        <f>CHOOSE(Basis!$E$1,$AY12*(P12*3600/Basis!$E$5)^$AZ12*Basis!$E$6/Basis!$E$9,$AY12*(P12/Basis!$E$5)^$AZ12*Basis!$E$6/Basis!$E$9)</f>
        <v>0</v>
      </c>
      <c r="T12" s="85">
        <f>IF(N12=0,0,INDEX($AM12:$AQ12,0,FanspeedC))</f>
        <v>0</v>
      </c>
      <c r="U12" s="109">
        <v>0.91</v>
      </c>
      <c r="V12" s="109">
        <v>0.87</v>
      </c>
      <c r="W12" s="109">
        <v>0.79</v>
      </c>
      <c r="X12" s="109">
        <v>0.68</v>
      </c>
      <c r="Y12" s="109">
        <v>0.6</v>
      </c>
      <c r="Z12" s="68"/>
      <c r="AA12" s="67">
        <v>3479</v>
      </c>
      <c r="AB12" s="67">
        <v>2881</v>
      </c>
      <c r="AC12" s="67">
        <v>2260</v>
      </c>
      <c r="AD12" s="67">
        <v>1605</v>
      </c>
      <c r="AE12" s="67">
        <v>894</v>
      </c>
      <c r="AF12" s="68"/>
      <c r="AG12" s="69">
        <v>239</v>
      </c>
      <c r="AH12" s="69">
        <v>193</v>
      </c>
      <c r="AI12" s="69">
        <v>150</v>
      </c>
      <c r="AJ12" s="69">
        <v>112</v>
      </c>
      <c r="AK12" s="69">
        <v>66</v>
      </c>
      <c r="AL12" s="68"/>
      <c r="AM12" s="70"/>
      <c r="AN12" s="70"/>
      <c r="AO12" s="70"/>
      <c r="AP12" s="70"/>
      <c r="AQ12" s="70"/>
      <c r="AR12" s="68"/>
      <c r="AS12" s="71">
        <v>10.1</v>
      </c>
      <c r="AT12" s="71">
        <v>6.6</v>
      </c>
      <c r="AU12" s="71">
        <v>4</v>
      </c>
      <c r="AV12" s="71">
        <v>2.1</v>
      </c>
      <c r="AW12" s="71">
        <v>1.1000000000000001</v>
      </c>
      <c r="AX12" s="68"/>
      <c r="AY12" s="99">
        <v>5.6054747775989447E-4</v>
      </c>
      <c r="AZ12" s="97">
        <v>1.8235155847906248</v>
      </c>
      <c r="BA12" s="68"/>
      <c r="BB12" s="67">
        <v>598</v>
      </c>
      <c r="BC12" s="67">
        <v>465</v>
      </c>
      <c r="BD12" s="67">
        <v>336</v>
      </c>
      <c r="BE12" s="67">
        <v>212</v>
      </c>
      <c r="BF12" s="67">
        <v>97</v>
      </c>
      <c r="BG12" s="67"/>
      <c r="BH12" s="67"/>
      <c r="BI12" s="67"/>
      <c r="BJ12" s="68"/>
      <c r="BK12" s="49" t="s">
        <v>128</v>
      </c>
      <c r="BL12" s="50" t="s">
        <v>131</v>
      </c>
      <c r="CF12"/>
      <c r="CG12"/>
      <c r="CH12"/>
    </row>
    <row r="13" spans="1:86" ht="15" x14ac:dyDescent="0.25">
      <c r="A13" s="72" t="s">
        <v>119</v>
      </c>
      <c r="B13" s="145" t="s">
        <v>2964</v>
      </c>
      <c r="C13" s="44" t="s">
        <v>123</v>
      </c>
      <c r="D13" s="45">
        <v>3.34</v>
      </c>
      <c r="E13" s="45">
        <f>ROUND(MID('Clima Canal'!$C13,9,3)/Basis!$E$3,1)</f>
        <v>70.900000000000006</v>
      </c>
      <c r="F13" s="46" t="s">
        <v>51</v>
      </c>
      <c r="G13" s="45">
        <f>ROUND(18/Basis!$E$3,1)</f>
        <v>7.1</v>
      </c>
      <c r="H13" s="223">
        <f>ROUND(INDEX($AA13:$AE13,0,FanspeedH)*Basis!$E$2*((TaH-TrH)/LN(1/µ)/Basis!$E$7)*Glycol*$AA$4,0)</f>
        <v>11637</v>
      </c>
      <c r="I13" s="123">
        <f>IF(Basis!$E$1=1,ROUND(H13/((TaH-TrH)*1.163)/3600,3),ROUND(H13/(500*(TaH-TrH)),2))</f>
        <v>1.1599999999999999</v>
      </c>
      <c r="J13" s="83">
        <f>ROUND(INDEX($AG13:$AK13,0,FanspeedH)*Basis!$E$4,IF(Basis!$E$1=1,0,1))</f>
        <v>188.3</v>
      </c>
      <c r="K13" s="85">
        <f>INDEX($AS13:$AW13,0,FanspeedH)</f>
        <v>14.1</v>
      </c>
      <c r="L13" s="84">
        <f>CHOOSE(Basis!$E$1,$AY13*(I13*3600/Basis!$E$5)^$AZ13*Basis!$E$6/Basis!$E$9,$AY13*(I13/Basis!$E$5)^$AZ13*Basis!$E$6/Basis!$E$9)</f>
        <v>6.4245576986018103</v>
      </c>
      <c r="M13" s="85">
        <f>INDEX($AM13:$AQ13,0,FanspeedH)</f>
        <v>0</v>
      </c>
      <c r="N13" s="45">
        <f>IF((TaC+TrC)/2&gt;Td,ROUND((INDEX($BB13:$BF13,0,FanspeedC)*($U$5/$V$5)^N_c)*Basis!$E$2*Glycol*$AA$4,0),0)</f>
        <v>0</v>
      </c>
      <c r="O13" s="108">
        <f>(($N13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0</v>
      </c>
      <c r="P13" s="123">
        <f>IF(Basis!$E$1=1,ROUND(O13/(($O$3-$O$2)*1.163)/3600,3),ROUND(O13/(500*($O$3-$O$2)),2))</f>
        <v>0</v>
      </c>
      <c r="Q13" s="83">
        <f>IF(N13=0,0,ROUND(INDEX($AG13:$AK13,0,FanspeedC)*Basis!$E$4,1))</f>
        <v>0</v>
      </c>
      <c r="R13" s="84">
        <f>IF(N13=0,0,ROUND(INDEX($AS13:$AW13,0,FanspeedC)/'Clima Canal'!$Q13,2))</f>
        <v>0</v>
      </c>
      <c r="S13" s="84">
        <f>CHOOSE(Basis!$E$1,$AY13*(P13*3600/Basis!$E$5)^$AZ13*Basis!$E$6/Basis!$E$9,$AY13*(P13/Basis!$E$5)^$AZ13*Basis!$E$6/Basis!$E$9)</f>
        <v>0</v>
      </c>
      <c r="T13" s="85">
        <f>IF(N13=0,0,INDEX($AM13:$AQ13,0,FanspeedC))</f>
        <v>0</v>
      </c>
      <c r="U13" s="110">
        <v>0.91</v>
      </c>
      <c r="V13" s="110">
        <v>0.87</v>
      </c>
      <c r="W13" s="110">
        <v>0.79</v>
      </c>
      <c r="X13" s="110">
        <v>0.68</v>
      </c>
      <c r="Y13" s="110">
        <v>0.6</v>
      </c>
      <c r="Z13" s="74"/>
      <c r="AA13" s="73">
        <v>4744</v>
      </c>
      <c r="AB13" s="73">
        <v>3929</v>
      </c>
      <c r="AC13" s="73">
        <v>3082</v>
      </c>
      <c r="AD13" s="73">
        <v>2188</v>
      </c>
      <c r="AE13" s="73">
        <v>1219</v>
      </c>
      <c r="AF13" s="74"/>
      <c r="AG13" s="75">
        <v>320</v>
      </c>
      <c r="AH13" s="75">
        <v>250</v>
      </c>
      <c r="AI13" s="75">
        <v>196</v>
      </c>
      <c r="AJ13" s="75">
        <v>150</v>
      </c>
      <c r="AK13" s="75">
        <v>84</v>
      </c>
      <c r="AL13" s="74"/>
      <c r="AM13" s="76"/>
      <c r="AN13" s="76"/>
      <c r="AO13" s="76"/>
      <c r="AP13" s="76"/>
      <c r="AQ13" s="76"/>
      <c r="AR13" s="74"/>
      <c r="AS13" s="77">
        <v>14.1</v>
      </c>
      <c r="AT13" s="77">
        <v>9.1</v>
      </c>
      <c r="AU13" s="77">
        <v>5.4</v>
      </c>
      <c r="AV13" s="77">
        <v>2.5</v>
      </c>
      <c r="AW13" s="77">
        <v>1.2</v>
      </c>
      <c r="AX13" s="74"/>
      <c r="AY13" s="100">
        <v>7.3989525167788965E-4</v>
      </c>
      <c r="AZ13" s="98">
        <v>1.8235155847906248</v>
      </c>
      <c r="BA13" s="74"/>
      <c r="BB13" s="73">
        <v>816</v>
      </c>
      <c r="BC13" s="73">
        <v>634</v>
      </c>
      <c r="BD13" s="73">
        <v>458</v>
      </c>
      <c r="BE13" s="73">
        <v>290</v>
      </c>
      <c r="BF13" s="73">
        <v>132</v>
      </c>
      <c r="BG13" s="73"/>
      <c r="BH13" s="73"/>
      <c r="BI13" s="73"/>
      <c r="BJ13" s="74"/>
      <c r="BK13" s="47" t="s">
        <v>128</v>
      </c>
      <c r="BL13" s="48" t="s">
        <v>132</v>
      </c>
      <c r="CF13"/>
      <c r="CG13"/>
      <c r="CH13"/>
    </row>
    <row r="14" spans="1:86" ht="15" x14ac:dyDescent="0.25">
      <c r="A14" s="72" t="s">
        <v>119</v>
      </c>
      <c r="B14" s="145" t="s">
        <v>2965</v>
      </c>
      <c r="C14" s="44" t="s">
        <v>124</v>
      </c>
      <c r="D14" s="45">
        <f>ROUND(MID('Clima Canal'!$C14,6,3)/Basis!$E$3,1)</f>
        <v>3.9</v>
      </c>
      <c r="E14" s="45">
        <f>ROUND(MID('Clima Canal'!$C14,9,3)/Basis!$E$3,1)</f>
        <v>28.3</v>
      </c>
      <c r="F14" s="46" t="s">
        <v>51</v>
      </c>
      <c r="G14" s="45">
        <f>ROUND(18/Basis!$E$3,1)</f>
        <v>7.1</v>
      </c>
      <c r="H14" s="223">
        <f>ROUND(INDEX($AA14:$AE14,0,FanspeedH)*Basis!$E$2*((TaH-TrH)/LN(1/µ)/Basis!$E$7)*Glycol*$AA$4,0)</f>
        <v>2637</v>
      </c>
      <c r="I14" s="123">
        <f>IF(Basis!$E$1=1,ROUND(H14/((TaH-TrH)*1.163)/3600,3),ROUND(H14/(500*(TaH-TrH)),2))</f>
        <v>0.26</v>
      </c>
      <c r="J14" s="83">
        <f>ROUND(INDEX($AG14:$AK14,0,FanspeedH)*Basis!$E$4,IF(Basis!$E$1=1,0,1))</f>
        <v>46.5</v>
      </c>
      <c r="K14" s="85">
        <f>INDEX($AS14:$AW14,0,FanspeedH)</f>
        <v>3</v>
      </c>
      <c r="L14" s="84">
        <f>CHOOSE(Basis!$E$1,$AY14*(I14*3600/Basis!$E$5)^$AZ14*Basis!$E$6/Basis!$E$9,$AY14*(I14/Basis!$E$5)^$AZ14*Basis!$E$6/Basis!$E$9)</f>
        <v>0.14568402535377606</v>
      </c>
      <c r="M14" s="85">
        <f>INDEX($AM14:$AQ14,0,FanspeedH)</f>
        <v>0</v>
      </c>
      <c r="N14" s="45">
        <f>ROUND((INDEX($BB14:$BF14,0,FanspeedC)*($U$5/$V$5)^N_c)*Basis!$E$2*Glycol*$AA$4,0)</f>
        <v>843</v>
      </c>
      <c r="O14" s="108">
        <f>(($N14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951.35696499621224</v>
      </c>
      <c r="P14" s="123">
        <f>IF(Basis!$E$1=1,ROUND(O14/(($O$3-$O$2)*1.163)/3600,3),ROUND(O14/(500*($O$3-$O$2)),2))</f>
        <v>0.19</v>
      </c>
      <c r="Q14" s="134">
        <f>IF(N14=0,0,ROUND(INDEX($AG14:$AK14,0,FanspeedC)*Basis!$E$4,1))</f>
        <v>46.5</v>
      </c>
      <c r="R14" s="85">
        <f>IF(N14=0,0,INDEX($AS14:$AW14,0,FanspeedC))</f>
        <v>3</v>
      </c>
      <c r="S14" s="84">
        <f>CHOOSE(Basis!$E$1,$AY14*(P14*3600/Basis!$E$5)^$AZ14*Basis!$E$6/Basis!$E$9,$AY14*(P14/Basis!$E$5)^$AZ14*Basis!$E$6/Basis!$E$9)</f>
        <v>8.2226745456402961E-2</v>
      </c>
      <c r="T14" s="85">
        <f>IF(N14=0,0,INDEX($AM14:$AQ14,0,FanspeedC))</f>
        <v>0</v>
      </c>
      <c r="U14" s="109">
        <v>0.91</v>
      </c>
      <c r="V14" s="109">
        <v>0.87</v>
      </c>
      <c r="W14" s="109">
        <v>0.79</v>
      </c>
      <c r="X14" s="109">
        <v>0.68</v>
      </c>
      <c r="Y14" s="109">
        <v>0.6</v>
      </c>
      <c r="Z14" s="68"/>
      <c r="AA14" s="67">
        <v>1075</v>
      </c>
      <c r="AB14" s="67">
        <v>891</v>
      </c>
      <c r="AC14" s="67">
        <v>699</v>
      </c>
      <c r="AD14" s="67">
        <v>496</v>
      </c>
      <c r="AE14" s="67">
        <v>276</v>
      </c>
      <c r="AF14" s="68"/>
      <c r="AG14" s="69">
        <v>79</v>
      </c>
      <c r="AH14" s="69">
        <v>68</v>
      </c>
      <c r="AI14" s="69">
        <v>52</v>
      </c>
      <c r="AJ14" s="69">
        <v>37</v>
      </c>
      <c r="AK14" s="69">
        <v>24</v>
      </c>
      <c r="AL14" s="68"/>
      <c r="AM14" s="70"/>
      <c r="AN14" s="70"/>
      <c r="AO14" s="70"/>
      <c r="AP14" s="70"/>
      <c r="AQ14" s="70"/>
      <c r="AR14" s="68"/>
      <c r="AS14" s="71">
        <v>3</v>
      </c>
      <c r="AT14" s="71">
        <v>2.1</v>
      </c>
      <c r="AU14" s="71">
        <v>1.3</v>
      </c>
      <c r="AV14" s="71">
        <v>0.8</v>
      </c>
      <c r="AW14" s="71">
        <v>0.5</v>
      </c>
      <c r="AX14" s="68"/>
      <c r="AY14" s="99">
        <v>2.5649818987149339E-4</v>
      </c>
      <c r="AZ14" s="97">
        <v>1.8235155847906248</v>
      </c>
      <c r="BA14" s="68"/>
      <c r="BB14" s="67">
        <v>185</v>
      </c>
      <c r="BC14" s="67">
        <v>144</v>
      </c>
      <c r="BD14" s="67">
        <v>104</v>
      </c>
      <c r="BE14" s="67">
        <v>66</v>
      </c>
      <c r="BF14" s="67">
        <v>30</v>
      </c>
      <c r="BG14" s="67"/>
      <c r="BH14" s="67"/>
      <c r="BI14" s="67"/>
      <c r="BJ14" s="68"/>
      <c r="BK14" s="49" t="s">
        <v>128</v>
      </c>
      <c r="BL14" s="50" t="s">
        <v>133</v>
      </c>
      <c r="CF14"/>
      <c r="CG14"/>
      <c r="CH14"/>
    </row>
    <row r="15" spans="1:86" ht="15" x14ac:dyDescent="0.25">
      <c r="A15" s="72" t="s">
        <v>119</v>
      </c>
      <c r="B15" s="145" t="s">
        <v>2965</v>
      </c>
      <c r="C15" s="44" t="s">
        <v>125</v>
      </c>
      <c r="D15" s="45">
        <f>ROUND(MID('Clima Canal'!$C15,6,3)/Basis!$E$3,1)</f>
        <v>3.9</v>
      </c>
      <c r="E15" s="45">
        <f>ROUND(MID('Clima Canal'!$C15,9,3)/Basis!$E$3,1)</f>
        <v>42.5</v>
      </c>
      <c r="F15" s="46" t="s">
        <v>51</v>
      </c>
      <c r="G15" s="45">
        <f>ROUND(18/Basis!$E$3,1)</f>
        <v>7.1</v>
      </c>
      <c r="H15" s="223">
        <f>ROUND(INDEX($AA15:$AE15,0,FanspeedH)*Basis!$E$2*((TaH-TrH)/LN(1/µ)/Basis!$E$7)*Glycol*$AA$4,0)</f>
        <v>5431</v>
      </c>
      <c r="I15" s="123">
        <f>IF(Basis!$E$1=1,ROUND(H15/((TaH-TrH)*1.163)/3600,3),ROUND(H15/(500*(TaH-TrH)),2))</f>
        <v>0.54</v>
      </c>
      <c r="J15" s="83">
        <f>ROUND(INDEX($AG15:$AK15,0,FanspeedH)*Basis!$E$4,IF(Basis!$E$1=1,0,1))</f>
        <v>94.2</v>
      </c>
      <c r="K15" s="85">
        <f>INDEX($AS15:$AW15,0,FanspeedH)</f>
        <v>7.1</v>
      </c>
      <c r="L15" s="84">
        <f>CHOOSE(Basis!$E$1,$AY15*(I15*3600/Basis!$E$5)^$AZ15*Basis!$E$6/Basis!$E$9,$AY15*(I15/Basis!$E$5)^$AZ15*Basis!$E$6/Basis!$E$9)</f>
        <v>0.86575787920794112</v>
      </c>
      <c r="M15" s="85">
        <f>INDEX($AM15:$AQ15,0,FanspeedH)</f>
        <v>0</v>
      </c>
      <c r="N15" s="45">
        <f>ROUND((INDEX($BB15:$BF15,0,FanspeedC)*($U$5/$V$5)^N_c)*Basis!$E$2*Glycol*$AA$4,0)</f>
        <v>1737</v>
      </c>
      <c r="O15" s="108">
        <f>(($N15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1960.2693335687079</v>
      </c>
      <c r="P15" s="123">
        <f>IF(Basis!$E$1=1,ROUND(O15/(($O$3-$O$2)*1.163)/3600,3),ROUND(O15/(500*($O$3-$O$2)),2))</f>
        <v>0.39</v>
      </c>
      <c r="Q15" s="134">
        <f>IF(N15=0,0,ROUND(INDEX($AG15:$AK15,0,FanspeedC)*Basis!$E$4,1))</f>
        <v>94.2</v>
      </c>
      <c r="R15" s="85">
        <f>IF(N15=0,0,INDEX($AS15:$AW15,0,FanspeedC))</f>
        <v>7.1</v>
      </c>
      <c r="S15" s="84">
        <f>CHOOSE(Basis!$E$1,$AY15*(P15*3600/Basis!$E$5)^$AZ15*Basis!$E$6/Basis!$E$9,$AY15*(P15/Basis!$E$5)^$AZ15*Basis!$E$6/Basis!$E$9)</f>
        <v>0.47827814924032802</v>
      </c>
      <c r="T15" s="85">
        <f>IF(N15=0,0,INDEX($AM15:$AQ15,0,FanspeedC))</f>
        <v>0</v>
      </c>
      <c r="U15" s="110">
        <v>0.91</v>
      </c>
      <c r="V15" s="110">
        <v>0.87</v>
      </c>
      <c r="W15" s="110">
        <v>0.79</v>
      </c>
      <c r="X15" s="110">
        <v>0.68</v>
      </c>
      <c r="Y15" s="110">
        <v>0.6</v>
      </c>
      <c r="Z15" s="74"/>
      <c r="AA15" s="73">
        <v>2214</v>
      </c>
      <c r="AB15" s="73">
        <v>1834</v>
      </c>
      <c r="AC15" s="73">
        <v>1438</v>
      </c>
      <c r="AD15" s="73">
        <v>1021</v>
      </c>
      <c r="AE15" s="73">
        <v>569</v>
      </c>
      <c r="AF15" s="74"/>
      <c r="AG15" s="75">
        <v>160</v>
      </c>
      <c r="AH15" s="75">
        <v>125</v>
      </c>
      <c r="AI15" s="75">
        <v>98</v>
      </c>
      <c r="AJ15" s="75">
        <v>75</v>
      </c>
      <c r="AK15" s="75">
        <v>42</v>
      </c>
      <c r="AL15" s="74"/>
      <c r="AM15" s="76"/>
      <c r="AN15" s="76"/>
      <c r="AO15" s="76"/>
      <c r="AP15" s="76"/>
      <c r="AQ15" s="76"/>
      <c r="AR15" s="74"/>
      <c r="AS15" s="77">
        <v>7.1</v>
      </c>
      <c r="AT15" s="77">
        <v>4.5999999999999996</v>
      </c>
      <c r="AU15" s="77">
        <v>2.7</v>
      </c>
      <c r="AV15" s="77">
        <v>1.3</v>
      </c>
      <c r="AW15" s="77">
        <v>0.6</v>
      </c>
      <c r="AX15" s="74"/>
      <c r="AY15" s="100">
        <v>4.0202009009986008E-4</v>
      </c>
      <c r="AZ15" s="98">
        <v>1.8235155847906248</v>
      </c>
      <c r="BA15" s="74"/>
      <c r="BB15" s="73">
        <v>381</v>
      </c>
      <c r="BC15" s="73">
        <v>296</v>
      </c>
      <c r="BD15" s="73">
        <v>214</v>
      </c>
      <c r="BE15" s="73">
        <v>135</v>
      </c>
      <c r="BF15" s="73">
        <v>62</v>
      </c>
      <c r="BG15" s="73"/>
      <c r="BH15" s="73"/>
      <c r="BI15" s="73"/>
      <c r="BJ15" s="74"/>
      <c r="BK15" s="47" t="s">
        <v>128</v>
      </c>
      <c r="BL15" s="48" t="s">
        <v>134</v>
      </c>
      <c r="CF15"/>
      <c r="CG15"/>
      <c r="CH15"/>
    </row>
    <row r="16" spans="1:86" ht="15" x14ac:dyDescent="0.25">
      <c r="A16" s="72" t="s">
        <v>119</v>
      </c>
      <c r="B16" s="145" t="s">
        <v>2965</v>
      </c>
      <c r="C16" s="44" t="s">
        <v>126</v>
      </c>
      <c r="D16" s="45">
        <f>ROUND(MID('Clima Canal'!$C16,6,3)/Basis!$E$3,1)</f>
        <v>3.9</v>
      </c>
      <c r="E16" s="45">
        <f>ROUND(MID('Clima Canal'!$C16,9,3)/Basis!$E$3,1)</f>
        <v>56.7</v>
      </c>
      <c r="F16" s="46" t="s">
        <v>51</v>
      </c>
      <c r="G16" s="45">
        <f>ROUND(18/Basis!$E$3,1)</f>
        <v>7.1</v>
      </c>
      <c r="H16" s="223">
        <f>ROUND(INDEX($AA16:$AE16,0,FanspeedH)*Basis!$E$2*((TaH-TrH)/LN(1/µ)/Basis!$E$7)*Glycol*$AA$4,0)</f>
        <v>8534</v>
      </c>
      <c r="I16" s="123">
        <f>IF(Basis!$E$1=1,ROUND(H16/((TaH-TrH)*1.163)/3600,3),ROUND(H16/(500*(TaH-TrH)),2))</f>
        <v>0.85</v>
      </c>
      <c r="J16" s="83">
        <f>ROUND(INDEX($AG16:$AK16,0,FanspeedH)*Basis!$E$4,IF(Basis!$E$1=1,0,1))</f>
        <v>140.69999999999999</v>
      </c>
      <c r="K16" s="85">
        <f>INDEX($AS16:$AW16,0,FanspeedH)</f>
        <v>10.1</v>
      </c>
      <c r="L16" s="84">
        <f>CHOOSE(Basis!$E$1,$AY16*(I16*3600/Basis!$E$5)^$AZ16*Basis!$E$6/Basis!$E$9,$AY16*(I16/Basis!$E$5)^$AZ16*Basis!$E$6/Basis!$E$9)</f>
        <v>2.7608293263430572</v>
      </c>
      <c r="M16" s="85">
        <f>INDEX($AM16:$AQ16,0,FanspeedH)</f>
        <v>0</v>
      </c>
      <c r="N16" s="45">
        <f>ROUND((INDEX($BB16:$BF16,0,FanspeedC)*($U$5/$V$5)^N_c)*Basis!$E$2*Glycol*$AA$4,0)</f>
        <v>2726</v>
      </c>
      <c r="O16" s="108">
        <f>(($N16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3076.3927480185935</v>
      </c>
      <c r="P16" s="123">
        <f>IF(Basis!$E$1=1,ROUND(O16/(($O$3-$O$2)*1.163)/3600,3),ROUND(O16/(500*($O$3-$O$2)),2))</f>
        <v>0.62</v>
      </c>
      <c r="Q16" s="134">
        <f>IF(N16=0,0,ROUND(INDEX($AG16:$AK16,0,FanspeedC)*Basis!$E$4,1))</f>
        <v>140.69999999999999</v>
      </c>
      <c r="R16" s="85">
        <f>IF(N16=0,0,INDEX($AS16:$AW16,0,FanspeedC))</f>
        <v>10.1</v>
      </c>
      <c r="S16" s="84">
        <f>CHOOSE(Basis!$E$1,$AY16*(P16*3600/Basis!$E$5)^$AZ16*Basis!$E$6/Basis!$E$9,$AY16*(P16/Basis!$E$5)^$AZ16*Basis!$E$6/Basis!$E$9)</f>
        <v>1.5529885678524813</v>
      </c>
      <c r="T16" s="85">
        <f>IF(N16=0,0,INDEX($AM16:$AQ16,0,FanspeedC))</f>
        <v>0</v>
      </c>
      <c r="U16" s="109">
        <v>0.91</v>
      </c>
      <c r="V16" s="109">
        <v>0.87</v>
      </c>
      <c r="W16" s="109">
        <v>0.79</v>
      </c>
      <c r="X16" s="109">
        <v>0.68</v>
      </c>
      <c r="Y16" s="109">
        <v>0.6</v>
      </c>
      <c r="Z16" s="68"/>
      <c r="AA16" s="67">
        <v>3479</v>
      </c>
      <c r="AB16" s="67">
        <v>2881</v>
      </c>
      <c r="AC16" s="67">
        <v>2260</v>
      </c>
      <c r="AD16" s="67">
        <v>1605</v>
      </c>
      <c r="AE16" s="67">
        <v>894</v>
      </c>
      <c r="AF16" s="68"/>
      <c r="AG16" s="69">
        <v>239</v>
      </c>
      <c r="AH16" s="69">
        <v>193</v>
      </c>
      <c r="AI16" s="69">
        <v>150</v>
      </c>
      <c r="AJ16" s="69">
        <v>112</v>
      </c>
      <c r="AK16" s="69">
        <v>66</v>
      </c>
      <c r="AL16" s="68"/>
      <c r="AM16" s="70"/>
      <c r="AN16" s="70"/>
      <c r="AO16" s="70"/>
      <c r="AP16" s="70"/>
      <c r="AQ16" s="70"/>
      <c r="AR16" s="68"/>
      <c r="AS16" s="71">
        <v>10.1</v>
      </c>
      <c r="AT16" s="71">
        <v>6.6</v>
      </c>
      <c r="AU16" s="71">
        <v>4</v>
      </c>
      <c r="AV16" s="71">
        <v>2.1</v>
      </c>
      <c r="AW16" s="71">
        <v>1.1000000000000001</v>
      </c>
      <c r="AX16" s="68"/>
      <c r="AY16" s="99">
        <v>5.6054747775989447E-4</v>
      </c>
      <c r="AZ16" s="97">
        <v>1.8235155847906248</v>
      </c>
      <c r="BA16" s="68"/>
      <c r="BB16" s="67">
        <v>598</v>
      </c>
      <c r="BC16" s="67">
        <v>465</v>
      </c>
      <c r="BD16" s="67">
        <v>336</v>
      </c>
      <c r="BE16" s="67">
        <v>212</v>
      </c>
      <c r="BF16" s="67">
        <v>97</v>
      </c>
      <c r="BG16" s="67"/>
      <c r="BH16" s="67"/>
      <c r="BI16" s="67"/>
      <c r="BJ16" s="68"/>
      <c r="BK16" s="49" t="s">
        <v>128</v>
      </c>
      <c r="BL16" s="50" t="s">
        <v>135</v>
      </c>
      <c r="CF16"/>
      <c r="CG16"/>
      <c r="CH16"/>
    </row>
    <row r="17" spans="1:89" ht="15" x14ac:dyDescent="0.25">
      <c r="A17" s="72" t="s">
        <v>119</v>
      </c>
      <c r="B17" s="145" t="s">
        <v>2965</v>
      </c>
      <c r="C17" s="44" t="s">
        <v>127</v>
      </c>
      <c r="D17" s="45">
        <f>ROUND(MID('Clima Canal'!$C17,6,3)/Basis!$E$3,1)</f>
        <v>3.9</v>
      </c>
      <c r="E17" s="45">
        <f>ROUND(MID('Clima Canal'!$C17,9,3)/Basis!$E$3,1)</f>
        <v>70.900000000000006</v>
      </c>
      <c r="F17" s="46" t="s">
        <v>51</v>
      </c>
      <c r="G17" s="45">
        <f>ROUND(18/Basis!$E$3,1)</f>
        <v>7.1</v>
      </c>
      <c r="H17" s="223">
        <f>ROUND(INDEX($AA17:$AE17,0,FanspeedH)*Basis!$E$2*((TaH-TrH)/LN(1/µ)/Basis!$E$7)*Glycol*$AA$4,0)</f>
        <v>11637</v>
      </c>
      <c r="I17" s="123">
        <f>IF(Basis!$E$1=1,ROUND(H17/((TaH-TrH)*1.163)/3600,3),ROUND(H17/(500*(TaH-TrH)),2))</f>
        <v>1.1599999999999999</v>
      </c>
      <c r="J17" s="83">
        <f>ROUND(INDEX($AG17:$AK17,0,FanspeedH)*Basis!$E$4,IF(Basis!$E$1=1,0,1))</f>
        <v>188.3</v>
      </c>
      <c r="K17" s="85">
        <f>INDEX($AS17:$AW17,0,FanspeedH)</f>
        <v>14.1</v>
      </c>
      <c r="L17" s="84">
        <f>CHOOSE(Basis!$E$1,$AY17*(I17*3600/Basis!$E$5)^$AZ17*Basis!$E$6/Basis!$E$9,$AY17*(I17/Basis!$E$5)^$AZ17*Basis!$E$6/Basis!$E$9)</f>
        <v>6.4245576986018103</v>
      </c>
      <c r="M17" s="85">
        <f>INDEX($AM17:$AQ17,0,FanspeedH)</f>
        <v>0</v>
      </c>
      <c r="N17" s="45">
        <f>ROUND((INDEX($BB17:$BF17,0,FanspeedC)*($U$5/$V$5)^N_c)*Basis!$E$2*Glycol*$AA$4,0)</f>
        <v>3720</v>
      </c>
      <c r="O17" s="108">
        <f>(($N17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4198.1588490936056</v>
      </c>
      <c r="P17" s="123">
        <f>IF(Basis!$E$1=1,ROUND(O17/(($O$3-$O$2)*1.163)/3600,3),ROUND(O17/(500*($O$3-$O$2)),2))</f>
        <v>0.84</v>
      </c>
      <c r="Q17" s="134">
        <f>IF(N17=0,0,ROUND(INDEX($AG17:$AK17,0,FanspeedC)*Basis!$E$4,1))</f>
        <v>188.3</v>
      </c>
      <c r="R17" s="85">
        <f>IF(N17=0,0,INDEX($AS17:$AW17,0,FanspeedC))</f>
        <v>14.1</v>
      </c>
      <c r="S17" s="84">
        <f>CHOOSE(Basis!$E$1,$AY17*(P17*3600/Basis!$E$5)^$AZ17*Basis!$E$6/Basis!$E$9,$AY17*(P17/Basis!$E$5)^$AZ17*Basis!$E$6/Basis!$E$9)</f>
        <v>3.5663600313303458</v>
      </c>
      <c r="T17" s="85">
        <f>IF(N17=0,0,INDEX($AM17:$AQ17,0,FanspeedC))</f>
        <v>0</v>
      </c>
      <c r="U17" s="110">
        <v>0.91</v>
      </c>
      <c r="V17" s="110">
        <v>0.87</v>
      </c>
      <c r="W17" s="110">
        <v>0.79</v>
      </c>
      <c r="X17" s="110">
        <v>0.68</v>
      </c>
      <c r="Y17" s="110">
        <v>0.6</v>
      </c>
      <c r="Z17" s="74"/>
      <c r="AA17" s="73">
        <v>4744</v>
      </c>
      <c r="AB17" s="73">
        <v>3929</v>
      </c>
      <c r="AC17" s="73">
        <v>3082</v>
      </c>
      <c r="AD17" s="73">
        <v>2188</v>
      </c>
      <c r="AE17" s="73">
        <v>1219</v>
      </c>
      <c r="AF17" s="74"/>
      <c r="AG17" s="75">
        <v>320</v>
      </c>
      <c r="AH17" s="75">
        <v>250</v>
      </c>
      <c r="AI17" s="75">
        <v>196</v>
      </c>
      <c r="AJ17" s="75">
        <v>150</v>
      </c>
      <c r="AK17" s="75">
        <v>84</v>
      </c>
      <c r="AL17" s="74"/>
      <c r="AM17" s="76"/>
      <c r="AN17" s="76"/>
      <c r="AO17" s="76"/>
      <c r="AP17" s="76"/>
      <c r="AQ17" s="76"/>
      <c r="AR17" s="74"/>
      <c r="AS17" s="77">
        <v>14.1</v>
      </c>
      <c r="AT17" s="77">
        <v>9.1</v>
      </c>
      <c r="AU17" s="77">
        <v>5.4</v>
      </c>
      <c r="AV17" s="77">
        <v>2.5</v>
      </c>
      <c r="AW17" s="77">
        <v>1.2</v>
      </c>
      <c r="AX17" s="74"/>
      <c r="AY17" s="100">
        <v>7.3989525167788965E-4</v>
      </c>
      <c r="AZ17" s="98">
        <v>1.8235155847906248</v>
      </c>
      <c r="BA17" s="74"/>
      <c r="BB17" s="73">
        <v>816</v>
      </c>
      <c r="BC17" s="73">
        <v>634</v>
      </c>
      <c r="BD17" s="73">
        <v>458</v>
      </c>
      <c r="BE17" s="73">
        <v>290</v>
      </c>
      <c r="BF17" s="73">
        <v>132</v>
      </c>
      <c r="BG17" s="73"/>
      <c r="BH17" s="73"/>
      <c r="BI17" s="73"/>
      <c r="BJ17" s="74"/>
      <c r="BK17" s="47" t="s">
        <v>128</v>
      </c>
      <c r="BL17" s="48" t="s">
        <v>136</v>
      </c>
      <c r="CF17"/>
      <c r="CG17"/>
      <c r="CH17"/>
    </row>
    <row r="18" spans="1:89" ht="15" x14ac:dyDescent="0.25">
      <c r="A18" s="72" t="s">
        <v>119</v>
      </c>
      <c r="B18" s="210" t="s">
        <v>3265</v>
      </c>
      <c r="C18" s="208" t="s">
        <v>3251</v>
      </c>
      <c r="D18" s="45">
        <f>ROUND(MID('Clima Canal'!$C18,6,3)/Basis!$E$3,1)</f>
        <v>5.0999999999999996</v>
      </c>
      <c r="E18" s="45">
        <f>ROUND(MID('Clima Canal'!$C18,9,3)/Basis!$E$3,1)</f>
        <v>27.6</v>
      </c>
      <c r="F18" s="106" t="s">
        <v>51</v>
      </c>
      <c r="G18" s="45">
        <f>ROUND(32/Basis!$E$3,1)</f>
        <v>12.6</v>
      </c>
      <c r="H18" s="223">
        <f>ROUND(INDEX($AA18:$AE18,0,FanspeedH)*Basis!$E$2*((TaH-TrH)/LN(1/µ)/Basis!$E$7)*Glycol*$AA$4,0)</f>
        <v>3904</v>
      </c>
      <c r="I18" s="123">
        <f>IF(Basis!$E$1=1,ROUND(H18/((TaH-TrH)*1.163)/3600,3),ROUND(H18/(500*(TaH-TrH)),2))</f>
        <v>0.39</v>
      </c>
      <c r="J18" s="83">
        <f>ROUND(INDEX($AG18:$AK18,0,FanspeedH)*Basis!$E$4,1)</f>
        <v>80.599999999999994</v>
      </c>
      <c r="K18" s="85">
        <f>INDEX($AS18:$AW18,0,FanspeedH)</f>
        <v>8.8000000000000007</v>
      </c>
      <c r="L18" s="84">
        <f>CHOOSE(Basis!$E$1,$AY18*(I18*3600/Basis!$E$5)^$AZ18*Basis!$E$6/Basis!$E$9,$AY18*(I18/Basis!$E$5)^$AZ18*Basis!$E$6/Basis!$E$9)</f>
        <v>3.7155345315762832E-2</v>
      </c>
      <c r="M18" s="85">
        <f>INDEX($AM18:$AQ18,0,FanspeedH)</f>
        <v>0</v>
      </c>
      <c r="N18" s="45">
        <f>ROUND((INDEX($BB18:$BF18,0,FanspeedC)*($U$5/$V$5)^N_c)*Basis!$E$2*Glycol*$AA$4,0)</f>
        <v>1184</v>
      </c>
      <c r="O18" s="108">
        <f>(($N18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1336.1881928297928</v>
      </c>
      <c r="P18" s="123">
        <f>IF(Basis!$E$1=1,ROUND(O18/(($O$3-$O$2)*1.163)/3600,3),ROUND(O18/(500*($O$3-$O$2)),2))</f>
        <v>0.27</v>
      </c>
      <c r="Q18" s="83">
        <f>IF(N18=0,0,ROUND(INDEX($AG18:$AK18,0,FanspeedC)*Basis!$E$4,1))</f>
        <v>80.599999999999994</v>
      </c>
      <c r="R18" s="85">
        <f>IF(N18=0,0,INDEX($AS18:$AW18,0,FanspeedC))</f>
        <v>8.8000000000000007</v>
      </c>
      <c r="S18" s="84">
        <f>CHOOSE(Basis!$E$1,$BH18*(P18*3600/Basis!$E$5)^$BI18*Basis!$E$6/Basis!$E$9,$BH18*(P18/Basis!$E$5)^$BI18*Basis!$E$6/Basis!$E$9)</f>
        <v>1.8331047770454884E-2</v>
      </c>
      <c r="T18" s="85">
        <f>IF(N18=0,0,INDEX($AM18:$AQ18,0,FanspeedC))</f>
        <v>0</v>
      </c>
      <c r="U18" s="109">
        <v>0.77110000000000001</v>
      </c>
      <c r="V18" s="109">
        <v>0.85389999999999999</v>
      </c>
      <c r="W18" s="109">
        <v>0.8831</v>
      </c>
      <c r="X18" s="109">
        <v>0.85870000000000002</v>
      </c>
      <c r="Y18" s="109">
        <v>0.78069999999999995</v>
      </c>
      <c r="Z18" s="68"/>
      <c r="AA18" s="67">
        <v>1591.6107259404453</v>
      </c>
      <c r="AB18" s="67">
        <v>1331.183342453952</v>
      </c>
      <c r="AC18" s="67">
        <v>1031.2359042995408</v>
      </c>
      <c r="AD18" s="67">
        <v>691.76841147721154</v>
      </c>
      <c r="AE18" s="67">
        <v>312.78086398696399</v>
      </c>
      <c r="AF18" s="68"/>
      <c r="AG18" s="69">
        <v>137</v>
      </c>
      <c r="AH18" s="69">
        <v>117</v>
      </c>
      <c r="AI18" s="69">
        <v>85</v>
      </c>
      <c r="AJ18" s="69">
        <v>44</v>
      </c>
      <c r="AK18" s="69">
        <v>35</v>
      </c>
      <c r="AL18" s="68"/>
      <c r="AM18" s="70"/>
      <c r="AN18" s="70"/>
      <c r="AO18" s="70"/>
      <c r="AP18" s="70"/>
      <c r="AQ18" s="70"/>
      <c r="AR18" s="68"/>
      <c r="AS18" s="71">
        <v>8.8000000000000007</v>
      </c>
      <c r="AT18" s="71">
        <v>5.9</v>
      </c>
      <c r="AU18" s="71">
        <v>3.2</v>
      </c>
      <c r="AV18" s="71">
        <v>1.6320000000000001</v>
      </c>
      <c r="AW18" s="71">
        <v>0.98399999999999999</v>
      </c>
      <c r="AX18" s="68"/>
      <c r="AY18" s="99">
        <v>2.0144747035437757E-5</v>
      </c>
      <c r="AZ18" s="97">
        <v>1.9213049050521955</v>
      </c>
      <c r="BA18" s="68"/>
      <c r="BB18" s="67">
        <v>271.44368359539482</v>
      </c>
      <c r="BC18" s="67">
        <v>224.28014109231404</v>
      </c>
      <c r="BD18" s="67">
        <v>174.53607497828463</v>
      </c>
      <c r="BE18" s="67">
        <v>122.21148525330661</v>
      </c>
      <c r="BF18" s="67">
        <v>67.306371917380019</v>
      </c>
      <c r="BG18" s="68"/>
      <c r="BH18" s="99">
        <v>2.0144747035437757E-5</v>
      </c>
      <c r="BI18" s="97">
        <v>1.9213049050521955</v>
      </c>
      <c r="BJ18" s="68"/>
      <c r="BK18" s="209" t="s">
        <v>3256</v>
      </c>
      <c r="BL18" s="50"/>
      <c r="CI18"/>
      <c r="CJ18"/>
      <c r="CK18"/>
    </row>
    <row r="19" spans="1:89" ht="15" x14ac:dyDescent="0.25">
      <c r="A19" s="72" t="s">
        <v>119</v>
      </c>
      <c r="B19" s="210" t="s">
        <v>3265</v>
      </c>
      <c r="C19" s="208" t="s">
        <v>3252</v>
      </c>
      <c r="D19" s="45">
        <f>ROUND(MID('Clima Canal'!$C19,6,3)/Basis!$E$3,1)</f>
        <v>5.0999999999999996</v>
      </c>
      <c r="E19" s="45">
        <f>ROUND(MID('Clima Canal'!$C19,9,3)/Basis!$E$3,1)</f>
        <v>39.4</v>
      </c>
      <c r="F19" s="46" t="s">
        <v>51</v>
      </c>
      <c r="G19" s="45">
        <f>ROUND(32/Basis!$E$3,1)</f>
        <v>12.6</v>
      </c>
      <c r="H19" s="223">
        <f>ROUND(INDEX($AA19:$AE19,0,FanspeedH)*Basis!$E$2*((TaH-TrH)/LN(1/µ)/Basis!$E$7)*Glycol*$AA$4,0)</f>
        <v>7400</v>
      </c>
      <c r="I19" s="123">
        <f>IF(Basis!$E$1=1,ROUND(H19/((TaH-TrH)*1.163)/3600,3),ROUND(H19/(500*(TaH-TrH)),2))</f>
        <v>0.74</v>
      </c>
      <c r="J19" s="83">
        <f>ROUND(INDEX($AG19:$AK19,0,FanspeedH)*Basis!$E$4,1)</f>
        <v>118.9</v>
      </c>
      <c r="K19" s="85">
        <f>INDEX($AS19:$AW19,0,FanspeedH)</f>
        <v>10.3</v>
      </c>
      <c r="L19" s="84">
        <f>CHOOSE(Basis!$E$1,$AY19*(I19*3600/Basis!$E$5)^$AZ19*Basis!$E$6/Basis!$E$9,$AY19*(I19/Basis!$E$5)^$AZ19*Basis!$E$6/Basis!$E$9)</f>
        <v>0.15859049256189428</v>
      </c>
      <c r="M19" s="85">
        <f>INDEX($AM19:$AQ19,0,FanspeedH)</f>
        <v>0</v>
      </c>
      <c r="N19" s="45">
        <f>ROUND((INDEX($BB19:$BF19,0,FanspeedC)*($U$5/$V$5)^N_c)*Basis!$E$2*Glycol*$AA$4,0)</f>
        <v>2244</v>
      </c>
      <c r="O19" s="108">
        <f>(($N19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2532.4377573564652</v>
      </c>
      <c r="P19" s="123">
        <f>IF(Basis!$E$1=1,ROUND(O19/(($O$3-$O$2)*1.163)/3600,3),ROUND(O19/(500*($O$3-$O$2)),2))</f>
        <v>0.51</v>
      </c>
      <c r="Q19" s="83">
        <f>IF(N19=0,0,ROUND(INDEX($AG19:$AK19,0,FanspeedC)*Basis!$E$4,1))</f>
        <v>118.9</v>
      </c>
      <c r="R19" s="85">
        <f>IF(N19=0,0,INDEX($AS19:$AW19,0,FanspeedC))</f>
        <v>10.3</v>
      </c>
      <c r="S19" s="84">
        <f>CHOOSE(Basis!$E$1,$BH19*(P19*3600/Basis!$E$5)^$BI19*Basis!$E$6/Basis!$E$9,$BH19*(P19/Basis!$E$5)^$BI19*Basis!$E$6/Basis!$E$9)</f>
        <v>7.8466677303582824E-2</v>
      </c>
      <c r="T19" s="85">
        <f>IF(N19=0,0,INDEX($AM19:$AQ19,0,FanspeedC))</f>
        <v>0</v>
      </c>
      <c r="U19" s="110">
        <v>0.77110000000000001</v>
      </c>
      <c r="V19" s="110">
        <v>0.85389999999999999</v>
      </c>
      <c r="W19" s="110">
        <v>0.8831</v>
      </c>
      <c r="X19" s="110">
        <v>0.85870000000000002</v>
      </c>
      <c r="Y19" s="110">
        <v>0.78069999999999995</v>
      </c>
      <c r="Z19" s="74"/>
      <c r="AA19" s="73">
        <v>3016.9337640960675</v>
      </c>
      <c r="AB19" s="73">
        <v>2523.2878282336105</v>
      </c>
      <c r="AC19" s="73">
        <v>1954.7307439707715</v>
      </c>
      <c r="AD19" s="73">
        <v>1311.2625113075501</v>
      </c>
      <c r="AE19" s="73">
        <v>592.88313024394665</v>
      </c>
      <c r="AF19" s="74"/>
      <c r="AG19" s="75">
        <v>202</v>
      </c>
      <c r="AH19" s="75">
        <v>168</v>
      </c>
      <c r="AI19" s="75">
        <v>133</v>
      </c>
      <c r="AJ19" s="75">
        <v>85</v>
      </c>
      <c r="AK19" s="75">
        <v>44</v>
      </c>
      <c r="AL19" s="74"/>
      <c r="AM19" s="76"/>
      <c r="AN19" s="76"/>
      <c r="AO19" s="76"/>
      <c r="AP19" s="76"/>
      <c r="AQ19" s="76"/>
      <c r="AR19" s="74"/>
      <c r="AS19" s="77">
        <v>10.3</v>
      </c>
      <c r="AT19" s="77">
        <v>6.4</v>
      </c>
      <c r="AU19" s="77">
        <v>3.2</v>
      </c>
      <c r="AV19" s="77">
        <v>1.8</v>
      </c>
      <c r="AW19" s="77">
        <v>1.008</v>
      </c>
      <c r="AX19" s="74"/>
      <c r="AY19" s="100">
        <v>2.9439637778696419E-5</v>
      </c>
      <c r="AZ19" s="98">
        <v>1.8903189865021812</v>
      </c>
      <c r="BA19" s="74"/>
      <c r="BB19" s="73">
        <v>514.52757935246484</v>
      </c>
      <c r="BC19" s="73">
        <v>425.1280286376699</v>
      </c>
      <c r="BD19" s="73">
        <v>330.83703764540519</v>
      </c>
      <c r="BE19" s="73">
        <v>231.65460637567074</v>
      </c>
      <c r="BF19" s="73">
        <v>127.58073482846659</v>
      </c>
      <c r="BG19" s="74"/>
      <c r="BH19" s="100">
        <v>2.9439637778696419E-5</v>
      </c>
      <c r="BI19" s="98">
        <v>1.8903189865021812</v>
      </c>
      <c r="BJ19" s="74"/>
      <c r="BK19" s="209" t="s">
        <v>3256</v>
      </c>
      <c r="BL19" s="48"/>
      <c r="CI19"/>
      <c r="CJ19"/>
      <c r="CK19"/>
    </row>
    <row r="20" spans="1:89" ht="15" x14ac:dyDescent="0.25">
      <c r="A20" s="72" t="s">
        <v>119</v>
      </c>
      <c r="B20" s="210" t="s">
        <v>3265</v>
      </c>
      <c r="C20" s="208" t="s">
        <v>3244</v>
      </c>
      <c r="D20" s="45">
        <f>ROUND(MID('Clima Canal'!$C20,6,3)/Basis!$E$3,1)</f>
        <v>5.0999999999999996</v>
      </c>
      <c r="E20" s="45">
        <f>ROUND(MID('Clima Canal'!$C20,9,3)/Basis!$E$3,1)</f>
        <v>47.2</v>
      </c>
      <c r="F20" s="46" t="s">
        <v>51</v>
      </c>
      <c r="G20" s="45">
        <f>ROUND(32/Basis!$E$3,1)</f>
        <v>12.6</v>
      </c>
      <c r="H20" s="223">
        <f>ROUND(INDEX($AA20:$AE20,0,FanspeedH)*Basis!$E$2*((TaH-TrH)/LN(1/µ)/Basis!$E$7)*Glycol*$AA$4,0)</f>
        <v>9731</v>
      </c>
      <c r="I20" s="123">
        <f>IF(Basis!$E$1=1,ROUND(H20/((TaH-TrH)*1.163)/3600,3),ROUND(H20/(500*(TaH-TrH)),2))</f>
        <v>0.97</v>
      </c>
      <c r="J20" s="83">
        <f>ROUND(INDEX($AG20:$AK20,0,FanspeedH)*Basis!$E$4,1)</f>
        <v>160.69999999999999</v>
      </c>
      <c r="K20" s="85">
        <f>INDEX($AS20:$AW20,0,FanspeedH)</f>
        <v>10.6</v>
      </c>
      <c r="L20" s="84">
        <f>CHOOSE(Basis!$E$1,$AY20*(I20*3600/Basis!$E$5)^$AZ20*Basis!$E$6/Basis!$E$9,$AY20*(I20/Basis!$E$5)^$AZ20*Basis!$E$6/Basis!$E$9)</f>
        <v>0.29824498914608683</v>
      </c>
      <c r="M20" s="85">
        <f>INDEX($AM20:$AQ20,0,FanspeedH)</f>
        <v>0</v>
      </c>
      <c r="N20" s="45">
        <f>ROUND((INDEX($BB20:$BF20,0,FanspeedC)*($U$5/$V$5)^N_c)*Basis!$E$2*Glycol*$AA$4,0)</f>
        <v>2951</v>
      </c>
      <c r="O20" s="108">
        <f>(($N20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3330.3136461492554</v>
      </c>
      <c r="P20" s="123">
        <f>IF(Basis!$E$1=1,ROUND(O20/(($O$3-$O$2)*1.163)/3600,3),ROUND(O20/(500*($O$3-$O$2)),2))</f>
        <v>0.67</v>
      </c>
      <c r="Q20" s="83">
        <f>IF(N20=0,0,ROUND(INDEX($AG20:$AK20,0,FanspeedC)*Basis!$E$4,1))</f>
        <v>160.69999999999999</v>
      </c>
      <c r="R20" s="85">
        <f>IF(N20=0,0,INDEX($AS20:$AW20,0,FanspeedC))</f>
        <v>10.6</v>
      </c>
      <c r="S20" s="84">
        <f>CHOOSE(Basis!$E$1,$BH20*(P20*3600/Basis!$E$5)^$BI20*Basis!$E$6/Basis!$E$9,$BH20*(P20/Basis!$E$5)^$BI20*Basis!$E$6/Basis!$E$9)</f>
        <v>0.14902744477055432</v>
      </c>
      <c r="T20" s="85">
        <f>IF(N20=0,0,INDEX($AM20:$AQ20,0,FanspeedC))</f>
        <v>0</v>
      </c>
      <c r="U20" s="109">
        <v>0.77110000000000001</v>
      </c>
      <c r="V20" s="109">
        <v>0.85389999999999999</v>
      </c>
      <c r="W20" s="109">
        <v>0.8831</v>
      </c>
      <c r="X20" s="109">
        <v>0.85870000000000002</v>
      </c>
      <c r="Y20" s="109">
        <v>0.78069999999999995</v>
      </c>
      <c r="Z20" s="68"/>
      <c r="AA20" s="67">
        <v>3967.1491228664822</v>
      </c>
      <c r="AB20" s="67">
        <v>3318.0241520867162</v>
      </c>
      <c r="AC20" s="67">
        <v>2570.3939704182585</v>
      </c>
      <c r="AD20" s="67">
        <v>1724.2585778611092</v>
      </c>
      <c r="AE20" s="67">
        <v>779.61797441526835</v>
      </c>
      <c r="AF20" s="68"/>
      <c r="AG20" s="69">
        <v>273</v>
      </c>
      <c r="AH20" s="69">
        <v>235</v>
      </c>
      <c r="AI20" s="69">
        <v>174</v>
      </c>
      <c r="AJ20" s="69">
        <v>114</v>
      </c>
      <c r="AK20" s="69">
        <v>49</v>
      </c>
      <c r="AL20" s="68"/>
      <c r="AM20" s="70"/>
      <c r="AN20" s="70"/>
      <c r="AO20" s="70"/>
      <c r="AP20" s="70"/>
      <c r="AQ20" s="70"/>
      <c r="AR20" s="68"/>
      <c r="AS20" s="71">
        <v>10.6</v>
      </c>
      <c r="AT20" s="71">
        <v>7.2</v>
      </c>
      <c r="AU20" s="71">
        <v>4.2</v>
      </c>
      <c r="AV20" s="71">
        <v>2.4</v>
      </c>
      <c r="AW20" s="71">
        <v>1.4</v>
      </c>
      <c r="AX20" s="68"/>
      <c r="AY20" s="99">
        <v>3.6052122831577476E-5</v>
      </c>
      <c r="AZ20" s="97">
        <v>1.8750009582627225</v>
      </c>
      <c r="BA20" s="68"/>
      <c r="BB20" s="67">
        <v>676.58350985717811</v>
      </c>
      <c r="BC20" s="67">
        <v>559.02662033457375</v>
      </c>
      <c r="BD20" s="67">
        <v>435.03767942348554</v>
      </c>
      <c r="BE20" s="67">
        <v>304.61668712391349</v>
      </c>
      <c r="BF20" s="67">
        <v>167.76364343585763</v>
      </c>
      <c r="BG20" s="68"/>
      <c r="BH20" s="99">
        <v>3.6052122831577476E-5</v>
      </c>
      <c r="BI20" s="97">
        <v>1.8750009582627225</v>
      </c>
      <c r="BJ20" s="68"/>
      <c r="BK20" s="209" t="s">
        <v>3256</v>
      </c>
      <c r="BL20" s="50"/>
      <c r="CI20"/>
      <c r="CJ20"/>
      <c r="CK20"/>
    </row>
    <row r="21" spans="1:89" ht="15" x14ac:dyDescent="0.25">
      <c r="A21" s="72" t="s">
        <v>119</v>
      </c>
      <c r="B21" s="210" t="s">
        <v>3265</v>
      </c>
      <c r="C21" s="208" t="s">
        <v>3253</v>
      </c>
      <c r="D21" s="45">
        <f>ROUND(MID('Clima Canal'!$C21,6,3)/Basis!$E$3,1)</f>
        <v>5.0999999999999996</v>
      </c>
      <c r="E21" s="45">
        <f>ROUND(MID('Clima Canal'!$C21,9,3)/Basis!$E$3,1)</f>
        <v>55.1</v>
      </c>
      <c r="F21" s="46" t="s">
        <v>51</v>
      </c>
      <c r="G21" s="45">
        <f>ROUND(32/Basis!$E$3,1)</f>
        <v>12.6</v>
      </c>
      <c r="H21" s="223">
        <f>ROUND(INDEX($AA21:$AE21,0,FanspeedH)*Basis!$E$2*((TaH-TrH)/LN(1/µ)/Basis!$E$7)*Glycol*$AA$4,0)</f>
        <v>12062</v>
      </c>
      <c r="I21" s="123">
        <f>IF(Basis!$E$1=1,ROUND(H21/((TaH-TrH)*1.163)/3600,3),ROUND(H21/(500*(TaH-TrH)),2))</f>
        <v>1.21</v>
      </c>
      <c r="J21" s="83">
        <f>ROUND(INDEX($AG21:$AK21,0,FanspeedH)*Basis!$E$4,1)</f>
        <v>199.5</v>
      </c>
      <c r="K21" s="85">
        <f>INDEX($AS21:$AW21,0,FanspeedH)</f>
        <v>19.100000000000001</v>
      </c>
      <c r="L21" s="84">
        <f>CHOOSE(Basis!$E$1,$AY21*(I21*3600/Basis!$E$5)^$AZ21*Basis!$E$6/Basis!$E$9,$AY21*(I21/Basis!$E$5)^$AZ21*Basis!$E$6/Basis!$E$9)</f>
        <v>0.50141786257511667</v>
      </c>
      <c r="M21" s="85">
        <f>INDEX($AM21:$AQ21,0,FanspeedH)</f>
        <v>0</v>
      </c>
      <c r="N21" s="45">
        <f>ROUND((INDEX($BB21:$BF21,0,FanspeedC)*($U$5/$V$5)^N_c)*Basis!$E$2*Glycol*$AA$4,0)</f>
        <v>3658</v>
      </c>
      <c r="O21" s="108">
        <f>(($N21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4128.1895349420456</v>
      </c>
      <c r="P21" s="123">
        <f>IF(Basis!$E$1=1,ROUND(O21/(($O$3-$O$2)*1.163)/3600,3),ROUND(O21/(500*($O$3-$O$2)),2))</f>
        <v>0.83</v>
      </c>
      <c r="Q21" s="83">
        <f>IF(N21=0,0,ROUND(INDEX($AG21:$AK21,0,FanspeedC)*Basis!$E$4,1))</f>
        <v>199.5</v>
      </c>
      <c r="R21" s="85">
        <f>IF(N21=0,0,INDEX($AS21:$AW21,0,FanspeedC))</f>
        <v>19.100000000000001</v>
      </c>
      <c r="S21" s="84">
        <f>CHOOSE(Basis!$E$1,$BH21*(P21*3600/Basis!$E$5)^$BI21*Basis!$E$6/Basis!$E$9,$BH21*(P21/Basis!$E$5)^$BI21*Basis!$E$6/Basis!$E$9)</f>
        <v>0.24852764190806464</v>
      </c>
      <c r="T21" s="85">
        <f>IF(N21=0,0,INDEX($AM21:$AQ21,0,FanspeedC))</f>
        <v>0</v>
      </c>
      <c r="U21" s="110">
        <v>0.77110000000000001</v>
      </c>
      <c r="V21" s="110">
        <v>0.85389999999999999</v>
      </c>
      <c r="W21" s="110">
        <v>0.8831</v>
      </c>
      <c r="X21" s="110">
        <v>0.85870000000000002</v>
      </c>
      <c r="Y21" s="110">
        <v>0.78069999999999995</v>
      </c>
      <c r="Z21" s="74"/>
      <c r="AA21" s="73">
        <v>4917.3644816368969</v>
      </c>
      <c r="AB21" s="73">
        <v>4112.7604759398218</v>
      </c>
      <c r="AC21" s="73">
        <v>3186.0571968657455</v>
      </c>
      <c r="AD21" s="73">
        <v>2137.2546444146683</v>
      </c>
      <c r="AE21" s="73">
        <v>966.35281858659005</v>
      </c>
      <c r="AF21" s="74"/>
      <c r="AG21" s="75">
        <v>339</v>
      </c>
      <c r="AH21" s="75">
        <v>285</v>
      </c>
      <c r="AI21" s="75">
        <v>218</v>
      </c>
      <c r="AJ21" s="75">
        <v>129</v>
      </c>
      <c r="AK21" s="75">
        <v>79</v>
      </c>
      <c r="AL21" s="74"/>
      <c r="AM21" s="76"/>
      <c r="AN21" s="76"/>
      <c r="AO21" s="76"/>
      <c r="AP21" s="76"/>
      <c r="AQ21" s="76"/>
      <c r="AR21" s="74"/>
      <c r="AS21" s="77">
        <v>19.100000000000001</v>
      </c>
      <c r="AT21" s="77">
        <v>12.3</v>
      </c>
      <c r="AU21" s="77">
        <v>6.4</v>
      </c>
      <c r="AV21" s="77">
        <v>3.4320000000000004</v>
      </c>
      <c r="AW21" s="77">
        <v>1.992</v>
      </c>
      <c r="AX21" s="74"/>
      <c r="AY21" s="100">
        <v>4.3073444316382473E-5</v>
      </c>
      <c r="AZ21" s="98">
        <v>1.862013136789098</v>
      </c>
      <c r="BA21" s="74"/>
      <c r="BB21" s="73">
        <v>838.63944036189139</v>
      </c>
      <c r="BC21" s="73">
        <v>692.9252120314776</v>
      </c>
      <c r="BD21" s="73">
        <v>539.2383212015659</v>
      </c>
      <c r="BE21" s="73">
        <v>377.57876787215622</v>
      </c>
      <c r="BF21" s="73">
        <v>207.94655204324866</v>
      </c>
      <c r="BG21" s="74"/>
      <c r="BH21" s="100">
        <v>4.3073444316382473E-5</v>
      </c>
      <c r="BI21" s="98">
        <v>1.862013136789098</v>
      </c>
      <c r="BJ21" s="74"/>
      <c r="BK21" s="209" t="s">
        <v>3256</v>
      </c>
      <c r="BL21" s="48"/>
      <c r="CI21"/>
      <c r="CJ21"/>
      <c r="CK21"/>
    </row>
    <row r="22" spans="1:89" ht="15" x14ac:dyDescent="0.25">
      <c r="A22" s="72" t="s">
        <v>119</v>
      </c>
      <c r="B22" s="210" t="s">
        <v>3265</v>
      </c>
      <c r="C22" s="208" t="s">
        <v>3254</v>
      </c>
      <c r="D22" s="45">
        <f>ROUND(MID('Clima Canal'!$C22,6,3)/Basis!$E$3,1)</f>
        <v>5.0999999999999996</v>
      </c>
      <c r="E22" s="45">
        <f>ROUND(MID('Clima Canal'!$C22,9,3)/Basis!$E$3,1)</f>
        <v>66.900000000000006</v>
      </c>
      <c r="F22" s="106" t="s">
        <v>51</v>
      </c>
      <c r="G22" s="45">
        <f>ROUND(32/Basis!$E$3,1)</f>
        <v>12.6</v>
      </c>
      <c r="H22" s="223">
        <f>ROUND(INDEX($AA22:$AE22,0,FanspeedH)*Basis!$E$2*((TaH-TrH)/LN(1/µ)/Basis!$E$7)*Glycol*$AA$4,0)</f>
        <v>15558</v>
      </c>
      <c r="I22" s="123">
        <f>IF(Basis!$E$1=1,ROUND(H22/((TaH-TrH)*1.163)/3600,3),ROUND(H22/(500*(TaH-TrH)),2))</f>
        <v>1.56</v>
      </c>
      <c r="J22" s="83">
        <f>ROUND(INDEX($AG22:$AK22,0,FanspeedH)*Basis!$E$4,1)</f>
        <v>241.3</v>
      </c>
      <c r="K22" s="85">
        <f>INDEX($AS22:$AW22,0,FanspeedH)</f>
        <v>19.399999999999999</v>
      </c>
      <c r="L22" s="84">
        <f>CHOOSE(Basis!$E$1,$AY22*(I22*3600/Basis!$E$5)^$AZ22*Basis!$E$6/Basis!$E$9,$AY22*(I22/Basis!$E$5)^$AZ22*Basis!$E$6/Basis!$E$9)</f>
        <v>0.92129324490348363</v>
      </c>
      <c r="M22" s="85">
        <f>INDEX($AM22:$AQ22,0,FanspeedH)</f>
        <v>0</v>
      </c>
      <c r="N22" s="45">
        <f>ROUND((INDEX($BB22:$BF22,0,FanspeedC)*($U$5/$V$5)^N_c)*Basis!$E$2*Glycol*$AA$4,0)</f>
        <v>4718</v>
      </c>
      <c r="O22" s="108">
        <f>(($N22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5324.4390994687183</v>
      </c>
      <c r="P22" s="123">
        <f>IF(Basis!$E$1=1,ROUND(O22/(($O$3-$O$2)*1.163)/3600,3),ROUND(O22/(500*($O$3-$O$2)),2))</f>
        <v>1.06</v>
      </c>
      <c r="Q22" s="83">
        <f>IF(N22=0,0,ROUND(INDEX($AG22:$AK22,0,FanspeedC)*Basis!$E$4,1))</f>
        <v>241.3</v>
      </c>
      <c r="R22" s="85">
        <f>IF(N22=0,0,INDEX($AS22:$AW22,0,FanspeedC))</f>
        <v>19.399999999999999</v>
      </c>
      <c r="S22" s="84">
        <f>CHOOSE(Basis!$E$1,$BH22*(P22*3600/Basis!$E$5)^$BI22*Basis!$E$6/Basis!$E$9,$BH22*(P22/Basis!$E$5)^$BI22*Basis!$E$6/Basis!$E$9)</f>
        <v>0.45133548022696873</v>
      </c>
      <c r="T22" s="85">
        <f>IF(N22=0,0,INDEX($AM22:$AQ22,0,FanspeedC))</f>
        <v>0</v>
      </c>
      <c r="U22" s="109">
        <v>0.77110000000000001</v>
      </c>
      <c r="V22" s="109">
        <v>0.85389999999999999</v>
      </c>
      <c r="W22" s="109">
        <v>0.8831</v>
      </c>
      <c r="X22" s="109">
        <v>0.85870000000000002</v>
      </c>
      <c r="Y22" s="109">
        <v>0.78069999999999995</v>
      </c>
      <c r="Z22" s="68"/>
      <c r="AA22" s="67">
        <v>6342.6875197925201</v>
      </c>
      <c r="AB22" s="67">
        <v>5304.8649617194806</v>
      </c>
      <c r="AC22" s="67">
        <v>4109.5520365369757</v>
      </c>
      <c r="AD22" s="67">
        <v>2756.7487442450069</v>
      </c>
      <c r="AE22" s="67">
        <v>1246.4550848435726</v>
      </c>
      <c r="AF22" s="68"/>
      <c r="AG22" s="69">
        <v>410</v>
      </c>
      <c r="AH22" s="69">
        <v>352</v>
      </c>
      <c r="AI22" s="69">
        <v>259</v>
      </c>
      <c r="AJ22" s="69">
        <v>158</v>
      </c>
      <c r="AK22" s="69">
        <v>84</v>
      </c>
      <c r="AL22" s="68"/>
      <c r="AM22" s="70"/>
      <c r="AN22" s="70"/>
      <c r="AO22" s="70"/>
      <c r="AP22" s="70"/>
      <c r="AQ22" s="70"/>
      <c r="AR22" s="68"/>
      <c r="AS22" s="71">
        <v>19.399999999999999</v>
      </c>
      <c r="AT22" s="71">
        <v>13.100000000000001</v>
      </c>
      <c r="AU22" s="71">
        <v>7.4</v>
      </c>
      <c r="AV22" s="71">
        <v>4.032</v>
      </c>
      <c r="AW22" s="71">
        <v>2.3839999999999999</v>
      </c>
      <c r="AX22" s="68"/>
      <c r="AY22" s="99">
        <v>5.3973746074995627E-5</v>
      </c>
      <c r="AZ22" s="97">
        <v>1.8466258544050462</v>
      </c>
      <c r="BA22" s="68"/>
      <c r="BB22" s="67">
        <v>1081.7233361189615</v>
      </c>
      <c r="BC22" s="67">
        <v>893.77309957683349</v>
      </c>
      <c r="BD22" s="67">
        <v>695.53928386868654</v>
      </c>
      <c r="BE22" s="67">
        <v>487.02188899452034</v>
      </c>
      <c r="BF22" s="67">
        <v>268.22091495433523</v>
      </c>
      <c r="BG22" s="68"/>
      <c r="BH22" s="99">
        <v>5.3973746074995627E-5</v>
      </c>
      <c r="BI22" s="97">
        <v>1.8466258544050462</v>
      </c>
      <c r="BJ22" s="68"/>
      <c r="BK22" s="209" t="s">
        <v>3256</v>
      </c>
      <c r="BL22" s="50"/>
      <c r="CI22"/>
      <c r="CJ22"/>
      <c r="CK22"/>
    </row>
    <row r="23" spans="1:89" ht="15" x14ac:dyDescent="0.25">
      <c r="A23" s="72" t="s">
        <v>119</v>
      </c>
      <c r="B23" s="210" t="s">
        <v>3265</v>
      </c>
      <c r="C23" s="208" t="s">
        <v>3245</v>
      </c>
      <c r="D23" s="45">
        <f>ROUND(MID('Clima Canal'!$C23,6,3)/Basis!$E$3,1)</f>
        <v>5.0999999999999996</v>
      </c>
      <c r="E23" s="45">
        <f>ROUND(MID('Clima Canal'!$C23,9,3)/Basis!$E$3,1)</f>
        <v>78.7</v>
      </c>
      <c r="F23" s="46" t="s">
        <v>51</v>
      </c>
      <c r="G23" s="45">
        <f>ROUND(32/Basis!$E$3,1)</f>
        <v>12.6</v>
      </c>
      <c r="H23" s="223">
        <f>ROUND(INDEX($AA23:$AE23,0,FanspeedH)*Basis!$E$2*((TaH-TrH)/LN(1/µ)/Basis!$E$7)*Glycol*$AA$4,0)</f>
        <v>19055</v>
      </c>
      <c r="I23" s="123">
        <f>IF(Basis!$E$1=1,ROUND(H23/((TaH-TrH)*1.163)/3600,3),ROUND(H23/(500*(TaH-TrH)),2))</f>
        <v>1.91</v>
      </c>
      <c r="J23" s="83">
        <f>ROUND(INDEX($AG23:$AK23,0,FanspeedH)*Basis!$E$4,1)</f>
        <v>279.60000000000002</v>
      </c>
      <c r="K23" s="85">
        <f>INDEX($AS23:$AW23,0,FanspeedH)</f>
        <v>20.9</v>
      </c>
      <c r="L23" s="84">
        <f>CHOOSE(Basis!$E$1,$AY23*(I23*3600/Basis!$E$5)^$AZ23*Basis!$E$6/Basis!$E$9,$AY23*(I23/Basis!$E$5)^$AZ23*Basis!$E$6/Basis!$E$9)</f>
        <v>1.5039191600891693</v>
      </c>
      <c r="M23" s="85">
        <f>INDEX($AM23:$AQ23,0,FanspeedH)</f>
        <v>0</v>
      </c>
      <c r="N23" s="45">
        <f>ROUND((INDEX($BB23:$BF23,0,FanspeedC)*($U$5/$V$5)^N_c)*Basis!$E$2*Glycol*$AA$4,0)</f>
        <v>5778</v>
      </c>
      <c r="O23" s="108">
        <f>(($N23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6520.68866399539</v>
      </c>
      <c r="P23" s="123">
        <f>IF(Basis!$E$1=1,ROUND(O23/(($O$3-$O$2)*1.163)/3600,3),ROUND(O23/(500*($O$3-$O$2)),2))</f>
        <v>1.3</v>
      </c>
      <c r="Q23" s="83">
        <f>IF(N23=0,0,ROUND(INDEX($AG23:$AK23,0,FanspeedC)*Basis!$E$4,1))</f>
        <v>279.60000000000002</v>
      </c>
      <c r="R23" s="85">
        <f>IF(N23=0,0,INDEX($AS23:$AW23,0,FanspeedC))</f>
        <v>20.9</v>
      </c>
      <c r="S23" s="84">
        <f>CHOOSE(Basis!$E$1,$BH23*(P23*3600/Basis!$E$5)^$BI23*Basis!$E$6/Basis!$E$9,$BH23*(P23/Basis!$E$5)^$BI23*Basis!$E$6/Basis!$E$9)</f>
        <v>0.74232770788625924</v>
      </c>
      <c r="T23" s="85">
        <f>IF(N23=0,0,INDEX($AM23:$AQ23,0,FanspeedC))</f>
        <v>0</v>
      </c>
      <c r="U23" s="110">
        <v>0.77110000000000001</v>
      </c>
      <c r="V23" s="110">
        <v>0.85389999999999999</v>
      </c>
      <c r="W23" s="110">
        <v>0.8831</v>
      </c>
      <c r="X23" s="110">
        <v>0.85870000000000002</v>
      </c>
      <c r="Y23" s="110">
        <v>0.78069999999999995</v>
      </c>
      <c r="Z23" s="74"/>
      <c r="AA23" s="73">
        <v>7768.0105579481424</v>
      </c>
      <c r="AB23" s="73">
        <v>6496.9694474991384</v>
      </c>
      <c r="AC23" s="73">
        <v>5033.0468762082064</v>
      </c>
      <c r="AD23" s="73">
        <v>3376.2428440753456</v>
      </c>
      <c r="AE23" s="73">
        <v>1526.5573511005555</v>
      </c>
      <c r="AF23" s="74"/>
      <c r="AG23" s="75">
        <v>475</v>
      </c>
      <c r="AH23" s="75">
        <v>403</v>
      </c>
      <c r="AI23" s="75">
        <v>307</v>
      </c>
      <c r="AJ23" s="75">
        <v>199</v>
      </c>
      <c r="AK23" s="75">
        <v>93</v>
      </c>
      <c r="AL23" s="74"/>
      <c r="AM23" s="76"/>
      <c r="AN23" s="76"/>
      <c r="AO23" s="76"/>
      <c r="AP23" s="76"/>
      <c r="AQ23" s="76"/>
      <c r="AR23" s="74"/>
      <c r="AS23" s="77">
        <v>20.9</v>
      </c>
      <c r="AT23" s="77">
        <v>13.600000000000001</v>
      </c>
      <c r="AU23" s="77">
        <v>7.4</v>
      </c>
      <c r="AV23" s="77">
        <v>4.2</v>
      </c>
      <c r="AW23" s="77">
        <v>2.4079999999999999</v>
      </c>
      <c r="AX23" s="74"/>
      <c r="AY23" s="100">
        <v>6.5019104543708104E-5</v>
      </c>
      <c r="AZ23" s="98">
        <v>1.8351115788823005</v>
      </c>
      <c r="BA23" s="74"/>
      <c r="BB23" s="73">
        <v>1324.8072318760314</v>
      </c>
      <c r="BC23" s="73">
        <v>1094.6209871221893</v>
      </c>
      <c r="BD23" s="73">
        <v>851.84024653580707</v>
      </c>
      <c r="BE23" s="73">
        <v>596.46501011688451</v>
      </c>
      <c r="BF23" s="73">
        <v>328.49527786542183</v>
      </c>
      <c r="BG23" s="74"/>
      <c r="BH23" s="100">
        <v>6.5019104543708104E-5</v>
      </c>
      <c r="BI23" s="98">
        <v>1.8351115788823005</v>
      </c>
      <c r="BJ23" s="74"/>
      <c r="BK23" s="209" t="s">
        <v>3256</v>
      </c>
      <c r="BL23" s="48"/>
      <c r="CI23"/>
      <c r="CJ23"/>
      <c r="CK23"/>
    </row>
    <row r="24" spans="1:89" ht="15" x14ac:dyDescent="0.25">
      <c r="A24" s="72" t="s">
        <v>119</v>
      </c>
      <c r="B24" s="210" t="s">
        <v>3265</v>
      </c>
      <c r="C24" s="208" t="s">
        <v>3255</v>
      </c>
      <c r="D24" s="45">
        <f>ROUND(MID('Clima Canal'!$C24,6,3)/Basis!$E$3,1)</f>
        <v>5.0999999999999996</v>
      </c>
      <c r="E24" s="45">
        <f>ROUND(MID('Clima Canal'!$C24,9,3)/Basis!$E$3,1)</f>
        <v>90.6</v>
      </c>
      <c r="F24" s="46" t="s">
        <v>51</v>
      </c>
      <c r="G24" s="45">
        <f>ROUND(32/Basis!$E$3,1)</f>
        <v>12.6</v>
      </c>
      <c r="H24" s="223">
        <f>ROUND(INDEX($AA24:$AE24,0,FanspeedH)*Basis!$E$2*((TaH-TrH)/LN(1/µ)/Basis!$E$7)*Glycol*$AA$4,0)</f>
        <v>22551</v>
      </c>
      <c r="I24" s="123">
        <f>IF(Basis!$E$1=1,ROUND(H24/((TaH-TrH)*1.163)/3600,3),ROUND(H24/(500*(TaH-TrH)),2))</f>
        <v>2.2599999999999998</v>
      </c>
      <c r="J24" s="83">
        <f>ROUND(INDEX($AG24:$AK24,0,FanspeedH)*Basis!$E$4,1)</f>
        <v>321.39999999999998</v>
      </c>
      <c r="K24" s="85">
        <f>INDEX($AS24:$AW24,0,FanspeedH)</f>
        <v>21.2</v>
      </c>
      <c r="L24" s="84">
        <f>CHOOSE(Basis!$E$1,$AY24*(I24*3600/Basis!$E$5)^$AZ24*Basis!$E$6/Basis!$E$9,$AY24*(I24/Basis!$E$5)^$AZ24*Basis!$E$6/Basis!$E$9)</f>
        <v>2.2697650975599637</v>
      </c>
      <c r="M24" s="85">
        <f>INDEX($AM24:$AQ24,0,FanspeedH)</f>
        <v>0</v>
      </c>
      <c r="N24" s="45">
        <f>ROUND((INDEX($BB24:$BF24,0,FanspeedC)*($U$5/$V$5)^N_c)*Basis!$E$2*Glycol*$AA$4,0)</f>
        <v>6838</v>
      </c>
      <c r="O24" s="108">
        <f>(($N24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7716.9382285220627</v>
      </c>
      <c r="P24" s="123">
        <f>IF(Basis!$E$1=1,ROUND(O24/(($O$3-$O$2)*1.163)/3600,3),ROUND(O24/(500*($O$3-$O$2)),2))</f>
        <v>1.54</v>
      </c>
      <c r="Q24" s="83">
        <f>IF(N24=0,0,ROUND(INDEX($AG24:$AK24,0,FanspeedC)*Basis!$E$4,1))</f>
        <v>321.39999999999998</v>
      </c>
      <c r="R24" s="85">
        <f>IF(N24=0,0,INDEX($AS24:$AW24,0,FanspeedC))</f>
        <v>21.2</v>
      </c>
      <c r="S24" s="84">
        <f>CHOOSE(Basis!$E$1,$BH24*(P24*3600/Basis!$E$5)^$BI24*Basis!$E$6/Basis!$E$9,$BH24*(P24/Basis!$E$5)^$BI24*Basis!$E$6/Basis!$E$9)</f>
        <v>1.1269351879344836</v>
      </c>
      <c r="T24" s="85">
        <f>IF(N24=0,0,INDEX($AM24:$AQ24,0,FanspeedC))</f>
        <v>0</v>
      </c>
      <c r="U24" s="109">
        <v>0.77110000000000001</v>
      </c>
      <c r="V24" s="109">
        <v>0.85389999999999999</v>
      </c>
      <c r="W24" s="109">
        <v>0.8831</v>
      </c>
      <c r="X24" s="109">
        <v>0.85870000000000002</v>
      </c>
      <c r="Y24" s="109">
        <v>0.78069999999999995</v>
      </c>
      <c r="Z24" s="68"/>
      <c r="AA24" s="67">
        <v>9193.3335961037646</v>
      </c>
      <c r="AB24" s="67">
        <v>7689.0739332787971</v>
      </c>
      <c r="AC24" s="67">
        <v>5956.5417158794371</v>
      </c>
      <c r="AD24" s="67">
        <v>3995.7369439056843</v>
      </c>
      <c r="AE24" s="67">
        <v>1806.6596173575381</v>
      </c>
      <c r="AF24" s="68"/>
      <c r="AG24" s="69">
        <v>546</v>
      </c>
      <c r="AH24" s="69">
        <v>470</v>
      </c>
      <c r="AI24" s="69">
        <v>348</v>
      </c>
      <c r="AJ24" s="69">
        <v>228</v>
      </c>
      <c r="AK24" s="69">
        <v>98</v>
      </c>
      <c r="AL24" s="68"/>
      <c r="AM24" s="70"/>
      <c r="AN24" s="70"/>
      <c r="AO24" s="70"/>
      <c r="AP24" s="70"/>
      <c r="AQ24" s="70"/>
      <c r="AR24" s="68"/>
      <c r="AS24" s="71">
        <v>21.2</v>
      </c>
      <c r="AT24" s="71">
        <v>14.4</v>
      </c>
      <c r="AU24" s="71">
        <v>8.4</v>
      </c>
      <c r="AV24" s="71">
        <v>4.8</v>
      </c>
      <c r="AW24" s="71">
        <v>2.8</v>
      </c>
      <c r="AX24" s="68"/>
      <c r="AY24" s="99">
        <v>7.6583688224419073E-5</v>
      </c>
      <c r="AZ24" s="97">
        <v>1.8253564962973818</v>
      </c>
      <c r="BA24" s="68"/>
      <c r="BB24" s="67">
        <v>1567.8911276331014</v>
      </c>
      <c r="BC24" s="67">
        <v>1295.4688746675452</v>
      </c>
      <c r="BD24" s="67">
        <v>1008.1412092029277</v>
      </c>
      <c r="BE24" s="67">
        <v>705.90813123924863</v>
      </c>
      <c r="BF24" s="67">
        <v>388.76964077650842</v>
      </c>
      <c r="BG24" s="68"/>
      <c r="BH24" s="99">
        <v>7.6583688224419073E-5</v>
      </c>
      <c r="BI24" s="97">
        <v>1.8253564962973818</v>
      </c>
      <c r="BJ24" s="68"/>
      <c r="BK24" s="209" t="s">
        <v>3256</v>
      </c>
      <c r="BL24" s="50"/>
      <c r="CI24"/>
      <c r="CJ24"/>
      <c r="CK24"/>
    </row>
    <row r="25" spans="1:89" ht="15" x14ac:dyDescent="0.25">
      <c r="A25" s="72" t="s">
        <v>119</v>
      </c>
      <c r="B25" s="210" t="s">
        <v>3265</v>
      </c>
      <c r="C25" s="112" t="s">
        <v>3246</v>
      </c>
      <c r="D25" s="45">
        <f>ROUND(MID('Clima Canal'!$C25,6,3)/Basis!$E$3,1)</f>
        <v>5.0999999999999996</v>
      </c>
      <c r="E25" s="45">
        <f>ROUND(MID('Clima Canal'!$C25,9,3)/Basis!$E$3,1)</f>
        <v>110.2</v>
      </c>
      <c r="F25" s="46" t="s">
        <v>51</v>
      </c>
      <c r="G25" s="45">
        <f>ROUND(32/Basis!$E$3,1)</f>
        <v>12.6</v>
      </c>
      <c r="H25" s="223">
        <f>ROUND(INDEX($AA25:$AE25,0,FanspeedH)*Basis!$E$2*((TaH-TrH)/LN(1/µ)/Basis!$E$7)*Glycol*$AA$4,0)</f>
        <v>28378</v>
      </c>
      <c r="I25" s="123">
        <f>IF(Basis!$E$1=1,ROUND(H25/((TaH-TrH)*1.163)/3600,3),ROUND(H25/(500*(TaH-TrH)),2))</f>
        <v>2.84</v>
      </c>
      <c r="J25" s="83">
        <f>ROUND(INDEX($AG25:$AK25,0,FanspeedH)*Basis!$E$4,1)</f>
        <v>402</v>
      </c>
      <c r="K25" s="85">
        <f>INDEX($AS25:$AW25,0,FanspeedH)</f>
        <v>30</v>
      </c>
      <c r="L25" s="84">
        <f>CHOOSE(Basis!$E$1,$AY25*(I25*3600/Basis!$E$5)^$AZ25*Basis!$E$6/Basis!$E$9,$AY25*(I25/Basis!$E$5)^$AZ25*Basis!$E$6/Basis!$E$9)</f>
        <v>3.9943855995512005</v>
      </c>
      <c r="M25" s="85">
        <f>INDEX($AM25:$AQ25,0,FanspeedH)</f>
        <v>0</v>
      </c>
      <c r="N25" s="45">
        <f>ROUND((INDEX($BB25:$BF25,0,FanspeedC)*($U$5/$V$5)^N_c)*Basis!$E$2*Glycol*$AA$4,0)</f>
        <v>8605</v>
      </c>
      <c r="O25" s="108">
        <f>(($N25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9711.063681841526</v>
      </c>
      <c r="P25" s="123">
        <f>IF(Basis!$E$1=1,ROUND(O25/(($O$3-$O$2)*1.163)/3600,3),ROUND(O25/(500*($O$3-$O$2)),2))</f>
        <v>1.94</v>
      </c>
      <c r="Q25" s="83">
        <f>IF(N25=0,0,ROUND(INDEX($AG25:$AK25,0,FanspeedC)*Basis!$E$4,1))</f>
        <v>402</v>
      </c>
      <c r="R25" s="85">
        <f>IF(N25=0,0,INDEX($AS25:$AW25,0,FanspeedC))</f>
        <v>30</v>
      </c>
      <c r="S25" s="84">
        <f>CHOOSE(Basis!$E$1,$BH25*(P25*3600/Basis!$E$5)^$BI25*Basis!$E$6/Basis!$E$9,$BH25*(P25/Basis!$E$5)^$BI25*Basis!$E$6/Basis!$E$9)</f>
        <v>2.002412825377677</v>
      </c>
      <c r="T25" s="85">
        <f>IF(N25=0,0,INDEX($AM25:$AQ25,0,FanspeedC))</f>
        <v>0</v>
      </c>
      <c r="U25" s="110">
        <v>0.77110000000000001</v>
      </c>
      <c r="V25" s="110">
        <v>0.85389999999999999</v>
      </c>
      <c r="W25" s="110">
        <v>0.8831</v>
      </c>
      <c r="X25" s="110">
        <v>0.85870000000000002</v>
      </c>
      <c r="Y25" s="110">
        <v>0.78069999999999995</v>
      </c>
      <c r="Z25" s="74"/>
      <c r="AA25" s="73">
        <v>11568.871993029803</v>
      </c>
      <c r="AB25" s="73">
        <v>9675.9147429115619</v>
      </c>
      <c r="AC25" s="73">
        <v>7495.6997819981552</v>
      </c>
      <c r="AD25" s="73">
        <v>5028.227110289582</v>
      </c>
      <c r="AE25" s="73">
        <v>2273.4967277858427</v>
      </c>
      <c r="AF25" s="74"/>
      <c r="AG25" s="75">
        <v>683</v>
      </c>
      <c r="AH25" s="75">
        <v>587</v>
      </c>
      <c r="AI25" s="75">
        <v>433</v>
      </c>
      <c r="AJ25" s="75">
        <v>272</v>
      </c>
      <c r="AK25" s="75">
        <v>133</v>
      </c>
      <c r="AL25" s="74"/>
      <c r="AM25" s="76"/>
      <c r="AN25" s="76"/>
      <c r="AO25" s="76"/>
      <c r="AP25" s="76"/>
      <c r="AQ25" s="76"/>
      <c r="AR25" s="74"/>
      <c r="AS25" s="77">
        <v>30</v>
      </c>
      <c r="AT25" s="77">
        <v>20.3</v>
      </c>
      <c r="AU25" s="77">
        <v>11.600000000000001</v>
      </c>
      <c r="AV25" s="77">
        <v>6.4320000000000004</v>
      </c>
      <c r="AW25" s="77">
        <v>3.7839999999999998</v>
      </c>
      <c r="AX25" s="74"/>
      <c r="AY25" s="100">
        <v>9.6910939216495503E-5</v>
      </c>
      <c r="AZ25" s="98">
        <v>1.8118808069056789</v>
      </c>
      <c r="BA25" s="74"/>
      <c r="BB25" s="73">
        <v>1973.0309538948848</v>
      </c>
      <c r="BC25" s="73">
        <v>1630.2153539098049</v>
      </c>
      <c r="BD25" s="73">
        <v>1268.6428136481286</v>
      </c>
      <c r="BE25" s="73">
        <v>888.31333310985553</v>
      </c>
      <c r="BF25" s="73">
        <v>489.22691229498605</v>
      </c>
      <c r="BG25" s="74"/>
      <c r="BH25" s="100">
        <v>9.6910939216495503E-5</v>
      </c>
      <c r="BI25" s="98">
        <v>1.8118808069056789</v>
      </c>
      <c r="BJ25" s="74"/>
      <c r="BK25" s="47" t="s">
        <v>3256</v>
      </c>
      <c r="BL25" s="48"/>
      <c r="CI25"/>
      <c r="CJ25"/>
      <c r="CK25"/>
    </row>
    <row r="26" spans="1:89" ht="15" x14ac:dyDescent="0.25">
      <c r="A26" s="242" t="s">
        <v>119</v>
      </c>
      <c r="B26" s="243" t="s">
        <v>3265</v>
      </c>
      <c r="C26" s="244" t="s">
        <v>4137</v>
      </c>
      <c r="D26" s="245">
        <f>ROUND(MID('Clima Canal'!$C26,6,3)/Basis!$E$3,1)</f>
        <v>5.0999999999999996</v>
      </c>
      <c r="E26" s="245">
        <f>ROUND(MID('Clima Canal'!$C26,9,3)/Basis!$E$3,1)</f>
        <v>118.1</v>
      </c>
      <c r="F26" s="246" t="s">
        <v>51</v>
      </c>
      <c r="G26" s="245">
        <f>ROUND(32/Basis!$E$3,1)</f>
        <v>12.6</v>
      </c>
      <c r="H26" s="245">
        <f>ROUND(INDEX($AA26:$AE26,0,FanspeedH)*Basis!$E$2*((TaH-TrH)/LN(1/µ)/Basis!$E$7)*Glycol*$AA$4,0)</f>
        <v>30709</v>
      </c>
      <c r="I26" s="123">
        <f>IF(Basis!$E$1=1,ROUND(H26/((TaH-TrH)*1.163)/3600,3),ROUND(H26/(500*(TaH-TrH)),2))</f>
        <v>3.07</v>
      </c>
      <c r="J26" s="83">
        <f>ROUND(INDEX($AG26:$AK26,0,FanspeedH)*Basis!$E$4,1)</f>
        <v>440.3</v>
      </c>
      <c r="K26" s="85">
        <f>INDEX($AS26:$AW26,0,FanspeedH)</f>
        <v>38.799999999999997</v>
      </c>
      <c r="L26" s="84">
        <f>CHOOSE(Basis!$E$1,$AY26*(I26*3600/Basis!$E$5)^$AZ26*Basis!$E$6/Basis!$E$9,$AY26*(I26/Basis!$E$5)^$AZ26*Basis!$E$6/Basis!$E$9)</f>
        <v>4.7484108028858367</v>
      </c>
      <c r="M26" s="85">
        <f>INDEX($AM26:$AQ26,0,FanspeedH)</f>
        <v>0</v>
      </c>
      <c r="N26" s="245">
        <f>ROUND((INDEX($BB26:$BF26,0,FanspeedC)*($U$5/$V$5)^N_c)*Basis!$E$2*Glycol*$AA$4,0)</f>
        <v>9312</v>
      </c>
      <c r="O26" s="108">
        <f>(($N26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10508.939570634315</v>
      </c>
      <c r="P26" s="123">
        <f>IF(Basis!$E$1=1,ROUND(O26/(($O$3-$O$2)*1.163)/3600,3),ROUND(O26/(500*($O$3-$O$2)),2))</f>
        <v>2.1</v>
      </c>
      <c r="Q26" s="83">
        <f>IF(N26=0,0,ROUND(INDEX($AG26:$AK26,0,FanspeedC)*Basis!$E$4,1))</f>
        <v>440.3</v>
      </c>
      <c r="R26" s="85">
        <f>IF(N26=0,0,INDEX($AS26:$AW26,0,FanspeedC))</f>
        <v>38.799999999999997</v>
      </c>
      <c r="S26" s="84">
        <f>CHOOSE(Basis!$E$1,$BH26*(P26*3600/Basis!$E$5)^$BI26*Basis!$E$6/Basis!$E$9,$BH26*(P26/Basis!$E$5)^$BI26*Basis!$E$6/Basis!$E$9)</f>
        <v>2.3877218197153534</v>
      </c>
      <c r="T26" s="238">
        <f>IF(N26=0,0,INDEX($AM26:$AQ26,0,FanspeedC))</f>
        <v>0</v>
      </c>
      <c r="U26" s="109">
        <v>0.77110000000000001</v>
      </c>
      <c r="V26" s="109">
        <v>0.85389999999999999</v>
      </c>
      <c r="W26" s="109">
        <v>0.8831</v>
      </c>
      <c r="X26" s="109">
        <v>0.85870000000000002</v>
      </c>
      <c r="Y26" s="109">
        <v>0.78069999999999995</v>
      </c>
      <c r="Z26" s="68"/>
      <c r="AA26" s="67">
        <v>12519.2</v>
      </c>
      <c r="AB26" s="67">
        <v>10470.700000000001</v>
      </c>
      <c r="AC26" s="67">
        <v>8111.2999999999993</v>
      </c>
      <c r="AD26" s="67">
        <v>5441.28</v>
      </c>
      <c r="AE26" s="67">
        <v>2460.2200000000003</v>
      </c>
      <c r="AF26" s="68"/>
      <c r="AG26" s="69">
        <v>748</v>
      </c>
      <c r="AH26" s="69">
        <v>638</v>
      </c>
      <c r="AI26" s="69">
        <v>481</v>
      </c>
      <c r="AJ26" s="69">
        <v>313</v>
      </c>
      <c r="AK26" s="69">
        <v>142</v>
      </c>
      <c r="AL26" s="68"/>
      <c r="AM26" s="70"/>
      <c r="AN26" s="70"/>
      <c r="AO26" s="70"/>
      <c r="AP26" s="70"/>
      <c r="AQ26" s="70"/>
      <c r="AR26" s="68"/>
      <c r="AS26" s="71">
        <v>38.799999999999997</v>
      </c>
      <c r="AT26" s="71">
        <v>26.2</v>
      </c>
      <c r="AU26" s="71">
        <v>14.8</v>
      </c>
      <c r="AV26" s="71">
        <v>8</v>
      </c>
      <c r="AW26" s="71">
        <v>4.8</v>
      </c>
      <c r="AX26" s="68"/>
      <c r="AY26" s="99">
        <v>1.0103900000000001E-4</v>
      </c>
      <c r="AZ26" s="97">
        <v>1.81037</v>
      </c>
      <c r="BA26" s="68"/>
      <c r="BB26" s="67">
        <v>2135.09</v>
      </c>
      <c r="BC26" s="67">
        <v>1764.1099999999997</v>
      </c>
      <c r="BD26" s="67">
        <v>1372.83</v>
      </c>
      <c r="BE26" s="67">
        <v>961.2700000000001</v>
      </c>
      <c r="BF26" s="67">
        <v>529.39599999999996</v>
      </c>
      <c r="BG26" s="68"/>
      <c r="BH26" s="99">
        <v>1.0103900000000001E-4</v>
      </c>
      <c r="BI26" s="97">
        <v>1.81037</v>
      </c>
      <c r="BJ26" s="68"/>
      <c r="BK26" s="49" t="s">
        <v>3256</v>
      </c>
      <c r="BL26" s="50"/>
      <c r="CI26"/>
      <c r="CJ26"/>
      <c r="CK26"/>
    </row>
    <row r="27" spans="1:89" ht="15" x14ac:dyDescent="0.25">
      <c r="A27" s="242" t="s">
        <v>119</v>
      </c>
      <c r="B27" s="243" t="s">
        <v>2972</v>
      </c>
      <c r="C27" s="244" t="s">
        <v>3257</v>
      </c>
      <c r="D27" s="245">
        <f>ROUND(MID('Clima Canal'!$C27,6,3)/Basis!$E$3,1)</f>
        <v>5.0999999999999996</v>
      </c>
      <c r="E27" s="245">
        <f>ROUND(MID('Clima Canal'!$C27,9,3)/Basis!$E$3,1)</f>
        <v>27.6</v>
      </c>
      <c r="F27" s="246" t="s">
        <v>50</v>
      </c>
      <c r="G27" s="245">
        <f>ROUND(32/Basis!$E$3,1)</f>
        <v>12.6</v>
      </c>
      <c r="H27" s="245">
        <f>ROUND(INDEX($AA27:$AE27,0,FanspeedH)*Basis!$E$2*((TaH-TrH)/LN(1/µ)/Basis!$E$7)*Glycol*$AA$4,0)</f>
        <v>2582</v>
      </c>
      <c r="I27" s="123">
        <f>IF(Basis!$E$1=1,ROUND(H27/((TaH-TrH)*1.163)/3600,3),ROUND(H27/(500*(TaH-TrH)),2))</f>
        <v>0.26</v>
      </c>
      <c r="J27" s="83">
        <f>ROUND(INDEX($AG27:$AK27,0,FanspeedH)*Basis!$E$4,1)</f>
        <v>80.599999999999994</v>
      </c>
      <c r="K27" s="85">
        <f>INDEX($AS27:$AW27,0,FanspeedH)</f>
        <v>8.8000000000000007</v>
      </c>
      <c r="L27" s="84">
        <f>CHOOSE(Basis!$E$1,$AY27*(I27*3600/Basis!$E$5)^$AZ27*Basis!$E$6/Basis!$E$9,$AY27*(I27/Basis!$E$5)^$AZ27*Basis!$E$6/Basis!$E$9)</f>
        <v>2.4515844763201497E-2</v>
      </c>
      <c r="M27" s="85">
        <f>INDEX($AM27:$AQ27,0,FanspeedH)</f>
        <v>0</v>
      </c>
      <c r="N27" s="245">
        <f>ROUND((INDEX($BB27:$BF27,0,FanspeedC)*($U$5/$V$5)^N_c)*Basis!$E$2*Glycol*$AA$4,0)</f>
        <v>1166</v>
      </c>
      <c r="O27" s="108">
        <f>(($N27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1315.8745209793399</v>
      </c>
      <c r="P27" s="123">
        <f>IF(Basis!$E$1=1,ROUND(O27/(($O$3-$O$2)*1.163)/3600,3),ROUND(O27/(500*($O$3-$O$2)),2))</f>
        <v>0.26</v>
      </c>
      <c r="Q27" s="83">
        <f>IF(N27=0,0,ROUND(INDEX($AG27:$AK27,0,FanspeedC)*Basis!$E$4,1))</f>
        <v>80.599999999999994</v>
      </c>
      <c r="R27" s="85">
        <f>IF(N27=0,0,INDEX($AS27:$AW27,0,FanspeedC))</f>
        <v>8.8000000000000007</v>
      </c>
      <c r="S27" s="84">
        <f>CHOOSE(Basis!$E$1,$BH27*(P27*3600/Basis!$E$5)^$BI27*Basis!$E$6/Basis!$E$9,$BH27*(P27/Basis!$E$5)^$BI27*Basis!$E$6/Basis!$E$9)</f>
        <v>1.151062155864911E-2</v>
      </c>
      <c r="T27" s="85">
        <f>IF(N27=0,0,INDEX($AM27:$AQ27,0,FanspeedC))</f>
        <v>0</v>
      </c>
      <c r="U27" s="110">
        <v>0.77110000000000001</v>
      </c>
      <c r="V27" s="110">
        <v>0.85389999999999999</v>
      </c>
      <c r="W27" s="110">
        <v>0.8831</v>
      </c>
      <c r="X27" s="110">
        <v>0.85870000000000002</v>
      </c>
      <c r="Y27" s="110">
        <v>0.78069999999999995</v>
      </c>
      <c r="Z27" s="74"/>
      <c r="AA27" s="73">
        <v>1052.6671499999998</v>
      </c>
      <c r="AB27" s="73">
        <v>927.30612999999994</v>
      </c>
      <c r="AC27" s="73">
        <v>754.79587000000004</v>
      </c>
      <c r="AD27" s="73">
        <v>535.13636999999994</v>
      </c>
      <c r="AE27" s="73">
        <v>268.32763</v>
      </c>
      <c r="AF27" s="74"/>
      <c r="AG27" s="75">
        <v>137</v>
      </c>
      <c r="AH27" s="75">
        <v>117</v>
      </c>
      <c r="AI27" s="75">
        <v>85</v>
      </c>
      <c r="AJ27" s="75">
        <v>44</v>
      </c>
      <c r="AK27" s="75">
        <v>35</v>
      </c>
      <c r="AL27" s="74"/>
      <c r="AM27" s="76"/>
      <c r="AN27" s="76"/>
      <c r="AO27" s="76"/>
      <c r="AP27" s="76"/>
      <c r="AQ27" s="76"/>
      <c r="AR27" s="74"/>
      <c r="AS27" s="77">
        <v>8.8000000000000007</v>
      </c>
      <c r="AT27" s="77">
        <v>5.9</v>
      </c>
      <c r="AU27" s="77">
        <v>3.2</v>
      </c>
      <c r="AV27" s="77">
        <v>1.6320000000000001</v>
      </c>
      <c r="AW27" s="77">
        <v>0.98399999999999999</v>
      </c>
      <c r="AX27" s="74"/>
      <c r="AY27" s="100">
        <v>2.929848426085865E-5</v>
      </c>
      <c r="AZ27" s="98">
        <v>1.9185199538384283</v>
      </c>
      <c r="BA27" s="74"/>
      <c r="BB27" s="73">
        <v>267.29675877460949</v>
      </c>
      <c r="BC27" s="73">
        <v>218.69515952660262</v>
      </c>
      <c r="BD27" s="73">
        <v>168.71575127942032</v>
      </c>
      <c r="BE27" s="73">
        <v>117.3585340330626</v>
      </c>
      <c r="BF27" s="73">
        <v>64.623507787529448</v>
      </c>
      <c r="BG27" s="74"/>
      <c r="BH27" s="100">
        <v>1.1996876822122094E-5</v>
      </c>
      <c r="BI27" s="98">
        <v>1.9520723695113043</v>
      </c>
      <c r="BJ27" s="74"/>
      <c r="BK27" s="47" t="s">
        <v>3256</v>
      </c>
      <c r="BL27" s="48"/>
      <c r="CI27"/>
      <c r="CJ27"/>
      <c r="CK27"/>
    </row>
    <row r="28" spans="1:89" ht="15" x14ac:dyDescent="0.25">
      <c r="A28" s="242" t="s">
        <v>119</v>
      </c>
      <c r="B28" s="243" t="s">
        <v>2972</v>
      </c>
      <c r="C28" s="244" t="s">
        <v>3258</v>
      </c>
      <c r="D28" s="245">
        <f>ROUND(MID('Clima Canal'!$C28,6,3)/Basis!$E$3,1)</f>
        <v>5.0999999999999996</v>
      </c>
      <c r="E28" s="245">
        <f>ROUND(MID('Clima Canal'!$C28,9,3)/Basis!$E$3,1)</f>
        <v>39.4</v>
      </c>
      <c r="F28" s="246" t="s">
        <v>50</v>
      </c>
      <c r="G28" s="245">
        <f>ROUND(32/Basis!$E$3,1)</f>
        <v>12.6</v>
      </c>
      <c r="H28" s="245">
        <f>ROUND(INDEX($AA28:$AE28,0,FanspeedH)*Basis!$E$2*((TaH-TrH)/LN(1/µ)/Basis!$E$7)*Glycol*$AA$4,0)</f>
        <v>4895</v>
      </c>
      <c r="I28" s="123">
        <f>IF(Basis!$E$1=1,ROUND(H28/((TaH-TrH)*1.163)/3600,3),ROUND(H28/(500*(TaH-TrH)),2))</f>
        <v>0.49</v>
      </c>
      <c r="J28" s="83">
        <f>ROUND(INDEX($AG28:$AK28,0,FanspeedH)*Basis!$E$4,1)</f>
        <v>118.9</v>
      </c>
      <c r="K28" s="85">
        <f>INDEX($AS28:$AW28,0,FanspeedH)</f>
        <v>10.3</v>
      </c>
      <c r="L28" s="84">
        <f>CHOOSE(Basis!$E$1,$AY28*(I28*3600/Basis!$E$5)^$AZ28*Basis!$E$6/Basis!$E$9,$AY28*(I28/Basis!$E$5)^$AZ28*Basis!$E$6/Basis!$E$9)</f>
        <v>0.10127378037717538</v>
      </c>
      <c r="M28" s="85">
        <f>INDEX($AM28:$AQ28,0,FanspeedH)</f>
        <v>0</v>
      </c>
      <c r="N28" s="245">
        <f>ROUND((INDEX($BB28:$BF28,0,FanspeedC)*($U$5/$V$5)^N_c)*Basis!$E$2*Glycol*$AA$4,0)</f>
        <v>2210</v>
      </c>
      <c r="O28" s="108">
        <f>(($N28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2494.0674883056099</v>
      </c>
      <c r="P28" s="123">
        <f>IF(Basis!$E$1=1,ROUND(O28/(($O$3-$O$2)*1.163)/3600,3),ROUND(O28/(500*($O$3-$O$2)),2))</f>
        <v>0.5</v>
      </c>
      <c r="Q28" s="83">
        <f>IF(N28=0,0,ROUND(INDEX($AG28:$AK28,0,FanspeedC)*Basis!$E$4,1))</f>
        <v>118.9</v>
      </c>
      <c r="R28" s="85">
        <f>IF(N28=0,0,INDEX($AS28:$AW28,0,FanspeedC))</f>
        <v>10.3</v>
      </c>
      <c r="S28" s="84">
        <f>CHOOSE(Basis!$E$1,$BH28*(P28*3600/Basis!$E$5)^$BI28*Basis!$E$6/Basis!$E$9,$BH28*(P28/Basis!$E$5)^$BI28*Basis!$E$6/Basis!$E$9)</f>
        <v>4.3939829767768106E-2</v>
      </c>
      <c r="T28" s="85">
        <f>IF(N28=0,0,INDEX($AM28:$AQ28,0,FanspeedC))</f>
        <v>0</v>
      </c>
      <c r="U28" s="109">
        <v>0.77110000000000001</v>
      </c>
      <c r="V28" s="109">
        <v>0.85389999999999999</v>
      </c>
      <c r="W28" s="109">
        <v>0.8831</v>
      </c>
      <c r="X28" s="109">
        <v>0.85870000000000002</v>
      </c>
      <c r="Y28" s="109">
        <v>0.78069999999999995</v>
      </c>
      <c r="Z28" s="68"/>
      <c r="AA28" s="67">
        <v>1995.3541499999994</v>
      </c>
      <c r="AB28" s="67">
        <v>1757.7295299999996</v>
      </c>
      <c r="AC28" s="67">
        <v>1430.7324699999999</v>
      </c>
      <c r="AD28" s="67">
        <v>1014.3629699999999</v>
      </c>
      <c r="AE28" s="67">
        <v>508.62102999999996</v>
      </c>
      <c r="AF28" s="68"/>
      <c r="AG28" s="69">
        <v>202</v>
      </c>
      <c r="AH28" s="69">
        <v>168</v>
      </c>
      <c r="AI28" s="69">
        <v>133</v>
      </c>
      <c r="AJ28" s="69">
        <v>85</v>
      </c>
      <c r="AK28" s="69">
        <v>44</v>
      </c>
      <c r="AL28" s="68"/>
      <c r="AM28" s="70"/>
      <c r="AN28" s="70"/>
      <c r="AO28" s="70"/>
      <c r="AP28" s="70"/>
      <c r="AQ28" s="70"/>
      <c r="AR28" s="68"/>
      <c r="AS28" s="71">
        <v>10.3</v>
      </c>
      <c r="AT28" s="71">
        <v>6.4</v>
      </c>
      <c r="AU28" s="71">
        <v>3.2</v>
      </c>
      <c r="AV28" s="71">
        <v>1.8</v>
      </c>
      <c r="AW28" s="71">
        <v>1.008</v>
      </c>
      <c r="AX28" s="68"/>
      <c r="AY28" s="99">
        <v>4.0195246033127862E-5</v>
      </c>
      <c r="AZ28" s="97">
        <v>1.8944295801506497</v>
      </c>
      <c r="BA28" s="68"/>
      <c r="BB28" s="67">
        <v>506.6669905130658</v>
      </c>
      <c r="BC28" s="67">
        <v>414.54157104296314</v>
      </c>
      <c r="BD28" s="67">
        <v>319.80448376845339</v>
      </c>
      <c r="BE28" s="67">
        <v>222.45572868953656</v>
      </c>
      <c r="BF28" s="67">
        <v>122.49530580621254</v>
      </c>
      <c r="BG28" s="68"/>
      <c r="BH28" s="99">
        <v>1.3302510869177982E-5</v>
      </c>
      <c r="BI28" s="97">
        <v>1.9435633812010937</v>
      </c>
      <c r="BJ28" s="68"/>
      <c r="BK28" s="49" t="s">
        <v>3256</v>
      </c>
      <c r="BL28" s="50"/>
      <c r="CI28"/>
      <c r="CJ28"/>
      <c r="CK28"/>
    </row>
    <row r="29" spans="1:89" ht="15" x14ac:dyDescent="0.25">
      <c r="A29" s="242" t="s">
        <v>119</v>
      </c>
      <c r="B29" s="243" t="s">
        <v>2972</v>
      </c>
      <c r="C29" s="244" t="s">
        <v>3259</v>
      </c>
      <c r="D29" s="245">
        <f>ROUND(MID('Clima Canal'!$C29,6,3)/Basis!$E$3,1)</f>
        <v>5.0999999999999996</v>
      </c>
      <c r="E29" s="245">
        <f>ROUND(MID('Clima Canal'!$C29,9,3)/Basis!$E$3,1)</f>
        <v>47.2</v>
      </c>
      <c r="F29" s="246" t="s">
        <v>50</v>
      </c>
      <c r="G29" s="245">
        <f>ROUND(32/Basis!$E$3,1)</f>
        <v>12.6</v>
      </c>
      <c r="H29" s="245">
        <f>ROUND(INDEX($AA29:$AE29,0,FanspeedH)*Basis!$E$2*((TaH-TrH)/LN(1/µ)/Basis!$E$7)*Glycol*$AA$4,0)</f>
        <v>6436</v>
      </c>
      <c r="I29" s="123">
        <f>IF(Basis!$E$1=1,ROUND(H29/((TaH-TrH)*1.163)/3600,3),ROUND(H29/(500*(TaH-TrH)),2))</f>
        <v>0.64</v>
      </c>
      <c r="J29" s="83">
        <f>ROUND(INDEX($AG29:$AK29,0,FanspeedH)*Basis!$E$4,1)</f>
        <v>160.69999999999999</v>
      </c>
      <c r="K29" s="85">
        <f>INDEX($AS29:$AW29,0,FanspeedH)</f>
        <v>10.6</v>
      </c>
      <c r="L29" s="84">
        <f>CHOOSE(Basis!$E$1,$AY29*(I29*3600/Basis!$E$5)^$AZ29*Basis!$E$6/Basis!$E$9,$AY29*(I29/Basis!$E$5)^$AZ29*Basis!$E$6/Basis!$E$9)</f>
        <v>0.18844975408640052</v>
      </c>
      <c r="M29" s="85">
        <f>INDEX($AM29:$AQ29,0,FanspeedH)</f>
        <v>0</v>
      </c>
      <c r="N29" s="245">
        <f>ROUND((INDEX($BB29:$BF29,0,FanspeedC)*($U$5/$V$5)^N_c)*Basis!$E$2*Glycol*$AA$4,0)</f>
        <v>2906</v>
      </c>
      <c r="O29" s="108">
        <f>(($N29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3279.5294665231231</v>
      </c>
      <c r="P29" s="123">
        <f>IF(Basis!$E$1=1,ROUND(O29/(($O$3-$O$2)*1.163)/3600,3),ROUND(O29/(500*($O$3-$O$2)),2))</f>
        <v>0.66</v>
      </c>
      <c r="Q29" s="83">
        <f>IF(N29=0,0,ROUND(INDEX($AG29:$AK29,0,FanspeedC)*Basis!$E$4,1))</f>
        <v>160.69999999999999</v>
      </c>
      <c r="R29" s="85">
        <f>IF(N29=0,0,INDEX($AS29:$AW29,0,FanspeedC))</f>
        <v>10.6</v>
      </c>
      <c r="S29" s="84">
        <f>CHOOSE(Basis!$E$1,$BH29*(P29*3600/Basis!$E$5)^$BI29*Basis!$E$6/Basis!$E$9,$BH29*(P29/Basis!$E$5)^$BI29*Basis!$E$6/Basis!$E$9)</f>
        <v>7.8226572113918438E-2</v>
      </c>
      <c r="T29" s="85">
        <f>IF(N29=0,0,INDEX($AM29:$AQ29,0,FanspeedC))</f>
        <v>0</v>
      </c>
      <c r="U29" s="110">
        <v>0.77110000000000001</v>
      </c>
      <c r="V29" s="110">
        <v>0.85389999999999999</v>
      </c>
      <c r="W29" s="110">
        <v>0.8831</v>
      </c>
      <c r="X29" s="110">
        <v>0.85870000000000002</v>
      </c>
      <c r="Y29" s="110">
        <v>0.78069999999999995</v>
      </c>
      <c r="Z29" s="74"/>
      <c r="AA29" s="73">
        <v>2623.8121499999993</v>
      </c>
      <c r="AB29" s="73">
        <v>2311.3451299999997</v>
      </c>
      <c r="AC29" s="73">
        <v>1881.3568699999998</v>
      </c>
      <c r="AD29" s="73">
        <v>1333.8473699999997</v>
      </c>
      <c r="AE29" s="73">
        <v>668.81662999999992</v>
      </c>
      <c r="AF29" s="74"/>
      <c r="AG29" s="75">
        <v>273</v>
      </c>
      <c r="AH29" s="75">
        <v>235</v>
      </c>
      <c r="AI29" s="75">
        <v>174</v>
      </c>
      <c r="AJ29" s="75">
        <v>114</v>
      </c>
      <c r="AK29" s="75">
        <v>49</v>
      </c>
      <c r="AL29" s="74"/>
      <c r="AM29" s="76"/>
      <c r="AN29" s="76"/>
      <c r="AO29" s="76"/>
      <c r="AP29" s="76"/>
      <c r="AQ29" s="76"/>
      <c r="AR29" s="74"/>
      <c r="AS29" s="77">
        <v>10.6</v>
      </c>
      <c r="AT29" s="77">
        <v>7.2</v>
      </c>
      <c r="AU29" s="77">
        <v>4.2</v>
      </c>
      <c r="AV29" s="77">
        <v>2.4</v>
      </c>
      <c r="AW29" s="77">
        <v>1.4</v>
      </c>
      <c r="AX29" s="74"/>
      <c r="AY29" s="100">
        <v>4.8290753058653264E-5</v>
      </c>
      <c r="AZ29" s="98">
        <v>1.880688541056508</v>
      </c>
      <c r="BA29" s="74"/>
      <c r="BB29" s="73">
        <v>666.24714500536993</v>
      </c>
      <c r="BC29" s="73">
        <v>545.10584538720343</v>
      </c>
      <c r="BD29" s="73">
        <v>420.5303054278088</v>
      </c>
      <c r="BE29" s="73">
        <v>292.52052512718586</v>
      </c>
      <c r="BF29" s="73">
        <v>161.0765044853346</v>
      </c>
      <c r="BG29" s="74"/>
      <c r="BH29" s="100">
        <v>1.411968325044228E-5</v>
      </c>
      <c r="BI29" s="98">
        <v>1.9390875559456291</v>
      </c>
      <c r="BJ29" s="74"/>
      <c r="BK29" s="47" t="s">
        <v>3256</v>
      </c>
      <c r="BL29" s="48"/>
      <c r="CI29"/>
      <c r="CJ29"/>
      <c r="CK29"/>
    </row>
    <row r="30" spans="1:89" ht="15" x14ac:dyDescent="0.25">
      <c r="A30" s="242" t="s">
        <v>119</v>
      </c>
      <c r="B30" s="243" t="s">
        <v>2972</v>
      </c>
      <c r="C30" s="244" t="s">
        <v>3260</v>
      </c>
      <c r="D30" s="245">
        <f>ROUND(MID('Clima Canal'!$C30,6,3)/Basis!$E$3,1)</f>
        <v>5.0999999999999996</v>
      </c>
      <c r="E30" s="245">
        <f>ROUND(MID('Clima Canal'!$C30,9,3)/Basis!$E$3,1)</f>
        <v>55.1</v>
      </c>
      <c r="F30" s="246" t="s">
        <v>50</v>
      </c>
      <c r="G30" s="245">
        <f>ROUND(32/Basis!$E$3,1)</f>
        <v>12.6</v>
      </c>
      <c r="H30" s="245">
        <f>ROUND(INDEX($AA30:$AE30,0,FanspeedH)*Basis!$E$2*((TaH-TrH)/LN(1/µ)/Basis!$E$7)*Glycol*$AA$4,0)</f>
        <v>7978</v>
      </c>
      <c r="I30" s="123">
        <f>IF(Basis!$E$1=1,ROUND(H30/((TaH-TrH)*1.163)/3600,3),ROUND(H30/(500*(TaH-TrH)),2))</f>
        <v>0.8</v>
      </c>
      <c r="J30" s="83">
        <f>ROUND(INDEX($AG30:$AK30,0,FanspeedH)*Basis!$E$4,1)</f>
        <v>199.5</v>
      </c>
      <c r="K30" s="85">
        <f>INDEX($AS30:$AW30,0,FanspeedH)</f>
        <v>19.100000000000001</v>
      </c>
      <c r="L30" s="84">
        <f>CHOOSE(Basis!$E$1,$AY30*(I30*3600/Basis!$E$5)^$AZ30*Basis!$E$6/Basis!$E$9,$AY30*(I30/Basis!$E$5)^$AZ30*Basis!$E$6/Basis!$E$9)</f>
        <v>0.31660409699848319</v>
      </c>
      <c r="M30" s="85">
        <f>INDEX($AM30:$AQ30,0,FanspeedH)</f>
        <v>0</v>
      </c>
      <c r="N30" s="245">
        <f>ROUND((INDEX($BB30:$BF30,0,FanspeedC)*($U$5/$V$5)^N_c)*Basis!$E$2*Glycol*$AA$4,0)</f>
        <v>3602</v>
      </c>
      <c r="O30" s="108">
        <f>(($N30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4064.9914447406363</v>
      </c>
      <c r="P30" s="123">
        <f>IF(Basis!$E$1=1,ROUND(O30/(($O$3-$O$2)*1.163)/3600,3),ROUND(O30/(500*($O$3-$O$2)),2))</f>
        <v>0.81</v>
      </c>
      <c r="Q30" s="83">
        <f>IF(N30=0,0,ROUND(INDEX($AG30:$AK30,0,FanspeedC)*Basis!$E$4,1))</f>
        <v>199.5</v>
      </c>
      <c r="R30" s="85">
        <f>IF(N30=0,0,INDEX($AS30:$AW30,0,FanspeedC))</f>
        <v>19.100000000000001</v>
      </c>
      <c r="S30" s="84">
        <f>CHOOSE(Basis!$E$1,$BH30*(P30*3600/Basis!$E$5)^$BI30*Basis!$E$6/Basis!$E$9,$BH30*(P30/Basis!$E$5)^$BI30*Basis!$E$6/Basis!$E$9)</f>
        <v>0.12065364051964238</v>
      </c>
      <c r="T30" s="85">
        <f>IF(N30=0,0,INDEX($AM30:$AQ30,0,FanspeedC))</f>
        <v>0</v>
      </c>
      <c r="U30" s="109">
        <v>0.77110000000000001</v>
      </c>
      <c r="V30" s="109">
        <v>0.85389999999999999</v>
      </c>
      <c r="W30" s="109">
        <v>0.8831</v>
      </c>
      <c r="X30" s="109">
        <v>0.85870000000000002</v>
      </c>
      <c r="Y30" s="109">
        <v>0.78069999999999995</v>
      </c>
      <c r="Z30" s="68"/>
      <c r="AA30" s="67">
        <v>3252.2701499999989</v>
      </c>
      <c r="AB30" s="67">
        <v>2864.9607299999993</v>
      </c>
      <c r="AC30" s="67">
        <v>2331.9812699999998</v>
      </c>
      <c r="AD30" s="67">
        <v>1653.3317699999996</v>
      </c>
      <c r="AE30" s="67">
        <v>829.01222999999993</v>
      </c>
      <c r="AF30" s="68"/>
      <c r="AG30" s="69">
        <v>339</v>
      </c>
      <c r="AH30" s="69">
        <v>285</v>
      </c>
      <c r="AI30" s="69">
        <v>218</v>
      </c>
      <c r="AJ30" s="69">
        <v>129</v>
      </c>
      <c r="AK30" s="69">
        <v>79</v>
      </c>
      <c r="AL30" s="68"/>
      <c r="AM30" s="70"/>
      <c r="AN30" s="70"/>
      <c r="AO30" s="70"/>
      <c r="AP30" s="70"/>
      <c r="AQ30" s="70"/>
      <c r="AR30" s="68"/>
      <c r="AS30" s="71">
        <v>19.100000000000001</v>
      </c>
      <c r="AT30" s="71">
        <v>12.3</v>
      </c>
      <c r="AU30" s="71">
        <v>6.4</v>
      </c>
      <c r="AV30" s="71">
        <v>3.4320000000000004</v>
      </c>
      <c r="AW30" s="71">
        <v>1.992</v>
      </c>
      <c r="AX30" s="68"/>
      <c r="AY30" s="99">
        <v>5.6280547803595091E-5</v>
      </c>
      <c r="AZ30" s="97">
        <v>1.8703178487195173</v>
      </c>
      <c r="BA30" s="68"/>
      <c r="BB30" s="67">
        <v>825.82729949767406</v>
      </c>
      <c r="BC30" s="67">
        <v>675.67011973144383</v>
      </c>
      <c r="BD30" s="67">
        <v>521.25612708716415</v>
      </c>
      <c r="BE30" s="67">
        <v>362.58532156483511</v>
      </c>
      <c r="BF30" s="67">
        <v>199.65770316445665</v>
      </c>
      <c r="BG30" s="68"/>
      <c r="BH30" s="99">
        <v>1.5022728308696918E-5</v>
      </c>
      <c r="BI30" s="97">
        <v>1.9341411629252601</v>
      </c>
      <c r="BJ30" s="68"/>
      <c r="BK30" s="49" t="s">
        <v>3256</v>
      </c>
      <c r="BL30" s="50"/>
      <c r="CI30"/>
      <c r="CJ30"/>
      <c r="CK30"/>
    </row>
    <row r="31" spans="1:89" ht="15" x14ac:dyDescent="0.25">
      <c r="A31" s="242" t="s">
        <v>119</v>
      </c>
      <c r="B31" s="243" t="s">
        <v>2972</v>
      </c>
      <c r="C31" s="244" t="s">
        <v>3261</v>
      </c>
      <c r="D31" s="245">
        <f>ROUND(MID('Clima Canal'!$C31,6,3)/Basis!$E$3,1)</f>
        <v>5.0999999999999996</v>
      </c>
      <c r="E31" s="245">
        <f>ROUND(MID('Clima Canal'!$C31,9,3)/Basis!$E$3,1)</f>
        <v>66.900000000000006</v>
      </c>
      <c r="F31" s="246" t="s">
        <v>50</v>
      </c>
      <c r="G31" s="245">
        <f>ROUND(32/Basis!$E$3,1)</f>
        <v>12.6</v>
      </c>
      <c r="H31" s="245">
        <f>ROUND(INDEX($AA31:$AE31,0,FanspeedH)*Basis!$E$2*((TaH-TrH)/LN(1/µ)/Basis!$E$7)*Glycol*$AA$4,0)</f>
        <v>10290</v>
      </c>
      <c r="I31" s="123">
        <f>IF(Basis!$E$1=1,ROUND(H31/((TaH-TrH)*1.163)/3600,3),ROUND(H31/(500*(TaH-TrH)),2))</f>
        <v>1.03</v>
      </c>
      <c r="J31" s="83">
        <f>ROUND(INDEX($AG31:$AK31,0,FanspeedH)*Basis!$E$4,1)</f>
        <v>241.3</v>
      </c>
      <c r="K31" s="85">
        <f>INDEX($AS31:$AW31,0,FanspeedH)</f>
        <v>19.399999999999999</v>
      </c>
      <c r="L31" s="84">
        <f>CHOOSE(Basis!$E$1,$AY31*(I31*3600/Basis!$E$5)^$AZ31*Basis!$E$6/Basis!$E$9,$AY31*(I31/Basis!$E$5)^$AZ31*Basis!$E$6/Basis!$E$9)</f>
        <v>0.57855942430806828</v>
      </c>
      <c r="M31" s="85">
        <f>INDEX($AM31:$AQ31,0,FanspeedH)</f>
        <v>0</v>
      </c>
      <c r="N31" s="245">
        <f>ROUND((INDEX($BB31:$BF31,0,FanspeedC)*($U$5/$V$5)^N_c)*Basis!$E$2*Glycol*$AA$4,0)</f>
        <v>4646</v>
      </c>
      <c r="O31" s="108">
        <f>(($N31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5243.1844120669066</v>
      </c>
      <c r="P31" s="123">
        <f>IF(Basis!$E$1=1,ROUND(O31/(($O$3-$O$2)*1.163)/3600,3),ROUND(O31/(500*($O$3-$O$2)),2))</f>
        <v>1.05</v>
      </c>
      <c r="Q31" s="83">
        <f>IF(N31=0,0,ROUND(INDEX($AG31:$AK31,0,FanspeedC)*Basis!$E$4,1))</f>
        <v>241.3</v>
      </c>
      <c r="R31" s="85">
        <f>IF(N31=0,0,INDEX($AS31:$AW31,0,FanspeedC))</f>
        <v>19.399999999999999</v>
      </c>
      <c r="S31" s="84">
        <f>CHOOSE(Basis!$E$1,$BH31*(P31*3600/Basis!$E$5)^$BI31*Basis!$E$6/Basis!$E$9,$BH31*(P31/Basis!$E$5)^$BI31*Basis!$E$6/Basis!$E$9)</f>
        <v>0.20955626418666454</v>
      </c>
      <c r="T31" s="85">
        <f>IF(N31=0,0,INDEX($AM31:$AQ31,0,FanspeedC))</f>
        <v>0</v>
      </c>
      <c r="U31" s="110">
        <v>0.77110000000000001</v>
      </c>
      <c r="V31" s="110">
        <v>0.85389999999999999</v>
      </c>
      <c r="W31" s="110">
        <v>0.8831</v>
      </c>
      <c r="X31" s="110">
        <v>0.85870000000000002</v>
      </c>
      <c r="Y31" s="110">
        <v>0.78069999999999995</v>
      </c>
      <c r="Z31" s="74"/>
      <c r="AA31" s="73">
        <v>4194.9571499999984</v>
      </c>
      <c r="AB31" s="73">
        <v>3695.3841299999995</v>
      </c>
      <c r="AC31" s="73">
        <v>3007.9178699999998</v>
      </c>
      <c r="AD31" s="73">
        <v>2132.5583699999997</v>
      </c>
      <c r="AE31" s="73">
        <v>1069.3056299999998</v>
      </c>
      <c r="AF31" s="74"/>
      <c r="AG31" s="75">
        <v>410</v>
      </c>
      <c r="AH31" s="75">
        <v>352</v>
      </c>
      <c r="AI31" s="75">
        <v>259</v>
      </c>
      <c r="AJ31" s="75">
        <v>158</v>
      </c>
      <c r="AK31" s="75">
        <v>84</v>
      </c>
      <c r="AL31" s="74"/>
      <c r="AM31" s="76"/>
      <c r="AN31" s="76"/>
      <c r="AO31" s="76"/>
      <c r="AP31" s="76"/>
      <c r="AQ31" s="76"/>
      <c r="AR31" s="74"/>
      <c r="AS31" s="77">
        <v>19.399999999999999</v>
      </c>
      <c r="AT31" s="77">
        <v>13.100000000000001</v>
      </c>
      <c r="AU31" s="77">
        <v>7.4</v>
      </c>
      <c r="AV31" s="77">
        <v>4.032</v>
      </c>
      <c r="AW31" s="77">
        <v>2.3839999999999999</v>
      </c>
      <c r="AX31" s="74"/>
      <c r="AY31" s="100">
        <v>6.8933515190809243E-5</v>
      </c>
      <c r="AZ31" s="98">
        <v>1.8570203781069989</v>
      </c>
      <c r="BA31" s="74"/>
      <c r="BB31" s="73">
        <v>1065.1975312361303</v>
      </c>
      <c r="BC31" s="73">
        <v>871.51653124780432</v>
      </c>
      <c r="BD31" s="73">
        <v>672.34485957619734</v>
      </c>
      <c r="BE31" s="73">
        <v>467.68251622130913</v>
      </c>
      <c r="BF31" s="73">
        <v>257.52950118313976</v>
      </c>
      <c r="BG31" s="74"/>
      <c r="BH31" s="100">
        <v>1.6396787877446146E-5</v>
      </c>
      <c r="BI31" s="98">
        <v>1.9273120813486124</v>
      </c>
      <c r="BJ31" s="74"/>
      <c r="BK31" s="47" t="s">
        <v>3256</v>
      </c>
      <c r="BL31" s="48"/>
      <c r="CI31"/>
      <c r="CJ31"/>
      <c r="CK31"/>
    </row>
    <row r="32" spans="1:89" ht="15" x14ac:dyDescent="0.25">
      <c r="A32" s="242" t="s">
        <v>119</v>
      </c>
      <c r="B32" s="243" t="s">
        <v>2972</v>
      </c>
      <c r="C32" s="244" t="s">
        <v>3262</v>
      </c>
      <c r="D32" s="245">
        <f>ROUND(MID('Clima Canal'!$C32,6,3)/Basis!$E$3,1)</f>
        <v>5.0999999999999996</v>
      </c>
      <c r="E32" s="245">
        <f>ROUND(MID('Clima Canal'!$C32,9,3)/Basis!$E$3,1)</f>
        <v>78.7</v>
      </c>
      <c r="F32" s="246" t="s">
        <v>50</v>
      </c>
      <c r="G32" s="245">
        <f>ROUND(32/Basis!$E$3,1)</f>
        <v>12.6</v>
      </c>
      <c r="H32" s="245">
        <f>ROUND(INDEX($AA32:$AE32,0,FanspeedH)*Basis!$E$2*((TaH-TrH)/LN(1/µ)/Basis!$E$7)*Glycol*$AA$4,0)</f>
        <v>12602</v>
      </c>
      <c r="I32" s="123">
        <f>IF(Basis!$E$1=1,ROUND(H32/((TaH-TrH)*1.163)/3600,3),ROUND(H32/(500*(TaH-TrH)),2))</f>
        <v>1.26</v>
      </c>
      <c r="J32" s="83">
        <f>ROUND(INDEX($AG32:$AK32,0,FanspeedH)*Basis!$E$4,1)</f>
        <v>279.60000000000002</v>
      </c>
      <c r="K32" s="85">
        <f>INDEX($AS32:$AW32,0,FanspeedH)</f>
        <v>20.9</v>
      </c>
      <c r="L32" s="84">
        <f>CHOOSE(Basis!$E$1,$AY32*(I32*3600/Basis!$E$5)^$AZ32*Basis!$E$6/Basis!$E$9,$AY32*(I32/Basis!$E$5)^$AZ32*Basis!$E$6/Basis!$E$9)</f>
        <v>0.94303331053061923</v>
      </c>
      <c r="M32" s="85">
        <f>INDEX($AM32:$AQ32,0,FanspeedH)</f>
        <v>0</v>
      </c>
      <c r="N32" s="245">
        <f>ROUND((INDEX($BB32:$BF32,0,FanspeedC)*($U$5/$V$5)^N_c)*Basis!$E$2*Glycol*$AA$4,0)</f>
        <v>5690</v>
      </c>
      <c r="O32" s="108">
        <f>(($N32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6421.3773793931769</v>
      </c>
      <c r="P32" s="123">
        <f>IF(Basis!$E$1=1,ROUND(O32/(($O$3-$O$2)*1.163)/3600,3),ROUND(O32/(500*($O$3-$O$2)),2))</f>
        <v>1.28</v>
      </c>
      <c r="Q32" s="83">
        <f>IF(N32=0,0,ROUND(INDEX($AG32:$AK32,0,FanspeedC)*Basis!$E$4,1))</f>
        <v>279.60000000000002</v>
      </c>
      <c r="R32" s="85">
        <f>IF(N32=0,0,INDEX($AS32:$AW32,0,FanspeedC))</f>
        <v>20.9</v>
      </c>
      <c r="S32" s="84">
        <f>CHOOSE(Basis!$E$1,$BH32*(P32*3600/Basis!$E$5)^$BI32*Basis!$E$6/Basis!$E$9,$BH32*(P32/Basis!$E$5)^$BI32*Basis!$E$6/Basis!$E$9)</f>
        <v>0.32165129774709422</v>
      </c>
      <c r="T32" s="85">
        <f>IF(N32=0,0,INDEX($AM32:$AQ32,0,FanspeedC))</f>
        <v>0</v>
      </c>
      <c r="U32" s="109">
        <v>0.77110000000000001</v>
      </c>
      <c r="V32" s="109">
        <v>0.85389999999999999</v>
      </c>
      <c r="W32" s="109">
        <v>0.8831</v>
      </c>
      <c r="X32" s="109">
        <v>0.85870000000000002</v>
      </c>
      <c r="Y32" s="109">
        <v>0.78069999999999995</v>
      </c>
      <c r="Z32" s="68"/>
      <c r="AA32" s="67">
        <v>5137.6441499999983</v>
      </c>
      <c r="AB32" s="67">
        <v>4525.8075299999991</v>
      </c>
      <c r="AC32" s="67">
        <v>3683.8544699999998</v>
      </c>
      <c r="AD32" s="67">
        <v>2611.7849699999997</v>
      </c>
      <c r="AE32" s="67">
        <v>1309.5990299999999</v>
      </c>
      <c r="AF32" s="68"/>
      <c r="AG32" s="69">
        <v>475</v>
      </c>
      <c r="AH32" s="69">
        <v>403</v>
      </c>
      <c r="AI32" s="69">
        <v>307</v>
      </c>
      <c r="AJ32" s="69">
        <v>199</v>
      </c>
      <c r="AK32" s="69">
        <v>93</v>
      </c>
      <c r="AL32" s="68"/>
      <c r="AM32" s="70"/>
      <c r="AN32" s="70"/>
      <c r="AO32" s="70"/>
      <c r="AP32" s="70"/>
      <c r="AQ32" s="70"/>
      <c r="AR32" s="68"/>
      <c r="AS32" s="71">
        <v>20.9</v>
      </c>
      <c r="AT32" s="71">
        <v>13.600000000000001</v>
      </c>
      <c r="AU32" s="71">
        <v>7.4</v>
      </c>
      <c r="AV32" s="71">
        <v>4.2</v>
      </c>
      <c r="AW32" s="71">
        <v>2.4079999999999999</v>
      </c>
      <c r="AX32" s="68"/>
      <c r="AY32" s="99">
        <v>8.2524399251164801E-5</v>
      </c>
      <c r="AZ32" s="97">
        <v>1.8454092933358583</v>
      </c>
      <c r="BA32" s="68"/>
      <c r="BB32" s="67">
        <v>1304.5677629745867</v>
      </c>
      <c r="BC32" s="67">
        <v>1067.3629427641649</v>
      </c>
      <c r="BD32" s="67">
        <v>823.43359206523041</v>
      </c>
      <c r="BE32" s="67">
        <v>572.77971087778303</v>
      </c>
      <c r="BF32" s="67">
        <v>315.40129920182284</v>
      </c>
      <c r="BG32" s="68"/>
      <c r="BH32" s="99">
        <v>1.7821330446923193E-5</v>
      </c>
      <c r="BI32" s="97">
        <v>1.9208636901745513</v>
      </c>
      <c r="BJ32" s="68"/>
      <c r="BK32" s="49" t="s">
        <v>3256</v>
      </c>
      <c r="BL32" s="50"/>
      <c r="CI32"/>
      <c r="CJ32"/>
      <c r="CK32"/>
    </row>
    <row r="33" spans="1:89" ht="15" x14ac:dyDescent="0.25">
      <c r="A33" s="242" t="s">
        <v>119</v>
      </c>
      <c r="B33" s="243" t="s">
        <v>2972</v>
      </c>
      <c r="C33" s="244" t="s">
        <v>3263</v>
      </c>
      <c r="D33" s="245">
        <f>ROUND(MID('Clima Canal'!$C33,6,3)/Basis!$E$3,1)</f>
        <v>5.0999999999999996</v>
      </c>
      <c r="E33" s="245">
        <f>ROUND(MID('Clima Canal'!$C33,9,3)/Basis!$E$3,1)</f>
        <v>90.6</v>
      </c>
      <c r="F33" s="246" t="s">
        <v>50</v>
      </c>
      <c r="G33" s="245">
        <f>ROUND(32/Basis!$E$3,1)</f>
        <v>12.6</v>
      </c>
      <c r="H33" s="245">
        <f>ROUND(INDEX($AA33:$AE33,0,FanspeedH)*Basis!$E$2*((TaH-TrH)/LN(1/µ)/Basis!$E$7)*Glycol*$AA$4,0)</f>
        <v>14915</v>
      </c>
      <c r="I33" s="123">
        <f>IF(Basis!$E$1=1,ROUND(H33/((TaH-TrH)*1.163)/3600,3),ROUND(H33/(500*(TaH-TrH)),2))</f>
        <v>1.49</v>
      </c>
      <c r="J33" s="83">
        <f>ROUND(INDEX($AG33:$AK33,0,FanspeedH)*Basis!$E$4,1)</f>
        <v>321.39999999999998</v>
      </c>
      <c r="K33" s="85">
        <f>INDEX($AS33:$AW33,0,FanspeedH)</f>
        <v>21.2</v>
      </c>
      <c r="L33" s="84">
        <f>CHOOSE(Basis!$E$1,$AY33*(I33*3600/Basis!$E$5)^$AZ33*Basis!$E$6/Basis!$E$9,$AY33*(I33/Basis!$E$5)^$AZ33*Basis!$E$6/Basis!$E$9)</f>
        <v>1.4196355388796282</v>
      </c>
      <c r="M33" s="85">
        <f>INDEX($AM33:$AQ33,0,FanspeedH)</f>
        <v>0</v>
      </c>
      <c r="N33" s="245">
        <f>ROUND((INDEX($BB33:$BF33,0,FanspeedC)*($U$5/$V$5)^N_c)*Basis!$E$2*Glycol*$AA$4,0)</f>
        <v>6734</v>
      </c>
      <c r="O33" s="108">
        <f>(($N33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7599.5703467194462</v>
      </c>
      <c r="P33" s="123">
        <f>IF(Basis!$E$1=1,ROUND(O33/(($O$3-$O$2)*1.163)/3600,3),ROUND(O33/(500*($O$3-$O$2)),2))</f>
        <v>1.52</v>
      </c>
      <c r="Q33" s="83">
        <f>IF(N33=0,0,ROUND(INDEX($AG33:$AK33,0,FanspeedC)*Basis!$E$4,1))</f>
        <v>321.39999999999998</v>
      </c>
      <c r="R33" s="85">
        <f>IF(N33=0,0,INDEX($AS33:$AW33,0,FanspeedC))</f>
        <v>21.2</v>
      </c>
      <c r="S33" s="84">
        <f>CHOOSE(Basis!$E$1,$BH33*(P33*3600/Basis!$E$5)^$BI33*Basis!$E$6/Basis!$E$9,$BH33*(P33/Basis!$E$5)^$BI33*Basis!$E$6/Basis!$E$9)</f>
        <v>0.46739626569216836</v>
      </c>
      <c r="T33" s="85">
        <f>IF(N33=0,0,INDEX($AM33:$AQ33,0,FanspeedC))</f>
        <v>0</v>
      </c>
      <c r="U33" s="110">
        <v>0.77110000000000001</v>
      </c>
      <c r="V33" s="110">
        <v>0.85389999999999999</v>
      </c>
      <c r="W33" s="110">
        <v>0.8831</v>
      </c>
      <c r="X33" s="110">
        <v>0.85870000000000002</v>
      </c>
      <c r="Y33" s="110">
        <v>0.78069999999999995</v>
      </c>
      <c r="Z33" s="74"/>
      <c r="AA33" s="73">
        <v>6080.3311499999982</v>
      </c>
      <c r="AB33" s="73">
        <v>5356.2309299999988</v>
      </c>
      <c r="AC33" s="73">
        <v>4359.7910700000002</v>
      </c>
      <c r="AD33" s="73">
        <v>3091.0115699999997</v>
      </c>
      <c r="AE33" s="73">
        <v>1549.8924299999999</v>
      </c>
      <c r="AF33" s="74"/>
      <c r="AG33" s="75">
        <v>546</v>
      </c>
      <c r="AH33" s="75">
        <v>470</v>
      </c>
      <c r="AI33" s="75">
        <v>348</v>
      </c>
      <c r="AJ33" s="75">
        <v>228</v>
      </c>
      <c r="AK33" s="75">
        <v>98</v>
      </c>
      <c r="AL33" s="74"/>
      <c r="AM33" s="76"/>
      <c r="AN33" s="76"/>
      <c r="AO33" s="76"/>
      <c r="AP33" s="76"/>
      <c r="AQ33" s="76"/>
      <c r="AR33" s="74"/>
      <c r="AS33" s="77">
        <v>21.2</v>
      </c>
      <c r="AT33" s="77">
        <v>14.4</v>
      </c>
      <c r="AU33" s="77">
        <v>8.4</v>
      </c>
      <c r="AV33" s="77">
        <v>4.8</v>
      </c>
      <c r="AW33" s="77">
        <v>2.8</v>
      </c>
      <c r="AX33" s="74"/>
      <c r="AY33" s="100">
        <v>9.5586918393803704E-5</v>
      </c>
      <c r="AZ33" s="98">
        <v>1.8372884871769801</v>
      </c>
      <c r="BA33" s="74"/>
      <c r="BB33" s="73">
        <v>1543.9379947130431</v>
      </c>
      <c r="BC33" s="73">
        <v>1263.2093542805255</v>
      </c>
      <c r="BD33" s="73">
        <v>974.52232455426361</v>
      </c>
      <c r="BE33" s="73">
        <v>677.87690553425705</v>
      </c>
      <c r="BF33" s="73">
        <v>373.27309722050592</v>
      </c>
      <c r="BG33" s="74"/>
      <c r="BH33" s="100">
        <v>1.9269634633230514E-5</v>
      </c>
      <c r="BI33" s="98">
        <v>1.9149559385396036</v>
      </c>
      <c r="BJ33" s="74"/>
      <c r="BK33" s="47" t="s">
        <v>3256</v>
      </c>
      <c r="BL33" s="48"/>
      <c r="CI33"/>
      <c r="CJ33"/>
      <c r="CK33"/>
    </row>
    <row r="34" spans="1:89" ht="15" x14ac:dyDescent="0.25">
      <c r="A34" s="242" t="s">
        <v>119</v>
      </c>
      <c r="B34" s="243" t="s">
        <v>2972</v>
      </c>
      <c r="C34" s="244" t="s">
        <v>3264</v>
      </c>
      <c r="D34" s="245">
        <f>ROUND(MID('Clima Canal'!$C34,6,3)/Basis!$E$3,1)</f>
        <v>5.0999999999999996</v>
      </c>
      <c r="E34" s="245">
        <f>ROUND(MID('Clima Canal'!$C34,9,3)/Basis!$E$3,1)</f>
        <v>110.2</v>
      </c>
      <c r="F34" s="246" t="s">
        <v>50</v>
      </c>
      <c r="G34" s="245">
        <f>ROUND(32/Basis!$E$3,1)</f>
        <v>12.6</v>
      </c>
      <c r="H34" s="245">
        <f>ROUND(INDEX($AA34:$AE34,0,FanspeedH)*Basis!$E$2*((TaH-TrH)/LN(1/µ)/Basis!$E$7)*Glycol*$AA$4,0)</f>
        <v>18769</v>
      </c>
      <c r="I34" s="123">
        <f>IF(Basis!$E$1=1,ROUND(H34/((TaH-TrH)*1.163)/3600,3),ROUND(H34/(500*(TaH-TrH)),2))</f>
        <v>1.88</v>
      </c>
      <c r="J34" s="83">
        <f>ROUND(INDEX($AG34:$AK34,0,FanspeedH)*Basis!$E$4,1)</f>
        <v>402</v>
      </c>
      <c r="K34" s="85">
        <f>INDEX($AS34:$AW34,0,FanspeedH)</f>
        <v>30</v>
      </c>
      <c r="L34" s="84">
        <f>CHOOSE(Basis!$E$1,$AY34*(I34*3600/Basis!$E$5)^$AZ34*Basis!$E$6/Basis!$E$9,$AY34*(I34/Basis!$E$5)^$AZ34*Basis!$E$6/Basis!$E$9)</f>
        <v>2.5145956601181356</v>
      </c>
      <c r="M34" s="85">
        <f>INDEX($AM34:$AQ34,0,FanspeedH)</f>
        <v>0</v>
      </c>
      <c r="N34" s="245">
        <f>ROUND((INDEX($BB34:$BF34,0,FanspeedC)*($U$5/$V$5)^N_c)*Basis!$E$2*Glycol*$AA$4,0)</f>
        <v>8473</v>
      </c>
      <c r="O34" s="108">
        <f>(($N34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9562.096754938204</v>
      </c>
      <c r="P34" s="123">
        <f>IF(Basis!$E$1=1,ROUND(O34/(($O$3-$O$2)*1.163)/3600,3),ROUND(O34/(500*($O$3-$O$2)),2))</f>
        <v>1.91</v>
      </c>
      <c r="Q34" s="83">
        <f>IF(N34=0,0,ROUND(INDEX($AG34:$AK34,0,FanspeedC)*Basis!$E$4,1))</f>
        <v>402</v>
      </c>
      <c r="R34" s="85">
        <f>IF(N34=0,0,INDEX($AS34:$AW34,0,FanspeedC))</f>
        <v>30</v>
      </c>
      <c r="S34" s="84">
        <f>CHOOSE(Basis!$E$1,$BH34*(P34*3600/Basis!$E$5)^$BI34*Basis!$E$6/Basis!$E$9,$BH34*(P34/Basis!$E$5)^$BI34*Basis!$E$6/Basis!$E$9)</f>
        <v>0.77400929819855513</v>
      </c>
      <c r="T34" s="85">
        <f>IF(N34=0,0,INDEX($AM34:$AQ34,0,FanspeedC))</f>
        <v>0</v>
      </c>
      <c r="U34" s="109">
        <v>0.77110000000000001</v>
      </c>
      <c r="V34" s="109">
        <v>0.85389999999999999</v>
      </c>
      <c r="W34" s="109">
        <v>0.8831</v>
      </c>
      <c r="X34" s="109">
        <v>0.85870000000000002</v>
      </c>
      <c r="Y34" s="109">
        <v>0.78069999999999995</v>
      </c>
      <c r="Z34" s="68"/>
      <c r="AA34" s="67">
        <v>7651.4761499999977</v>
      </c>
      <c r="AB34" s="67">
        <v>6740.2699299999986</v>
      </c>
      <c r="AC34" s="67">
        <v>5486.3520699999999</v>
      </c>
      <c r="AD34" s="67">
        <v>3889.7225699999995</v>
      </c>
      <c r="AE34" s="67">
        <v>1950.3814299999999</v>
      </c>
      <c r="AF34" s="68"/>
      <c r="AG34" s="69">
        <v>683</v>
      </c>
      <c r="AH34" s="69">
        <v>587</v>
      </c>
      <c r="AI34" s="69">
        <v>433</v>
      </c>
      <c r="AJ34" s="69">
        <v>272</v>
      </c>
      <c r="AK34" s="69">
        <v>133</v>
      </c>
      <c r="AL34" s="68"/>
      <c r="AM34" s="70"/>
      <c r="AN34" s="70"/>
      <c r="AO34" s="70"/>
      <c r="AP34" s="70"/>
      <c r="AQ34" s="70"/>
      <c r="AR34" s="68"/>
      <c r="AS34" s="71">
        <v>30</v>
      </c>
      <c r="AT34" s="71">
        <v>20.3</v>
      </c>
      <c r="AU34" s="71">
        <v>11.600000000000001</v>
      </c>
      <c r="AV34" s="71">
        <v>6.4320000000000004</v>
      </c>
      <c r="AW34" s="71">
        <v>3.7839999999999998</v>
      </c>
      <c r="AX34" s="68"/>
      <c r="AY34" s="99">
        <v>1.1810280281454721E-4</v>
      </c>
      <c r="AZ34" s="97">
        <v>1.8262315123501534</v>
      </c>
      <c r="BA34" s="68"/>
      <c r="BB34" s="67">
        <v>1942.8883809438034</v>
      </c>
      <c r="BC34" s="67">
        <v>1589.6200401411263</v>
      </c>
      <c r="BD34" s="67">
        <v>1226.336878702652</v>
      </c>
      <c r="BE34" s="67">
        <v>853.03889662838037</v>
      </c>
      <c r="BF34" s="67">
        <v>469.72609391831105</v>
      </c>
      <c r="BG34" s="68"/>
      <c r="BH34" s="99">
        <v>2.1811428519254933E-5</v>
      </c>
      <c r="BI34" s="97">
        <v>1.9055926159320533</v>
      </c>
      <c r="BJ34" s="68"/>
      <c r="BK34" s="49" t="s">
        <v>3256</v>
      </c>
      <c r="BL34" s="50"/>
      <c r="CI34"/>
      <c r="CJ34"/>
      <c r="CK34"/>
    </row>
    <row r="35" spans="1:89" ht="15" x14ac:dyDescent="0.25">
      <c r="A35" s="242" t="s">
        <v>119</v>
      </c>
      <c r="B35" s="243" t="s">
        <v>2972</v>
      </c>
      <c r="C35" s="244" t="s">
        <v>4139</v>
      </c>
      <c r="D35" s="245">
        <f>ROUND(MID('Clima Canal'!$C35,6,3)/Basis!$E$3,1)</f>
        <v>5.0999999999999996</v>
      </c>
      <c r="E35" s="245">
        <f>ROUND(MID('Clima Canal'!$C35,9,3)/Basis!$E$3,1)</f>
        <v>118.1</v>
      </c>
      <c r="F35" s="246" t="s">
        <v>50</v>
      </c>
      <c r="G35" s="245">
        <f>ROUND(32/Basis!$E$3,1)</f>
        <v>12.6</v>
      </c>
      <c r="H35" s="245">
        <f>ROUND(INDEX($AA35:$AE35,0,FanspeedH)*Basis!$E$2*((TaH-TrH)/LN(1/µ)/Basis!$E$7)*Glycol*$AA$4,0)</f>
        <v>20310</v>
      </c>
      <c r="I35" s="123">
        <f>IF(Basis!$E$1=1,ROUND(H35/((TaH-TrH)*1.163)/3600,3),ROUND(H35/(500*(TaH-TrH)),2))</f>
        <v>2.0299999999999998</v>
      </c>
      <c r="J35" s="83">
        <f>ROUND(INDEX($AG35:$AK35,0,FanspeedH)*Basis!$E$4,1)</f>
        <v>440.3</v>
      </c>
      <c r="K35" s="85">
        <f>INDEX($AS35:$AW35,0,FanspeedH)</f>
        <v>38.799999999999997</v>
      </c>
      <c r="L35" s="84">
        <f>CHOOSE(Basis!$E$1,$AY35*(I35*3600/Basis!$E$5)^$AZ35*Basis!$E$6/Basis!$E$9,$AY35*(I35/Basis!$E$5)^$AZ35*Basis!$E$6/Basis!$E$9)</f>
        <v>2.9822253531088596</v>
      </c>
      <c r="M35" s="85">
        <f>INDEX($AM35:$AQ35,0,FanspeedH)</f>
        <v>0</v>
      </c>
      <c r="N35" s="245">
        <f>ROUND((INDEX($BB35:$BF35,0,FanspeedC)*($U$5/$V$5)^N_c)*Basis!$E$2*Glycol*$AA$4,0)</f>
        <v>9169</v>
      </c>
      <c r="O35" s="108">
        <f>(($N35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10347.558733155718</v>
      </c>
      <c r="P35" s="123">
        <f>IF(Basis!$E$1=1,ROUND(O35/(($O$3-$O$2)*1.163)/3600,3),ROUND(O35/(500*($O$3-$O$2)),2))</f>
        <v>2.0699999999999998</v>
      </c>
      <c r="Q35" s="83">
        <f>IF(N35=0,0,ROUND(INDEX($AG35:$AK35,0,FanspeedC)*Basis!$E$4,1))</f>
        <v>440.3</v>
      </c>
      <c r="R35" s="85">
        <f>IF(N35=0,0,INDEX($AS35:$AW35,0,FanspeedC))</f>
        <v>38.799999999999997</v>
      </c>
      <c r="S35" s="84">
        <f>CHOOSE(Basis!$E$1,$BH35*(P35*3600/Basis!$E$5)^$BI35*Basis!$E$6/Basis!$E$9,$BH35*(P35/Basis!$E$5)^$BI35*Basis!$E$6/Basis!$E$9)</f>
        <v>0.93203345583516117</v>
      </c>
      <c r="T35" s="238">
        <f>IF(N35=0,0,INDEX($AM35:$AQ35,0,FanspeedC))</f>
        <v>0</v>
      </c>
      <c r="U35" s="110">
        <v>0.77110000000000001</v>
      </c>
      <c r="V35" s="110">
        <v>0.85389999999999999</v>
      </c>
      <c r="W35" s="110">
        <v>0.8831</v>
      </c>
      <c r="X35" s="110">
        <v>0.85870000000000002</v>
      </c>
      <c r="Y35" s="110">
        <v>0.78069999999999995</v>
      </c>
      <c r="Z35" s="74"/>
      <c r="AA35" s="73">
        <v>8280</v>
      </c>
      <c r="AB35" s="73">
        <v>7294.0000000000009</v>
      </c>
      <c r="AC35" s="73">
        <v>5936.9099999999989</v>
      </c>
      <c r="AD35" s="73">
        <v>4209.1399999999994</v>
      </c>
      <c r="AE35" s="73">
        <v>2110.58</v>
      </c>
      <c r="AF35" s="74"/>
      <c r="AG35" s="75">
        <v>748</v>
      </c>
      <c r="AH35" s="75">
        <v>638</v>
      </c>
      <c r="AI35" s="75">
        <v>481</v>
      </c>
      <c r="AJ35" s="75">
        <v>313</v>
      </c>
      <c r="AK35" s="75">
        <v>142</v>
      </c>
      <c r="AL35" s="74"/>
      <c r="AM35" s="76"/>
      <c r="AN35" s="76"/>
      <c r="AO35" s="76"/>
      <c r="AP35" s="76"/>
      <c r="AQ35" s="76"/>
      <c r="AR35" s="74"/>
      <c r="AS35" s="77">
        <v>38.799999999999997</v>
      </c>
      <c r="AT35" s="77">
        <v>26.2</v>
      </c>
      <c r="AU35" s="77">
        <v>14.8</v>
      </c>
      <c r="AV35" s="77">
        <v>8</v>
      </c>
      <c r="AW35" s="77">
        <v>4.8</v>
      </c>
      <c r="AX35" s="74"/>
      <c r="AY35" s="100">
        <v>1.2333900000000001E-4</v>
      </c>
      <c r="AZ35" s="98">
        <v>1.8241099999999999</v>
      </c>
      <c r="BA35" s="74"/>
      <c r="BB35" s="73">
        <v>2102.4699999999998</v>
      </c>
      <c r="BC35" s="73">
        <v>1720.18</v>
      </c>
      <c r="BD35" s="73">
        <v>1327.07</v>
      </c>
      <c r="BE35" s="73">
        <v>923.09</v>
      </c>
      <c r="BF35" s="73">
        <v>508.31900000000002</v>
      </c>
      <c r="BG35" s="74"/>
      <c r="BH35" s="100">
        <v>2.4628161336117001E-5</v>
      </c>
      <c r="BI35" s="98">
        <v>1.8911334099329</v>
      </c>
      <c r="BJ35" s="74"/>
      <c r="BK35" s="239" t="s">
        <v>3256</v>
      </c>
      <c r="BL35" s="48"/>
      <c r="CI35"/>
      <c r="CJ35"/>
      <c r="CK35"/>
    </row>
    <row r="36" spans="1:89" ht="15" x14ac:dyDescent="0.25">
      <c r="A36" s="72" t="s">
        <v>119</v>
      </c>
      <c r="B36" s="145" t="s">
        <v>2966</v>
      </c>
      <c r="C36" s="112" t="s">
        <v>3247</v>
      </c>
      <c r="D36" s="45">
        <f>ROUND(MID('Clima Canal'!$C36,6,3)/Basis!$E$3,1)</f>
        <v>7.5</v>
      </c>
      <c r="E36" s="45">
        <f>ROUND(MID('Clima Canal'!$C36,9,3)/Basis!$E$3,1)</f>
        <v>41.3</v>
      </c>
      <c r="F36" s="106" t="s">
        <v>51</v>
      </c>
      <c r="G36" s="45">
        <f>ROUND(34/Basis!$E$3,1)</f>
        <v>13.4</v>
      </c>
      <c r="H36" s="223">
        <f>ROUND(INDEX($AA36:$AE36,0,FanspeedH)*Basis!$E$2*((TaH-TrH)/LN(1/µ)/Basis!$E$7)*Glycol*$AA$4,0)</f>
        <v>8812</v>
      </c>
      <c r="I36" s="123">
        <f>IF(Basis!$E$1=1,ROUND(H36/((TaH-TrH)*1.163)/3600,3),ROUND(H36/(500*(TaH-TrH)),2))</f>
        <v>0.88</v>
      </c>
      <c r="J36" s="83">
        <f>ROUND(INDEX($AG36:$AK36,0,FanspeedH)*Basis!$E$4,1)</f>
        <v>206.6</v>
      </c>
      <c r="K36" s="85">
        <f>INDEX($AS36:$AW36,0,FanspeedH)</f>
        <v>15</v>
      </c>
      <c r="L36" s="84">
        <f>CHOOSE(Basis!$E$1,$AY36*(I36*3600/Basis!$E$5)^$AZ36*Basis!$E$6/Basis!$E$9,$AY36*(I36/Basis!$E$5)^$AZ36*Basis!$E$6/Basis!$E$9)</f>
        <v>0.37064774394282446</v>
      </c>
      <c r="M36" s="85">
        <f>INDEX($AM36:$AQ36,0,FanspeedH)</f>
        <v>0</v>
      </c>
      <c r="N36" s="45">
        <f>ROUND((INDEX($BB36:$BF36,0,FanspeedC)*($U$5/$V$5)^N_c)*Basis!$E$2*Glycol*$AA$4,0)</f>
        <v>3543</v>
      </c>
      <c r="O36" s="108">
        <f>(($N36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3998.4077425641522</v>
      </c>
      <c r="P36" s="123">
        <f>IF(Basis!$E$1=1,ROUND(O36/(($O$3-$O$2)*1.163)/3600,3),ROUND(O36/(500*($O$3-$O$2)),2))</f>
        <v>0.8</v>
      </c>
      <c r="Q36" s="83">
        <f>IF(N36=0,0,ROUND(INDEX($AG36:$AK36,0,FanspeedC)*Basis!$E$4,1))</f>
        <v>206.6</v>
      </c>
      <c r="R36" s="85">
        <f>IF(N36=0,0,INDEX($AS36:$AW36,0,FanspeedC))</f>
        <v>15</v>
      </c>
      <c r="S36" s="84">
        <f>CHOOSE(Basis!$E$1,$BH36*(P36*3600/Basis!$E$5)^$BI36*Basis!$E$6/Basis!$E$9,$BH36*(P36/Basis!$E$5)^$BI36*Basis!$E$6/Basis!$E$9)</f>
        <v>0.30632044953952436</v>
      </c>
      <c r="T36" s="85">
        <f>IF(N36=0,0,INDEX($AM36:$AQ36,0,FanspeedC))</f>
        <v>0</v>
      </c>
      <c r="U36" s="109">
        <v>0.91110000000000002</v>
      </c>
      <c r="V36" s="109">
        <v>0.89500000000000002</v>
      </c>
      <c r="W36" s="109">
        <v>0.88200000000000001</v>
      </c>
      <c r="X36" s="109">
        <v>0.87749999999999995</v>
      </c>
      <c r="Y36" s="109">
        <v>0.87660000000000005</v>
      </c>
      <c r="Z36" s="68"/>
      <c r="AA36" s="67">
        <v>3592.5600611198183</v>
      </c>
      <c r="AB36" s="67">
        <v>3101.7979597228677</v>
      </c>
      <c r="AC36" s="67">
        <v>2566.6887513844108</v>
      </c>
      <c r="AD36" s="67">
        <v>1965.4500742286991</v>
      </c>
      <c r="AE36" s="67">
        <v>1245.4047763416349</v>
      </c>
      <c r="AF36" s="68"/>
      <c r="AG36" s="69">
        <v>351</v>
      </c>
      <c r="AH36" s="69">
        <v>309</v>
      </c>
      <c r="AI36" s="69">
        <v>236</v>
      </c>
      <c r="AJ36" s="69">
        <v>167</v>
      </c>
      <c r="AK36" s="69">
        <v>97</v>
      </c>
      <c r="AL36" s="68"/>
      <c r="AM36" s="70"/>
      <c r="AN36" s="70"/>
      <c r="AO36" s="70"/>
      <c r="AP36" s="70"/>
      <c r="AQ36" s="70"/>
      <c r="AR36" s="68"/>
      <c r="AS36" s="71">
        <v>15</v>
      </c>
      <c r="AT36" s="71">
        <v>9.3000000000000007</v>
      </c>
      <c r="AU36" s="71">
        <v>4.8</v>
      </c>
      <c r="AV36" s="71">
        <v>2.7</v>
      </c>
      <c r="AW36" s="71">
        <v>1.5</v>
      </c>
      <c r="AX36" s="68"/>
      <c r="AY36" s="99">
        <v>2.7734576306310619E-5</v>
      </c>
      <c r="AZ36" s="97">
        <v>2</v>
      </c>
      <c r="BA36" s="68"/>
      <c r="BB36" s="67">
        <v>776.95718857661211</v>
      </c>
      <c r="BC36" s="67">
        <v>626.26287493934944</v>
      </c>
      <c r="BD36" s="67">
        <v>474.27820425144279</v>
      </c>
      <c r="BE36" s="67">
        <v>320.54052904133164</v>
      </c>
      <c r="BF36" s="67">
        <v>164.06246461287881</v>
      </c>
      <c r="BG36" s="68"/>
      <c r="BH36" s="99">
        <v>2.7734576306310619E-5</v>
      </c>
      <c r="BI36" s="97">
        <v>2</v>
      </c>
      <c r="BJ36" s="68"/>
      <c r="BK36" s="114" t="s">
        <v>139</v>
      </c>
      <c r="BL36" s="50"/>
      <c r="CI36"/>
      <c r="CJ36"/>
      <c r="CK36"/>
    </row>
    <row r="37" spans="1:89" ht="15" x14ac:dyDescent="0.25">
      <c r="A37" s="72" t="s">
        <v>119</v>
      </c>
      <c r="B37" s="145" t="s">
        <v>2966</v>
      </c>
      <c r="C37" s="112" t="s">
        <v>3248</v>
      </c>
      <c r="D37" s="45">
        <f>ROUND(MID('Clima Canal'!$C37,6,3)/Basis!$E$3,1)</f>
        <v>7.5</v>
      </c>
      <c r="E37" s="45">
        <f>ROUND(MID('Clima Canal'!$C37,9,3)/Basis!$E$3,1)</f>
        <v>47.2</v>
      </c>
      <c r="F37" s="46" t="s">
        <v>51</v>
      </c>
      <c r="G37" s="45">
        <f>ROUND(34/Basis!$E$3,1)</f>
        <v>13.4</v>
      </c>
      <c r="H37" s="223">
        <f>ROUND(INDEX($AA37:$AE37,0,FanspeedH)*Basis!$E$2*((TaH-TrH)/LN(1/µ)/Basis!$E$7)*Glycol*$AA$4,0)</f>
        <v>10950</v>
      </c>
      <c r="I37" s="123">
        <f>IF(Basis!$E$1=1,ROUND(H37/((TaH-TrH)*1.163)/3600,3),ROUND(H37/(500*(TaH-TrH)),2))</f>
        <v>1.1000000000000001</v>
      </c>
      <c r="J37" s="83">
        <f>ROUND(INDEX($AG37:$AK37,0,FanspeedH)*Basis!$E$4,1)</f>
        <v>236</v>
      </c>
      <c r="K37" s="85">
        <f>INDEX($AS37:$AW37,0,FanspeedH)</f>
        <v>24</v>
      </c>
      <c r="L37" s="84">
        <f>CHOOSE(Basis!$E$1,$AY37*(I37*3600/Basis!$E$5)^$AZ37*Basis!$E$6/Basis!$E$9,$AY37*(I37/Basis!$E$5)^$AZ37*Basis!$E$6/Basis!$E$9)</f>
        <v>0.60090740645179597</v>
      </c>
      <c r="M37" s="85">
        <f>INDEX($AM37:$AQ37,0,FanspeedH)</f>
        <v>0</v>
      </c>
      <c r="N37" s="45">
        <f>ROUND((INDEX($BB37:$BF37,0,FanspeedC)*($U$5/$V$5)^N_c)*Basis!$E$2*Glycol*$AA$4,0)</f>
        <v>4402</v>
      </c>
      <c r="O37" s="108">
        <f>(($N37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4967.821304760766</v>
      </c>
      <c r="P37" s="123">
        <f>IF(Basis!$E$1=1,ROUND(O37/(($O$3-$O$2)*1.163)/3600,3),ROUND(O37/(500*($O$3-$O$2)),2))</f>
        <v>0.99</v>
      </c>
      <c r="Q37" s="83">
        <f>IF(N37=0,0,ROUND(INDEX($AG37:$AK37,0,FanspeedC)*Basis!$E$4,1))</f>
        <v>236</v>
      </c>
      <c r="R37" s="85">
        <f>IF(N37=0,0,INDEX($AS37:$AW37,0,FanspeedC))</f>
        <v>24</v>
      </c>
      <c r="S37" s="84">
        <f>CHOOSE(Basis!$E$1,$BH37*(P37*3600/Basis!$E$5)^$BI37*Basis!$E$6/Basis!$E$9,$BH37*(P37/Basis!$E$5)^$BI37*Basis!$E$6/Basis!$E$9)</f>
        <v>0.4867349992259547</v>
      </c>
      <c r="T37" s="85">
        <f>IF(N37=0,0,INDEX($AM37:$AQ37,0,FanspeedC))</f>
        <v>0</v>
      </c>
      <c r="U37" s="110">
        <v>0.91110000000000002</v>
      </c>
      <c r="V37" s="110">
        <v>0.89500000000000002</v>
      </c>
      <c r="W37" s="110">
        <v>0.88200000000000001</v>
      </c>
      <c r="X37" s="110">
        <v>0.87749999999999995</v>
      </c>
      <c r="Y37" s="110">
        <v>0.87660000000000005</v>
      </c>
      <c r="Z37" s="74"/>
      <c r="AA37" s="73">
        <v>4464.1278865985905</v>
      </c>
      <c r="AB37" s="73">
        <v>3854.3051570520838</v>
      </c>
      <c r="AC37" s="73">
        <v>3189.3765549747113</v>
      </c>
      <c r="AD37" s="73">
        <v>2442.275240165839</v>
      </c>
      <c r="AE37" s="73">
        <v>1547.5443966375344</v>
      </c>
      <c r="AF37" s="74"/>
      <c r="AG37" s="75">
        <v>401</v>
      </c>
      <c r="AH37" s="75">
        <v>351</v>
      </c>
      <c r="AI37" s="75">
        <v>260</v>
      </c>
      <c r="AJ37" s="75">
        <v>179</v>
      </c>
      <c r="AK37" s="75">
        <v>82</v>
      </c>
      <c r="AL37" s="74"/>
      <c r="AM37" s="76"/>
      <c r="AN37" s="76"/>
      <c r="AO37" s="76"/>
      <c r="AP37" s="76"/>
      <c r="AQ37" s="76"/>
      <c r="AR37" s="74"/>
      <c r="AS37" s="77">
        <v>24</v>
      </c>
      <c r="AT37" s="77">
        <v>18.399999999999999</v>
      </c>
      <c r="AU37" s="77">
        <v>12.1</v>
      </c>
      <c r="AV37" s="77">
        <v>6.7</v>
      </c>
      <c r="AW37" s="77">
        <v>3.2</v>
      </c>
      <c r="AX37" s="74"/>
      <c r="AY37" s="100">
        <v>2.8777145031522588E-5</v>
      </c>
      <c r="AZ37" s="98">
        <v>2</v>
      </c>
      <c r="BA37" s="74"/>
      <c r="BB37" s="73">
        <v>965.44976095318657</v>
      </c>
      <c r="BC37" s="73">
        <v>778.1964718181265</v>
      </c>
      <c r="BD37" s="73">
        <v>589.33978043078685</v>
      </c>
      <c r="BE37" s="73">
        <v>398.30479940047127</v>
      </c>
      <c r="BF37" s="73">
        <v>203.86460099825175</v>
      </c>
      <c r="BG37" s="74"/>
      <c r="BH37" s="100">
        <v>2.8777145031522588E-5</v>
      </c>
      <c r="BI37" s="98">
        <v>2</v>
      </c>
      <c r="BJ37" s="74"/>
      <c r="BK37" s="47" t="s">
        <v>139</v>
      </c>
      <c r="BL37" s="48"/>
      <c r="CI37"/>
      <c r="CJ37"/>
      <c r="CK37"/>
    </row>
    <row r="38" spans="1:89" ht="15" x14ac:dyDescent="0.25">
      <c r="A38" s="72" t="s">
        <v>119</v>
      </c>
      <c r="B38" s="145" t="s">
        <v>2966</v>
      </c>
      <c r="C38" s="112" t="s">
        <v>3249</v>
      </c>
      <c r="D38" s="45">
        <f>ROUND(MID('Clima Canal'!$C38,6,3)/Basis!$E$3,1)</f>
        <v>7.5</v>
      </c>
      <c r="E38" s="45">
        <f>ROUND(MID('Clima Canal'!$C38,9,3)/Basis!$E$3,1)</f>
        <v>78.7</v>
      </c>
      <c r="F38" s="46" t="s">
        <v>51</v>
      </c>
      <c r="G38" s="45">
        <f>ROUND(34/Basis!$E$3,1)</f>
        <v>13.4</v>
      </c>
      <c r="H38" s="223">
        <f>ROUND(INDEX($AA38:$AE38,0,FanspeedH)*Basis!$E$2*((TaH-TrH)/LN(1/µ)/Basis!$E$7)*Glycol*$AA$4,0)</f>
        <v>21379</v>
      </c>
      <c r="I38" s="123">
        <f>IF(Basis!$E$1=1,ROUND(H38/((TaH-TrH)*1.163)/3600,3),ROUND(H38/(500*(TaH-TrH)),2))</f>
        <v>2.14</v>
      </c>
      <c r="J38" s="83">
        <f>ROUND(INDEX($AG38:$AK38,0,FanspeedH)*Basis!$E$4,1)</f>
        <v>442.6</v>
      </c>
      <c r="K38" s="85">
        <f>INDEX($AS38:$AW38,0,FanspeedH)</f>
        <v>38.9</v>
      </c>
      <c r="L38" s="84">
        <f>CHOOSE(Basis!$E$1,$AY38*(I38*3600/Basis!$E$5)^$AZ38*Basis!$E$6/Basis!$E$9,$AY38*(I38/Basis!$E$5)^$AZ38*Basis!$E$6/Basis!$E$9)</f>
        <v>2.6572590610708091</v>
      </c>
      <c r="M38" s="85">
        <f>INDEX($AM38:$AQ38,0,FanspeedH)</f>
        <v>0</v>
      </c>
      <c r="N38" s="45">
        <f>ROUND((INDEX($BB38:$BF38,0,FanspeedC)*($U$5/$V$5)^N_c)*Basis!$E$2*Glycol*$AA$4,0)</f>
        <v>8595</v>
      </c>
      <c r="O38" s="108">
        <f>(($N38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9699.7783085912743</v>
      </c>
      <c r="P38" s="123">
        <f>IF(Basis!$E$1=1,ROUND(O38/(($O$3-$O$2)*1.163)/3600,3),ROUND(O38/(500*($O$3-$O$2)),2))</f>
        <v>1.94</v>
      </c>
      <c r="Q38" s="83">
        <f>IF(N38=0,0,ROUND(INDEX($AG38:$AK38,0,FanspeedC)*Basis!$E$4,1))</f>
        <v>442.6</v>
      </c>
      <c r="R38" s="85">
        <f>IF(N38=0,0,INDEX($AS38:$AW38,0,FanspeedC))</f>
        <v>38.9</v>
      </c>
      <c r="S38" s="84">
        <f>CHOOSE(Basis!$E$1,$BH38*(P38*3600/Basis!$E$5)^$BI38*Basis!$E$6/Basis!$E$9,$BH38*(P38/Basis!$E$5)^$BI38*Basis!$E$6/Basis!$E$9)</f>
        <v>2.1837846541720012</v>
      </c>
      <c r="T38" s="85">
        <f>IF(N38=0,0,INDEX($AM38:$AQ38,0,FanspeedC))</f>
        <v>0</v>
      </c>
      <c r="U38" s="109">
        <v>0.91110000000000002</v>
      </c>
      <c r="V38" s="109">
        <v>0.89500000000000002</v>
      </c>
      <c r="W38" s="109">
        <v>0.88200000000000001</v>
      </c>
      <c r="X38" s="109">
        <v>0.87749999999999995</v>
      </c>
      <c r="Y38" s="109">
        <v>0.87660000000000005</v>
      </c>
      <c r="Z38" s="68"/>
      <c r="AA38" s="67">
        <v>8715.6782547877228</v>
      </c>
      <c r="AB38" s="67">
        <v>7525.0719732921634</v>
      </c>
      <c r="AC38" s="67">
        <v>6226.8780359030079</v>
      </c>
      <c r="AD38" s="67">
        <v>4768.2516593713999</v>
      </c>
      <c r="AE38" s="67">
        <v>3021.3962029589957</v>
      </c>
      <c r="AF38" s="68"/>
      <c r="AG38" s="69">
        <v>752</v>
      </c>
      <c r="AH38" s="69">
        <v>660</v>
      </c>
      <c r="AI38" s="69">
        <v>496</v>
      </c>
      <c r="AJ38" s="69">
        <v>346</v>
      </c>
      <c r="AK38" s="69">
        <v>179</v>
      </c>
      <c r="AL38" s="68"/>
      <c r="AM38" s="70"/>
      <c r="AN38" s="70"/>
      <c r="AO38" s="70"/>
      <c r="AP38" s="70"/>
      <c r="AQ38" s="70"/>
      <c r="AR38" s="68"/>
      <c r="AS38" s="71">
        <v>38.9</v>
      </c>
      <c r="AT38" s="71">
        <v>27.7</v>
      </c>
      <c r="AU38" s="71">
        <v>16.899999999999999</v>
      </c>
      <c r="AV38" s="71">
        <v>9.4</v>
      </c>
      <c r="AW38" s="71">
        <v>4.5999999999999996</v>
      </c>
      <c r="AX38" s="68"/>
      <c r="AY38" s="99">
        <v>3.3622644513664882E-5</v>
      </c>
      <c r="AZ38" s="97">
        <v>2</v>
      </c>
      <c r="BA38" s="68"/>
      <c r="BB38" s="67">
        <v>1884.925723765745</v>
      </c>
      <c r="BC38" s="67">
        <v>1519.3359687877708</v>
      </c>
      <c r="BD38" s="67">
        <v>1150.6157617934409</v>
      </c>
      <c r="BE38" s="67">
        <v>777.6427035913963</v>
      </c>
      <c r="BF38" s="67">
        <v>398.02136385372961</v>
      </c>
      <c r="BG38" s="68"/>
      <c r="BH38" s="99">
        <v>3.3622644513664882E-5</v>
      </c>
      <c r="BI38" s="97">
        <v>2</v>
      </c>
      <c r="BJ38" s="68"/>
      <c r="BK38" s="49" t="s">
        <v>139</v>
      </c>
      <c r="BL38" s="50"/>
      <c r="CI38"/>
      <c r="CJ38"/>
      <c r="CK38"/>
    </row>
    <row r="39" spans="1:89" ht="15" x14ac:dyDescent="0.25">
      <c r="A39" s="72" t="s">
        <v>119</v>
      </c>
      <c r="B39" s="145" t="s">
        <v>2966</v>
      </c>
      <c r="C39" s="112" t="s">
        <v>3250</v>
      </c>
      <c r="D39" s="45">
        <f>ROUND(MID('Clima Canal'!$C39,6,3)/Basis!$E$3,1)</f>
        <v>7.5</v>
      </c>
      <c r="E39" s="45">
        <f>ROUND(MID('Clima Canal'!$C39,9,3)/Basis!$E$3,1)</f>
        <v>110.2</v>
      </c>
      <c r="F39" s="46" t="s">
        <v>51</v>
      </c>
      <c r="G39" s="45">
        <f>ROUND(34/Basis!$E$3,1)</f>
        <v>13.4</v>
      </c>
      <c r="H39" s="223">
        <f>ROUND(INDEX($AA39:$AE39,0,FanspeedH)*Basis!$E$2*((TaH-TrH)/LN(1/µ)/Basis!$E$7)*Glycol*$AA$4,0)</f>
        <v>31808</v>
      </c>
      <c r="I39" s="123">
        <f>IF(Basis!$E$1=1,ROUND(H39/((TaH-TrH)*1.163)/3600,3),ROUND(H39/(500*(TaH-TrH)),2))</f>
        <v>3.18</v>
      </c>
      <c r="J39" s="83">
        <f>ROUND(INDEX($AG39:$AK39,0,FanspeedH)*Basis!$E$4,1)</f>
        <v>649.20000000000005</v>
      </c>
      <c r="K39" s="85">
        <f>INDEX($AS39:$AW39,0,FanspeedH)</f>
        <v>53.8</v>
      </c>
      <c r="L39" s="84">
        <f>CHOOSE(Basis!$E$1,$AY39*(I39*3600/Basis!$E$5)^$AZ39*Basis!$E$6/Basis!$E$9,$AY39*(I39/Basis!$E$5)^$AZ39*Basis!$E$6/Basis!$E$9)</f>
        <v>6.5992436576467339</v>
      </c>
      <c r="M39" s="85">
        <f>INDEX($AM39:$AQ39,0,FanspeedH)</f>
        <v>0</v>
      </c>
      <c r="N39" s="45">
        <f>ROUND((INDEX($BB39:$BF39,0,FanspeedC)*($U$5/$V$5)^N_c)*Basis!$E$2*Glycol*$AA$4,0)</f>
        <v>12788</v>
      </c>
      <c r="O39" s="108">
        <f>(($N39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14431.735312421783</v>
      </c>
      <c r="P39" s="123">
        <f>IF(Basis!$E$1=1,ROUND(O39/(($O$3-$O$2)*1.163)/3600,3),ROUND(O39/(500*($O$3-$O$2)),2))</f>
        <v>2.89</v>
      </c>
      <c r="Q39" s="83">
        <f>IF(N39=0,0,ROUND(INDEX($AG39:$AK39,0,FanspeedC)*Basis!$E$4,1))</f>
        <v>649.20000000000005</v>
      </c>
      <c r="R39" s="85">
        <f>IF(N39=0,0,INDEX($AS39:$AW39,0,FanspeedC))</f>
        <v>53.8</v>
      </c>
      <c r="S39" s="84">
        <f>CHOOSE(Basis!$E$1,$BH39*(P39*3600/Basis!$E$5)^$BI39*Basis!$E$6/Basis!$E$9,$BH39*(P39/Basis!$E$5)^$BI39*Basis!$E$6/Basis!$E$9)</f>
        <v>5.4504907789477555</v>
      </c>
      <c r="T39" s="85">
        <f>IF(N39=0,0,INDEX($AM39:$AQ39,0,FanspeedC))</f>
        <v>0</v>
      </c>
      <c r="U39" s="110">
        <v>0.91110000000000002</v>
      </c>
      <c r="V39" s="110">
        <v>0.89500000000000002</v>
      </c>
      <c r="W39" s="110">
        <v>0.88200000000000001</v>
      </c>
      <c r="X39" s="110">
        <v>0.87749999999999995</v>
      </c>
      <c r="Y39" s="110">
        <v>0.87660000000000005</v>
      </c>
      <c r="Z39" s="74"/>
      <c r="AA39" s="73">
        <v>12967.228622976858</v>
      </c>
      <c r="AB39" s="73">
        <v>11195.838789532243</v>
      </c>
      <c r="AC39" s="73">
        <v>9264.3795168313045</v>
      </c>
      <c r="AD39" s="73">
        <v>7094.2280785769608</v>
      </c>
      <c r="AE39" s="73">
        <v>4495.2480092804572</v>
      </c>
      <c r="AF39" s="74"/>
      <c r="AG39" s="75">
        <v>1103</v>
      </c>
      <c r="AH39" s="75">
        <v>969</v>
      </c>
      <c r="AI39" s="75">
        <v>732</v>
      </c>
      <c r="AJ39" s="75">
        <v>513</v>
      </c>
      <c r="AK39" s="75">
        <v>276</v>
      </c>
      <c r="AL39" s="74"/>
      <c r="AM39" s="76"/>
      <c r="AN39" s="76"/>
      <c r="AO39" s="76"/>
      <c r="AP39" s="76"/>
      <c r="AQ39" s="76"/>
      <c r="AR39" s="74"/>
      <c r="AS39" s="77">
        <v>53.8</v>
      </c>
      <c r="AT39" s="77">
        <v>37</v>
      </c>
      <c r="AU39" s="77">
        <v>21.7</v>
      </c>
      <c r="AV39" s="77">
        <v>12.1</v>
      </c>
      <c r="AW39" s="77">
        <v>6.1</v>
      </c>
      <c r="AX39" s="74"/>
      <c r="AY39" s="100">
        <v>3.7815116499727958E-5</v>
      </c>
      <c r="AZ39" s="98">
        <v>2</v>
      </c>
      <c r="BA39" s="74"/>
      <c r="BB39" s="73">
        <v>2804.4016865783037</v>
      </c>
      <c r="BC39" s="73">
        <v>2260.4754657574149</v>
      </c>
      <c r="BD39" s="73">
        <v>1711.8917431560951</v>
      </c>
      <c r="BE39" s="73">
        <v>1156.9806077823214</v>
      </c>
      <c r="BF39" s="73">
        <v>592.1781267092075</v>
      </c>
      <c r="BG39" s="74"/>
      <c r="BH39" s="100">
        <v>3.7815116499727958E-5</v>
      </c>
      <c r="BI39" s="98">
        <v>2</v>
      </c>
      <c r="BJ39" s="74"/>
      <c r="BK39" s="47" t="s">
        <v>139</v>
      </c>
      <c r="BL39" s="48"/>
      <c r="CI39"/>
      <c r="CJ39"/>
      <c r="CK39"/>
    </row>
    <row r="40" spans="1:89" ht="15" x14ac:dyDescent="0.25">
      <c r="A40" s="72" t="s">
        <v>119</v>
      </c>
      <c r="B40" s="111" t="s">
        <v>138</v>
      </c>
      <c r="C40" s="44" t="s">
        <v>3240</v>
      </c>
      <c r="D40" s="45">
        <f>ROUND(MID('Clima Canal'!$C40,6,3)/Basis!$E$3,1)</f>
        <v>7.5</v>
      </c>
      <c r="E40" s="45">
        <f>ROUND(MID('Clima Canal'!$C40,9,3)/Basis!$E$3,1)</f>
        <v>41.3</v>
      </c>
      <c r="F40" s="113" t="s">
        <v>50</v>
      </c>
      <c r="G40" s="45">
        <f>ROUND(34/Basis!$E$3,1)</f>
        <v>13.4</v>
      </c>
      <c r="H40" s="223">
        <f>ROUND(INDEX($AA40:$AE40,0,FanspeedH)*Basis!$E$2*((TaH-TrH)/LN(1/µ)/Basis!$E$7)*Glycol*$AA$4,0)</f>
        <v>5875</v>
      </c>
      <c r="I40" s="123">
        <f>IF(Basis!$E$1=1,ROUND(H40/((TaH-TrH)*1.163)/3600,3),ROUND(H40/(500*(TaH-TrH)),2))</f>
        <v>0.59</v>
      </c>
      <c r="J40" s="83">
        <f>ROUND(INDEX($AG40:$AK40,0,FanspeedH)*Basis!$E$4,1)</f>
        <v>206.6</v>
      </c>
      <c r="K40" s="85">
        <f>INDEX($AS40:$AW40,0,FanspeedH)</f>
        <v>15</v>
      </c>
      <c r="L40" s="84">
        <f>CHOOSE(Basis!$E$1,$AY40*(I40*3600/Basis!$E$5)^$AZ40*Basis!$E$6/Basis!$E$9,$AY40*(I40/Basis!$E$5)^$AZ40*Basis!$E$6/Basis!$E$9)</f>
        <v>0.13237349353081337</v>
      </c>
      <c r="M40" s="85">
        <f>INDEX($AM40:$AQ40,0,FanspeedH)</f>
        <v>0</v>
      </c>
      <c r="N40" s="45">
        <f>ROUND((INDEX($BB40:$BF40,0,FanspeedC)*($U$5/$V$5)^N_c)*Basis!$E$2*Glycol*$AA$4,0)</f>
        <v>3221</v>
      </c>
      <c r="O40" s="108">
        <f>(($N40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3635.0187239060497</v>
      </c>
      <c r="P40" s="123">
        <f>IF(Basis!$E$1=1,ROUND(O40/(($O$3-$O$2)*1.163)/3600,3),ROUND(O40/(500*($O$3-$O$2)),2))</f>
        <v>0.73</v>
      </c>
      <c r="Q40" s="83">
        <f>IF(N40=0,0,ROUND(INDEX($AG40:$AK40,0,FanspeedC)*Basis!$E$4,1))</f>
        <v>206.6</v>
      </c>
      <c r="R40" s="85">
        <f>IF(N40=0,0,INDEX($AS40:$AW40,0,FanspeedC))</f>
        <v>15</v>
      </c>
      <c r="S40" s="84">
        <f>CHOOSE(Basis!$E$1,$BH40*(P40*3600/Basis!$E$5)^$BI40*Basis!$E$6/Basis!$E$9,$BH40*(P40/Basis!$E$5)^$BI40*Basis!$E$6/Basis!$E$9)</f>
        <v>0.60757553968748568</v>
      </c>
      <c r="T40" s="85">
        <f>IF(N40=0,0,INDEX($AM40:$AQ40,0,FanspeedC))</f>
        <v>0</v>
      </c>
      <c r="U40" s="109">
        <v>0.91110000000000002</v>
      </c>
      <c r="V40" s="109">
        <v>0.89500000000000002</v>
      </c>
      <c r="W40" s="109">
        <v>0.88200000000000001</v>
      </c>
      <c r="X40" s="109">
        <v>0.87749999999999995</v>
      </c>
      <c r="Y40" s="109">
        <v>0.87660000000000005</v>
      </c>
      <c r="Z40" s="68"/>
      <c r="AA40" s="67">
        <v>2395.0400407465454</v>
      </c>
      <c r="AB40" s="67">
        <v>2067.8653064819118</v>
      </c>
      <c r="AC40" s="67">
        <v>1711.1258342562737</v>
      </c>
      <c r="AD40" s="67">
        <v>1310.3000494857993</v>
      </c>
      <c r="AE40" s="67">
        <v>830.26985089442314</v>
      </c>
      <c r="AF40" s="68"/>
      <c r="AG40" s="69">
        <v>351</v>
      </c>
      <c r="AH40" s="69">
        <v>309</v>
      </c>
      <c r="AI40" s="69">
        <v>236</v>
      </c>
      <c r="AJ40" s="69">
        <v>167</v>
      </c>
      <c r="AK40" s="69">
        <v>97</v>
      </c>
      <c r="AL40" s="68"/>
      <c r="AM40" s="70"/>
      <c r="AN40" s="70"/>
      <c r="AO40" s="70"/>
      <c r="AP40" s="70"/>
      <c r="AQ40" s="70"/>
      <c r="AR40" s="68"/>
      <c r="AS40" s="71">
        <v>15</v>
      </c>
      <c r="AT40" s="71">
        <v>9.3000000000000007</v>
      </c>
      <c r="AU40" s="71">
        <v>4.8</v>
      </c>
      <c r="AV40" s="71">
        <v>2.7</v>
      </c>
      <c r="AW40" s="71">
        <v>1.5</v>
      </c>
      <c r="AX40" s="68"/>
      <c r="AY40" s="99">
        <v>2.2035480565662373E-5</v>
      </c>
      <c r="AZ40" s="97">
        <v>2</v>
      </c>
      <c r="BA40" s="68"/>
      <c r="BB40" s="67">
        <v>706.32471688782903</v>
      </c>
      <c r="BC40" s="67">
        <v>569.32988630849945</v>
      </c>
      <c r="BD40" s="67">
        <v>431.16200386494791</v>
      </c>
      <c r="BE40" s="67">
        <v>291.40048094666514</v>
      </c>
      <c r="BF40" s="67">
        <v>149.14769510261706</v>
      </c>
      <c r="BG40" s="68"/>
      <c r="BH40" s="99">
        <v>6.6066314442915391E-5</v>
      </c>
      <c r="BI40" s="97">
        <v>2</v>
      </c>
      <c r="BJ40" s="68"/>
      <c r="BK40" s="49" t="s">
        <v>139</v>
      </c>
      <c r="BL40" s="50"/>
      <c r="CI40"/>
      <c r="CJ40"/>
      <c r="CK40"/>
    </row>
    <row r="41" spans="1:89" ht="15" x14ac:dyDescent="0.25">
      <c r="A41" s="72" t="s">
        <v>119</v>
      </c>
      <c r="B41" s="111" t="s">
        <v>138</v>
      </c>
      <c r="C41" s="44" t="s">
        <v>3241</v>
      </c>
      <c r="D41" s="45">
        <f>ROUND(MID('Clima Canal'!$C41,6,3)/Basis!$E$3,1)</f>
        <v>7.5</v>
      </c>
      <c r="E41" s="45">
        <f>ROUND(MID('Clima Canal'!$C41,9,3)/Basis!$E$3,1)</f>
        <v>47.2</v>
      </c>
      <c r="F41" s="46" t="s">
        <v>50</v>
      </c>
      <c r="G41" s="45">
        <f>ROUND(34/Basis!$E$3,1)</f>
        <v>13.4</v>
      </c>
      <c r="H41" s="223">
        <f>ROUND(INDEX($AA41:$AE41,0,FanspeedH)*Basis!$E$2*((TaH-TrH)/LN(1/µ)/Basis!$E$7)*Glycol*$AA$4,0)</f>
        <v>7300</v>
      </c>
      <c r="I41" s="123">
        <f>IF(Basis!$E$1=1,ROUND(H41/((TaH-TrH)*1.163)/3600,3),ROUND(H41/(500*(TaH-TrH)),2))</f>
        <v>0.73</v>
      </c>
      <c r="J41" s="83">
        <f>ROUND(INDEX($AG41:$AK41,0,FanspeedH)*Basis!$E$4,1)</f>
        <v>236</v>
      </c>
      <c r="K41" s="85">
        <f>INDEX($AS41:$AW41,0,FanspeedH)</f>
        <v>24</v>
      </c>
      <c r="L41" s="84">
        <f>CHOOSE(Basis!$E$1,$AY41*(I41*3600/Basis!$E$5)^$AZ41*Basis!$E$6/Basis!$E$9,$AY41*(I41/Basis!$E$5)^$AZ41*Basis!$E$6/Basis!$E$9)</f>
        <v>0.22052039040787186</v>
      </c>
      <c r="M41" s="85">
        <f>INDEX($AM41:$AQ41,0,FanspeedH)</f>
        <v>0</v>
      </c>
      <c r="N41" s="45">
        <f>ROUND((INDEX($BB41:$BF41,0,FanspeedC)*($U$5/$V$5)^N_c)*Basis!$E$2*Glycol*$AA$4,0)</f>
        <v>4002</v>
      </c>
      <c r="O41" s="108">
        <f>(($N41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4516.4063747507007</v>
      </c>
      <c r="P41" s="123">
        <f>IF(Basis!$E$1=1,ROUND(O41/(($O$3-$O$2)*1.163)/3600,3),ROUND(O41/(500*($O$3-$O$2)),2))</f>
        <v>0.9</v>
      </c>
      <c r="Q41" s="83">
        <f>IF(N41=0,0,ROUND(INDEX($AG41:$AK41,0,FanspeedC)*Basis!$E$4,1))</f>
        <v>236</v>
      </c>
      <c r="R41" s="85">
        <f>IF(N41=0,0,INDEX($AS41:$AW41,0,FanspeedC))</f>
        <v>24</v>
      </c>
      <c r="S41" s="84">
        <f>CHOOSE(Basis!$E$1,$BH41*(P41*3600/Basis!$E$5)^$BI41*Basis!$E$6/Basis!$E$9,$BH41*(P41/Basis!$E$5)^$BI41*Basis!$E$6/Basis!$E$9)</f>
        <v>1.0028606587653786</v>
      </c>
      <c r="T41" s="85">
        <f>IF(N41=0,0,INDEX($AM41:$AQ41,0,FanspeedC))</f>
        <v>0</v>
      </c>
      <c r="U41" s="110">
        <v>0.91110000000000002</v>
      </c>
      <c r="V41" s="110">
        <v>0.89500000000000002</v>
      </c>
      <c r="W41" s="110">
        <v>0.88200000000000001</v>
      </c>
      <c r="X41" s="110">
        <v>0.87749999999999995</v>
      </c>
      <c r="Y41" s="110">
        <v>0.87660000000000005</v>
      </c>
      <c r="Z41" s="74"/>
      <c r="AA41" s="73">
        <v>2976.0852577323931</v>
      </c>
      <c r="AB41" s="73">
        <v>2569.5367713680557</v>
      </c>
      <c r="AC41" s="73">
        <v>2126.2510366498072</v>
      </c>
      <c r="AD41" s="73">
        <v>1628.1834934438923</v>
      </c>
      <c r="AE41" s="73">
        <v>1031.6962644250227</v>
      </c>
      <c r="AF41" s="74"/>
      <c r="AG41" s="75">
        <v>401</v>
      </c>
      <c r="AH41" s="75">
        <v>351</v>
      </c>
      <c r="AI41" s="75">
        <v>260</v>
      </c>
      <c r="AJ41" s="75">
        <v>179</v>
      </c>
      <c r="AK41" s="75">
        <v>82</v>
      </c>
      <c r="AL41" s="74"/>
      <c r="AM41" s="76"/>
      <c r="AN41" s="76"/>
      <c r="AO41" s="76"/>
      <c r="AP41" s="76"/>
      <c r="AQ41" s="76"/>
      <c r="AR41" s="74"/>
      <c r="AS41" s="77">
        <v>24</v>
      </c>
      <c r="AT41" s="77">
        <v>18.399999999999999</v>
      </c>
      <c r="AU41" s="77">
        <v>12.1</v>
      </c>
      <c r="AV41" s="77">
        <v>6.7</v>
      </c>
      <c r="AW41" s="77">
        <v>3.2</v>
      </c>
      <c r="AX41" s="74"/>
      <c r="AY41" s="100">
        <v>2.3978861066814286E-5</v>
      </c>
      <c r="AZ41" s="98">
        <v>2</v>
      </c>
      <c r="BA41" s="74"/>
      <c r="BB41" s="73">
        <v>877.68160086653302</v>
      </c>
      <c r="BC41" s="73">
        <v>707.45133801647853</v>
      </c>
      <c r="BD41" s="73">
        <v>535.76343675526061</v>
      </c>
      <c r="BE41" s="73">
        <v>362.09527218224656</v>
      </c>
      <c r="BF41" s="73">
        <v>185.33145545295611</v>
      </c>
      <c r="BG41" s="74"/>
      <c r="BH41" s="100">
        <v>7.1743257974481045E-5</v>
      </c>
      <c r="BI41" s="98">
        <v>2</v>
      </c>
      <c r="BJ41" s="74"/>
      <c r="BK41" s="47" t="s">
        <v>139</v>
      </c>
      <c r="BL41" s="48"/>
      <c r="CI41"/>
      <c r="CJ41"/>
      <c r="CK41"/>
    </row>
    <row r="42" spans="1:89" ht="15" x14ac:dyDescent="0.25">
      <c r="A42" s="72" t="s">
        <v>119</v>
      </c>
      <c r="B42" s="111" t="s">
        <v>138</v>
      </c>
      <c r="C42" s="44" t="s">
        <v>3242</v>
      </c>
      <c r="D42" s="45">
        <f>ROUND(MID('Clima Canal'!$C42,6,3)/Basis!$E$3,1)</f>
        <v>7.5</v>
      </c>
      <c r="E42" s="45">
        <f>ROUND(MID('Clima Canal'!$C42,9,3)/Basis!$E$3,1)</f>
        <v>78.7</v>
      </c>
      <c r="F42" s="46" t="s">
        <v>50</v>
      </c>
      <c r="G42" s="45">
        <f>ROUND(34/Basis!$E$3,1)</f>
        <v>13.4</v>
      </c>
      <c r="H42" s="223">
        <f>ROUND(INDEX($AA42:$AE42,0,FanspeedH)*Basis!$E$2*((TaH-TrH)/LN(1/µ)/Basis!$E$7)*Glycol*$AA$4,0)</f>
        <v>14253</v>
      </c>
      <c r="I42" s="123">
        <f>IF(Basis!$E$1=1,ROUND(H42/((TaH-TrH)*1.163)/3600,3),ROUND(H42/(500*(TaH-TrH)),2))</f>
        <v>1.43</v>
      </c>
      <c r="J42" s="83">
        <f>ROUND(INDEX($AG42:$AK42,0,FanspeedH)*Basis!$E$4,1)</f>
        <v>442.6</v>
      </c>
      <c r="K42" s="85">
        <f>INDEX($AS42:$AW42,0,FanspeedH)</f>
        <v>38.9</v>
      </c>
      <c r="L42" s="84">
        <f>CHOOSE(Basis!$E$1,$AY42*(I42*3600/Basis!$E$5)^$AZ42*Basis!$E$6/Basis!$E$9,$AY42*(I42/Basis!$E$5)^$AZ42*Basis!$E$6/Basis!$E$9)</f>
        <v>1.1654852536001636</v>
      </c>
      <c r="M42" s="85">
        <f>INDEX($AM42:$AQ42,0,FanspeedH)</f>
        <v>0</v>
      </c>
      <c r="N42" s="45">
        <f>ROUND((INDEX($BB42:$BF42,0,FanspeedC)*($U$5/$V$5)^N_c)*Basis!$E$2*Glycol*$AA$4,0)</f>
        <v>7814</v>
      </c>
      <c r="O42" s="108">
        <f>(($N42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8818.3906577466205</v>
      </c>
      <c r="P42" s="123">
        <f>IF(Basis!$E$1=1,ROUND(O42/(($O$3-$O$2)*1.163)/3600,3),ROUND(O42/(500*($O$3-$O$2)),2))</f>
        <v>1.76</v>
      </c>
      <c r="Q42" s="83">
        <f>IF(N42=0,0,ROUND(INDEX($AG42:$AK42,0,FanspeedC)*Basis!$E$4,1))</f>
        <v>442.6</v>
      </c>
      <c r="R42" s="85">
        <f>IF(N42=0,0,INDEX($AS42:$AW42,0,FanspeedC))</f>
        <v>38.9</v>
      </c>
      <c r="S42" s="84">
        <f>CHOOSE(Basis!$E$1,$BH42*(P42*3600/Basis!$E$5)^$BI42*Basis!$E$6/Basis!$E$9,$BH42*(P42/Basis!$E$5)^$BI42*Basis!$E$6/Basis!$E$9)</f>
        <v>5.2677441805522651</v>
      </c>
      <c r="T42" s="85">
        <f>IF(N42=0,0,INDEX($AM42:$AQ42,0,FanspeedC))</f>
        <v>0</v>
      </c>
      <c r="U42" s="109">
        <v>0.91110000000000002</v>
      </c>
      <c r="V42" s="109">
        <v>0.89500000000000002</v>
      </c>
      <c r="W42" s="109">
        <v>0.88200000000000001</v>
      </c>
      <c r="X42" s="109">
        <v>0.87749999999999995</v>
      </c>
      <c r="Y42" s="109">
        <v>0.87660000000000005</v>
      </c>
      <c r="Z42" s="68"/>
      <c r="AA42" s="67">
        <v>5810.4521698584822</v>
      </c>
      <c r="AB42" s="67">
        <v>5016.7146488614417</v>
      </c>
      <c r="AC42" s="67">
        <v>4151.252023935338</v>
      </c>
      <c r="AD42" s="67">
        <v>3178.8344395809327</v>
      </c>
      <c r="AE42" s="67">
        <v>2014.2641353059967</v>
      </c>
      <c r="AF42" s="68"/>
      <c r="AG42" s="69">
        <v>752</v>
      </c>
      <c r="AH42" s="69">
        <v>660</v>
      </c>
      <c r="AI42" s="69">
        <v>496</v>
      </c>
      <c r="AJ42" s="69">
        <v>346</v>
      </c>
      <c r="AK42" s="69">
        <v>179</v>
      </c>
      <c r="AL42" s="68"/>
      <c r="AM42" s="70"/>
      <c r="AN42" s="70"/>
      <c r="AO42" s="70"/>
      <c r="AP42" s="70"/>
      <c r="AQ42" s="70"/>
      <c r="AR42" s="68"/>
      <c r="AS42" s="71">
        <v>38.9</v>
      </c>
      <c r="AT42" s="71">
        <v>27.7</v>
      </c>
      <c r="AU42" s="71">
        <v>16.899999999999999</v>
      </c>
      <c r="AV42" s="71">
        <v>9.4</v>
      </c>
      <c r="AW42" s="71">
        <v>4.5999999999999996</v>
      </c>
      <c r="AX42" s="68"/>
      <c r="AY42" s="99">
        <v>3.3026323224877546E-5</v>
      </c>
      <c r="AZ42" s="97">
        <v>2</v>
      </c>
      <c r="BA42" s="68"/>
      <c r="BB42" s="67">
        <v>1713.5688397870406</v>
      </c>
      <c r="BC42" s="67">
        <v>1381.2145170797912</v>
      </c>
      <c r="BD42" s="67">
        <v>1046.014328903128</v>
      </c>
      <c r="BE42" s="67">
        <v>706.94791235581465</v>
      </c>
      <c r="BF42" s="67">
        <v>361.83760350339048</v>
      </c>
      <c r="BG42" s="68"/>
      <c r="BH42" s="99">
        <v>9.8542791184631786E-5</v>
      </c>
      <c r="BI42" s="97">
        <v>2</v>
      </c>
      <c r="BJ42" s="68"/>
      <c r="BK42" s="49" t="s">
        <v>139</v>
      </c>
      <c r="BL42" s="50"/>
      <c r="CI42"/>
      <c r="CJ42"/>
      <c r="CK42"/>
    </row>
    <row r="43" spans="1:89" ht="15" x14ac:dyDescent="0.25">
      <c r="A43" s="72" t="s">
        <v>119</v>
      </c>
      <c r="B43" s="111" t="s">
        <v>138</v>
      </c>
      <c r="C43" s="44" t="s">
        <v>3243</v>
      </c>
      <c r="D43" s="45">
        <f>ROUND(MID('Clima Canal'!$C43,6,3)/Basis!$E$3,1)</f>
        <v>7.5</v>
      </c>
      <c r="E43" s="45">
        <f>ROUND(MID('Clima Canal'!$C43,9,3)/Basis!$E$3,1)</f>
        <v>110.2</v>
      </c>
      <c r="F43" s="46" t="s">
        <v>50</v>
      </c>
      <c r="G43" s="45">
        <f>ROUND(34/Basis!$E$3,1)</f>
        <v>13.4</v>
      </c>
      <c r="H43" s="223">
        <f>ROUND(INDEX($AA43:$AE43,0,FanspeedH)*Basis!$E$2*((TaH-TrH)/LN(1/µ)/Basis!$E$7)*Glycol*$AA$4,0)</f>
        <v>21205</v>
      </c>
      <c r="I43" s="123">
        <f>IF(Basis!$E$1=1,ROUND(H43/((TaH-TrH)*1.163)/3600,3),ROUND(H43/(500*(TaH-TrH)),2))</f>
        <v>2.12</v>
      </c>
      <c r="J43" s="83">
        <f>ROUND(INDEX($AG43:$AK43,0,FanspeedH)*Basis!$E$4,1)</f>
        <v>649.20000000000005</v>
      </c>
      <c r="K43" s="85">
        <f>INDEX($AS43:$AW43,0,FanspeedH)</f>
        <v>53.8</v>
      </c>
      <c r="L43" s="84">
        <f>CHOOSE(Basis!$E$1,$AY43*(I43*3600/Basis!$E$5)^$AZ43*Basis!$E$6/Basis!$E$9,$AY43*(I43/Basis!$E$5)^$AZ43*Basis!$E$6/Basis!$E$9)</f>
        <v>3.2194808486110187</v>
      </c>
      <c r="M43" s="85">
        <f>INDEX($AM43:$AQ43,0,FanspeedH)</f>
        <v>0</v>
      </c>
      <c r="N43" s="45">
        <f>ROUND((INDEX($BB43:$BF43,0,FanspeedC)*($U$5/$V$5)^N_c)*Basis!$E$2*Glycol*$AA$4,0)</f>
        <v>11626</v>
      </c>
      <c r="O43" s="108">
        <f>(($N43/Basis!$E$2)/(IF((237.3*LN((RH*EXP(17.27*(TlC/(TlC+237.3))))))/(17.27-LN((RH*EXP(17.27*(TlC/(TlC+237.3))))))&lt;((TaC+TrC)/2),1,IF(1/(1+((2258*((0.622/((p_atm/(1*611*EXP(17.27*(((TaC+TrC)/2)/(((TaC+TrC)/2)+237.3))))))-1)*1000-(0.622/((p_atm/(RH*611*EXP(17.27*(TlC/(TlC+237.3))))))-1)*1000))/(1005*(((TaC+TrC)/2)-TlC))))*1.039+((-0.000729*U_C+0.001448)*(TlC-((TaC+TrC)/2))+(0.016908*U_C-0.033574))*1.039&gt;1,1,1/(1+((2258*((0.622/((p_atm/(1*611*EXP(17.27*(((TaC+TrC)/2)/(((TaC+TrC)/2)+237.3))))))-1)*1000-(0.622/((p_atm/(RH*611*EXP(17.27*(TlC/(TlC+237.3))))))-1)*1000))/(1005*(((TaC+TrC)/2)-TlC))))*1.039+((-0.000729*U_C+0.001448)*(TlC-((TaC+TrC)/2))+(0.016908*U_C-0.033574))*1.039))))*Basis!$E$2</f>
        <v>13120.374940742542</v>
      </c>
      <c r="P43" s="123">
        <f>IF(Basis!$E$1=1,ROUND(O43/(($O$3-$O$2)*1.163)/3600,3),ROUND(O43/(500*($O$3-$O$2)),2))</f>
        <v>2.62</v>
      </c>
      <c r="Q43" s="83">
        <f>IF(N43=0,0,ROUND(INDEX($AG43:$AK43,0,FanspeedC)*Basis!$E$4,1))</f>
        <v>649.20000000000005</v>
      </c>
      <c r="R43" s="85">
        <f>IF(N43=0,0,INDEX($AS43:$AW43,0,FanspeedC))</f>
        <v>53.8</v>
      </c>
      <c r="S43" s="84">
        <f>CHOOSE(Basis!$E$1,$BH43*(P43*3600/Basis!$E$5)^$BI43*Basis!$E$6/Basis!$E$9,$BH43*(P43/Basis!$E$5)^$BI43*Basis!$E$6/Basis!$E$9)</f>
        <v>14.574240571833286</v>
      </c>
      <c r="T43" s="85">
        <f>IF(N43=0,0,INDEX($AM43:$AQ43,0,FanspeedC))</f>
        <v>0</v>
      </c>
      <c r="U43" s="110">
        <v>0.91110000000000002</v>
      </c>
      <c r="V43" s="110">
        <v>0.89500000000000002</v>
      </c>
      <c r="W43" s="110">
        <v>0.88200000000000001</v>
      </c>
      <c r="X43" s="110">
        <v>0.87749999999999995</v>
      </c>
      <c r="Y43" s="110">
        <v>0.87660000000000005</v>
      </c>
      <c r="Z43" s="74"/>
      <c r="AA43" s="73">
        <v>8644.8190819845713</v>
      </c>
      <c r="AB43" s="73">
        <v>7463.8925263548281</v>
      </c>
      <c r="AC43" s="73">
        <v>6176.2530112208697</v>
      </c>
      <c r="AD43" s="73">
        <v>4729.4853857179733</v>
      </c>
      <c r="AE43" s="73">
        <v>2996.8320061869708</v>
      </c>
      <c r="AF43" s="74"/>
      <c r="AG43" s="75">
        <v>1103</v>
      </c>
      <c r="AH43" s="75">
        <v>969</v>
      </c>
      <c r="AI43" s="75">
        <v>732</v>
      </c>
      <c r="AJ43" s="75">
        <v>513</v>
      </c>
      <c r="AK43" s="75">
        <v>276</v>
      </c>
      <c r="AL43" s="74"/>
      <c r="AM43" s="76"/>
      <c r="AN43" s="76"/>
      <c r="AO43" s="76"/>
      <c r="AP43" s="76"/>
      <c r="AQ43" s="76"/>
      <c r="AR43" s="74"/>
      <c r="AS43" s="77">
        <v>53.8</v>
      </c>
      <c r="AT43" s="77">
        <v>37</v>
      </c>
      <c r="AU43" s="77">
        <v>21.7</v>
      </c>
      <c r="AV43" s="77">
        <v>12.1</v>
      </c>
      <c r="AW43" s="77">
        <v>6.1</v>
      </c>
      <c r="AX43" s="74"/>
      <c r="AY43" s="100">
        <v>4.1508748845793605E-5</v>
      </c>
      <c r="AZ43" s="98">
        <v>2</v>
      </c>
      <c r="BA43" s="74"/>
      <c r="BB43" s="73">
        <v>2549.4560787075484</v>
      </c>
      <c r="BC43" s="73">
        <v>2054.9776961431044</v>
      </c>
      <c r="BD43" s="73">
        <v>1556.2652210509953</v>
      </c>
      <c r="BE43" s="73">
        <v>1051.8005525293829</v>
      </c>
      <c r="BF43" s="73">
        <v>538.34375155382486</v>
      </c>
      <c r="BG43" s="74"/>
      <c r="BH43" s="100">
        <v>1.2302938988853249E-4</v>
      </c>
      <c r="BI43" s="98">
        <v>2</v>
      </c>
      <c r="BJ43" s="74"/>
      <c r="BK43" s="47" t="s">
        <v>139</v>
      </c>
      <c r="BL43" s="48"/>
      <c r="CI43"/>
      <c r="CJ43"/>
      <c r="CK43"/>
    </row>
    <row r="44" spans="1:89" ht="12.75" hidden="1" customHeight="1" x14ac:dyDescent="0.2"/>
    <row r="45" spans="1:89" ht="12.75" hidden="1" customHeight="1" x14ac:dyDescent="0.2"/>
    <row r="46" spans="1:89" ht="12.75" hidden="1" customHeight="1" x14ac:dyDescent="0.2"/>
    <row r="47" spans="1:89" ht="12.75" hidden="1" customHeight="1" x14ac:dyDescent="0.2">
      <c r="N47" s="240"/>
      <c r="O47" s="240"/>
    </row>
    <row r="48" spans="1:89" ht="12.75" hidden="1" customHeight="1" x14ac:dyDescent="0.2">
      <c r="N48" s="240"/>
      <c r="O48" s="240"/>
    </row>
    <row r="49" spans="14:15" ht="12.75" hidden="1" customHeight="1" x14ac:dyDescent="0.2">
      <c r="N49" s="240"/>
      <c r="O49" s="241"/>
    </row>
    <row r="50" spans="14:15" ht="12.75" hidden="1" customHeight="1" x14ac:dyDescent="0.2">
      <c r="N50" s="240"/>
      <c r="O50" s="240"/>
    </row>
    <row r="51" spans="14:15" ht="12.75" hidden="1" customHeight="1" x14ac:dyDescent="0.2">
      <c r="N51" s="240"/>
      <c r="O51" s="240"/>
    </row>
    <row r="52" spans="14:15" ht="12.75" hidden="1" customHeight="1" x14ac:dyDescent="0.2">
      <c r="N52" s="240"/>
      <c r="O52" s="240"/>
    </row>
    <row r="53" spans="14:15" ht="12.75" hidden="1" customHeight="1" x14ac:dyDescent="0.2">
      <c r="N53" s="240"/>
      <c r="O53" s="240"/>
    </row>
    <row r="54" spans="14:15" ht="12.75" hidden="1" customHeight="1" x14ac:dyDescent="0.2">
      <c r="N54" s="240"/>
      <c r="O54" s="240"/>
    </row>
    <row r="55" spans="14:15" ht="12.75" hidden="1" customHeight="1" x14ac:dyDescent="0.2">
      <c r="N55" s="241"/>
      <c r="O55" s="240"/>
    </row>
    <row r="56" spans="14:15" ht="12.75" hidden="1" customHeight="1" x14ac:dyDescent="0.2"/>
    <row r="57" spans="14:15" ht="12.75" hidden="1" customHeight="1" x14ac:dyDescent="0.2"/>
    <row r="58" spans="14:15" ht="12.75" hidden="1" customHeight="1" x14ac:dyDescent="0.2"/>
    <row r="59" spans="14:15" ht="12.75" hidden="1" customHeight="1" x14ac:dyDescent="0.2"/>
    <row r="60" spans="14:15" ht="12.75" hidden="1" customHeight="1" x14ac:dyDescent="0.2"/>
    <row r="61" spans="14:15" ht="12.75" hidden="1" customHeight="1" x14ac:dyDescent="0.2"/>
    <row r="62" spans="14:15" ht="12.75" hidden="1" customHeight="1" x14ac:dyDescent="0.2"/>
    <row r="63" spans="14:15" ht="12.75" hidden="1" customHeight="1" x14ac:dyDescent="0.2"/>
    <row r="64" spans="14:15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</sheetData>
  <sheetProtection algorithmName="SHA-512" hashValue="BcThxjQSFVDkOEsZJsf/7BtJ1eMlCuKkxWQBboghPHO5nY6vGEy56cWYvGuz4lLUN3I6P9eRFM4YO/Xg4SGgpQ==" saltValue="SV3CvGP5ab9NWDgp+ahMTw==" spinCount="100000" sheet="1" sort="0" autoFilter="0"/>
  <autoFilter ref="A9:BL43"/>
  <mergeCells count="9">
    <mergeCell ref="A1:C3"/>
    <mergeCell ref="A4:A5"/>
    <mergeCell ref="T7:T8"/>
    <mergeCell ref="BB7:BF7"/>
    <mergeCell ref="H8:I8"/>
    <mergeCell ref="N8:O8"/>
    <mergeCell ref="U8:Y8"/>
    <mergeCell ref="AA8:AE8"/>
    <mergeCell ref="BB8:BF8"/>
  </mergeCells>
  <dataValidations count="6">
    <dataValidation type="list" allowBlank="1" showInputMessage="1" showErrorMessage="1" sqref="AK7 AG7">
      <formula1>#REF!</formula1>
    </dataValidation>
    <dataValidation type="decimal" operator="lessThan" allowBlank="1" showErrorMessage="1" errorTitle="ERROR" error="Return T must &lt;  Entering T" promptTitle="Retourº:" prompt="Altijd lager dan Aanvoerº" sqref="AK4 AG4">
      <formula1>AG3</formula1>
    </dataValidation>
    <dataValidation type="list" allowBlank="1" showInputMessage="1" showErrorMessage="1" sqref="O7 I7">
      <formula1>$AA$9:$AE$9</formula1>
    </dataValidation>
    <dataValidation type="decimal" allowBlank="1" showErrorMessage="1" errorTitle="ERROR" error="Air T between 50 and 77ºF" promptTitle="Omgevingº:" prompt="Geheel getal tussen 10 en 25" sqref="AG5 AK5 AI7">
      <formula1>50</formula1>
      <formula2>77</formula2>
    </dataValidation>
    <dataValidation type="decimal" allowBlank="1" showErrorMessage="1" errorTitle="ERROR" error="Entering T between 95 and 180ºF" sqref="AG3 AK3">
      <formula1>95</formula1>
      <formula2>210</formula2>
    </dataValidation>
    <dataValidation type="custom" allowBlank="1" showInputMessage="1" showErrorMessage="1" errorTitle="try again" error="&lt;200ºF" sqref="I2">
      <formula1>I2&lt;200</formula1>
    </dataValidation>
  </dataValidations>
  <printOptions horizontalCentered="1"/>
  <pageMargins left="0" right="0" top="0" bottom="0.19685039370078741" header="0" footer="0"/>
  <pageSetup paperSize="9" scale="27" fitToHeight="1000" orientation="landscape" blackAndWhite="1" r:id="rId1"/>
  <headerFooter>
    <oddFooter>&amp;R&amp;8&amp;D 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Drop Down 1">
              <controlPr defaultSize="0" autoLine="0" autoPict="0">
                <anchor moveWithCells="1">
                  <from>
                    <xdr:col>2</xdr:col>
                    <xdr:colOff>1600200</xdr:colOff>
                    <xdr:row>3</xdr:row>
                    <xdr:rowOff>9525</xdr:rowOff>
                  </from>
                  <to>
                    <xdr:col>5</xdr:col>
                    <xdr:colOff>9525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6">
    <pageSetUpPr fitToPage="1"/>
  </sheetPr>
  <dimension ref="A1:CA14"/>
  <sheetViews>
    <sheetView showGridLines="0" showRowColHeaders="0" showZeros="0" zoomScaleNormal="100" workbookViewId="0">
      <pane ySplit="9" topLeftCell="A10" activePane="bottomLeft" state="frozen"/>
      <selection activeCell="I2" sqref="I2"/>
      <selection pane="bottomLeft" activeCell="I2" sqref="I2"/>
    </sheetView>
  </sheetViews>
  <sheetFormatPr defaultColWidth="0" defaultRowHeight="12.75" customHeight="1" zeroHeight="1" x14ac:dyDescent="0.2"/>
  <cols>
    <col min="1" max="1" width="19.7109375" style="1" customWidth="1"/>
    <col min="2" max="3" width="24.140625" style="1" customWidth="1"/>
    <col min="4" max="5" width="6.7109375" style="7" customWidth="1"/>
    <col min="6" max="6" width="6.7109375" style="6" customWidth="1"/>
    <col min="7" max="7" width="6.7109375" style="7" customWidth="1"/>
    <col min="8" max="10" width="8.7109375" style="2" customWidth="1"/>
    <col min="11" max="12" width="11.28515625" style="2" customWidth="1"/>
    <col min="13" max="13" width="10.7109375" style="2" hidden="1" customWidth="1"/>
    <col min="14" max="17" width="7.7109375" style="7" hidden="1" customWidth="1"/>
    <col min="18" max="18" width="7.7109375" style="2" hidden="1" customWidth="1"/>
    <col min="19" max="19" width="7.7109375" hidden="1" customWidth="1"/>
    <col min="20" max="23" width="7.7109375" style="7" hidden="1" customWidth="1"/>
    <col min="24" max="24" width="7.7109375" style="2" hidden="1" customWidth="1"/>
    <col min="25" max="25" width="7.7109375" hidden="1" customWidth="1"/>
    <col min="26" max="30" width="7.7109375" style="2" hidden="1" customWidth="1"/>
    <col min="31" max="31" width="7.7109375" hidden="1" customWidth="1"/>
    <col min="32" max="36" width="7.7109375" style="38" hidden="1" customWidth="1"/>
    <col min="37" max="37" width="7.7109375" hidden="1" customWidth="1"/>
    <col min="38" max="42" width="7.7109375" style="2" hidden="1" customWidth="1"/>
    <col min="43" max="43" width="7.7109375" hidden="1" customWidth="1"/>
    <col min="44" max="44" width="22.7109375" hidden="1" customWidth="1"/>
    <col min="45" max="45" width="22.5703125" hidden="1" customWidth="1"/>
    <col min="46" max="46" width="7.7109375" hidden="1" customWidth="1"/>
    <col min="47" max="51" width="7.7109375" style="10" hidden="1" customWidth="1"/>
    <col min="52" max="52" width="7.7109375" hidden="1" customWidth="1"/>
    <col min="53" max="53" width="7.7109375" style="2" hidden="1" customWidth="1"/>
    <col min="54" max="54" width="20.42578125" style="2" hidden="1" customWidth="1"/>
    <col min="55" max="55" width="7.140625" style="3" hidden="1" customWidth="1"/>
    <col min="56" max="56" width="6" style="3" hidden="1" customWidth="1"/>
    <col min="57" max="57" width="5.28515625" style="3" hidden="1" customWidth="1"/>
    <col min="58" max="58" width="7.7109375" style="3" hidden="1" customWidth="1"/>
    <col min="59" max="59" width="10.5703125" style="3" hidden="1" customWidth="1"/>
    <col min="60" max="60" width="7.7109375" style="3" hidden="1" customWidth="1"/>
    <col min="61" max="61" width="3" style="3" hidden="1" customWidth="1"/>
    <col min="62" max="62" width="10.5703125" style="3" hidden="1" customWidth="1"/>
    <col min="63" max="63" width="9.28515625" style="3" hidden="1" customWidth="1"/>
    <col min="64" max="64" width="10.5703125" style="3" hidden="1" customWidth="1"/>
    <col min="65" max="16384" width="7.7109375" style="3" hidden="1"/>
  </cols>
  <sheetData>
    <row r="1" spans="1:79" ht="13.5" customHeight="1" x14ac:dyDescent="0.25">
      <c r="A1" s="247" t="str">
        <f>Basis!A1</f>
        <v>Selection Model 2022-10</v>
      </c>
      <c r="B1" s="247"/>
      <c r="C1" s="247"/>
      <c r="D1" s="21"/>
      <c r="E1" s="21"/>
      <c r="F1" s="22"/>
      <c r="G1" s="21"/>
      <c r="H1" s="25"/>
      <c r="I1" s="26"/>
      <c r="J1" s="27"/>
      <c r="K1" s="27"/>
      <c r="L1" s="27"/>
      <c r="M1" s="27"/>
      <c r="AT1" s="87" t="s">
        <v>101</v>
      </c>
      <c r="BY1"/>
      <c r="BZ1"/>
      <c r="CA1"/>
    </row>
    <row r="2" spans="1:79" ht="15" customHeight="1" x14ac:dyDescent="0.25">
      <c r="A2" s="247"/>
      <c r="B2" s="247"/>
      <c r="C2" s="247"/>
      <c r="D2" s="139" t="s">
        <v>94</v>
      </c>
      <c r="E2" s="140"/>
      <c r="F2" s="141"/>
      <c r="G2" s="24"/>
      <c r="H2" s="146" t="s">
        <v>26</v>
      </c>
      <c r="I2" s="8">
        <v>140</v>
      </c>
      <c r="J2" s="28" t="str">
        <f>CHOOSE(Basis!$E$1,"EWT ºC","EWT ºF")</f>
        <v>EWT ºF</v>
      </c>
      <c r="K2" s="28"/>
      <c r="L2" s="28"/>
      <c r="M2" s="28"/>
      <c r="X2" s="7"/>
      <c r="Y2" s="7"/>
      <c r="Z2" s="7"/>
      <c r="AB2" s="7"/>
      <c r="AC2" s="35"/>
      <c r="AD2" s="34"/>
      <c r="AE2" s="54"/>
      <c r="AF2" s="36"/>
      <c r="AG2" s="35"/>
      <c r="AH2" s="36"/>
      <c r="AI2" s="36"/>
      <c r="AJ2" s="36"/>
      <c r="AK2" s="54"/>
      <c r="AL2" s="36"/>
      <c r="AM2" s="35"/>
      <c r="AN2" s="36"/>
      <c r="AO2" s="36"/>
      <c r="AP2" s="36"/>
      <c r="AQ2" s="54"/>
      <c r="AR2" s="54"/>
      <c r="AS2" s="54"/>
      <c r="AT2" t="s">
        <v>102</v>
      </c>
      <c r="AU2" s="86">
        <v>16</v>
      </c>
      <c r="AV2" s="89" t="s">
        <v>95</v>
      </c>
      <c r="AW2" s="89"/>
      <c r="AX2" s="89"/>
      <c r="AY2" s="89"/>
      <c r="BA2" s="13"/>
      <c r="BB2" s="81"/>
      <c r="BY2"/>
      <c r="BZ2"/>
      <c r="CA2"/>
    </row>
    <row r="3" spans="1:79" ht="15" customHeight="1" x14ac:dyDescent="0.25">
      <c r="A3" s="247"/>
      <c r="B3" s="247"/>
      <c r="C3" s="247"/>
      <c r="D3" s="142" t="s">
        <v>2963</v>
      </c>
      <c r="E3" s="143"/>
      <c r="F3" s="138"/>
      <c r="G3" s="24"/>
      <c r="H3" s="146" t="s">
        <v>24</v>
      </c>
      <c r="I3" s="8">
        <v>120</v>
      </c>
      <c r="J3" s="28" t="str">
        <f>CHOOSE(Basis!$E$1,"LWT ºC","LWT ºF")</f>
        <v>LWT ºF</v>
      </c>
      <c r="K3" s="28"/>
      <c r="L3" s="28"/>
      <c r="M3" s="28"/>
      <c r="Z3" s="7" t="s">
        <v>3334</v>
      </c>
      <c r="AA3" s="219">
        <f>IF(Basis!$E$1=1,$F$3/1000,IF(Basis!$E$1=2,$F$3*0.0003048))</f>
        <v>0</v>
      </c>
      <c r="AB3" s="7"/>
      <c r="AC3" s="35"/>
      <c r="AD3" s="55"/>
      <c r="AE3" s="54"/>
      <c r="AF3" s="36"/>
      <c r="AG3" s="35"/>
      <c r="AH3" s="36"/>
      <c r="AI3" s="36"/>
      <c r="AJ3" s="36"/>
      <c r="AK3" s="54"/>
      <c r="AL3" s="37"/>
      <c r="AM3" s="35"/>
      <c r="AN3" s="37"/>
      <c r="AO3" s="37"/>
      <c r="AP3" s="37"/>
      <c r="AQ3" s="54"/>
      <c r="AR3" s="54"/>
      <c r="AS3" s="54"/>
      <c r="AT3" t="s">
        <v>103</v>
      </c>
      <c r="AU3" s="86">
        <v>18</v>
      </c>
      <c r="AV3" s="89" t="s">
        <v>95</v>
      </c>
      <c r="AW3" s="89"/>
      <c r="AX3" s="89"/>
      <c r="AY3" s="89"/>
      <c r="BA3" s="13"/>
      <c r="BB3" s="81"/>
      <c r="BY3"/>
      <c r="BZ3"/>
      <c r="CA3"/>
    </row>
    <row r="4" spans="1:79" ht="15" customHeight="1" x14ac:dyDescent="0.25">
      <c r="A4" s="248" t="str">
        <f>CHOOSE(Basis!$E$1,"Metric","Imperial")</f>
        <v>Imperial</v>
      </c>
      <c r="B4" s="96"/>
      <c r="C4" s="17"/>
      <c r="D4" s="137">
        <v>1</v>
      </c>
      <c r="E4" s="144"/>
      <c r="F4" s="53"/>
      <c r="G4" s="23" t="s">
        <v>88</v>
      </c>
      <c r="H4" s="146" t="s">
        <v>2967</v>
      </c>
      <c r="I4" s="8">
        <v>65</v>
      </c>
      <c r="J4" s="28" t="str">
        <f>CHOOSE(Basis!$E$1,"AT ºC","AT ºF")</f>
        <v>AT ºF</v>
      </c>
      <c r="K4" s="28"/>
      <c r="L4" s="28"/>
      <c r="M4" s="28"/>
      <c r="Z4" s="7" t="s">
        <v>3335</v>
      </c>
      <c r="AA4" s="220">
        <f>-(0.000265264729874266*$AA$3^6)+(0.000957582908802335*$AA$3^5)+(0.00470250661483425*$AA$3^4)-(0.0298716926548353*$AA$3^3)+(0.0557086806557086*$AA$3^2)-(0.0484008125693582*$AA$3)+1</f>
        <v>1</v>
      </c>
      <c r="AB4" s="7"/>
      <c r="AC4" s="35"/>
      <c r="AD4" s="55"/>
      <c r="AE4" s="54"/>
      <c r="AF4" s="36"/>
      <c r="AG4" s="35"/>
      <c r="AH4" s="36"/>
      <c r="AI4" s="36"/>
      <c r="AJ4" s="36"/>
      <c r="AK4" s="54"/>
      <c r="AL4" s="37"/>
      <c r="AM4" s="35"/>
      <c r="AN4" s="37"/>
      <c r="AO4" s="37"/>
      <c r="AP4" s="37"/>
      <c r="AQ4" s="54"/>
      <c r="AR4" s="54"/>
      <c r="AS4" s="54"/>
      <c r="AT4" t="s">
        <v>104</v>
      </c>
      <c r="AU4" s="86">
        <v>27</v>
      </c>
      <c r="AV4" s="89" t="s">
        <v>95</v>
      </c>
      <c r="AW4" s="89"/>
      <c r="AX4" s="89"/>
      <c r="AY4" s="89"/>
      <c r="BA4" s="13"/>
      <c r="BB4" s="81"/>
      <c r="BY4"/>
      <c r="BZ4"/>
      <c r="CA4"/>
    </row>
    <row r="5" spans="1:79" ht="15" customHeight="1" x14ac:dyDescent="0.25">
      <c r="A5" s="248"/>
      <c r="B5" s="96"/>
      <c r="C5" s="17"/>
      <c r="D5" s="23"/>
      <c r="E5" s="21"/>
      <c r="F5" s="22"/>
      <c r="G5" s="21"/>
      <c r="H5" s="29" t="s">
        <v>25</v>
      </c>
      <c r="I5" s="31">
        <f>(I2+I3)/2</f>
        <v>130</v>
      </c>
      <c r="J5" s="28" t="str">
        <f>CHOOSE(Basis!$E$1,"ºC","ºF")</f>
        <v>ºF</v>
      </c>
      <c r="K5" s="28"/>
      <c r="L5" s="28"/>
      <c r="M5" s="28"/>
      <c r="Z5" s="55"/>
      <c r="AB5" s="7"/>
      <c r="AC5" s="35"/>
      <c r="AD5" s="55"/>
      <c r="AE5" s="54"/>
      <c r="AF5" s="36"/>
      <c r="AG5" s="35"/>
      <c r="AH5" s="36"/>
      <c r="AI5" s="36"/>
      <c r="AJ5" s="36"/>
      <c r="AK5" s="54"/>
      <c r="AL5" s="37"/>
      <c r="AM5" s="35"/>
      <c r="AN5" s="37"/>
      <c r="AO5" s="37"/>
      <c r="AP5" s="37"/>
      <c r="AQ5" s="54"/>
      <c r="AR5" s="54"/>
      <c r="AS5" s="54"/>
      <c r="AT5" s="54"/>
      <c r="AU5" s="88">
        <f>(AU2+AU3)/2-AU4</f>
        <v>-10</v>
      </c>
      <c r="AV5" s="34"/>
      <c r="AW5" s="11"/>
      <c r="AX5" s="11"/>
      <c r="AY5" s="11"/>
      <c r="AZ5" s="56"/>
      <c r="BA5" s="13"/>
      <c r="BB5" s="81"/>
      <c r="BY5"/>
      <c r="BZ5"/>
      <c r="CA5"/>
    </row>
    <row r="6" spans="1:79" ht="15" customHeight="1" x14ac:dyDescent="0.2">
      <c r="A6" s="96"/>
      <c r="B6" s="33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Z6" s="39"/>
      <c r="AB6" s="7"/>
      <c r="AC6" s="35"/>
      <c r="AD6" s="39"/>
      <c r="AE6" s="54"/>
      <c r="AG6" s="35"/>
      <c r="AH6" s="36"/>
      <c r="AI6" s="36"/>
      <c r="AJ6" s="36"/>
      <c r="AK6" s="54"/>
      <c r="AL6" s="37"/>
      <c r="AM6" s="35"/>
      <c r="AN6" s="37"/>
      <c r="AO6" s="37"/>
      <c r="AP6" s="37"/>
      <c r="AQ6" s="54"/>
      <c r="AR6" s="54"/>
      <c r="AS6" s="54"/>
      <c r="AT6" s="54"/>
      <c r="AU6" s="34"/>
      <c r="AV6" s="34"/>
      <c r="AW6" s="13"/>
      <c r="AX6" s="13"/>
      <c r="AY6" s="35"/>
      <c r="AZ6" s="56"/>
      <c r="BA6" s="13"/>
      <c r="BB6" s="81"/>
      <c r="BY6"/>
      <c r="BZ6"/>
      <c r="CA6"/>
    </row>
    <row r="7" spans="1:79" ht="15" customHeight="1" x14ac:dyDescent="0.25">
      <c r="A7" s="18"/>
      <c r="B7" s="33"/>
      <c r="C7" s="17"/>
      <c r="D7" s="21"/>
      <c r="E7" s="21"/>
      <c r="F7" s="22"/>
      <c r="G7" s="21"/>
      <c r="H7" s="30" t="s">
        <v>96</v>
      </c>
      <c r="I7" s="119">
        <v>1</v>
      </c>
      <c r="J7" s="27"/>
      <c r="K7" s="27"/>
      <c r="L7" s="27"/>
      <c r="M7" s="259" t="s">
        <v>106</v>
      </c>
      <c r="N7" s="12"/>
      <c r="O7" s="12"/>
      <c r="P7" s="12"/>
      <c r="Q7" s="12"/>
      <c r="R7" s="12"/>
      <c r="S7" s="54"/>
      <c r="T7" s="12"/>
      <c r="U7" s="12"/>
      <c r="V7" s="12"/>
      <c r="W7" s="12"/>
      <c r="X7" s="12"/>
      <c r="Y7" s="54"/>
      <c r="Z7" s="57"/>
      <c r="AA7" s="90"/>
      <c r="AB7" s="55"/>
      <c r="AC7" s="35"/>
      <c r="AD7" s="57"/>
      <c r="AE7" s="54"/>
      <c r="AF7" s="36"/>
      <c r="AG7" s="35"/>
      <c r="AH7" s="36"/>
      <c r="AI7" s="36"/>
      <c r="AJ7" s="36"/>
      <c r="AK7" s="54"/>
      <c r="AL7" s="36"/>
      <c r="AM7" s="35"/>
      <c r="AN7" s="36"/>
      <c r="AO7" s="36"/>
      <c r="AP7" s="36"/>
      <c r="AQ7" s="54"/>
      <c r="AR7" s="54"/>
      <c r="AS7" s="54"/>
      <c r="AT7" s="54"/>
      <c r="AU7" s="251" t="s">
        <v>110</v>
      </c>
      <c r="AV7" s="252"/>
      <c r="AW7" s="252"/>
      <c r="AX7" s="252"/>
      <c r="AY7" s="253"/>
      <c r="AZ7" s="56"/>
      <c r="BA7" s="13"/>
      <c r="BB7" s="81"/>
      <c r="BY7"/>
      <c r="BZ7"/>
      <c r="CA7"/>
    </row>
    <row r="8" spans="1:79" s="5" customFormat="1" ht="23.25" customHeight="1" x14ac:dyDescent="0.2">
      <c r="A8" s="181" t="str">
        <f>Basis!C1</f>
        <v>LA/2022-10-12</v>
      </c>
      <c r="B8" s="19"/>
      <c r="C8" s="20"/>
      <c r="D8" s="42" t="s">
        <v>86</v>
      </c>
      <c r="E8" s="15" t="s">
        <v>84</v>
      </c>
      <c r="F8" s="16"/>
      <c r="G8" s="15" t="s">
        <v>85</v>
      </c>
      <c r="H8" s="261" t="str">
        <f>I2&amp;"/"&amp;I3&amp;"/"&amp;I4&amp;"º"</f>
        <v>140/120/65º</v>
      </c>
      <c r="I8" s="261"/>
      <c r="J8" s="27"/>
      <c r="K8" s="27"/>
      <c r="L8" s="27"/>
      <c r="M8" s="260"/>
      <c r="N8" s="264" t="s">
        <v>118</v>
      </c>
      <c r="O8" s="264"/>
      <c r="P8" s="264"/>
      <c r="Q8" s="264"/>
      <c r="R8" s="265"/>
      <c r="T8" s="264" t="s">
        <v>49</v>
      </c>
      <c r="U8" s="264"/>
      <c r="V8" s="264"/>
      <c r="W8" s="264"/>
      <c r="X8" s="265"/>
      <c r="Z8" s="58" t="s">
        <v>93</v>
      </c>
      <c r="AA8" s="90"/>
      <c r="AB8" s="40"/>
      <c r="AC8" s="35"/>
      <c r="AD8" s="40"/>
      <c r="AF8" s="58" t="s">
        <v>92</v>
      </c>
      <c r="AG8" s="35"/>
      <c r="AH8" s="36"/>
      <c r="AI8" s="36"/>
      <c r="AJ8" s="36"/>
      <c r="AL8" s="58" t="s">
        <v>140</v>
      </c>
      <c r="AM8" s="35"/>
      <c r="AN8" s="36"/>
      <c r="AO8" s="36"/>
      <c r="AP8" s="36"/>
      <c r="AR8" s="58" t="s">
        <v>98</v>
      </c>
      <c r="AS8" s="35"/>
      <c r="AU8" s="251" t="s">
        <v>100</v>
      </c>
      <c r="AV8" s="252"/>
      <c r="AW8" s="252"/>
      <c r="AX8" s="252"/>
      <c r="AY8" s="253"/>
      <c r="AZ8" s="41"/>
      <c r="BA8" s="14"/>
      <c r="BB8" s="82"/>
      <c r="BY8"/>
      <c r="BZ8"/>
      <c r="CA8"/>
    </row>
    <row r="9" spans="1:79" s="4" customFormat="1" ht="38.25" x14ac:dyDescent="0.2">
      <c r="A9" s="59" t="s">
        <v>22</v>
      </c>
      <c r="B9" s="59" t="s">
        <v>0</v>
      </c>
      <c r="C9" s="59" t="s">
        <v>87</v>
      </c>
      <c r="D9" s="60" t="str">
        <f>"H in "&amp;CHOOSE(Basis!$E$1,"cm","inch")</f>
        <v>H in inch</v>
      </c>
      <c r="E9" s="60" t="str">
        <f>"L in "&amp;CHOOSE(Basis!$E$1,"cm","inch")</f>
        <v>L in inch</v>
      </c>
      <c r="F9" s="61" t="s">
        <v>1</v>
      </c>
      <c r="G9" s="60" t="str">
        <f>"D in "&amp;CHOOSE(Basis!$E$1,"cm","inch")</f>
        <v>D in inch</v>
      </c>
      <c r="H9" s="60" t="str">
        <f>"Heating in "&amp;CHOOSE(Basis!$E$1,"Watt","BTU/h")</f>
        <v>Heating in BTU/h</v>
      </c>
      <c r="I9" s="60" t="str">
        <f>"Flow in "&amp;CHOOSE(Basis!$E$1,"l/s","GPM")</f>
        <v>Flow in GPM</v>
      </c>
      <c r="J9" s="60" t="str">
        <f>"Airflow in "&amp;CHOOSE(Basis!$E$1,"m³/h", "CFM")</f>
        <v>Airflow in CFM</v>
      </c>
      <c r="K9" s="94" t="s">
        <v>2980</v>
      </c>
      <c r="L9" s="60" t="str">
        <f>"Water side pressure drop "&amp;CHOOSE(Basis!$E$1,"[kPa]","ftH2O")</f>
        <v>Water side pressure drop ftH2O</v>
      </c>
      <c r="M9" s="60" t="s">
        <v>105</v>
      </c>
      <c r="N9" s="79">
        <v>1</v>
      </c>
      <c r="O9" s="79">
        <v>0.8</v>
      </c>
      <c r="P9" s="79">
        <v>0.6</v>
      </c>
      <c r="Q9" s="79">
        <v>0.4</v>
      </c>
      <c r="R9" s="79">
        <v>0.2</v>
      </c>
      <c r="S9" s="64" t="s">
        <v>99</v>
      </c>
      <c r="T9" s="79">
        <v>1</v>
      </c>
      <c r="U9" s="79">
        <v>0.8</v>
      </c>
      <c r="V9" s="79">
        <v>0.6</v>
      </c>
      <c r="W9" s="79">
        <v>0.4</v>
      </c>
      <c r="X9" s="79">
        <v>0.2</v>
      </c>
      <c r="Y9" s="64" t="s">
        <v>99</v>
      </c>
      <c r="Z9" s="79">
        <v>1</v>
      </c>
      <c r="AA9" s="79">
        <v>0.8</v>
      </c>
      <c r="AB9" s="79">
        <v>0.6</v>
      </c>
      <c r="AC9" s="79">
        <v>0.4</v>
      </c>
      <c r="AD9" s="79">
        <v>0.2</v>
      </c>
      <c r="AE9" s="64" t="s">
        <v>99</v>
      </c>
      <c r="AF9" s="79">
        <v>1</v>
      </c>
      <c r="AG9" s="79">
        <v>0.8</v>
      </c>
      <c r="AH9" s="79">
        <v>0.6</v>
      </c>
      <c r="AI9" s="79">
        <v>0.4</v>
      </c>
      <c r="AJ9" s="79">
        <v>0.2</v>
      </c>
      <c r="AK9" s="64" t="s">
        <v>99</v>
      </c>
      <c r="AL9" s="79">
        <v>1</v>
      </c>
      <c r="AM9" s="79">
        <v>0.8</v>
      </c>
      <c r="AN9" s="79">
        <v>0.6</v>
      </c>
      <c r="AO9" s="79">
        <v>0.4</v>
      </c>
      <c r="AP9" s="79">
        <v>0.2</v>
      </c>
      <c r="AQ9" s="64" t="s">
        <v>99</v>
      </c>
      <c r="AR9" s="79" t="s">
        <v>108</v>
      </c>
      <c r="AS9" s="79" t="s">
        <v>109</v>
      </c>
      <c r="AT9" s="64" t="s">
        <v>99</v>
      </c>
      <c r="AU9" s="79">
        <v>1</v>
      </c>
      <c r="AV9" s="79">
        <v>0.8</v>
      </c>
      <c r="AW9" s="79">
        <v>0.6</v>
      </c>
      <c r="AX9" s="79">
        <v>0.4</v>
      </c>
      <c r="AY9" s="79">
        <v>0.2</v>
      </c>
      <c r="AZ9" s="64" t="s">
        <v>99</v>
      </c>
      <c r="BA9" s="65" t="s">
        <v>28</v>
      </c>
      <c r="BB9" s="66" t="s">
        <v>2</v>
      </c>
      <c r="BF9" s="32"/>
      <c r="BY9"/>
      <c r="BZ9"/>
      <c r="CA9"/>
    </row>
    <row r="10" spans="1:79" ht="15" x14ac:dyDescent="0.25">
      <c r="A10" s="72" t="s">
        <v>119</v>
      </c>
      <c r="B10" s="43" t="s">
        <v>141</v>
      </c>
      <c r="C10" s="44" t="s">
        <v>142</v>
      </c>
      <c r="D10" s="45">
        <f>ROUND(MID('Micro Canal'!$C10,6,3)/Basis!$E$3,1)</f>
        <v>2.4</v>
      </c>
      <c r="E10" s="45">
        <f>ROUND(MID('Micro Canal'!$C10,9,3)/Basis!$E$3,1)</f>
        <v>23.6</v>
      </c>
      <c r="F10" s="106" t="s">
        <v>51</v>
      </c>
      <c r="G10" s="45">
        <f>ROUND(14/Basis!$E$3,1)</f>
        <v>5.5</v>
      </c>
      <c r="H10" s="45">
        <f>ROUND(INDEX($T10:$X10,0,FanspeedH)*Basis!$E$2*((TaH-TrH)/LN(1/µ)/Basis!$E$7)*Glycol*$AA$4,0)</f>
        <v>957</v>
      </c>
      <c r="I10" s="123">
        <f>IF(Basis!$E$1=1,ROUND(H10/((TaH-TrH)*1.163)/3600,3),ROUND(H10/(500*(TaH-TrH)),2))</f>
        <v>0.1</v>
      </c>
      <c r="J10" s="123">
        <f>ROUND(INDEX($Z10:$AD10,0,FanspeedH)*Basis!$E$4,1)</f>
        <v>17.2</v>
      </c>
      <c r="K10" s="85">
        <f>INDEX($AL10:$AP10,0,FanspeedH)</f>
        <v>1.6</v>
      </c>
      <c r="L10" s="224">
        <f>CHOOSE(Basis!$E$1,$AR10*(I10*3600/Basis!$E$5)^$AS10*Basis!$E$6/Basis!$E$9,$AR10*(I10/Basis!$E$5)^$AS10*Basis!$E$6/Basis!$E$9)</f>
        <v>3.7196234838613422E-4</v>
      </c>
      <c r="M10" s="85">
        <f>INDEX($AF10:$AJ10,0,FanspeedH)</f>
        <v>18</v>
      </c>
      <c r="N10" s="109">
        <v>1</v>
      </c>
      <c r="O10" s="109"/>
      <c r="P10" s="109"/>
      <c r="Q10" s="109"/>
      <c r="R10" s="109"/>
      <c r="S10" s="68"/>
      <c r="T10" s="67">
        <v>390</v>
      </c>
      <c r="U10" s="67"/>
      <c r="V10" s="67"/>
      <c r="W10" s="67"/>
      <c r="X10" s="67"/>
      <c r="Y10" s="68"/>
      <c r="Z10" s="69">
        <v>29.3</v>
      </c>
      <c r="AA10" s="69"/>
      <c r="AB10" s="69"/>
      <c r="AC10" s="69"/>
      <c r="AD10" s="69"/>
      <c r="AE10" s="68"/>
      <c r="AF10" s="70">
        <v>18</v>
      </c>
      <c r="AG10" s="70"/>
      <c r="AH10" s="70"/>
      <c r="AI10" s="70"/>
      <c r="AJ10" s="70"/>
      <c r="AK10" s="68"/>
      <c r="AL10" s="71">
        <v>1.6</v>
      </c>
      <c r="AM10" s="71"/>
      <c r="AN10" s="71"/>
      <c r="AO10" s="71"/>
      <c r="AP10" s="71"/>
      <c r="AQ10" s="68"/>
      <c r="AR10" s="99">
        <v>2.6465542101873999E-5</v>
      </c>
      <c r="AS10" s="97">
        <v>1.1969362295916199</v>
      </c>
      <c r="AT10" s="68"/>
      <c r="AU10" s="67"/>
      <c r="AV10" s="67"/>
      <c r="AW10" s="67"/>
      <c r="AX10" s="67"/>
      <c r="AY10" s="67"/>
      <c r="AZ10" s="68"/>
      <c r="BA10" s="180" t="s">
        <v>2973</v>
      </c>
      <c r="BB10" s="50" t="s">
        <v>142</v>
      </c>
      <c r="BY10"/>
      <c r="BZ10"/>
      <c r="CA10"/>
    </row>
    <row r="11" spans="1:79" ht="15" x14ac:dyDescent="0.25">
      <c r="A11" s="72" t="s">
        <v>119</v>
      </c>
      <c r="B11" s="43" t="s">
        <v>141</v>
      </c>
      <c r="C11" s="44" t="s">
        <v>143</v>
      </c>
      <c r="D11" s="45">
        <f>ROUND(MID('Micro Canal'!$C11,6,3)/Basis!$E$3,1)</f>
        <v>2.4</v>
      </c>
      <c r="E11" s="45">
        <f>ROUND(MID('Micro Canal'!$C11,9,3)/Basis!$E$3,1)</f>
        <v>37.4</v>
      </c>
      <c r="F11" s="46" t="s">
        <v>51</v>
      </c>
      <c r="G11" s="45">
        <f>ROUND(14/Basis!$E$3,1)</f>
        <v>5.5</v>
      </c>
      <c r="H11" s="45">
        <f>ROUND(INDEX($T11:$X11,0,FanspeedH)*Basis!$E$2*((TaH-TrH)/LN(1/µ)/Basis!$E$7)*Glycol*$AA$4,0)</f>
        <v>1913</v>
      </c>
      <c r="I11" s="123">
        <f>IF(Basis!$E$1=1,ROUND(H11/((TaH-TrH)*1.163)/3600,3),ROUND(H11/(500*(TaH-TrH)),2))</f>
        <v>0.19</v>
      </c>
      <c r="J11" s="123">
        <f>ROUND(INDEX($Z11:$AD11,0,FanspeedH)*Basis!$E$4,1)</f>
        <v>34.4</v>
      </c>
      <c r="K11" s="85">
        <f>INDEX($AL11:$AP11,0,FanspeedH)</f>
        <v>1.9</v>
      </c>
      <c r="L11" s="224">
        <f>CHOOSE(Basis!$E$1,$AR11*(I11*3600/Basis!$E$5)^$AS11*Basis!$E$6/Basis!$E$9,$AR11*(I11/Basis!$E$5)^$AS11*Basis!$E$6/Basis!$E$9)</f>
        <v>3.4970388887993399E-2</v>
      </c>
      <c r="M11" s="85">
        <f>INDEX($AF11:$AJ11,0,FanspeedH)</f>
        <v>21</v>
      </c>
      <c r="N11" s="110">
        <v>1</v>
      </c>
      <c r="O11" s="110"/>
      <c r="P11" s="110"/>
      <c r="Q11" s="110"/>
      <c r="R11" s="110"/>
      <c r="S11" s="74"/>
      <c r="T11" s="73">
        <v>780</v>
      </c>
      <c r="U11" s="73"/>
      <c r="V11" s="73"/>
      <c r="W11" s="73"/>
      <c r="X11" s="73"/>
      <c r="Y11" s="74"/>
      <c r="Z11" s="75">
        <v>58.5</v>
      </c>
      <c r="AA11" s="75"/>
      <c r="AB11" s="75"/>
      <c r="AC11" s="75"/>
      <c r="AD11" s="75"/>
      <c r="AE11" s="74"/>
      <c r="AF11" s="76">
        <v>21</v>
      </c>
      <c r="AG11" s="76"/>
      <c r="AH11" s="76"/>
      <c r="AI11" s="76"/>
      <c r="AJ11" s="76"/>
      <c r="AK11" s="74"/>
      <c r="AL11" s="77">
        <v>1.9</v>
      </c>
      <c r="AM11" s="77"/>
      <c r="AN11" s="77"/>
      <c r="AO11" s="77"/>
      <c r="AP11" s="77"/>
      <c r="AQ11" s="74"/>
      <c r="AR11" s="100">
        <v>1.5110586643943001E-4</v>
      </c>
      <c r="AS11" s="98">
        <v>1.7369655941663</v>
      </c>
      <c r="AT11" s="74"/>
      <c r="AU11" s="73"/>
      <c r="AV11" s="73"/>
      <c r="AW11" s="73"/>
      <c r="AX11" s="73"/>
      <c r="AY11" s="73"/>
      <c r="AZ11" s="74"/>
      <c r="BA11" s="180" t="s">
        <v>2973</v>
      </c>
      <c r="BB11" s="48" t="s">
        <v>143</v>
      </c>
      <c r="BY11"/>
      <c r="BZ11"/>
      <c r="CA11"/>
    </row>
    <row r="12" spans="1:79" ht="15" x14ac:dyDescent="0.25">
      <c r="A12" s="72" t="s">
        <v>119</v>
      </c>
      <c r="B12" s="43" t="s">
        <v>141</v>
      </c>
      <c r="C12" s="44" t="s">
        <v>144</v>
      </c>
      <c r="D12" s="45">
        <f>ROUND(MID('Micro Canal'!$C12,6,3)/Basis!$E$3,1)</f>
        <v>2.4</v>
      </c>
      <c r="E12" s="45">
        <f>ROUND(MID('Micro Canal'!$C12,9,3)/Basis!$E$3,1)</f>
        <v>51.2</v>
      </c>
      <c r="F12" s="46" t="s">
        <v>51</v>
      </c>
      <c r="G12" s="45">
        <f>ROUND(14/Basis!$E$3,1)</f>
        <v>5.5</v>
      </c>
      <c r="H12" s="45">
        <f>ROUND(INDEX($T12:$X12,0,FanspeedH)*Basis!$E$2*((TaH-TrH)/LN(1/µ)/Basis!$E$7)*Glycol*$AA$4,0)</f>
        <v>2870</v>
      </c>
      <c r="I12" s="123">
        <f>IF(Basis!$E$1=1,ROUND(H12/((TaH-TrH)*1.163)/3600,3),ROUND(H12/(500*(TaH-TrH)),2))</f>
        <v>0.28999999999999998</v>
      </c>
      <c r="J12" s="123">
        <f>ROUND(INDEX($Z12:$AD12,0,FanspeedH)*Basis!$E$4,1)</f>
        <v>51.8</v>
      </c>
      <c r="K12" s="85">
        <f>INDEX($AL12:$AP12,0,FanspeedH)</f>
        <v>2.2000000000000002</v>
      </c>
      <c r="L12" s="224">
        <f>CHOOSE(Basis!$E$1,$AR12*(I12*3600/Basis!$E$5)^$AS12*Basis!$E$6/Basis!$E$9,$AR12*(I12/Basis!$E$5)^$AS12*Basis!$E$6/Basis!$E$9)</f>
        <v>9.1996745179871289E-2</v>
      </c>
      <c r="M12" s="85">
        <f>INDEX($AF12:$AJ12,0,FanspeedH)</f>
        <v>22.8</v>
      </c>
      <c r="N12" s="109">
        <v>1</v>
      </c>
      <c r="O12" s="109"/>
      <c r="P12" s="109"/>
      <c r="Q12" s="109"/>
      <c r="R12" s="109"/>
      <c r="S12" s="68"/>
      <c r="T12" s="67">
        <v>1170</v>
      </c>
      <c r="U12" s="67"/>
      <c r="V12" s="67"/>
      <c r="W12" s="67"/>
      <c r="X12" s="67"/>
      <c r="Y12" s="68"/>
      <c r="Z12" s="69">
        <v>88</v>
      </c>
      <c r="AA12" s="69"/>
      <c r="AB12" s="69"/>
      <c r="AC12" s="69"/>
      <c r="AD12" s="69"/>
      <c r="AE12" s="68"/>
      <c r="AF12" s="70">
        <v>22.8</v>
      </c>
      <c r="AG12" s="70"/>
      <c r="AH12" s="70"/>
      <c r="AI12" s="70"/>
      <c r="AJ12" s="70"/>
      <c r="AK12" s="68"/>
      <c r="AL12" s="71">
        <v>2.2000000000000002</v>
      </c>
      <c r="AM12" s="71"/>
      <c r="AN12" s="71"/>
      <c r="AO12" s="71"/>
      <c r="AP12" s="71"/>
      <c r="AQ12" s="68"/>
      <c r="AR12" s="99">
        <v>1.0994757530366E-4</v>
      </c>
      <c r="AS12" s="97">
        <v>1.8684827970832001</v>
      </c>
      <c r="AT12" s="68"/>
      <c r="AU12" s="67"/>
      <c r="AV12" s="67"/>
      <c r="AW12" s="67"/>
      <c r="AX12" s="67"/>
      <c r="AY12" s="67"/>
      <c r="AZ12" s="68"/>
      <c r="BA12" s="180" t="s">
        <v>2973</v>
      </c>
      <c r="BB12" s="50" t="s">
        <v>144</v>
      </c>
      <c r="BY12"/>
      <c r="BZ12"/>
      <c r="CA12"/>
    </row>
    <row r="13" spans="1:79" ht="15" x14ac:dyDescent="0.25">
      <c r="A13" s="72" t="s">
        <v>119</v>
      </c>
      <c r="B13" s="43" t="s">
        <v>141</v>
      </c>
      <c r="C13" s="44" t="s">
        <v>145</v>
      </c>
      <c r="D13" s="45">
        <f>ROUND(MID('Micro Canal'!$C13,6,3)/Basis!$E$3,1)</f>
        <v>2.4</v>
      </c>
      <c r="E13" s="45">
        <f>ROUND(MID('Micro Canal'!$C13,9,3)/Basis!$E$3,1)</f>
        <v>65</v>
      </c>
      <c r="F13" s="46" t="s">
        <v>51</v>
      </c>
      <c r="G13" s="45">
        <f>ROUND(14/Basis!$E$3,1)</f>
        <v>5.5</v>
      </c>
      <c r="H13" s="45">
        <f>ROUND(INDEX($T13:$X13,0,FanspeedH)*Basis!$E$2*((TaH-TrH)/LN(1/µ)/Basis!$E$7)*Glycol*$AA$4,0)</f>
        <v>3827</v>
      </c>
      <c r="I13" s="123">
        <f>IF(Basis!$E$1=1,ROUND(H13/((TaH-TrH)*1.163)/3600,3),ROUND(H13/(500*(TaH-TrH)),2))</f>
        <v>0.38</v>
      </c>
      <c r="J13" s="123">
        <f>ROUND(INDEX($Z13:$AD13,0,FanspeedH)*Basis!$E$4,1)</f>
        <v>68.900000000000006</v>
      </c>
      <c r="K13" s="85">
        <f>INDEX($AL13:$AP13,0,FanspeedH)</f>
        <v>3.1</v>
      </c>
      <c r="L13" s="224">
        <f>CHOOSE(Basis!$E$1,$AR13*(I13*3600/Basis!$E$5)^$AS13*Basis!$E$6/Basis!$E$9,$AR13*(I13/Basis!$E$5)^$AS13*Basis!$E$6/Basis!$E$9)</f>
        <v>6.1257996365671884E-2</v>
      </c>
      <c r="M13" s="85">
        <f>INDEX($AF13:$AJ13,0,FanspeedH)</f>
        <v>24</v>
      </c>
      <c r="N13" s="110">
        <v>1</v>
      </c>
      <c r="O13" s="110"/>
      <c r="P13" s="110"/>
      <c r="Q13" s="110"/>
      <c r="R13" s="110"/>
      <c r="S13" s="74"/>
      <c r="T13" s="73">
        <v>1560</v>
      </c>
      <c r="U13" s="73"/>
      <c r="V13" s="73"/>
      <c r="W13" s="73"/>
      <c r="X13" s="73"/>
      <c r="Y13" s="74"/>
      <c r="Z13" s="75">
        <v>117</v>
      </c>
      <c r="AA13" s="75"/>
      <c r="AB13" s="75"/>
      <c r="AC13" s="75"/>
      <c r="AD13" s="75"/>
      <c r="AE13" s="74"/>
      <c r="AF13" s="76">
        <v>24</v>
      </c>
      <c r="AG13" s="76"/>
      <c r="AH13" s="76"/>
      <c r="AI13" s="76"/>
      <c r="AJ13" s="76"/>
      <c r="AK13" s="74"/>
      <c r="AL13" s="77">
        <v>3.1</v>
      </c>
      <c r="AM13" s="77"/>
      <c r="AN13" s="77"/>
      <c r="AO13" s="77"/>
      <c r="AP13" s="77"/>
      <c r="AQ13" s="74"/>
      <c r="AR13" s="100">
        <v>2.6167540881555999E-6</v>
      </c>
      <c r="AS13" s="98">
        <v>2.5025003405291999</v>
      </c>
      <c r="AT13" s="74"/>
      <c r="AU13" s="73"/>
      <c r="AV13" s="73"/>
      <c r="AW13" s="73"/>
      <c r="AX13" s="73"/>
      <c r="AY13" s="73"/>
      <c r="AZ13" s="74"/>
      <c r="BA13" s="180" t="s">
        <v>2973</v>
      </c>
      <c r="BB13" s="48" t="s">
        <v>145</v>
      </c>
      <c r="BY13"/>
      <c r="BZ13"/>
      <c r="CA13"/>
    </row>
    <row r="14" spans="1:79" ht="15" x14ac:dyDescent="0.25">
      <c r="A14" s="72" t="s">
        <v>119</v>
      </c>
      <c r="B14" s="43" t="s">
        <v>141</v>
      </c>
      <c r="C14" s="44" t="s">
        <v>146</v>
      </c>
      <c r="D14" s="45">
        <f>ROUND(MID('Micro Canal'!$C14,6,3)/Basis!$E$3,1)</f>
        <v>2.4</v>
      </c>
      <c r="E14" s="45">
        <f>ROUND(MID('Micro Canal'!$C14,9,3)/Basis!$E$3,1)</f>
        <v>78.7</v>
      </c>
      <c r="F14" s="46" t="s">
        <v>51</v>
      </c>
      <c r="G14" s="45">
        <f>ROUND(14/Basis!$E$3,1)</f>
        <v>5.5</v>
      </c>
      <c r="H14" s="45">
        <f>ROUND(INDEX($T14:$X14,0,FanspeedH)*Basis!$E$2*((TaH-TrH)/LN(1/µ)/Basis!$E$7)*Glycol*$AA$4,0)</f>
        <v>4783</v>
      </c>
      <c r="I14" s="123">
        <f>IF(Basis!$E$1=1,ROUND(H14/((TaH-TrH)*1.163)/3600,3),ROUND(H14/(500*(TaH-TrH)),2))</f>
        <v>0.48</v>
      </c>
      <c r="J14" s="123">
        <f>ROUND(INDEX($Z14:$AD14,0,FanspeedH)*Basis!$E$4,1)</f>
        <v>86.2</v>
      </c>
      <c r="K14" s="85">
        <f>INDEX($AL14:$AP14,0,FanspeedH)</f>
        <v>3.5</v>
      </c>
      <c r="L14" s="224">
        <f>CHOOSE(Basis!$E$1,$AR14*(I14*3600/Basis!$E$5)^$AS14*Basis!$E$6/Basis!$E$9,$AR14*(I14/Basis!$E$5)^$AS14*Basis!$E$6/Basis!$E$9)</f>
        <v>0.38933766911393941</v>
      </c>
      <c r="M14" s="85">
        <f>INDEX($AF14:$AJ14,0,FanspeedH)</f>
        <v>25</v>
      </c>
      <c r="N14" s="109">
        <v>1</v>
      </c>
      <c r="O14" s="109"/>
      <c r="P14" s="109"/>
      <c r="Q14" s="109"/>
      <c r="R14" s="109"/>
      <c r="S14" s="68"/>
      <c r="T14" s="67">
        <v>1950</v>
      </c>
      <c r="U14" s="67"/>
      <c r="V14" s="67"/>
      <c r="W14" s="67"/>
      <c r="X14" s="67"/>
      <c r="Y14" s="68"/>
      <c r="Z14" s="69">
        <v>146.5</v>
      </c>
      <c r="AA14" s="69"/>
      <c r="AB14" s="69"/>
      <c r="AC14" s="69"/>
      <c r="AD14" s="69"/>
      <c r="AE14" s="68"/>
      <c r="AF14" s="70">
        <v>25</v>
      </c>
      <c r="AG14" s="70"/>
      <c r="AH14" s="70"/>
      <c r="AI14" s="70"/>
      <c r="AJ14" s="70"/>
      <c r="AK14" s="68"/>
      <c r="AL14" s="71">
        <v>3.5</v>
      </c>
      <c r="AM14" s="71"/>
      <c r="AN14" s="71"/>
      <c r="AO14" s="71"/>
      <c r="AP14" s="71"/>
      <c r="AQ14" s="68"/>
      <c r="AR14" s="99">
        <v>3.0694347477340002E-4</v>
      </c>
      <c r="AS14" s="97">
        <v>1.7564707973660001</v>
      </c>
      <c r="AT14" s="68"/>
      <c r="AU14" s="67"/>
      <c r="AV14" s="67"/>
      <c r="AW14" s="67"/>
      <c r="AX14" s="67"/>
      <c r="AY14" s="67"/>
      <c r="AZ14" s="68"/>
      <c r="BA14" s="180" t="s">
        <v>2973</v>
      </c>
      <c r="BB14" s="50" t="s">
        <v>146</v>
      </c>
      <c r="BY14"/>
      <c r="BZ14"/>
      <c r="CA14"/>
    </row>
  </sheetData>
  <sheetProtection algorithmName="SHA-512" hashValue="tAIF+fsBTopL77iGHaSur38Rx2nQ0pOYFf0DcO+tOoqI9mQ2TswzCPcP++0h9cLOYwMqPBJtAcBdF+teHK3e8w==" saltValue="xwwCy6O23eiYvb2ZZwaWTw==" spinCount="100000" sheet="1" sort="0" autoFilter="0"/>
  <autoFilter ref="A9:M14"/>
  <mergeCells count="8">
    <mergeCell ref="A1:C3"/>
    <mergeCell ref="A4:A5"/>
    <mergeCell ref="AU7:AY7"/>
    <mergeCell ref="H8:I8"/>
    <mergeCell ref="N8:R8"/>
    <mergeCell ref="T8:X8"/>
    <mergeCell ref="AU8:AY8"/>
    <mergeCell ref="M7:M8"/>
  </mergeCells>
  <dataValidations count="5">
    <dataValidation type="decimal" allowBlank="1" showErrorMessage="1" errorTitle="ERROR" error="Entering T between 95 and 180ºF" sqref="AD3">
      <formula1>95</formula1>
      <formula2>210</formula2>
    </dataValidation>
    <dataValidation type="decimal" allowBlank="1" showErrorMessage="1" errorTitle="ERROR" error="Air T between 50 and 77ºF" promptTitle="Omgevingº:" prompt="Geheel getal tussen 10 en 25" sqref="Z5 AD5 AB7">
      <formula1>50</formula1>
      <formula2>77</formula2>
    </dataValidation>
    <dataValidation type="decimal" operator="lessThan" allowBlank="1" showErrorMessage="1" errorTitle="ERROR" error="Return T must &lt;  Entering T" promptTitle="Retourº:" prompt="Altijd lager dan Aanvoerº" sqref="AD4">
      <formula1>AD3</formula1>
    </dataValidation>
    <dataValidation type="list" allowBlank="1" showInputMessage="1" showErrorMessage="1" sqref="AD7 Z7">
      <formula1>#REF!</formula1>
    </dataValidation>
    <dataValidation type="custom" allowBlank="1" showInputMessage="1" showErrorMessage="1" errorTitle="try again" error="&lt;200ºF" sqref="I2">
      <formula1>I2&lt;200</formula1>
    </dataValidation>
  </dataValidations>
  <printOptions horizontalCentered="1"/>
  <pageMargins left="0" right="0" top="0" bottom="0.19685039370078741" header="0" footer="0"/>
  <pageSetup paperSize="9" scale="27" fitToHeight="1000" orientation="landscape" blackAndWhite="1" r:id="rId1"/>
  <headerFooter>
    <oddFooter>&amp;R&amp;8&amp;D 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defaultSize="0" autoLine="0" autoPict="0">
                <anchor moveWithCells="1">
                  <from>
                    <xdr:col>2</xdr:col>
                    <xdr:colOff>1600200</xdr:colOff>
                    <xdr:row>3</xdr:row>
                    <xdr:rowOff>9525</xdr:rowOff>
                  </from>
                  <to>
                    <xdr:col>5</xdr:col>
                    <xdr:colOff>9525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8">
    <pageSetUpPr fitToPage="1"/>
  </sheetPr>
  <dimension ref="A1:CA19"/>
  <sheetViews>
    <sheetView showGridLines="0" showRowColHeaders="0" showZeros="0" zoomScaleNormal="100" workbookViewId="0">
      <pane ySplit="9" topLeftCell="A10" activePane="bottomLeft" state="frozen"/>
      <selection pane="bottomLeft" activeCell="I2" sqref="I2"/>
    </sheetView>
  </sheetViews>
  <sheetFormatPr defaultColWidth="0" defaultRowHeight="12.75" customHeight="1" zeroHeight="1" x14ac:dyDescent="0.2"/>
  <cols>
    <col min="1" max="1" width="19.7109375" style="1" customWidth="1"/>
    <col min="2" max="3" width="24.140625" style="1" customWidth="1"/>
    <col min="4" max="5" width="6.7109375" style="7" customWidth="1"/>
    <col min="6" max="6" width="6.7109375" style="6" customWidth="1"/>
    <col min="7" max="7" width="6.7109375" style="7" customWidth="1"/>
    <col min="8" max="10" width="8.7109375" style="2" customWidth="1"/>
    <col min="11" max="12" width="11.28515625" style="2" customWidth="1"/>
    <col min="13" max="13" width="10.7109375" style="2" hidden="1" customWidth="1"/>
    <col min="14" max="17" width="7.7109375" style="7" hidden="1" customWidth="1"/>
    <col min="18" max="18" width="7.7109375" style="2" hidden="1" customWidth="1"/>
    <col min="19" max="19" width="7.7109375" hidden="1" customWidth="1"/>
    <col min="20" max="23" width="7.7109375" style="7" hidden="1" customWidth="1"/>
    <col min="24" max="24" width="7.7109375" style="2" hidden="1" customWidth="1"/>
    <col min="25" max="25" width="7.7109375" hidden="1" customWidth="1"/>
    <col min="26" max="30" width="7.7109375" style="2" hidden="1" customWidth="1"/>
    <col min="31" max="31" width="7.7109375" hidden="1" customWidth="1"/>
    <col min="32" max="36" width="7.7109375" style="38" hidden="1" customWidth="1"/>
    <col min="37" max="37" width="7.7109375" hidden="1" customWidth="1"/>
    <col min="38" max="42" width="7.7109375" style="2" hidden="1" customWidth="1"/>
    <col min="43" max="43" width="7.7109375" hidden="1" customWidth="1"/>
    <col min="44" max="44" width="22.7109375" hidden="1" customWidth="1"/>
    <col min="45" max="45" width="22.5703125" hidden="1" customWidth="1"/>
    <col min="46" max="46" width="7.7109375" hidden="1" customWidth="1"/>
    <col min="47" max="51" width="7.7109375" style="10" hidden="1" customWidth="1"/>
    <col min="52" max="52" width="7.7109375" hidden="1" customWidth="1"/>
    <col min="53" max="53" width="7.7109375" style="2" hidden="1" customWidth="1"/>
    <col min="54" max="54" width="20.42578125" style="2" hidden="1" customWidth="1"/>
    <col min="55" max="55" width="7.140625" style="3" hidden="1" customWidth="1"/>
    <col min="56" max="56" width="6" style="3" hidden="1" customWidth="1"/>
    <col min="57" max="57" width="5.28515625" style="3" hidden="1" customWidth="1"/>
    <col min="58" max="58" width="7.7109375" style="3" hidden="1" customWidth="1"/>
    <col min="59" max="59" width="10.5703125" style="3" hidden="1" customWidth="1"/>
    <col min="60" max="60" width="7.7109375" style="3" hidden="1" customWidth="1"/>
    <col min="61" max="61" width="3" style="3" hidden="1" customWidth="1"/>
    <col min="62" max="62" width="10.5703125" style="3" hidden="1" customWidth="1"/>
    <col min="63" max="63" width="9.28515625" style="3" hidden="1" customWidth="1"/>
    <col min="64" max="64" width="10.5703125" style="3" hidden="1" customWidth="1"/>
    <col min="65" max="16384" width="7.7109375" style="3" hidden="1"/>
  </cols>
  <sheetData>
    <row r="1" spans="1:79" ht="13.5" customHeight="1" x14ac:dyDescent="0.25">
      <c r="A1" s="247" t="str">
        <f>Basis!A1</f>
        <v>Selection Model 2022-10</v>
      </c>
      <c r="B1" s="247"/>
      <c r="C1" s="247"/>
      <c r="D1" s="21"/>
      <c r="E1" s="21"/>
      <c r="F1" s="22"/>
      <c r="G1" s="21"/>
      <c r="H1" s="25"/>
      <c r="I1" s="26"/>
      <c r="J1" s="27"/>
      <c r="K1" s="27"/>
      <c r="L1" s="27"/>
      <c r="M1" s="27"/>
      <c r="AT1" s="87" t="s">
        <v>101</v>
      </c>
      <c r="BY1"/>
      <c r="BZ1"/>
      <c r="CA1"/>
    </row>
    <row r="2" spans="1:79" ht="15" customHeight="1" x14ac:dyDescent="0.25">
      <c r="A2" s="247"/>
      <c r="B2" s="247"/>
      <c r="C2" s="247"/>
      <c r="D2" s="139" t="s">
        <v>94</v>
      </c>
      <c r="E2" s="140"/>
      <c r="F2" s="141"/>
      <c r="G2" s="24"/>
      <c r="H2" s="146" t="s">
        <v>26</v>
      </c>
      <c r="I2" s="8">
        <v>140</v>
      </c>
      <c r="J2" s="28" t="str">
        <f>CHOOSE(Basis!$E$1,"EWT ºC","EWT ºF")</f>
        <v>EWT ºF</v>
      </c>
      <c r="K2" s="28"/>
      <c r="L2" s="28"/>
      <c r="M2" s="28"/>
      <c r="X2" s="7"/>
      <c r="Y2" s="7"/>
      <c r="Z2" s="7"/>
      <c r="AB2" s="7"/>
      <c r="AC2" s="35"/>
      <c r="AD2" s="34"/>
      <c r="AE2" s="54"/>
      <c r="AF2" s="36"/>
      <c r="AG2" s="35"/>
      <c r="AH2" s="36"/>
      <c r="AI2" s="36"/>
      <c r="AJ2" s="36"/>
      <c r="AK2" s="54"/>
      <c r="AL2" s="36"/>
      <c r="AM2" s="35"/>
      <c r="AN2" s="36"/>
      <c r="AO2" s="36"/>
      <c r="AP2" s="36"/>
      <c r="AQ2" s="54"/>
      <c r="AR2" s="54"/>
      <c r="AS2" s="54"/>
      <c r="AT2" t="s">
        <v>102</v>
      </c>
      <c r="AU2" s="86">
        <v>16</v>
      </c>
      <c r="AV2" s="89" t="s">
        <v>95</v>
      </c>
      <c r="AW2" s="89"/>
      <c r="AX2" s="89"/>
      <c r="AY2" s="89"/>
      <c r="BA2" s="13"/>
      <c r="BB2" s="81"/>
      <c r="BY2"/>
      <c r="BZ2"/>
      <c r="CA2"/>
    </row>
    <row r="3" spans="1:79" ht="15" customHeight="1" x14ac:dyDescent="0.25">
      <c r="A3" s="247"/>
      <c r="B3" s="247"/>
      <c r="C3" s="247"/>
      <c r="D3" s="142" t="s">
        <v>2963</v>
      </c>
      <c r="E3" s="143"/>
      <c r="F3" s="138"/>
      <c r="G3" s="24"/>
      <c r="H3" s="146" t="s">
        <v>24</v>
      </c>
      <c r="I3" s="8">
        <v>120</v>
      </c>
      <c r="J3" s="28" t="str">
        <f>CHOOSE(Basis!$E$1,"LWT ºC","LWT ºF")</f>
        <v>LWT ºF</v>
      </c>
      <c r="K3" s="28"/>
      <c r="L3" s="28"/>
      <c r="M3" s="28"/>
      <c r="Z3" s="7" t="s">
        <v>3334</v>
      </c>
      <c r="AA3" s="219">
        <f>IF(Basis!$E$1=1,$F$3/1000,IF(Basis!$E$1=2,$F$3*0.0003048))</f>
        <v>0</v>
      </c>
      <c r="AB3" s="7"/>
      <c r="AC3" s="35"/>
      <c r="AD3" s="55"/>
      <c r="AE3" s="54"/>
      <c r="AF3" s="36"/>
      <c r="AG3" s="35"/>
      <c r="AH3" s="36"/>
      <c r="AI3" s="36"/>
      <c r="AJ3" s="36"/>
      <c r="AK3" s="54"/>
      <c r="AL3" s="37"/>
      <c r="AM3" s="35"/>
      <c r="AN3" s="37"/>
      <c r="AO3" s="37"/>
      <c r="AP3" s="37"/>
      <c r="AQ3" s="54"/>
      <c r="AR3" s="54"/>
      <c r="AS3" s="54"/>
      <c r="AT3" t="s">
        <v>103</v>
      </c>
      <c r="AU3" s="86">
        <v>18</v>
      </c>
      <c r="AV3" s="89" t="s">
        <v>95</v>
      </c>
      <c r="AW3" s="89"/>
      <c r="AX3" s="89"/>
      <c r="AY3" s="89"/>
      <c r="BA3" s="13"/>
      <c r="BB3" s="81"/>
      <c r="BY3"/>
      <c r="BZ3"/>
      <c r="CA3"/>
    </row>
    <row r="4" spans="1:79" ht="15" customHeight="1" x14ac:dyDescent="0.25">
      <c r="A4" s="248" t="str">
        <f>CHOOSE(Basis!$E$1,"Metric","Imperial")</f>
        <v>Imperial</v>
      </c>
      <c r="B4" s="96"/>
      <c r="C4" s="17"/>
      <c r="D4" s="137">
        <v>1</v>
      </c>
      <c r="E4" s="144"/>
      <c r="F4" s="53"/>
      <c r="G4" s="23" t="s">
        <v>88</v>
      </c>
      <c r="H4" s="146" t="s">
        <v>2967</v>
      </c>
      <c r="I4" s="8">
        <v>65</v>
      </c>
      <c r="J4" s="28" t="str">
        <f>CHOOSE(Basis!$E$1,"AT ºC","AT ºF")</f>
        <v>AT ºF</v>
      </c>
      <c r="K4" s="28"/>
      <c r="L4" s="28"/>
      <c r="M4" s="28"/>
      <c r="Z4" s="7" t="s">
        <v>3335</v>
      </c>
      <c r="AA4" s="220">
        <f>-(0.000265264729874266*$AA$3^6)+(0.000957582908802335*$AA$3^5)+(0.00470250661483425*$AA$3^4)-(0.0298716926548353*$AA$3^3)+(0.0557086806557086*$AA$3^2)-(0.0484008125693582*$AA$3)+1</f>
        <v>1</v>
      </c>
      <c r="AB4" s="7"/>
      <c r="AC4" s="35"/>
      <c r="AD4" s="55"/>
      <c r="AE4" s="54"/>
      <c r="AF4" s="36"/>
      <c r="AG4" s="35"/>
      <c r="AH4" s="36"/>
      <c r="AI4" s="36"/>
      <c r="AJ4" s="36"/>
      <c r="AK4" s="54"/>
      <c r="AL4" s="37"/>
      <c r="AM4" s="35"/>
      <c r="AN4" s="37"/>
      <c r="AO4" s="37"/>
      <c r="AP4" s="37"/>
      <c r="AQ4" s="54"/>
      <c r="AR4" s="54"/>
      <c r="AS4" s="54"/>
      <c r="AT4" t="s">
        <v>104</v>
      </c>
      <c r="AU4" s="86">
        <v>27</v>
      </c>
      <c r="AV4" s="89" t="s">
        <v>95</v>
      </c>
      <c r="AW4" s="89"/>
      <c r="AX4" s="89"/>
      <c r="AY4" s="89"/>
      <c r="BA4" s="13"/>
      <c r="BB4" s="81"/>
      <c r="BY4"/>
      <c r="BZ4"/>
      <c r="CA4"/>
    </row>
    <row r="5" spans="1:79" ht="15" customHeight="1" x14ac:dyDescent="0.25">
      <c r="A5" s="248"/>
      <c r="B5" s="96"/>
      <c r="C5" s="17"/>
      <c r="D5" s="23"/>
      <c r="E5" s="21"/>
      <c r="F5" s="22"/>
      <c r="G5" s="21"/>
      <c r="H5" s="29" t="s">
        <v>25</v>
      </c>
      <c r="I5" s="31">
        <f>(I2+I3)/2</f>
        <v>130</v>
      </c>
      <c r="J5" s="28" t="str">
        <f>CHOOSE(Basis!$E$1,"ºC","ºF")</f>
        <v>ºF</v>
      </c>
      <c r="K5" s="28"/>
      <c r="L5" s="28"/>
      <c r="M5" s="28"/>
      <c r="Z5" s="55"/>
      <c r="AB5" s="7"/>
      <c r="AC5" s="35"/>
      <c r="AD5" s="55"/>
      <c r="AE5" s="54"/>
      <c r="AF5" s="36"/>
      <c r="AG5" s="35"/>
      <c r="AH5" s="36"/>
      <c r="AI5" s="36"/>
      <c r="AJ5" s="36"/>
      <c r="AK5" s="54"/>
      <c r="AL5" s="37"/>
      <c r="AM5" s="35"/>
      <c r="AN5" s="37"/>
      <c r="AO5" s="37"/>
      <c r="AP5" s="37"/>
      <c r="AQ5" s="54"/>
      <c r="AR5" s="54"/>
      <c r="AS5" s="54"/>
      <c r="AT5" s="54"/>
      <c r="AU5" s="88">
        <f>(AU2+AU3)/2-AU4</f>
        <v>-10</v>
      </c>
      <c r="AV5" s="34"/>
      <c r="AW5" s="11"/>
      <c r="AX5" s="11"/>
      <c r="AY5" s="11"/>
      <c r="AZ5" s="56"/>
      <c r="BA5" s="13"/>
      <c r="BB5" s="81"/>
      <c r="BY5"/>
      <c r="BZ5"/>
      <c r="CA5"/>
    </row>
    <row r="6" spans="1:79" ht="15" customHeight="1" x14ac:dyDescent="0.2">
      <c r="A6" s="96"/>
      <c r="B6" s="33" t="s">
        <v>4048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Z6" s="39"/>
      <c r="AB6" s="7"/>
      <c r="AC6" s="35"/>
      <c r="AD6" s="39"/>
      <c r="AE6" s="54"/>
      <c r="AG6" s="35"/>
      <c r="AH6" s="36"/>
      <c r="AI6" s="36"/>
      <c r="AJ6" s="36"/>
      <c r="AK6" s="54"/>
      <c r="AL6" s="37"/>
      <c r="AM6" s="35"/>
      <c r="AN6" s="37"/>
      <c r="AO6" s="37"/>
      <c r="AP6" s="37"/>
      <c r="AQ6" s="54"/>
      <c r="AR6" s="54"/>
      <c r="AS6" s="54"/>
      <c r="AT6" s="54"/>
      <c r="AU6" s="34"/>
      <c r="AV6" s="34"/>
      <c r="AW6" s="13"/>
      <c r="AX6" s="13"/>
      <c r="AY6" s="35"/>
      <c r="AZ6" s="56"/>
      <c r="BA6" s="13"/>
      <c r="BB6" s="81"/>
      <c r="BY6"/>
      <c r="BZ6"/>
      <c r="CA6"/>
    </row>
    <row r="7" spans="1:79" ht="15" customHeight="1" x14ac:dyDescent="0.25">
      <c r="A7" s="18"/>
      <c r="B7" s="33" t="s">
        <v>4049</v>
      </c>
      <c r="C7" s="17"/>
      <c r="D7" s="21"/>
      <c r="E7" s="21"/>
      <c r="F7" s="22"/>
      <c r="G7" s="21"/>
      <c r="H7" s="30" t="s">
        <v>96</v>
      </c>
      <c r="I7" s="80">
        <v>1</v>
      </c>
      <c r="J7" s="27"/>
      <c r="K7" s="27"/>
      <c r="L7" s="27"/>
      <c r="M7" s="259" t="s">
        <v>158</v>
      </c>
      <c r="N7" s="12"/>
      <c r="O7" s="12"/>
      <c r="P7" s="12"/>
      <c r="Q7" s="12"/>
      <c r="R7" s="12"/>
      <c r="S7" s="54"/>
      <c r="T7" s="12"/>
      <c r="U7" s="12"/>
      <c r="V7" s="12"/>
      <c r="W7" s="12"/>
      <c r="X7" s="12"/>
      <c r="Y7" s="54"/>
      <c r="Z7" s="57"/>
      <c r="AA7" s="90"/>
      <c r="AB7" s="55"/>
      <c r="AC7" s="35"/>
      <c r="AD7" s="57"/>
      <c r="AE7" s="54"/>
      <c r="AF7" s="36"/>
      <c r="AG7" s="35"/>
      <c r="AH7" s="36"/>
      <c r="AI7" s="36"/>
      <c r="AJ7" s="36"/>
      <c r="AK7" s="54"/>
      <c r="AL7" s="36"/>
      <c r="AM7" s="35"/>
      <c r="AN7" s="36"/>
      <c r="AO7" s="36"/>
      <c r="AP7" s="36"/>
      <c r="AQ7" s="54"/>
      <c r="AR7" s="54"/>
      <c r="AS7" s="54"/>
      <c r="AT7" s="54"/>
      <c r="AU7" s="251" t="s">
        <v>110</v>
      </c>
      <c r="AV7" s="252"/>
      <c r="AW7" s="252"/>
      <c r="AX7" s="252"/>
      <c r="AY7" s="253"/>
      <c r="AZ7" s="56"/>
      <c r="BA7" s="13"/>
      <c r="BB7" s="81"/>
      <c r="BY7"/>
      <c r="BZ7"/>
      <c r="CA7"/>
    </row>
    <row r="8" spans="1:79" s="5" customFormat="1" ht="23.25" customHeight="1" x14ac:dyDescent="0.2">
      <c r="A8" s="181" t="str">
        <f>Basis!C1</f>
        <v>LA/2022-10-12</v>
      </c>
      <c r="B8" s="33"/>
      <c r="C8" s="20"/>
      <c r="D8" s="42" t="s">
        <v>86</v>
      </c>
      <c r="E8" s="15" t="s">
        <v>84</v>
      </c>
      <c r="F8" s="16"/>
      <c r="G8" s="15" t="s">
        <v>85</v>
      </c>
      <c r="H8" s="261" t="str">
        <f>I2&amp;"/"&amp;I3&amp;"/"&amp;I4&amp;"º"</f>
        <v>140/120/65º</v>
      </c>
      <c r="I8" s="261"/>
      <c r="J8" s="27"/>
      <c r="K8" s="27"/>
      <c r="L8" s="27"/>
      <c r="M8" s="260"/>
      <c r="N8" s="264" t="s">
        <v>118</v>
      </c>
      <c r="O8" s="264"/>
      <c r="P8" s="264"/>
      <c r="Q8" s="264"/>
      <c r="R8" s="265"/>
      <c r="T8" s="264" t="s">
        <v>49</v>
      </c>
      <c r="U8" s="264"/>
      <c r="V8" s="264"/>
      <c r="W8" s="264"/>
      <c r="X8" s="265"/>
      <c r="Z8" s="58" t="s">
        <v>93</v>
      </c>
      <c r="AA8" s="90"/>
      <c r="AB8" s="40"/>
      <c r="AC8" s="35"/>
      <c r="AD8" s="40"/>
      <c r="AF8" s="58" t="s">
        <v>92</v>
      </c>
      <c r="AG8" s="35"/>
      <c r="AH8" s="36"/>
      <c r="AI8" s="36"/>
      <c r="AJ8" s="36"/>
      <c r="AL8" s="58" t="s">
        <v>140</v>
      </c>
      <c r="AM8" s="35"/>
      <c r="AN8" s="36"/>
      <c r="AO8" s="36"/>
      <c r="AP8" s="36"/>
      <c r="AR8" s="58" t="s">
        <v>98</v>
      </c>
      <c r="AS8" s="35"/>
      <c r="AU8" s="251" t="s">
        <v>100</v>
      </c>
      <c r="AV8" s="252"/>
      <c r="AW8" s="252"/>
      <c r="AX8" s="252"/>
      <c r="AY8" s="253"/>
      <c r="AZ8" s="41"/>
      <c r="BA8" s="14"/>
      <c r="BB8" s="82"/>
      <c r="BY8"/>
      <c r="BZ8"/>
      <c r="CA8"/>
    </row>
    <row r="9" spans="1:79" s="4" customFormat="1" ht="38.25" x14ac:dyDescent="0.2">
      <c r="A9" s="59" t="s">
        <v>22</v>
      </c>
      <c r="B9" s="59" t="s">
        <v>4050</v>
      </c>
      <c r="C9" s="59" t="s">
        <v>87</v>
      </c>
      <c r="D9" s="60" t="str">
        <f>"H in "&amp;CHOOSE(Basis!$E$1,"cm","inch")</f>
        <v>H in inch</v>
      </c>
      <c r="E9" s="60" t="str">
        <f>"L in "&amp;CHOOSE(Basis!$E$1,"cm","inch")</f>
        <v>L in inch</v>
      </c>
      <c r="F9" s="61" t="s">
        <v>1</v>
      </c>
      <c r="G9" s="60" t="str">
        <f>"D in "&amp;CHOOSE(Basis!$E$1,"cm","inch")</f>
        <v>D in inch</v>
      </c>
      <c r="H9" s="60" t="str">
        <f>"Heating in "&amp;CHOOSE(Basis!$E$1,"Watt","BTU/h")</f>
        <v>Heating in BTU/h</v>
      </c>
      <c r="I9" s="60" t="str">
        <f>"Flow in "&amp;CHOOSE(Basis!$E$1,"l/s","GPM")</f>
        <v>Flow in GPM</v>
      </c>
      <c r="J9" s="60" t="str">
        <f>"Airflow in "&amp;CHOOSE(Basis!$E$1,"m³/h", "CFM")</f>
        <v>Airflow in CFM</v>
      </c>
      <c r="K9" s="94" t="s">
        <v>2980</v>
      </c>
      <c r="L9" s="60" t="str">
        <f>"Water side pressure drop "&amp;CHOOSE(Basis!$E$1,"[kPa]","ftH2O")</f>
        <v>Water side pressure drop ftH2O</v>
      </c>
      <c r="M9" s="60" t="s">
        <v>105</v>
      </c>
      <c r="N9" s="79">
        <v>1</v>
      </c>
      <c r="O9" s="79">
        <v>0.8</v>
      </c>
      <c r="P9" s="79">
        <v>0.6</v>
      </c>
      <c r="Q9" s="79">
        <v>0.4</v>
      </c>
      <c r="R9" s="79">
        <v>0.2</v>
      </c>
      <c r="S9" s="64" t="s">
        <v>99</v>
      </c>
      <c r="T9" s="79">
        <v>1</v>
      </c>
      <c r="U9" s="79">
        <v>0.8</v>
      </c>
      <c r="V9" s="79">
        <v>0.6</v>
      </c>
      <c r="W9" s="79">
        <v>0.4</v>
      </c>
      <c r="X9" s="79">
        <v>0.2</v>
      </c>
      <c r="Y9" s="64" t="s">
        <v>99</v>
      </c>
      <c r="Z9" s="79">
        <v>1</v>
      </c>
      <c r="AA9" s="79">
        <v>0.8</v>
      </c>
      <c r="AB9" s="79">
        <v>0.6</v>
      </c>
      <c r="AC9" s="79">
        <v>0.4</v>
      </c>
      <c r="AD9" s="79">
        <v>0.2</v>
      </c>
      <c r="AE9" s="64" t="s">
        <v>99</v>
      </c>
      <c r="AF9" s="79">
        <v>1</v>
      </c>
      <c r="AG9" s="79">
        <v>0.8</v>
      </c>
      <c r="AH9" s="79">
        <v>0.6</v>
      </c>
      <c r="AI9" s="79">
        <v>0.4</v>
      </c>
      <c r="AJ9" s="79">
        <v>0.2</v>
      </c>
      <c r="AK9" s="64" t="s">
        <v>99</v>
      </c>
      <c r="AL9" s="79">
        <v>1</v>
      </c>
      <c r="AM9" s="79">
        <v>0.8</v>
      </c>
      <c r="AN9" s="79">
        <v>0.6</v>
      </c>
      <c r="AO9" s="79">
        <v>0.4</v>
      </c>
      <c r="AP9" s="79">
        <v>0.2</v>
      </c>
      <c r="AQ9" s="64" t="s">
        <v>99</v>
      </c>
      <c r="AR9" s="79" t="s">
        <v>4135</v>
      </c>
      <c r="AS9" s="79" t="s">
        <v>4136</v>
      </c>
      <c r="AT9" s="64" t="s">
        <v>99</v>
      </c>
      <c r="AU9" s="79">
        <v>1</v>
      </c>
      <c r="AV9" s="79">
        <v>0.8</v>
      </c>
      <c r="AW9" s="79">
        <v>0.6</v>
      </c>
      <c r="AX9" s="79">
        <v>0.4</v>
      </c>
      <c r="AY9" s="79">
        <v>0.2</v>
      </c>
      <c r="AZ9" s="64" t="s">
        <v>99</v>
      </c>
      <c r="BA9" s="65" t="s">
        <v>28</v>
      </c>
      <c r="BB9" s="66" t="s">
        <v>2</v>
      </c>
      <c r="BF9" s="32"/>
      <c r="BY9"/>
      <c r="BZ9"/>
      <c r="CA9"/>
    </row>
    <row r="10" spans="1:79" ht="15" x14ac:dyDescent="0.25">
      <c r="A10" s="72" t="s">
        <v>147</v>
      </c>
      <c r="B10" s="235" t="s">
        <v>4051</v>
      </c>
      <c r="C10" s="44" t="s">
        <v>148</v>
      </c>
      <c r="D10" s="227">
        <f>ROUND(41/Basis!$E$3,1)</f>
        <v>16.100000000000001</v>
      </c>
      <c r="E10" s="45">
        <f>ROUND(41/Basis!$E$3,1)</f>
        <v>16.100000000000001</v>
      </c>
      <c r="F10" s="106" t="s">
        <v>51</v>
      </c>
      <c r="G10" s="45">
        <f>ROUND(43/Basis!$E$3,1)</f>
        <v>16.899999999999999</v>
      </c>
      <c r="H10" s="45">
        <f>ROUND(INDEX($T10:$X10,0,FanspeedH)*Basis!$E$2*((TaH-TrH)/LN(1/µ)/Basis!$E$7)*Glycol*$AA$4,0)</f>
        <v>17907</v>
      </c>
      <c r="I10" s="225">
        <f>IF(Basis!$E$1=1,ROUND(H10/((TaH-TrH)*1.163)/3600,3),ROUND(H10/(500*(TaH-TrH)),2))</f>
        <v>1.79</v>
      </c>
      <c r="J10" s="123">
        <f>ROUND(INDEX($Z10:$AD10,0,FanspeedH)*Basis!$E$4,0)</f>
        <v>837</v>
      </c>
      <c r="K10" s="226">
        <f>INDEX($AL10:$AP10,0,FanspeedH)</f>
        <v>76</v>
      </c>
      <c r="L10" s="84">
        <f>AS10*4.01865/12</f>
        <v>0.43332835730652414</v>
      </c>
      <c r="M10" s="85">
        <f>INDEX($AF10:$AJ10,0,FanspeedH)</f>
        <v>44</v>
      </c>
      <c r="N10" s="109">
        <v>1</v>
      </c>
      <c r="O10" s="109">
        <v>1</v>
      </c>
      <c r="P10" s="109">
        <v>1</v>
      </c>
      <c r="Q10" s="109">
        <v>1</v>
      </c>
      <c r="R10" s="109">
        <v>1</v>
      </c>
      <c r="S10" s="68"/>
      <c r="T10" s="67">
        <v>7300</v>
      </c>
      <c r="U10" s="67">
        <v>7100</v>
      </c>
      <c r="V10" s="67">
        <v>6400</v>
      </c>
      <c r="W10" s="67">
        <v>5500</v>
      </c>
      <c r="X10" s="67">
        <v>4500</v>
      </c>
      <c r="Y10" s="68"/>
      <c r="Z10" s="69">
        <v>1422</v>
      </c>
      <c r="AA10" s="69">
        <v>1325</v>
      </c>
      <c r="AB10" s="69">
        <v>1144</v>
      </c>
      <c r="AC10" s="69">
        <v>847</v>
      </c>
      <c r="AD10" s="69">
        <v>594</v>
      </c>
      <c r="AE10" s="68"/>
      <c r="AF10" s="70">
        <v>44</v>
      </c>
      <c r="AG10" s="70">
        <v>43</v>
      </c>
      <c r="AH10" s="70">
        <v>35</v>
      </c>
      <c r="AI10" s="70">
        <v>28</v>
      </c>
      <c r="AJ10" s="70">
        <v>24</v>
      </c>
      <c r="AK10" s="68"/>
      <c r="AL10" s="71">
        <v>76</v>
      </c>
      <c r="AM10" s="71">
        <v>63</v>
      </c>
      <c r="AN10" s="71">
        <v>43</v>
      </c>
      <c r="AO10" s="71">
        <v>20</v>
      </c>
      <c r="AP10" s="71">
        <v>10</v>
      </c>
      <c r="AQ10" s="68"/>
      <c r="AR10" s="99">
        <v>3.5739570077841054</v>
      </c>
      <c r="AS10" s="97">
        <f>POWER(((I10*227.12)/1000)/AR10,2)*100</f>
        <v>1.2939520206234159</v>
      </c>
      <c r="AT10" s="68"/>
      <c r="AU10" s="67"/>
      <c r="AV10" s="67"/>
      <c r="AW10" s="67"/>
      <c r="AX10" s="67"/>
      <c r="AY10" s="67"/>
      <c r="AZ10" s="68"/>
      <c r="BA10" s="49"/>
      <c r="BB10" s="50"/>
      <c r="BY10"/>
      <c r="BZ10"/>
      <c r="CA10"/>
    </row>
    <row r="11" spans="1:79" ht="15" x14ac:dyDescent="0.25">
      <c r="A11" s="72" t="s">
        <v>147</v>
      </c>
      <c r="B11" s="235" t="s">
        <v>4051</v>
      </c>
      <c r="C11" s="44" t="s">
        <v>149</v>
      </c>
      <c r="D11" s="227">
        <f>ROUND(41/Basis!$E$3,1)</f>
        <v>16.100000000000001</v>
      </c>
      <c r="E11" s="45">
        <f>ROUND(41/Basis!$E$3,1)</f>
        <v>16.100000000000001</v>
      </c>
      <c r="F11" s="46" t="s">
        <v>51</v>
      </c>
      <c r="G11" s="45">
        <f>ROUND(43/Basis!$E$3,1)</f>
        <v>16.899999999999999</v>
      </c>
      <c r="H11" s="45">
        <f>ROUND(INDEX($T11:$X11,0,FanspeedH)*Basis!$E$2*((TaH-TrH)/LN(1/µ)/Basis!$E$7)*Glycol*$AA$4,0)</f>
        <v>23548</v>
      </c>
      <c r="I11" s="225">
        <f>IF(Basis!$E$1=1,ROUND(H11/((TaH-TrH)*1.163)/3600,3),ROUND(H11/(500*(TaH-TrH)),2))</f>
        <v>2.35</v>
      </c>
      <c r="J11" s="123">
        <f>ROUND(INDEX($Z11:$AD11,0,FanspeedH)*Basis!$E$4,0)</f>
        <v>790</v>
      </c>
      <c r="K11" s="226">
        <f>INDEX($AL11:$AP11,0,FanspeedH)</f>
        <v>79</v>
      </c>
      <c r="L11" s="84">
        <f t="shared" ref="L11:L19" si="0">AS11*4.01865/12</f>
        <v>0.37420891570375864</v>
      </c>
      <c r="M11" s="85">
        <f>INDEX($AF11:$AJ11,0,FanspeedH)</f>
        <v>45</v>
      </c>
      <c r="N11" s="110">
        <v>1</v>
      </c>
      <c r="O11" s="110">
        <v>1</v>
      </c>
      <c r="P11" s="110">
        <v>1</v>
      </c>
      <c r="Q11" s="110">
        <v>1</v>
      </c>
      <c r="R11" s="110">
        <v>1</v>
      </c>
      <c r="S11" s="74"/>
      <c r="T11" s="73">
        <v>9600</v>
      </c>
      <c r="U11" s="73">
        <v>9000</v>
      </c>
      <c r="V11" s="73">
        <v>8100</v>
      </c>
      <c r="W11" s="73">
        <v>6500</v>
      </c>
      <c r="X11" s="73">
        <v>5300</v>
      </c>
      <c r="Y11" s="74"/>
      <c r="Z11" s="75">
        <v>1342</v>
      </c>
      <c r="AA11" s="75">
        <v>1251</v>
      </c>
      <c r="AB11" s="75">
        <v>1080</v>
      </c>
      <c r="AC11" s="75">
        <v>799</v>
      </c>
      <c r="AD11" s="75">
        <v>561</v>
      </c>
      <c r="AE11" s="74"/>
      <c r="AF11" s="76">
        <v>45</v>
      </c>
      <c r="AG11" s="76">
        <v>44</v>
      </c>
      <c r="AH11" s="76">
        <v>36</v>
      </c>
      <c r="AI11" s="76">
        <v>29</v>
      </c>
      <c r="AJ11" s="76">
        <v>25</v>
      </c>
      <c r="AK11" s="74"/>
      <c r="AL11" s="77">
        <v>79</v>
      </c>
      <c r="AM11" s="77">
        <v>65</v>
      </c>
      <c r="AN11" s="77">
        <v>45</v>
      </c>
      <c r="AO11" s="77">
        <v>21</v>
      </c>
      <c r="AP11" s="77">
        <v>11</v>
      </c>
      <c r="AQ11" s="74"/>
      <c r="AR11" s="100">
        <v>5.0491194502658079</v>
      </c>
      <c r="AS11" s="98">
        <f t="shared" ref="AS11:AS19" si="1">POWER(((I11*227.12)/1000)/AR11,2)*100</f>
        <v>1.1174167913217383</v>
      </c>
      <c r="AT11" s="74"/>
      <c r="AU11" s="73"/>
      <c r="AV11" s="73"/>
      <c r="AW11" s="73"/>
      <c r="AX11" s="73"/>
      <c r="AY11" s="73"/>
      <c r="AZ11" s="74"/>
      <c r="BA11" s="47"/>
      <c r="BB11" s="48"/>
      <c r="BY11"/>
      <c r="BZ11"/>
      <c r="CA11"/>
    </row>
    <row r="12" spans="1:79" ht="15" x14ac:dyDescent="0.25">
      <c r="A12" s="72" t="s">
        <v>147</v>
      </c>
      <c r="B12" s="235" t="s">
        <v>4051</v>
      </c>
      <c r="C12" s="44" t="s">
        <v>150</v>
      </c>
      <c r="D12" s="227">
        <f>ROUND(53/Basis!$E$3,1)</f>
        <v>20.9</v>
      </c>
      <c r="E12" s="45">
        <f>ROUND(53/Basis!$E$3,1)</f>
        <v>20.9</v>
      </c>
      <c r="F12" s="46" t="s">
        <v>51</v>
      </c>
      <c r="G12" s="45">
        <f>ROUND(48/Basis!$E$3,1)</f>
        <v>18.899999999999999</v>
      </c>
      <c r="H12" s="45">
        <f>ROUND(INDEX($T12:$X12,0,FanspeedH)*Basis!$E$2*((TaH-TrH)/LN(1/µ)/Basis!$E$7)*Glycol*$AA$4,0)</f>
        <v>38511</v>
      </c>
      <c r="I12" s="225">
        <f>IF(Basis!$E$1=1,ROUND(H12/((TaH-TrH)*1.163)/3600,3),ROUND(H12/(500*(TaH-TrH)),2))</f>
        <v>3.85</v>
      </c>
      <c r="J12" s="123">
        <f>ROUND(INDEX($Z12:$AD12,0,FanspeedH)*Basis!$E$4,0)</f>
        <v>1426</v>
      </c>
      <c r="K12" s="226">
        <f>INDEX($AL12:$AP12,0,FanspeedH)</f>
        <v>115</v>
      </c>
      <c r="L12" s="84">
        <f t="shared" si="0"/>
        <v>2.38883790470708</v>
      </c>
      <c r="M12" s="85">
        <f>INDEX($AF12:$AJ12,0,FanspeedH)</f>
        <v>53</v>
      </c>
      <c r="N12" s="109">
        <v>1</v>
      </c>
      <c r="O12" s="109">
        <v>1</v>
      </c>
      <c r="P12" s="109">
        <v>1</v>
      </c>
      <c r="Q12" s="109">
        <v>1</v>
      </c>
      <c r="R12" s="109">
        <v>1</v>
      </c>
      <c r="S12" s="68"/>
      <c r="T12" s="67">
        <v>15700</v>
      </c>
      <c r="U12" s="67">
        <v>14600</v>
      </c>
      <c r="V12" s="67">
        <v>13000</v>
      </c>
      <c r="W12" s="67">
        <v>10700</v>
      </c>
      <c r="X12" s="67">
        <v>8000</v>
      </c>
      <c r="Y12" s="68"/>
      <c r="Z12" s="69">
        <v>2422</v>
      </c>
      <c r="AA12" s="69">
        <v>1984</v>
      </c>
      <c r="AB12" s="69">
        <v>1438</v>
      </c>
      <c r="AC12" s="69">
        <v>997</v>
      </c>
      <c r="AD12" s="69">
        <v>699</v>
      </c>
      <c r="AE12" s="68"/>
      <c r="AF12" s="70">
        <v>53</v>
      </c>
      <c r="AG12" s="70">
        <v>49</v>
      </c>
      <c r="AH12" s="70">
        <v>41</v>
      </c>
      <c r="AI12" s="70">
        <v>34</v>
      </c>
      <c r="AJ12" s="70">
        <v>30</v>
      </c>
      <c r="AK12" s="68"/>
      <c r="AL12" s="71">
        <v>115</v>
      </c>
      <c r="AM12" s="71">
        <v>80</v>
      </c>
      <c r="AN12" s="71">
        <v>35</v>
      </c>
      <c r="AO12" s="71">
        <v>14</v>
      </c>
      <c r="AP12" s="71">
        <v>8</v>
      </c>
      <c r="AQ12" s="68"/>
      <c r="AR12" s="99">
        <v>3.273951465352205</v>
      </c>
      <c r="AS12" s="97">
        <f t="shared" si="1"/>
        <v>7.1332549130889626</v>
      </c>
      <c r="AT12" s="68"/>
      <c r="AU12" s="67"/>
      <c r="AV12" s="67"/>
      <c r="AW12" s="67"/>
      <c r="AX12" s="67"/>
      <c r="AY12" s="67"/>
      <c r="AZ12" s="68"/>
      <c r="BA12" s="49"/>
      <c r="BB12" s="50"/>
      <c r="BY12"/>
      <c r="BZ12"/>
      <c r="CA12"/>
    </row>
    <row r="13" spans="1:79" ht="15" x14ac:dyDescent="0.25">
      <c r="A13" s="72" t="s">
        <v>147</v>
      </c>
      <c r="B13" s="235" t="s">
        <v>4051</v>
      </c>
      <c r="C13" s="44" t="s">
        <v>151</v>
      </c>
      <c r="D13" s="227">
        <f>ROUND(53/Basis!$E$3,1)</f>
        <v>20.9</v>
      </c>
      <c r="E13" s="45">
        <f>ROUND(53/Basis!$E$3,1)</f>
        <v>20.9</v>
      </c>
      <c r="F13" s="46" t="s">
        <v>51</v>
      </c>
      <c r="G13" s="45">
        <f>ROUND(48/Basis!$E$3,1)</f>
        <v>18.899999999999999</v>
      </c>
      <c r="H13" s="45">
        <f>ROUND(INDEX($T13:$X13,0,FanspeedH)*Basis!$E$2*((TaH-TrH)/LN(1/µ)/Basis!$E$7)*Glycol*$AA$4,0)</f>
        <v>49304</v>
      </c>
      <c r="I13" s="225">
        <f>IF(Basis!$E$1=1,ROUND(H13/((TaH-TrH)*1.163)/3600,3),ROUND(H13/(500*(TaH-TrH)),2))</f>
        <v>4.93</v>
      </c>
      <c r="J13" s="123">
        <f>ROUND(INDEX($Z13:$AD13,0,FanspeedH)*Basis!$E$4,0)</f>
        <v>1345</v>
      </c>
      <c r="K13" s="226">
        <f>INDEX($AL13:$AP13,0,FanspeedH)</f>
        <v>118</v>
      </c>
      <c r="L13" s="84">
        <f t="shared" si="0"/>
        <v>2.2917526115371674</v>
      </c>
      <c r="M13" s="85">
        <f>INDEX($AF13:$AJ13,0,FanspeedH)</f>
        <v>54</v>
      </c>
      <c r="N13" s="110">
        <v>1</v>
      </c>
      <c r="O13" s="110">
        <v>1</v>
      </c>
      <c r="P13" s="110">
        <v>1</v>
      </c>
      <c r="Q13" s="110">
        <v>1</v>
      </c>
      <c r="R13" s="110">
        <v>1</v>
      </c>
      <c r="S13" s="74"/>
      <c r="T13" s="73">
        <v>20100</v>
      </c>
      <c r="U13" s="73">
        <v>19300</v>
      </c>
      <c r="V13" s="73">
        <v>16700</v>
      </c>
      <c r="W13" s="73">
        <v>12200</v>
      </c>
      <c r="X13" s="73">
        <v>9200</v>
      </c>
      <c r="Y13" s="74"/>
      <c r="Z13" s="75">
        <v>2286</v>
      </c>
      <c r="AA13" s="75">
        <v>1872</v>
      </c>
      <c r="AB13" s="75">
        <v>1357</v>
      </c>
      <c r="AC13" s="75">
        <v>941</v>
      </c>
      <c r="AD13" s="75">
        <v>660</v>
      </c>
      <c r="AE13" s="74"/>
      <c r="AF13" s="76">
        <v>54</v>
      </c>
      <c r="AG13" s="76">
        <v>50</v>
      </c>
      <c r="AH13" s="76">
        <v>42</v>
      </c>
      <c r="AI13" s="76">
        <v>35</v>
      </c>
      <c r="AJ13" s="76">
        <v>31</v>
      </c>
      <c r="AK13" s="74"/>
      <c r="AL13" s="77">
        <v>118</v>
      </c>
      <c r="AM13" s="77">
        <v>82</v>
      </c>
      <c r="AN13" s="77">
        <v>37</v>
      </c>
      <c r="AO13" s="77">
        <v>15</v>
      </c>
      <c r="AP13" s="77">
        <v>9</v>
      </c>
      <c r="AQ13" s="74"/>
      <c r="AR13" s="100">
        <v>4.2802378192953494</v>
      </c>
      <c r="AS13" s="98">
        <f t="shared" si="1"/>
        <v>6.8433507119171884</v>
      </c>
      <c r="AT13" s="74"/>
      <c r="AU13" s="73"/>
      <c r="AV13" s="73"/>
      <c r="AW13" s="73"/>
      <c r="AX13" s="73"/>
      <c r="AY13" s="73"/>
      <c r="AZ13" s="74"/>
      <c r="BA13" s="47"/>
      <c r="BB13" s="48"/>
      <c r="BY13"/>
      <c r="BZ13"/>
      <c r="CA13"/>
    </row>
    <row r="14" spans="1:79" ht="15" x14ac:dyDescent="0.25">
      <c r="A14" s="72" t="s">
        <v>147</v>
      </c>
      <c r="B14" s="235" t="s">
        <v>4051</v>
      </c>
      <c r="C14" s="44" t="s">
        <v>152</v>
      </c>
      <c r="D14" s="227">
        <f>ROUND(65/Basis!$E$3,1)</f>
        <v>25.6</v>
      </c>
      <c r="E14" s="45">
        <f>ROUND(65/Basis!$E$3,1)</f>
        <v>25.6</v>
      </c>
      <c r="F14" s="46" t="s">
        <v>51</v>
      </c>
      <c r="G14" s="45">
        <f>ROUND(49.8/Basis!$E$3,1)</f>
        <v>19.600000000000001</v>
      </c>
      <c r="H14" s="45">
        <f>ROUND(INDEX($T14:$X14,0,FanspeedH)*Basis!$E$2*((TaH-TrH)/LN(1/µ)/Basis!$E$7)*Glycol*$AA$4,0)</f>
        <v>74570</v>
      </c>
      <c r="I14" s="225">
        <f>IF(Basis!$E$1=1,ROUND(H14/((TaH-TrH)*1.163)/3600,3),ROUND(H14/(500*(TaH-TrH)),2))</f>
        <v>7.46</v>
      </c>
      <c r="J14" s="123">
        <f>ROUND(INDEX($Z14:$AD14,0,FanspeedH)*Basis!$E$4,0)</f>
        <v>2733</v>
      </c>
      <c r="K14" s="226">
        <f>INDEX($AL14:$AP14,0,FanspeedH)</f>
        <v>248</v>
      </c>
      <c r="L14" s="84">
        <f t="shared" si="0"/>
        <v>2.168953968604181</v>
      </c>
      <c r="M14" s="85">
        <f>INDEX($AF14:$AJ14,0,FanspeedH)</f>
        <v>57</v>
      </c>
      <c r="N14" s="109">
        <v>1</v>
      </c>
      <c r="O14" s="109">
        <v>1</v>
      </c>
      <c r="P14" s="109">
        <v>1</v>
      </c>
      <c r="Q14" s="109">
        <v>1</v>
      </c>
      <c r="R14" s="109">
        <v>1</v>
      </c>
      <c r="S14" s="68"/>
      <c r="T14" s="67">
        <v>30400</v>
      </c>
      <c r="U14" s="67">
        <v>28600</v>
      </c>
      <c r="V14" s="67">
        <v>26400</v>
      </c>
      <c r="W14" s="67">
        <v>21700</v>
      </c>
      <c r="X14" s="67">
        <v>18000</v>
      </c>
      <c r="Y14" s="68"/>
      <c r="Z14" s="69">
        <v>4643</v>
      </c>
      <c r="AA14" s="69">
        <v>4153</v>
      </c>
      <c r="AB14" s="69">
        <v>3467</v>
      </c>
      <c r="AC14" s="69">
        <v>2517</v>
      </c>
      <c r="AD14" s="69">
        <v>1773</v>
      </c>
      <c r="AE14" s="68"/>
      <c r="AF14" s="70">
        <v>57</v>
      </c>
      <c r="AG14" s="70">
        <v>51</v>
      </c>
      <c r="AH14" s="70">
        <v>44</v>
      </c>
      <c r="AI14" s="70">
        <v>37</v>
      </c>
      <c r="AJ14" s="70">
        <v>32</v>
      </c>
      <c r="AK14" s="68"/>
      <c r="AL14" s="71">
        <v>248</v>
      </c>
      <c r="AM14" s="71">
        <v>187</v>
      </c>
      <c r="AN14" s="71">
        <v>115</v>
      </c>
      <c r="AO14" s="71">
        <v>54</v>
      </c>
      <c r="AP14" s="71">
        <v>27</v>
      </c>
      <c r="AQ14" s="68"/>
      <c r="AR14" s="99">
        <v>6.6576124118538873</v>
      </c>
      <c r="AS14" s="97">
        <f t="shared" si="1"/>
        <v>6.4766644577781527</v>
      </c>
      <c r="AT14" s="68"/>
      <c r="AU14" s="67"/>
      <c r="AV14" s="67"/>
      <c r="AW14" s="67"/>
      <c r="AX14" s="67"/>
      <c r="AY14" s="67"/>
      <c r="AZ14" s="68"/>
      <c r="BA14" s="49"/>
      <c r="BB14" s="50"/>
      <c r="BY14"/>
      <c r="BZ14"/>
      <c r="CA14"/>
    </row>
    <row r="15" spans="1:79" ht="15" x14ac:dyDescent="0.25">
      <c r="A15" s="72" t="s">
        <v>147</v>
      </c>
      <c r="B15" s="235" t="s">
        <v>4051</v>
      </c>
      <c r="C15" s="44" t="s">
        <v>153</v>
      </c>
      <c r="D15" s="227">
        <f>ROUND(65/Basis!$E$3,1)</f>
        <v>25.6</v>
      </c>
      <c r="E15" s="45">
        <f>ROUND(65/Basis!$E$3,1)</f>
        <v>25.6</v>
      </c>
      <c r="F15" s="46" t="s">
        <v>51</v>
      </c>
      <c r="G15" s="45">
        <f>ROUND(49.8/Basis!$E$3,1)</f>
        <v>19.600000000000001</v>
      </c>
      <c r="H15" s="45">
        <f>ROUND(INDEX($T15:$X15,0,FanspeedH)*Basis!$E$2*((TaH-TrH)/LN(1/µ)/Basis!$E$7)*Glycol*$AA$4,0)</f>
        <v>90023</v>
      </c>
      <c r="I15" s="225">
        <f>IF(Basis!$E$1=1,ROUND(H15/((TaH-TrH)*1.163)/3600,3),ROUND(H15/(500*(TaH-TrH)),2))</f>
        <v>9</v>
      </c>
      <c r="J15" s="123">
        <f>ROUND(INDEX($Z15:$AD15,0,FanspeedH)*Basis!$E$4,0)</f>
        <v>2579</v>
      </c>
      <c r="K15" s="226">
        <f>INDEX($AL15:$AP15,0,FanspeedH)</f>
        <v>251</v>
      </c>
      <c r="L15" s="84">
        <f t="shared" si="0"/>
        <v>1.5040622362608538</v>
      </c>
      <c r="M15" s="85">
        <f>INDEX($AF15:$AJ15,0,FanspeedH)</f>
        <v>59</v>
      </c>
      <c r="N15" s="110">
        <v>1</v>
      </c>
      <c r="O15" s="110">
        <v>1</v>
      </c>
      <c r="P15" s="110">
        <v>1</v>
      </c>
      <c r="Q15" s="110">
        <v>1</v>
      </c>
      <c r="R15" s="110">
        <v>1</v>
      </c>
      <c r="S15" s="74"/>
      <c r="T15" s="73">
        <v>36700</v>
      </c>
      <c r="U15" s="73">
        <v>34600</v>
      </c>
      <c r="V15" s="73">
        <v>31100</v>
      </c>
      <c r="W15" s="73">
        <v>25900</v>
      </c>
      <c r="X15" s="73">
        <v>21200</v>
      </c>
      <c r="Y15" s="74"/>
      <c r="Z15" s="75">
        <v>4382</v>
      </c>
      <c r="AA15" s="75">
        <v>3920</v>
      </c>
      <c r="AB15" s="75">
        <v>3272</v>
      </c>
      <c r="AC15" s="75">
        <v>2375</v>
      </c>
      <c r="AD15" s="75">
        <v>1673</v>
      </c>
      <c r="AE15" s="74"/>
      <c r="AF15" s="76">
        <v>59</v>
      </c>
      <c r="AG15" s="76">
        <v>53</v>
      </c>
      <c r="AH15" s="76">
        <v>46</v>
      </c>
      <c r="AI15" s="76">
        <v>39</v>
      </c>
      <c r="AJ15" s="76">
        <v>34</v>
      </c>
      <c r="AK15" s="74"/>
      <c r="AL15" s="77">
        <v>251</v>
      </c>
      <c r="AM15" s="77">
        <v>189</v>
      </c>
      <c r="AN15" s="77">
        <v>117</v>
      </c>
      <c r="AO15" s="77">
        <v>55</v>
      </c>
      <c r="AP15" s="77">
        <v>28</v>
      </c>
      <c r="AQ15" s="74"/>
      <c r="AR15" s="100">
        <v>9.6452714367521679</v>
      </c>
      <c r="AS15" s="98">
        <f t="shared" si="1"/>
        <v>4.4912462730345375</v>
      </c>
      <c r="AT15" s="74"/>
      <c r="AU15" s="73"/>
      <c r="AV15" s="73"/>
      <c r="AW15" s="73"/>
      <c r="AX15" s="73"/>
      <c r="AY15" s="73"/>
      <c r="AZ15" s="74"/>
      <c r="BA15" s="47"/>
      <c r="BB15" s="48"/>
      <c r="BY15"/>
      <c r="BZ15"/>
      <c r="CA15"/>
    </row>
    <row r="16" spans="1:79" ht="15" x14ac:dyDescent="0.25">
      <c r="A16" s="72" t="s">
        <v>147</v>
      </c>
      <c r="B16" s="235" t="s">
        <v>4051</v>
      </c>
      <c r="C16" s="44" t="s">
        <v>154</v>
      </c>
      <c r="D16" s="227">
        <f>ROUND(77/Basis!$E$3,1)</f>
        <v>30.3</v>
      </c>
      <c r="E16" s="45">
        <f>ROUND(77/Basis!$E$3,1)</f>
        <v>30.3</v>
      </c>
      <c r="F16" s="46" t="s">
        <v>51</v>
      </c>
      <c r="G16" s="45">
        <f>ROUND(57.2/Basis!$E$3,1)</f>
        <v>22.5</v>
      </c>
      <c r="H16" s="45">
        <f>ROUND(INDEX($T16:$X16,0,FanspeedH)*Basis!$E$2*((TaH-TrH)/LN(1/µ)/Basis!$E$7)*Glycol*$AA$4,0)</f>
        <v>98609</v>
      </c>
      <c r="I16" s="225">
        <f>IF(Basis!$E$1=1,ROUND(H16/((TaH-TrH)*1.163)/3600,3),ROUND(H16/(500*(TaH-TrH)),2))</f>
        <v>9.86</v>
      </c>
      <c r="J16" s="123">
        <f>ROUND(INDEX($Z16:$AD16,0,FanspeedH)*Basis!$E$4,0)</f>
        <v>2893</v>
      </c>
      <c r="K16" s="226">
        <f>INDEX($AL16:$AP16,0,FanspeedH)</f>
        <v>232</v>
      </c>
      <c r="L16" s="84">
        <f t="shared" si="0"/>
        <v>1.2891596013230251</v>
      </c>
      <c r="M16" s="85">
        <f>INDEX($AF16:$AJ16,0,FanspeedH)</f>
        <v>52</v>
      </c>
      <c r="N16" s="109">
        <v>1</v>
      </c>
      <c r="O16" s="109">
        <v>1</v>
      </c>
      <c r="P16" s="109">
        <v>1</v>
      </c>
      <c r="Q16" s="109">
        <v>1</v>
      </c>
      <c r="R16" s="109">
        <v>1</v>
      </c>
      <c r="S16" s="68"/>
      <c r="T16" s="67">
        <v>40200</v>
      </c>
      <c r="U16" s="67">
        <v>39200</v>
      </c>
      <c r="V16" s="67">
        <v>36000</v>
      </c>
      <c r="W16" s="67">
        <v>29100</v>
      </c>
      <c r="X16" s="67">
        <v>22500</v>
      </c>
      <c r="Y16" s="68"/>
      <c r="Z16" s="69">
        <v>4915</v>
      </c>
      <c r="AA16" s="69">
        <v>4254</v>
      </c>
      <c r="AB16" s="69">
        <v>2998</v>
      </c>
      <c r="AC16" s="69">
        <v>2036</v>
      </c>
      <c r="AD16" s="69">
        <v>1403</v>
      </c>
      <c r="AE16" s="68"/>
      <c r="AF16" s="70">
        <v>52</v>
      </c>
      <c r="AG16" s="70">
        <v>44</v>
      </c>
      <c r="AH16" s="70">
        <v>37</v>
      </c>
      <c r="AI16" s="70">
        <v>32</v>
      </c>
      <c r="AJ16" s="70">
        <v>28</v>
      </c>
      <c r="AK16" s="68"/>
      <c r="AL16" s="71">
        <v>232</v>
      </c>
      <c r="AM16" s="71">
        <v>158</v>
      </c>
      <c r="AN16" s="71">
        <v>69</v>
      </c>
      <c r="AO16" s="71">
        <v>34</v>
      </c>
      <c r="AP16" s="71">
        <v>20</v>
      </c>
      <c r="AQ16" s="68"/>
      <c r="AR16" s="99">
        <v>11.413751672122945</v>
      </c>
      <c r="AS16" s="97">
        <f t="shared" si="1"/>
        <v>3.8495303686253597</v>
      </c>
      <c r="AT16" s="68"/>
      <c r="AU16" s="67"/>
      <c r="AV16" s="67"/>
      <c r="AW16" s="67"/>
      <c r="AX16" s="67"/>
      <c r="AY16" s="67"/>
      <c r="AZ16" s="68"/>
      <c r="BA16" s="49"/>
      <c r="BB16" s="50"/>
      <c r="BY16"/>
      <c r="BZ16"/>
      <c r="CA16"/>
    </row>
    <row r="17" spans="1:79" ht="15" x14ac:dyDescent="0.25">
      <c r="A17" s="72" t="s">
        <v>147</v>
      </c>
      <c r="B17" s="235" t="s">
        <v>4051</v>
      </c>
      <c r="C17" s="44" t="s">
        <v>155</v>
      </c>
      <c r="D17" s="227">
        <f>ROUND(77/Basis!$E$3,1)</f>
        <v>30.3</v>
      </c>
      <c r="E17" s="45">
        <f>ROUND(77/Basis!$E$3,1)</f>
        <v>30.3</v>
      </c>
      <c r="F17" s="46" t="s">
        <v>51</v>
      </c>
      <c r="G17" s="45">
        <f>ROUND(57.2/Basis!$E$3,1)</f>
        <v>22.5</v>
      </c>
      <c r="H17" s="45">
        <f>ROUND(INDEX($T17:$X17,0,FanspeedH)*Basis!$E$2*((TaH-TrH)/LN(1/µ)/Basis!$E$7)*Glycol*$AA$4,0)</f>
        <v>126818</v>
      </c>
      <c r="I17" s="225">
        <f>IF(Basis!$E$1=1,ROUND(H17/((TaH-TrH)*1.163)/3600,3),ROUND(H17/(500*(TaH-TrH)),2))</f>
        <v>12.68</v>
      </c>
      <c r="J17" s="123">
        <f>ROUND(INDEX($Z17:$AD17,0,FanspeedH)*Basis!$E$4,0)</f>
        <v>2730</v>
      </c>
      <c r="K17" s="226">
        <f>INDEX($AL17:$AP17,0,FanspeedH)</f>
        <v>235</v>
      </c>
      <c r="L17" s="84">
        <f t="shared" si="0"/>
        <v>1.4919214120062916</v>
      </c>
      <c r="M17" s="85">
        <f>INDEX($AF17:$AJ17,0,FanspeedH)</f>
        <v>54</v>
      </c>
      <c r="N17" s="110">
        <v>1</v>
      </c>
      <c r="O17" s="110">
        <v>1</v>
      </c>
      <c r="P17" s="110">
        <v>1</v>
      </c>
      <c r="Q17" s="110">
        <v>1</v>
      </c>
      <c r="R17" s="110">
        <v>1</v>
      </c>
      <c r="S17" s="74"/>
      <c r="T17" s="73">
        <v>51700</v>
      </c>
      <c r="U17" s="73">
        <v>44800</v>
      </c>
      <c r="V17" s="73">
        <v>35600</v>
      </c>
      <c r="W17" s="73">
        <v>27900</v>
      </c>
      <c r="X17" s="73">
        <v>24800</v>
      </c>
      <c r="Y17" s="74"/>
      <c r="Z17" s="75">
        <v>4639</v>
      </c>
      <c r="AA17" s="75">
        <v>4015</v>
      </c>
      <c r="AB17" s="75">
        <v>2829</v>
      </c>
      <c r="AC17" s="75">
        <v>1922</v>
      </c>
      <c r="AD17" s="75">
        <v>1324</v>
      </c>
      <c r="AE17" s="74"/>
      <c r="AF17" s="76">
        <v>54</v>
      </c>
      <c r="AG17" s="76">
        <v>46</v>
      </c>
      <c r="AH17" s="76">
        <v>38</v>
      </c>
      <c r="AI17" s="76">
        <v>33</v>
      </c>
      <c r="AJ17" s="76">
        <v>29</v>
      </c>
      <c r="AK17" s="74"/>
      <c r="AL17" s="77">
        <v>235</v>
      </c>
      <c r="AM17" s="77">
        <v>160</v>
      </c>
      <c r="AN17" s="77">
        <v>71</v>
      </c>
      <c r="AO17" s="77">
        <v>35</v>
      </c>
      <c r="AP17" s="77">
        <v>21</v>
      </c>
      <c r="AQ17" s="74"/>
      <c r="AR17" s="100">
        <v>13.644295868772282</v>
      </c>
      <c r="AS17" s="98">
        <f t="shared" si="1"/>
        <v>4.4549928319399541</v>
      </c>
      <c r="AT17" s="74"/>
      <c r="AU17" s="73"/>
      <c r="AV17" s="73"/>
      <c r="AW17" s="73"/>
      <c r="AX17" s="73"/>
      <c r="AY17" s="73"/>
      <c r="AZ17" s="74"/>
      <c r="BA17" s="47"/>
      <c r="BB17" s="48"/>
      <c r="BY17"/>
      <c r="BZ17"/>
      <c r="CA17"/>
    </row>
    <row r="18" spans="1:79" ht="15" x14ac:dyDescent="0.25">
      <c r="A18" s="72" t="s">
        <v>147</v>
      </c>
      <c r="B18" s="235" t="s">
        <v>4051</v>
      </c>
      <c r="C18" s="44" t="s">
        <v>156</v>
      </c>
      <c r="D18" s="227">
        <f>ROUND(89/Basis!$E$3,1)</f>
        <v>35</v>
      </c>
      <c r="E18" s="45">
        <f>ROUND(89/Basis!$E$3,1)</f>
        <v>35</v>
      </c>
      <c r="F18" s="46" t="s">
        <v>51</v>
      </c>
      <c r="G18" s="45">
        <f>ROUND(55.1/Basis!$E$3,1)</f>
        <v>21.7</v>
      </c>
      <c r="H18" s="45">
        <f>ROUND(INDEX($T18:$X18,0,FanspeedH)*Basis!$E$2*((TaH-TrH)/LN(1/µ)/Basis!$E$7)*Glycol*$AA$4,0)</f>
        <v>159933</v>
      </c>
      <c r="I18" s="225">
        <f>IF(Basis!$E$1=1,ROUND(H18/((TaH-TrH)*1.163)/3600,3),ROUND(H18/(500*(TaH-TrH)),2))</f>
        <v>15.99</v>
      </c>
      <c r="J18" s="123">
        <f>ROUND(INDEX($Z18:$AD18,0,FanspeedH)*Basis!$E$4,0)</f>
        <v>4795</v>
      </c>
      <c r="K18" s="226">
        <f>INDEX($AL18:$AP18,0,FanspeedH)</f>
        <v>569</v>
      </c>
      <c r="L18" s="84">
        <f t="shared" si="0"/>
        <v>5.1260446155657808</v>
      </c>
      <c r="M18" s="85">
        <f>INDEX($AF18:$AJ18,0,FanspeedH)</f>
        <v>57</v>
      </c>
      <c r="N18" s="109">
        <v>1</v>
      </c>
      <c r="O18" s="109">
        <v>1</v>
      </c>
      <c r="P18" s="109">
        <v>1</v>
      </c>
      <c r="Q18" s="109">
        <v>1</v>
      </c>
      <c r="R18" s="109">
        <v>1</v>
      </c>
      <c r="S18" s="68"/>
      <c r="T18" s="67">
        <v>65200</v>
      </c>
      <c r="U18" s="67">
        <v>53600</v>
      </c>
      <c r="V18" s="67">
        <v>44200</v>
      </c>
      <c r="W18" s="67">
        <v>35100</v>
      </c>
      <c r="X18" s="67">
        <v>29700</v>
      </c>
      <c r="Y18" s="68"/>
      <c r="Z18" s="69">
        <v>8147</v>
      </c>
      <c r="AA18" s="69">
        <v>6004</v>
      </c>
      <c r="AB18" s="69">
        <v>4344</v>
      </c>
      <c r="AC18" s="69">
        <v>3107</v>
      </c>
      <c r="AD18" s="69">
        <v>2207</v>
      </c>
      <c r="AE18" s="68"/>
      <c r="AF18" s="70">
        <v>57</v>
      </c>
      <c r="AG18" s="70">
        <v>48</v>
      </c>
      <c r="AH18" s="70">
        <v>42</v>
      </c>
      <c r="AI18" s="70">
        <v>38</v>
      </c>
      <c r="AJ18" s="70">
        <v>34</v>
      </c>
      <c r="AK18" s="68"/>
      <c r="AL18" s="71">
        <v>569</v>
      </c>
      <c r="AM18" s="71">
        <v>249</v>
      </c>
      <c r="AN18" s="71">
        <v>113</v>
      </c>
      <c r="AO18" s="71">
        <v>54</v>
      </c>
      <c r="AP18" s="71">
        <v>30</v>
      </c>
      <c r="AQ18" s="68"/>
      <c r="AR18" s="101">
        <v>9.2824393658487505</v>
      </c>
      <c r="AS18" s="103">
        <f t="shared" si="1"/>
        <v>15.306766049989266</v>
      </c>
      <c r="AT18" s="68"/>
      <c r="AU18" s="67"/>
      <c r="AV18" s="67"/>
      <c r="AW18" s="67"/>
      <c r="AX18" s="67"/>
      <c r="AY18" s="67"/>
      <c r="AZ18" s="68"/>
      <c r="BA18" s="49"/>
      <c r="BB18" s="50"/>
      <c r="BY18"/>
      <c r="BZ18"/>
      <c r="CA18"/>
    </row>
    <row r="19" spans="1:79" ht="15" x14ac:dyDescent="0.25">
      <c r="A19" s="72" t="s">
        <v>147</v>
      </c>
      <c r="B19" s="235" t="s">
        <v>4051</v>
      </c>
      <c r="C19" s="44" t="s">
        <v>157</v>
      </c>
      <c r="D19" s="227">
        <f>ROUND(89/Basis!$E$3,1)</f>
        <v>35</v>
      </c>
      <c r="E19" s="45">
        <f>ROUND(89/Basis!$E$3,1)</f>
        <v>35</v>
      </c>
      <c r="F19" s="46" t="s">
        <v>51</v>
      </c>
      <c r="G19" s="45">
        <f>ROUND(55.1/Basis!$E$3,1)</f>
        <v>21.7</v>
      </c>
      <c r="H19" s="45">
        <f>ROUND(INDEX($T19:$X19,0,FanspeedH)*Basis!$E$2*((TaH-TrH)/LN(1/µ)/Basis!$E$7)*Glycol*$AA$4,0)</f>
        <v>192802</v>
      </c>
      <c r="I19" s="225">
        <f>IF(Basis!$E$1=1,ROUND(H19/((TaH-TrH)*1.163)/3600,3),ROUND(H19/(500*(TaH-TrH)),2))</f>
        <v>19.28</v>
      </c>
      <c r="J19" s="123">
        <f>ROUND(INDEX($Z19:$AD19,0,FanspeedH)*Basis!$E$4,0)</f>
        <v>4526</v>
      </c>
      <c r="K19" s="226">
        <f>INDEX($AL19:$AP19,0,FanspeedH)</f>
        <v>572</v>
      </c>
      <c r="L19" s="84">
        <f t="shared" si="0"/>
        <v>2.5121369983985868</v>
      </c>
      <c r="M19" s="85">
        <f>INDEX($AF19:$AJ19,0,FanspeedH)</f>
        <v>58</v>
      </c>
      <c r="N19" s="110">
        <v>1</v>
      </c>
      <c r="O19" s="110">
        <v>1</v>
      </c>
      <c r="P19" s="110">
        <v>1</v>
      </c>
      <c r="Q19" s="110">
        <v>1</v>
      </c>
      <c r="R19" s="110">
        <v>1</v>
      </c>
      <c r="S19" s="74"/>
      <c r="T19" s="73">
        <v>78600</v>
      </c>
      <c r="U19" s="73">
        <v>65400</v>
      </c>
      <c r="V19" s="73">
        <v>53600</v>
      </c>
      <c r="W19" s="73">
        <v>41600</v>
      </c>
      <c r="X19" s="73">
        <v>32300</v>
      </c>
      <c r="Y19" s="74"/>
      <c r="Z19" s="75">
        <v>7689</v>
      </c>
      <c r="AA19" s="75">
        <v>5666</v>
      </c>
      <c r="AB19" s="75">
        <v>4100</v>
      </c>
      <c r="AC19" s="75">
        <v>2932</v>
      </c>
      <c r="AD19" s="75">
        <v>2083</v>
      </c>
      <c r="AE19" s="74"/>
      <c r="AF19" s="76">
        <v>58</v>
      </c>
      <c r="AG19" s="76">
        <v>49</v>
      </c>
      <c r="AH19" s="76">
        <v>44</v>
      </c>
      <c r="AI19" s="76">
        <v>39</v>
      </c>
      <c r="AJ19" s="76">
        <v>36</v>
      </c>
      <c r="AK19" s="74"/>
      <c r="AL19" s="77">
        <v>572</v>
      </c>
      <c r="AM19" s="77">
        <v>251</v>
      </c>
      <c r="AN19" s="77">
        <v>115</v>
      </c>
      <c r="AO19" s="77">
        <v>55</v>
      </c>
      <c r="AP19" s="77">
        <v>31</v>
      </c>
      <c r="AQ19" s="74"/>
      <c r="AR19" s="102">
        <v>15.987855627964219</v>
      </c>
      <c r="AS19" s="104">
        <f t="shared" si="1"/>
        <v>7.5014355519348639</v>
      </c>
      <c r="AT19" s="74"/>
      <c r="AU19" s="73"/>
      <c r="AV19" s="73"/>
      <c r="AW19" s="73"/>
      <c r="AX19" s="73"/>
      <c r="AY19" s="73"/>
      <c r="AZ19" s="74"/>
      <c r="BA19" s="47"/>
      <c r="BB19" s="48"/>
      <c r="BY19"/>
      <c r="BZ19"/>
      <c r="CA19"/>
    </row>
  </sheetData>
  <sheetProtection algorithmName="SHA-512" hashValue="MWitiqiqI2oZmOQhOgwxFnhfF5atpRJnOB+7x9tTIO5TNCVBY6Tx5pwhqqdvPixtvXMTX/j0dOK3uAAQzLPXaw==" saltValue="8bfujRzlk3+ZeDV1PIKZdg==" spinCount="100000" sheet="1" sort="0" autoFilter="0"/>
  <autoFilter ref="A9:M19"/>
  <mergeCells count="8">
    <mergeCell ref="A1:C3"/>
    <mergeCell ref="A4:A5"/>
    <mergeCell ref="AU7:AY7"/>
    <mergeCell ref="H8:I8"/>
    <mergeCell ref="N8:R8"/>
    <mergeCell ref="T8:X8"/>
    <mergeCell ref="AU8:AY8"/>
    <mergeCell ref="M7:M8"/>
  </mergeCells>
  <dataValidations count="6">
    <dataValidation type="decimal" allowBlank="1" showErrorMessage="1" errorTitle="ERROR" error="Entering T between 95 and 180ºF" sqref="AD3">
      <formula1>95</formula1>
      <formula2>210</formula2>
    </dataValidation>
    <dataValidation type="decimal" allowBlank="1" showErrorMessage="1" errorTitle="ERROR" error="Air T between 50 and 77ºF" promptTitle="Omgevingº:" prompt="Geheel getal tussen 10 en 25" sqref="Z5 AD5 AB7">
      <formula1>50</formula1>
      <formula2>77</formula2>
    </dataValidation>
    <dataValidation type="list" allowBlank="1" showInputMessage="1" showErrorMessage="1" sqref="I7">
      <formula1>$T$9:$X$9</formula1>
    </dataValidation>
    <dataValidation type="decimal" operator="lessThan" allowBlank="1" showErrorMessage="1" errorTitle="ERROR" error="Return T must &lt;  Entering T" promptTitle="Retourº:" prompt="Altijd lager dan Aanvoerº" sqref="AD4">
      <formula1>AD3</formula1>
    </dataValidation>
    <dataValidation type="list" allowBlank="1" showInputMessage="1" showErrorMessage="1" sqref="AD7 Z7">
      <formula1>#REF!</formula1>
    </dataValidation>
    <dataValidation type="custom" allowBlank="1" showInputMessage="1" showErrorMessage="1" errorTitle="try again" error="&lt;200ºF" sqref="I2">
      <formula1>I2&lt;200</formula1>
    </dataValidation>
  </dataValidations>
  <printOptions horizontalCentered="1"/>
  <pageMargins left="0" right="0" top="0" bottom="0.19685039370078741" header="0" footer="0"/>
  <pageSetup paperSize="9" scale="27" fitToHeight="1000" orientation="landscape" blackAndWhite="1" r:id="rId1"/>
  <headerFooter>
    <oddFooter>&amp;R&amp;8&amp;D 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Drop Down 1">
              <controlPr defaultSize="0" autoLine="0" autoPict="0">
                <anchor moveWithCells="1">
                  <from>
                    <xdr:col>2</xdr:col>
                    <xdr:colOff>1600200</xdr:colOff>
                    <xdr:row>3</xdr:row>
                    <xdr:rowOff>9525</xdr:rowOff>
                  </from>
                  <to>
                    <xdr:col>5</xdr:col>
                    <xdr:colOff>9525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</vt:i4>
      </vt:variant>
      <vt:variant>
        <vt:lpstr>Benoemde bereiken</vt:lpstr>
      </vt:variant>
      <vt:variant>
        <vt:i4>41</vt:i4>
      </vt:variant>
    </vt:vector>
  </HeadingPairs>
  <TitlesOfParts>
    <vt:vector size="49" baseType="lpstr">
      <vt:lpstr>Basis</vt:lpstr>
      <vt:lpstr>LowH2O Convectors</vt:lpstr>
      <vt:lpstr>Strada Cont.</vt:lpstr>
      <vt:lpstr>PanelPlus</vt:lpstr>
      <vt:lpstr>Briza12</vt:lpstr>
      <vt:lpstr>Clima Canal</vt:lpstr>
      <vt:lpstr>Micro Canal</vt:lpstr>
      <vt:lpstr>Unit Heater</vt:lpstr>
      <vt:lpstr>Briza12!Afdruktitels</vt:lpstr>
      <vt:lpstr>'Clima Canal'!Afdruktitels</vt:lpstr>
      <vt:lpstr>'LowH2O Convectors'!Afdruktitels</vt:lpstr>
      <vt:lpstr>'Micro Canal'!Afdruktitels</vt:lpstr>
      <vt:lpstr>PanelPlus!Afdruktitels</vt:lpstr>
      <vt:lpstr>'Strada Cont.'!Afdruktitels</vt:lpstr>
      <vt:lpstr>'Unit Heater'!Afdruktitels</vt:lpstr>
      <vt:lpstr>cf_H_Q</vt:lpstr>
      <vt:lpstr>Briza12!p_atm</vt:lpstr>
      <vt:lpstr>'Clima Canal'!p_atm</vt:lpstr>
      <vt:lpstr>Briza12!RH</vt:lpstr>
      <vt:lpstr>'Clima Canal'!RH</vt:lpstr>
      <vt:lpstr>Briza12!TaC</vt:lpstr>
      <vt:lpstr>'Clima Canal'!TaC</vt:lpstr>
      <vt:lpstr>Briza12!TaH</vt:lpstr>
      <vt:lpstr>'Clima Canal'!TaH</vt:lpstr>
      <vt:lpstr>'LowH2O Convectors'!TaH</vt:lpstr>
      <vt:lpstr>'Micro Canal'!TaH</vt:lpstr>
      <vt:lpstr>PanelPlus!TaH</vt:lpstr>
      <vt:lpstr>'Strada Cont.'!TaH</vt:lpstr>
      <vt:lpstr>'Unit Heater'!TaH</vt:lpstr>
      <vt:lpstr>'Clima Canal'!Td</vt:lpstr>
      <vt:lpstr>Briza12!TlC</vt:lpstr>
      <vt:lpstr>'Clima Canal'!TlC</vt:lpstr>
      <vt:lpstr>Briza12!TlH</vt:lpstr>
      <vt:lpstr>'Clima Canal'!TlH</vt:lpstr>
      <vt:lpstr>'LowH2O Convectors'!TlH</vt:lpstr>
      <vt:lpstr>'Micro Canal'!TlH</vt:lpstr>
      <vt:lpstr>PanelPlus!TlH</vt:lpstr>
      <vt:lpstr>'Strada Cont.'!TlH</vt:lpstr>
      <vt:lpstr>'Unit Heater'!TlH</vt:lpstr>
      <vt:lpstr>TlK</vt:lpstr>
      <vt:lpstr>Briza12!TrC</vt:lpstr>
      <vt:lpstr>'Clima Canal'!TrC</vt:lpstr>
      <vt:lpstr>Briza12!TrH</vt:lpstr>
      <vt:lpstr>'Clima Canal'!TrH</vt:lpstr>
      <vt:lpstr>'LowH2O Convectors'!TrH</vt:lpstr>
      <vt:lpstr>'Micro Canal'!TrH</vt:lpstr>
      <vt:lpstr>PanelPlus!TrH</vt:lpstr>
      <vt:lpstr>'Strada Cont.'!TrH</vt:lpstr>
      <vt:lpstr>'Unit Heater'!TrH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LAmoureus@jaga.nl</dc:creator>
  <cp:lastModifiedBy>Lucien Amoureus</cp:lastModifiedBy>
  <cp:lastPrinted>2020-07-08T12:11:24Z</cp:lastPrinted>
  <dcterms:created xsi:type="dcterms:W3CDTF">2007-08-06T07:09:37Z</dcterms:created>
  <dcterms:modified xsi:type="dcterms:W3CDTF">2022-10-12T14:23:04Z</dcterms:modified>
</cp:coreProperties>
</file>